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ingAny\Transfer Entropy\EyeHeadDirc\"/>
    </mc:Choice>
  </mc:AlternateContent>
  <xr:revisionPtr revIDLastSave="0" documentId="8_{421BDDA5-5905-410D-83CF-44734DB55ED0}" xr6:coauthVersionLast="45" xr6:coauthVersionMax="45" xr10:uidLastSave="{00000000-0000-0000-0000-000000000000}"/>
  <bookViews>
    <workbookView xWindow="1152" yWindow="1152" windowWidth="17280" windowHeight="8964"/>
  </bookViews>
  <sheets>
    <sheet name="TxtToExcel_Tem_Tx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A3008" i="1"/>
  <c r="B3008" i="1"/>
  <c r="A3009" i="1"/>
  <c r="B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3102" i="1"/>
  <c r="B3102" i="1"/>
  <c r="A3103" i="1"/>
  <c r="B3103" i="1"/>
  <c r="A3104" i="1"/>
  <c r="B3104" i="1"/>
  <c r="A3105" i="1"/>
  <c r="B3105" i="1"/>
  <c r="A3106" i="1"/>
  <c r="B3106" i="1"/>
  <c r="A3107" i="1"/>
  <c r="B3107" i="1"/>
  <c r="A3108" i="1"/>
  <c r="B3108" i="1"/>
  <c r="A3109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B3121" i="1"/>
  <c r="A3122" i="1"/>
  <c r="B3122" i="1"/>
  <c r="A3123" i="1"/>
  <c r="B3123" i="1"/>
  <c r="A3124" i="1"/>
  <c r="B3124" i="1"/>
  <c r="A3125" i="1"/>
  <c r="B3125" i="1"/>
  <c r="A3126" i="1"/>
  <c r="B3126" i="1"/>
  <c r="A3127" i="1"/>
  <c r="B3127" i="1"/>
  <c r="A3128" i="1"/>
  <c r="B3128" i="1"/>
  <c r="A3129" i="1"/>
  <c r="B3129" i="1"/>
  <c r="A3130" i="1"/>
  <c r="B3130" i="1"/>
  <c r="A3131" i="1"/>
  <c r="B3131" i="1"/>
  <c r="A3132" i="1"/>
  <c r="B3132" i="1"/>
  <c r="A3133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A3149" i="1"/>
  <c r="B3149" i="1"/>
  <c r="A3150" i="1"/>
  <c r="B3150" i="1"/>
  <c r="A3151" i="1"/>
  <c r="B3151" i="1"/>
  <c r="A3152" i="1"/>
  <c r="B3152" i="1"/>
  <c r="A3153" i="1"/>
  <c r="B3153" i="1"/>
  <c r="A3154" i="1"/>
  <c r="B3154" i="1"/>
  <c r="A3155" i="1"/>
  <c r="B3155" i="1"/>
  <c r="A3156" i="1"/>
  <c r="B3156" i="1"/>
  <c r="A3157" i="1"/>
  <c r="B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A3173" i="1"/>
  <c r="B3173" i="1"/>
  <c r="A3174" i="1"/>
  <c r="B3174" i="1"/>
  <c r="A3175" i="1"/>
  <c r="B3175" i="1"/>
  <c r="A3176" i="1"/>
  <c r="B3176" i="1"/>
  <c r="A3177" i="1"/>
  <c r="B3177" i="1"/>
  <c r="A3178" i="1"/>
  <c r="B3178" i="1"/>
  <c r="A3179" i="1"/>
  <c r="B3179" i="1"/>
  <c r="A3180" i="1"/>
  <c r="B3180" i="1"/>
  <c r="A3181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A3197" i="1"/>
  <c r="B3197" i="1"/>
  <c r="A3198" i="1"/>
  <c r="B3198" i="1"/>
  <c r="A3199" i="1"/>
  <c r="B3199" i="1"/>
  <c r="A3200" i="1"/>
  <c r="B3200" i="1"/>
  <c r="A3201" i="1"/>
  <c r="B3201" i="1"/>
  <c r="A3202" i="1"/>
  <c r="B3202" i="1"/>
  <c r="A3203" i="1"/>
  <c r="B3203" i="1"/>
  <c r="A3204" i="1"/>
  <c r="B3204" i="1"/>
  <c r="A3205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A3221" i="1"/>
  <c r="B3221" i="1"/>
  <c r="A3222" i="1"/>
  <c r="B3222" i="1"/>
  <c r="A3223" i="1"/>
  <c r="B3223" i="1"/>
  <c r="A3224" i="1"/>
  <c r="B3224" i="1"/>
  <c r="A3225" i="1"/>
  <c r="B3225" i="1"/>
  <c r="A3226" i="1"/>
  <c r="B3226" i="1"/>
  <c r="A3227" i="1"/>
  <c r="B3227" i="1"/>
  <c r="A3228" i="1"/>
  <c r="B3228" i="1"/>
  <c r="A3229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B3241" i="1"/>
  <c r="A3242" i="1"/>
  <c r="B3242" i="1"/>
  <c r="A3243" i="1"/>
  <c r="B3243" i="1"/>
  <c r="A3244" i="1"/>
  <c r="B3244" i="1"/>
  <c r="A3245" i="1"/>
  <c r="B3245" i="1"/>
  <c r="A3246" i="1"/>
  <c r="B3246" i="1"/>
  <c r="A3247" i="1"/>
  <c r="B3247" i="1"/>
  <c r="A3248" i="1"/>
  <c r="B3248" i="1"/>
  <c r="A3249" i="1"/>
  <c r="B3249" i="1"/>
  <c r="A3250" i="1"/>
  <c r="B3250" i="1"/>
  <c r="A3251" i="1"/>
  <c r="B3251" i="1"/>
  <c r="A3252" i="1"/>
  <c r="B3252" i="1"/>
  <c r="A3253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A3265" i="1"/>
  <c r="B3265" i="1"/>
  <c r="A3266" i="1"/>
  <c r="B3266" i="1"/>
  <c r="A3267" i="1"/>
  <c r="B3267" i="1"/>
  <c r="A3268" i="1"/>
  <c r="B3268" i="1"/>
  <c r="A3269" i="1"/>
  <c r="B3269" i="1"/>
  <c r="A3270" i="1"/>
  <c r="B3270" i="1"/>
  <c r="A3271" i="1"/>
  <c r="B3271" i="1"/>
  <c r="A3272" i="1"/>
  <c r="B3272" i="1"/>
  <c r="A3273" i="1"/>
  <c r="B3273" i="1"/>
  <c r="A3274" i="1"/>
  <c r="B3274" i="1"/>
  <c r="A3275" i="1"/>
  <c r="B3275" i="1"/>
  <c r="A3276" i="1"/>
  <c r="B3276" i="1"/>
  <c r="A3277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B3289" i="1"/>
  <c r="A3290" i="1"/>
  <c r="B3290" i="1"/>
  <c r="A3291" i="1"/>
  <c r="B3291" i="1"/>
  <c r="A3292" i="1"/>
  <c r="B3292" i="1"/>
  <c r="A3293" i="1"/>
  <c r="B3293" i="1"/>
  <c r="A3294" i="1"/>
  <c r="B3294" i="1"/>
  <c r="A3295" i="1"/>
  <c r="B3295" i="1"/>
  <c r="A3296" i="1"/>
  <c r="B3296" i="1"/>
  <c r="A3297" i="1"/>
  <c r="B3297" i="1"/>
  <c r="A3298" i="1"/>
  <c r="B3298" i="1"/>
  <c r="A3299" i="1"/>
  <c r="B3299" i="1"/>
  <c r="A3300" i="1"/>
  <c r="B3300" i="1"/>
  <c r="A3301" i="1"/>
  <c r="B3301" i="1"/>
  <c r="A3302" i="1"/>
  <c r="B3302" i="1"/>
  <c r="A3303" i="1"/>
  <c r="B3303" i="1"/>
  <c r="A3304" i="1"/>
  <c r="B3304" i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A3313" i="1"/>
  <c r="B3313" i="1"/>
  <c r="A3314" i="1"/>
  <c r="B3314" i="1"/>
  <c r="A3315" i="1"/>
  <c r="B3315" i="1"/>
  <c r="A3316" i="1"/>
  <c r="B3316" i="1"/>
  <c r="A3317" i="1"/>
  <c r="B3317" i="1"/>
  <c r="A3318" i="1"/>
  <c r="B3318" i="1"/>
  <c r="A3319" i="1"/>
  <c r="B3319" i="1"/>
  <c r="A3320" i="1"/>
  <c r="B3320" i="1"/>
  <c r="A3321" i="1"/>
  <c r="B3321" i="1"/>
  <c r="A3322" i="1"/>
  <c r="B3322" i="1"/>
  <c r="A3323" i="1"/>
  <c r="B3323" i="1"/>
  <c r="A3324" i="1"/>
  <c r="B3324" i="1"/>
  <c r="A3325" i="1"/>
  <c r="B3325" i="1"/>
  <c r="A3326" i="1"/>
  <c r="B3326" i="1"/>
  <c r="A3327" i="1"/>
  <c r="B3327" i="1"/>
  <c r="A3328" i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B3334" i="1"/>
  <c r="A3335" i="1"/>
  <c r="B3335" i="1"/>
  <c r="A3336" i="1"/>
  <c r="B3336" i="1"/>
  <c r="A3337" i="1"/>
  <c r="B3337" i="1"/>
  <c r="A3338" i="1"/>
  <c r="B3338" i="1"/>
  <c r="A3339" i="1"/>
  <c r="B3339" i="1"/>
  <c r="A3340" i="1"/>
  <c r="B3340" i="1"/>
  <c r="A3341" i="1"/>
  <c r="B3341" i="1"/>
  <c r="A3342" i="1"/>
  <c r="B3342" i="1"/>
  <c r="A3343" i="1"/>
  <c r="B3343" i="1"/>
  <c r="A3344" i="1"/>
  <c r="B3344" i="1"/>
  <c r="A3345" i="1"/>
  <c r="B3345" i="1"/>
  <c r="A3346" i="1"/>
  <c r="B3346" i="1"/>
  <c r="A3347" i="1"/>
  <c r="B3347" i="1"/>
  <c r="A3348" i="1"/>
  <c r="B3348" i="1"/>
  <c r="A3349" i="1"/>
  <c r="B3349" i="1"/>
  <c r="A3350" i="1"/>
  <c r="B3350" i="1"/>
  <c r="A3351" i="1"/>
  <c r="B3351" i="1"/>
  <c r="A3352" i="1"/>
  <c r="B3352" i="1"/>
  <c r="A3353" i="1"/>
  <c r="B3353" i="1"/>
  <c r="A3354" i="1"/>
  <c r="B3354" i="1"/>
  <c r="A3355" i="1"/>
  <c r="B3355" i="1"/>
  <c r="A3356" i="1"/>
  <c r="B3356" i="1"/>
  <c r="A3357" i="1"/>
  <c r="B3357" i="1"/>
  <c r="A3358" i="1"/>
  <c r="B3358" i="1"/>
  <c r="A3359" i="1"/>
  <c r="B3359" i="1"/>
  <c r="A3360" i="1"/>
  <c r="B3360" i="1"/>
  <c r="A3361" i="1"/>
  <c r="B3361" i="1"/>
  <c r="A3362" i="1"/>
  <c r="B3362" i="1"/>
  <c r="A3363" i="1"/>
  <c r="B3363" i="1"/>
  <c r="A3364" i="1"/>
  <c r="B3364" i="1"/>
  <c r="A3365" i="1"/>
  <c r="B3365" i="1"/>
  <c r="A3366" i="1"/>
  <c r="B3366" i="1"/>
  <c r="A3367" i="1"/>
  <c r="B3367" i="1"/>
  <c r="A3368" i="1"/>
  <c r="B3368" i="1"/>
  <c r="A3369" i="1"/>
  <c r="B3369" i="1"/>
  <c r="A3370" i="1"/>
  <c r="B3370" i="1"/>
  <c r="A3371" i="1"/>
  <c r="B3371" i="1"/>
  <c r="A3372" i="1"/>
  <c r="B3372" i="1"/>
  <c r="A3373" i="1"/>
  <c r="B3373" i="1"/>
  <c r="A3374" i="1"/>
  <c r="B3374" i="1"/>
  <c r="A3375" i="1"/>
  <c r="B3375" i="1"/>
  <c r="A3376" i="1"/>
  <c r="B3376" i="1"/>
  <c r="A3377" i="1"/>
  <c r="B3377" i="1"/>
  <c r="A3378" i="1"/>
  <c r="B3378" i="1"/>
  <c r="A3379" i="1"/>
  <c r="B3379" i="1"/>
  <c r="A3380" i="1"/>
  <c r="B3380" i="1"/>
  <c r="A3381" i="1"/>
  <c r="B3381" i="1"/>
  <c r="A3382" i="1"/>
  <c r="B3382" i="1"/>
  <c r="A3383" i="1"/>
  <c r="B3383" i="1"/>
  <c r="A3384" i="1"/>
  <c r="B3384" i="1"/>
  <c r="A3385" i="1"/>
  <c r="B3385" i="1"/>
  <c r="A3386" i="1"/>
  <c r="B3386" i="1"/>
  <c r="A3387" i="1"/>
  <c r="B3387" i="1"/>
  <c r="A3388" i="1"/>
  <c r="B3388" i="1"/>
  <c r="A3389" i="1"/>
  <c r="B3389" i="1"/>
  <c r="A3390" i="1"/>
  <c r="B3390" i="1"/>
  <c r="A3391" i="1"/>
  <c r="B3391" i="1"/>
  <c r="A3392" i="1"/>
  <c r="B3392" i="1"/>
  <c r="A3393" i="1"/>
  <c r="B3393" i="1"/>
  <c r="A3394" i="1"/>
  <c r="B3394" i="1"/>
  <c r="A3395" i="1"/>
  <c r="B3395" i="1"/>
  <c r="A3396" i="1"/>
  <c r="B3396" i="1"/>
  <c r="A3397" i="1"/>
  <c r="B3397" i="1"/>
  <c r="A3398" i="1"/>
  <c r="B3398" i="1"/>
  <c r="A3399" i="1"/>
  <c r="B3399" i="1"/>
  <c r="A3400" i="1"/>
  <c r="B3400" i="1"/>
  <c r="A3401" i="1"/>
  <c r="B3401" i="1"/>
  <c r="A3402" i="1"/>
  <c r="B3402" i="1"/>
  <c r="A3403" i="1"/>
  <c r="B3403" i="1"/>
  <c r="A3404" i="1"/>
  <c r="B3404" i="1"/>
  <c r="A3405" i="1"/>
  <c r="B3405" i="1"/>
  <c r="A3406" i="1"/>
  <c r="B3406" i="1"/>
  <c r="A3407" i="1"/>
  <c r="B3407" i="1"/>
  <c r="A3408" i="1"/>
  <c r="B3408" i="1"/>
  <c r="A3409" i="1"/>
  <c r="B3409" i="1"/>
  <c r="A3410" i="1"/>
  <c r="B3410" i="1"/>
  <c r="A3411" i="1"/>
  <c r="B3411" i="1"/>
  <c r="A3412" i="1"/>
  <c r="B3412" i="1"/>
  <c r="A3413" i="1"/>
  <c r="B3413" i="1"/>
  <c r="A3414" i="1"/>
  <c r="B3414" i="1"/>
  <c r="A3415" i="1"/>
  <c r="B3415" i="1"/>
  <c r="A3416" i="1"/>
  <c r="B3416" i="1"/>
  <c r="A3417" i="1"/>
  <c r="B3417" i="1"/>
  <c r="A3418" i="1"/>
  <c r="B3418" i="1"/>
  <c r="A3419" i="1"/>
  <c r="B3419" i="1"/>
  <c r="A3420" i="1"/>
  <c r="B3420" i="1"/>
  <c r="A3421" i="1"/>
  <c r="B3421" i="1"/>
  <c r="A3422" i="1"/>
  <c r="B3422" i="1"/>
  <c r="A3423" i="1"/>
  <c r="B3423" i="1"/>
  <c r="A3424" i="1"/>
  <c r="B3424" i="1"/>
  <c r="A3425" i="1"/>
  <c r="B3425" i="1"/>
  <c r="A3426" i="1"/>
  <c r="B3426" i="1"/>
  <c r="A3427" i="1"/>
  <c r="B3427" i="1"/>
  <c r="A3428" i="1"/>
  <c r="B3428" i="1"/>
  <c r="A3429" i="1"/>
  <c r="B3429" i="1"/>
  <c r="A3430" i="1"/>
  <c r="B3430" i="1"/>
  <c r="A3431" i="1"/>
  <c r="B3431" i="1"/>
  <c r="A3432" i="1"/>
  <c r="B3432" i="1"/>
  <c r="A3433" i="1"/>
  <c r="B3433" i="1"/>
  <c r="A3434" i="1"/>
  <c r="B3434" i="1"/>
  <c r="A3435" i="1"/>
  <c r="B3435" i="1"/>
  <c r="A3436" i="1"/>
  <c r="B3436" i="1"/>
  <c r="A3437" i="1"/>
  <c r="B3437" i="1"/>
  <c r="A3438" i="1"/>
  <c r="B3438" i="1"/>
  <c r="A3439" i="1"/>
  <c r="B3439" i="1"/>
  <c r="A3440" i="1"/>
  <c r="B3440" i="1"/>
  <c r="A3441" i="1"/>
  <c r="B3441" i="1"/>
  <c r="A3442" i="1"/>
  <c r="B3442" i="1"/>
  <c r="A3443" i="1"/>
  <c r="B3443" i="1"/>
  <c r="A3444" i="1"/>
  <c r="B3444" i="1"/>
  <c r="A3445" i="1"/>
  <c r="B3445" i="1"/>
  <c r="A3446" i="1"/>
  <c r="B3446" i="1"/>
  <c r="A3447" i="1"/>
  <c r="B3447" i="1"/>
  <c r="A3448" i="1"/>
  <c r="B3448" i="1"/>
  <c r="A3449" i="1"/>
  <c r="B3449" i="1"/>
  <c r="A3450" i="1"/>
  <c r="B3450" i="1"/>
  <c r="A3451" i="1"/>
  <c r="B3451" i="1"/>
  <c r="A3452" i="1"/>
  <c r="B3452" i="1"/>
  <c r="A3453" i="1"/>
  <c r="B3453" i="1"/>
  <c r="A3454" i="1"/>
  <c r="B3454" i="1"/>
  <c r="A3455" i="1"/>
  <c r="B3455" i="1"/>
  <c r="A3456" i="1"/>
  <c r="B3456" i="1"/>
  <c r="A3457" i="1"/>
  <c r="B3457" i="1"/>
  <c r="A3458" i="1"/>
  <c r="B3458" i="1"/>
  <c r="A3459" i="1"/>
  <c r="B3459" i="1"/>
  <c r="A3460" i="1"/>
  <c r="B3460" i="1"/>
  <c r="A3461" i="1"/>
  <c r="B3461" i="1"/>
  <c r="A3462" i="1"/>
  <c r="B3462" i="1"/>
  <c r="A3463" i="1"/>
  <c r="B3463" i="1"/>
  <c r="A3464" i="1"/>
  <c r="B3464" i="1"/>
  <c r="A3465" i="1"/>
  <c r="B3465" i="1"/>
  <c r="A3466" i="1"/>
  <c r="B3466" i="1"/>
  <c r="A3467" i="1"/>
  <c r="B3467" i="1"/>
  <c r="A3468" i="1"/>
  <c r="B3468" i="1"/>
  <c r="A3469" i="1"/>
  <c r="B3469" i="1"/>
  <c r="A3470" i="1"/>
  <c r="B3470" i="1"/>
  <c r="A3471" i="1"/>
  <c r="B3471" i="1"/>
  <c r="A3472" i="1"/>
  <c r="B3472" i="1"/>
  <c r="A3473" i="1"/>
  <c r="B3473" i="1"/>
  <c r="A3474" i="1"/>
  <c r="B3474" i="1"/>
  <c r="A3475" i="1"/>
  <c r="B3475" i="1"/>
  <c r="A3476" i="1"/>
  <c r="B3476" i="1"/>
  <c r="A3477" i="1"/>
  <c r="B3477" i="1"/>
  <c r="A3478" i="1"/>
  <c r="B3478" i="1"/>
  <c r="A3479" i="1"/>
  <c r="B3479" i="1"/>
  <c r="A3480" i="1"/>
  <c r="B3480" i="1"/>
  <c r="A3481" i="1"/>
  <c r="B3481" i="1"/>
  <c r="A3482" i="1"/>
  <c r="B3482" i="1"/>
  <c r="A3483" i="1"/>
  <c r="B3483" i="1"/>
  <c r="A3484" i="1"/>
  <c r="B3484" i="1"/>
  <c r="A3485" i="1"/>
  <c r="B3485" i="1"/>
  <c r="A3486" i="1"/>
  <c r="B3486" i="1"/>
  <c r="A3487" i="1"/>
  <c r="B3487" i="1"/>
  <c r="A3488" i="1"/>
  <c r="B3488" i="1"/>
  <c r="A3489" i="1"/>
  <c r="B3489" i="1"/>
  <c r="A3490" i="1"/>
  <c r="B3490" i="1"/>
  <c r="A3491" i="1"/>
  <c r="B3491" i="1"/>
  <c r="A3492" i="1"/>
  <c r="B3492" i="1"/>
  <c r="A3493" i="1"/>
  <c r="B3493" i="1"/>
  <c r="A3494" i="1"/>
  <c r="B3494" i="1"/>
  <c r="A3495" i="1"/>
  <c r="B3495" i="1"/>
  <c r="A3496" i="1"/>
  <c r="B3496" i="1"/>
  <c r="A3497" i="1"/>
  <c r="B3497" i="1"/>
  <c r="A3498" i="1"/>
  <c r="B3498" i="1"/>
  <c r="A3499" i="1"/>
  <c r="B3499" i="1"/>
  <c r="A3500" i="1"/>
  <c r="B3500" i="1"/>
  <c r="A3501" i="1"/>
  <c r="B3501" i="1"/>
  <c r="A3502" i="1"/>
  <c r="B3502" i="1"/>
  <c r="A3503" i="1"/>
  <c r="B3503" i="1"/>
  <c r="A3504" i="1"/>
  <c r="B3504" i="1"/>
  <c r="A3505" i="1"/>
  <c r="B3505" i="1"/>
  <c r="A3506" i="1"/>
  <c r="B3506" i="1"/>
  <c r="A3507" i="1"/>
  <c r="B3507" i="1"/>
  <c r="A3508" i="1"/>
  <c r="B3508" i="1"/>
  <c r="A3509" i="1"/>
  <c r="B3509" i="1"/>
  <c r="A3510" i="1"/>
  <c r="B3510" i="1"/>
  <c r="A3511" i="1"/>
  <c r="B3511" i="1"/>
  <c r="A3512" i="1"/>
  <c r="B3512" i="1"/>
  <c r="A3513" i="1"/>
  <c r="B3513" i="1"/>
  <c r="A3514" i="1"/>
  <c r="B3514" i="1"/>
  <c r="A3515" i="1"/>
  <c r="B3515" i="1"/>
  <c r="A3516" i="1"/>
  <c r="B3516" i="1"/>
  <c r="A3517" i="1"/>
  <c r="B3517" i="1"/>
  <c r="A3518" i="1"/>
  <c r="B3518" i="1"/>
  <c r="A3519" i="1"/>
  <c r="B3519" i="1"/>
  <c r="A3520" i="1"/>
  <c r="B3520" i="1"/>
  <c r="A3521" i="1"/>
  <c r="B3521" i="1"/>
  <c r="A3522" i="1"/>
  <c r="B3522" i="1"/>
  <c r="A3523" i="1"/>
  <c r="B3523" i="1"/>
  <c r="A3524" i="1"/>
  <c r="B3524" i="1"/>
  <c r="A3525" i="1"/>
  <c r="B3525" i="1"/>
  <c r="A3526" i="1"/>
  <c r="B3526" i="1"/>
  <c r="A3527" i="1"/>
  <c r="B3527" i="1"/>
  <c r="A3528" i="1"/>
  <c r="B3528" i="1"/>
  <c r="A3529" i="1"/>
  <c r="B3529" i="1"/>
  <c r="A3530" i="1"/>
  <c r="B3530" i="1"/>
  <c r="A3531" i="1"/>
  <c r="B3531" i="1"/>
  <c r="A3532" i="1"/>
  <c r="B3532" i="1"/>
  <c r="A3533" i="1"/>
  <c r="B3533" i="1"/>
  <c r="A3534" i="1"/>
  <c r="B3534" i="1"/>
  <c r="A3535" i="1"/>
  <c r="B3535" i="1"/>
  <c r="A3536" i="1"/>
  <c r="B3536" i="1"/>
  <c r="A3537" i="1"/>
  <c r="B3537" i="1"/>
  <c r="A3538" i="1"/>
  <c r="B3538" i="1"/>
  <c r="A3539" i="1"/>
  <c r="B3539" i="1"/>
  <c r="A3540" i="1"/>
  <c r="B3540" i="1"/>
  <c r="A3541" i="1"/>
  <c r="B3541" i="1"/>
  <c r="A3542" i="1"/>
  <c r="B3542" i="1"/>
  <c r="A3543" i="1"/>
  <c r="B3543" i="1"/>
  <c r="A3544" i="1"/>
  <c r="B3544" i="1"/>
  <c r="A3545" i="1"/>
  <c r="B3545" i="1"/>
  <c r="A3546" i="1"/>
  <c r="B3546" i="1"/>
  <c r="A3547" i="1"/>
  <c r="B3547" i="1"/>
  <c r="A3548" i="1"/>
  <c r="B3548" i="1"/>
  <c r="A3549" i="1"/>
  <c r="B3549" i="1"/>
  <c r="A3550" i="1"/>
  <c r="B3550" i="1"/>
  <c r="A3551" i="1"/>
  <c r="B3551" i="1"/>
  <c r="A3552" i="1"/>
  <c r="B3552" i="1"/>
  <c r="A3553" i="1"/>
  <c r="B3553" i="1"/>
  <c r="A3554" i="1"/>
  <c r="B3554" i="1"/>
  <c r="A3555" i="1"/>
  <c r="B3555" i="1"/>
  <c r="A3556" i="1"/>
  <c r="B3556" i="1"/>
  <c r="A3557" i="1"/>
  <c r="B3557" i="1"/>
  <c r="A3558" i="1"/>
  <c r="B3558" i="1"/>
  <c r="A3559" i="1"/>
  <c r="B3559" i="1"/>
  <c r="A3560" i="1"/>
  <c r="B3560" i="1"/>
  <c r="A3561" i="1"/>
  <c r="B3561" i="1"/>
  <c r="A3562" i="1"/>
  <c r="B3562" i="1"/>
  <c r="A3563" i="1"/>
  <c r="B3563" i="1"/>
  <c r="A3564" i="1"/>
  <c r="B3564" i="1"/>
  <c r="A3565" i="1"/>
  <c r="B3565" i="1"/>
  <c r="A3566" i="1"/>
  <c r="B3566" i="1"/>
  <c r="A3567" i="1"/>
  <c r="B3567" i="1"/>
  <c r="A3568" i="1"/>
  <c r="B3568" i="1"/>
  <c r="A3569" i="1"/>
  <c r="B3569" i="1"/>
  <c r="A3570" i="1"/>
  <c r="B3570" i="1"/>
  <c r="A3571" i="1"/>
  <c r="B3571" i="1"/>
  <c r="A3572" i="1"/>
  <c r="B3572" i="1"/>
  <c r="A3573" i="1"/>
  <c r="B3573" i="1"/>
  <c r="A3574" i="1"/>
  <c r="B3574" i="1"/>
  <c r="A3575" i="1"/>
  <c r="B3575" i="1"/>
  <c r="A3576" i="1"/>
  <c r="B3576" i="1"/>
  <c r="A3577" i="1"/>
  <c r="B3577" i="1"/>
  <c r="A3578" i="1"/>
  <c r="B3578" i="1"/>
  <c r="A3579" i="1"/>
  <c r="B3579" i="1"/>
  <c r="A3580" i="1"/>
  <c r="B3580" i="1"/>
  <c r="A3581" i="1"/>
  <c r="B3581" i="1"/>
  <c r="A3582" i="1"/>
  <c r="B3582" i="1"/>
  <c r="A3583" i="1"/>
  <c r="B3583" i="1"/>
  <c r="A3584" i="1"/>
  <c r="B3584" i="1"/>
  <c r="A3585" i="1"/>
  <c r="B3585" i="1"/>
  <c r="A3586" i="1"/>
  <c r="B3586" i="1"/>
  <c r="A3587" i="1"/>
  <c r="B3587" i="1"/>
  <c r="A3588" i="1"/>
  <c r="B3588" i="1"/>
  <c r="A3589" i="1"/>
  <c r="B3589" i="1"/>
  <c r="A3590" i="1"/>
  <c r="B3590" i="1"/>
  <c r="A3591" i="1"/>
  <c r="B3591" i="1"/>
  <c r="A3592" i="1"/>
  <c r="B3592" i="1"/>
  <c r="A3593" i="1"/>
  <c r="B3593" i="1"/>
  <c r="A3594" i="1"/>
  <c r="B3594" i="1"/>
  <c r="A3595" i="1"/>
  <c r="B3595" i="1"/>
  <c r="A3596" i="1"/>
  <c r="B3596" i="1"/>
  <c r="A3597" i="1"/>
  <c r="B3597" i="1"/>
  <c r="A3598" i="1"/>
  <c r="B3598" i="1"/>
  <c r="A3599" i="1"/>
  <c r="B3599" i="1"/>
  <c r="A3600" i="1"/>
  <c r="B3600" i="1"/>
  <c r="A3601" i="1"/>
  <c r="B3601" i="1"/>
  <c r="A3602" i="1"/>
  <c r="B3602" i="1"/>
  <c r="A3603" i="1"/>
  <c r="B3603" i="1"/>
  <c r="A3604" i="1"/>
  <c r="B3604" i="1"/>
  <c r="A3605" i="1"/>
  <c r="B3605" i="1"/>
  <c r="A3606" i="1"/>
  <c r="B3606" i="1"/>
  <c r="A3607" i="1"/>
  <c r="B3607" i="1"/>
  <c r="A3608" i="1"/>
  <c r="B3608" i="1"/>
  <c r="A3609" i="1"/>
  <c r="B3609" i="1"/>
  <c r="A3610" i="1"/>
  <c r="B3610" i="1"/>
  <c r="A3611" i="1"/>
  <c r="B3611" i="1"/>
  <c r="A3612" i="1"/>
  <c r="B3612" i="1"/>
  <c r="A3613" i="1"/>
  <c r="B3613" i="1"/>
  <c r="A3614" i="1"/>
  <c r="B3614" i="1"/>
  <c r="A3615" i="1"/>
  <c r="B3615" i="1"/>
  <c r="A3616" i="1"/>
  <c r="B3616" i="1"/>
  <c r="A3617" i="1"/>
  <c r="B3617" i="1"/>
  <c r="A3618" i="1"/>
  <c r="B3618" i="1"/>
  <c r="A3619" i="1"/>
  <c r="B3619" i="1"/>
  <c r="A3620" i="1"/>
  <c r="B3620" i="1"/>
  <c r="A3621" i="1"/>
  <c r="B3621" i="1"/>
  <c r="A3622" i="1"/>
  <c r="B3622" i="1"/>
  <c r="A3623" i="1"/>
  <c r="B3623" i="1"/>
  <c r="A3624" i="1"/>
  <c r="B3624" i="1"/>
  <c r="A3625" i="1"/>
  <c r="B3625" i="1"/>
  <c r="A3626" i="1"/>
  <c r="B3626" i="1"/>
  <c r="A3627" i="1"/>
  <c r="B3627" i="1"/>
  <c r="A3628" i="1"/>
  <c r="B3628" i="1"/>
  <c r="A3629" i="1"/>
  <c r="B3629" i="1"/>
  <c r="A3630" i="1"/>
  <c r="B3630" i="1"/>
  <c r="A3631" i="1"/>
  <c r="B3631" i="1"/>
  <c r="A3632" i="1"/>
  <c r="B3632" i="1"/>
  <c r="A3633" i="1"/>
  <c r="B3633" i="1"/>
  <c r="A3634" i="1"/>
  <c r="B3634" i="1"/>
  <c r="A3635" i="1"/>
  <c r="B3635" i="1"/>
  <c r="A3636" i="1"/>
  <c r="B3636" i="1"/>
  <c r="A3637" i="1"/>
  <c r="B3637" i="1"/>
  <c r="A3638" i="1"/>
  <c r="B3638" i="1"/>
  <c r="A3639" i="1"/>
  <c r="B3639" i="1"/>
  <c r="A3640" i="1"/>
  <c r="B3640" i="1"/>
  <c r="A3641" i="1"/>
  <c r="B3641" i="1"/>
  <c r="A3642" i="1"/>
  <c r="B3642" i="1"/>
  <c r="A3643" i="1"/>
  <c r="B3643" i="1"/>
  <c r="A3644" i="1"/>
  <c r="B3644" i="1"/>
  <c r="A3645" i="1"/>
  <c r="B3645" i="1"/>
  <c r="A3646" i="1"/>
  <c r="B3646" i="1"/>
  <c r="A3647" i="1"/>
  <c r="B3647" i="1"/>
  <c r="A3648" i="1"/>
  <c r="B3648" i="1"/>
  <c r="A3649" i="1"/>
  <c r="B3649" i="1"/>
  <c r="A3650" i="1"/>
  <c r="B3650" i="1"/>
  <c r="A3651" i="1"/>
  <c r="B3651" i="1"/>
  <c r="A3652" i="1"/>
  <c r="B3652" i="1"/>
  <c r="A3653" i="1"/>
  <c r="B3653" i="1"/>
  <c r="A3654" i="1"/>
  <c r="B3654" i="1"/>
  <c r="A3655" i="1"/>
  <c r="B3655" i="1"/>
  <c r="A3656" i="1"/>
  <c r="B3656" i="1"/>
  <c r="A3657" i="1"/>
  <c r="B3657" i="1"/>
  <c r="A3658" i="1"/>
  <c r="B3658" i="1"/>
  <c r="A3659" i="1"/>
  <c r="B3659" i="1"/>
  <c r="A3660" i="1"/>
  <c r="B3660" i="1"/>
  <c r="A3661" i="1"/>
  <c r="B3661" i="1"/>
  <c r="A3662" i="1"/>
  <c r="B3662" i="1"/>
  <c r="A3663" i="1"/>
  <c r="B3663" i="1"/>
  <c r="A3664" i="1"/>
  <c r="B3664" i="1"/>
  <c r="A3665" i="1"/>
  <c r="B3665" i="1"/>
  <c r="A3666" i="1"/>
  <c r="B3666" i="1"/>
  <c r="A3667" i="1"/>
  <c r="B3667" i="1"/>
  <c r="A3668" i="1"/>
  <c r="B3668" i="1"/>
  <c r="A3669" i="1"/>
  <c r="B3669" i="1"/>
  <c r="A3670" i="1"/>
  <c r="B3670" i="1"/>
  <c r="A3671" i="1"/>
  <c r="B3671" i="1"/>
  <c r="A3672" i="1"/>
  <c r="B3672" i="1"/>
  <c r="A3673" i="1"/>
  <c r="B3673" i="1"/>
  <c r="A3674" i="1"/>
  <c r="B3674" i="1"/>
  <c r="A3675" i="1"/>
  <c r="B3675" i="1"/>
  <c r="A3676" i="1"/>
  <c r="B3676" i="1"/>
  <c r="A3677" i="1"/>
  <c r="B3677" i="1"/>
  <c r="A3678" i="1"/>
  <c r="B3678" i="1"/>
  <c r="A3679" i="1"/>
  <c r="B3679" i="1"/>
  <c r="A3680" i="1"/>
  <c r="B3680" i="1"/>
  <c r="A3681" i="1"/>
  <c r="B3681" i="1"/>
  <c r="A3682" i="1"/>
  <c r="B3682" i="1"/>
  <c r="A3683" i="1"/>
  <c r="B3683" i="1"/>
  <c r="A3684" i="1"/>
  <c r="B3684" i="1"/>
  <c r="A3685" i="1"/>
  <c r="B3685" i="1"/>
  <c r="A3686" i="1"/>
  <c r="B3686" i="1"/>
  <c r="A3687" i="1"/>
  <c r="B3687" i="1"/>
  <c r="A3688" i="1"/>
  <c r="B3688" i="1"/>
  <c r="A3689" i="1"/>
  <c r="B3689" i="1"/>
  <c r="A3690" i="1"/>
  <c r="B3690" i="1"/>
  <c r="A3691" i="1"/>
  <c r="B3691" i="1"/>
  <c r="A3692" i="1"/>
  <c r="B3692" i="1"/>
  <c r="A3693" i="1"/>
  <c r="B3693" i="1"/>
  <c r="A3694" i="1"/>
  <c r="B3694" i="1"/>
  <c r="A3695" i="1"/>
  <c r="B3695" i="1"/>
  <c r="A3696" i="1"/>
  <c r="B3696" i="1"/>
  <c r="A3697" i="1"/>
  <c r="B3697" i="1"/>
  <c r="A3698" i="1"/>
  <c r="B3698" i="1"/>
  <c r="A3699" i="1"/>
  <c r="B3699" i="1"/>
  <c r="A3700" i="1"/>
  <c r="B3700" i="1"/>
  <c r="A3701" i="1"/>
  <c r="B3701" i="1"/>
  <c r="A3702" i="1"/>
  <c r="B3702" i="1"/>
  <c r="A3703" i="1"/>
  <c r="B3703" i="1"/>
  <c r="A3704" i="1"/>
  <c r="B3704" i="1"/>
  <c r="A3705" i="1"/>
  <c r="B3705" i="1"/>
  <c r="A3706" i="1"/>
  <c r="B3706" i="1"/>
  <c r="A3707" i="1"/>
  <c r="B3707" i="1"/>
  <c r="A3708" i="1"/>
  <c r="B3708" i="1"/>
  <c r="A3709" i="1"/>
  <c r="B3709" i="1"/>
  <c r="A3710" i="1"/>
  <c r="B3710" i="1"/>
  <c r="A3711" i="1"/>
  <c r="B3711" i="1"/>
  <c r="A3712" i="1"/>
  <c r="B3712" i="1"/>
  <c r="A3713" i="1"/>
  <c r="B3713" i="1"/>
  <c r="A3714" i="1"/>
  <c r="B3714" i="1"/>
  <c r="A3715" i="1"/>
  <c r="B3715" i="1"/>
  <c r="A3716" i="1"/>
  <c r="B3716" i="1"/>
  <c r="A3717" i="1"/>
  <c r="B3717" i="1"/>
  <c r="A3718" i="1"/>
  <c r="B3718" i="1"/>
  <c r="A3719" i="1"/>
  <c r="B3719" i="1"/>
  <c r="A3720" i="1"/>
  <c r="B3720" i="1"/>
  <c r="A3721" i="1"/>
  <c r="B3721" i="1"/>
  <c r="A3722" i="1"/>
  <c r="B3722" i="1"/>
  <c r="A3723" i="1"/>
  <c r="B3723" i="1"/>
  <c r="A3724" i="1"/>
  <c r="B3724" i="1"/>
  <c r="A3725" i="1"/>
  <c r="B3725" i="1"/>
  <c r="A3726" i="1"/>
  <c r="B3726" i="1"/>
  <c r="A3727" i="1"/>
  <c r="B3727" i="1"/>
  <c r="A3728" i="1"/>
  <c r="B3728" i="1"/>
  <c r="A3729" i="1"/>
  <c r="B3729" i="1"/>
  <c r="A3730" i="1"/>
  <c r="B3730" i="1"/>
  <c r="A3731" i="1"/>
  <c r="B3731" i="1"/>
  <c r="A3732" i="1"/>
  <c r="B3732" i="1"/>
  <c r="A3733" i="1"/>
  <c r="B3733" i="1"/>
  <c r="A3734" i="1"/>
  <c r="B3734" i="1"/>
  <c r="A3735" i="1"/>
  <c r="B3735" i="1"/>
  <c r="A3736" i="1"/>
  <c r="B3736" i="1"/>
  <c r="A3737" i="1"/>
  <c r="B3737" i="1"/>
  <c r="A3738" i="1"/>
  <c r="B3738" i="1"/>
  <c r="A3739" i="1"/>
  <c r="B3739" i="1"/>
  <c r="A3740" i="1"/>
  <c r="B3740" i="1"/>
  <c r="A3741" i="1"/>
  <c r="B3741" i="1"/>
  <c r="A3742" i="1"/>
  <c r="B3742" i="1"/>
  <c r="A3743" i="1"/>
  <c r="B3743" i="1"/>
  <c r="A3744" i="1"/>
  <c r="B3744" i="1"/>
  <c r="A3745" i="1"/>
  <c r="B3745" i="1"/>
  <c r="A3746" i="1"/>
  <c r="B3746" i="1"/>
  <c r="A3747" i="1"/>
  <c r="B3747" i="1"/>
  <c r="A3748" i="1"/>
  <c r="B3748" i="1"/>
  <c r="A3749" i="1"/>
  <c r="B3749" i="1"/>
  <c r="A3750" i="1"/>
  <c r="B3750" i="1"/>
  <c r="A3751" i="1"/>
  <c r="B3751" i="1"/>
  <c r="A3752" i="1"/>
  <c r="B3752" i="1"/>
  <c r="A3753" i="1"/>
  <c r="B3753" i="1"/>
  <c r="A3754" i="1"/>
  <c r="B3754" i="1"/>
  <c r="A3755" i="1"/>
  <c r="B3755" i="1"/>
  <c r="A3756" i="1"/>
  <c r="B3756" i="1"/>
  <c r="A3757" i="1"/>
  <c r="B3757" i="1"/>
  <c r="A3758" i="1"/>
  <c r="B3758" i="1"/>
  <c r="A3759" i="1"/>
  <c r="B3759" i="1"/>
  <c r="A3760" i="1"/>
  <c r="B3760" i="1"/>
  <c r="A3761" i="1"/>
  <c r="B3761" i="1"/>
  <c r="A3762" i="1"/>
  <c r="B3762" i="1"/>
  <c r="A3763" i="1"/>
  <c r="B3763" i="1"/>
  <c r="A3764" i="1"/>
  <c r="B3764" i="1"/>
  <c r="A3765" i="1"/>
  <c r="B3765" i="1"/>
  <c r="A3766" i="1"/>
  <c r="B3766" i="1"/>
  <c r="A3767" i="1"/>
  <c r="B3767" i="1"/>
  <c r="A3768" i="1"/>
  <c r="B3768" i="1"/>
  <c r="A3769" i="1"/>
  <c r="B3769" i="1"/>
  <c r="A3770" i="1"/>
  <c r="B3770" i="1"/>
  <c r="A3771" i="1"/>
  <c r="B3771" i="1"/>
  <c r="A3772" i="1"/>
  <c r="B3772" i="1"/>
  <c r="A3773" i="1"/>
  <c r="B3773" i="1"/>
  <c r="A3774" i="1"/>
  <c r="B3774" i="1"/>
  <c r="A3775" i="1"/>
  <c r="B3775" i="1"/>
  <c r="A3776" i="1"/>
  <c r="B3776" i="1"/>
  <c r="A3777" i="1"/>
  <c r="B3777" i="1"/>
  <c r="A3778" i="1"/>
  <c r="B3778" i="1"/>
  <c r="A3779" i="1"/>
  <c r="B3779" i="1"/>
  <c r="A3780" i="1"/>
  <c r="B3780" i="1"/>
  <c r="A3781" i="1"/>
  <c r="B3781" i="1"/>
  <c r="A3782" i="1"/>
  <c r="B3782" i="1"/>
  <c r="A3783" i="1"/>
  <c r="B3783" i="1"/>
  <c r="A3784" i="1"/>
  <c r="B3784" i="1"/>
  <c r="A3785" i="1"/>
  <c r="B3785" i="1"/>
  <c r="A3786" i="1"/>
  <c r="B3786" i="1"/>
  <c r="A3787" i="1"/>
  <c r="B3787" i="1"/>
  <c r="A3788" i="1"/>
  <c r="B3788" i="1"/>
  <c r="A3789" i="1"/>
  <c r="B3789" i="1"/>
  <c r="A3790" i="1"/>
  <c r="B3790" i="1"/>
  <c r="A3791" i="1"/>
  <c r="B3791" i="1"/>
  <c r="A3792" i="1"/>
  <c r="B3792" i="1"/>
  <c r="A3793" i="1"/>
  <c r="B3793" i="1"/>
  <c r="A3794" i="1"/>
  <c r="B3794" i="1"/>
  <c r="A3795" i="1"/>
  <c r="B3795" i="1"/>
  <c r="A3796" i="1"/>
  <c r="B3796" i="1"/>
  <c r="A3797" i="1"/>
  <c r="B3797" i="1"/>
  <c r="A3798" i="1"/>
  <c r="B3798" i="1"/>
  <c r="A3799" i="1"/>
  <c r="B3799" i="1"/>
  <c r="A3800" i="1"/>
  <c r="B3800" i="1"/>
  <c r="A3801" i="1"/>
  <c r="B3801" i="1"/>
  <c r="A3802" i="1"/>
  <c r="B3802" i="1"/>
  <c r="A3803" i="1"/>
  <c r="B3803" i="1"/>
  <c r="A3804" i="1"/>
  <c r="B3804" i="1"/>
  <c r="A3805" i="1"/>
  <c r="B3805" i="1"/>
  <c r="A3806" i="1"/>
  <c r="B3806" i="1"/>
  <c r="A3807" i="1"/>
  <c r="B3807" i="1"/>
  <c r="A3808" i="1"/>
  <c r="B3808" i="1"/>
  <c r="A3809" i="1"/>
  <c r="B3809" i="1"/>
  <c r="A3810" i="1"/>
  <c r="B3810" i="1"/>
  <c r="A3811" i="1"/>
  <c r="B3811" i="1"/>
  <c r="A3812" i="1"/>
  <c r="B3812" i="1"/>
  <c r="A3813" i="1"/>
  <c r="B3813" i="1"/>
  <c r="A3814" i="1"/>
  <c r="B3814" i="1"/>
  <c r="A3815" i="1"/>
  <c r="B3815" i="1"/>
  <c r="A3816" i="1"/>
  <c r="B3816" i="1"/>
  <c r="A3817" i="1"/>
  <c r="B3817" i="1"/>
  <c r="A3818" i="1"/>
  <c r="B3818" i="1"/>
  <c r="A3819" i="1"/>
  <c r="B3819" i="1"/>
  <c r="A3820" i="1"/>
  <c r="B3820" i="1"/>
  <c r="A3821" i="1"/>
  <c r="B3821" i="1"/>
  <c r="A3822" i="1"/>
  <c r="B3822" i="1"/>
  <c r="A3823" i="1"/>
  <c r="B3823" i="1"/>
  <c r="A3824" i="1"/>
  <c r="B3824" i="1"/>
  <c r="A3825" i="1"/>
  <c r="B3825" i="1"/>
  <c r="A3826" i="1"/>
  <c r="B3826" i="1"/>
  <c r="A3827" i="1"/>
  <c r="B3827" i="1"/>
  <c r="A3828" i="1"/>
  <c r="B3828" i="1"/>
  <c r="A3829" i="1"/>
  <c r="B3829" i="1"/>
  <c r="A3830" i="1"/>
  <c r="B3830" i="1"/>
  <c r="A3831" i="1"/>
  <c r="B3831" i="1"/>
  <c r="A3832" i="1"/>
  <c r="B3832" i="1"/>
  <c r="A3833" i="1"/>
  <c r="B3833" i="1"/>
  <c r="A3834" i="1"/>
  <c r="B3834" i="1"/>
  <c r="A3835" i="1"/>
  <c r="B3835" i="1"/>
  <c r="A3836" i="1"/>
  <c r="B3836" i="1"/>
  <c r="A3837" i="1"/>
  <c r="B3837" i="1"/>
  <c r="A3838" i="1"/>
  <c r="B3838" i="1"/>
  <c r="A3839" i="1"/>
  <c r="B3839" i="1"/>
  <c r="A3840" i="1"/>
  <c r="B3840" i="1"/>
  <c r="A3841" i="1"/>
  <c r="B3841" i="1"/>
  <c r="A3842" i="1"/>
  <c r="B3842" i="1"/>
  <c r="A3843" i="1"/>
  <c r="B3843" i="1"/>
  <c r="A3844" i="1"/>
  <c r="B3844" i="1"/>
  <c r="A3845" i="1"/>
  <c r="B3845" i="1"/>
  <c r="A3846" i="1"/>
  <c r="B3846" i="1"/>
  <c r="A3847" i="1"/>
  <c r="B3847" i="1"/>
  <c r="A3848" i="1"/>
  <c r="B3848" i="1"/>
  <c r="A3849" i="1"/>
  <c r="B3849" i="1"/>
  <c r="A3850" i="1"/>
  <c r="B3850" i="1"/>
  <c r="A3851" i="1"/>
  <c r="B3851" i="1"/>
  <c r="A3852" i="1"/>
  <c r="B3852" i="1"/>
  <c r="A3853" i="1"/>
  <c r="B3853" i="1"/>
  <c r="A3854" i="1"/>
  <c r="B3854" i="1"/>
  <c r="A3855" i="1"/>
  <c r="B3855" i="1"/>
  <c r="A3856" i="1"/>
  <c r="B3856" i="1"/>
  <c r="A3857" i="1"/>
  <c r="B3857" i="1"/>
  <c r="A3858" i="1"/>
  <c r="B3858" i="1"/>
  <c r="A3859" i="1"/>
  <c r="B3859" i="1"/>
  <c r="A3860" i="1"/>
  <c r="B3860" i="1"/>
  <c r="A3861" i="1"/>
  <c r="B3861" i="1"/>
  <c r="A3862" i="1"/>
  <c r="B3862" i="1"/>
  <c r="A3863" i="1"/>
  <c r="B3863" i="1"/>
  <c r="A3864" i="1"/>
  <c r="B3864" i="1"/>
  <c r="A3865" i="1"/>
  <c r="B3865" i="1"/>
  <c r="A3866" i="1"/>
  <c r="B3866" i="1"/>
  <c r="A3867" i="1"/>
  <c r="B3867" i="1"/>
  <c r="A3868" i="1"/>
  <c r="B3868" i="1"/>
  <c r="A3869" i="1"/>
  <c r="B3869" i="1"/>
  <c r="A3870" i="1"/>
  <c r="B3870" i="1"/>
  <c r="A3871" i="1"/>
  <c r="B3871" i="1"/>
  <c r="A3872" i="1"/>
  <c r="B3872" i="1"/>
  <c r="A3873" i="1"/>
  <c r="B3873" i="1"/>
  <c r="A3874" i="1"/>
  <c r="B3874" i="1"/>
  <c r="A3875" i="1"/>
  <c r="B3875" i="1"/>
  <c r="A3876" i="1"/>
  <c r="B3876" i="1"/>
  <c r="A3877" i="1"/>
  <c r="B3877" i="1"/>
  <c r="A3878" i="1"/>
  <c r="B3878" i="1"/>
  <c r="A3879" i="1"/>
  <c r="B3879" i="1"/>
  <c r="A3880" i="1"/>
  <c r="B3880" i="1"/>
  <c r="A3881" i="1"/>
  <c r="B3881" i="1"/>
  <c r="A3882" i="1"/>
  <c r="B3882" i="1"/>
  <c r="A3883" i="1"/>
  <c r="B3883" i="1"/>
  <c r="A3884" i="1"/>
  <c r="B3884" i="1"/>
  <c r="A3885" i="1"/>
  <c r="B3885" i="1"/>
  <c r="A3886" i="1"/>
  <c r="B3886" i="1"/>
  <c r="A3887" i="1"/>
  <c r="B3887" i="1"/>
  <c r="A3888" i="1"/>
  <c r="B3888" i="1"/>
  <c r="A3889" i="1"/>
  <c r="B3889" i="1"/>
  <c r="A3890" i="1"/>
  <c r="B3890" i="1"/>
  <c r="A3891" i="1"/>
  <c r="B3891" i="1"/>
  <c r="A3892" i="1"/>
  <c r="B3892" i="1"/>
  <c r="A3893" i="1"/>
  <c r="B3893" i="1"/>
  <c r="A3894" i="1"/>
  <c r="B3894" i="1"/>
  <c r="A3895" i="1"/>
  <c r="B3895" i="1"/>
  <c r="A3896" i="1"/>
  <c r="B3896" i="1"/>
  <c r="A3897" i="1"/>
  <c r="B3897" i="1"/>
  <c r="A3898" i="1"/>
  <c r="B3898" i="1"/>
  <c r="A3899" i="1"/>
  <c r="B3899" i="1"/>
  <c r="A3900" i="1"/>
  <c r="B3900" i="1"/>
  <c r="A3901" i="1"/>
  <c r="B3901" i="1"/>
  <c r="A3902" i="1"/>
  <c r="B3902" i="1"/>
  <c r="A3903" i="1"/>
  <c r="B3903" i="1"/>
  <c r="A3904" i="1"/>
  <c r="B3904" i="1"/>
  <c r="A3905" i="1"/>
  <c r="B3905" i="1"/>
  <c r="A3906" i="1"/>
  <c r="B3906" i="1"/>
  <c r="A3907" i="1"/>
  <c r="B3907" i="1"/>
  <c r="A3908" i="1"/>
  <c r="B3908" i="1"/>
  <c r="A3909" i="1"/>
  <c r="B3909" i="1"/>
  <c r="A3910" i="1"/>
  <c r="B3910" i="1"/>
  <c r="A3911" i="1"/>
  <c r="B3911" i="1"/>
  <c r="A3912" i="1"/>
  <c r="B3912" i="1"/>
  <c r="A3913" i="1"/>
  <c r="B3913" i="1"/>
  <c r="A3914" i="1"/>
  <c r="B3914" i="1"/>
  <c r="A3915" i="1"/>
  <c r="B3915" i="1"/>
  <c r="A3916" i="1"/>
  <c r="B3916" i="1"/>
  <c r="A3917" i="1"/>
  <c r="B3917" i="1"/>
  <c r="A3918" i="1"/>
  <c r="B3918" i="1"/>
  <c r="A3919" i="1"/>
  <c r="B3919" i="1"/>
  <c r="A3920" i="1"/>
  <c r="B3920" i="1"/>
  <c r="A3921" i="1"/>
  <c r="B3921" i="1"/>
  <c r="A3922" i="1"/>
  <c r="B3922" i="1"/>
  <c r="A3923" i="1"/>
  <c r="B3923" i="1"/>
  <c r="A3924" i="1"/>
  <c r="B3924" i="1"/>
  <c r="A3925" i="1"/>
  <c r="B3925" i="1"/>
  <c r="A3926" i="1"/>
  <c r="B3926" i="1"/>
  <c r="A3927" i="1"/>
  <c r="B3927" i="1"/>
  <c r="A3928" i="1"/>
  <c r="B3928" i="1"/>
  <c r="A3929" i="1"/>
  <c r="B3929" i="1"/>
  <c r="A3930" i="1"/>
  <c r="B3930" i="1"/>
  <c r="A3931" i="1"/>
  <c r="B3931" i="1"/>
  <c r="A3932" i="1"/>
  <c r="B3932" i="1"/>
  <c r="A3933" i="1"/>
  <c r="B3933" i="1"/>
  <c r="A3934" i="1"/>
  <c r="B3934" i="1"/>
  <c r="A3935" i="1"/>
  <c r="B3935" i="1"/>
  <c r="A3936" i="1"/>
  <c r="B3936" i="1"/>
  <c r="A3937" i="1"/>
  <c r="B3937" i="1"/>
  <c r="A3938" i="1"/>
  <c r="B3938" i="1"/>
  <c r="A3939" i="1"/>
  <c r="B3939" i="1"/>
  <c r="A3940" i="1"/>
  <c r="B3940" i="1"/>
  <c r="A3941" i="1"/>
  <c r="B3941" i="1"/>
  <c r="A3942" i="1"/>
  <c r="B3942" i="1"/>
  <c r="A3943" i="1"/>
  <c r="B3943" i="1"/>
  <c r="A3944" i="1"/>
  <c r="B3944" i="1"/>
  <c r="A3945" i="1"/>
  <c r="B3945" i="1"/>
  <c r="A3946" i="1"/>
  <c r="B3946" i="1"/>
  <c r="A3947" i="1"/>
  <c r="B3947" i="1"/>
  <c r="A3948" i="1"/>
  <c r="B3948" i="1"/>
  <c r="A3949" i="1"/>
  <c r="B3949" i="1"/>
  <c r="A3950" i="1"/>
  <c r="B3950" i="1"/>
  <c r="A3951" i="1"/>
  <c r="B3951" i="1"/>
  <c r="A3952" i="1"/>
  <c r="B3952" i="1"/>
  <c r="A3953" i="1"/>
  <c r="B3953" i="1"/>
  <c r="A3954" i="1"/>
  <c r="B3954" i="1"/>
  <c r="A3955" i="1"/>
  <c r="B3955" i="1"/>
  <c r="A3956" i="1"/>
  <c r="B3956" i="1"/>
  <c r="A3957" i="1"/>
  <c r="B3957" i="1"/>
  <c r="A3958" i="1"/>
  <c r="B3958" i="1"/>
  <c r="A3959" i="1"/>
  <c r="B3959" i="1"/>
  <c r="A3960" i="1"/>
  <c r="B3960" i="1"/>
  <c r="A3961" i="1"/>
  <c r="B3961" i="1"/>
  <c r="A3962" i="1"/>
  <c r="B3962" i="1"/>
  <c r="A3963" i="1"/>
  <c r="B3963" i="1"/>
  <c r="A3964" i="1"/>
  <c r="B3964" i="1"/>
  <c r="A3965" i="1"/>
  <c r="B3965" i="1"/>
  <c r="A3966" i="1"/>
  <c r="B3966" i="1"/>
  <c r="A3967" i="1"/>
  <c r="B3967" i="1"/>
  <c r="A3968" i="1"/>
  <c r="B3968" i="1"/>
  <c r="A3969" i="1"/>
  <c r="B3969" i="1"/>
  <c r="A3970" i="1"/>
  <c r="B3970" i="1"/>
  <c r="A3971" i="1"/>
  <c r="B3971" i="1"/>
  <c r="A3972" i="1"/>
  <c r="B3972" i="1"/>
  <c r="A3973" i="1"/>
  <c r="B3973" i="1"/>
  <c r="A3974" i="1"/>
  <c r="B3974" i="1"/>
  <c r="A3975" i="1"/>
  <c r="B3975" i="1"/>
  <c r="A3976" i="1"/>
  <c r="B3976" i="1"/>
  <c r="A3977" i="1"/>
  <c r="B3977" i="1"/>
  <c r="A3978" i="1"/>
  <c r="B3978" i="1"/>
  <c r="A3979" i="1"/>
  <c r="B3979" i="1"/>
  <c r="A3980" i="1"/>
  <c r="B3980" i="1"/>
  <c r="A3981" i="1"/>
  <c r="B3981" i="1"/>
  <c r="A3982" i="1"/>
  <c r="B3982" i="1"/>
  <c r="A3983" i="1"/>
  <c r="B3983" i="1"/>
  <c r="A3984" i="1"/>
  <c r="B3984" i="1"/>
  <c r="A3985" i="1"/>
  <c r="B3985" i="1"/>
  <c r="A3986" i="1"/>
  <c r="B3986" i="1"/>
  <c r="A3987" i="1"/>
  <c r="B3987" i="1"/>
  <c r="A3988" i="1"/>
  <c r="B3988" i="1"/>
  <c r="A3989" i="1"/>
  <c r="B3989" i="1"/>
  <c r="A3990" i="1"/>
  <c r="B3990" i="1"/>
  <c r="A3991" i="1"/>
  <c r="B3991" i="1"/>
  <c r="A3992" i="1"/>
  <c r="B3992" i="1"/>
  <c r="A3993" i="1"/>
  <c r="B3993" i="1"/>
  <c r="A3994" i="1"/>
  <c r="B3994" i="1"/>
  <c r="A3995" i="1"/>
  <c r="B3995" i="1"/>
  <c r="A3996" i="1"/>
  <c r="B3996" i="1"/>
  <c r="A3997" i="1"/>
  <c r="B3997" i="1"/>
  <c r="A3998" i="1"/>
  <c r="B3998" i="1"/>
  <c r="A3999" i="1"/>
  <c r="B3999" i="1"/>
  <c r="A4000" i="1"/>
  <c r="B4000" i="1"/>
  <c r="A4001" i="1"/>
  <c r="B4001" i="1"/>
  <c r="A4002" i="1"/>
  <c r="B4002" i="1"/>
  <c r="A4003" i="1"/>
  <c r="B4003" i="1"/>
  <c r="A4004" i="1"/>
  <c r="B4004" i="1"/>
  <c r="A4005" i="1"/>
  <c r="B4005" i="1"/>
  <c r="A4006" i="1"/>
  <c r="B4006" i="1"/>
  <c r="A4007" i="1"/>
  <c r="B4007" i="1"/>
  <c r="A4008" i="1"/>
  <c r="B4008" i="1"/>
  <c r="A4009" i="1"/>
  <c r="B4009" i="1"/>
  <c r="A4010" i="1"/>
  <c r="B4010" i="1"/>
  <c r="A4011" i="1"/>
  <c r="B4011" i="1"/>
  <c r="A4012" i="1"/>
  <c r="B4012" i="1"/>
  <c r="A4013" i="1"/>
  <c r="B4013" i="1"/>
  <c r="A4014" i="1"/>
  <c r="B4014" i="1"/>
  <c r="A4015" i="1"/>
  <c r="B4015" i="1"/>
  <c r="A4016" i="1"/>
  <c r="B4016" i="1"/>
  <c r="A4017" i="1"/>
  <c r="B4017" i="1"/>
  <c r="A4018" i="1"/>
  <c r="B4018" i="1"/>
  <c r="A4019" i="1"/>
  <c r="B4019" i="1"/>
  <c r="A4020" i="1"/>
  <c r="B4020" i="1"/>
  <c r="A4021" i="1"/>
  <c r="B4021" i="1"/>
  <c r="A4022" i="1"/>
  <c r="B4022" i="1"/>
  <c r="A4023" i="1"/>
  <c r="B4023" i="1"/>
  <c r="A4024" i="1"/>
  <c r="B4024" i="1"/>
  <c r="A4025" i="1"/>
  <c r="B4025" i="1"/>
  <c r="A4026" i="1"/>
  <c r="B4026" i="1"/>
  <c r="A4027" i="1"/>
  <c r="B4027" i="1"/>
  <c r="A4028" i="1"/>
  <c r="B4028" i="1"/>
  <c r="A4029" i="1"/>
  <c r="B4029" i="1"/>
  <c r="A4030" i="1"/>
  <c r="B4030" i="1"/>
  <c r="A4031" i="1"/>
  <c r="B4031" i="1"/>
  <c r="A4032" i="1"/>
  <c r="B4032" i="1"/>
  <c r="A4033" i="1"/>
  <c r="B4033" i="1"/>
  <c r="A4034" i="1"/>
  <c r="B4034" i="1"/>
  <c r="A4035" i="1"/>
  <c r="B4035" i="1"/>
  <c r="A4036" i="1"/>
  <c r="B4036" i="1"/>
  <c r="A4037" i="1"/>
  <c r="B4037" i="1"/>
  <c r="A4038" i="1"/>
  <c r="B4038" i="1"/>
  <c r="A4039" i="1"/>
  <c r="B4039" i="1"/>
  <c r="A4040" i="1"/>
  <c r="B4040" i="1"/>
  <c r="A4041" i="1"/>
  <c r="B4041" i="1"/>
  <c r="A4042" i="1"/>
  <c r="B4042" i="1"/>
  <c r="A4043" i="1"/>
  <c r="B4043" i="1"/>
  <c r="A4044" i="1"/>
  <c r="B4044" i="1"/>
  <c r="A4045" i="1"/>
  <c r="B4045" i="1"/>
  <c r="A4046" i="1"/>
  <c r="B4046" i="1"/>
  <c r="A4047" i="1"/>
  <c r="B4047" i="1"/>
  <c r="A4048" i="1"/>
  <c r="B4048" i="1"/>
  <c r="A4049" i="1"/>
  <c r="B4049" i="1"/>
  <c r="A4050" i="1"/>
  <c r="B4050" i="1"/>
  <c r="A4051" i="1"/>
  <c r="B4051" i="1"/>
  <c r="A4052" i="1"/>
  <c r="B4052" i="1"/>
  <c r="A4053" i="1"/>
  <c r="B4053" i="1"/>
  <c r="A4054" i="1"/>
  <c r="B4054" i="1"/>
  <c r="A4055" i="1"/>
  <c r="B4055" i="1"/>
  <c r="A4056" i="1"/>
  <c r="B4056" i="1"/>
  <c r="A4057" i="1"/>
  <c r="B4057" i="1"/>
  <c r="A4058" i="1"/>
  <c r="B4058" i="1"/>
  <c r="A4059" i="1"/>
  <c r="B4059" i="1"/>
  <c r="A4060" i="1"/>
  <c r="B4060" i="1"/>
  <c r="A4061" i="1"/>
  <c r="B4061" i="1"/>
  <c r="A4062" i="1"/>
  <c r="B4062" i="1"/>
  <c r="A4063" i="1"/>
  <c r="B4063" i="1"/>
  <c r="A4064" i="1"/>
  <c r="B4064" i="1"/>
  <c r="A4065" i="1"/>
  <c r="B4065" i="1"/>
  <c r="A4066" i="1"/>
  <c r="B4066" i="1"/>
  <c r="A4067" i="1"/>
  <c r="B4067" i="1"/>
  <c r="A4068" i="1"/>
  <c r="B4068" i="1"/>
  <c r="A4069" i="1"/>
  <c r="B4069" i="1"/>
  <c r="A4070" i="1"/>
  <c r="B4070" i="1"/>
  <c r="A4071" i="1"/>
  <c r="B4071" i="1"/>
  <c r="A4072" i="1"/>
  <c r="B4072" i="1"/>
  <c r="A4073" i="1"/>
  <c r="B4073" i="1"/>
  <c r="A4074" i="1"/>
  <c r="B4074" i="1"/>
  <c r="A4075" i="1"/>
  <c r="B4075" i="1"/>
  <c r="A4076" i="1"/>
  <c r="B4076" i="1"/>
  <c r="A4077" i="1"/>
  <c r="B4077" i="1"/>
  <c r="A4078" i="1"/>
  <c r="B4078" i="1"/>
  <c r="A4079" i="1"/>
  <c r="B4079" i="1"/>
  <c r="A4080" i="1"/>
  <c r="B4080" i="1"/>
  <c r="A4081" i="1"/>
  <c r="B4081" i="1"/>
  <c r="A4082" i="1"/>
  <c r="B4082" i="1"/>
  <c r="A4083" i="1"/>
  <c r="B4083" i="1"/>
  <c r="A4084" i="1"/>
  <c r="B4084" i="1"/>
  <c r="A4085" i="1"/>
  <c r="B4085" i="1"/>
  <c r="A4086" i="1"/>
  <c r="B4086" i="1"/>
  <c r="A4087" i="1"/>
  <c r="B4087" i="1"/>
  <c r="A4088" i="1"/>
  <c r="B4088" i="1"/>
  <c r="A4089" i="1"/>
  <c r="B4089" i="1"/>
  <c r="A4090" i="1"/>
  <c r="B4090" i="1"/>
  <c r="A4091" i="1"/>
  <c r="B4091" i="1"/>
  <c r="A4092" i="1"/>
  <c r="B4092" i="1"/>
  <c r="A4093" i="1"/>
  <c r="B4093" i="1"/>
  <c r="A4094" i="1"/>
  <c r="B4094" i="1"/>
  <c r="A4095" i="1"/>
  <c r="B4095" i="1"/>
  <c r="A4096" i="1"/>
  <c r="B4096" i="1"/>
  <c r="A4097" i="1"/>
  <c r="B4097" i="1"/>
  <c r="A4098" i="1"/>
  <c r="B4098" i="1"/>
  <c r="A4099" i="1"/>
  <c r="B4099" i="1"/>
  <c r="A4100" i="1"/>
  <c r="B4100" i="1"/>
  <c r="A4101" i="1"/>
  <c r="B4101" i="1"/>
  <c r="A4102" i="1"/>
  <c r="B4102" i="1"/>
  <c r="A4103" i="1"/>
  <c r="B4103" i="1"/>
  <c r="A4104" i="1"/>
  <c r="B4104" i="1"/>
  <c r="A4105" i="1"/>
  <c r="B4105" i="1"/>
  <c r="A4106" i="1"/>
  <c r="B4106" i="1"/>
  <c r="A4107" i="1"/>
  <c r="B4107" i="1"/>
  <c r="A4108" i="1"/>
  <c r="B4108" i="1"/>
  <c r="A4109" i="1"/>
  <c r="B4109" i="1"/>
  <c r="A4110" i="1"/>
  <c r="B4110" i="1"/>
  <c r="A4111" i="1"/>
  <c r="B4111" i="1"/>
  <c r="A4112" i="1"/>
  <c r="B4112" i="1"/>
  <c r="A4113" i="1"/>
  <c r="B4113" i="1"/>
  <c r="A4114" i="1"/>
  <c r="B4114" i="1"/>
  <c r="A4115" i="1"/>
  <c r="B4115" i="1"/>
  <c r="A4116" i="1"/>
  <c r="B4116" i="1"/>
  <c r="A4117" i="1"/>
  <c r="B4117" i="1"/>
  <c r="A4118" i="1"/>
  <c r="B4118" i="1"/>
  <c r="A4119" i="1"/>
  <c r="B4119" i="1"/>
  <c r="A4120" i="1"/>
  <c r="B4120" i="1"/>
  <c r="A4121" i="1"/>
  <c r="B4121" i="1"/>
  <c r="A4122" i="1"/>
  <c r="B4122" i="1"/>
  <c r="A4123" i="1"/>
  <c r="B4123" i="1"/>
  <c r="A4124" i="1"/>
  <c r="B4124" i="1"/>
  <c r="A4125" i="1"/>
  <c r="B4125" i="1"/>
  <c r="A4126" i="1"/>
  <c r="B4126" i="1"/>
  <c r="A4127" i="1"/>
  <c r="B4127" i="1"/>
  <c r="A4128" i="1"/>
  <c r="B4128" i="1"/>
  <c r="A4129" i="1"/>
  <c r="B4129" i="1"/>
  <c r="A4130" i="1"/>
  <c r="B4130" i="1"/>
  <c r="A4131" i="1"/>
  <c r="B4131" i="1"/>
  <c r="A4132" i="1"/>
  <c r="B4132" i="1"/>
  <c r="A4133" i="1"/>
  <c r="B4133" i="1"/>
  <c r="A4134" i="1"/>
  <c r="B4134" i="1"/>
  <c r="A4135" i="1"/>
  <c r="B4135" i="1"/>
  <c r="A4136" i="1"/>
  <c r="B4136" i="1"/>
  <c r="A4137" i="1"/>
  <c r="B4137" i="1"/>
  <c r="A4138" i="1"/>
  <c r="B4138" i="1"/>
  <c r="A4139" i="1"/>
  <c r="B4139" i="1"/>
  <c r="A4140" i="1"/>
  <c r="B4140" i="1"/>
  <c r="A4141" i="1"/>
  <c r="B4141" i="1"/>
  <c r="A4142" i="1"/>
  <c r="B4142" i="1"/>
  <c r="A4143" i="1"/>
  <c r="B4143" i="1"/>
  <c r="A4144" i="1"/>
  <c r="B4144" i="1"/>
  <c r="A4145" i="1"/>
  <c r="B4145" i="1"/>
  <c r="A4146" i="1"/>
  <c r="B4146" i="1"/>
  <c r="A4147" i="1"/>
  <c r="B4147" i="1"/>
  <c r="A4148" i="1"/>
  <c r="B4148" i="1"/>
  <c r="A4149" i="1"/>
  <c r="B4149" i="1"/>
  <c r="A4150" i="1"/>
  <c r="B4150" i="1"/>
  <c r="A4151" i="1"/>
  <c r="B4151" i="1"/>
  <c r="A4152" i="1"/>
  <c r="B4152" i="1"/>
  <c r="A4153" i="1"/>
  <c r="B4153" i="1"/>
  <c r="A4154" i="1"/>
  <c r="B4154" i="1"/>
  <c r="A4155" i="1"/>
  <c r="B4155" i="1"/>
  <c r="A4156" i="1"/>
  <c r="B4156" i="1"/>
  <c r="A4157" i="1"/>
  <c r="B4157" i="1"/>
  <c r="A4158" i="1"/>
  <c r="B4158" i="1"/>
  <c r="A4159" i="1"/>
  <c r="B4159" i="1"/>
  <c r="A4160" i="1"/>
  <c r="B4160" i="1"/>
  <c r="A4161" i="1"/>
  <c r="B4161" i="1"/>
  <c r="A4162" i="1"/>
  <c r="B4162" i="1"/>
  <c r="A4163" i="1"/>
  <c r="B4163" i="1"/>
  <c r="A4164" i="1"/>
  <c r="B4164" i="1"/>
  <c r="A4165" i="1"/>
  <c r="B4165" i="1"/>
  <c r="A4166" i="1"/>
  <c r="B4166" i="1"/>
  <c r="A4167" i="1"/>
  <c r="B4167" i="1"/>
  <c r="A4168" i="1"/>
  <c r="B4168" i="1"/>
  <c r="A4169" i="1"/>
  <c r="B4169" i="1"/>
  <c r="A4170" i="1"/>
  <c r="B4170" i="1"/>
  <c r="A4171" i="1"/>
  <c r="B4171" i="1"/>
  <c r="A4172" i="1"/>
  <c r="B4172" i="1"/>
  <c r="A4173" i="1"/>
  <c r="B4173" i="1"/>
  <c r="A4174" i="1"/>
  <c r="B4174" i="1"/>
  <c r="A4175" i="1"/>
  <c r="B4175" i="1"/>
  <c r="A4176" i="1"/>
  <c r="B4176" i="1"/>
  <c r="A4177" i="1"/>
  <c r="B4177" i="1"/>
  <c r="A4178" i="1"/>
  <c r="B4178" i="1"/>
  <c r="A4179" i="1"/>
  <c r="B4179" i="1"/>
  <c r="A4180" i="1"/>
  <c r="B4180" i="1"/>
  <c r="A4181" i="1"/>
  <c r="B4181" i="1"/>
  <c r="A4182" i="1"/>
  <c r="B4182" i="1"/>
  <c r="A4183" i="1"/>
  <c r="B4183" i="1"/>
  <c r="A4184" i="1"/>
  <c r="B4184" i="1"/>
  <c r="A4185" i="1"/>
  <c r="B4185" i="1"/>
  <c r="A4186" i="1"/>
  <c r="B4186" i="1"/>
  <c r="A4187" i="1"/>
  <c r="B4187" i="1"/>
  <c r="A4188" i="1"/>
  <c r="B4188" i="1"/>
  <c r="A4189" i="1"/>
  <c r="B4189" i="1"/>
  <c r="A4190" i="1"/>
  <c r="B4190" i="1"/>
  <c r="A4191" i="1"/>
  <c r="B4191" i="1"/>
  <c r="A4192" i="1"/>
  <c r="B4192" i="1"/>
  <c r="A4193" i="1"/>
  <c r="B4193" i="1"/>
  <c r="A4194" i="1"/>
  <c r="B4194" i="1"/>
  <c r="A4195" i="1"/>
  <c r="B4195" i="1"/>
  <c r="A4196" i="1"/>
  <c r="B4196" i="1"/>
  <c r="A4197" i="1"/>
  <c r="B4197" i="1"/>
  <c r="A4198" i="1"/>
  <c r="B4198" i="1"/>
  <c r="A4199" i="1"/>
  <c r="B4199" i="1"/>
  <c r="A4200" i="1"/>
  <c r="B4200" i="1"/>
  <c r="A4201" i="1"/>
  <c r="B4201" i="1"/>
  <c r="A4202" i="1"/>
  <c r="B4202" i="1"/>
  <c r="A4203" i="1"/>
  <c r="B4203" i="1"/>
  <c r="A4204" i="1"/>
  <c r="B4204" i="1"/>
  <c r="A4205" i="1"/>
  <c r="B4205" i="1"/>
  <c r="A4206" i="1"/>
  <c r="B4206" i="1"/>
  <c r="A4207" i="1"/>
  <c r="B4207" i="1"/>
  <c r="A4208" i="1"/>
  <c r="B4208" i="1"/>
  <c r="A4209" i="1"/>
  <c r="B4209" i="1"/>
  <c r="A4210" i="1"/>
  <c r="B4210" i="1"/>
  <c r="A4211" i="1"/>
  <c r="B4211" i="1"/>
  <c r="A4212" i="1"/>
  <c r="B4212" i="1"/>
  <c r="A4213" i="1"/>
  <c r="B4213" i="1"/>
  <c r="A4214" i="1"/>
  <c r="B4214" i="1"/>
  <c r="A4215" i="1"/>
  <c r="B4215" i="1"/>
  <c r="A4216" i="1"/>
  <c r="B4216" i="1"/>
  <c r="A4217" i="1"/>
  <c r="B4217" i="1"/>
  <c r="A4218" i="1"/>
  <c r="B4218" i="1"/>
  <c r="A4219" i="1"/>
  <c r="B4219" i="1"/>
  <c r="A4220" i="1"/>
  <c r="B4220" i="1"/>
  <c r="A4221" i="1"/>
  <c r="B4221" i="1"/>
  <c r="A4222" i="1"/>
  <c r="B4222" i="1"/>
  <c r="A4223" i="1"/>
  <c r="B4223" i="1"/>
  <c r="A4224" i="1"/>
  <c r="B4224" i="1"/>
  <c r="A4225" i="1"/>
  <c r="B4225" i="1"/>
  <c r="A4226" i="1"/>
  <c r="B4226" i="1"/>
  <c r="A4227" i="1"/>
  <c r="B4227" i="1"/>
  <c r="A4228" i="1"/>
  <c r="B4228" i="1"/>
  <c r="A4229" i="1"/>
  <c r="B4229" i="1"/>
  <c r="A4230" i="1"/>
  <c r="B4230" i="1"/>
  <c r="A4231" i="1"/>
  <c r="B4231" i="1"/>
  <c r="A4232" i="1"/>
  <c r="B4232" i="1"/>
  <c r="A4233" i="1"/>
  <c r="B4233" i="1"/>
  <c r="A4234" i="1"/>
  <c r="B4234" i="1"/>
  <c r="A4235" i="1"/>
  <c r="B4235" i="1"/>
  <c r="A4236" i="1"/>
  <c r="B4236" i="1"/>
  <c r="A4237" i="1"/>
  <c r="B4237" i="1"/>
  <c r="A4238" i="1"/>
  <c r="B4238" i="1"/>
  <c r="A4239" i="1"/>
  <c r="B4239" i="1"/>
  <c r="A4240" i="1"/>
  <c r="B4240" i="1"/>
  <c r="A4241" i="1"/>
  <c r="B4241" i="1"/>
  <c r="A4242" i="1"/>
  <c r="B4242" i="1"/>
  <c r="A4243" i="1"/>
  <c r="B4243" i="1"/>
  <c r="A4244" i="1"/>
  <c r="B4244" i="1"/>
  <c r="A4245" i="1"/>
  <c r="B4245" i="1"/>
  <c r="A4246" i="1"/>
  <c r="B4246" i="1"/>
  <c r="A4247" i="1"/>
  <c r="B4247" i="1"/>
  <c r="A4248" i="1"/>
  <c r="B4248" i="1"/>
  <c r="A4249" i="1"/>
  <c r="B4249" i="1"/>
  <c r="A4250" i="1"/>
  <c r="B4250" i="1"/>
  <c r="A4251" i="1"/>
  <c r="B4251" i="1"/>
  <c r="A4252" i="1"/>
  <c r="B4252" i="1"/>
  <c r="A4253" i="1"/>
  <c r="B4253" i="1"/>
  <c r="A4254" i="1"/>
  <c r="B4254" i="1"/>
  <c r="A4255" i="1"/>
  <c r="B4255" i="1"/>
  <c r="A4256" i="1"/>
  <c r="B4256" i="1"/>
  <c r="A4257" i="1"/>
  <c r="B4257" i="1"/>
  <c r="A4258" i="1"/>
  <c r="B4258" i="1"/>
  <c r="A4259" i="1"/>
  <c r="B4259" i="1"/>
  <c r="A4260" i="1"/>
  <c r="B4260" i="1"/>
  <c r="A4261" i="1"/>
  <c r="B4261" i="1"/>
  <c r="A4262" i="1"/>
  <c r="B4262" i="1"/>
  <c r="A4263" i="1"/>
  <c r="B4263" i="1"/>
  <c r="A4264" i="1"/>
  <c r="B4264" i="1"/>
  <c r="A4265" i="1"/>
  <c r="B4265" i="1"/>
  <c r="A4266" i="1"/>
  <c r="B4266" i="1"/>
  <c r="A4267" i="1"/>
  <c r="B4267" i="1"/>
  <c r="A4268" i="1"/>
  <c r="B4268" i="1"/>
  <c r="A4269" i="1"/>
  <c r="B4269" i="1"/>
  <c r="A4270" i="1"/>
  <c r="B4270" i="1"/>
  <c r="A4271" i="1"/>
  <c r="B4271" i="1"/>
  <c r="A4272" i="1"/>
  <c r="B4272" i="1"/>
  <c r="A4273" i="1"/>
  <c r="B4273" i="1"/>
  <c r="A4274" i="1"/>
  <c r="B4274" i="1"/>
  <c r="A4275" i="1"/>
  <c r="B4275" i="1"/>
  <c r="A4276" i="1"/>
  <c r="B4276" i="1"/>
  <c r="A4277" i="1"/>
  <c r="B4277" i="1"/>
  <c r="A4278" i="1"/>
  <c r="B4278" i="1"/>
  <c r="A4279" i="1"/>
  <c r="B4279" i="1"/>
  <c r="A4280" i="1"/>
  <c r="B4280" i="1"/>
  <c r="A4281" i="1"/>
  <c r="B4281" i="1"/>
  <c r="A4282" i="1"/>
  <c r="B4282" i="1"/>
  <c r="A4283" i="1"/>
  <c r="B4283" i="1"/>
  <c r="A4284" i="1"/>
  <c r="B4284" i="1"/>
  <c r="A4285" i="1"/>
  <c r="B4285" i="1"/>
  <c r="A4286" i="1"/>
  <c r="B4286" i="1"/>
  <c r="A4287" i="1"/>
  <c r="B4287" i="1"/>
  <c r="A4288" i="1"/>
  <c r="B4288" i="1"/>
  <c r="A4289" i="1"/>
  <c r="B4289" i="1"/>
  <c r="A4290" i="1"/>
  <c r="B4290" i="1"/>
  <c r="A4291" i="1"/>
  <c r="B4291" i="1"/>
  <c r="A4292" i="1"/>
  <c r="B4292" i="1"/>
  <c r="A4293" i="1"/>
  <c r="B4293" i="1"/>
  <c r="A4294" i="1"/>
  <c r="B4294" i="1"/>
  <c r="A4295" i="1"/>
  <c r="B4295" i="1"/>
  <c r="A4296" i="1"/>
  <c r="B4296" i="1"/>
  <c r="A4297" i="1"/>
  <c r="B4297" i="1"/>
  <c r="A4298" i="1"/>
  <c r="B4298" i="1"/>
  <c r="A4299" i="1"/>
  <c r="B4299" i="1"/>
  <c r="A4300" i="1"/>
  <c r="B4300" i="1"/>
  <c r="A4301" i="1"/>
  <c r="B4301" i="1"/>
  <c r="A4302" i="1"/>
  <c r="B4302" i="1"/>
  <c r="A4303" i="1"/>
  <c r="B4303" i="1"/>
  <c r="A4304" i="1"/>
  <c r="B4304" i="1"/>
  <c r="A4305" i="1"/>
  <c r="B4305" i="1"/>
  <c r="A4306" i="1"/>
  <c r="B4306" i="1"/>
  <c r="A4307" i="1"/>
  <c r="B4307" i="1"/>
  <c r="A4308" i="1"/>
  <c r="B4308" i="1"/>
  <c r="A4309" i="1"/>
  <c r="B4309" i="1"/>
  <c r="A4310" i="1"/>
  <c r="B4310" i="1"/>
  <c r="A4311" i="1"/>
  <c r="B4311" i="1"/>
  <c r="A4312" i="1"/>
  <c r="B4312" i="1"/>
  <c r="A4313" i="1"/>
  <c r="B4313" i="1"/>
  <c r="A4314" i="1"/>
  <c r="B4314" i="1"/>
  <c r="A4315" i="1"/>
  <c r="B4315" i="1"/>
  <c r="A4316" i="1"/>
  <c r="B4316" i="1"/>
  <c r="A4317" i="1"/>
  <c r="B4317" i="1"/>
  <c r="A4318" i="1"/>
  <c r="B4318" i="1"/>
  <c r="A4319" i="1"/>
  <c r="B4319" i="1"/>
  <c r="A4320" i="1"/>
  <c r="B4320" i="1"/>
  <c r="A4321" i="1"/>
  <c r="B4321" i="1"/>
  <c r="A4322" i="1"/>
  <c r="B4322" i="1"/>
  <c r="A4323" i="1"/>
  <c r="B4323" i="1"/>
  <c r="A4324" i="1"/>
  <c r="B4324" i="1"/>
  <c r="A4325" i="1"/>
  <c r="B4325" i="1"/>
  <c r="A4326" i="1"/>
  <c r="B4326" i="1"/>
  <c r="A4327" i="1"/>
  <c r="B4327" i="1"/>
  <c r="A4328" i="1"/>
  <c r="B4328" i="1"/>
  <c r="A4329" i="1"/>
  <c r="B4329" i="1"/>
  <c r="A4330" i="1"/>
  <c r="B4330" i="1"/>
  <c r="A4331" i="1"/>
  <c r="B4331" i="1"/>
  <c r="A4332" i="1"/>
  <c r="B4332" i="1"/>
  <c r="A4333" i="1"/>
  <c r="B4333" i="1"/>
  <c r="A4334" i="1"/>
  <c r="B4334" i="1"/>
  <c r="A4335" i="1"/>
  <c r="B4335" i="1"/>
  <c r="A4336" i="1"/>
  <c r="B4336" i="1"/>
  <c r="A4337" i="1"/>
  <c r="B4337" i="1"/>
  <c r="A4338" i="1"/>
  <c r="B4338" i="1"/>
  <c r="A4339" i="1"/>
  <c r="B4339" i="1"/>
  <c r="A4340" i="1"/>
  <c r="B4340" i="1"/>
  <c r="A4341" i="1"/>
  <c r="B4341" i="1"/>
  <c r="A4342" i="1"/>
  <c r="B4342" i="1"/>
  <c r="A4343" i="1"/>
  <c r="B4343" i="1"/>
  <c r="A4344" i="1"/>
  <c r="B4344" i="1"/>
  <c r="A4345" i="1"/>
  <c r="B4345" i="1"/>
  <c r="A4346" i="1"/>
  <c r="B4346" i="1"/>
  <c r="A4347" i="1"/>
  <c r="B4347" i="1"/>
  <c r="A4348" i="1"/>
  <c r="B4348" i="1"/>
  <c r="A4349" i="1"/>
  <c r="B4349" i="1"/>
  <c r="A4350" i="1"/>
  <c r="B4350" i="1"/>
  <c r="A4351" i="1"/>
  <c r="B4351" i="1"/>
  <c r="A4352" i="1"/>
  <c r="B4352" i="1"/>
  <c r="A4353" i="1"/>
  <c r="B4353" i="1"/>
  <c r="A4354" i="1"/>
  <c r="B4354" i="1"/>
  <c r="A4355" i="1"/>
  <c r="B4355" i="1"/>
  <c r="A4356" i="1"/>
  <c r="B4356" i="1"/>
  <c r="A4357" i="1"/>
  <c r="B4357" i="1"/>
  <c r="A4358" i="1"/>
  <c r="B4358" i="1"/>
  <c r="A4359" i="1"/>
  <c r="B4359" i="1"/>
  <c r="A4360" i="1"/>
  <c r="B4360" i="1"/>
  <c r="A4361" i="1"/>
  <c r="B4361" i="1"/>
  <c r="A4362" i="1"/>
  <c r="B4362" i="1"/>
  <c r="A4363" i="1"/>
  <c r="B4363" i="1"/>
  <c r="A4364" i="1"/>
  <c r="B4364" i="1"/>
  <c r="A4365" i="1"/>
  <c r="B4365" i="1"/>
  <c r="A4366" i="1"/>
  <c r="B4366" i="1"/>
  <c r="A4367" i="1"/>
  <c r="B4367" i="1"/>
  <c r="A4368" i="1"/>
  <c r="B4368" i="1"/>
  <c r="A4369" i="1"/>
  <c r="B4369" i="1"/>
  <c r="A4370" i="1"/>
  <c r="B4370" i="1"/>
  <c r="A4371" i="1"/>
  <c r="B4371" i="1"/>
  <c r="A4372" i="1"/>
  <c r="B4372" i="1"/>
  <c r="A4373" i="1"/>
  <c r="B4373" i="1"/>
  <c r="A4374" i="1"/>
  <c r="B4374" i="1"/>
  <c r="A4375" i="1"/>
  <c r="B4375" i="1"/>
  <c r="A4376" i="1"/>
  <c r="B4376" i="1"/>
  <c r="A4377" i="1"/>
  <c r="B4377" i="1"/>
  <c r="A4378" i="1"/>
  <c r="B4378" i="1"/>
  <c r="A4379" i="1"/>
  <c r="B4379" i="1"/>
  <c r="A4380" i="1"/>
  <c r="B4380" i="1"/>
  <c r="A4381" i="1"/>
  <c r="B4381" i="1"/>
  <c r="A4382" i="1"/>
  <c r="B4382" i="1"/>
  <c r="A4383" i="1"/>
  <c r="B4383" i="1"/>
  <c r="A4384" i="1"/>
  <c r="B4384" i="1"/>
  <c r="A4385" i="1"/>
  <c r="B4385" i="1"/>
  <c r="A4386" i="1"/>
  <c r="B4386" i="1"/>
  <c r="A4387" i="1"/>
  <c r="B4387" i="1"/>
  <c r="A4388" i="1"/>
  <c r="B4388" i="1"/>
  <c r="A4389" i="1"/>
  <c r="B4389" i="1"/>
  <c r="A4390" i="1"/>
  <c r="B4390" i="1"/>
  <c r="A4391" i="1"/>
  <c r="B4391" i="1"/>
  <c r="A4392" i="1"/>
  <c r="B4392" i="1"/>
  <c r="A4393" i="1"/>
  <c r="B4393" i="1"/>
  <c r="A4394" i="1"/>
  <c r="B4394" i="1"/>
  <c r="A4395" i="1"/>
  <c r="B4395" i="1"/>
  <c r="A4396" i="1"/>
  <c r="B4396" i="1"/>
  <c r="A4397" i="1"/>
  <c r="B4397" i="1"/>
  <c r="A4398" i="1"/>
  <c r="B4398" i="1"/>
  <c r="A4399" i="1"/>
  <c r="B4399" i="1"/>
  <c r="A4400" i="1"/>
  <c r="B4400" i="1"/>
  <c r="A4401" i="1"/>
  <c r="B4401" i="1"/>
  <c r="A4402" i="1"/>
  <c r="B4402" i="1"/>
  <c r="A4403" i="1"/>
  <c r="B4403" i="1"/>
  <c r="A4404" i="1"/>
  <c r="B4404" i="1"/>
  <c r="A4405" i="1"/>
  <c r="B4405" i="1"/>
  <c r="A4406" i="1"/>
  <c r="B4406" i="1"/>
  <c r="A4407" i="1"/>
  <c r="B4407" i="1"/>
  <c r="A4408" i="1"/>
  <c r="B4408" i="1"/>
  <c r="A4409" i="1"/>
  <c r="B4409" i="1"/>
  <c r="A4410" i="1"/>
  <c r="B4410" i="1"/>
  <c r="A4411" i="1"/>
  <c r="B4411" i="1"/>
  <c r="A4412" i="1"/>
  <c r="B4412" i="1"/>
  <c r="A4413" i="1"/>
  <c r="B4413" i="1"/>
  <c r="A4414" i="1"/>
  <c r="B4414" i="1"/>
  <c r="A4415" i="1"/>
  <c r="B4415" i="1"/>
  <c r="A4416" i="1"/>
  <c r="B4416" i="1"/>
  <c r="A4417" i="1"/>
  <c r="B4417" i="1"/>
  <c r="A4418" i="1"/>
  <c r="B4418" i="1"/>
  <c r="A4419" i="1"/>
  <c r="B4419" i="1"/>
  <c r="A4420" i="1"/>
  <c r="B4420" i="1"/>
  <c r="A4421" i="1"/>
  <c r="B4421" i="1"/>
  <c r="A4422" i="1"/>
  <c r="B4422" i="1"/>
  <c r="A4423" i="1"/>
  <c r="B4423" i="1"/>
  <c r="A4424" i="1"/>
  <c r="B4424" i="1"/>
  <c r="A4425" i="1"/>
  <c r="B4425" i="1"/>
  <c r="A4426" i="1"/>
  <c r="B4426" i="1"/>
  <c r="A4427" i="1"/>
  <c r="B4427" i="1"/>
  <c r="A4428" i="1"/>
  <c r="B4428" i="1"/>
  <c r="A4429" i="1"/>
  <c r="B4429" i="1"/>
  <c r="A4430" i="1"/>
  <c r="B4430" i="1"/>
  <c r="A4431" i="1"/>
  <c r="B4431" i="1"/>
  <c r="A4432" i="1"/>
  <c r="B4432" i="1"/>
  <c r="A4433" i="1"/>
  <c r="B4433" i="1"/>
  <c r="A4434" i="1"/>
  <c r="B4434" i="1"/>
  <c r="A4435" i="1"/>
  <c r="B4435" i="1"/>
  <c r="A4436" i="1"/>
  <c r="B4436" i="1"/>
  <c r="A4437" i="1"/>
  <c r="B4437" i="1"/>
  <c r="A4438" i="1"/>
  <c r="B4438" i="1"/>
  <c r="A4439" i="1"/>
  <c r="B4439" i="1"/>
  <c r="A4440" i="1"/>
  <c r="B4440" i="1"/>
  <c r="A4441" i="1"/>
  <c r="B4441" i="1"/>
  <c r="A4442" i="1"/>
  <c r="B4442" i="1"/>
  <c r="A4443" i="1"/>
  <c r="B4443" i="1"/>
  <c r="A4444" i="1"/>
  <c r="B4444" i="1"/>
  <c r="A4445" i="1"/>
  <c r="B4445" i="1"/>
  <c r="A4446" i="1"/>
  <c r="B4446" i="1"/>
  <c r="A4447" i="1"/>
  <c r="B4447" i="1"/>
  <c r="A4448" i="1"/>
  <c r="B4448" i="1"/>
  <c r="A4449" i="1"/>
  <c r="B4449" i="1"/>
  <c r="A4450" i="1"/>
  <c r="B4450" i="1"/>
  <c r="A4451" i="1"/>
  <c r="B4451" i="1"/>
  <c r="A4452" i="1"/>
  <c r="B4452" i="1"/>
  <c r="A4453" i="1"/>
  <c r="B4453" i="1"/>
  <c r="A4454" i="1"/>
  <c r="B4454" i="1"/>
  <c r="A4455" i="1"/>
  <c r="B4455" i="1"/>
  <c r="A4456" i="1"/>
  <c r="B4456" i="1"/>
  <c r="A4457" i="1"/>
  <c r="B4457" i="1"/>
  <c r="A4458" i="1"/>
  <c r="B4458" i="1"/>
  <c r="A4459" i="1"/>
  <c r="B4459" i="1"/>
  <c r="A4460" i="1"/>
  <c r="B4460" i="1"/>
  <c r="A4461" i="1"/>
  <c r="B4461" i="1"/>
  <c r="A4462" i="1"/>
  <c r="B4462" i="1"/>
  <c r="A4463" i="1"/>
  <c r="B4463" i="1"/>
  <c r="A4464" i="1"/>
  <c r="B4464" i="1"/>
  <c r="A4465" i="1"/>
  <c r="B4465" i="1"/>
  <c r="A4466" i="1"/>
  <c r="B4466" i="1"/>
  <c r="A4467" i="1"/>
  <c r="B4467" i="1"/>
  <c r="A4468" i="1"/>
  <c r="B4468" i="1"/>
  <c r="A4469" i="1"/>
  <c r="B4469" i="1"/>
  <c r="A4470" i="1"/>
  <c r="B4470" i="1"/>
  <c r="A4471" i="1"/>
  <c r="B4471" i="1"/>
  <c r="A4472" i="1"/>
  <c r="B4472" i="1"/>
  <c r="A4473" i="1"/>
  <c r="B4473" i="1"/>
  <c r="A4474" i="1"/>
  <c r="B4474" i="1"/>
  <c r="A4475" i="1"/>
  <c r="B4475" i="1"/>
  <c r="A4476" i="1"/>
  <c r="B4476" i="1"/>
  <c r="A4477" i="1"/>
  <c r="B4477" i="1"/>
  <c r="A4478" i="1"/>
  <c r="B4478" i="1"/>
  <c r="A4479" i="1"/>
  <c r="B4479" i="1"/>
  <c r="A4480" i="1"/>
  <c r="B4480" i="1"/>
  <c r="A4481" i="1"/>
  <c r="B4481" i="1"/>
  <c r="A4482" i="1"/>
  <c r="B4482" i="1"/>
  <c r="A4483" i="1"/>
  <c r="B4483" i="1"/>
  <c r="A4484" i="1"/>
  <c r="B4484" i="1"/>
  <c r="A4485" i="1"/>
  <c r="B4485" i="1"/>
  <c r="A4486" i="1"/>
  <c r="B4486" i="1"/>
  <c r="A4487" i="1"/>
  <c r="B4487" i="1"/>
  <c r="A4488" i="1"/>
  <c r="B4488" i="1"/>
  <c r="A4489" i="1"/>
  <c r="B4489" i="1"/>
  <c r="A4490" i="1"/>
  <c r="B4490" i="1"/>
  <c r="A4491" i="1"/>
  <c r="B4491" i="1"/>
  <c r="A4492" i="1"/>
  <c r="B4492" i="1"/>
  <c r="A4493" i="1"/>
  <c r="B4493" i="1"/>
  <c r="A4494" i="1"/>
  <c r="B4494" i="1"/>
  <c r="A4495" i="1"/>
  <c r="B4495" i="1"/>
  <c r="A4496" i="1"/>
  <c r="B4496" i="1"/>
  <c r="A4497" i="1"/>
  <c r="B4497" i="1"/>
  <c r="A4498" i="1"/>
  <c r="B4498" i="1"/>
  <c r="A4499" i="1"/>
  <c r="B4499" i="1"/>
  <c r="A4500" i="1"/>
  <c r="B4500" i="1"/>
  <c r="A4501" i="1"/>
  <c r="B4501" i="1"/>
  <c r="A4502" i="1"/>
  <c r="B4502" i="1"/>
  <c r="A4503" i="1"/>
  <c r="B4503" i="1"/>
  <c r="A4504" i="1"/>
  <c r="B4504" i="1"/>
  <c r="A4505" i="1"/>
  <c r="B4505" i="1"/>
  <c r="A4506" i="1"/>
  <c r="B4506" i="1"/>
  <c r="A4507" i="1"/>
  <c r="B4507" i="1"/>
  <c r="A4508" i="1"/>
  <c r="B4508" i="1"/>
  <c r="A4509" i="1"/>
  <c r="B4509" i="1"/>
  <c r="A4510" i="1"/>
  <c r="B4510" i="1"/>
  <c r="A4511" i="1"/>
  <c r="B4511" i="1"/>
  <c r="A4512" i="1"/>
  <c r="B4512" i="1"/>
  <c r="A4513" i="1"/>
  <c r="B4513" i="1"/>
  <c r="A4514" i="1"/>
  <c r="B4514" i="1"/>
  <c r="A4515" i="1"/>
  <c r="B4515" i="1"/>
  <c r="A4516" i="1"/>
  <c r="B4516" i="1"/>
  <c r="A4517" i="1"/>
  <c r="B4517" i="1"/>
  <c r="A4518" i="1"/>
  <c r="B4518" i="1"/>
  <c r="A4519" i="1"/>
  <c r="B4519" i="1"/>
  <c r="A4520" i="1"/>
  <c r="B4520" i="1"/>
  <c r="A4521" i="1"/>
  <c r="B4521" i="1"/>
  <c r="A4522" i="1"/>
  <c r="B4522" i="1"/>
  <c r="A4523" i="1"/>
  <c r="B4523" i="1"/>
  <c r="A4524" i="1"/>
  <c r="B4524" i="1"/>
  <c r="A4525" i="1"/>
  <c r="B4525" i="1"/>
  <c r="A4526" i="1"/>
  <c r="B4526" i="1"/>
  <c r="A4527" i="1"/>
  <c r="B4527" i="1"/>
  <c r="A4528" i="1"/>
  <c r="B4528" i="1"/>
  <c r="A4529" i="1"/>
  <c r="B4529" i="1"/>
  <c r="A4530" i="1"/>
  <c r="B4530" i="1"/>
  <c r="A4531" i="1"/>
  <c r="B4531" i="1"/>
  <c r="A4532" i="1"/>
  <c r="B4532" i="1"/>
  <c r="A4533" i="1"/>
  <c r="B4533" i="1"/>
  <c r="A4534" i="1"/>
  <c r="B4534" i="1"/>
  <c r="A4535" i="1"/>
  <c r="B4535" i="1"/>
  <c r="A4536" i="1"/>
  <c r="B4536" i="1"/>
  <c r="A4537" i="1"/>
  <c r="B4537" i="1"/>
  <c r="A4538" i="1"/>
  <c r="B4538" i="1"/>
  <c r="A4539" i="1"/>
  <c r="B4539" i="1"/>
  <c r="A4540" i="1"/>
  <c r="B4540" i="1"/>
  <c r="A4541" i="1"/>
  <c r="B4541" i="1"/>
  <c r="A4542" i="1"/>
  <c r="B4542" i="1"/>
  <c r="A4543" i="1"/>
  <c r="B4543" i="1"/>
  <c r="A4544" i="1"/>
  <c r="B4544" i="1"/>
  <c r="A4545" i="1"/>
  <c r="B4545" i="1"/>
  <c r="A4546" i="1"/>
  <c r="B4546" i="1"/>
  <c r="A4547" i="1"/>
  <c r="B4547" i="1"/>
  <c r="A4548" i="1"/>
  <c r="B4548" i="1"/>
  <c r="A4549" i="1"/>
  <c r="B4549" i="1"/>
  <c r="A4550" i="1"/>
  <c r="B4550" i="1"/>
  <c r="A4551" i="1"/>
  <c r="B4551" i="1"/>
  <c r="A4552" i="1"/>
  <c r="B4552" i="1"/>
  <c r="A4553" i="1"/>
  <c r="B4553" i="1"/>
  <c r="A4554" i="1"/>
  <c r="B4554" i="1"/>
  <c r="A4555" i="1"/>
  <c r="B4555" i="1"/>
  <c r="A4556" i="1"/>
  <c r="B4556" i="1"/>
  <c r="A4557" i="1"/>
  <c r="B4557" i="1"/>
  <c r="A4558" i="1"/>
  <c r="B4558" i="1"/>
  <c r="A4559" i="1"/>
  <c r="B4559" i="1"/>
  <c r="A4560" i="1"/>
  <c r="B4560" i="1"/>
  <c r="A4561" i="1"/>
  <c r="B4561" i="1"/>
  <c r="A4562" i="1"/>
  <c r="B4562" i="1"/>
  <c r="A4563" i="1"/>
  <c r="B4563" i="1"/>
  <c r="A4564" i="1"/>
  <c r="B4564" i="1"/>
  <c r="A4565" i="1"/>
  <c r="B4565" i="1"/>
  <c r="A4566" i="1"/>
  <c r="B4566" i="1"/>
  <c r="A4567" i="1"/>
  <c r="B4567" i="1"/>
  <c r="A4568" i="1"/>
  <c r="B4568" i="1"/>
  <c r="A4569" i="1"/>
  <c r="B4569" i="1"/>
  <c r="A4570" i="1"/>
  <c r="B4570" i="1"/>
  <c r="A4571" i="1"/>
  <c r="B4571" i="1"/>
  <c r="A4572" i="1"/>
  <c r="B4572" i="1"/>
  <c r="A4573" i="1"/>
  <c r="B4573" i="1"/>
  <c r="A4574" i="1"/>
  <c r="B4574" i="1"/>
  <c r="A4575" i="1"/>
  <c r="B4575" i="1"/>
  <c r="A4576" i="1"/>
  <c r="B4576" i="1"/>
  <c r="A4577" i="1"/>
  <c r="B4577" i="1"/>
  <c r="A4578" i="1"/>
  <c r="B4578" i="1"/>
  <c r="A4579" i="1"/>
  <c r="B4579" i="1"/>
  <c r="A4580" i="1"/>
  <c r="B4580" i="1"/>
  <c r="A4581" i="1"/>
  <c r="B4581" i="1"/>
  <c r="A4582" i="1"/>
  <c r="B4582" i="1"/>
  <c r="A4583" i="1"/>
  <c r="B4583" i="1"/>
  <c r="A4584" i="1"/>
  <c r="B4584" i="1"/>
  <c r="A4585" i="1"/>
  <c r="B4585" i="1"/>
  <c r="A4586" i="1"/>
  <c r="B4586" i="1"/>
  <c r="A4587" i="1"/>
  <c r="B4587" i="1"/>
  <c r="A4588" i="1"/>
  <c r="B4588" i="1"/>
  <c r="A4589" i="1"/>
  <c r="B4589" i="1"/>
  <c r="A4590" i="1"/>
  <c r="B4590" i="1"/>
  <c r="A4591" i="1"/>
  <c r="B4591" i="1"/>
  <c r="A4592" i="1"/>
  <c r="B4592" i="1"/>
  <c r="A4593" i="1"/>
  <c r="B4593" i="1"/>
  <c r="A4594" i="1"/>
  <c r="B4594" i="1"/>
  <c r="A4595" i="1"/>
  <c r="B4595" i="1"/>
  <c r="A4596" i="1"/>
  <c r="B4596" i="1"/>
  <c r="A4597" i="1"/>
  <c r="B4597" i="1"/>
  <c r="A4598" i="1"/>
  <c r="B4598" i="1"/>
  <c r="A4599" i="1"/>
  <c r="B4599" i="1"/>
  <c r="A4600" i="1"/>
  <c r="B4600" i="1"/>
  <c r="A4601" i="1"/>
  <c r="B4601" i="1"/>
  <c r="A4602" i="1"/>
  <c r="B4602" i="1"/>
  <c r="A4603" i="1"/>
  <c r="B4603" i="1"/>
  <c r="A4604" i="1"/>
  <c r="B4604" i="1"/>
  <c r="A4605" i="1"/>
  <c r="B4605" i="1"/>
  <c r="A4606" i="1"/>
  <c r="B4606" i="1"/>
  <c r="A4607" i="1"/>
  <c r="B4607" i="1"/>
  <c r="A4608" i="1"/>
  <c r="B4608" i="1"/>
  <c r="A4609" i="1"/>
  <c r="B4609" i="1"/>
  <c r="A4610" i="1"/>
  <c r="B4610" i="1"/>
  <c r="A4611" i="1"/>
  <c r="B4611" i="1"/>
  <c r="A4612" i="1"/>
  <c r="B4612" i="1"/>
  <c r="A4613" i="1"/>
  <c r="B4613" i="1"/>
  <c r="A4614" i="1"/>
  <c r="B4614" i="1"/>
  <c r="A4615" i="1"/>
  <c r="B4615" i="1"/>
  <c r="A4616" i="1"/>
  <c r="B4616" i="1"/>
  <c r="A4617" i="1"/>
  <c r="B4617" i="1"/>
  <c r="A4618" i="1"/>
  <c r="B4618" i="1"/>
  <c r="A4619" i="1"/>
  <c r="B4619" i="1"/>
  <c r="A4620" i="1"/>
  <c r="B4620" i="1"/>
  <c r="A4621" i="1"/>
  <c r="B4621" i="1"/>
  <c r="A4622" i="1"/>
  <c r="B4622" i="1"/>
  <c r="A4623" i="1"/>
  <c r="B4623" i="1"/>
  <c r="A4624" i="1"/>
  <c r="B4624" i="1"/>
  <c r="A4625" i="1"/>
  <c r="B4625" i="1"/>
  <c r="A4626" i="1"/>
  <c r="B4626" i="1"/>
  <c r="A4627" i="1"/>
  <c r="B4627" i="1"/>
  <c r="A4628" i="1"/>
  <c r="B4628" i="1"/>
  <c r="A4629" i="1"/>
  <c r="B4629" i="1"/>
  <c r="A4630" i="1"/>
  <c r="B4630" i="1"/>
  <c r="A4631" i="1"/>
  <c r="B4631" i="1"/>
  <c r="A4632" i="1"/>
  <c r="B4632" i="1"/>
  <c r="A4633" i="1"/>
  <c r="B4633" i="1"/>
  <c r="A4634" i="1"/>
  <c r="B4634" i="1"/>
  <c r="A4635" i="1"/>
  <c r="B4635" i="1"/>
  <c r="A4636" i="1"/>
  <c r="B4636" i="1"/>
  <c r="A4637" i="1"/>
  <c r="B4637" i="1"/>
  <c r="A4638" i="1"/>
  <c r="B4638" i="1"/>
  <c r="A4639" i="1"/>
  <c r="B4639" i="1"/>
  <c r="A4640" i="1"/>
  <c r="B4640" i="1"/>
  <c r="A4641" i="1"/>
  <c r="B4641" i="1"/>
  <c r="A4642" i="1"/>
  <c r="B4642" i="1"/>
  <c r="A4643" i="1"/>
  <c r="B4643" i="1"/>
  <c r="A4644" i="1"/>
  <c r="B4644" i="1"/>
  <c r="A4645" i="1"/>
  <c r="B4645" i="1"/>
  <c r="A4646" i="1"/>
  <c r="B4646" i="1"/>
  <c r="A4647" i="1"/>
  <c r="B4647" i="1"/>
  <c r="A4648" i="1"/>
  <c r="B4648" i="1"/>
  <c r="A4649" i="1"/>
  <c r="B4649" i="1"/>
  <c r="A4650" i="1"/>
  <c r="B4650" i="1"/>
  <c r="A4651" i="1"/>
  <c r="B4651" i="1"/>
  <c r="A4652" i="1"/>
  <c r="B4652" i="1"/>
  <c r="A4653" i="1"/>
  <c r="B4653" i="1"/>
  <c r="A4654" i="1"/>
  <c r="B4654" i="1"/>
  <c r="A4655" i="1"/>
  <c r="B4655" i="1"/>
  <c r="A4656" i="1"/>
  <c r="B4656" i="1"/>
  <c r="A4657" i="1"/>
  <c r="B4657" i="1"/>
  <c r="A4658" i="1"/>
  <c r="B4658" i="1"/>
  <c r="A4659" i="1"/>
  <c r="B4659" i="1"/>
  <c r="A4660" i="1"/>
  <c r="B4660" i="1"/>
  <c r="A4661" i="1"/>
  <c r="B4661" i="1"/>
  <c r="A4662" i="1"/>
  <c r="B4662" i="1"/>
  <c r="A4663" i="1"/>
  <c r="B4663" i="1"/>
  <c r="A4664" i="1"/>
  <c r="B4664" i="1"/>
  <c r="A4665" i="1"/>
  <c r="B4665" i="1"/>
  <c r="A4666" i="1"/>
  <c r="B4666" i="1"/>
  <c r="A4667" i="1"/>
  <c r="B4667" i="1"/>
  <c r="A4668" i="1"/>
  <c r="B4668" i="1"/>
  <c r="A4669" i="1"/>
  <c r="B4669" i="1"/>
  <c r="A4670" i="1"/>
  <c r="B4670" i="1"/>
  <c r="A4671" i="1"/>
  <c r="B4671" i="1"/>
  <c r="A4672" i="1"/>
  <c r="B4672" i="1"/>
  <c r="A4673" i="1"/>
  <c r="B4673" i="1"/>
  <c r="A4674" i="1"/>
  <c r="B4674" i="1"/>
  <c r="A4675" i="1"/>
  <c r="B4675" i="1"/>
  <c r="A4676" i="1"/>
  <c r="B4676" i="1"/>
  <c r="A4677" i="1"/>
  <c r="B4677" i="1"/>
  <c r="A4678" i="1"/>
  <c r="B4678" i="1"/>
  <c r="A4679" i="1"/>
  <c r="B4679" i="1"/>
  <c r="A4680" i="1"/>
  <c r="B4680" i="1"/>
  <c r="A4681" i="1"/>
  <c r="B4681" i="1"/>
  <c r="A4682" i="1"/>
  <c r="B4682" i="1"/>
  <c r="A4683" i="1"/>
  <c r="B4683" i="1"/>
  <c r="A4684" i="1"/>
  <c r="B4684" i="1"/>
  <c r="A4685" i="1"/>
  <c r="B4685" i="1"/>
  <c r="A4686" i="1"/>
  <c r="B4686" i="1"/>
  <c r="A4687" i="1"/>
  <c r="B4687" i="1"/>
  <c r="A4688" i="1"/>
  <c r="B4688" i="1"/>
  <c r="A4689" i="1"/>
  <c r="B4689" i="1"/>
  <c r="A4690" i="1"/>
  <c r="B4690" i="1"/>
  <c r="A4691" i="1"/>
  <c r="B4691" i="1"/>
  <c r="A4692" i="1"/>
  <c r="B4692" i="1"/>
  <c r="A4693" i="1"/>
  <c r="B4693" i="1"/>
  <c r="A4694" i="1"/>
  <c r="B4694" i="1"/>
  <c r="A4695" i="1"/>
  <c r="B4695" i="1"/>
  <c r="A4696" i="1"/>
  <c r="B4696" i="1"/>
  <c r="A4697" i="1"/>
  <c r="B4697" i="1"/>
  <c r="A4698" i="1"/>
  <c r="B4698" i="1"/>
  <c r="A4699" i="1"/>
  <c r="B4699" i="1"/>
  <c r="A4700" i="1"/>
  <c r="B4700" i="1"/>
  <c r="A4701" i="1"/>
  <c r="B4701" i="1"/>
  <c r="A4702" i="1"/>
  <c r="B4702" i="1"/>
  <c r="A4703" i="1"/>
  <c r="B4703" i="1"/>
  <c r="A4704" i="1"/>
  <c r="B4704" i="1"/>
  <c r="A4705" i="1"/>
  <c r="B4705" i="1"/>
  <c r="A4706" i="1"/>
  <c r="B4706" i="1"/>
  <c r="A4707" i="1"/>
  <c r="B4707" i="1"/>
  <c r="A4708" i="1"/>
  <c r="B4708" i="1"/>
  <c r="A4709" i="1"/>
  <c r="B4709" i="1"/>
  <c r="A4710" i="1"/>
  <c r="B4710" i="1"/>
  <c r="A4711" i="1"/>
  <c r="B4711" i="1"/>
  <c r="A4712" i="1"/>
  <c r="B4712" i="1"/>
  <c r="A4713" i="1"/>
  <c r="B4713" i="1"/>
  <c r="A4714" i="1"/>
  <c r="B4714" i="1"/>
  <c r="A4715" i="1"/>
  <c r="B4715" i="1"/>
  <c r="A4716" i="1"/>
  <c r="B4716" i="1"/>
  <c r="A4717" i="1"/>
  <c r="B4717" i="1"/>
  <c r="A4718" i="1"/>
  <c r="B4718" i="1"/>
  <c r="A4719" i="1"/>
  <c r="B4719" i="1"/>
  <c r="A4720" i="1"/>
  <c r="B4720" i="1"/>
  <c r="A4721" i="1"/>
  <c r="B4721" i="1"/>
  <c r="A4722" i="1"/>
  <c r="B4722" i="1"/>
  <c r="A4723" i="1"/>
  <c r="B4723" i="1"/>
  <c r="A4724" i="1"/>
  <c r="B4724" i="1"/>
  <c r="A4725" i="1"/>
  <c r="B4725" i="1"/>
  <c r="A4726" i="1"/>
  <c r="B4726" i="1"/>
  <c r="A4727" i="1"/>
  <c r="B4727" i="1"/>
  <c r="A4728" i="1"/>
  <c r="B4728" i="1"/>
  <c r="A4729" i="1"/>
  <c r="B4729" i="1"/>
  <c r="A4730" i="1"/>
  <c r="B4730" i="1"/>
  <c r="A4731" i="1"/>
  <c r="B4731" i="1"/>
  <c r="A4732" i="1"/>
  <c r="B4732" i="1"/>
  <c r="A4733" i="1"/>
  <c r="B4733" i="1"/>
  <c r="A4734" i="1"/>
  <c r="B4734" i="1"/>
  <c r="A4735" i="1"/>
  <c r="B4735" i="1"/>
  <c r="A4736" i="1"/>
  <c r="B4736" i="1"/>
  <c r="A4737" i="1"/>
  <c r="B4737" i="1"/>
  <c r="A4738" i="1"/>
  <c r="B4738" i="1"/>
  <c r="A4739" i="1"/>
  <c r="B4739" i="1"/>
  <c r="A4740" i="1"/>
  <c r="B4740" i="1"/>
  <c r="A4741" i="1"/>
  <c r="B4741" i="1"/>
  <c r="A4742" i="1"/>
  <c r="B4742" i="1"/>
  <c r="A4743" i="1"/>
  <c r="B4743" i="1"/>
  <c r="A4744" i="1"/>
  <c r="B4744" i="1"/>
  <c r="A4745" i="1"/>
  <c r="B4745" i="1"/>
  <c r="A4746" i="1"/>
  <c r="B4746" i="1"/>
  <c r="A4747" i="1"/>
  <c r="B4747" i="1"/>
  <c r="A4748" i="1"/>
  <c r="B4748" i="1"/>
  <c r="A4749" i="1"/>
  <c r="B4749" i="1"/>
  <c r="A4750" i="1"/>
  <c r="B4750" i="1"/>
  <c r="A4751" i="1"/>
  <c r="B4751" i="1"/>
  <c r="A4752" i="1"/>
  <c r="B4752" i="1"/>
  <c r="A4753" i="1"/>
  <c r="B4753" i="1"/>
  <c r="A4754" i="1"/>
  <c r="B4754" i="1"/>
  <c r="A4755" i="1"/>
  <c r="B4755" i="1"/>
  <c r="A4756" i="1"/>
  <c r="B4756" i="1"/>
  <c r="A4757" i="1"/>
  <c r="B4757" i="1"/>
  <c r="A4758" i="1"/>
  <c r="B4758" i="1"/>
  <c r="A4759" i="1"/>
  <c r="B4759" i="1"/>
  <c r="A4760" i="1"/>
  <c r="B4760" i="1"/>
  <c r="A4761" i="1"/>
  <c r="B4761" i="1"/>
  <c r="A4762" i="1"/>
  <c r="B4762" i="1"/>
  <c r="A4763" i="1"/>
  <c r="B4763" i="1"/>
  <c r="A4764" i="1"/>
  <c r="B4764" i="1"/>
  <c r="A4765" i="1"/>
  <c r="B4765" i="1"/>
  <c r="A4766" i="1"/>
  <c r="B4766" i="1"/>
  <c r="A4767" i="1"/>
  <c r="B4767" i="1"/>
  <c r="A4768" i="1"/>
  <c r="B4768" i="1"/>
  <c r="A4769" i="1"/>
  <c r="B4769" i="1"/>
  <c r="A4770" i="1"/>
  <c r="B4770" i="1"/>
  <c r="A4771" i="1"/>
  <c r="B4771" i="1"/>
  <c r="A4772" i="1"/>
  <c r="B4772" i="1"/>
  <c r="A4773" i="1"/>
  <c r="B4773" i="1"/>
  <c r="A4774" i="1"/>
  <c r="B4774" i="1"/>
  <c r="A4775" i="1"/>
  <c r="B4775" i="1"/>
  <c r="A4776" i="1"/>
  <c r="B4776" i="1"/>
  <c r="A4777" i="1"/>
  <c r="B4777" i="1"/>
  <c r="A4778" i="1"/>
  <c r="B4778" i="1"/>
  <c r="A4779" i="1"/>
  <c r="B4779" i="1"/>
  <c r="A4780" i="1"/>
  <c r="B4780" i="1"/>
  <c r="A4781" i="1"/>
  <c r="B4781" i="1"/>
  <c r="A4782" i="1"/>
  <c r="B4782" i="1"/>
  <c r="A4783" i="1"/>
  <c r="B4783" i="1"/>
  <c r="A4784" i="1"/>
  <c r="B4784" i="1"/>
  <c r="A4785" i="1"/>
  <c r="B4785" i="1"/>
  <c r="A4786" i="1"/>
  <c r="B4786" i="1"/>
  <c r="A4787" i="1"/>
  <c r="B4787" i="1"/>
  <c r="A4788" i="1"/>
  <c r="B4788" i="1"/>
  <c r="A4789" i="1"/>
  <c r="B4789" i="1"/>
  <c r="A4790" i="1"/>
  <c r="B4790" i="1"/>
  <c r="A4791" i="1"/>
  <c r="B4791" i="1"/>
  <c r="A4792" i="1"/>
  <c r="B4792" i="1"/>
  <c r="A4793" i="1"/>
  <c r="B4793" i="1"/>
  <c r="A4794" i="1"/>
  <c r="B4794" i="1"/>
  <c r="A4795" i="1"/>
  <c r="B4795" i="1"/>
  <c r="A4796" i="1"/>
  <c r="B4796" i="1"/>
  <c r="A4797" i="1"/>
  <c r="B4797" i="1"/>
  <c r="A4798" i="1"/>
  <c r="B4798" i="1"/>
  <c r="A4799" i="1"/>
  <c r="B4799" i="1"/>
  <c r="A4800" i="1"/>
  <c r="B4800" i="1"/>
  <c r="A4801" i="1"/>
  <c r="B4801" i="1"/>
  <c r="A4802" i="1"/>
  <c r="B4802" i="1"/>
  <c r="A4803" i="1"/>
  <c r="B4803" i="1"/>
  <c r="A4804" i="1"/>
  <c r="B4804" i="1"/>
  <c r="A4805" i="1"/>
  <c r="B4805" i="1"/>
  <c r="A4806" i="1"/>
  <c r="B4806" i="1"/>
  <c r="A4807" i="1"/>
  <c r="B4807" i="1"/>
  <c r="A4808" i="1"/>
  <c r="B4808" i="1"/>
  <c r="A4809" i="1"/>
  <c r="B4809" i="1"/>
  <c r="A4810" i="1"/>
  <c r="B4810" i="1"/>
  <c r="A4811" i="1"/>
  <c r="B4811" i="1"/>
  <c r="A4812" i="1"/>
  <c r="B4812" i="1"/>
  <c r="A4813" i="1"/>
  <c r="B4813" i="1"/>
  <c r="A4814" i="1"/>
  <c r="B4814" i="1"/>
  <c r="A4815" i="1"/>
  <c r="B4815" i="1"/>
  <c r="A4816" i="1"/>
  <c r="B4816" i="1"/>
  <c r="A4817" i="1"/>
  <c r="B4817" i="1"/>
  <c r="A4818" i="1"/>
  <c r="B4818" i="1"/>
  <c r="A4819" i="1"/>
  <c r="B4819" i="1"/>
  <c r="A4820" i="1"/>
  <c r="B4820" i="1"/>
  <c r="A4821" i="1"/>
  <c r="B4821" i="1"/>
  <c r="A4822" i="1"/>
  <c r="B4822" i="1"/>
  <c r="A4823" i="1"/>
  <c r="B4823" i="1"/>
  <c r="A4824" i="1"/>
  <c r="B4824" i="1"/>
  <c r="A4825" i="1"/>
  <c r="B4825" i="1"/>
  <c r="A4826" i="1"/>
  <c r="B4826" i="1"/>
  <c r="A4827" i="1"/>
  <c r="B4827" i="1"/>
  <c r="A4828" i="1"/>
  <c r="B4828" i="1"/>
  <c r="A4829" i="1"/>
  <c r="B4829" i="1"/>
  <c r="A4830" i="1"/>
  <c r="B4830" i="1"/>
  <c r="A4831" i="1"/>
  <c r="B4831" i="1"/>
  <c r="A4832" i="1"/>
  <c r="B4832" i="1"/>
  <c r="A4833" i="1"/>
  <c r="B4833" i="1"/>
  <c r="A4834" i="1"/>
  <c r="B4834" i="1"/>
  <c r="A4835" i="1"/>
  <c r="B4835" i="1"/>
  <c r="A4836" i="1"/>
  <c r="B4836" i="1"/>
  <c r="A4837" i="1"/>
  <c r="B4837" i="1"/>
  <c r="A4838" i="1"/>
  <c r="B4838" i="1"/>
  <c r="A4839" i="1"/>
  <c r="B4839" i="1"/>
  <c r="A4840" i="1"/>
  <c r="B4840" i="1"/>
  <c r="A4841" i="1"/>
  <c r="B4841" i="1"/>
  <c r="A4842" i="1"/>
  <c r="B4842" i="1"/>
  <c r="A4843" i="1"/>
  <c r="B4843" i="1"/>
  <c r="A4844" i="1"/>
  <c r="B4844" i="1"/>
  <c r="A4845" i="1"/>
  <c r="B4845" i="1"/>
  <c r="A4846" i="1"/>
  <c r="B4846" i="1"/>
  <c r="A4847" i="1"/>
  <c r="B4847" i="1"/>
  <c r="A4848" i="1"/>
  <c r="B4848" i="1"/>
  <c r="A4849" i="1"/>
  <c r="B4849" i="1"/>
  <c r="A4850" i="1"/>
  <c r="B4850" i="1"/>
  <c r="A4851" i="1"/>
  <c r="B4851" i="1"/>
  <c r="A4852" i="1"/>
  <c r="B4852" i="1"/>
  <c r="A4853" i="1"/>
  <c r="B4853" i="1"/>
  <c r="A4854" i="1"/>
  <c r="B4854" i="1"/>
  <c r="A4855" i="1"/>
  <c r="B4855" i="1"/>
  <c r="A4856" i="1"/>
  <c r="B4856" i="1"/>
  <c r="A4857" i="1"/>
  <c r="B4857" i="1"/>
  <c r="A4858" i="1"/>
  <c r="B4858" i="1"/>
  <c r="A4859" i="1"/>
  <c r="B4859" i="1"/>
  <c r="A4860" i="1"/>
  <c r="B4860" i="1"/>
  <c r="A4861" i="1"/>
  <c r="B4861" i="1"/>
  <c r="A4862" i="1"/>
  <c r="B4862" i="1"/>
  <c r="A4863" i="1"/>
  <c r="B4863" i="1"/>
  <c r="A4864" i="1"/>
  <c r="B4864" i="1"/>
  <c r="A4865" i="1"/>
  <c r="B4865" i="1"/>
  <c r="A4866" i="1"/>
  <c r="B4866" i="1"/>
  <c r="A4867" i="1"/>
  <c r="B4867" i="1"/>
  <c r="A4868" i="1"/>
  <c r="B4868" i="1"/>
  <c r="A4869" i="1"/>
  <c r="B4869" i="1"/>
  <c r="A4870" i="1"/>
  <c r="B4870" i="1"/>
  <c r="A4871" i="1"/>
  <c r="B4871" i="1"/>
  <c r="A4872" i="1"/>
  <c r="B4872" i="1"/>
  <c r="A4873" i="1"/>
  <c r="B4873" i="1"/>
  <c r="A4874" i="1"/>
  <c r="B4874" i="1"/>
  <c r="A4875" i="1"/>
  <c r="B4875" i="1"/>
  <c r="A4876" i="1"/>
  <c r="B4876" i="1"/>
  <c r="A4877" i="1"/>
  <c r="B4877" i="1"/>
  <c r="A4878" i="1"/>
  <c r="B4878" i="1"/>
  <c r="A4879" i="1"/>
  <c r="B4879" i="1"/>
  <c r="A4880" i="1"/>
  <c r="B4880" i="1"/>
  <c r="A4881" i="1"/>
  <c r="B4881" i="1"/>
  <c r="A4882" i="1"/>
  <c r="B4882" i="1"/>
  <c r="A4883" i="1"/>
  <c r="B4883" i="1"/>
  <c r="A4884" i="1"/>
  <c r="B4884" i="1"/>
  <c r="A4885" i="1"/>
  <c r="B4885" i="1"/>
  <c r="A4886" i="1"/>
  <c r="B4886" i="1"/>
  <c r="A4887" i="1"/>
  <c r="B4887" i="1"/>
  <c r="A4888" i="1"/>
  <c r="B4888" i="1"/>
  <c r="A4889" i="1"/>
  <c r="B4889" i="1"/>
  <c r="A4890" i="1"/>
  <c r="B4890" i="1"/>
  <c r="A4891" i="1"/>
  <c r="B4891" i="1"/>
  <c r="A4892" i="1"/>
  <c r="B4892" i="1"/>
  <c r="A4893" i="1"/>
  <c r="B4893" i="1"/>
  <c r="A4894" i="1"/>
  <c r="B4894" i="1"/>
  <c r="A4895" i="1"/>
  <c r="B4895" i="1"/>
  <c r="A4896" i="1"/>
  <c r="B4896" i="1"/>
  <c r="A4897" i="1"/>
  <c r="B4897" i="1"/>
  <c r="A4898" i="1"/>
  <c r="B4898" i="1"/>
  <c r="A4899" i="1"/>
  <c r="B4899" i="1"/>
  <c r="A4900" i="1"/>
  <c r="B4900" i="1"/>
  <c r="A4901" i="1"/>
  <c r="B4901" i="1"/>
  <c r="A4902" i="1"/>
  <c r="B4902" i="1"/>
  <c r="A4903" i="1"/>
  <c r="B4903" i="1"/>
  <c r="A4904" i="1"/>
  <c r="B4904" i="1"/>
  <c r="A4905" i="1"/>
  <c r="B4905" i="1"/>
  <c r="A4906" i="1"/>
  <c r="B4906" i="1"/>
  <c r="A4907" i="1"/>
  <c r="B4907" i="1"/>
  <c r="A4908" i="1"/>
  <c r="B4908" i="1"/>
  <c r="A4909" i="1"/>
  <c r="B4909" i="1"/>
  <c r="A4910" i="1"/>
  <c r="B4910" i="1"/>
  <c r="A4911" i="1"/>
  <c r="B4911" i="1"/>
  <c r="A4912" i="1"/>
  <c r="B4912" i="1"/>
  <c r="A4913" i="1"/>
  <c r="B4913" i="1"/>
  <c r="A4914" i="1"/>
  <c r="B4914" i="1"/>
  <c r="A4915" i="1"/>
  <c r="B4915" i="1"/>
  <c r="A4916" i="1"/>
  <c r="B4916" i="1"/>
  <c r="A4917" i="1"/>
  <c r="B4917" i="1"/>
  <c r="A4918" i="1"/>
  <c r="B4918" i="1"/>
  <c r="A4919" i="1"/>
  <c r="B4919" i="1"/>
  <c r="A4920" i="1"/>
  <c r="B4920" i="1"/>
  <c r="A4921" i="1"/>
  <c r="B4921" i="1"/>
  <c r="A4922" i="1"/>
  <c r="B4922" i="1"/>
  <c r="A4923" i="1"/>
  <c r="B4923" i="1"/>
  <c r="A4924" i="1"/>
  <c r="B4924" i="1"/>
  <c r="A4925" i="1"/>
  <c r="B4925" i="1"/>
  <c r="A4926" i="1"/>
  <c r="B4926" i="1"/>
  <c r="A4927" i="1"/>
  <c r="B4927" i="1"/>
  <c r="A4928" i="1"/>
  <c r="B4928" i="1"/>
  <c r="A4929" i="1"/>
  <c r="B4929" i="1"/>
  <c r="A4930" i="1"/>
  <c r="B4930" i="1"/>
  <c r="A4931" i="1"/>
  <c r="B4931" i="1"/>
  <c r="A4932" i="1"/>
  <c r="B4932" i="1"/>
  <c r="A4933" i="1"/>
  <c r="B4933" i="1"/>
  <c r="A4934" i="1"/>
  <c r="B4934" i="1"/>
  <c r="A4935" i="1"/>
  <c r="B4935" i="1"/>
  <c r="A4936" i="1"/>
  <c r="B4936" i="1"/>
  <c r="A4937" i="1"/>
  <c r="B4937" i="1"/>
  <c r="A4938" i="1"/>
  <c r="B4938" i="1"/>
  <c r="A4939" i="1"/>
  <c r="B4939" i="1"/>
  <c r="A4940" i="1"/>
  <c r="B4940" i="1"/>
  <c r="A4941" i="1"/>
  <c r="B4941" i="1"/>
  <c r="A4942" i="1"/>
  <c r="B4942" i="1"/>
  <c r="A4943" i="1"/>
  <c r="B4943" i="1"/>
  <c r="A4944" i="1"/>
  <c r="B4944" i="1"/>
  <c r="A4945" i="1"/>
  <c r="B4945" i="1"/>
  <c r="A4946" i="1"/>
  <c r="B4946" i="1"/>
  <c r="A4947" i="1"/>
  <c r="B4947" i="1"/>
  <c r="A4948" i="1"/>
  <c r="B4948" i="1"/>
  <c r="A4949" i="1"/>
  <c r="B4949" i="1"/>
  <c r="A4950" i="1"/>
  <c r="B4950" i="1"/>
  <c r="A4951" i="1"/>
  <c r="B4951" i="1"/>
  <c r="A4952" i="1"/>
  <c r="B4952" i="1"/>
  <c r="A4953" i="1"/>
  <c r="B4953" i="1"/>
  <c r="A4954" i="1"/>
  <c r="B4954" i="1"/>
  <c r="A4955" i="1"/>
  <c r="B4955" i="1"/>
  <c r="A4956" i="1"/>
  <c r="B4956" i="1"/>
  <c r="A4957" i="1"/>
  <c r="B4957" i="1"/>
  <c r="A4958" i="1"/>
  <c r="B4958" i="1"/>
  <c r="A4959" i="1"/>
  <c r="B4959" i="1"/>
  <c r="A4960" i="1"/>
  <c r="B4960" i="1"/>
  <c r="A4961" i="1"/>
  <c r="B4961" i="1"/>
  <c r="A4962" i="1"/>
  <c r="B4962" i="1"/>
  <c r="A4963" i="1"/>
  <c r="B4963" i="1"/>
  <c r="A4964" i="1"/>
  <c r="B4964" i="1"/>
  <c r="A4965" i="1"/>
  <c r="B4965" i="1"/>
  <c r="A4966" i="1"/>
  <c r="B4966" i="1"/>
  <c r="A4967" i="1"/>
  <c r="B4967" i="1"/>
  <c r="A4968" i="1"/>
  <c r="B4968" i="1"/>
  <c r="A4969" i="1"/>
  <c r="B4969" i="1"/>
  <c r="A4970" i="1"/>
  <c r="B4970" i="1"/>
  <c r="A4971" i="1"/>
  <c r="B4971" i="1"/>
  <c r="A4972" i="1"/>
  <c r="B4972" i="1"/>
  <c r="A4973" i="1"/>
  <c r="B4973" i="1"/>
  <c r="A4974" i="1"/>
  <c r="B4974" i="1"/>
  <c r="A4975" i="1"/>
  <c r="B4975" i="1"/>
  <c r="A4976" i="1"/>
  <c r="B4976" i="1"/>
  <c r="A4977" i="1"/>
  <c r="B4977" i="1"/>
  <c r="A4978" i="1"/>
  <c r="B4978" i="1"/>
  <c r="A4979" i="1"/>
  <c r="B4979" i="1"/>
  <c r="A4980" i="1"/>
  <c r="B4980" i="1"/>
  <c r="A4981" i="1"/>
  <c r="B4981" i="1"/>
  <c r="A4982" i="1"/>
  <c r="B4982" i="1"/>
  <c r="A4983" i="1"/>
  <c r="B4983" i="1"/>
  <c r="A4984" i="1"/>
  <c r="B4984" i="1"/>
  <c r="A4985" i="1"/>
  <c r="B4985" i="1"/>
  <c r="A4986" i="1"/>
  <c r="B4986" i="1"/>
  <c r="A4987" i="1"/>
  <c r="B4987" i="1"/>
  <c r="A4988" i="1"/>
  <c r="B4988" i="1"/>
  <c r="A4989" i="1"/>
  <c r="B4989" i="1"/>
  <c r="A4990" i="1"/>
  <c r="B4990" i="1"/>
  <c r="A4991" i="1"/>
  <c r="B4991" i="1"/>
  <c r="A4992" i="1"/>
  <c r="B4992" i="1"/>
  <c r="A4993" i="1"/>
  <c r="B4993" i="1"/>
  <c r="A4994" i="1"/>
  <c r="B4994" i="1"/>
  <c r="A4995" i="1"/>
  <c r="B4995" i="1"/>
  <c r="A4996" i="1"/>
  <c r="B4996" i="1"/>
  <c r="A4997" i="1"/>
  <c r="B4997" i="1"/>
  <c r="A4998" i="1"/>
  <c r="B4998" i="1"/>
  <c r="A4999" i="1"/>
  <c r="B4999" i="1"/>
  <c r="A5000" i="1"/>
  <c r="B5000" i="1"/>
  <c r="A5001" i="1"/>
  <c r="B5001" i="1"/>
  <c r="A5002" i="1"/>
  <c r="B5002" i="1"/>
  <c r="A5003" i="1"/>
  <c r="B5003" i="1"/>
  <c r="A5004" i="1"/>
  <c r="B5004" i="1"/>
  <c r="A5005" i="1"/>
  <c r="B5005" i="1"/>
  <c r="A5006" i="1"/>
  <c r="B5006" i="1"/>
  <c r="A5007" i="1"/>
  <c r="B5007" i="1"/>
  <c r="A5008" i="1"/>
  <c r="B5008" i="1"/>
  <c r="A5009" i="1"/>
  <c r="B5009" i="1"/>
  <c r="A5010" i="1"/>
  <c r="B5010" i="1"/>
  <c r="A5011" i="1"/>
  <c r="B5011" i="1"/>
  <c r="A5012" i="1"/>
  <c r="B5012" i="1"/>
  <c r="A5013" i="1"/>
  <c r="B5013" i="1"/>
  <c r="A5014" i="1"/>
  <c r="B5014" i="1"/>
  <c r="A5015" i="1"/>
  <c r="B5015" i="1"/>
  <c r="A5016" i="1"/>
  <c r="B5016" i="1"/>
  <c r="A5017" i="1"/>
  <c r="B5017" i="1"/>
  <c r="A5018" i="1"/>
  <c r="B5018" i="1"/>
  <c r="A5019" i="1"/>
  <c r="B5019" i="1"/>
  <c r="A5020" i="1"/>
  <c r="B5020" i="1"/>
  <c r="A5021" i="1"/>
  <c r="B5021" i="1"/>
  <c r="A5022" i="1"/>
  <c r="B5022" i="1"/>
  <c r="A5023" i="1"/>
  <c r="B5023" i="1"/>
  <c r="A5024" i="1"/>
  <c r="B5024" i="1"/>
  <c r="A5025" i="1"/>
  <c r="B5025" i="1"/>
  <c r="A5026" i="1"/>
  <c r="B5026" i="1"/>
  <c r="A5027" i="1"/>
  <c r="B5027" i="1"/>
  <c r="A5028" i="1"/>
  <c r="B5028" i="1"/>
  <c r="A5029" i="1"/>
  <c r="B5029" i="1"/>
  <c r="A5030" i="1"/>
  <c r="B5030" i="1"/>
  <c r="A5031" i="1"/>
  <c r="B5031" i="1"/>
  <c r="A5032" i="1"/>
  <c r="B5032" i="1"/>
  <c r="A5033" i="1"/>
  <c r="B5033" i="1"/>
  <c r="A5034" i="1"/>
  <c r="B5034" i="1"/>
  <c r="A5035" i="1"/>
  <c r="B5035" i="1"/>
  <c r="A5036" i="1"/>
  <c r="B5036" i="1"/>
  <c r="A5037" i="1"/>
  <c r="B5037" i="1"/>
  <c r="A5038" i="1"/>
  <c r="B5038" i="1"/>
  <c r="A5039" i="1"/>
  <c r="B5039" i="1"/>
  <c r="A5040" i="1"/>
  <c r="B5040" i="1"/>
  <c r="A5041" i="1"/>
  <c r="B5041" i="1"/>
  <c r="A5042" i="1"/>
  <c r="B5042" i="1"/>
  <c r="A5043" i="1"/>
  <c r="B5043" i="1"/>
  <c r="A5044" i="1"/>
  <c r="B5044" i="1"/>
  <c r="A5045" i="1"/>
  <c r="B5045" i="1"/>
  <c r="A5046" i="1"/>
  <c r="B5046" i="1"/>
  <c r="A5047" i="1"/>
  <c r="B5047" i="1"/>
  <c r="A5048" i="1"/>
  <c r="B5048" i="1"/>
  <c r="A5049" i="1"/>
  <c r="B5049" i="1"/>
  <c r="A5050" i="1"/>
  <c r="B5050" i="1"/>
  <c r="A5051" i="1"/>
  <c r="B5051" i="1"/>
  <c r="A5052" i="1"/>
  <c r="B5052" i="1"/>
  <c r="A5053" i="1"/>
  <c r="B5053" i="1"/>
  <c r="A5054" i="1"/>
  <c r="B5054" i="1"/>
  <c r="A5055" i="1"/>
  <c r="B5055" i="1"/>
  <c r="A5056" i="1"/>
  <c r="B5056" i="1"/>
  <c r="A5057" i="1"/>
  <c r="B5057" i="1"/>
  <c r="A5058" i="1"/>
  <c r="B5058" i="1"/>
  <c r="A5059" i="1"/>
  <c r="B5059" i="1"/>
  <c r="A5060" i="1"/>
  <c r="B5060" i="1"/>
  <c r="A5061" i="1"/>
  <c r="B5061" i="1"/>
  <c r="A5062" i="1"/>
  <c r="B5062" i="1"/>
  <c r="A5063" i="1"/>
  <c r="B5063" i="1"/>
  <c r="A5064" i="1"/>
  <c r="B5064" i="1"/>
  <c r="A5065" i="1"/>
  <c r="B5065" i="1"/>
  <c r="A5066" i="1"/>
  <c r="B5066" i="1"/>
  <c r="A5067" i="1"/>
  <c r="B5067" i="1"/>
  <c r="A5068" i="1"/>
  <c r="B5068" i="1"/>
  <c r="A5069" i="1"/>
  <c r="B5069" i="1"/>
  <c r="A5070" i="1"/>
  <c r="B5070" i="1"/>
  <c r="A5071" i="1"/>
  <c r="B5071" i="1"/>
  <c r="A5072" i="1"/>
  <c r="B5072" i="1"/>
  <c r="A5073" i="1"/>
  <c r="B5073" i="1"/>
  <c r="A5074" i="1"/>
  <c r="B5074" i="1"/>
  <c r="A5075" i="1"/>
  <c r="B5075" i="1"/>
  <c r="A5076" i="1"/>
  <c r="B5076" i="1"/>
  <c r="A5077" i="1"/>
  <c r="B5077" i="1"/>
  <c r="A5078" i="1"/>
  <c r="B5078" i="1"/>
  <c r="A5079" i="1"/>
  <c r="B5079" i="1"/>
  <c r="A5080" i="1"/>
  <c r="B5080" i="1"/>
  <c r="A5081" i="1"/>
  <c r="B5081" i="1"/>
  <c r="A5082" i="1"/>
  <c r="B5082" i="1"/>
  <c r="A5083" i="1"/>
  <c r="B5083" i="1"/>
  <c r="A5084" i="1"/>
  <c r="B5084" i="1"/>
  <c r="A5085" i="1"/>
  <c r="B5085" i="1"/>
  <c r="A5086" i="1"/>
  <c r="B5086" i="1"/>
  <c r="A5087" i="1"/>
  <c r="B5087" i="1"/>
  <c r="A5088" i="1"/>
  <c r="B5088" i="1"/>
  <c r="A5089" i="1"/>
  <c r="B5089" i="1"/>
  <c r="A5090" i="1"/>
  <c r="B5090" i="1"/>
  <c r="A5091" i="1"/>
  <c r="B5091" i="1"/>
  <c r="A5092" i="1"/>
  <c r="B5092" i="1"/>
  <c r="A5093" i="1"/>
  <c r="B5093" i="1"/>
  <c r="A5094" i="1"/>
  <c r="B5094" i="1"/>
  <c r="A5095" i="1"/>
  <c r="B5095" i="1"/>
  <c r="A5096" i="1"/>
  <c r="B5096" i="1"/>
  <c r="A5097" i="1"/>
  <c r="B5097" i="1"/>
  <c r="A5098" i="1"/>
  <c r="B5098" i="1"/>
  <c r="A5099" i="1"/>
  <c r="B5099" i="1"/>
  <c r="A5100" i="1"/>
  <c r="B5100" i="1"/>
  <c r="A5101" i="1"/>
  <c r="B5101" i="1"/>
  <c r="A5102" i="1"/>
  <c r="B5102" i="1"/>
  <c r="A5103" i="1"/>
  <c r="B5103" i="1"/>
  <c r="A5104" i="1"/>
  <c r="B5104" i="1"/>
  <c r="A5105" i="1"/>
  <c r="B5105" i="1"/>
  <c r="A5106" i="1"/>
  <c r="B5106" i="1"/>
  <c r="A5107" i="1"/>
  <c r="B5107" i="1"/>
  <c r="A5108" i="1"/>
  <c r="B5108" i="1"/>
  <c r="A5109" i="1"/>
  <c r="B5109" i="1"/>
  <c r="A5110" i="1"/>
  <c r="B5110" i="1"/>
  <c r="A5111" i="1"/>
  <c r="B5111" i="1"/>
  <c r="A5112" i="1"/>
  <c r="B5112" i="1"/>
  <c r="A5113" i="1"/>
  <c r="B5113" i="1"/>
  <c r="A5114" i="1"/>
  <c r="B5114" i="1"/>
  <c r="A5115" i="1"/>
  <c r="B5115" i="1"/>
  <c r="A5116" i="1"/>
  <c r="B5116" i="1"/>
  <c r="A5117" i="1"/>
  <c r="B5117" i="1"/>
  <c r="A5118" i="1"/>
  <c r="B5118" i="1"/>
  <c r="A5119" i="1"/>
  <c r="B5119" i="1"/>
  <c r="A5120" i="1"/>
  <c r="B5120" i="1"/>
  <c r="A5121" i="1"/>
  <c r="B5121" i="1"/>
  <c r="A5122" i="1"/>
  <c r="B5122" i="1"/>
  <c r="A5123" i="1"/>
  <c r="B5123" i="1"/>
  <c r="A5124" i="1"/>
  <c r="B5124" i="1"/>
  <c r="A5125" i="1"/>
  <c r="B5125" i="1"/>
  <c r="A5126" i="1"/>
  <c r="B5126" i="1"/>
  <c r="A5127" i="1"/>
  <c r="B5127" i="1"/>
  <c r="A5128" i="1"/>
  <c r="B5128" i="1"/>
  <c r="A5129" i="1"/>
  <c r="B5129" i="1"/>
  <c r="A5130" i="1"/>
  <c r="B5130" i="1"/>
  <c r="A5131" i="1"/>
  <c r="B5131" i="1"/>
  <c r="A5132" i="1"/>
  <c r="B5132" i="1"/>
  <c r="A5133" i="1"/>
  <c r="B5133" i="1"/>
  <c r="A5134" i="1"/>
  <c r="B5134" i="1"/>
  <c r="A5135" i="1"/>
  <c r="B5135" i="1"/>
  <c r="A5136" i="1"/>
  <c r="B5136" i="1"/>
  <c r="A5137" i="1"/>
  <c r="B5137" i="1"/>
  <c r="A5138" i="1"/>
  <c r="B5138" i="1"/>
  <c r="A5139" i="1"/>
  <c r="B5139" i="1"/>
  <c r="A5140" i="1"/>
  <c r="B5140" i="1"/>
  <c r="A5141" i="1"/>
  <c r="B5141" i="1"/>
  <c r="A5142" i="1"/>
  <c r="B5142" i="1"/>
  <c r="A5143" i="1"/>
  <c r="B5143" i="1"/>
  <c r="A5144" i="1"/>
  <c r="B5144" i="1"/>
  <c r="A5145" i="1"/>
  <c r="B5145" i="1"/>
  <c r="A5146" i="1"/>
  <c r="B5146" i="1"/>
  <c r="A5147" i="1"/>
  <c r="B5147" i="1"/>
  <c r="A5148" i="1"/>
  <c r="B5148" i="1"/>
  <c r="A5149" i="1"/>
  <c r="B5149" i="1"/>
  <c r="A5150" i="1"/>
  <c r="B5150" i="1"/>
  <c r="A5151" i="1"/>
  <c r="B5151" i="1"/>
  <c r="A5152" i="1"/>
  <c r="B5152" i="1"/>
  <c r="A5153" i="1"/>
  <c r="B5153" i="1"/>
  <c r="A5154" i="1"/>
  <c r="B5154" i="1"/>
  <c r="A5155" i="1"/>
  <c r="B5155" i="1"/>
  <c r="A5156" i="1"/>
  <c r="B5156" i="1"/>
  <c r="A5157" i="1"/>
  <c r="B5157" i="1"/>
  <c r="A5158" i="1"/>
  <c r="B5158" i="1"/>
  <c r="A5159" i="1"/>
  <c r="B5159" i="1"/>
  <c r="A5160" i="1"/>
  <c r="B5160" i="1"/>
  <c r="A5161" i="1"/>
  <c r="B5161" i="1"/>
  <c r="A5162" i="1"/>
  <c r="B5162" i="1"/>
  <c r="A5163" i="1"/>
  <c r="B5163" i="1"/>
  <c r="A5164" i="1"/>
  <c r="B5164" i="1"/>
  <c r="A5165" i="1"/>
  <c r="B5165" i="1"/>
  <c r="A5166" i="1"/>
  <c r="B5166" i="1"/>
  <c r="A5167" i="1"/>
  <c r="B5167" i="1"/>
  <c r="A5168" i="1"/>
  <c r="B5168" i="1"/>
  <c r="A5169" i="1"/>
  <c r="B5169" i="1"/>
  <c r="A5170" i="1"/>
  <c r="B5170" i="1"/>
  <c r="A5171" i="1"/>
  <c r="B5171" i="1"/>
  <c r="A5172" i="1"/>
  <c r="B5172" i="1"/>
  <c r="A5173" i="1"/>
  <c r="B5173" i="1"/>
  <c r="A5174" i="1"/>
  <c r="B5174" i="1"/>
  <c r="A5175" i="1"/>
  <c r="B5175" i="1"/>
  <c r="A5176" i="1"/>
  <c r="B5176" i="1"/>
  <c r="A5177" i="1"/>
  <c r="B5177" i="1"/>
  <c r="A5178" i="1"/>
  <c r="B5178" i="1"/>
  <c r="A5179" i="1"/>
  <c r="B5179" i="1"/>
  <c r="A5180" i="1"/>
  <c r="B5180" i="1"/>
  <c r="A5181" i="1"/>
  <c r="B5181" i="1"/>
  <c r="A5182" i="1"/>
  <c r="B5182" i="1"/>
  <c r="A5183" i="1"/>
  <c r="B5183" i="1"/>
  <c r="A5184" i="1"/>
  <c r="B5184" i="1"/>
  <c r="A5185" i="1"/>
  <c r="B5185" i="1"/>
  <c r="A5186" i="1"/>
  <c r="B5186" i="1"/>
  <c r="A5187" i="1"/>
  <c r="B5187" i="1"/>
  <c r="A5188" i="1"/>
  <c r="B5188" i="1"/>
  <c r="A5189" i="1"/>
  <c r="B5189" i="1"/>
  <c r="A5190" i="1"/>
  <c r="B5190" i="1"/>
  <c r="A5191" i="1"/>
  <c r="B5191" i="1"/>
  <c r="A5192" i="1"/>
  <c r="B5192" i="1"/>
  <c r="A5193" i="1"/>
  <c r="B5193" i="1"/>
  <c r="A5194" i="1"/>
  <c r="B5194" i="1"/>
  <c r="A5195" i="1"/>
  <c r="B5195" i="1"/>
  <c r="A5196" i="1"/>
  <c r="B5196" i="1"/>
  <c r="A5197" i="1"/>
  <c r="B5197" i="1"/>
  <c r="A5198" i="1"/>
  <c r="B5198" i="1"/>
  <c r="A5199" i="1"/>
  <c r="B5199" i="1"/>
  <c r="A5200" i="1"/>
  <c r="B5200" i="1"/>
  <c r="A5201" i="1"/>
  <c r="B5201" i="1"/>
  <c r="A5202" i="1"/>
  <c r="B5202" i="1"/>
  <c r="A5203" i="1"/>
  <c r="B5203" i="1"/>
  <c r="A5204" i="1"/>
  <c r="B5204" i="1"/>
  <c r="A5205" i="1"/>
  <c r="B5205" i="1"/>
  <c r="A5206" i="1"/>
  <c r="B5206" i="1"/>
  <c r="A5207" i="1"/>
  <c r="B5207" i="1"/>
  <c r="A5208" i="1"/>
  <c r="B5208" i="1"/>
  <c r="A5209" i="1"/>
  <c r="B5209" i="1"/>
  <c r="A5210" i="1"/>
  <c r="B5210" i="1"/>
  <c r="A5211" i="1"/>
  <c r="B5211" i="1"/>
  <c r="A5212" i="1"/>
  <c r="B5212" i="1"/>
  <c r="A5213" i="1"/>
  <c r="B5213" i="1"/>
  <c r="A5214" i="1"/>
  <c r="B5214" i="1"/>
  <c r="A5215" i="1"/>
  <c r="B5215" i="1"/>
  <c r="A5216" i="1"/>
  <c r="B5216" i="1"/>
  <c r="A5217" i="1"/>
  <c r="B5217" i="1"/>
  <c r="A5218" i="1"/>
  <c r="B5218" i="1"/>
  <c r="A5219" i="1"/>
  <c r="B5219" i="1"/>
  <c r="A5220" i="1"/>
  <c r="B5220" i="1"/>
  <c r="A5221" i="1"/>
  <c r="B5221" i="1"/>
  <c r="A5222" i="1"/>
  <c r="B5222" i="1"/>
  <c r="A5223" i="1"/>
  <c r="B5223" i="1"/>
  <c r="A5224" i="1"/>
  <c r="B5224" i="1"/>
  <c r="A5225" i="1"/>
  <c r="B5225" i="1"/>
  <c r="A5226" i="1"/>
  <c r="B5226" i="1"/>
  <c r="A5227" i="1"/>
  <c r="B5227" i="1"/>
  <c r="A5228" i="1"/>
  <c r="B5228" i="1"/>
  <c r="A5229" i="1"/>
  <c r="B5229" i="1"/>
  <c r="A5230" i="1"/>
  <c r="B5230" i="1"/>
  <c r="A5231" i="1"/>
  <c r="B5231" i="1"/>
  <c r="A5232" i="1"/>
  <c r="B5232" i="1"/>
  <c r="A5233" i="1"/>
  <c r="B5233" i="1"/>
  <c r="A5234" i="1"/>
  <c r="B5234" i="1"/>
  <c r="A5235" i="1"/>
  <c r="B5235" i="1"/>
  <c r="A5236" i="1"/>
  <c r="B5236" i="1"/>
  <c r="A5237" i="1"/>
  <c r="B5237" i="1"/>
  <c r="A5238" i="1"/>
  <c r="B5238" i="1"/>
  <c r="A5239" i="1"/>
  <c r="B5239" i="1"/>
  <c r="A5240" i="1"/>
  <c r="B5240" i="1"/>
  <c r="A5241" i="1"/>
  <c r="B5241" i="1"/>
  <c r="A5242" i="1"/>
  <c r="B5242" i="1"/>
  <c r="A5243" i="1"/>
  <c r="B5243" i="1"/>
  <c r="A5244" i="1"/>
  <c r="B5244" i="1"/>
  <c r="A5245" i="1"/>
  <c r="B5245" i="1"/>
  <c r="A5246" i="1"/>
  <c r="B5246" i="1"/>
  <c r="A5247" i="1"/>
  <c r="B5247" i="1"/>
  <c r="A5248" i="1"/>
  <c r="B5248" i="1"/>
  <c r="A5249" i="1"/>
  <c r="B5249" i="1"/>
  <c r="A5250" i="1"/>
  <c r="B5250" i="1"/>
  <c r="A5251" i="1"/>
  <c r="B5251" i="1"/>
  <c r="A5252" i="1"/>
  <c r="B5252" i="1"/>
  <c r="A5253" i="1"/>
  <c r="B5253" i="1"/>
  <c r="A5254" i="1"/>
  <c r="B5254" i="1"/>
  <c r="A5255" i="1"/>
  <c r="B5255" i="1"/>
  <c r="A5256" i="1"/>
  <c r="B5256" i="1"/>
  <c r="A5257" i="1"/>
  <c r="B5257" i="1"/>
  <c r="A5258" i="1"/>
  <c r="B5258" i="1"/>
  <c r="A5259" i="1"/>
  <c r="B5259" i="1"/>
  <c r="A5260" i="1"/>
  <c r="B5260" i="1"/>
  <c r="A5261" i="1"/>
  <c r="B5261" i="1"/>
  <c r="A5262" i="1"/>
  <c r="B5262" i="1"/>
  <c r="A5263" i="1"/>
  <c r="B5263" i="1"/>
  <c r="A5264" i="1"/>
  <c r="B5264" i="1"/>
  <c r="A5265" i="1"/>
  <c r="B5265" i="1"/>
  <c r="A5266" i="1"/>
  <c r="B5266" i="1"/>
  <c r="A5267" i="1"/>
  <c r="B5267" i="1"/>
  <c r="A5268" i="1"/>
  <c r="B5268" i="1"/>
  <c r="A5269" i="1"/>
  <c r="B5269" i="1"/>
  <c r="A5270" i="1"/>
  <c r="B5270" i="1"/>
  <c r="A5271" i="1"/>
  <c r="B5271" i="1"/>
  <c r="A5272" i="1"/>
  <c r="B5272" i="1"/>
  <c r="A5273" i="1"/>
  <c r="B5273" i="1"/>
  <c r="A5274" i="1"/>
  <c r="B5274" i="1"/>
  <c r="A5275" i="1"/>
  <c r="B5275" i="1"/>
  <c r="A5276" i="1"/>
  <c r="B5276" i="1"/>
  <c r="A5277" i="1"/>
  <c r="B5277" i="1"/>
  <c r="A5278" i="1"/>
  <c r="B5278" i="1"/>
  <c r="A5279" i="1"/>
  <c r="B5279" i="1"/>
  <c r="A5280" i="1"/>
  <c r="B5280" i="1"/>
  <c r="A5281" i="1"/>
  <c r="B5281" i="1"/>
  <c r="A5282" i="1"/>
  <c r="B5282" i="1"/>
  <c r="A5283" i="1"/>
  <c r="B5283" i="1"/>
  <c r="A5284" i="1"/>
  <c r="B5284" i="1"/>
  <c r="A5285" i="1"/>
  <c r="B5285" i="1"/>
  <c r="A5286" i="1"/>
  <c r="B5286" i="1"/>
  <c r="A5287" i="1"/>
  <c r="B5287" i="1"/>
  <c r="A5288" i="1"/>
  <c r="B5288" i="1"/>
  <c r="A5289" i="1"/>
  <c r="B5289" i="1"/>
  <c r="A5290" i="1"/>
  <c r="B5290" i="1"/>
  <c r="A5291" i="1"/>
  <c r="B5291" i="1"/>
  <c r="A5292" i="1"/>
  <c r="B5292" i="1"/>
  <c r="A5293" i="1"/>
  <c r="B5293" i="1"/>
  <c r="A5294" i="1"/>
  <c r="B5294" i="1"/>
  <c r="A5295" i="1"/>
  <c r="B5295" i="1"/>
  <c r="A5296" i="1"/>
  <c r="B5296" i="1"/>
  <c r="A5297" i="1"/>
  <c r="B5297" i="1"/>
  <c r="A5298" i="1"/>
  <c r="B5298" i="1"/>
  <c r="A5299" i="1"/>
  <c r="B5299" i="1"/>
  <c r="A5300" i="1"/>
  <c r="B5300" i="1"/>
  <c r="A5301" i="1"/>
  <c r="B5301" i="1"/>
  <c r="A5302" i="1"/>
  <c r="B5302" i="1"/>
  <c r="A5303" i="1"/>
  <c r="B5303" i="1"/>
  <c r="A5304" i="1"/>
  <c r="B5304" i="1"/>
  <c r="A5305" i="1"/>
  <c r="B5305" i="1"/>
  <c r="A5306" i="1"/>
  <c r="B5306" i="1"/>
  <c r="A5307" i="1"/>
  <c r="B5307" i="1"/>
  <c r="A5308" i="1"/>
  <c r="B5308" i="1"/>
  <c r="A5309" i="1"/>
  <c r="B5309" i="1"/>
  <c r="A5310" i="1"/>
  <c r="B5310" i="1"/>
  <c r="A5311" i="1"/>
  <c r="B5311" i="1"/>
  <c r="A5312" i="1"/>
  <c r="B5312" i="1"/>
  <c r="A5313" i="1"/>
  <c r="B5313" i="1"/>
  <c r="A5314" i="1"/>
  <c r="B5314" i="1"/>
  <c r="A5315" i="1"/>
  <c r="B5315" i="1"/>
  <c r="A5316" i="1"/>
  <c r="B5316" i="1"/>
  <c r="A5317" i="1"/>
  <c r="B5317" i="1"/>
  <c r="A5318" i="1"/>
  <c r="B5318" i="1"/>
  <c r="A5319" i="1"/>
  <c r="B5319" i="1"/>
  <c r="A5320" i="1"/>
  <c r="B5320" i="1"/>
  <c r="A5321" i="1"/>
  <c r="B5321" i="1"/>
  <c r="A5322" i="1"/>
  <c r="B5322" i="1"/>
  <c r="A5323" i="1"/>
  <c r="B5323" i="1"/>
  <c r="A5324" i="1"/>
  <c r="B5324" i="1"/>
  <c r="A5325" i="1"/>
  <c r="B5325" i="1"/>
  <c r="A5326" i="1"/>
  <c r="B5326" i="1"/>
  <c r="A5327" i="1"/>
  <c r="B5327" i="1"/>
  <c r="A5328" i="1"/>
  <c r="B5328" i="1"/>
  <c r="A5329" i="1"/>
  <c r="B5329" i="1"/>
  <c r="A5330" i="1"/>
  <c r="B5330" i="1"/>
  <c r="A5331" i="1"/>
  <c r="B5331" i="1"/>
  <c r="A5332" i="1"/>
  <c r="B5332" i="1"/>
  <c r="A5333" i="1"/>
  <c r="B5333" i="1"/>
  <c r="A5334" i="1"/>
  <c r="B5334" i="1"/>
  <c r="A5335" i="1"/>
  <c r="B5335" i="1"/>
  <c r="A5336" i="1"/>
  <c r="B5336" i="1"/>
  <c r="A5337" i="1"/>
  <c r="B5337" i="1"/>
  <c r="A5338" i="1"/>
  <c r="B5338" i="1"/>
  <c r="A5339" i="1"/>
  <c r="B5339" i="1"/>
  <c r="A5340" i="1"/>
  <c r="B5340" i="1"/>
  <c r="A5341" i="1"/>
  <c r="B5341" i="1"/>
  <c r="A5342" i="1"/>
  <c r="B5342" i="1"/>
  <c r="A5343" i="1"/>
  <c r="B5343" i="1"/>
  <c r="A5344" i="1"/>
  <c r="B5344" i="1"/>
  <c r="A5345" i="1"/>
  <c r="B5345" i="1"/>
  <c r="A5346" i="1"/>
  <c r="B5346" i="1"/>
  <c r="A5347" i="1"/>
  <c r="B5347" i="1"/>
  <c r="A5348" i="1"/>
  <c r="B5348" i="1"/>
  <c r="A5349" i="1"/>
  <c r="B5349" i="1"/>
  <c r="A5350" i="1"/>
  <c r="B5350" i="1"/>
  <c r="A5351" i="1"/>
  <c r="B5351" i="1"/>
  <c r="A5352" i="1"/>
  <c r="B5352" i="1"/>
  <c r="A5353" i="1"/>
  <c r="B5353" i="1"/>
  <c r="A5354" i="1"/>
  <c r="B5354" i="1"/>
  <c r="A5355" i="1"/>
  <c r="B5355" i="1"/>
  <c r="A5356" i="1"/>
  <c r="B5356" i="1"/>
  <c r="A5357" i="1"/>
  <c r="B5357" i="1"/>
  <c r="A5358" i="1"/>
  <c r="B5358" i="1"/>
  <c r="A5359" i="1"/>
  <c r="B5359" i="1"/>
  <c r="A5360" i="1"/>
  <c r="B5360" i="1"/>
  <c r="A5361" i="1"/>
  <c r="B5361" i="1"/>
  <c r="A5362" i="1"/>
  <c r="B5362" i="1"/>
  <c r="A5363" i="1"/>
  <c r="B5363" i="1"/>
  <c r="A5364" i="1"/>
  <c r="B5364" i="1"/>
  <c r="A5365" i="1"/>
  <c r="B5365" i="1"/>
  <c r="A5366" i="1"/>
  <c r="B5366" i="1"/>
  <c r="A5367" i="1"/>
  <c r="B5367" i="1"/>
  <c r="A5368" i="1"/>
  <c r="B5368" i="1"/>
  <c r="A5369" i="1"/>
  <c r="B5369" i="1"/>
  <c r="A5370" i="1"/>
  <c r="B5370" i="1"/>
  <c r="A5371" i="1"/>
  <c r="B5371" i="1"/>
  <c r="A5372" i="1"/>
  <c r="B5372" i="1"/>
  <c r="A5373" i="1"/>
  <c r="B5373" i="1"/>
  <c r="A5374" i="1"/>
  <c r="B5374" i="1"/>
  <c r="A5375" i="1"/>
  <c r="B5375" i="1"/>
  <c r="A5376" i="1"/>
  <c r="B5376" i="1"/>
  <c r="A5377" i="1"/>
  <c r="B5377" i="1"/>
  <c r="A5378" i="1"/>
  <c r="B5378" i="1"/>
  <c r="A5379" i="1"/>
  <c r="B5379" i="1"/>
  <c r="A5380" i="1"/>
  <c r="B5380" i="1"/>
  <c r="A5381" i="1"/>
  <c r="B5381" i="1"/>
  <c r="A5382" i="1"/>
  <c r="B5382" i="1"/>
  <c r="A5383" i="1"/>
  <c r="B5383" i="1"/>
  <c r="A5384" i="1"/>
  <c r="B5384" i="1"/>
  <c r="A5385" i="1"/>
  <c r="B5385" i="1"/>
  <c r="A5386" i="1"/>
  <c r="B5386" i="1"/>
  <c r="A5387" i="1"/>
  <c r="B5387" i="1"/>
  <c r="A5388" i="1"/>
  <c r="B5388" i="1"/>
  <c r="A5389" i="1"/>
  <c r="B5389" i="1"/>
  <c r="A5390" i="1"/>
  <c r="B5390" i="1"/>
  <c r="A5391" i="1"/>
  <c r="B5391" i="1"/>
  <c r="A5392" i="1"/>
  <c r="B5392" i="1"/>
  <c r="A5393" i="1"/>
  <c r="B5393" i="1"/>
  <c r="A5394" i="1"/>
  <c r="B5394" i="1"/>
  <c r="A5395" i="1"/>
  <c r="B5395" i="1"/>
  <c r="A5396" i="1"/>
  <c r="B5396" i="1"/>
  <c r="A5397" i="1"/>
  <c r="B5397" i="1"/>
  <c r="A5398" i="1"/>
  <c r="B5398" i="1"/>
  <c r="A5399" i="1"/>
  <c r="B5399" i="1"/>
  <c r="A5400" i="1"/>
  <c r="B5400" i="1"/>
  <c r="A5401" i="1"/>
  <c r="B5401" i="1"/>
  <c r="A5402" i="1"/>
  <c r="B5402" i="1"/>
  <c r="A5403" i="1"/>
  <c r="B5403" i="1"/>
  <c r="A5404" i="1"/>
  <c r="B5404" i="1"/>
  <c r="A5405" i="1"/>
  <c r="B5405" i="1"/>
  <c r="A5406" i="1"/>
  <c r="B5406" i="1"/>
  <c r="A5407" i="1"/>
  <c r="B5407" i="1"/>
  <c r="A5408" i="1"/>
  <c r="B5408" i="1"/>
  <c r="A5409" i="1"/>
  <c r="B5409" i="1"/>
  <c r="A5410" i="1"/>
  <c r="B5410" i="1"/>
  <c r="A5411" i="1"/>
  <c r="B5411" i="1"/>
  <c r="A5412" i="1"/>
  <c r="B5412" i="1"/>
  <c r="A5413" i="1"/>
  <c r="B5413" i="1"/>
  <c r="A5414" i="1"/>
  <c r="B5414" i="1"/>
  <c r="A5415" i="1"/>
  <c r="B5415" i="1"/>
  <c r="A5416" i="1"/>
  <c r="B5416" i="1"/>
  <c r="A5417" i="1"/>
  <c r="B5417" i="1"/>
  <c r="A5418" i="1"/>
  <c r="B5418" i="1"/>
  <c r="A5419" i="1"/>
  <c r="B5419" i="1"/>
  <c r="A5420" i="1"/>
  <c r="B5420" i="1"/>
  <c r="A5421" i="1"/>
  <c r="B5421" i="1"/>
  <c r="A5422" i="1"/>
  <c r="B5422" i="1"/>
  <c r="A5423" i="1"/>
  <c r="B5423" i="1"/>
  <c r="A5424" i="1"/>
  <c r="B5424" i="1"/>
  <c r="A5425" i="1"/>
  <c r="B5425" i="1"/>
  <c r="A5426" i="1"/>
  <c r="B5426" i="1"/>
  <c r="A5427" i="1"/>
  <c r="B5427" i="1"/>
  <c r="A5428" i="1"/>
  <c r="B5428" i="1"/>
  <c r="A5429" i="1"/>
  <c r="B5429" i="1"/>
  <c r="A5430" i="1"/>
  <c r="B5430" i="1"/>
  <c r="A5431" i="1"/>
  <c r="B5431" i="1"/>
  <c r="A5432" i="1"/>
  <c r="B5432" i="1"/>
  <c r="A5433" i="1"/>
  <c r="B5433" i="1"/>
  <c r="A5434" i="1"/>
  <c r="B5434" i="1"/>
  <c r="A5435" i="1"/>
  <c r="B5435" i="1"/>
  <c r="A5436" i="1"/>
  <c r="B5436" i="1"/>
  <c r="A5437" i="1"/>
  <c r="B5437" i="1"/>
  <c r="A5438" i="1"/>
  <c r="B5438" i="1"/>
  <c r="A5439" i="1"/>
  <c r="B5439" i="1"/>
  <c r="A5440" i="1"/>
  <c r="B5440" i="1"/>
  <c r="A5441" i="1"/>
  <c r="B5441" i="1"/>
  <c r="A5442" i="1"/>
  <c r="B5442" i="1"/>
  <c r="A5443" i="1"/>
  <c r="B5443" i="1"/>
  <c r="A5444" i="1"/>
  <c r="B5444" i="1"/>
  <c r="A5445" i="1"/>
  <c r="B5445" i="1"/>
  <c r="A5446" i="1"/>
  <c r="B5446" i="1"/>
  <c r="A5447" i="1"/>
  <c r="B5447" i="1"/>
  <c r="A5448" i="1"/>
  <c r="B5448" i="1"/>
  <c r="A5449" i="1"/>
  <c r="B5449" i="1"/>
  <c r="A5450" i="1"/>
  <c r="B5450" i="1"/>
  <c r="A5451" i="1"/>
  <c r="B5451" i="1"/>
  <c r="A5452" i="1"/>
  <c r="B5452" i="1"/>
  <c r="A5453" i="1"/>
  <c r="B5453" i="1"/>
  <c r="A5454" i="1"/>
  <c r="B5454" i="1"/>
  <c r="A5455" i="1"/>
  <c r="B5455" i="1"/>
  <c r="A5456" i="1"/>
  <c r="B5456" i="1"/>
  <c r="A5457" i="1"/>
  <c r="B5457" i="1"/>
  <c r="A5458" i="1"/>
  <c r="B5458" i="1"/>
  <c r="A5459" i="1"/>
  <c r="B5459" i="1"/>
  <c r="A5460" i="1"/>
  <c r="B5460" i="1"/>
  <c r="A5461" i="1"/>
  <c r="B5461" i="1"/>
  <c r="A5462" i="1"/>
  <c r="B5462" i="1"/>
  <c r="A5463" i="1"/>
  <c r="B5463" i="1"/>
  <c r="A5464" i="1"/>
  <c r="B5464" i="1"/>
  <c r="A5465" i="1"/>
  <c r="B5465" i="1"/>
  <c r="A5466" i="1"/>
  <c r="B5466" i="1"/>
  <c r="A5467" i="1"/>
  <c r="B5467" i="1"/>
  <c r="A5468" i="1"/>
  <c r="B5468" i="1"/>
  <c r="A5469" i="1"/>
  <c r="B5469" i="1"/>
  <c r="A5470" i="1"/>
  <c r="B5470" i="1"/>
  <c r="A5471" i="1"/>
  <c r="B5471" i="1"/>
  <c r="A5472" i="1"/>
  <c r="B5472" i="1"/>
  <c r="A5473" i="1"/>
  <c r="B5473" i="1"/>
  <c r="A5474" i="1"/>
  <c r="B5474" i="1"/>
  <c r="A5475" i="1"/>
  <c r="B5475" i="1"/>
  <c r="A5476" i="1"/>
  <c r="B5476" i="1"/>
  <c r="A5477" i="1"/>
  <c r="B5477" i="1"/>
  <c r="A5478" i="1"/>
  <c r="B5478" i="1"/>
  <c r="A5479" i="1"/>
  <c r="B5479" i="1"/>
  <c r="A5480" i="1"/>
  <c r="B5480" i="1"/>
  <c r="A5481" i="1"/>
  <c r="B5481" i="1"/>
  <c r="A5482" i="1"/>
  <c r="B5482" i="1"/>
  <c r="A5483" i="1"/>
  <c r="B5483" i="1"/>
  <c r="A5484" i="1"/>
  <c r="B5484" i="1"/>
  <c r="A5485" i="1"/>
  <c r="B5485" i="1"/>
  <c r="A5486" i="1"/>
  <c r="B5486" i="1"/>
  <c r="A5487" i="1"/>
  <c r="B5487" i="1"/>
  <c r="A5488" i="1"/>
  <c r="B5488" i="1"/>
  <c r="A5489" i="1"/>
  <c r="B5489" i="1"/>
  <c r="A5490" i="1"/>
  <c r="B5490" i="1"/>
  <c r="A5491" i="1"/>
  <c r="B5491" i="1"/>
  <c r="A5492" i="1"/>
  <c r="B5492" i="1"/>
  <c r="A5493" i="1"/>
  <c r="B5493" i="1"/>
  <c r="A5494" i="1"/>
  <c r="B5494" i="1"/>
  <c r="A5495" i="1"/>
  <c r="B5495" i="1"/>
  <c r="A5496" i="1"/>
  <c r="B5496" i="1"/>
  <c r="A5497" i="1"/>
  <c r="B5497" i="1"/>
  <c r="A5498" i="1"/>
  <c r="B5498" i="1"/>
  <c r="A5499" i="1"/>
  <c r="B5499" i="1"/>
  <c r="A5500" i="1"/>
  <c r="B5500" i="1"/>
  <c r="A5501" i="1"/>
  <c r="B5501" i="1"/>
  <c r="A5502" i="1"/>
  <c r="B5502" i="1"/>
  <c r="A5503" i="1"/>
  <c r="B5503" i="1"/>
  <c r="A5504" i="1"/>
  <c r="B5504" i="1"/>
  <c r="A5505" i="1"/>
  <c r="B5505" i="1"/>
  <c r="A5506" i="1"/>
  <c r="B5506" i="1"/>
  <c r="A5507" i="1"/>
  <c r="B5507" i="1"/>
  <c r="A5508" i="1"/>
  <c r="B5508" i="1"/>
  <c r="A5509" i="1"/>
  <c r="B5509" i="1"/>
  <c r="A5510" i="1"/>
  <c r="B5510" i="1"/>
  <c r="A5511" i="1"/>
  <c r="B5511" i="1"/>
  <c r="A5512" i="1"/>
  <c r="B5512" i="1"/>
  <c r="A5513" i="1"/>
  <c r="B5513" i="1"/>
  <c r="A5514" i="1"/>
  <c r="B5514" i="1"/>
  <c r="A5515" i="1"/>
  <c r="B5515" i="1"/>
  <c r="A5516" i="1"/>
  <c r="B5516" i="1"/>
  <c r="A5517" i="1"/>
  <c r="B5517" i="1"/>
  <c r="A5518" i="1"/>
  <c r="B5518" i="1"/>
  <c r="A5519" i="1"/>
  <c r="B5519" i="1"/>
  <c r="A5520" i="1"/>
  <c r="B5520" i="1"/>
  <c r="A5521" i="1"/>
  <c r="B5521" i="1"/>
  <c r="A5522" i="1"/>
  <c r="B5522" i="1"/>
  <c r="A5523" i="1"/>
  <c r="B5523" i="1"/>
  <c r="A5524" i="1"/>
  <c r="B5524" i="1"/>
  <c r="A5525" i="1"/>
  <c r="B5525" i="1"/>
  <c r="A5526" i="1"/>
  <c r="B5526" i="1"/>
  <c r="A5527" i="1"/>
  <c r="B5527" i="1"/>
  <c r="A5528" i="1"/>
  <c r="B5528" i="1"/>
  <c r="A5529" i="1"/>
  <c r="B5529" i="1"/>
  <c r="A5530" i="1"/>
  <c r="B5530" i="1"/>
  <c r="A5531" i="1"/>
  <c r="B5531" i="1"/>
  <c r="A5532" i="1"/>
  <c r="B5532" i="1"/>
  <c r="A5533" i="1"/>
  <c r="B5533" i="1"/>
  <c r="A5534" i="1"/>
  <c r="B5534" i="1"/>
  <c r="A5535" i="1"/>
  <c r="B5535" i="1"/>
  <c r="A5536" i="1"/>
  <c r="B5536" i="1"/>
  <c r="A5537" i="1"/>
  <c r="B5537" i="1"/>
  <c r="A5538" i="1"/>
  <c r="B5538" i="1"/>
  <c r="A5539" i="1"/>
  <c r="B5539" i="1"/>
  <c r="A5540" i="1"/>
  <c r="B5540" i="1"/>
  <c r="A5541" i="1"/>
  <c r="B5541" i="1"/>
  <c r="A5542" i="1"/>
  <c r="B5542" i="1"/>
  <c r="A5543" i="1"/>
  <c r="B5543" i="1"/>
  <c r="A5544" i="1"/>
  <c r="B5544" i="1"/>
  <c r="A5545" i="1"/>
  <c r="B5545" i="1"/>
  <c r="A5546" i="1"/>
  <c r="B5546" i="1"/>
  <c r="A5547" i="1"/>
  <c r="B5547" i="1"/>
  <c r="A5548" i="1"/>
  <c r="B5548" i="1"/>
  <c r="A5549" i="1"/>
  <c r="B5549" i="1"/>
  <c r="A5550" i="1"/>
  <c r="B5550" i="1"/>
  <c r="A5551" i="1"/>
  <c r="B5551" i="1"/>
  <c r="A5552" i="1"/>
  <c r="B5552" i="1"/>
  <c r="A5553" i="1"/>
  <c r="B5553" i="1"/>
  <c r="A5554" i="1"/>
  <c r="B5554" i="1"/>
  <c r="A5555" i="1"/>
  <c r="B5555" i="1"/>
  <c r="A5556" i="1"/>
  <c r="B5556" i="1"/>
  <c r="A5557" i="1"/>
  <c r="B5557" i="1"/>
  <c r="A5558" i="1"/>
  <c r="B5558" i="1"/>
  <c r="A5559" i="1"/>
  <c r="B5559" i="1"/>
  <c r="A5560" i="1"/>
  <c r="B5560" i="1"/>
  <c r="A5561" i="1"/>
  <c r="B5561" i="1"/>
  <c r="A5562" i="1"/>
  <c r="B5562" i="1"/>
  <c r="A5563" i="1"/>
  <c r="B5563" i="1"/>
  <c r="A5564" i="1"/>
  <c r="B5564" i="1"/>
  <c r="A5565" i="1"/>
  <c r="B5565" i="1"/>
  <c r="A5566" i="1"/>
  <c r="B5566" i="1"/>
  <c r="A5567" i="1"/>
  <c r="B5567" i="1"/>
  <c r="A5568" i="1"/>
  <c r="B5568" i="1"/>
  <c r="A5569" i="1"/>
  <c r="B5569" i="1"/>
  <c r="A5570" i="1"/>
  <c r="B5570" i="1"/>
  <c r="A5571" i="1"/>
  <c r="B5571" i="1"/>
  <c r="A5572" i="1"/>
  <c r="B5572" i="1"/>
  <c r="A5573" i="1"/>
  <c r="B5573" i="1"/>
  <c r="A5574" i="1"/>
  <c r="B5574" i="1"/>
  <c r="A5575" i="1"/>
  <c r="B5575" i="1"/>
  <c r="A5576" i="1"/>
  <c r="B5576" i="1"/>
  <c r="A5577" i="1"/>
  <c r="B5577" i="1"/>
  <c r="A5578" i="1"/>
  <c r="B5578" i="1"/>
  <c r="A5579" i="1"/>
  <c r="B5579" i="1"/>
  <c r="A5580" i="1"/>
  <c r="B5580" i="1"/>
  <c r="A5581" i="1"/>
  <c r="B5581" i="1"/>
  <c r="A5582" i="1"/>
  <c r="B5582" i="1"/>
  <c r="A5583" i="1"/>
  <c r="B5583" i="1"/>
  <c r="A5584" i="1"/>
  <c r="B5584" i="1"/>
  <c r="A5585" i="1"/>
  <c r="B5585" i="1"/>
  <c r="A5586" i="1"/>
  <c r="B5586" i="1"/>
  <c r="A5587" i="1"/>
  <c r="B5587" i="1"/>
  <c r="A5588" i="1"/>
  <c r="B5588" i="1"/>
  <c r="A5589" i="1"/>
  <c r="B5589" i="1"/>
  <c r="A5590" i="1"/>
  <c r="B5590" i="1"/>
  <c r="A5591" i="1"/>
  <c r="B5591" i="1"/>
  <c r="A5592" i="1"/>
  <c r="B5592" i="1"/>
  <c r="A5593" i="1"/>
  <c r="B5593" i="1"/>
  <c r="A5594" i="1"/>
  <c r="B5594" i="1"/>
  <c r="A5595" i="1"/>
  <c r="B5595" i="1"/>
  <c r="A5596" i="1"/>
  <c r="B5596" i="1"/>
  <c r="A5597" i="1"/>
  <c r="B5597" i="1"/>
  <c r="A5598" i="1"/>
  <c r="B5598" i="1"/>
  <c r="A5599" i="1"/>
  <c r="B5599" i="1"/>
  <c r="A5600" i="1"/>
  <c r="B5600" i="1"/>
  <c r="A5601" i="1"/>
  <c r="B5601" i="1"/>
  <c r="A5602" i="1"/>
  <c r="B5602" i="1"/>
  <c r="A5603" i="1"/>
  <c r="B5603" i="1"/>
  <c r="A5604" i="1"/>
  <c r="B5604" i="1"/>
  <c r="A5605" i="1"/>
  <c r="B5605" i="1"/>
  <c r="A5606" i="1"/>
  <c r="B5606" i="1"/>
  <c r="A5607" i="1"/>
  <c r="B5607" i="1"/>
  <c r="A5608" i="1"/>
  <c r="B5608" i="1"/>
  <c r="A5609" i="1"/>
  <c r="B5609" i="1"/>
  <c r="A5610" i="1"/>
  <c r="B5610" i="1"/>
  <c r="A5611" i="1"/>
  <c r="B5611" i="1"/>
  <c r="A5612" i="1"/>
  <c r="B5612" i="1"/>
  <c r="A5613" i="1"/>
  <c r="B5613" i="1"/>
  <c r="A5614" i="1"/>
  <c r="B5614" i="1"/>
  <c r="A5615" i="1"/>
  <c r="B5615" i="1"/>
  <c r="A5616" i="1"/>
  <c r="B5616" i="1"/>
  <c r="A5617" i="1"/>
  <c r="B5617" i="1"/>
  <c r="A5618" i="1"/>
  <c r="B5618" i="1"/>
  <c r="A5619" i="1"/>
  <c r="B5619" i="1"/>
  <c r="A5620" i="1"/>
  <c r="B5620" i="1"/>
  <c r="A5621" i="1"/>
  <c r="B5621" i="1"/>
  <c r="A5622" i="1"/>
  <c r="B5622" i="1"/>
  <c r="A5623" i="1"/>
  <c r="B5623" i="1"/>
  <c r="A5624" i="1"/>
  <c r="B5624" i="1"/>
  <c r="A5625" i="1"/>
  <c r="B5625" i="1"/>
  <c r="A5626" i="1"/>
  <c r="B5626" i="1"/>
  <c r="A5627" i="1"/>
  <c r="B5627" i="1"/>
  <c r="A5628" i="1"/>
  <c r="B5628" i="1"/>
  <c r="A5629" i="1"/>
  <c r="B5629" i="1"/>
  <c r="A5630" i="1"/>
  <c r="B5630" i="1"/>
  <c r="A5631" i="1"/>
  <c r="B5631" i="1"/>
  <c r="A5632" i="1"/>
  <c r="B5632" i="1"/>
  <c r="A5633" i="1"/>
  <c r="B5633" i="1"/>
  <c r="A5634" i="1"/>
  <c r="B5634" i="1"/>
  <c r="A5635" i="1"/>
  <c r="B5635" i="1"/>
  <c r="A5636" i="1"/>
  <c r="B5636" i="1"/>
  <c r="A5637" i="1"/>
  <c r="B5637" i="1"/>
  <c r="A5638" i="1"/>
  <c r="B5638" i="1"/>
  <c r="A5639" i="1"/>
  <c r="B5639" i="1"/>
  <c r="A5640" i="1"/>
  <c r="B5640" i="1"/>
  <c r="A5641" i="1"/>
  <c r="B5641" i="1"/>
  <c r="A5642" i="1"/>
  <c r="B5642" i="1"/>
  <c r="A5643" i="1"/>
  <c r="B5643" i="1"/>
  <c r="A5644" i="1"/>
  <c r="B5644" i="1"/>
  <c r="A5645" i="1"/>
  <c r="B5645" i="1"/>
  <c r="A5646" i="1"/>
  <c r="B5646" i="1"/>
  <c r="A5647" i="1"/>
  <c r="B5647" i="1"/>
  <c r="A5648" i="1"/>
  <c r="B5648" i="1"/>
  <c r="A5649" i="1"/>
  <c r="B5649" i="1"/>
  <c r="A5650" i="1"/>
  <c r="B5650" i="1"/>
  <c r="A5651" i="1"/>
  <c r="B5651" i="1"/>
  <c r="A5652" i="1"/>
  <c r="B5652" i="1"/>
  <c r="A5653" i="1"/>
  <c r="B5653" i="1"/>
  <c r="A5654" i="1"/>
  <c r="B5654" i="1"/>
  <c r="A5655" i="1"/>
  <c r="B5655" i="1"/>
  <c r="A5656" i="1"/>
  <c r="B5656" i="1"/>
  <c r="A5657" i="1"/>
  <c r="B5657" i="1"/>
  <c r="A5658" i="1"/>
  <c r="B5658" i="1"/>
  <c r="A5659" i="1"/>
  <c r="B5659" i="1"/>
  <c r="A5660" i="1"/>
  <c r="B5660" i="1"/>
  <c r="A5661" i="1"/>
  <c r="B5661" i="1"/>
  <c r="A5662" i="1"/>
  <c r="B5662" i="1"/>
  <c r="A5663" i="1"/>
  <c r="B5663" i="1"/>
  <c r="A5664" i="1"/>
  <c r="B5664" i="1"/>
  <c r="A5665" i="1"/>
  <c r="B5665" i="1"/>
  <c r="A5666" i="1"/>
  <c r="B5666" i="1"/>
  <c r="A5667" i="1"/>
  <c r="B5667" i="1"/>
  <c r="A5668" i="1"/>
  <c r="B5668" i="1"/>
  <c r="A5669" i="1"/>
  <c r="B5669" i="1"/>
  <c r="A5670" i="1"/>
  <c r="B5670" i="1"/>
  <c r="A5671" i="1"/>
  <c r="B5671" i="1"/>
  <c r="A5672" i="1"/>
  <c r="B5672" i="1"/>
  <c r="A5673" i="1"/>
  <c r="B5673" i="1"/>
  <c r="A5674" i="1"/>
  <c r="B5674" i="1"/>
  <c r="A5675" i="1"/>
  <c r="B5675" i="1"/>
  <c r="A5676" i="1"/>
  <c r="B5676" i="1"/>
  <c r="A5677" i="1"/>
  <c r="B5677" i="1"/>
  <c r="A5678" i="1"/>
  <c r="B5678" i="1"/>
  <c r="A5679" i="1"/>
  <c r="B5679" i="1"/>
  <c r="A5680" i="1"/>
  <c r="B5680" i="1"/>
  <c r="A5681" i="1"/>
  <c r="B5681" i="1"/>
  <c r="A5682" i="1"/>
  <c r="B5682" i="1"/>
  <c r="A5683" i="1"/>
  <c r="B5683" i="1"/>
  <c r="A5684" i="1"/>
  <c r="B5684" i="1"/>
  <c r="A5685" i="1"/>
  <c r="B5685" i="1"/>
  <c r="A5686" i="1"/>
  <c r="B5686" i="1"/>
  <c r="A5687" i="1"/>
  <c r="B5687" i="1"/>
  <c r="A5688" i="1"/>
  <c r="B5688" i="1"/>
  <c r="A5689" i="1"/>
  <c r="B5689" i="1"/>
  <c r="A5690" i="1"/>
  <c r="B5690" i="1"/>
  <c r="A5691" i="1"/>
  <c r="B5691" i="1"/>
  <c r="A5692" i="1"/>
  <c r="B5692" i="1"/>
  <c r="A5693" i="1"/>
  <c r="B5693" i="1"/>
  <c r="A5694" i="1"/>
  <c r="B5694" i="1"/>
  <c r="A5695" i="1"/>
  <c r="B5695" i="1"/>
  <c r="A5696" i="1"/>
  <c r="B5696" i="1"/>
  <c r="A5697" i="1"/>
  <c r="B5697" i="1"/>
  <c r="A5698" i="1"/>
  <c r="B5698" i="1"/>
  <c r="A5699" i="1"/>
  <c r="B5699" i="1"/>
  <c r="A5700" i="1"/>
  <c r="B5700" i="1"/>
  <c r="A5701" i="1"/>
  <c r="B5701" i="1"/>
  <c r="A5702" i="1"/>
  <c r="B5702" i="1"/>
  <c r="A5703" i="1"/>
  <c r="B5703" i="1"/>
  <c r="A5704" i="1"/>
  <c r="B5704" i="1"/>
  <c r="A5705" i="1"/>
  <c r="B5705" i="1"/>
  <c r="A5706" i="1"/>
  <c r="B5706" i="1"/>
  <c r="A5707" i="1"/>
  <c r="B5707" i="1"/>
  <c r="A5708" i="1"/>
  <c r="B5708" i="1"/>
  <c r="A5709" i="1"/>
  <c r="B5709" i="1"/>
  <c r="A5710" i="1"/>
  <c r="B5710" i="1"/>
  <c r="A5711" i="1"/>
  <c r="B5711" i="1"/>
  <c r="A5712" i="1"/>
  <c r="B5712" i="1"/>
  <c r="A5713" i="1"/>
  <c r="B5713" i="1"/>
  <c r="A5714" i="1"/>
  <c r="B5714" i="1"/>
  <c r="A5715" i="1"/>
  <c r="B5715" i="1"/>
  <c r="A5716" i="1"/>
  <c r="B5716" i="1"/>
  <c r="A5717" i="1"/>
  <c r="B5717" i="1"/>
  <c r="A5718" i="1"/>
  <c r="B5718" i="1"/>
  <c r="A5719" i="1"/>
  <c r="B5719" i="1"/>
  <c r="A5720" i="1"/>
  <c r="B5720" i="1"/>
  <c r="A5721" i="1"/>
  <c r="B5721" i="1"/>
  <c r="A5722" i="1"/>
  <c r="B5722" i="1"/>
  <c r="A5723" i="1"/>
  <c r="B5723" i="1"/>
  <c r="A5724" i="1"/>
  <c r="B5724" i="1"/>
  <c r="A5725" i="1"/>
  <c r="B5725" i="1"/>
  <c r="A5726" i="1"/>
  <c r="B5726" i="1"/>
  <c r="A5727" i="1"/>
  <c r="B5727" i="1"/>
  <c r="A5728" i="1"/>
  <c r="B5728" i="1"/>
  <c r="A5729" i="1"/>
  <c r="B5729" i="1"/>
  <c r="A5730" i="1"/>
  <c r="B5730" i="1"/>
  <c r="A5731" i="1"/>
  <c r="B5731" i="1"/>
  <c r="A5732" i="1"/>
  <c r="B5732" i="1"/>
  <c r="A5733" i="1"/>
  <c r="B5733" i="1"/>
  <c r="A5734" i="1"/>
  <c r="B5734" i="1"/>
  <c r="A5735" i="1"/>
  <c r="B5735" i="1"/>
  <c r="A5736" i="1"/>
  <c r="B5736" i="1"/>
  <c r="A5737" i="1"/>
  <c r="B5737" i="1"/>
  <c r="A5738" i="1"/>
  <c r="B5738" i="1"/>
  <c r="A5739" i="1"/>
  <c r="B5739" i="1"/>
  <c r="A5740" i="1"/>
  <c r="B5740" i="1"/>
  <c r="A5741" i="1"/>
  <c r="B5741" i="1"/>
  <c r="A5742" i="1"/>
  <c r="B5742" i="1"/>
  <c r="A5743" i="1"/>
  <c r="B5743" i="1"/>
  <c r="A5744" i="1"/>
  <c r="B5744" i="1"/>
  <c r="A5745" i="1"/>
  <c r="B5745" i="1"/>
  <c r="A5746" i="1"/>
  <c r="B5746" i="1"/>
  <c r="A5747" i="1"/>
  <c r="B5747" i="1"/>
  <c r="A5748" i="1"/>
  <c r="B5748" i="1"/>
  <c r="A5749" i="1"/>
  <c r="B5749" i="1"/>
  <c r="A5750" i="1"/>
  <c r="B5750" i="1"/>
  <c r="A5751" i="1"/>
  <c r="B5751" i="1"/>
  <c r="A5752" i="1"/>
  <c r="B5752" i="1"/>
  <c r="A5753" i="1"/>
  <c r="B5753" i="1"/>
  <c r="A5754" i="1"/>
  <c r="B5754" i="1"/>
  <c r="A5755" i="1"/>
  <c r="B5755" i="1"/>
  <c r="A5756" i="1"/>
  <c r="B5756" i="1"/>
  <c r="A5757" i="1"/>
  <c r="B5757" i="1"/>
  <c r="A5758" i="1"/>
  <c r="B5758" i="1"/>
  <c r="A5759" i="1"/>
  <c r="B5759" i="1"/>
  <c r="A5760" i="1"/>
  <c r="B5760" i="1"/>
  <c r="A5761" i="1"/>
  <c r="B5761" i="1"/>
  <c r="A5762" i="1"/>
  <c r="B5762" i="1"/>
  <c r="A5763" i="1"/>
  <c r="B5763" i="1"/>
  <c r="A5764" i="1"/>
  <c r="B5764" i="1"/>
  <c r="A5765" i="1"/>
  <c r="B5765" i="1"/>
  <c r="A5766" i="1"/>
  <c r="B5766" i="1"/>
  <c r="A5767" i="1"/>
  <c r="B5767" i="1"/>
  <c r="A5768" i="1"/>
  <c r="B5768" i="1"/>
  <c r="A5769" i="1"/>
  <c r="B5769" i="1"/>
  <c r="A5770" i="1"/>
  <c r="B5770" i="1"/>
  <c r="A5771" i="1"/>
  <c r="B5771" i="1"/>
  <c r="A5772" i="1"/>
  <c r="B5772" i="1"/>
  <c r="A5773" i="1"/>
  <c r="B5773" i="1"/>
  <c r="A5774" i="1"/>
  <c r="B5774" i="1"/>
  <c r="A5775" i="1"/>
  <c r="B5775" i="1"/>
  <c r="A5776" i="1"/>
  <c r="B5776" i="1"/>
  <c r="A5777" i="1"/>
  <c r="B5777" i="1"/>
  <c r="A5778" i="1"/>
  <c r="B5778" i="1"/>
  <c r="A5779" i="1"/>
  <c r="B5779" i="1"/>
  <c r="A5780" i="1"/>
  <c r="B5780" i="1"/>
  <c r="A5781" i="1"/>
  <c r="B5781" i="1"/>
  <c r="A5782" i="1"/>
  <c r="B5782" i="1"/>
  <c r="A5783" i="1"/>
  <c r="B5783" i="1"/>
  <c r="A5784" i="1"/>
  <c r="B5784" i="1"/>
  <c r="A5785" i="1"/>
  <c r="B5785" i="1"/>
  <c r="A5786" i="1"/>
  <c r="B5786" i="1"/>
  <c r="A5787" i="1"/>
  <c r="B5787" i="1"/>
  <c r="A5788" i="1"/>
  <c r="B5788" i="1"/>
  <c r="A5789" i="1"/>
  <c r="B5789" i="1"/>
  <c r="A5790" i="1"/>
  <c r="B5790" i="1"/>
  <c r="A5791" i="1"/>
  <c r="B5791" i="1"/>
  <c r="A5792" i="1"/>
  <c r="B5792" i="1"/>
  <c r="A5793" i="1"/>
  <c r="B5793" i="1"/>
  <c r="A5794" i="1"/>
  <c r="B5794" i="1"/>
  <c r="A5795" i="1"/>
  <c r="B5795" i="1"/>
  <c r="A5796" i="1"/>
  <c r="B5796" i="1"/>
  <c r="A5797" i="1"/>
  <c r="B5797" i="1"/>
  <c r="A5798" i="1"/>
  <c r="B5798" i="1"/>
  <c r="A5799" i="1"/>
  <c r="B5799" i="1"/>
  <c r="A5800" i="1"/>
  <c r="B5800" i="1"/>
  <c r="A5801" i="1"/>
  <c r="B5801" i="1"/>
  <c r="A5802" i="1"/>
  <c r="B5802" i="1"/>
  <c r="A5803" i="1"/>
  <c r="B5803" i="1"/>
  <c r="A5804" i="1"/>
  <c r="B5804" i="1"/>
  <c r="A5805" i="1"/>
  <c r="B5805" i="1"/>
  <c r="A5806" i="1"/>
  <c r="B5806" i="1"/>
  <c r="A5807" i="1"/>
  <c r="B5807" i="1"/>
  <c r="A5808" i="1"/>
  <c r="B5808" i="1"/>
  <c r="A5809" i="1"/>
  <c r="B5809" i="1"/>
  <c r="A5810" i="1"/>
  <c r="B5810" i="1"/>
  <c r="A5811" i="1"/>
  <c r="B5811" i="1"/>
  <c r="A5812" i="1"/>
  <c r="B5812" i="1"/>
  <c r="A5813" i="1"/>
  <c r="B5813" i="1"/>
  <c r="A5814" i="1"/>
  <c r="B5814" i="1"/>
  <c r="A5815" i="1"/>
  <c r="B5815" i="1"/>
  <c r="A5816" i="1"/>
  <c r="B5816" i="1"/>
  <c r="A5817" i="1"/>
  <c r="B5817" i="1"/>
  <c r="A5818" i="1"/>
  <c r="B5818" i="1"/>
  <c r="A5819" i="1"/>
  <c r="B5819" i="1"/>
  <c r="A5820" i="1"/>
  <c r="B5820" i="1"/>
  <c r="A5821" i="1"/>
  <c r="B5821" i="1"/>
  <c r="A5822" i="1"/>
  <c r="B5822" i="1"/>
  <c r="A5823" i="1"/>
  <c r="B5823" i="1"/>
  <c r="A5824" i="1"/>
  <c r="B5824" i="1"/>
  <c r="A5825" i="1"/>
  <c r="B5825" i="1"/>
  <c r="A5826" i="1"/>
  <c r="B5826" i="1"/>
  <c r="A5827" i="1"/>
  <c r="B5827" i="1"/>
  <c r="A5828" i="1"/>
  <c r="B5828" i="1"/>
  <c r="A5829" i="1"/>
  <c r="B5829" i="1"/>
  <c r="A5830" i="1"/>
  <c r="B5830" i="1"/>
  <c r="A5831" i="1"/>
  <c r="B5831" i="1"/>
  <c r="A5832" i="1"/>
  <c r="B5832" i="1"/>
  <c r="A5833" i="1"/>
  <c r="B5833" i="1"/>
  <c r="A5834" i="1"/>
  <c r="B5834" i="1"/>
  <c r="A5835" i="1"/>
  <c r="B5835" i="1"/>
  <c r="A5836" i="1"/>
  <c r="B5836" i="1"/>
  <c r="A5837" i="1"/>
  <c r="B5837" i="1"/>
  <c r="A5838" i="1"/>
  <c r="B5838" i="1"/>
  <c r="A5839" i="1"/>
  <c r="B5839" i="1"/>
  <c r="A5840" i="1"/>
  <c r="B5840" i="1"/>
  <c r="A5841" i="1"/>
  <c r="B5841" i="1"/>
  <c r="A5842" i="1"/>
  <c r="B5842" i="1"/>
  <c r="A5843" i="1"/>
  <c r="B5843" i="1"/>
  <c r="A5844" i="1"/>
  <c r="B5844" i="1"/>
  <c r="A5845" i="1"/>
  <c r="B5845" i="1"/>
  <c r="A5846" i="1"/>
  <c r="B5846" i="1"/>
  <c r="A5847" i="1"/>
  <c r="B5847" i="1"/>
  <c r="A5848" i="1"/>
  <c r="B5848" i="1"/>
  <c r="A5849" i="1"/>
  <c r="B5849" i="1"/>
  <c r="A5850" i="1"/>
  <c r="B5850" i="1"/>
  <c r="A5851" i="1"/>
  <c r="B5851" i="1"/>
  <c r="A5852" i="1"/>
  <c r="B5852" i="1"/>
  <c r="A5853" i="1"/>
  <c r="B5853" i="1"/>
  <c r="A5854" i="1"/>
  <c r="B5854" i="1"/>
  <c r="A5855" i="1"/>
  <c r="B5855" i="1"/>
  <c r="A5856" i="1"/>
  <c r="B5856" i="1"/>
  <c r="A5857" i="1"/>
  <c r="B5857" i="1"/>
  <c r="A5858" i="1"/>
  <c r="B5858" i="1"/>
  <c r="A5859" i="1"/>
  <c r="B5859" i="1"/>
  <c r="A5860" i="1"/>
  <c r="B5860" i="1"/>
  <c r="A5861" i="1"/>
  <c r="B5861" i="1"/>
  <c r="A5862" i="1"/>
  <c r="B5862" i="1"/>
  <c r="A5863" i="1"/>
  <c r="B5863" i="1"/>
  <c r="A5864" i="1"/>
  <c r="B5864" i="1"/>
  <c r="A5865" i="1"/>
  <c r="B5865" i="1"/>
  <c r="A5866" i="1"/>
  <c r="B5866" i="1"/>
  <c r="A5867" i="1"/>
  <c r="B5867" i="1"/>
  <c r="A5868" i="1"/>
  <c r="B5868" i="1"/>
  <c r="A5869" i="1"/>
  <c r="B5869" i="1"/>
  <c r="A5870" i="1"/>
  <c r="B5870" i="1"/>
  <c r="A5871" i="1"/>
  <c r="B5871" i="1"/>
  <c r="A5872" i="1"/>
  <c r="B5872" i="1"/>
  <c r="A5873" i="1"/>
  <c r="B5873" i="1"/>
  <c r="A5874" i="1"/>
  <c r="B5874" i="1"/>
  <c r="A5875" i="1"/>
  <c r="B5875" i="1"/>
  <c r="A5876" i="1"/>
  <c r="B5876" i="1"/>
  <c r="A5877" i="1"/>
  <c r="B5877" i="1"/>
  <c r="A5878" i="1"/>
  <c r="B5878" i="1"/>
  <c r="A5879" i="1"/>
  <c r="B5879" i="1"/>
  <c r="A5880" i="1"/>
  <c r="B5880" i="1"/>
  <c r="A5881" i="1"/>
  <c r="B5881" i="1"/>
  <c r="A5882" i="1"/>
  <c r="B5882" i="1"/>
  <c r="A5883" i="1"/>
  <c r="B5883" i="1"/>
  <c r="A5884" i="1"/>
  <c r="B5884" i="1"/>
  <c r="A5885" i="1"/>
  <c r="B5885" i="1"/>
  <c r="A5886" i="1"/>
  <c r="B5886" i="1"/>
  <c r="A5887" i="1"/>
  <c r="B5887" i="1"/>
  <c r="A5888" i="1"/>
  <c r="B5888" i="1"/>
  <c r="A5889" i="1"/>
  <c r="B5889" i="1"/>
  <c r="A5890" i="1"/>
  <c r="B5890" i="1"/>
  <c r="A5891" i="1"/>
  <c r="B5891" i="1"/>
  <c r="A5892" i="1"/>
  <c r="B5892" i="1"/>
  <c r="A5893" i="1"/>
  <c r="B5893" i="1"/>
  <c r="A5894" i="1"/>
  <c r="B5894" i="1"/>
  <c r="A5895" i="1"/>
  <c r="B5895" i="1"/>
  <c r="A5896" i="1"/>
  <c r="B5896" i="1"/>
  <c r="A5897" i="1"/>
  <c r="B5897" i="1"/>
  <c r="A5898" i="1"/>
  <c r="B5898" i="1"/>
  <c r="A5899" i="1"/>
  <c r="B5899" i="1"/>
  <c r="A5900" i="1"/>
  <c r="B5900" i="1"/>
  <c r="A5901" i="1"/>
  <c r="B5901" i="1"/>
  <c r="A5902" i="1"/>
  <c r="B5902" i="1"/>
  <c r="A5903" i="1"/>
  <c r="B5903" i="1"/>
  <c r="A5904" i="1"/>
  <c r="B5904" i="1"/>
  <c r="A5905" i="1"/>
  <c r="B5905" i="1"/>
  <c r="A5906" i="1"/>
  <c r="B5906" i="1"/>
  <c r="A5907" i="1"/>
  <c r="B5907" i="1"/>
  <c r="A5908" i="1"/>
  <c r="B5908" i="1"/>
  <c r="A5909" i="1"/>
  <c r="B5909" i="1"/>
  <c r="A5910" i="1"/>
  <c r="B5910" i="1"/>
  <c r="A5911" i="1"/>
  <c r="B5911" i="1"/>
  <c r="A5912" i="1"/>
  <c r="B5912" i="1"/>
  <c r="A5913" i="1"/>
  <c r="B5913" i="1"/>
  <c r="A5914" i="1"/>
  <c r="B5914" i="1"/>
  <c r="A5915" i="1"/>
  <c r="B5915" i="1"/>
  <c r="A5916" i="1"/>
  <c r="B5916" i="1"/>
  <c r="A5917" i="1"/>
  <c r="B5917" i="1"/>
  <c r="A5918" i="1"/>
  <c r="B5918" i="1"/>
  <c r="A5919" i="1"/>
  <c r="B5919" i="1"/>
  <c r="A5920" i="1"/>
  <c r="B5920" i="1"/>
  <c r="A5921" i="1"/>
  <c r="B5921" i="1"/>
  <c r="A5922" i="1"/>
  <c r="B5922" i="1"/>
  <c r="A5923" i="1"/>
  <c r="B5923" i="1"/>
  <c r="A5924" i="1"/>
  <c r="B5924" i="1"/>
  <c r="A5925" i="1"/>
  <c r="B5925" i="1"/>
  <c r="A5926" i="1"/>
  <c r="B5926" i="1"/>
  <c r="A5927" i="1"/>
  <c r="B5927" i="1"/>
  <c r="A5928" i="1"/>
  <c r="B5928" i="1"/>
  <c r="A5929" i="1"/>
  <c r="B5929" i="1"/>
  <c r="A5930" i="1"/>
  <c r="B5930" i="1"/>
  <c r="A5931" i="1"/>
  <c r="B5931" i="1"/>
  <c r="A5932" i="1"/>
  <c r="B5932" i="1"/>
  <c r="A5933" i="1"/>
  <c r="B5933" i="1"/>
  <c r="A5934" i="1"/>
  <c r="B5934" i="1"/>
  <c r="A5935" i="1"/>
  <c r="B5935" i="1"/>
  <c r="A5936" i="1"/>
  <c r="B5936" i="1"/>
  <c r="A5937" i="1"/>
  <c r="B5937" i="1"/>
  <c r="A5938" i="1"/>
  <c r="B5938" i="1"/>
  <c r="A5939" i="1"/>
  <c r="B5939" i="1"/>
  <c r="A5940" i="1"/>
  <c r="B5940" i="1"/>
  <c r="A5941" i="1"/>
  <c r="B5941" i="1"/>
  <c r="A5942" i="1"/>
  <c r="B5942" i="1"/>
  <c r="A5943" i="1"/>
  <c r="B5943" i="1"/>
  <c r="A5944" i="1"/>
  <c r="B5944" i="1"/>
  <c r="A5945" i="1"/>
  <c r="B5945" i="1"/>
  <c r="A5946" i="1"/>
  <c r="B5946" i="1"/>
  <c r="A5947" i="1"/>
  <c r="B5947" i="1"/>
  <c r="A5948" i="1"/>
  <c r="B5948" i="1"/>
  <c r="A5949" i="1"/>
  <c r="B5949" i="1"/>
  <c r="A5950" i="1"/>
  <c r="B5950" i="1"/>
  <c r="A5951" i="1"/>
  <c r="B5951" i="1"/>
  <c r="A5952" i="1"/>
  <c r="B5952" i="1"/>
  <c r="A5953" i="1"/>
  <c r="B5953" i="1"/>
  <c r="A5954" i="1"/>
  <c r="B5954" i="1"/>
  <c r="A5955" i="1"/>
  <c r="B5955" i="1"/>
  <c r="A5956" i="1"/>
  <c r="B5956" i="1"/>
  <c r="A5957" i="1"/>
  <c r="B5957" i="1"/>
  <c r="A5958" i="1"/>
  <c r="B5958" i="1"/>
  <c r="A5959" i="1"/>
  <c r="B5959" i="1"/>
  <c r="A5960" i="1"/>
  <c r="B5960" i="1"/>
  <c r="A5961" i="1"/>
  <c r="B5961" i="1"/>
  <c r="A5962" i="1"/>
  <c r="B5962" i="1"/>
  <c r="A5963" i="1"/>
  <c r="B5963" i="1"/>
  <c r="A5964" i="1"/>
  <c r="B5964" i="1"/>
  <c r="A5965" i="1"/>
  <c r="B5965" i="1"/>
  <c r="A5966" i="1"/>
  <c r="B5966" i="1"/>
  <c r="A5967" i="1"/>
  <c r="B5967" i="1"/>
  <c r="A5968" i="1"/>
  <c r="B5968" i="1"/>
  <c r="A5969" i="1"/>
  <c r="B5969" i="1"/>
  <c r="A5970" i="1"/>
  <c r="B5970" i="1"/>
  <c r="A5971" i="1"/>
  <c r="B5971" i="1"/>
  <c r="A5972" i="1"/>
  <c r="B5972" i="1"/>
  <c r="A5973" i="1"/>
  <c r="B5973" i="1"/>
  <c r="A5974" i="1"/>
  <c r="B5974" i="1"/>
  <c r="A5975" i="1"/>
  <c r="B5975" i="1"/>
  <c r="A5976" i="1"/>
  <c r="B5976" i="1"/>
  <c r="A5977" i="1"/>
  <c r="B5977" i="1"/>
  <c r="A5978" i="1"/>
  <c r="B5978" i="1"/>
  <c r="A5979" i="1"/>
  <c r="B5979" i="1"/>
  <c r="A5980" i="1"/>
  <c r="B5980" i="1"/>
  <c r="A5981" i="1"/>
  <c r="B5981" i="1"/>
  <c r="A5982" i="1"/>
  <c r="B5982" i="1"/>
  <c r="A5983" i="1"/>
  <c r="B5983" i="1"/>
  <c r="A5984" i="1"/>
  <c r="B5984" i="1"/>
  <c r="A5985" i="1"/>
  <c r="B5985" i="1"/>
  <c r="A5986" i="1"/>
  <c r="B5986" i="1"/>
  <c r="A5987" i="1"/>
  <c r="B5987" i="1"/>
  <c r="A5988" i="1"/>
  <c r="B5988" i="1"/>
  <c r="A5989" i="1"/>
  <c r="B5989" i="1"/>
  <c r="A5990" i="1"/>
  <c r="B5990" i="1"/>
  <c r="A5991" i="1"/>
  <c r="B5991" i="1"/>
  <c r="A5992" i="1"/>
  <c r="B5992" i="1"/>
  <c r="A5993" i="1"/>
  <c r="B5993" i="1"/>
  <c r="A5994" i="1"/>
  <c r="B5994" i="1"/>
  <c r="A5995" i="1"/>
  <c r="B5995" i="1"/>
  <c r="A5996" i="1"/>
  <c r="B5996" i="1"/>
  <c r="A5997" i="1"/>
  <c r="B5997" i="1"/>
  <c r="A5998" i="1"/>
  <c r="B5998" i="1"/>
  <c r="A5999" i="1"/>
  <c r="B5999" i="1"/>
  <c r="A6000" i="1"/>
  <c r="B6000" i="1"/>
  <c r="A6001" i="1"/>
  <c r="B6001" i="1"/>
  <c r="A6002" i="1"/>
  <c r="B6002" i="1"/>
  <c r="A6003" i="1"/>
  <c r="B6003" i="1"/>
  <c r="A6004" i="1"/>
  <c r="B6004" i="1"/>
  <c r="A6005" i="1"/>
  <c r="B6005" i="1"/>
  <c r="A6006" i="1"/>
  <c r="B6006" i="1"/>
  <c r="A6007" i="1"/>
  <c r="B6007" i="1"/>
  <c r="A6008" i="1"/>
  <c r="B6008" i="1"/>
  <c r="A6009" i="1"/>
  <c r="B6009" i="1"/>
  <c r="A6010" i="1"/>
  <c r="B6010" i="1"/>
  <c r="A6011" i="1"/>
  <c r="B6011" i="1"/>
  <c r="A6012" i="1"/>
  <c r="B6012" i="1"/>
  <c r="A6013" i="1"/>
  <c r="B6013" i="1"/>
  <c r="A6014" i="1"/>
  <c r="B6014" i="1"/>
  <c r="A6015" i="1"/>
  <c r="B6015" i="1"/>
  <c r="A6016" i="1"/>
  <c r="B6016" i="1"/>
  <c r="A6017" i="1"/>
  <c r="B6017" i="1"/>
  <c r="A6018" i="1"/>
  <c r="B6018" i="1"/>
  <c r="A6019" i="1"/>
  <c r="B6019" i="1"/>
  <c r="A6020" i="1"/>
  <c r="B6020" i="1"/>
  <c r="A6021" i="1"/>
  <c r="B6021" i="1"/>
  <c r="A6022" i="1"/>
  <c r="B6022" i="1"/>
  <c r="A6023" i="1"/>
  <c r="B6023" i="1"/>
  <c r="A6024" i="1"/>
  <c r="B6024" i="1"/>
  <c r="A6025" i="1"/>
  <c r="B6025" i="1"/>
  <c r="A6026" i="1"/>
  <c r="B6026" i="1"/>
  <c r="A6027" i="1"/>
  <c r="B6027" i="1"/>
  <c r="A6028" i="1"/>
  <c r="B6028" i="1"/>
  <c r="A6029" i="1"/>
  <c r="B6029" i="1"/>
  <c r="A6030" i="1"/>
  <c r="B6030" i="1"/>
  <c r="A6031" i="1"/>
  <c r="B6031" i="1"/>
  <c r="A6032" i="1"/>
  <c r="B6032" i="1"/>
  <c r="A6033" i="1"/>
  <c r="B6033" i="1"/>
  <c r="A6034" i="1"/>
  <c r="B6034" i="1"/>
  <c r="A6035" i="1"/>
  <c r="B6035" i="1"/>
  <c r="A6036" i="1"/>
  <c r="B6036" i="1"/>
  <c r="A6037" i="1"/>
  <c r="B6037" i="1"/>
  <c r="A6038" i="1"/>
  <c r="B6038" i="1"/>
  <c r="A6039" i="1"/>
  <c r="B6039" i="1"/>
  <c r="A6040" i="1"/>
  <c r="B6040" i="1"/>
  <c r="A6041" i="1"/>
  <c r="B6041" i="1"/>
  <c r="A6042" i="1"/>
  <c r="B6042" i="1"/>
  <c r="A6043" i="1"/>
  <c r="B6043" i="1"/>
  <c r="A6044" i="1"/>
  <c r="B6044" i="1"/>
  <c r="A6045" i="1"/>
  <c r="B6045" i="1"/>
  <c r="A6046" i="1"/>
  <c r="B6046" i="1"/>
  <c r="A6047" i="1"/>
  <c r="B6047" i="1"/>
  <c r="A6048" i="1"/>
  <c r="B6048" i="1"/>
  <c r="A6049" i="1"/>
  <c r="B6049" i="1"/>
  <c r="A6050" i="1"/>
  <c r="B6050" i="1"/>
  <c r="A6051" i="1"/>
  <c r="B6051" i="1"/>
  <c r="A6052" i="1"/>
  <c r="B6052" i="1"/>
  <c r="A6053" i="1"/>
  <c r="B6053" i="1"/>
  <c r="A6054" i="1"/>
  <c r="B6054" i="1"/>
  <c r="A6055" i="1"/>
  <c r="B6055" i="1"/>
  <c r="A6056" i="1"/>
  <c r="B6056" i="1"/>
  <c r="A6057" i="1"/>
  <c r="B6057" i="1"/>
  <c r="A6058" i="1"/>
  <c r="B6058" i="1"/>
  <c r="A6059" i="1"/>
  <c r="B6059" i="1"/>
  <c r="A6060" i="1"/>
  <c r="B6060" i="1"/>
  <c r="A6061" i="1"/>
  <c r="B6061" i="1"/>
  <c r="A6062" i="1"/>
  <c r="B6062" i="1"/>
  <c r="A6063" i="1"/>
  <c r="B6063" i="1"/>
  <c r="A6064" i="1"/>
  <c r="B6064" i="1"/>
  <c r="A6065" i="1"/>
  <c r="B6065" i="1"/>
  <c r="A6066" i="1"/>
  <c r="B6066" i="1"/>
  <c r="A6067" i="1"/>
  <c r="B6067" i="1"/>
  <c r="A6068" i="1"/>
  <c r="B6068" i="1"/>
  <c r="A6069" i="1"/>
  <c r="B6069" i="1"/>
  <c r="A6070" i="1"/>
  <c r="B6070" i="1"/>
  <c r="A6071" i="1"/>
  <c r="B6071" i="1"/>
  <c r="A6072" i="1"/>
  <c r="B6072" i="1"/>
  <c r="A6073" i="1"/>
  <c r="B6073" i="1"/>
  <c r="A6074" i="1"/>
  <c r="B6074" i="1"/>
  <c r="A6075" i="1"/>
  <c r="B6075" i="1"/>
  <c r="A6076" i="1"/>
  <c r="B6076" i="1"/>
  <c r="A6077" i="1"/>
  <c r="B6077" i="1"/>
  <c r="A6078" i="1"/>
  <c r="B6078" i="1"/>
  <c r="A6079" i="1"/>
  <c r="B6079" i="1"/>
  <c r="A6080" i="1"/>
  <c r="B6080" i="1"/>
  <c r="A6081" i="1"/>
  <c r="B6081" i="1"/>
  <c r="A6082" i="1"/>
  <c r="B6082" i="1"/>
  <c r="A6083" i="1"/>
  <c r="B6083" i="1"/>
  <c r="A6084" i="1"/>
  <c r="B6084" i="1"/>
  <c r="A6085" i="1"/>
  <c r="B6085" i="1"/>
  <c r="A6086" i="1"/>
  <c r="B6086" i="1"/>
  <c r="A6087" i="1"/>
  <c r="B6087" i="1"/>
  <c r="A6088" i="1"/>
  <c r="B6088" i="1"/>
  <c r="A6089" i="1"/>
  <c r="B6089" i="1"/>
  <c r="A6090" i="1"/>
  <c r="B6090" i="1"/>
  <c r="A6091" i="1"/>
  <c r="B6091" i="1"/>
  <c r="A6092" i="1"/>
  <c r="B6092" i="1"/>
  <c r="A6093" i="1"/>
  <c r="B6093" i="1"/>
  <c r="A6094" i="1"/>
  <c r="B6094" i="1"/>
  <c r="A6095" i="1"/>
  <c r="B6095" i="1"/>
  <c r="A6096" i="1"/>
  <c r="B6096" i="1"/>
  <c r="A6097" i="1"/>
  <c r="B6097" i="1"/>
  <c r="A6098" i="1"/>
  <c r="B6098" i="1"/>
  <c r="A6099" i="1"/>
  <c r="B6099" i="1"/>
  <c r="A6100" i="1"/>
  <c r="B6100" i="1"/>
  <c r="A6101" i="1"/>
  <c r="B6101" i="1"/>
  <c r="A6102" i="1"/>
  <c r="B6102" i="1"/>
  <c r="A6103" i="1"/>
  <c r="B6103" i="1"/>
  <c r="A6104" i="1"/>
  <c r="B6104" i="1"/>
  <c r="A6105" i="1"/>
  <c r="B6105" i="1"/>
  <c r="A6106" i="1"/>
  <c r="B6106" i="1"/>
  <c r="A6107" i="1"/>
  <c r="B6107" i="1"/>
  <c r="A6108" i="1"/>
  <c r="B6108" i="1"/>
  <c r="A6109" i="1"/>
  <c r="B6109" i="1"/>
  <c r="A6110" i="1"/>
  <c r="B6110" i="1"/>
  <c r="A6111" i="1"/>
  <c r="B6111" i="1"/>
  <c r="A6112" i="1"/>
  <c r="B6112" i="1"/>
  <c r="A6113" i="1"/>
  <c r="B6113" i="1"/>
  <c r="A6114" i="1"/>
  <c r="B6114" i="1"/>
  <c r="A6115" i="1"/>
  <c r="B6115" i="1"/>
  <c r="A6116" i="1"/>
  <c r="B6116" i="1"/>
  <c r="A6117" i="1"/>
  <c r="B6117" i="1"/>
  <c r="A6118" i="1"/>
  <c r="B6118" i="1"/>
  <c r="A6119" i="1"/>
  <c r="B6119" i="1"/>
  <c r="A6120" i="1"/>
  <c r="B6120" i="1"/>
  <c r="A6121" i="1"/>
  <c r="B6121" i="1"/>
  <c r="A6122" i="1"/>
  <c r="B6122" i="1"/>
  <c r="A6123" i="1"/>
  <c r="B6123" i="1"/>
  <c r="A6124" i="1"/>
  <c r="B6124" i="1"/>
  <c r="A6125" i="1"/>
  <c r="B6125" i="1"/>
  <c r="A6126" i="1"/>
  <c r="B6126" i="1"/>
  <c r="A6127" i="1"/>
  <c r="B6127" i="1"/>
  <c r="A6128" i="1"/>
  <c r="B6128" i="1"/>
  <c r="A6129" i="1"/>
  <c r="B6129" i="1"/>
  <c r="A6130" i="1"/>
  <c r="B6130" i="1"/>
  <c r="A6131" i="1"/>
  <c r="B6131" i="1"/>
  <c r="A6132" i="1"/>
  <c r="B6132" i="1"/>
  <c r="A6133" i="1"/>
  <c r="B6133" i="1"/>
  <c r="A6134" i="1"/>
  <c r="B6134" i="1"/>
  <c r="A6135" i="1"/>
  <c r="B6135" i="1"/>
  <c r="A6136" i="1"/>
  <c r="B6136" i="1"/>
  <c r="A6137" i="1"/>
  <c r="B6137" i="1"/>
  <c r="A6138" i="1"/>
  <c r="B6138" i="1"/>
  <c r="A6139" i="1"/>
  <c r="B6139" i="1"/>
  <c r="A6140" i="1"/>
  <c r="B6140" i="1"/>
  <c r="A6141" i="1"/>
  <c r="B6141" i="1"/>
  <c r="A6142" i="1"/>
  <c r="B6142" i="1"/>
  <c r="A6143" i="1"/>
  <c r="B6143" i="1"/>
  <c r="A6144" i="1"/>
  <c r="B6144" i="1"/>
  <c r="A6145" i="1"/>
  <c r="B6145" i="1"/>
  <c r="A6146" i="1"/>
  <c r="B6146" i="1"/>
  <c r="A6147" i="1"/>
  <c r="B6147" i="1"/>
  <c r="A6148" i="1"/>
  <c r="B6148" i="1"/>
  <c r="A6149" i="1"/>
  <c r="B6149" i="1"/>
  <c r="A6150" i="1"/>
  <c r="B6150" i="1"/>
  <c r="A6151" i="1"/>
  <c r="B6151" i="1"/>
  <c r="A6152" i="1"/>
  <c r="B6152" i="1"/>
  <c r="A6153" i="1"/>
  <c r="B6153" i="1"/>
  <c r="A6154" i="1"/>
  <c r="B6154" i="1"/>
  <c r="A6155" i="1"/>
  <c r="B6155" i="1"/>
  <c r="A6156" i="1"/>
  <c r="B6156" i="1"/>
  <c r="A6157" i="1"/>
  <c r="B6157" i="1"/>
  <c r="A6158" i="1"/>
  <c r="B6158" i="1"/>
  <c r="A6159" i="1"/>
  <c r="B6159" i="1"/>
  <c r="A6160" i="1"/>
  <c r="B6160" i="1"/>
  <c r="A6161" i="1"/>
  <c r="B6161" i="1"/>
  <c r="A6162" i="1"/>
  <c r="B6162" i="1"/>
  <c r="A6163" i="1"/>
  <c r="B6163" i="1"/>
  <c r="A6164" i="1"/>
  <c r="B6164" i="1"/>
  <c r="A6165" i="1"/>
  <c r="B6165" i="1"/>
  <c r="A6166" i="1"/>
  <c r="B6166" i="1"/>
  <c r="A6167" i="1"/>
  <c r="B6167" i="1"/>
  <c r="A6168" i="1"/>
  <c r="B6168" i="1"/>
  <c r="A6169" i="1"/>
  <c r="B6169" i="1"/>
  <c r="A6170" i="1"/>
  <c r="B6170" i="1"/>
  <c r="A6171" i="1"/>
  <c r="B6171" i="1"/>
  <c r="A6172" i="1"/>
  <c r="B6172" i="1"/>
  <c r="A6173" i="1"/>
  <c r="B6173" i="1"/>
  <c r="A6174" i="1"/>
  <c r="B6174" i="1"/>
  <c r="A6175" i="1"/>
  <c r="B6175" i="1"/>
  <c r="A6176" i="1"/>
  <c r="B6176" i="1"/>
  <c r="A6177" i="1"/>
  <c r="B6177" i="1"/>
  <c r="A6178" i="1"/>
  <c r="B6178" i="1"/>
  <c r="A6179" i="1"/>
  <c r="B6179" i="1"/>
  <c r="A6180" i="1"/>
  <c r="B6180" i="1"/>
  <c r="A6181" i="1"/>
  <c r="B6181" i="1"/>
  <c r="A6182" i="1"/>
  <c r="B6182" i="1"/>
  <c r="A6183" i="1"/>
  <c r="B6183" i="1"/>
  <c r="A6184" i="1"/>
  <c r="B6184" i="1"/>
  <c r="A6185" i="1"/>
  <c r="B6185" i="1"/>
  <c r="A6186" i="1"/>
  <c r="B6186" i="1"/>
  <c r="A6187" i="1"/>
  <c r="B6187" i="1"/>
  <c r="A6188" i="1"/>
  <c r="B6188" i="1"/>
  <c r="A6189" i="1"/>
  <c r="B6189" i="1"/>
  <c r="A6190" i="1"/>
  <c r="B6190" i="1"/>
  <c r="A6191" i="1"/>
  <c r="B6191" i="1"/>
  <c r="A6192" i="1"/>
  <c r="B6192" i="1"/>
  <c r="A6193" i="1"/>
  <c r="B6193" i="1"/>
  <c r="A6194" i="1"/>
  <c r="B6194" i="1"/>
  <c r="A6195" i="1"/>
  <c r="B6195" i="1"/>
  <c r="A6196" i="1"/>
  <c r="B6196" i="1"/>
  <c r="A6197" i="1"/>
  <c r="B6197" i="1"/>
  <c r="A6198" i="1"/>
  <c r="B6198" i="1"/>
  <c r="A6199" i="1"/>
  <c r="B6199" i="1"/>
  <c r="A6200" i="1"/>
  <c r="B6200" i="1"/>
  <c r="A6201" i="1"/>
  <c r="B6201" i="1"/>
  <c r="A6202" i="1"/>
  <c r="B6202" i="1"/>
  <c r="A6203" i="1"/>
  <c r="B6203" i="1"/>
  <c r="A6204" i="1"/>
  <c r="B6204" i="1"/>
  <c r="A6205" i="1"/>
  <c r="B6205" i="1"/>
  <c r="A6206" i="1"/>
  <c r="B6206" i="1"/>
  <c r="A6207" i="1"/>
  <c r="B6207" i="1"/>
  <c r="A6208" i="1"/>
  <c r="B6208" i="1"/>
  <c r="A6209" i="1"/>
  <c r="B6209" i="1"/>
  <c r="A6210" i="1"/>
  <c r="B6210" i="1"/>
  <c r="A6211" i="1"/>
  <c r="B6211" i="1"/>
  <c r="A6212" i="1"/>
  <c r="B6212" i="1"/>
  <c r="A6213" i="1"/>
  <c r="B6213" i="1"/>
  <c r="A6214" i="1"/>
  <c r="B6214" i="1"/>
  <c r="A6215" i="1"/>
  <c r="B6215" i="1"/>
  <c r="A6216" i="1"/>
  <c r="B6216" i="1"/>
  <c r="A6217" i="1"/>
  <c r="B6217" i="1"/>
  <c r="A6218" i="1"/>
  <c r="B6218" i="1"/>
  <c r="A6219" i="1"/>
  <c r="B6219" i="1"/>
  <c r="A6220" i="1"/>
  <c r="B6220" i="1"/>
  <c r="A6221" i="1"/>
  <c r="B6221" i="1"/>
  <c r="A6222" i="1"/>
  <c r="B6222" i="1"/>
  <c r="A6223" i="1"/>
  <c r="B6223" i="1"/>
  <c r="A6224" i="1"/>
  <c r="B6224" i="1"/>
  <c r="A6225" i="1"/>
  <c r="B6225" i="1"/>
  <c r="A6226" i="1"/>
  <c r="B6226" i="1"/>
  <c r="A6227" i="1"/>
  <c r="B6227" i="1"/>
  <c r="A6228" i="1"/>
  <c r="B6228" i="1"/>
  <c r="A6229" i="1"/>
  <c r="B6229" i="1"/>
  <c r="A6230" i="1"/>
  <c r="B6230" i="1"/>
  <c r="A6231" i="1"/>
  <c r="B6231" i="1"/>
  <c r="A6232" i="1"/>
  <c r="B6232" i="1"/>
  <c r="A6233" i="1"/>
  <c r="B6233" i="1"/>
  <c r="A6234" i="1"/>
  <c r="B6234" i="1"/>
  <c r="A6235" i="1"/>
  <c r="B6235" i="1"/>
  <c r="A6236" i="1"/>
  <c r="B6236" i="1"/>
  <c r="A6237" i="1"/>
  <c r="B6237" i="1"/>
  <c r="A6238" i="1"/>
  <c r="B6238" i="1"/>
  <c r="A6239" i="1"/>
  <c r="B6239" i="1"/>
  <c r="A6240" i="1"/>
  <c r="B6240" i="1"/>
  <c r="A6241" i="1"/>
  <c r="B6241" i="1"/>
  <c r="A6242" i="1"/>
  <c r="B6242" i="1"/>
  <c r="A6243" i="1"/>
  <c r="B6243" i="1"/>
  <c r="A6244" i="1"/>
  <c r="B6244" i="1"/>
  <c r="A6245" i="1"/>
  <c r="B6245" i="1"/>
  <c r="A6246" i="1"/>
  <c r="B6246" i="1"/>
  <c r="A6247" i="1"/>
  <c r="B6247" i="1"/>
  <c r="A6248" i="1"/>
  <c r="B6248" i="1"/>
  <c r="A6249" i="1"/>
  <c r="B6249" i="1"/>
  <c r="A6250" i="1"/>
  <c r="B6250" i="1"/>
  <c r="A6251" i="1"/>
  <c r="B6251" i="1"/>
  <c r="A6252" i="1"/>
  <c r="B6252" i="1"/>
  <c r="A6253" i="1"/>
  <c r="B6253" i="1"/>
  <c r="A6254" i="1"/>
  <c r="B6254" i="1"/>
  <c r="A6255" i="1"/>
  <c r="B6255" i="1"/>
  <c r="A6256" i="1"/>
  <c r="B6256" i="1"/>
  <c r="A6257" i="1"/>
  <c r="B6257" i="1"/>
  <c r="A6258" i="1"/>
  <c r="B6258" i="1"/>
  <c r="A6259" i="1"/>
  <c r="B6259" i="1"/>
  <c r="A6260" i="1"/>
  <c r="B6260" i="1"/>
  <c r="A6261" i="1"/>
  <c r="B6261" i="1"/>
  <c r="A6262" i="1"/>
  <c r="B6262" i="1"/>
  <c r="A6263" i="1"/>
  <c r="B6263" i="1"/>
  <c r="A6264" i="1"/>
  <c r="B6264" i="1"/>
  <c r="A6265" i="1"/>
  <c r="B6265" i="1"/>
  <c r="A6266" i="1"/>
  <c r="B6266" i="1"/>
  <c r="A6267" i="1"/>
  <c r="B6267" i="1"/>
  <c r="A6268" i="1"/>
  <c r="B6268" i="1"/>
  <c r="A6269" i="1"/>
  <c r="B6269" i="1"/>
  <c r="A6270" i="1"/>
  <c r="B6270" i="1"/>
  <c r="A6271" i="1"/>
  <c r="B6271" i="1"/>
  <c r="A6272" i="1"/>
  <c r="B6272" i="1"/>
  <c r="A6273" i="1"/>
  <c r="B6273" i="1"/>
  <c r="A6274" i="1"/>
  <c r="B6274" i="1"/>
  <c r="A6275" i="1"/>
  <c r="B6275" i="1"/>
  <c r="A6276" i="1"/>
  <c r="B6276" i="1"/>
  <c r="A6277" i="1"/>
  <c r="B6277" i="1"/>
  <c r="A6278" i="1"/>
  <c r="B6278" i="1"/>
  <c r="A6279" i="1"/>
  <c r="B6279" i="1"/>
  <c r="A6280" i="1"/>
  <c r="B6280" i="1"/>
  <c r="A6281" i="1"/>
  <c r="B6281" i="1"/>
  <c r="A6282" i="1"/>
  <c r="B6282" i="1"/>
  <c r="A6283" i="1"/>
  <c r="B6283" i="1"/>
  <c r="A6284" i="1"/>
  <c r="B6284" i="1"/>
  <c r="A6285" i="1"/>
  <c r="B6285" i="1"/>
  <c r="A6286" i="1"/>
  <c r="B6286" i="1"/>
  <c r="A6287" i="1"/>
  <c r="B6287" i="1"/>
  <c r="A6288" i="1"/>
  <c r="B6288" i="1"/>
  <c r="A6289" i="1"/>
  <c r="B6289" i="1"/>
  <c r="A6290" i="1"/>
  <c r="B6290" i="1"/>
  <c r="A6291" i="1"/>
  <c r="B6291" i="1"/>
  <c r="A6292" i="1"/>
  <c r="B6292" i="1"/>
  <c r="A6293" i="1"/>
  <c r="B6293" i="1"/>
  <c r="A6294" i="1"/>
  <c r="B6294" i="1"/>
  <c r="A6295" i="1"/>
  <c r="B6295" i="1"/>
  <c r="A6296" i="1"/>
  <c r="B6296" i="1"/>
  <c r="A6297" i="1"/>
  <c r="B6297" i="1"/>
  <c r="A6298" i="1"/>
  <c r="B6298" i="1"/>
  <c r="A6299" i="1"/>
  <c r="B6299" i="1"/>
  <c r="A6300" i="1"/>
  <c r="B6300" i="1"/>
  <c r="A6301" i="1"/>
  <c r="B6301" i="1"/>
  <c r="A6302" i="1"/>
  <c r="B6302" i="1"/>
  <c r="A6303" i="1"/>
  <c r="B6303" i="1"/>
  <c r="A6304" i="1"/>
  <c r="B6304" i="1"/>
  <c r="A6305" i="1"/>
  <c r="B6305" i="1"/>
  <c r="A6306" i="1"/>
  <c r="B6306" i="1"/>
  <c r="A6307" i="1"/>
  <c r="B6307" i="1"/>
  <c r="A6308" i="1"/>
  <c r="B6308" i="1"/>
  <c r="A6309" i="1"/>
  <c r="B6309" i="1"/>
  <c r="A6310" i="1"/>
  <c r="B6310" i="1"/>
  <c r="A6311" i="1"/>
  <c r="B6311" i="1"/>
  <c r="A6312" i="1"/>
  <c r="B6312" i="1"/>
  <c r="A6313" i="1"/>
  <c r="B6313" i="1"/>
  <c r="A6314" i="1"/>
  <c r="B6314" i="1"/>
  <c r="A6315" i="1"/>
  <c r="B6315" i="1"/>
  <c r="A6316" i="1"/>
  <c r="B6316" i="1"/>
  <c r="A6317" i="1"/>
  <c r="B6317" i="1"/>
  <c r="A6318" i="1"/>
  <c r="B6318" i="1"/>
  <c r="A6319" i="1"/>
  <c r="B6319" i="1"/>
  <c r="A6320" i="1"/>
  <c r="B6320" i="1"/>
  <c r="A6321" i="1"/>
  <c r="B6321" i="1"/>
  <c r="A6322" i="1"/>
  <c r="B6322" i="1"/>
  <c r="A6323" i="1"/>
  <c r="B6323" i="1"/>
  <c r="A6324" i="1"/>
  <c r="B6324" i="1"/>
  <c r="A6325" i="1"/>
  <c r="B6325" i="1"/>
  <c r="A6326" i="1"/>
  <c r="B6326" i="1"/>
  <c r="A6327" i="1"/>
  <c r="B6327" i="1"/>
  <c r="A6328" i="1"/>
  <c r="B6328" i="1"/>
  <c r="A6329" i="1"/>
  <c r="B6329" i="1"/>
  <c r="A6330" i="1"/>
  <c r="B6330" i="1"/>
  <c r="A6331" i="1"/>
  <c r="B6331" i="1"/>
  <c r="A6332" i="1"/>
  <c r="B6332" i="1"/>
  <c r="A6333" i="1"/>
  <c r="B6333" i="1"/>
  <c r="A6334" i="1"/>
  <c r="B6334" i="1"/>
  <c r="A6335" i="1"/>
  <c r="B6335" i="1"/>
  <c r="A6336" i="1"/>
  <c r="B6336" i="1"/>
  <c r="A6337" i="1"/>
  <c r="B6337" i="1"/>
  <c r="A6338" i="1"/>
  <c r="B6338" i="1"/>
  <c r="A6339" i="1"/>
  <c r="B6339" i="1"/>
  <c r="A6340" i="1"/>
  <c r="B6340" i="1"/>
  <c r="A6341" i="1"/>
  <c r="B6341" i="1"/>
  <c r="A6342" i="1"/>
  <c r="B6342" i="1"/>
  <c r="A6343" i="1"/>
  <c r="B6343" i="1"/>
  <c r="A6344" i="1"/>
  <c r="B6344" i="1"/>
  <c r="A6345" i="1"/>
  <c r="B6345" i="1"/>
  <c r="A6346" i="1"/>
  <c r="B6346" i="1"/>
  <c r="A6347" i="1"/>
  <c r="B6347" i="1"/>
  <c r="A6348" i="1"/>
  <c r="B6348" i="1"/>
  <c r="A6349" i="1"/>
  <c r="B6349" i="1"/>
  <c r="A6350" i="1"/>
  <c r="B6350" i="1"/>
  <c r="A6351" i="1"/>
  <c r="B6351" i="1"/>
  <c r="A6352" i="1"/>
  <c r="B6352" i="1"/>
  <c r="A6353" i="1"/>
  <c r="B6353" i="1"/>
  <c r="A6354" i="1"/>
  <c r="B6354" i="1"/>
  <c r="A6355" i="1"/>
  <c r="B6355" i="1"/>
  <c r="A6356" i="1"/>
  <c r="B6356" i="1"/>
  <c r="A6357" i="1"/>
  <c r="B6357" i="1"/>
  <c r="A6358" i="1"/>
  <c r="B6358" i="1"/>
  <c r="A6359" i="1"/>
  <c r="B6359" i="1"/>
  <c r="A6360" i="1"/>
  <c r="B6360" i="1"/>
  <c r="A6361" i="1"/>
  <c r="B6361" i="1"/>
  <c r="A6362" i="1"/>
  <c r="B6362" i="1"/>
  <c r="A6363" i="1"/>
  <c r="B6363" i="1"/>
  <c r="A6364" i="1"/>
  <c r="B6364" i="1"/>
  <c r="A6365" i="1"/>
  <c r="B6365" i="1"/>
  <c r="A6366" i="1"/>
  <c r="B6366" i="1"/>
  <c r="A6367" i="1"/>
  <c r="B6367" i="1"/>
  <c r="A6368" i="1"/>
  <c r="B6368" i="1"/>
  <c r="A6369" i="1"/>
  <c r="B6369" i="1"/>
  <c r="A6370" i="1"/>
  <c r="B6370" i="1"/>
  <c r="A6371" i="1"/>
  <c r="B6371" i="1"/>
  <c r="A6372" i="1"/>
  <c r="B6372" i="1"/>
  <c r="A6373" i="1"/>
  <c r="B6373" i="1"/>
  <c r="A6374" i="1"/>
  <c r="B6374" i="1"/>
  <c r="A6375" i="1"/>
  <c r="B6375" i="1"/>
  <c r="A6376" i="1"/>
  <c r="B6376" i="1"/>
  <c r="A6377" i="1"/>
  <c r="B6377" i="1"/>
  <c r="A6378" i="1"/>
  <c r="B6378" i="1"/>
  <c r="A6379" i="1"/>
  <c r="B6379" i="1"/>
  <c r="A6380" i="1"/>
  <c r="B6380" i="1"/>
  <c r="A6381" i="1"/>
  <c r="B6381" i="1"/>
  <c r="A6382" i="1"/>
  <c r="B6382" i="1"/>
  <c r="A6383" i="1"/>
  <c r="B6383" i="1"/>
  <c r="A6384" i="1"/>
  <c r="B6384" i="1"/>
  <c r="A6385" i="1"/>
  <c r="B6385" i="1"/>
  <c r="A6386" i="1"/>
  <c r="B6386" i="1"/>
  <c r="A6387" i="1"/>
  <c r="B6387" i="1"/>
  <c r="A6388" i="1"/>
  <c r="B6388" i="1"/>
  <c r="A6389" i="1"/>
  <c r="B6389" i="1"/>
  <c r="A6390" i="1"/>
  <c r="B6390" i="1"/>
  <c r="A6391" i="1"/>
  <c r="B6391" i="1"/>
  <c r="A6392" i="1"/>
  <c r="B6392" i="1"/>
  <c r="A6393" i="1"/>
  <c r="B6393" i="1"/>
  <c r="A6394" i="1"/>
  <c r="B6394" i="1"/>
  <c r="A6395" i="1"/>
  <c r="B6395" i="1"/>
  <c r="A6396" i="1"/>
  <c r="B6396" i="1"/>
  <c r="A6397" i="1"/>
  <c r="B6397" i="1"/>
  <c r="A6398" i="1"/>
  <c r="B6398" i="1"/>
  <c r="A6399" i="1"/>
  <c r="B6399" i="1"/>
  <c r="A6400" i="1"/>
  <c r="B6400" i="1"/>
  <c r="A6401" i="1"/>
  <c r="B6401" i="1"/>
  <c r="A6402" i="1"/>
  <c r="B6402" i="1"/>
  <c r="A6403" i="1"/>
  <c r="B6403" i="1"/>
  <c r="A6404" i="1"/>
  <c r="B6404" i="1"/>
  <c r="A6405" i="1"/>
  <c r="B6405" i="1"/>
  <c r="A6406" i="1"/>
  <c r="B6406" i="1"/>
  <c r="A6407" i="1"/>
  <c r="B6407" i="1"/>
  <c r="A6408" i="1"/>
  <c r="B6408" i="1"/>
  <c r="A6409" i="1"/>
  <c r="B6409" i="1"/>
  <c r="A6410" i="1"/>
  <c r="B6410" i="1"/>
  <c r="A6411" i="1"/>
  <c r="B6411" i="1"/>
  <c r="A6412" i="1"/>
  <c r="B6412" i="1"/>
  <c r="A6413" i="1"/>
  <c r="B6413" i="1"/>
  <c r="A6414" i="1"/>
  <c r="B6414" i="1"/>
  <c r="A6415" i="1"/>
  <c r="B6415" i="1"/>
  <c r="A6416" i="1"/>
  <c r="B6416" i="1"/>
  <c r="A6417" i="1"/>
  <c r="B6417" i="1"/>
  <c r="A6418" i="1"/>
  <c r="B6418" i="1"/>
  <c r="A6419" i="1"/>
  <c r="B6419" i="1"/>
  <c r="A6420" i="1"/>
  <c r="B6420" i="1"/>
  <c r="A6421" i="1"/>
  <c r="B6421" i="1"/>
  <c r="A6422" i="1"/>
  <c r="B6422" i="1"/>
  <c r="A6423" i="1"/>
  <c r="B6423" i="1"/>
  <c r="A6424" i="1"/>
  <c r="B6424" i="1"/>
  <c r="A6425" i="1"/>
  <c r="B6425" i="1"/>
  <c r="A6426" i="1"/>
  <c r="B6426" i="1"/>
  <c r="A6427" i="1"/>
  <c r="B6427" i="1"/>
  <c r="A6428" i="1"/>
  <c r="B6428" i="1"/>
  <c r="A6429" i="1"/>
  <c r="B6429" i="1"/>
  <c r="A6430" i="1"/>
  <c r="B6430" i="1"/>
  <c r="A6431" i="1"/>
  <c r="B6431" i="1"/>
  <c r="A6432" i="1"/>
  <c r="B6432" i="1"/>
  <c r="A6433" i="1"/>
  <c r="B6433" i="1"/>
  <c r="A6434" i="1"/>
  <c r="B6434" i="1"/>
  <c r="A6435" i="1"/>
  <c r="B6435" i="1"/>
  <c r="A6436" i="1"/>
  <c r="B6436" i="1"/>
  <c r="A6437" i="1"/>
  <c r="B6437" i="1"/>
  <c r="A6438" i="1"/>
  <c r="B6438" i="1"/>
  <c r="A6439" i="1"/>
  <c r="B6439" i="1"/>
  <c r="A6440" i="1"/>
  <c r="B6440" i="1"/>
  <c r="A6441" i="1"/>
  <c r="B6441" i="1"/>
  <c r="A6442" i="1"/>
  <c r="B6442" i="1"/>
  <c r="A6443" i="1"/>
  <c r="B6443" i="1"/>
  <c r="A6444" i="1"/>
  <c r="B6444" i="1"/>
  <c r="A6445" i="1"/>
  <c r="B6445" i="1"/>
  <c r="A6446" i="1"/>
  <c r="B6446" i="1"/>
  <c r="A6447" i="1"/>
  <c r="B6447" i="1"/>
  <c r="A6448" i="1"/>
  <c r="B6448" i="1"/>
  <c r="A6449" i="1"/>
  <c r="B6449" i="1"/>
  <c r="A6450" i="1"/>
  <c r="B6450" i="1"/>
  <c r="A6451" i="1"/>
  <c r="B6451" i="1"/>
  <c r="A6452" i="1"/>
  <c r="B6452" i="1"/>
  <c r="A6453" i="1"/>
  <c r="B6453" i="1"/>
  <c r="A6454" i="1"/>
  <c r="B6454" i="1"/>
  <c r="A6455" i="1"/>
  <c r="B6455" i="1"/>
  <c r="A6456" i="1"/>
  <c r="B6456" i="1"/>
  <c r="A6457" i="1"/>
  <c r="B6457" i="1"/>
  <c r="A6458" i="1"/>
  <c r="B6458" i="1"/>
  <c r="A6459" i="1"/>
  <c r="B6459" i="1"/>
  <c r="A6460" i="1"/>
  <c r="B6460" i="1"/>
  <c r="A6461" i="1"/>
  <c r="B6461" i="1"/>
  <c r="A6462" i="1"/>
  <c r="B6462" i="1"/>
  <c r="A6463" i="1"/>
  <c r="B6463" i="1"/>
  <c r="A6464" i="1"/>
  <c r="B6464" i="1"/>
  <c r="A6465" i="1"/>
  <c r="B6465" i="1"/>
  <c r="A6466" i="1"/>
  <c r="B6466" i="1"/>
  <c r="A6467" i="1"/>
  <c r="B6467" i="1"/>
  <c r="A6468" i="1"/>
  <c r="B6468" i="1"/>
  <c r="A6469" i="1"/>
  <c r="B6469" i="1"/>
  <c r="A6470" i="1"/>
  <c r="B6470" i="1"/>
  <c r="A6471" i="1"/>
  <c r="B6471" i="1"/>
  <c r="A6472" i="1"/>
  <c r="B6472" i="1"/>
  <c r="A6473" i="1"/>
  <c r="B6473" i="1"/>
  <c r="A6474" i="1"/>
  <c r="B6474" i="1"/>
  <c r="A6475" i="1"/>
  <c r="B6475" i="1"/>
  <c r="A6476" i="1"/>
  <c r="B6476" i="1"/>
  <c r="A6477" i="1"/>
  <c r="B6477" i="1"/>
  <c r="A6478" i="1"/>
  <c r="B6478" i="1"/>
  <c r="A6479" i="1"/>
  <c r="B6479" i="1"/>
  <c r="A6480" i="1"/>
  <c r="B6480" i="1"/>
  <c r="A6481" i="1"/>
  <c r="B6481" i="1"/>
  <c r="A6482" i="1"/>
  <c r="B6482" i="1"/>
  <c r="A6483" i="1"/>
  <c r="B6483" i="1"/>
  <c r="A6484" i="1"/>
  <c r="B6484" i="1"/>
  <c r="A6485" i="1"/>
  <c r="B6485" i="1"/>
  <c r="A6486" i="1"/>
  <c r="B6486" i="1"/>
  <c r="A6487" i="1"/>
  <c r="B6487" i="1"/>
  <c r="A6488" i="1"/>
  <c r="B6488" i="1"/>
  <c r="A6489" i="1"/>
  <c r="B6489" i="1"/>
  <c r="A6490" i="1"/>
  <c r="B6490" i="1"/>
  <c r="A6491" i="1"/>
  <c r="B6491" i="1"/>
  <c r="A6492" i="1"/>
  <c r="B6492" i="1"/>
  <c r="A6493" i="1"/>
  <c r="B6493" i="1"/>
  <c r="A6494" i="1"/>
  <c r="B6494" i="1"/>
  <c r="A6495" i="1"/>
  <c r="B6495" i="1"/>
  <c r="A6496" i="1"/>
  <c r="B6496" i="1"/>
  <c r="A6497" i="1"/>
  <c r="B6497" i="1"/>
  <c r="A6498" i="1"/>
  <c r="B6498" i="1"/>
  <c r="A6499" i="1"/>
  <c r="B6499" i="1"/>
  <c r="A6500" i="1"/>
  <c r="B6500" i="1"/>
  <c r="A6501" i="1"/>
  <c r="B6501" i="1"/>
  <c r="A6502" i="1"/>
  <c r="B6502" i="1"/>
  <c r="A6503" i="1"/>
  <c r="B6503" i="1"/>
  <c r="A6504" i="1"/>
  <c r="B6504" i="1"/>
  <c r="A6505" i="1"/>
  <c r="B6505" i="1"/>
  <c r="A6506" i="1"/>
  <c r="B6506" i="1"/>
  <c r="A6507" i="1"/>
  <c r="B6507" i="1"/>
  <c r="A6508" i="1"/>
  <c r="B6508" i="1"/>
  <c r="A6509" i="1"/>
  <c r="B6509" i="1"/>
  <c r="A6510" i="1"/>
  <c r="B6510" i="1"/>
  <c r="A6511" i="1"/>
  <c r="B6511" i="1"/>
  <c r="A6512" i="1"/>
  <c r="B6512" i="1"/>
  <c r="A6513" i="1"/>
  <c r="B6513" i="1"/>
  <c r="A6514" i="1"/>
  <c r="B6514" i="1"/>
  <c r="A6515" i="1"/>
  <c r="B6515" i="1"/>
  <c r="A6516" i="1"/>
  <c r="B6516" i="1"/>
  <c r="A6517" i="1"/>
  <c r="B6517" i="1"/>
  <c r="A6518" i="1"/>
  <c r="B6518" i="1"/>
  <c r="A6519" i="1"/>
  <c r="B6519" i="1"/>
  <c r="A6520" i="1"/>
  <c r="B6520" i="1"/>
  <c r="A6521" i="1"/>
  <c r="B6521" i="1"/>
  <c r="A6522" i="1"/>
  <c r="B6522" i="1"/>
  <c r="A6523" i="1"/>
  <c r="B6523" i="1"/>
  <c r="A6524" i="1"/>
  <c r="B6524" i="1"/>
  <c r="A6525" i="1"/>
  <c r="B6525" i="1"/>
  <c r="A6526" i="1"/>
  <c r="B6526" i="1"/>
  <c r="A6527" i="1"/>
  <c r="B6527" i="1"/>
  <c r="A6528" i="1"/>
  <c r="B6528" i="1"/>
  <c r="A6529" i="1"/>
  <c r="B6529" i="1"/>
  <c r="A6530" i="1"/>
  <c r="B6530" i="1"/>
  <c r="A6531" i="1"/>
  <c r="B6531" i="1"/>
  <c r="A6532" i="1"/>
  <c r="B6532" i="1"/>
  <c r="A6533" i="1"/>
  <c r="B6533" i="1"/>
  <c r="A6534" i="1"/>
  <c r="B6534" i="1"/>
  <c r="A6535" i="1"/>
  <c r="B6535" i="1"/>
  <c r="A6536" i="1"/>
  <c r="B6536" i="1"/>
  <c r="A6537" i="1"/>
  <c r="B6537" i="1"/>
  <c r="A6538" i="1"/>
  <c r="B6538" i="1"/>
  <c r="A6539" i="1"/>
  <c r="B6539" i="1"/>
  <c r="A6540" i="1"/>
  <c r="B6540" i="1"/>
  <c r="A6541" i="1"/>
  <c r="B6541" i="1"/>
  <c r="A6542" i="1"/>
  <c r="B6542" i="1"/>
  <c r="A6543" i="1"/>
  <c r="B6543" i="1"/>
  <c r="A6544" i="1"/>
  <c r="B6544" i="1"/>
  <c r="A6545" i="1"/>
  <c r="B6545" i="1"/>
  <c r="A6546" i="1"/>
  <c r="B6546" i="1"/>
  <c r="A6547" i="1"/>
  <c r="B6547" i="1"/>
  <c r="A6548" i="1"/>
  <c r="B6548" i="1"/>
  <c r="A6549" i="1"/>
  <c r="B6549" i="1"/>
  <c r="A6550" i="1"/>
  <c r="B6550" i="1"/>
  <c r="A6551" i="1"/>
  <c r="B6551" i="1"/>
  <c r="A6552" i="1"/>
  <c r="B6552" i="1"/>
  <c r="A6553" i="1"/>
  <c r="B6553" i="1"/>
  <c r="A6554" i="1"/>
  <c r="B6554" i="1"/>
  <c r="A6555" i="1"/>
  <c r="B6555" i="1"/>
  <c r="A6556" i="1"/>
  <c r="B6556" i="1"/>
  <c r="A6557" i="1"/>
  <c r="B6557" i="1"/>
  <c r="A6558" i="1"/>
  <c r="B6558" i="1"/>
  <c r="A6559" i="1"/>
  <c r="B6559" i="1"/>
  <c r="A6560" i="1"/>
  <c r="B6560" i="1"/>
  <c r="A6561" i="1"/>
  <c r="B6561" i="1"/>
  <c r="A6562" i="1"/>
  <c r="B6562" i="1"/>
  <c r="A6563" i="1"/>
  <c r="B6563" i="1"/>
  <c r="A6564" i="1"/>
  <c r="B6564" i="1"/>
  <c r="A6565" i="1"/>
  <c r="B6565" i="1"/>
  <c r="A6566" i="1"/>
  <c r="B6566" i="1"/>
  <c r="A6567" i="1"/>
  <c r="B6567" i="1"/>
  <c r="A6568" i="1"/>
  <c r="B6568" i="1"/>
  <c r="A6569" i="1"/>
  <c r="B6569" i="1"/>
  <c r="A6570" i="1"/>
  <c r="B6570" i="1"/>
  <c r="A6571" i="1"/>
  <c r="B6571" i="1"/>
  <c r="A6572" i="1"/>
  <c r="B6572" i="1"/>
  <c r="A6573" i="1"/>
  <c r="B6573" i="1"/>
  <c r="A6574" i="1"/>
  <c r="B6574" i="1"/>
  <c r="A6575" i="1"/>
  <c r="B6575" i="1"/>
  <c r="A6576" i="1"/>
  <c r="B6576" i="1"/>
  <c r="A6577" i="1"/>
  <c r="B6577" i="1"/>
  <c r="A6578" i="1"/>
  <c r="B6578" i="1"/>
  <c r="A6579" i="1"/>
  <c r="B6579" i="1"/>
  <c r="A6580" i="1"/>
  <c r="B6580" i="1"/>
  <c r="A6581" i="1"/>
  <c r="B6581" i="1"/>
  <c r="A6582" i="1"/>
  <c r="B6582" i="1"/>
  <c r="A6583" i="1"/>
  <c r="B6583" i="1"/>
  <c r="A6584" i="1"/>
  <c r="B6584" i="1"/>
  <c r="A6585" i="1"/>
  <c r="B6585" i="1"/>
  <c r="A6586" i="1"/>
  <c r="B6586" i="1"/>
  <c r="A6587" i="1"/>
  <c r="B6587" i="1"/>
  <c r="A6588" i="1"/>
  <c r="B6588" i="1"/>
  <c r="A6589" i="1"/>
  <c r="B6589" i="1"/>
  <c r="A6590" i="1"/>
  <c r="B6590" i="1"/>
  <c r="A6591" i="1"/>
  <c r="B6591" i="1"/>
  <c r="A6592" i="1"/>
  <c r="B6592" i="1"/>
  <c r="A6593" i="1"/>
  <c r="B6593" i="1"/>
  <c r="A6594" i="1"/>
  <c r="B6594" i="1"/>
  <c r="A6595" i="1"/>
  <c r="B6595" i="1"/>
  <c r="A6596" i="1"/>
  <c r="B6596" i="1"/>
  <c r="A6597" i="1"/>
  <c r="B6597" i="1"/>
  <c r="A6598" i="1"/>
  <c r="B6598" i="1"/>
  <c r="A6599" i="1"/>
  <c r="B6599" i="1"/>
  <c r="A6600" i="1"/>
  <c r="B6600" i="1"/>
  <c r="A6601" i="1"/>
  <c r="B6601" i="1"/>
  <c r="A6602" i="1"/>
  <c r="B6602" i="1"/>
  <c r="A6603" i="1"/>
  <c r="B6603" i="1"/>
  <c r="A6604" i="1"/>
  <c r="B6604" i="1"/>
  <c r="A6605" i="1"/>
  <c r="B6605" i="1"/>
  <c r="A6606" i="1"/>
  <c r="B6606" i="1"/>
  <c r="A6607" i="1"/>
  <c r="B6607" i="1"/>
  <c r="A6608" i="1"/>
  <c r="B6608" i="1"/>
  <c r="A6609" i="1"/>
  <c r="B6609" i="1"/>
  <c r="A6610" i="1"/>
  <c r="B6610" i="1"/>
  <c r="A6611" i="1"/>
  <c r="B6611" i="1"/>
  <c r="A6612" i="1"/>
  <c r="B6612" i="1"/>
  <c r="A6613" i="1"/>
  <c r="B6613" i="1"/>
  <c r="A6614" i="1"/>
  <c r="B6614" i="1"/>
  <c r="A6615" i="1"/>
  <c r="B6615" i="1"/>
  <c r="A6616" i="1"/>
  <c r="B6616" i="1"/>
  <c r="A6617" i="1"/>
  <c r="B6617" i="1"/>
  <c r="A6618" i="1"/>
  <c r="B6618" i="1"/>
  <c r="A6619" i="1"/>
  <c r="B6619" i="1"/>
  <c r="A6620" i="1"/>
  <c r="B6620" i="1"/>
  <c r="A6621" i="1"/>
  <c r="B6621" i="1"/>
  <c r="A6622" i="1"/>
  <c r="B6622" i="1"/>
  <c r="A6623" i="1"/>
  <c r="B6623" i="1"/>
  <c r="A6624" i="1"/>
  <c r="B6624" i="1"/>
  <c r="A6625" i="1"/>
  <c r="B6625" i="1"/>
  <c r="A6626" i="1"/>
  <c r="B6626" i="1"/>
  <c r="A6627" i="1"/>
  <c r="B6627" i="1"/>
  <c r="A6628" i="1"/>
  <c r="B6628" i="1"/>
  <c r="A6629" i="1"/>
  <c r="B6629" i="1"/>
  <c r="A6630" i="1"/>
  <c r="B6630" i="1"/>
  <c r="A6631" i="1"/>
  <c r="B6631" i="1"/>
  <c r="A6632" i="1"/>
  <c r="B6632" i="1"/>
  <c r="A6633" i="1"/>
  <c r="B6633" i="1"/>
  <c r="A6634" i="1"/>
  <c r="B6634" i="1"/>
  <c r="A6635" i="1"/>
  <c r="B6635" i="1"/>
  <c r="A6636" i="1"/>
  <c r="B6636" i="1"/>
  <c r="A6637" i="1"/>
  <c r="B6637" i="1"/>
  <c r="A6638" i="1"/>
  <c r="B6638" i="1"/>
  <c r="A6639" i="1"/>
  <c r="B6639" i="1"/>
  <c r="A6640" i="1"/>
  <c r="B6640" i="1"/>
  <c r="A6641" i="1"/>
  <c r="B6641" i="1"/>
  <c r="A6642" i="1"/>
  <c r="B6642" i="1"/>
  <c r="A6643" i="1"/>
  <c r="B6643" i="1"/>
  <c r="A6644" i="1"/>
  <c r="B6644" i="1"/>
  <c r="A6645" i="1"/>
  <c r="B6645" i="1"/>
  <c r="A6646" i="1"/>
  <c r="B6646" i="1"/>
  <c r="A6647" i="1"/>
  <c r="B6647" i="1"/>
  <c r="A6648" i="1"/>
  <c r="B6648" i="1"/>
  <c r="A6649" i="1"/>
  <c r="B6649" i="1"/>
  <c r="A6650" i="1"/>
  <c r="B6650" i="1"/>
  <c r="A6651" i="1"/>
  <c r="B6651" i="1"/>
  <c r="A6652" i="1"/>
  <c r="B6652" i="1"/>
  <c r="A6653" i="1"/>
  <c r="B6653" i="1"/>
  <c r="A6654" i="1"/>
  <c r="B6654" i="1"/>
  <c r="A6655" i="1"/>
  <c r="B6655" i="1"/>
  <c r="A6656" i="1"/>
  <c r="B6656" i="1"/>
  <c r="A6657" i="1"/>
  <c r="B6657" i="1"/>
  <c r="A6658" i="1"/>
  <c r="B6658" i="1"/>
  <c r="A6659" i="1"/>
  <c r="B6659" i="1"/>
  <c r="A6660" i="1"/>
  <c r="B6660" i="1"/>
  <c r="A6661" i="1"/>
  <c r="B6661" i="1"/>
  <c r="A6662" i="1"/>
  <c r="B6662" i="1"/>
  <c r="A6663" i="1"/>
  <c r="B6663" i="1"/>
  <c r="A6664" i="1"/>
  <c r="B6664" i="1"/>
  <c r="A6665" i="1"/>
  <c r="B6665" i="1"/>
  <c r="A6666" i="1"/>
  <c r="B6666" i="1"/>
  <c r="A6667" i="1"/>
  <c r="B6667" i="1"/>
  <c r="A6668" i="1"/>
  <c r="B6668" i="1"/>
  <c r="A6669" i="1"/>
  <c r="B6669" i="1"/>
  <c r="A6670" i="1"/>
  <c r="B6670" i="1"/>
  <c r="A6671" i="1"/>
  <c r="B6671" i="1"/>
  <c r="A6672" i="1"/>
  <c r="B6672" i="1"/>
  <c r="A6673" i="1"/>
  <c r="B6673" i="1"/>
  <c r="A6674" i="1"/>
  <c r="B6674" i="1"/>
  <c r="A6675" i="1"/>
  <c r="B6675" i="1"/>
  <c r="A6676" i="1"/>
  <c r="B6676" i="1"/>
  <c r="A6677" i="1"/>
  <c r="B6677" i="1"/>
  <c r="A6678" i="1"/>
  <c r="B6678" i="1"/>
  <c r="A6679" i="1"/>
  <c r="B6679" i="1"/>
  <c r="A6680" i="1"/>
  <c r="B6680" i="1"/>
  <c r="A6681" i="1"/>
  <c r="B6681" i="1"/>
  <c r="A6682" i="1"/>
  <c r="B6682" i="1"/>
  <c r="A6683" i="1"/>
  <c r="B6683" i="1"/>
  <c r="A6684" i="1"/>
  <c r="B6684" i="1"/>
  <c r="A6685" i="1"/>
  <c r="B6685" i="1"/>
  <c r="A6686" i="1"/>
  <c r="B6686" i="1"/>
  <c r="A6687" i="1"/>
  <c r="B6687" i="1"/>
  <c r="A6688" i="1"/>
  <c r="B6688" i="1"/>
  <c r="A6689" i="1"/>
  <c r="B6689" i="1"/>
  <c r="A6690" i="1"/>
  <c r="B6690" i="1"/>
  <c r="A6691" i="1"/>
  <c r="B6691" i="1"/>
  <c r="A6692" i="1"/>
  <c r="B6692" i="1"/>
  <c r="A6693" i="1"/>
  <c r="B6693" i="1"/>
  <c r="A6694" i="1"/>
  <c r="B6694" i="1"/>
  <c r="A6695" i="1"/>
  <c r="B6695" i="1"/>
  <c r="A6696" i="1"/>
  <c r="B6696" i="1"/>
  <c r="A6697" i="1"/>
  <c r="B6697" i="1"/>
  <c r="A6698" i="1"/>
  <c r="B6698" i="1"/>
  <c r="A6699" i="1"/>
  <c r="B6699" i="1"/>
  <c r="A6700" i="1"/>
  <c r="B6700" i="1"/>
  <c r="A6701" i="1"/>
  <c r="B6701" i="1"/>
  <c r="A6702" i="1"/>
  <c r="B6702" i="1"/>
  <c r="A6703" i="1"/>
  <c r="B6703" i="1"/>
  <c r="A6704" i="1"/>
  <c r="B6704" i="1"/>
  <c r="A6705" i="1"/>
  <c r="B6705" i="1"/>
  <c r="A6706" i="1"/>
  <c r="B6706" i="1"/>
  <c r="A6707" i="1"/>
  <c r="B6707" i="1"/>
  <c r="A6708" i="1"/>
  <c r="B6708" i="1"/>
  <c r="A6709" i="1"/>
  <c r="B6709" i="1"/>
  <c r="A6710" i="1"/>
  <c r="B6710" i="1"/>
  <c r="A6711" i="1"/>
  <c r="B6711" i="1"/>
  <c r="A6712" i="1"/>
  <c r="B6712" i="1"/>
  <c r="A6713" i="1"/>
  <c r="B6713" i="1"/>
  <c r="A6714" i="1"/>
  <c r="B6714" i="1"/>
  <c r="A6715" i="1"/>
  <c r="B6715" i="1"/>
  <c r="A6716" i="1"/>
  <c r="B6716" i="1"/>
  <c r="A6717" i="1"/>
  <c r="B6717" i="1"/>
  <c r="A6718" i="1"/>
  <c r="B6718" i="1"/>
  <c r="A6719" i="1"/>
  <c r="B6719" i="1"/>
  <c r="A6720" i="1"/>
  <c r="B6720" i="1"/>
  <c r="A6721" i="1"/>
  <c r="B6721" i="1"/>
  <c r="A6722" i="1"/>
  <c r="B6722" i="1"/>
  <c r="A6723" i="1"/>
  <c r="B6723" i="1"/>
  <c r="A6724" i="1"/>
  <c r="B6724" i="1"/>
  <c r="A6725" i="1"/>
  <c r="B6725" i="1"/>
  <c r="A6726" i="1"/>
  <c r="B6726" i="1"/>
  <c r="A6727" i="1"/>
  <c r="B6727" i="1"/>
  <c r="A6728" i="1"/>
  <c r="B6728" i="1"/>
  <c r="A6729" i="1"/>
  <c r="B6729" i="1"/>
  <c r="A6730" i="1"/>
  <c r="B6730" i="1"/>
  <c r="A6731" i="1"/>
  <c r="B6731" i="1"/>
  <c r="A6732" i="1"/>
  <c r="B6732" i="1"/>
  <c r="A6733" i="1"/>
  <c r="B6733" i="1"/>
  <c r="A6734" i="1"/>
  <c r="B6734" i="1"/>
  <c r="A6735" i="1"/>
  <c r="B6735" i="1"/>
  <c r="A6736" i="1"/>
  <c r="B6736" i="1"/>
  <c r="A6737" i="1"/>
  <c r="B6737" i="1"/>
  <c r="A6738" i="1"/>
  <c r="B6738" i="1"/>
  <c r="A6739" i="1"/>
  <c r="B6739" i="1"/>
  <c r="A6740" i="1"/>
  <c r="B6740" i="1"/>
  <c r="A6741" i="1"/>
  <c r="B6741" i="1"/>
  <c r="A6742" i="1"/>
  <c r="B6742" i="1"/>
  <c r="A6743" i="1"/>
  <c r="B6743" i="1"/>
  <c r="A6744" i="1"/>
  <c r="B6744" i="1"/>
  <c r="A6745" i="1"/>
  <c r="B6745" i="1"/>
  <c r="A6746" i="1"/>
  <c r="B6746" i="1"/>
  <c r="A6747" i="1"/>
  <c r="B6747" i="1"/>
  <c r="A6748" i="1"/>
  <c r="B6748" i="1"/>
  <c r="A6749" i="1"/>
  <c r="B6749" i="1"/>
  <c r="A6750" i="1"/>
  <c r="B6750" i="1"/>
</calcChain>
</file>

<file path=xl/sharedStrings.xml><?xml version="1.0" encoding="utf-8"?>
<sst xmlns="http://schemas.openxmlformats.org/spreadsheetml/2006/main" count="13538" uniqueCount="59">
  <si>
    <t>SystemTime</t>
  </si>
  <si>
    <t>Timestamp</t>
  </si>
  <si>
    <t>NowSsceneName</t>
  </si>
  <si>
    <t>PupilRadiusH</t>
  </si>
  <si>
    <t>GazePointX</t>
  </si>
  <si>
    <t>Hitname</t>
  </si>
  <si>
    <t>HitPointX</t>
  </si>
  <si>
    <t>HitPointY</t>
  </si>
  <si>
    <t>HitPointZ</t>
  </si>
  <si>
    <t>CameraPosX</t>
  </si>
  <si>
    <t>CameraPosY</t>
  </si>
  <si>
    <t>CameraPosZ</t>
  </si>
  <si>
    <t>CarDirX</t>
  </si>
  <si>
    <t>CarDirY</t>
  </si>
  <si>
    <t>CarDirZ</t>
  </si>
  <si>
    <t>CameraDirX</t>
  </si>
  <si>
    <t>CameraDirY</t>
  </si>
  <si>
    <t>CameraDirZ</t>
  </si>
  <si>
    <t>EyeDirX</t>
  </si>
  <si>
    <t>EyeDirY</t>
  </si>
  <si>
    <t>EyeDirZ</t>
  </si>
  <si>
    <t>HeadLocalDirX</t>
  </si>
  <si>
    <t>HeadLocalDirY</t>
  </si>
  <si>
    <t>HeadLocalDirZ</t>
  </si>
  <si>
    <t>EyeLocalDirX</t>
  </si>
  <si>
    <t>EyeLocalDirY</t>
  </si>
  <si>
    <t>EyeLocalDirZ</t>
  </si>
  <si>
    <t>speed</t>
  </si>
  <si>
    <t>VecX</t>
  </si>
  <si>
    <t>VecY</t>
  </si>
  <si>
    <t>VecZ</t>
  </si>
  <si>
    <t>LocalVecX</t>
  </si>
  <si>
    <t>LocalVecY</t>
  </si>
  <si>
    <t>LocalVecZ</t>
  </si>
  <si>
    <t>Theta</t>
  </si>
  <si>
    <t>Phi</t>
  </si>
  <si>
    <t>r</t>
  </si>
  <si>
    <t>Theta_Head</t>
  </si>
  <si>
    <t>Phi_Head</t>
  </si>
  <si>
    <t>r_Head_value_is_1</t>
  </si>
  <si>
    <t>Testhuanghun_off</t>
  </si>
  <si>
    <t>Kooper</t>
  </si>
  <si>
    <t>mcp_road_part_02</t>
  </si>
  <si>
    <t>Plane_01</t>
  </si>
  <si>
    <t>mcp_roads_turn_01 (1)</t>
  </si>
  <si>
    <t>mcp_road_part_01</t>
  </si>
  <si>
    <t>mcp_roads_cross_01</t>
  </si>
  <si>
    <t>mcp_roads_T_cross_01</t>
  </si>
  <si>
    <t>mcp_roads_cross_02</t>
  </si>
  <si>
    <t>mcp_roads_turn_01</t>
  </si>
  <si>
    <t>mcp_road_part_02 (1)</t>
  </si>
  <si>
    <t>mcp_road_part_02 (2)</t>
  </si>
  <si>
    <t>mcp_road_part_02 (3)</t>
  </si>
  <si>
    <t>mcp_road_part_02 (6)</t>
  </si>
  <si>
    <t>mcp_road_part_02 (9)</t>
  </si>
  <si>
    <t>mcp_road_part_02 (8)</t>
  </si>
  <si>
    <t>mcp_road_part_02 (10)</t>
  </si>
  <si>
    <t>mcp_road_part_02 (12)</t>
  </si>
  <si>
    <t>mcp_road_part_02 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</si>
</sst>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750"/>
  <sheetViews>
    <sheetView tabSelected="1" workbookViewId="0"/>
  </sheetViews>
  <sheetFormatPr defaultRowHeight="13.8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tr">
        <f>"20190304164336009"</f>
        <v>20190304164336009</v>
      </c>
      <c r="B2" t="str">
        <f>"1551689015999685"</f>
        <v>1551689015999685</v>
      </c>
      <c r="C2" t="s">
        <v>40</v>
      </c>
      <c r="D2">
        <v>5.2186849999999998</v>
      </c>
      <c r="E2">
        <v>0.55731119999999901</v>
      </c>
      <c r="F2" t="s">
        <v>41</v>
      </c>
      <c r="G2">
        <v>-475.96449999999999</v>
      </c>
      <c r="H2">
        <v>0.87100480000000002</v>
      </c>
      <c r="I2">
        <v>367.21899999999999</v>
      </c>
      <c r="J2">
        <v>-476.61720000000003</v>
      </c>
      <c r="K2">
        <v>1.1097459999999999</v>
      </c>
      <c r="L2">
        <v>367.21769999999998</v>
      </c>
      <c r="M2">
        <v>0.99996039999999997</v>
      </c>
      <c r="N2">
        <v>-8.9040509999999996E-3</v>
      </c>
      <c r="O2">
        <v>-3.197993E-4</v>
      </c>
      <c r="P2">
        <v>0.96650979999999997</v>
      </c>
      <c r="Q2">
        <v>0.24042160000000001</v>
      </c>
      <c r="R2">
        <v>8.9757900000000002E-2</v>
      </c>
      <c r="S2">
        <v>3.4102480000000002</v>
      </c>
      <c r="T2">
        <v>-1.2376400000000001</v>
      </c>
      <c r="U2">
        <v>7.446289E-3</v>
      </c>
      <c r="V2">
        <v>-9.0024170000000001E-2</v>
      </c>
      <c r="W2">
        <v>0.249033</v>
      </c>
      <c r="X2">
        <v>0.96430190000000005</v>
      </c>
      <c r="Y2">
        <v>-2.3312300000000001E-3</v>
      </c>
      <c r="Z2">
        <v>5.3035989999999998E-4</v>
      </c>
      <c r="AA2">
        <v>0.99999709999999997</v>
      </c>
      <c r="AB2">
        <v>1</v>
      </c>
      <c r="AC2">
        <v>0.65270000000003803</v>
      </c>
      <c r="AD2">
        <v>-0.23874119999999899</v>
      </c>
      <c r="AE2">
        <v>1.3000000000147299E-3</v>
      </c>
      <c r="AF2">
        <v>-1.3307052572662399E-3</v>
      </c>
      <c r="AG2">
        <v>-0.23874119999999899</v>
      </c>
      <c r="AH2">
        <v>0.57567906827701698</v>
      </c>
      <c r="AI2">
        <v>112.524333110133</v>
      </c>
      <c r="AJ2">
        <v>90.132441256636497</v>
      </c>
      <c r="AK2">
        <v>0.62322188745760199</v>
      </c>
      <c r="AL2">
        <v>75.579702067562195</v>
      </c>
      <c r="AM2">
        <v>95.333493598036</v>
      </c>
      <c r="AN2">
        <v>0.99999997030839904</v>
      </c>
    </row>
    <row r="3" spans="1:40" x14ac:dyDescent="0.25">
      <c r="A3" t="str">
        <f>"20190304164336023"</f>
        <v>20190304164336023</v>
      </c>
      <c r="B3" t="str">
        <f>"1551689016010420"</f>
        <v>1551689016010420</v>
      </c>
      <c r="C3" t="s">
        <v>40</v>
      </c>
      <c r="D3">
        <v>5.3144169999999997</v>
      </c>
      <c r="E3">
        <v>0.55737040000000004</v>
      </c>
      <c r="F3" t="s">
        <v>41</v>
      </c>
      <c r="G3">
        <v>-475.96370000000002</v>
      </c>
      <c r="H3">
        <v>0.87295259999999997</v>
      </c>
      <c r="I3">
        <v>367.21879999999999</v>
      </c>
      <c r="J3">
        <v>-476.61180000000002</v>
      </c>
      <c r="K3">
        <v>1.109659</v>
      </c>
      <c r="L3">
        <v>367.2176</v>
      </c>
      <c r="M3">
        <v>0.99996499999999999</v>
      </c>
      <c r="N3">
        <v>-8.3666950000000004E-3</v>
      </c>
      <c r="O3">
        <v>-3.8020600000000001E-4</v>
      </c>
      <c r="P3">
        <v>0.96638170000000001</v>
      </c>
      <c r="Q3">
        <v>0.2409385</v>
      </c>
      <c r="R3">
        <v>8.9750659999999996E-2</v>
      </c>
      <c r="S3">
        <v>3.4106749999999999</v>
      </c>
      <c r="T3">
        <v>-1.235722</v>
      </c>
      <c r="U3">
        <v>7.0800780000000001E-3</v>
      </c>
      <c r="V3">
        <v>-9.007155E-2</v>
      </c>
      <c r="W3">
        <v>0.24903249999999999</v>
      </c>
      <c r="X3">
        <v>0.96429770000000004</v>
      </c>
      <c r="Y3">
        <v>-2.2841250000000001E-3</v>
      </c>
      <c r="Z3">
        <v>5.4130370000000005E-4</v>
      </c>
      <c r="AA3">
        <v>0.99999729999999998</v>
      </c>
      <c r="AB3">
        <v>1</v>
      </c>
      <c r="AC3">
        <v>0.64809999999999901</v>
      </c>
      <c r="AD3">
        <v>-0.23670640000000001</v>
      </c>
      <c r="AE3">
        <v>1.1999999999829901E-3</v>
      </c>
      <c r="AF3">
        <v>-1.27618528484663E-3</v>
      </c>
      <c r="AG3">
        <v>-0.23670640000000001</v>
      </c>
      <c r="AH3">
        <v>0.57182217102634203</v>
      </c>
      <c r="AI3">
        <v>112.487111229984</v>
      </c>
      <c r="AJ3">
        <v>90.127871763291296</v>
      </c>
      <c r="AK3">
        <v>0.61887974900389198</v>
      </c>
      <c r="AL3">
        <v>75.579733001177303</v>
      </c>
      <c r="AM3">
        <v>95.336307540007994</v>
      </c>
      <c r="AN3">
        <v>1.0000000622004599</v>
      </c>
    </row>
    <row r="4" spans="1:40" x14ac:dyDescent="0.25">
      <c r="A4" t="str">
        <f>"20190304164336040"</f>
        <v>20190304164336040</v>
      </c>
      <c r="B4" t="str">
        <f>"1551689016029940"</f>
        <v>1551689016029940</v>
      </c>
      <c r="C4" t="s">
        <v>40</v>
      </c>
      <c r="D4">
        <v>5.3295089999999998</v>
      </c>
      <c r="E4">
        <v>0.55756839999999996</v>
      </c>
      <c r="F4" t="s">
        <v>41</v>
      </c>
      <c r="G4">
        <v>-475.95510000000002</v>
      </c>
      <c r="H4">
        <v>0.87219619999999998</v>
      </c>
      <c r="I4">
        <v>367.21870000000001</v>
      </c>
      <c r="J4">
        <v>-476.60480000000001</v>
      </c>
      <c r="K4">
        <v>1.109726</v>
      </c>
      <c r="L4">
        <v>367.21749999999997</v>
      </c>
      <c r="M4">
        <v>0.99996640000000003</v>
      </c>
      <c r="N4">
        <v>-8.1904630000000003E-3</v>
      </c>
      <c r="O4">
        <v>-4.4032419999999998E-4</v>
      </c>
      <c r="P4">
        <v>0.96628590000000003</v>
      </c>
      <c r="Q4">
        <v>0.2412977</v>
      </c>
      <c r="R4">
        <v>8.9814660000000004E-2</v>
      </c>
      <c r="S4">
        <v>3.4111630000000002</v>
      </c>
      <c r="T4">
        <v>-1.2333959999999999</v>
      </c>
      <c r="U4">
        <v>7.446289E-3</v>
      </c>
      <c r="V4">
        <v>-9.0196269999999995E-2</v>
      </c>
      <c r="W4">
        <v>0.24921950000000001</v>
      </c>
      <c r="X4">
        <v>0.96423760000000003</v>
      </c>
      <c r="Y4">
        <v>-2.4383790000000001E-3</v>
      </c>
      <c r="Z4">
        <v>5.8841600000000003E-4</v>
      </c>
      <c r="AA4">
        <v>0.99999680000000002</v>
      </c>
      <c r="AB4">
        <v>1</v>
      </c>
      <c r="AC4">
        <v>0.64969999999999495</v>
      </c>
      <c r="AD4">
        <v>-0.23752979999999899</v>
      </c>
      <c r="AE4">
        <v>1.20000000003983E-3</v>
      </c>
      <c r="AF4">
        <v>-1.31087368490398E-3</v>
      </c>
      <c r="AG4">
        <v>-0.23752979999999899</v>
      </c>
      <c r="AH4">
        <v>0.573097824490162</v>
      </c>
      <c r="AI4">
        <v>112.512311574134</v>
      </c>
      <c r="AJ4">
        <v>90.131055110356598</v>
      </c>
      <c r="AK4">
        <v>0.620373468737352</v>
      </c>
      <c r="AL4">
        <v>75.568668048405996</v>
      </c>
      <c r="AM4">
        <v>95.343984994583593</v>
      </c>
      <c r="AN4">
        <v>0.99999993777795904</v>
      </c>
    </row>
    <row r="5" spans="1:40" x14ac:dyDescent="0.25">
      <c r="A5" t="str">
        <f>"20190304164336054"</f>
        <v>20190304164336054</v>
      </c>
      <c r="B5" t="str">
        <f>"1551689016050436"</f>
        <v>1551689016050436</v>
      </c>
      <c r="C5" t="s">
        <v>40</v>
      </c>
      <c r="D5">
        <v>5.3093309999999896</v>
      </c>
      <c r="E5">
        <v>0.5577531</v>
      </c>
      <c r="F5" t="s">
        <v>41</v>
      </c>
      <c r="G5">
        <v>-475.94900000000001</v>
      </c>
      <c r="H5">
        <v>0.8733225</v>
      </c>
      <c r="I5">
        <v>367.2183</v>
      </c>
      <c r="J5">
        <v>-476.601</v>
      </c>
      <c r="K5">
        <v>1.1099460000000001</v>
      </c>
      <c r="L5">
        <v>367.2174</v>
      </c>
      <c r="M5">
        <v>0.99996269999999998</v>
      </c>
      <c r="N5">
        <v>-8.6241100000000008E-3</v>
      </c>
      <c r="O5">
        <v>-4.606023E-4</v>
      </c>
      <c r="P5">
        <v>0.96637949999999995</v>
      </c>
      <c r="Q5">
        <v>0.2408922</v>
      </c>
      <c r="R5">
        <v>8.9898790000000006E-2</v>
      </c>
      <c r="S5">
        <v>3.411346</v>
      </c>
      <c r="T5">
        <v>-1.229646</v>
      </c>
      <c r="U5">
        <v>4.5776369999999999E-3</v>
      </c>
      <c r="V5">
        <v>-9.0310070000000006E-2</v>
      </c>
      <c r="W5">
        <v>0.24922920000000001</v>
      </c>
      <c r="X5">
        <v>0.96422450000000004</v>
      </c>
      <c r="Y5">
        <v>-1.6671909999999999E-3</v>
      </c>
      <c r="Z5">
        <v>4.5582169999999999E-4</v>
      </c>
      <c r="AA5">
        <v>0.99999850000000001</v>
      </c>
      <c r="AB5">
        <v>1</v>
      </c>
      <c r="AC5">
        <v>0.65199999999998604</v>
      </c>
      <c r="AD5">
        <v>-0.23662349999999899</v>
      </c>
      <c r="AE5">
        <v>9.0000000000145497E-4</v>
      </c>
      <c r="AF5">
        <v>-1.0606281285949501E-3</v>
      </c>
      <c r="AG5">
        <v>-0.23662349999999899</v>
      </c>
      <c r="AH5">
        <v>0.57611874526777196</v>
      </c>
      <c r="AI5">
        <v>112.328903163524</v>
      </c>
      <c r="AJ5">
        <v>90.105480766328995</v>
      </c>
      <c r="AK5">
        <v>0.62281988915993203</v>
      </c>
      <c r="AL5">
        <v>75.568095009461501</v>
      </c>
      <c r="AM5">
        <v>95.350760627012306</v>
      </c>
      <c r="AN5">
        <v>0.99999999463814704</v>
      </c>
    </row>
    <row r="6" spans="1:40" x14ac:dyDescent="0.25">
      <c r="A6" t="str">
        <f>"20190304164336076"</f>
        <v>20190304164336076</v>
      </c>
      <c r="B6" t="str">
        <f>"1551689016069956"</f>
        <v>1551689016069956</v>
      </c>
      <c r="C6" t="s">
        <v>40</v>
      </c>
      <c r="D6">
        <v>5.4872589999999999</v>
      </c>
      <c r="E6">
        <v>0.55791899999999905</v>
      </c>
      <c r="F6" t="s">
        <v>41</v>
      </c>
      <c r="G6">
        <v>-475.94580000000002</v>
      </c>
      <c r="H6">
        <v>0.87376980000000004</v>
      </c>
      <c r="I6">
        <v>367.21769999999998</v>
      </c>
      <c r="J6">
        <v>-476.5976</v>
      </c>
      <c r="K6">
        <v>1.1104339999999999</v>
      </c>
      <c r="L6">
        <v>367.21730000000002</v>
      </c>
      <c r="M6">
        <v>0.99995000000000001</v>
      </c>
      <c r="N6">
        <v>-9.9985190000000009E-3</v>
      </c>
      <c r="O6">
        <v>-4.5035030000000002E-4</v>
      </c>
      <c r="P6">
        <v>0.96667369999999997</v>
      </c>
      <c r="Q6">
        <v>0.23987829999999999</v>
      </c>
      <c r="R6">
        <v>8.9445919999999998E-2</v>
      </c>
      <c r="S6">
        <v>3.4104610000000002</v>
      </c>
      <c r="T6">
        <v>-1.2291890000000001</v>
      </c>
      <c r="U6">
        <v>3.692627E-3</v>
      </c>
      <c r="V6">
        <v>-8.9874280000000001E-2</v>
      </c>
      <c r="W6">
        <v>0.24953349999999999</v>
      </c>
      <c r="X6">
        <v>0.96418649999999995</v>
      </c>
      <c r="Y6">
        <v>-1.4145990000000001E-3</v>
      </c>
      <c r="Z6">
        <v>4.074266E-4</v>
      </c>
      <c r="AA6">
        <v>0.99999890000000002</v>
      </c>
      <c r="AB6">
        <v>1</v>
      </c>
      <c r="AC6">
        <v>0.65179999999997995</v>
      </c>
      <c r="AD6">
        <v>-0.23666419999999899</v>
      </c>
      <c r="AE6">
        <v>3.9999999995643499E-4</v>
      </c>
      <c r="AF6">
        <v>-6.1276767646376603E-4</v>
      </c>
      <c r="AG6">
        <v>-0.23666419999999899</v>
      </c>
      <c r="AH6">
        <v>0.57587792038598196</v>
      </c>
      <c r="AI6">
        <v>112.340810275696</v>
      </c>
      <c r="AJ6">
        <v>90.060966026288199</v>
      </c>
      <c r="AK6">
        <v>0.622611996538734</v>
      </c>
      <c r="AL6">
        <v>75.550090864157497</v>
      </c>
      <c r="AM6">
        <v>95.325298055445899</v>
      </c>
      <c r="AN6">
        <v>0.99999998030500903</v>
      </c>
    </row>
    <row r="7" spans="1:40" x14ac:dyDescent="0.25">
      <c r="A7" t="str">
        <f>"20190304164336142"</f>
        <v>20190304164336142</v>
      </c>
      <c r="B7" t="str">
        <f>"1551689016130468"</f>
        <v>1551689016130468</v>
      </c>
      <c r="C7" t="s">
        <v>40</v>
      </c>
      <c r="D7">
        <v>5.3867880000000001</v>
      </c>
      <c r="E7">
        <v>0.55828239999999996</v>
      </c>
      <c r="F7" t="s">
        <v>41</v>
      </c>
      <c r="G7">
        <v>-475.92739999999998</v>
      </c>
      <c r="H7">
        <v>0.87272539999999998</v>
      </c>
      <c r="I7">
        <v>367.21660000000003</v>
      </c>
      <c r="J7">
        <v>-476.5745</v>
      </c>
      <c r="K7">
        <v>1.1099840000000001</v>
      </c>
      <c r="L7">
        <v>367.21730000000002</v>
      </c>
      <c r="M7">
        <v>0.99996249999999998</v>
      </c>
      <c r="N7">
        <v>-8.6701069999999998E-3</v>
      </c>
      <c r="O7">
        <v>-5.3550929999999998E-4</v>
      </c>
      <c r="P7">
        <v>0.96654359999999995</v>
      </c>
      <c r="Q7">
        <v>0.2408285</v>
      </c>
      <c r="R7">
        <v>8.8291090000000003E-2</v>
      </c>
      <c r="S7">
        <v>3.407349</v>
      </c>
      <c r="T7">
        <v>-1.2303580000000001</v>
      </c>
      <c r="U7">
        <v>-3.2653809999999999E-3</v>
      </c>
      <c r="V7">
        <v>-8.8797920000000002E-2</v>
      </c>
      <c r="W7">
        <v>0.2492029</v>
      </c>
      <c r="X7">
        <v>0.96437169999999905</v>
      </c>
      <c r="Y7">
        <v>4.2734449999999997E-4</v>
      </c>
      <c r="Z7">
        <v>1.062373E-4</v>
      </c>
      <c r="AA7">
        <v>0.99999990000000005</v>
      </c>
      <c r="AB7">
        <v>1</v>
      </c>
      <c r="AC7">
        <v>0.64710000000002299</v>
      </c>
      <c r="AD7">
        <v>-0.23725859999999999</v>
      </c>
      <c r="AE7">
        <v>-6.9999999999481501E-4</v>
      </c>
      <c r="AF7">
        <v>3.1157361818203003E-4</v>
      </c>
      <c r="AG7">
        <v>-0.23725859999999999</v>
      </c>
      <c r="AH7">
        <v>0.57041818498651897</v>
      </c>
      <c r="AI7">
        <v>112.584279240466</v>
      </c>
      <c r="AJ7">
        <v>89.968703922799193</v>
      </c>
      <c r="AK7">
        <v>0.61779336846181399</v>
      </c>
      <c r="AL7">
        <v>75.569650558426702</v>
      </c>
      <c r="AM7">
        <v>95.260876082102598</v>
      </c>
      <c r="AN7">
        <v>0.99999996586281203</v>
      </c>
    </row>
    <row r="8" spans="1:40" x14ac:dyDescent="0.25">
      <c r="A8" t="str">
        <f>"20190304164336154"</f>
        <v>20190304164336154</v>
      </c>
      <c r="B8" t="str">
        <f>"1551689016149988"</f>
        <v>1551689016149988</v>
      </c>
      <c r="C8" t="s">
        <v>40</v>
      </c>
      <c r="D8">
        <v>5.387886</v>
      </c>
      <c r="E8">
        <v>0.55838759999999998</v>
      </c>
      <c r="F8" t="s">
        <v>41</v>
      </c>
      <c r="G8">
        <v>-475.91489999999999</v>
      </c>
      <c r="H8">
        <v>0.87323109999999904</v>
      </c>
      <c r="I8">
        <v>367.21559999999999</v>
      </c>
      <c r="J8">
        <v>-476.56630000000001</v>
      </c>
      <c r="K8">
        <v>1.109785</v>
      </c>
      <c r="L8">
        <v>367.21719999999999</v>
      </c>
      <c r="M8">
        <v>0.99996850000000004</v>
      </c>
      <c r="N8">
        <v>-7.928226E-3</v>
      </c>
      <c r="O8">
        <v>-6.0232709999999997E-4</v>
      </c>
      <c r="P8">
        <v>0.96634659999999994</v>
      </c>
      <c r="Q8">
        <v>0.24172979999999999</v>
      </c>
      <c r="R8">
        <v>8.7984279999999998E-2</v>
      </c>
      <c r="S8">
        <v>3.4091800000000001</v>
      </c>
      <c r="T8">
        <v>-1.2232270000000001</v>
      </c>
      <c r="U8">
        <v>-6.1950679999999998E-3</v>
      </c>
      <c r="V8">
        <v>-8.8544250000000005E-2</v>
      </c>
      <c r="W8">
        <v>0.2493908</v>
      </c>
      <c r="X8">
        <v>0.9643465</v>
      </c>
      <c r="Y8">
        <v>1.1756679999999999E-3</v>
      </c>
      <c r="Z8" s="1">
        <v>-4.3962789999999998E-6</v>
      </c>
      <c r="AA8">
        <v>0.99999930000000004</v>
      </c>
      <c r="AB8">
        <v>1</v>
      </c>
      <c r="AC8">
        <v>0.65140000000002296</v>
      </c>
      <c r="AD8">
        <v>-0.23655390000000001</v>
      </c>
      <c r="AE8">
        <v>-1.59999999999627E-3</v>
      </c>
      <c r="AF8">
        <v>1.06693024428799E-3</v>
      </c>
      <c r="AG8">
        <v>-0.23655390000000001</v>
      </c>
      <c r="AH8">
        <v>0.57550605086413498</v>
      </c>
      <c r="AI8">
        <v>112.34440887111499</v>
      </c>
      <c r="AJ8">
        <v>89.893779518205207</v>
      </c>
      <c r="AK8">
        <v>0.62222672758938002</v>
      </c>
      <c r="AL8">
        <v>75.558534395251201</v>
      </c>
      <c r="AM8">
        <v>95.246067568771096</v>
      </c>
      <c r="AN8">
        <v>1.00000001369747</v>
      </c>
    </row>
    <row r="9" spans="1:40" x14ac:dyDescent="0.25">
      <c r="A9" t="str">
        <f>"20190304164336168"</f>
        <v>20190304164336168</v>
      </c>
      <c r="B9" t="str">
        <f>"1551689016159748"</f>
        <v>1551689016159748</v>
      </c>
      <c r="C9" t="s">
        <v>40</v>
      </c>
      <c r="D9">
        <v>5.3733029999999999</v>
      </c>
      <c r="E9">
        <v>0.55842130000000001</v>
      </c>
      <c r="F9" t="s">
        <v>41</v>
      </c>
      <c r="G9">
        <v>-475.90440000000001</v>
      </c>
      <c r="H9">
        <v>0.87322310000000003</v>
      </c>
      <c r="I9">
        <v>367.21539999999999</v>
      </c>
      <c r="J9">
        <v>-476.55889999999999</v>
      </c>
      <c r="K9">
        <v>1.1098380000000001</v>
      </c>
      <c r="L9">
        <v>367.21710000000002</v>
      </c>
      <c r="M9">
        <v>0.99996830000000003</v>
      </c>
      <c r="N9">
        <v>-7.9374149999999997E-3</v>
      </c>
      <c r="O9">
        <v>-6.5284700000000002E-4</v>
      </c>
      <c r="P9">
        <v>0.96636029999999995</v>
      </c>
      <c r="Q9">
        <v>0.241813</v>
      </c>
      <c r="R9">
        <v>8.7602890000000003E-2</v>
      </c>
      <c r="S9">
        <v>3.4100649999999999</v>
      </c>
      <c r="T9">
        <v>-1.218736</v>
      </c>
      <c r="U9">
        <v>-7.9650880000000004E-3</v>
      </c>
      <c r="V9">
        <v>-8.8208209999999995E-2</v>
      </c>
      <c r="W9">
        <v>0.24948409999999999</v>
      </c>
      <c r="X9">
        <v>0.96435309999999996</v>
      </c>
      <c r="Y9">
        <v>1.618899E-3</v>
      </c>
      <c r="Z9" s="1">
        <v>-6.5939720000000003E-5</v>
      </c>
      <c r="AA9">
        <v>0.99999870000000002</v>
      </c>
      <c r="AB9">
        <v>1</v>
      </c>
      <c r="AC9">
        <v>0.65449999999998398</v>
      </c>
      <c r="AD9">
        <v>-0.23661489999999899</v>
      </c>
      <c r="AE9">
        <v>-1.7000000000280101E-3</v>
      </c>
      <c r="AF9">
        <v>1.12558808032672E-3</v>
      </c>
      <c r="AG9">
        <v>-0.23661489999999899</v>
      </c>
      <c r="AH9">
        <v>0.57884792304993304</v>
      </c>
      <c r="AI9">
        <v>112.233168261091</v>
      </c>
      <c r="AJ9">
        <v>89.8885866863817</v>
      </c>
      <c r="AK9">
        <v>0.62534214304631497</v>
      </c>
      <c r="AL9">
        <v>75.553013314733093</v>
      </c>
      <c r="AM9">
        <v>95.226232769396205</v>
      </c>
      <c r="AN9">
        <v>0.99999995297191002</v>
      </c>
    </row>
    <row r="10" spans="1:40" x14ac:dyDescent="0.25">
      <c r="A10" t="str">
        <f>"20190304164336188"</f>
        <v>20190304164336188</v>
      </c>
      <c r="B10" t="str">
        <f>"1551689016180244"</f>
        <v>1551689016180244</v>
      </c>
      <c r="C10" t="s">
        <v>40</v>
      </c>
      <c r="D10">
        <v>5.4181819999999998</v>
      </c>
      <c r="E10">
        <v>0.55851490000000004</v>
      </c>
      <c r="F10" t="s">
        <v>41</v>
      </c>
      <c r="G10">
        <v>-475.90339999999998</v>
      </c>
      <c r="H10">
        <v>0.87562450000000003</v>
      </c>
      <c r="I10">
        <v>367.21510000000001</v>
      </c>
      <c r="J10">
        <v>-476.55149999999998</v>
      </c>
      <c r="K10">
        <v>1.1101369999999999</v>
      </c>
      <c r="L10">
        <v>367.21710000000002</v>
      </c>
      <c r="M10">
        <v>0.99996130000000005</v>
      </c>
      <c r="N10">
        <v>-8.7713749999999997E-3</v>
      </c>
      <c r="O10">
        <v>-6.8488960000000004E-4</v>
      </c>
      <c r="P10">
        <v>0.96677060000000004</v>
      </c>
      <c r="Q10">
        <v>0.240291</v>
      </c>
      <c r="R10">
        <v>8.7263439999999998E-2</v>
      </c>
      <c r="S10">
        <v>3.4101560000000002</v>
      </c>
      <c r="T10">
        <v>-1.2183999999999999</v>
      </c>
      <c r="U10">
        <v>-9.2163090000000007E-3</v>
      </c>
      <c r="V10">
        <v>-8.7905319999999995E-2</v>
      </c>
      <c r="W10">
        <v>0.2487684</v>
      </c>
      <c r="X10">
        <v>0.96456569999999997</v>
      </c>
      <c r="Y10">
        <v>1.935099E-3</v>
      </c>
      <c r="Z10">
        <v>-1.1253790000000001E-4</v>
      </c>
      <c r="AA10">
        <v>0.9999981</v>
      </c>
      <c r="AB10">
        <v>1</v>
      </c>
      <c r="AC10">
        <v>0.64809999999999901</v>
      </c>
      <c r="AD10">
        <v>-0.23451250000000001</v>
      </c>
      <c r="AE10">
        <v>-2.0000000000095402E-3</v>
      </c>
      <c r="AF10">
        <v>1.3759503940606499E-3</v>
      </c>
      <c r="AG10">
        <v>-0.23451250000000001</v>
      </c>
      <c r="AH10">
        <v>0.57306854984453504</v>
      </c>
      <c r="AI10">
        <v>112.255420351819</v>
      </c>
      <c r="AJ10">
        <v>89.862431817403703</v>
      </c>
      <c r="AK10">
        <v>0.61919751995357297</v>
      </c>
      <c r="AL10">
        <v>75.595355966991804</v>
      </c>
      <c r="AM10">
        <v>95.207244092278501</v>
      </c>
      <c r="AN10">
        <v>1.00000002586967</v>
      </c>
    </row>
    <row r="11" spans="1:40" x14ac:dyDescent="0.25">
      <c r="A11" t="str">
        <f>"20190304164336200"</f>
        <v>20190304164336200</v>
      </c>
      <c r="B11" t="str">
        <f>"1551689016190005"</f>
        <v>1551689016190005</v>
      </c>
      <c r="C11" t="s">
        <v>40</v>
      </c>
      <c r="D11">
        <v>5.3831020000000001</v>
      </c>
      <c r="E11">
        <v>0.55852829999999998</v>
      </c>
      <c r="F11" t="s">
        <v>41</v>
      </c>
      <c r="G11">
        <v>-475.89690000000002</v>
      </c>
      <c r="H11">
        <v>0.87514289999999995</v>
      </c>
      <c r="I11">
        <v>367.21449999999999</v>
      </c>
      <c r="J11">
        <v>-476.54790000000003</v>
      </c>
      <c r="K11">
        <v>1.1104179999999999</v>
      </c>
      <c r="L11">
        <v>367.21699999999998</v>
      </c>
      <c r="M11">
        <v>0.99995319999999999</v>
      </c>
      <c r="N11">
        <v>-9.6717369999999997E-3</v>
      </c>
      <c r="O11">
        <v>-6.8759929999999902E-4</v>
      </c>
      <c r="P11">
        <v>0.96705960000000002</v>
      </c>
      <c r="Q11">
        <v>0.2390649</v>
      </c>
      <c r="R11">
        <v>8.7428240000000004E-2</v>
      </c>
      <c r="S11">
        <v>3.40802</v>
      </c>
      <c r="T11">
        <v>-1.222909</v>
      </c>
      <c r="U11">
        <v>-1.037598E-2</v>
      </c>
      <c r="V11">
        <v>-8.8081080000000006E-2</v>
      </c>
      <c r="W11">
        <v>0.24841079999999999</v>
      </c>
      <c r="X11">
        <v>0.96464179999999999</v>
      </c>
      <c r="Y11">
        <v>2.2528959999999999E-3</v>
      </c>
      <c r="Z11">
        <v>-1.7039489999999999E-4</v>
      </c>
      <c r="AA11">
        <v>0.99999740000000004</v>
      </c>
      <c r="AB11">
        <v>1</v>
      </c>
      <c r="AC11">
        <v>0.65100000000001002</v>
      </c>
      <c r="AD11">
        <v>-0.23527509999999999</v>
      </c>
      <c r="AE11">
        <v>-2.4999999999977202E-3</v>
      </c>
      <c r="AF11">
        <v>1.81525683695886E-3</v>
      </c>
      <c r="AG11">
        <v>-0.23527509999999999</v>
      </c>
      <c r="AH11">
        <v>0.57579566063161303</v>
      </c>
      <c r="AI11">
        <v>112.225250927876</v>
      </c>
      <c r="AJ11">
        <v>89.8193695818984</v>
      </c>
      <c r="AK11">
        <v>0.62201150362319602</v>
      </c>
      <c r="AL11">
        <v>75.616508605781206</v>
      </c>
      <c r="AM11">
        <v>95.217188831780604</v>
      </c>
      <c r="AN11">
        <v>1.0000000022589199</v>
      </c>
    </row>
    <row r="12" spans="1:40" x14ac:dyDescent="0.25">
      <c r="A12" t="str">
        <f>"20190304164336215"</f>
        <v>20190304164336215</v>
      </c>
      <c r="B12" t="str">
        <f>"1551689016199763"</f>
        <v>1551689016199763</v>
      </c>
      <c r="C12" t="s">
        <v>40</v>
      </c>
      <c r="D12">
        <v>5.4303489999999996</v>
      </c>
      <c r="E12">
        <v>0.55854729999999997</v>
      </c>
      <c r="F12" t="s">
        <v>41</v>
      </c>
      <c r="G12">
        <v>-475.89299999999997</v>
      </c>
      <c r="H12">
        <v>0.87442869999999995</v>
      </c>
      <c r="I12">
        <v>367.21499999999997</v>
      </c>
      <c r="J12">
        <v>-476.5446</v>
      </c>
      <c r="K12">
        <v>1.1106929999999999</v>
      </c>
      <c r="L12">
        <v>367.21699999999998</v>
      </c>
      <c r="M12">
        <v>0.99994320000000003</v>
      </c>
      <c r="N12">
        <v>-1.064618E-2</v>
      </c>
      <c r="O12">
        <v>-6.8186089999999896E-4</v>
      </c>
      <c r="P12">
        <v>0.96732569999999996</v>
      </c>
      <c r="Q12">
        <v>0.238068</v>
      </c>
      <c r="R12">
        <v>8.7204409999999996E-2</v>
      </c>
      <c r="S12">
        <v>3.4063720000000002</v>
      </c>
      <c r="T12">
        <v>-1.227301</v>
      </c>
      <c r="U12">
        <v>-9.0332030000000001E-3</v>
      </c>
      <c r="V12">
        <v>-8.7862099999999999E-2</v>
      </c>
      <c r="W12">
        <v>0.24835309999999999</v>
      </c>
      <c r="X12">
        <v>0.9646766</v>
      </c>
      <c r="Y12">
        <v>1.8878269999999999E-3</v>
      </c>
      <c r="Z12">
        <v>-1.089463E-4</v>
      </c>
      <c r="AA12">
        <v>0.99999819999999995</v>
      </c>
      <c r="AB12">
        <v>1</v>
      </c>
      <c r="AC12">
        <v>0.65159999999997298</v>
      </c>
      <c r="AD12">
        <v>-0.23626429999999901</v>
      </c>
      <c r="AE12">
        <v>-2.0000000000095402E-3</v>
      </c>
      <c r="AF12">
        <v>1.3749126921923499E-3</v>
      </c>
      <c r="AG12">
        <v>-0.23626429999999901</v>
      </c>
      <c r="AH12">
        <v>0.57588856678067302</v>
      </c>
      <c r="AI12">
        <v>112.306345611347</v>
      </c>
      <c r="AJ12">
        <v>89.863208701594303</v>
      </c>
      <c r="AK12">
        <v>0.62247116494509103</v>
      </c>
      <c r="AL12">
        <v>75.6199211509023</v>
      </c>
      <c r="AM12">
        <v>95.204102884465897</v>
      </c>
      <c r="AN12">
        <v>0.99999997674178898</v>
      </c>
    </row>
    <row r="13" spans="1:40" x14ac:dyDescent="0.25">
      <c r="A13" t="str">
        <f>"20190304164336259"</f>
        <v>20190304164336259</v>
      </c>
      <c r="B13" t="str">
        <f>"1551689016250517"</f>
        <v>1551689016250517</v>
      </c>
      <c r="C13" t="s">
        <v>40</v>
      </c>
      <c r="D13">
        <v>5.3087339999999896</v>
      </c>
      <c r="E13">
        <v>0.55857990000000002</v>
      </c>
      <c r="F13" t="s">
        <v>41</v>
      </c>
      <c r="G13">
        <v>-475.87119999999999</v>
      </c>
      <c r="H13">
        <v>0.87318410000000002</v>
      </c>
      <c r="I13">
        <v>367.21469999999999</v>
      </c>
      <c r="J13">
        <v>-476.51830000000001</v>
      </c>
      <c r="K13">
        <v>1.109985</v>
      </c>
      <c r="L13">
        <v>367.21690000000001</v>
      </c>
      <c r="M13">
        <v>0.99996280000000004</v>
      </c>
      <c r="N13">
        <v>-8.5846210000000006E-3</v>
      </c>
      <c r="O13">
        <v>-8.3585289999999997E-4</v>
      </c>
      <c r="P13">
        <v>0.96696159999999998</v>
      </c>
      <c r="Q13">
        <v>0.2398266</v>
      </c>
      <c r="R13">
        <v>8.6420430000000006E-2</v>
      </c>
      <c r="S13">
        <v>3.4062190000000001</v>
      </c>
      <c r="T13">
        <v>-1.2284269999999999</v>
      </c>
      <c r="U13">
        <v>-1.013184E-2</v>
      </c>
      <c r="V13">
        <v>-8.720675E-2</v>
      </c>
      <c r="W13">
        <v>0.24812580000000001</v>
      </c>
      <c r="X13">
        <v>0.96479459999999995</v>
      </c>
      <c r="Y13">
        <v>2.055936E-3</v>
      </c>
      <c r="Z13" s="1">
        <v>-8.3230489999999995E-5</v>
      </c>
      <c r="AA13">
        <v>0.9999979</v>
      </c>
      <c r="AB13">
        <v>1</v>
      </c>
      <c r="AC13">
        <v>0.64710000000002299</v>
      </c>
      <c r="AD13">
        <v>-0.23680090000000001</v>
      </c>
      <c r="AE13">
        <v>-2.2000000000161799E-3</v>
      </c>
      <c r="AF13">
        <v>1.4631639548218099E-3</v>
      </c>
      <c r="AG13">
        <v>-0.23680090000000001</v>
      </c>
      <c r="AH13">
        <v>0.57068072452403196</v>
      </c>
      <c r="AI13">
        <v>112.53567678207401</v>
      </c>
      <c r="AJ13">
        <v>89.853100110006196</v>
      </c>
      <c r="AK13">
        <v>0.61786187488211497</v>
      </c>
      <c r="AL13">
        <v>75.633366009956802</v>
      </c>
      <c r="AM13">
        <v>95.164868694209801</v>
      </c>
      <c r="AN13">
        <v>1.0000000250301799</v>
      </c>
    </row>
    <row r="14" spans="1:40" x14ac:dyDescent="0.25">
      <c r="A14" t="str">
        <f>"20190304164336277"</f>
        <v>20190304164336277</v>
      </c>
      <c r="B14" t="str">
        <f>"1551689016270037"</f>
        <v>1551689016270037</v>
      </c>
      <c r="C14" t="s">
        <v>40</v>
      </c>
      <c r="D14">
        <v>5.3135190000000003</v>
      </c>
      <c r="E14">
        <v>0.55858280000000005</v>
      </c>
      <c r="F14" t="s">
        <v>41</v>
      </c>
      <c r="G14">
        <v>-475.85610000000003</v>
      </c>
      <c r="H14">
        <v>0.87181989999999998</v>
      </c>
      <c r="I14">
        <v>367.21440000000001</v>
      </c>
      <c r="J14">
        <v>-476.50540000000001</v>
      </c>
      <c r="K14">
        <v>1.1097619999999999</v>
      </c>
      <c r="L14">
        <v>367.21679999999998</v>
      </c>
      <c r="M14">
        <v>0.99996969999999996</v>
      </c>
      <c r="N14">
        <v>-7.7546619999999998E-3</v>
      </c>
      <c r="O14">
        <v>-9.3973579999999998E-4</v>
      </c>
      <c r="P14">
        <v>0.9667637</v>
      </c>
      <c r="Q14">
        <v>0.24083170000000001</v>
      </c>
      <c r="R14">
        <v>8.5839109999999996E-2</v>
      </c>
      <c r="S14">
        <v>3.4073180000000001</v>
      </c>
      <c r="T14">
        <v>-1.22516</v>
      </c>
      <c r="U14">
        <v>-1.0467529999999999E-2</v>
      </c>
      <c r="V14">
        <v>-8.6716689999999999E-2</v>
      </c>
      <c r="W14">
        <v>0.24833189999999999</v>
      </c>
      <c r="X14">
        <v>0.96478580000000003</v>
      </c>
      <c r="Y14">
        <v>2.0568090000000002E-3</v>
      </c>
      <c r="Z14" s="1">
        <v>-4.6207449999999998E-5</v>
      </c>
      <c r="AA14">
        <v>0.9999979</v>
      </c>
      <c r="AB14">
        <v>2</v>
      </c>
      <c r="AC14">
        <v>0.649299999999982</v>
      </c>
      <c r="AD14">
        <v>-0.23794209999999999</v>
      </c>
      <c r="AE14">
        <v>-2.3999999999659801E-3</v>
      </c>
      <c r="AF14">
        <v>1.57791147633786E-3</v>
      </c>
      <c r="AG14">
        <v>-0.23794209999999999</v>
      </c>
      <c r="AH14">
        <v>0.57242996508199195</v>
      </c>
      <c r="AI14">
        <v>112.571124888752</v>
      </c>
      <c r="AJ14">
        <v>89.842063755268597</v>
      </c>
      <c r="AK14">
        <v>0.61991531492681096</v>
      </c>
      <c r="AL14">
        <v>75.621176597908502</v>
      </c>
      <c r="AM14">
        <v>95.136046875952403</v>
      </c>
      <c r="AN14">
        <v>1.0000000783819001</v>
      </c>
    </row>
    <row r="15" spans="1:40" x14ac:dyDescent="0.25">
      <c r="A15" t="str">
        <f>"20190304164336301"</f>
        <v>20190304164336301</v>
      </c>
      <c r="B15" t="str">
        <f>"1551689016289555"</f>
        <v>1551689016289555</v>
      </c>
      <c r="C15" t="s">
        <v>40</v>
      </c>
      <c r="D15">
        <v>5.3158209999999997</v>
      </c>
      <c r="E15">
        <v>0.55860379999999998</v>
      </c>
      <c r="F15" t="s">
        <v>41</v>
      </c>
      <c r="G15">
        <v>-475.84370000000001</v>
      </c>
      <c r="H15">
        <v>0.87250329999999998</v>
      </c>
      <c r="I15">
        <v>367.21420000000001</v>
      </c>
      <c r="J15">
        <v>-476.49220000000003</v>
      </c>
      <c r="K15">
        <v>1.11008</v>
      </c>
      <c r="L15">
        <v>367.2167</v>
      </c>
      <c r="M15">
        <v>0.99996269999999998</v>
      </c>
      <c r="N15">
        <v>-8.5919819999999997E-3</v>
      </c>
      <c r="O15">
        <v>-1.0184199999999999E-3</v>
      </c>
      <c r="P15">
        <v>0.96695260000000005</v>
      </c>
      <c r="Q15">
        <v>0.24024860000000001</v>
      </c>
      <c r="R15">
        <v>8.5343290000000002E-2</v>
      </c>
      <c r="S15">
        <v>3.408569</v>
      </c>
      <c r="T15">
        <v>-1.221854</v>
      </c>
      <c r="U15">
        <v>-1.211548E-2</v>
      </c>
      <c r="V15">
        <v>-8.6303969999999994E-2</v>
      </c>
      <c r="W15">
        <v>0.2485549</v>
      </c>
      <c r="X15">
        <v>0.96476530000000005</v>
      </c>
      <c r="Y15">
        <v>2.440458E-3</v>
      </c>
      <c r="Z15" s="1">
        <v>-8.9457520000000003E-5</v>
      </c>
      <c r="AA15">
        <v>0.99999700000000002</v>
      </c>
      <c r="AB15">
        <v>2</v>
      </c>
      <c r="AC15">
        <v>0.64850000000001196</v>
      </c>
      <c r="AD15">
        <v>-0.237576699999999</v>
      </c>
      <c r="AE15">
        <v>-2.4999999999977202E-3</v>
      </c>
      <c r="AF15">
        <v>1.6218608942557501E-3</v>
      </c>
      <c r="AG15">
        <v>-0.237576699999999</v>
      </c>
      <c r="AH15">
        <v>0.57176611557392298</v>
      </c>
      <c r="AI15">
        <v>112.563476235655</v>
      </c>
      <c r="AJ15">
        <v>89.837476316914604</v>
      </c>
      <c r="AK15">
        <v>0.61916218370806797</v>
      </c>
      <c r="AL15">
        <v>75.607984899970603</v>
      </c>
      <c r="AM15">
        <v>95.1118401949944</v>
      </c>
      <c r="AN15">
        <v>0.99999999881793</v>
      </c>
    </row>
    <row r="16" spans="1:40" x14ac:dyDescent="0.25">
      <c r="A16" t="str">
        <f>"20190304164336321"</f>
        <v>20190304164336321</v>
      </c>
      <c r="B16" t="str">
        <f>"1551689016310052"</f>
        <v>1551689016310052</v>
      </c>
      <c r="C16" t="s">
        <v>40</v>
      </c>
      <c r="D16">
        <v>5.4809789999999996</v>
      </c>
      <c r="E16">
        <v>0.55856589999999995</v>
      </c>
      <c r="F16" t="s">
        <v>41</v>
      </c>
      <c r="G16">
        <v>-475.83479999999997</v>
      </c>
      <c r="H16">
        <v>0.87391419999999997</v>
      </c>
      <c r="I16">
        <v>367.21370000000002</v>
      </c>
      <c r="J16">
        <v>-476.48439999999999</v>
      </c>
      <c r="K16">
        <v>1.110555</v>
      </c>
      <c r="L16">
        <v>367.21660000000003</v>
      </c>
      <c r="M16">
        <v>0.99994769999999999</v>
      </c>
      <c r="N16">
        <v>-1.018791E-2</v>
      </c>
      <c r="O16">
        <v>-1.038293E-3</v>
      </c>
      <c r="P16">
        <v>0.96732989999999996</v>
      </c>
      <c r="Q16">
        <v>0.23886850000000001</v>
      </c>
      <c r="R16">
        <v>8.4941440000000007E-2</v>
      </c>
      <c r="S16">
        <v>3.4077760000000001</v>
      </c>
      <c r="T16">
        <v>-1.224013</v>
      </c>
      <c r="U16">
        <v>-1.2634279999999999E-2</v>
      </c>
      <c r="V16">
        <v>-8.5938329999999993E-2</v>
      </c>
      <c r="W16">
        <v>0.24871289999999999</v>
      </c>
      <c r="X16">
        <v>0.96475719999999998</v>
      </c>
      <c r="Y16">
        <v>2.5651419999999999E-3</v>
      </c>
      <c r="Z16">
        <v>-1.088215E-4</v>
      </c>
      <c r="AA16">
        <v>0.99999669999999896</v>
      </c>
      <c r="AB16">
        <v>1</v>
      </c>
      <c r="AC16">
        <v>0.64960000000002005</v>
      </c>
      <c r="AD16">
        <v>-0.23664080000000001</v>
      </c>
      <c r="AE16">
        <v>-2.9000000000110001E-3</v>
      </c>
      <c r="AF16">
        <v>1.96476013467404E-3</v>
      </c>
      <c r="AG16">
        <v>-0.23664080000000001</v>
      </c>
      <c r="AH16">
        <v>0.57349812164369396</v>
      </c>
      <c r="AI16">
        <v>112.42224629529299</v>
      </c>
      <c r="AJ16">
        <v>89.803709866156296</v>
      </c>
      <c r="AK16">
        <v>0.62040537073422597</v>
      </c>
      <c r="AL16">
        <v>75.598638381657295</v>
      </c>
      <c r="AM16">
        <v>95.090339632978299</v>
      </c>
      <c r="AN16">
        <v>0.99999997907071903</v>
      </c>
    </row>
    <row r="17" spans="1:40" x14ac:dyDescent="0.25">
      <c r="A17" t="str">
        <f>"20190304164336345"</f>
        <v>20190304164336345</v>
      </c>
      <c r="B17" t="str">
        <f>"1551689016329572"</f>
        <v>1551689016329572</v>
      </c>
      <c r="C17" t="s">
        <v>40</v>
      </c>
      <c r="D17">
        <v>5.4226340000000004</v>
      </c>
      <c r="E17">
        <v>0.5585386</v>
      </c>
      <c r="F17" t="s">
        <v>41</v>
      </c>
      <c r="G17">
        <v>-475.82900000000001</v>
      </c>
      <c r="H17">
        <v>0.87395469999999897</v>
      </c>
      <c r="I17">
        <v>367.21319999999997</v>
      </c>
      <c r="J17">
        <v>-476.47469999999998</v>
      </c>
      <c r="K17">
        <v>1.1107049999999901</v>
      </c>
      <c r="L17">
        <v>367.2165</v>
      </c>
      <c r="M17">
        <v>0.99993889999999996</v>
      </c>
      <c r="N17">
        <v>-1.1002619999999999E-2</v>
      </c>
      <c r="O17">
        <v>-1.057133E-3</v>
      </c>
      <c r="P17">
        <v>0.96749149999999995</v>
      </c>
      <c r="Q17">
        <v>0.23823839999999999</v>
      </c>
      <c r="R17">
        <v>8.4869680000000003E-2</v>
      </c>
      <c r="S17">
        <v>3.4060969999999999</v>
      </c>
      <c r="T17">
        <v>-1.2292400000000001</v>
      </c>
      <c r="U17">
        <v>-1.45874E-2</v>
      </c>
      <c r="V17">
        <v>-8.5891060000000005E-2</v>
      </c>
      <c r="W17">
        <v>0.2488686</v>
      </c>
      <c r="X17">
        <v>0.9647213</v>
      </c>
      <c r="Y17">
        <v>3.087027E-3</v>
      </c>
      <c r="Z17">
        <v>-1.9896639999999999E-4</v>
      </c>
      <c r="AA17">
        <v>0.99999519999999997</v>
      </c>
      <c r="AB17">
        <v>1</v>
      </c>
      <c r="AC17">
        <v>0.64569999999997596</v>
      </c>
      <c r="AD17">
        <v>-0.2367503</v>
      </c>
      <c r="AE17">
        <v>-3.30000000002428E-3</v>
      </c>
      <c r="AF17">
        <v>2.3072005395806299E-3</v>
      </c>
      <c r="AG17">
        <v>-0.2367503</v>
      </c>
      <c r="AH17">
        <v>0.56918542398544503</v>
      </c>
      <c r="AI17">
        <v>112.58449742523599</v>
      </c>
      <c r="AJ17">
        <v>89.767752082491896</v>
      </c>
      <c r="AK17">
        <v>0.61646417138541798</v>
      </c>
      <c r="AL17">
        <v>75.589428432774199</v>
      </c>
      <c r="AM17">
        <v>95.087742740781593</v>
      </c>
      <c r="AN17">
        <v>1.00000002046378</v>
      </c>
    </row>
    <row r="18" spans="1:40" x14ac:dyDescent="0.25">
      <c r="A18" t="str">
        <f>"20190304164336367"</f>
        <v>20190304164336367</v>
      </c>
      <c r="B18" t="str">
        <f>"1551689016359828"</f>
        <v>1551689016359828</v>
      </c>
      <c r="C18" t="s">
        <v>40</v>
      </c>
      <c r="D18">
        <v>5.3438019999999904</v>
      </c>
      <c r="E18">
        <v>0.55851049999999902</v>
      </c>
      <c r="F18" t="s">
        <v>41</v>
      </c>
      <c r="G18">
        <v>-475.81849999999997</v>
      </c>
      <c r="H18">
        <v>0.87340640000000003</v>
      </c>
      <c r="I18">
        <v>367.21339999999998</v>
      </c>
      <c r="J18">
        <v>-476.46050000000002</v>
      </c>
      <c r="K18">
        <v>1.110322</v>
      </c>
      <c r="L18">
        <v>367.21640000000002</v>
      </c>
      <c r="M18">
        <v>0.99994950000000005</v>
      </c>
      <c r="N18">
        <v>-9.9958909999999998E-3</v>
      </c>
      <c r="O18">
        <v>-1.133369E-3</v>
      </c>
      <c r="P18">
        <v>0.96729089999999995</v>
      </c>
      <c r="Q18">
        <v>0.23907610000000001</v>
      </c>
      <c r="R18">
        <v>8.4800100000000003E-2</v>
      </c>
      <c r="S18">
        <v>3.4052120000000001</v>
      </c>
      <c r="T18">
        <v>-1.2310989999999999</v>
      </c>
      <c r="U18">
        <v>-1.4434809999999999E-2</v>
      </c>
      <c r="V18">
        <v>-8.5884429999999998E-2</v>
      </c>
      <c r="W18">
        <v>0.2487365</v>
      </c>
      <c r="X18">
        <v>0.96475599999999995</v>
      </c>
      <c r="Y18">
        <v>2.9791840000000002E-3</v>
      </c>
      <c r="Z18">
        <v>-1.5118419999999999E-4</v>
      </c>
      <c r="AA18">
        <v>0.99999550000000004</v>
      </c>
      <c r="AB18">
        <v>1</v>
      </c>
      <c r="AC18">
        <v>0.64200000000005197</v>
      </c>
      <c r="AD18">
        <v>-0.2369156</v>
      </c>
      <c r="AE18">
        <v>-3.0000000000427402E-3</v>
      </c>
      <c r="AF18">
        <v>1.99998448989781E-3</v>
      </c>
      <c r="AG18">
        <v>-0.2369156</v>
      </c>
      <c r="AH18">
        <v>0.56505480794882001</v>
      </c>
      <c r="AI18">
        <v>112.74715161245901</v>
      </c>
      <c r="AJ18">
        <v>89.7972051733135</v>
      </c>
      <c r="AK18">
        <v>0.61271521724810896</v>
      </c>
      <c r="AL18">
        <v>75.597243529440206</v>
      </c>
      <c r="AM18">
        <v>95.087170054879394</v>
      </c>
      <c r="AN18">
        <v>1.00000006064233</v>
      </c>
    </row>
    <row r="19" spans="1:40" x14ac:dyDescent="0.25">
      <c r="A19" t="str">
        <f>"20190304164336380"</f>
        <v>20190304164336380</v>
      </c>
      <c r="B19" t="str">
        <f>"1551689016369589"</f>
        <v>1551689016369589</v>
      </c>
      <c r="C19" t="s">
        <v>40</v>
      </c>
      <c r="D19">
        <v>5.4623699999999999</v>
      </c>
      <c r="E19">
        <v>0.55852769999999996</v>
      </c>
      <c r="F19" t="s">
        <v>41</v>
      </c>
      <c r="G19">
        <v>-475.80360000000002</v>
      </c>
      <c r="H19">
        <v>0.87347909999999995</v>
      </c>
      <c r="I19">
        <v>367.21339999999998</v>
      </c>
      <c r="J19">
        <v>-476.45</v>
      </c>
      <c r="K19">
        <v>1.110053</v>
      </c>
      <c r="L19">
        <v>367.21629999999999</v>
      </c>
      <c r="M19">
        <v>0.9999576</v>
      </c>
      <c r="N19">
        <v>-9.1386490000000004E-3</v>
      </c>
      <c r="O19">
        <v>-1.208567E-3</v>
      </c>
      <c r="P19">
        <v>0.96717569999999997</v>
      </c>
      <c r="Q19">
        <v>0.23955190000000001</v>
      </c>
      <c r="R19">
        <v>8.4771739999999998E-2</v>
      </c>
      <c r="S19">
        <v>3.40625</v>
      </c>
      <c r="T19">
        <v>-1.2278389999999999</v>
      </c>
      <c r="U19">
        <v>-1.4770510000000001E-2</v>
      </c>
      <c r="V19">
        <v>-8.5919529999999994E-2</v>
      </c>
      <c r="W19">
        <v>0.24838689999999999</v>
      </c>
      <c r="X19">
        <v>0.96484289999999995</v>
      </c>
      <c r="Y19">
        <v>3.0055479999999998E-3</v>
      </c>
      <c r="Z19">
        <v>-1.276944E-4</v>
      </c>
      <c r="AA19">
        <v>0.99999550000000004</v>
      </c>
      <c r="AB19">
        <v>1</v>
      </c>
      <c r="AC19">
        <v>0.646399999999971</v>
      </c>
      <c r="AD19">
        <v>-0.2365739</v>
      </c>
      <c r="AE19">
        <v>-2.9000000000110001E-3</v>
      </c>
      <c r="AF19">
        <v>1.86847694352719E-3</v>
      </c>
      <c r="AG19">
        <v>-0.2365739</v>
      </c>
      <c r="AH19">
        <v>0.57004862329900696</v>
      </c>
      <c r="AI19">
        <v>112.538660154941</v>
      </c>
      <c r="AJ19">
        <v>89.812199424367506</v>
      </c>
      <c r="AK19">
        <v>0.61719213725742805</v>
      </c>
      <c r="AL19">
        <v>75.617922538891094</v>
      </c>
      <c r="AM19">
        <v>95.088782245057104</v>
      </c>
      <c r="AN19">
        <v>1.00000001970372</v>
      </c>
    </row>
    <row r="20" spans="1:40" x14ac:dyDescent="0.25">
      <c r="A20" t="str">
        <f>"20190304164336400"</f>
        <v>20190304164336400</v>
      </c>
      <c r="B20" t="str">
        <f>"1551689016390084"</f>
        <v>1551689016390084</v>
      </c>
      <c r="C20" t="s">
        <v>40</v>
      </c>
      <c r="D20">
        <v>5.4310549999999997</v>
      </c>
      <c r="E20">
        <v>0.55857570000000001</v>
      </c>
      <c r="F20" t="s">
        <v>41</v>
      </c>
      <c r="G20">
        <v>-475.78730000000002</v>
      </c>
      <c r="H20">
        <v>0.87149750000000004</v>
      </c>
      <c r="I20">
        <v>367.21300000000002</v>
      </c>
      <c r="J20">
        <v>-476.43389999999999</v>
      </c>
      <c r="K20">
        <v>1.109858</v>
      </c>
      <c r="L20">
        <v>367.21629999999999</v>
      </c>
      <c r="M20">
        <v>0.99996390000000002</v>
      </c>
      <c r="N20">
        <v>-8.3948059999999994E-3</v>
      </c>
      <c r="O20">
        <v>-1.327384E-3</v>
      </c>
      <c r="P20">
        <v>0.96697599999999995</v>
      </c>
      <c r="Q20">
        <v>0.2403671</v>
      </c>
      <c r="R20">
        <v>8.4743449999999998E-2</v>
      </c>
      <c r="S20">
        <v>3.4067379999999998</v>
      </c>
      <c r="T20">
        <v>-1.2259169999999999</v>
      </c>
      <c r="U20">
        <v>-1.473999E-2</v>
      </c>
      <c r="V20">
        <v>-8.5996870000000003E-2</v>
      </c>
      <c r="W20">
        <v>0.2484857</v>
      </c>
      <c r="X20">
        <v>0.96481059999999996</v>
      </c>
      <c r="Y20">
        <v>2.892646E-3</v>
      </c>
      <c r="Z20" s="1">
        <v>-6.483056E-5</v>
      </c>
      <c r="AA20">
        <v>0.99999579999999999</v>
      </c>
      <c r="AB20">
        <v>2</v>
      </c>
      <c r="AC20">
        <v>0.64659999999997797</v>
      </c>
      <c r="AD20">
        <v>-0.2383605</v>
      </c>
      <c r="AE20">
        <v>-3.2999999999674301E-3</v>
      </c>
      <c r="AF20">
        <v>2.1495756359969898E-3</v>
      </c>
      <c r="AG20">
        <v>-0.2383605</v>
      </c>
      <c r="AH20">
        <v>0.569248872835318</v>
      </c>
      <c r="AI20">
        <v>112.720285125746</v>
      </c>
      <c r="AJ20">
        <v>89.783642915839295</v>
      </c>
      <c r="AK20">
        <v>0.61714230762438005</v>
      </c>
      <c r="AL20">
        <v>75.612078930109703</v>
      </c>
      <c r="AM20">
        <v>95.093508419856406</v>
      </c>
      <c r="AN20">
        <v>1.0000000493133201</v>
      </c>
    </row>
    <row r="21" spans="1:40" x14ac:dyDescent="0.25">
      <c r="A21" t="str">
        <f>"20190304164336423"</f>
        <v>20190304164336423</v>
      </c>
      <c r="B21" t="str">
        <f>"1551689016410581"</f>
        <v>1551689016410581</v>
      </c>
      <c r="C21" t="s">
        <v>40</v>
      </c>
      <c r="D21">
        <v>5.4266199999999998</v>
      </c>
      <c r="E21">
        <v>0.55860480000000001</v>
      </c>
      <c r="F21" t="s">
        <v>41</v>
      </c>
      <c r="G21">
        <v>-475.7731</v>
      </c>
      <c r="H21">
        <v>0.87285689999999905</v>
      </c>
      <c r="I21">
        <v>367.2131</v>
      </c>
      <c r="J21">
        <v>-476.42020000000002</v>
      </c>
      <c r="K21">
        <v>1.1101920000000001</v>
      </c>
      <c r="L21">
        <v>367.21609999999998</v>
      </c>
      <c r="M21">
        <v>0.99995540000000005</v>
      </c>
      <c r="N21">
        <v>-9.3412900000000004E-3</v>
      </c>
      <c r="O21">
        <v>-1.4003799999999999E-3</v>
      </c>
      <c r="P21">
        <v>0.96715359999999995</v>
      </c>
      <c r="Q21">
        <v>0.23968229999999999</v>
      </c>
      <c r="R21">
        <v>8.4654389999999996E-2</v>
      </c>
      <c r="S21">
        <v>3.4075319999999998</v>
      </c>
      <c r="T21">
        <v>-1.2219040000000001</v>
      </c>
      <c r="U21">
        <v>-1.525879E-2</v>
      </c>
      <c r="V21">
        <v>-8.5986629999999994E-2</v>
      </c>
      <c r="W21">
        <v>0.24871289999999999</v>
      </c>
      <c r="X21">
        <v>0.96475290000000002</v>
      </c>
      <c r="Y21">
        <v>2.97E-3</v>
      </c>
      <c r="Z21" s="1">
        <v>-5.6426360000000003E-5</v>
      </c>
      <c r="AA21">
        <v>0.99999559999999998</v>
      </c>
      <c r="AB21">
        <v>2</v>
      </c>
      <c r="AC21">
        <v>0.64710000000002299</v>
      </c>
      <c r="AD21">
        <v>-0.23733509999999999</v>
      </c>
      <c r="AE21">
        <v>-2.9999999999858998E-3</v>
      </c>
      <c r="AF21">
        <v>1.8455207784780301E-3</v>
      </c>
      <c r="AG21">
        <v>-0.23733509999999999</v>
      </c>
      <c r="AH21">
        <v>0.57037886107250202</v>
      </c>
      <c r="AI21">
        <v>112.592127336158</v>
      </c>
      <c r="AJ21">
        <v>89.814614127862697</v>
      </c>
      <c r="AK21">
        <v>0.61778912324297097</v>
      </c>
      <c r="AL21">
        <v>75.598638433755298</v>
      </c>
      <c r="AM21">
        <v>95.093208099496493</v>
      </c>
      <c r="AN21">
        <v>0.99999998261178802</v>
      </c>
    </row>
    <row r="22" spans="1:40" x14ac:dyDescent="0.25">
      <c r="A22" t="str">
        <f>"20190304164336443"</f>
        <v>20190304164336443</v>
      </c>
      <c r="B22" t="str">
        <f>"1551689016430101"</f>
        <v>1551689016430101</v>
      </c>
      <c r="C22" t="s">
        <v>40</v>
      </c>
      <c r="D22">
        <v>5.4317510000000002</v>
      </c>
      <c r="E22">
        <v>0.55861780000000005</v>
      </c>
      <c r="F22" t="s">
        <v>41</v>
      </c>
      <c r="G22">
        <v>-475.76299999999998</v>
      </c>
      <c r="H22">
        <v>0.87403519999999901</v>
      </c>
      <c r="I22">
        <v>367.2131</v>
      </c>
      <c r="J22">
        <v>-476.40800000000002</v>
      </c>
      <c r="K22">
        <v>1.1103689999999999</v>
      </c>
      <c r="L22">
        <v>367.21600000000001</v>
      </c>
      <c r="M22">
        <v>0.99994919999999998</v>
      </c>
      <c r="N22">
        <v>-9.9791740000000004E-3</v>
      </c>
      <c r="O22">
        <v>-1.4556040000000001E-3</v>
      </c>
      <c r="P22">
        <v>0.9672482</v>
      </c>
      <c r="Q22">
        <v>0.23917559999999999</v>
      </c>
      <c r="R22">
        <v>8.5006689999999996E-2</v>
      </c>
      <c r="S22">
        <v>3.4064939999999999</v>
      </c>
      <c r="T22">
        <v>-1.2239899999999999</v>
      </c>
      <c r="U22">
        <v>-1.467896E-2</v>
      </c>
      <c r="V22">
        <v>-8.6397249999999995E-2</v>
      </c>
      <c r="W22">
        <v>0.24882099999999999</v>
      </c>
      <c r="X22">
        <v>0.9646884</v>
      </c>
      <c r="Y22">
        <v>2.7615610000000001E-3</v>
      </c>
      <c r="Z22" s="1">
        <v>-2.2391910000000001E-6</v>
      </c>
      <c r="AA22">
        <v>0.9999962</v>
      </c>
      <c r="AB22">
        <v>1</v>
      </c>
      <c r="AC22">
        <v>0.64499999999998103</v>
      </c>
      <c r="AD22">
        <v>-0.23633380000000001</v>
      </c>
      <c r="AE22">
        <v>-2.9000000000110001E-3</v>
      </c>
      <c r="AF22">
        <v>1.7289669321003799E-3</v>
      </c>
      <c r="AG22">
        <v>-0.23633380000000001</v>
      </c>
      <c r="AH22">
        <v>0.56865940097870804</v>
      </c>
      <c r="AI22">
        <v>112.567586681351</v>
      </c>
      <c r="AJ22">
        <v>89.8257969485648</v>
      </c>
      <c r="AK22">
        <v>0.61581666806814805</v>
      </c>
      <c r="AL22">
        <v>75.592244605743602</v>
      </c>
      <c r="AM22">
        <v>95.117741671719997</v>
      </c>
      <c r="AN22">
        <v>1.00000004197156</v>
      </c>
    </row>
    <row r="23" spans="1:40" x14ac:dyDescent="0.25">
      <c r="A23" t="str">
        <f>"20190304164336467"</f>
        <v>20190304164336467</v>
      </c>
      <c r="B23" t="str">
        <f>"1551689016460357"</f>
        <v>1551689016460357</v>
      </c>
      <c r="C23" t="s">
        <v>40</v>
      </c>
      <c r="D23">
        <v>5.676615</v>
      </c>
      <c r="E23">
        <v>0.55862219999999996</v>
      </c>
      <c r="F23" t="s">
        <v>41</v>
      </c>
      <c r="G23">
        <v>-475.7491</v>
      </c>
      <c r="H23">
        <v>0.87333689999999997</v>
      </c>
      <c r="I23">
        <v>367.21319999999997</v>
      </c>
      <c r="J23">
        <v>-476.38940000000002</v>
      </c>
      <c r="K23">
        <v>1.1100719999999999</v>
      </c>
      <c r="L23">
        <v>367.21589999999998</v>
      </c>
      <c r="M23">
        <v>0.9999576</v>
      </c>
      <c r="N23">
        <v>-9.0872590000000003E-3</v>
      </c>
      <c r="O23">
        <v>-1.5745170000000001E-3</v>
      </c>
      <c r="P23">
        <v>0.96696979999999999</v>
      </c>
      <c r="Q23">
        <v>0.24028169999999999</v>
      </c>
      <c r="R23">
        <v>8.5054859999999996E-2</v>
      </c>
      <c r="S23">
        <v>3.4058229999999998</v>
      </c>
      <c r="T23">
        <v>-1.2253130000000001</v>
      </c>
      <c r="U23">
        <v>-1.428223E-2</v>
      </c>
      <c r="V23">
        <v>-8.6550760000000004E-2</v>
      </c>
      <c r="W23">
        <v>0.24906710000000001</v>
      </c>
      <c r="X23">
        <v>0.96461110000000005</v>
      </c>
      <c r="Y23">
        <v>2.5485210000000002E-3</v>
      </c>
      <c r="Z23" s="1">
        <v>7.891055E-5</v>
      </c>
      <c r="AA23">
        <v>0.99999669999999896</v>
      </c>
      <c r="AB23">
        <v>1</v>
      </c>
      <c r="AC23">
        <v>0.64030000000002396</v>
      </c>
      <c r="AD23">
        <v>-0.236735099999999</v>
      </c>
      <c r="AE23">
        <v>-2.7000000000043599E-3</v>
      </c>
      <c r="AF23">
        <v>1.4883437320685E-3</v>
      </c>
      <c r="AG23">
        <v>-0.236735099999999</v>
      </c>
      <c r="AH23">
        <v>0.56330310285586804</v>
      </c>
      <c r="AI23">
        <v>112.79511191340301</v>
      </c>
      <c r="AJ23">
        <v>89.848615043229998</v>
      </c>
      <c r="AK23">
        <v>0.61102872962416699</v>
      </c>
      <c r="AL23">
        <v>75.577685364135803</v>
      </c>
      <c r="AM23">
        <v>95.127195071352503</v>
      </c>
      <c r="AN23">
        <v>1.0000000143010901</v>
      </c>
    </row>
    <row r="24" spans="1:40" x14ac:dyDescent="0.25">
      <c r="A24" t="str">
        <f>"20190304164336488"</f>
        <v>20190304164336488</v>
      </c>
      <c r="B24" t="str">
        <f>"1551689016479879"</f>
        <v>1551689016479879</v>
      </c>
      <c r="C24" t="s">
        <v>40</v>
      </c>
      <c r="D24">
        <v>5.3868080000000003</v>
      </c>
      <c r="E24">
        <v>0.55863839999999998</v>
      </c>
      <c r="F24" t="s">
        <v>41</v>
      </c>
      <c r="G24">
        <v>-475.73079999999999</v>
      </c>
      <c r="H24">
        <v>0.87403419999999898</v>
      </c>
      <c r="I24">
        <v>367.2122</v>
      </c>
      <c r="J24">
        <v>-476.3682</v>
      </c>
      <c r="K24">
        <v>1.109728</v>
      </c>
      <c r="L24">
        <v>367.21570000000003</v>
      </c>
      <c r="M24">
        <v>0.99996790000000002</v>
      </c>
      <c r="N24">
        <v>-7.8390419999999992E-3</v>
      </c>
      <c r="O24">
        <v>-1.7325350000000001E-3</v>
      </c>
      <c r="P24">
        <v>0.96679939999999998</v>
      </c>
      <c r="Q24">
        <v>0.24084800000000001</v>
      </c>
      <c r="R24">
        <v>8.5390350000000004E-2</v>
      </c>
      <c r="S24">
        <v>3.4071959999999999</v>
      </c>
      <c r="T24">
        <v>-1.2206779999999999</v>
      </c>
      <c r="U24">
        <v>-1.6082760000000001E-2</v>
      </c>
      <c r="V24">
        <v>-8.7028599999999998E-2</v>
      </c>
      <c r="W24">
        <v>0.24843119999999999</v>
      </c>
      <c r="X24">
        <v>0.96473209999999998</v>
      </c>
      <c r="Y24">
        <v>2.9057140000000002E-3</v>
      </c>
      <c r="Z24" s="1">
        <v>7.225163E-5</v>
      </c>
      <c r="AA24">
        <v>0.99999579999999999</v>
      </c>
      <c r="AB24">
        <v>2</v>
      </c>
      <c r="AC24">
        <v>0.63740000000001296</v>
      </c>
      <c r="AD24">
        <v>-0.23569380000000001</v>
      </c>
      <c r="AE24">
        <v>-3.5000000000309198E-3</v>
      </c>
      <c r="AF24">
        <v>2.1074892635235499E-3</v>
      </c>
      <c r="AG24">
        <v>-0.23569380000000001</v>
      </c>
      <c r="AH24">
        <v>0.56073644472402195</v>
      </c>
      <c r="AI24">
        <v>112.798283967768</v>
      </c>
      <c r="AJ24">
        <v>89.784658777318199</v>
      </c>
      <c r="AK24">
        <v>0.60826093850515495</v>
      </c>
      <c r="AL24">
        <v>75.615302376279601</v>
      </c>
      <c r="AM24">
        <v>95.154706678447695</v>
      </c>
      <c r="AN24">
        <v>1.0000000315608999</v>
      </c>
    </row>
    <row r="25" spans="1:40" x14ac:dyDescent="0.25">
      <c r="A25" t="str">
        <f>"20190304164336504"</f>
        <v>20190304164336504</v>
      </c>
      <c r="B25" t="str">
        <f>"1551689016490612"</f>
        <v>1551689016490612</v>
      </c>
      <c r="C25" t="s">
        <v>40</v>
      </c>
      <c r="D25">
        <v>5.5145359999999997</v>
      </c>
      <c r="E25">
        <v>0.55864320000000001</v>
      </c>
      <c r="F25" t="s">
        <v>41</v>
      </c>
      <c r="G25">
        <v>-475.71019999999999</v>
      </c>
      <c r="H25">
        <v>0.87447629999999998</v>
      </c>
      <c r="I25">
        <v>367.21249999999998</v>
      </c>
      <c r="J25">
        <v>-476.35489999999999</v>
      </c>
      <c r="K25">
        <v>1.109764</v>
      </c>
      <c r="L25">
        <v>367.21550000000002</v>
      </c>
      <c r="M25">
        <v>0.99996799999999997</v>
      </c>
      <c r="N25">
        <v>-7.7941599999999996E-3</v>
      </c>
      <c r="O25">
        <v>-1.822211E-3</v>
      </c>
      <c r="P25">
        <v>0.96680560000000004</v>
      </c>
      <c r="Q25">
        <v>0.2408091</v>
      </c>
      <c r="R25">
        <v>8.5428340000000005E-2</v>
      </c>
      <c r="S25">
        <v>3.4079589999999902</v>
      </c>
      <c r="T25">
        <v>-1.2184250000000001</v>
      </c>
      <c r="U25">
        <v>-1.5686039999999998E-2</v>
      </c>
      <c r="V25">
        <v>-8.7155159999999995E-2</v>
      </c>
      <c r="W25">
        <v>0.2483485</v>
      </c>
      <c r="X25">
        <v>0.96474190000000004</v>
      </c>
      <c r="Y25">
        <v>2.7162670000000001E-3</v>
      </c>
      <c r="Z25">
        <v>1.362325E-4</v>
      </c>
      <c r="AA25">
        <v>0.99999629999999995</v>
      </c>
      <c r="AB25">
        <v>2</v>
      </c>
      <c r="AC25">
        <v>0.64470000000000005</v>
      </c>
      <c r="AD25">
        <v>-0.23528769999999899</v>
      </c>
      <c r="AE25">
        <v>-3.0000000000427402E-3</v>
      </c>
      <c r="AF25">
        <v>1.6106556831551699E-3</v>
      </c>
      <c r="AG25">
        <v>-0.23528769999999899</v>
      </c>
      <c r="AH25">
        <v>0.56892845197164099</v>
      </c>
      <c r="AI25">
        <v>112.468090904276</v>
      </c>
      <c r="AJ25">
        <v>89.837794144358398</v>
      </c>
      <c r="AK25">
        <v>0.615664258704261</v>
      </c>
      <c r="AL25">
        <v>75.620193085297302</v>
      </c>
      <c r="AM25">
        <v>95.1621102051039</v>
      </c>
      <c r="AN25">
        <v>0.99999996649124201</v>
      </c>
    </row>
    <row r="26" spans="1:40" x14ac:dyDescent="0.25">
      <c r="A26" t="str">
        <f>"20190304164336522"</f>
        <v>20190304164336522</v>
      </c>
      <c r="B26" t="str">
        <f>"1551689016510132"</f>
        <v>1551689016510132</v>
      </c>
      <c r="C26" t="s">
        <v>40</v>
      </c>
      <c r="D26">
        <v>5.5161360000000004</v>
      </c>
      <c r="E26">
        <v>0.55866800000000005</v>
      </c>
      <c r="F26" t="s">
        <v>41</v>
      </c>
      <c r="G26">
        <v>-475.69420000000002</v>
      </c>
      <c r="H26">
        <v>0.87346489999999999</v>
      </c>
      <c r="I26">
        <v>367.21210000000002</v>
      </c>
      <c r="J26">
        <v>-476.34050000000002</v>
      </c>
      <c r="K26">
        <v>1.110128</v>
      </c>
      <c r="L26">
        <v>367.21539999999999</v>
      </c>
      <c r="M26">
        <v>0.9999595</v>
      </c>
      <c r="N26">
        <v>-8.7993800000000007E-3</v>
      </c>
      <c r="O26">
        <v>-1.8996390000000001E-3</v>
      </c>
      <c r="P26">
        <v>0.96690480000000001</v>
      </c>
      <c r="Q26">
        <v>0.24045859999999999</v>
      </c>
      <c r="R26">
        <v>8.5293519999999998E-2</v>
      </c>
      <c r="S26">
        <v>3.4077760000000001</v>
      </c>
      <c r="T26">
        <v>-1.218391</v>
      </c>
      <c r="U26">
        <v>-1.51062E-2</v>
      </c>
      <c r="V26">
        <v>-8.71083E-2</v>
      </c>
      <c r="W26">
        <v>0.24896370000000001</v>
      </c>
      <c r="X26">
        <v>0.96458759999999999</v>
      </c>
      <c r="Y26">
        <v>2.4869480000000001E-3</v>
      </c>
      <c r="Z26">
        <v>2.000398E-4</v>
      </c>
      <c r="AA26">
        <v>0.99999689999999997</v>
      </c>
      <c r="AB26">
        <v>2</v>
      </c>
      <c r="AC26">
        <v>0.64629999999999599</v>
      </c>
      <c r="AD26">
        <v>-0.23666309999999999</v>
      </c>
      <c r="AE26">
        <v>-3.2999999999674301E-3</v>
      </c>
      <c r="AF26">
        <v>1.8272079559780599E-3</v>
      </c>
      <c r="AG26">
        <v>-0.23666309999999999</v>
      </c>
      <c r="AH26">
        <v>0.56989103977761502</v>
      </c>
      <c r="AI26">
        <v>112.551922885446</v>
      </c>
      <c r="AJ26">
        <v>89.816296558247601</v>
      </c>
      <c r="AK26">
        <v>0.61708067447404003</v>
      </c>
      <c r="AL26">
        <v>75.583802359730299</v>
      </c>
      <c r="AM26">
        <v>95.160170577503195</v>
      </c>
      <c r="AN26">
        <v>1.0000000089601699</v>
      </c>
    </row>
    <row r="27" spans="1:40" x14ac:dyDescent="0.25">
      <c r="A27" t="str">
        <f>"20190304164336544"</f>
        <v>20190304164336544</v>
      </c>
      <c r="B27" t="str">
        <f>"1551689016540388"</f>
        <v>1551689016540388</v>
      </c>
      <c r="C27" t="s">
        <v>40</v>
      </c>
      <c r="D27">
        <v>5.6087189999999998</v>
      </c>
      <c r="E27">
        <v>0.55866969999999905</v>
      </c>
      <c r="F27" t="s">
        <v>41</v>
      </c>
      <c r="G27">
        <v>-475.68119999999999</v>
      </c>
      <c r="H27">
        <v>0.8742046</v>
      </c>
      <c r="I27">
        <v>367.21249999999998</v>
      </c>
      <c r="J27">
        <v>-476.32830000000001</v>
      </c>
      <c r="K27">
        <v>1.110641</v>
      </c>
      <c r="L27">
        <v>367.21530000000001</v>
      </c>
      <c r="M27">
        <v>0.99994240000000001</v>
      </c>
      <c r="N27">
        <v>-1.05638E-2</v>
      </c>
      <c r="O27">
        <v>-1.9381909999999999E-3</v>
      </c>
      <c r="P27">
        <v>0.96734949999999997</v>
      </c>
      <c r="Q27">
        <v>0.2385786</v>
      </c>
      <c r="R27">
        <v>8.5528919999999994E-2</v>
      </c>
      <c r="S27">
        <v>3.4071959999999999</v>
      </c>
      <c r="T27">
        <v>-1.219392</v>
      </c>
      <c r="U27">
        <v>-1.4129640000000001E-2</v>
      </c>
      <c r="V27">
        <v>-8.7403190000000006E-2</v>
      </c>
      <c r="W27">
        <v>0.24878259999999999</v>
      </c>
      <c r="X27">
        <v>0.96460769999999996</v>
      </c>
      <c r="Y27">
        <v>2.1822550000000001E-3</v>
      </c>
      <c r="Z27">
        <v>2.6225819999999998E-4</v>
      </c>
      <c r="AA27">
        <v>0.99999760000000004</v>
      </c>
      <c r="AB27">
        <v>2</v>
      </c>
      <c r="AC27">
        <v>0.64710000000002299</v>
      </c>
      <c r="AD27">
        <v>-0.23643639999999999</v>
      </c>
      <c r="AE27">
        <v>-2.8000000000361E-3</v>
      </c>
      <c r="AF27">
        <v>1.3636726331330601E-3</v>
      </c>
      <c r="AG27">
        <v>-0.23643639999999999</v>
      </c>
      <c r="AH27">
        <v>0.57089089494948897</v>
      </c>
      <c r="AI27">
        <v>112.496999468008</v>
      </c>
      <c r="AJ27">
        <v>89.863139281769094</v>
      </c>
      <c r="AK27">
        <v>0.61791621178298795</v>
      </c>
      <c r="AL27">
        <v>75.594516420492297</v>
      </c>
      <c r="AM27">
        <v>95.177437351899599</v>
      </c>
      <c r="AN27">
        <v>1.0000000572921099</v>
      </c>
    </row>
    <row r="28" spans="1:40" x14ac:dyDescent="0.25">
      <c r="A28" t="str">
        <f>"20190304164336567"</f>
        <v>20190304164336567</v>
      </c>
      <c r="B28" t="str">
        <f>"1551689016559908"</f>
        <v>1551689016559908</v>
      </c>
      <c r="C28" t="s">
        <v>40</v>
      </c>
      <c r="D28">
        <v>5.5226879999999996</v>
      </c>
      <c r="E28">
        <v>0.55868960000000001</v>
      </c>
      <c r="F28" t="s">
        <v>41</v>
      </c>
      <c r="G28">
        <v>-475.67149999999998</v>
      </c>
      <c r="H28">
        <v>0.87406709999999999</v>
      </c>
      <c r="I28">
        <v>367.2124</v>
      </c>
      <c r="J28">
        <v>-476.31330000000003</v>
      </c>
      <c r="K28">
        <v>1.1107359999999999</v>
      </c>
      <c r="L28">
        <v>367.21519999999998</v>
      </c>
      <c r="M28">
        <v>0.99993500000000002</v>
      </c>
      <c r="N28">
        <v>-1.1232249999999999E-2</v>
      </c>
      <c r="O28">
        <v>-1.9791309999999999E-3</v>
      </c>
      <c r="P28">
        <v>0.96745369999999997</v>
      </c>
      <c r="Q28">
        <v>0.23800959999999999</v>
      </c>
      <c r="R28">
        <v>8.5935839999999999E-2</v>
      </c>
      <c r="S28">
        <v>3.4047550000000002</v>
      </c>
      <c r="T28">
        <v>-1.225873</v>
      </c>
      <c r="U28">
        <v>-1.33667E-2</v>
      </c>
      <c r="V28">
        <v>-8.7855420000000004E-2</v>
      </c>
      <c r="W28">
        <v>0.24885750000000001</v>
      </c>
      <c r="X28">
        <v>0.9645473</v>
      </c>
      <c r="Y28">
        <v>1.9375429999999999E-3</v>
      </c>
      <c r="Z28">
        <v>3.1989380000000002E-4</v>
      </c>
      <c r="AA28">
        <v>0.9999981</v>
      </c>
      <c r="AB28">
        <v>1</v>
      </c>
      <c r="AC28">
        <v>0.641800000000046</v>
      </c>
      <c r="AD28">
        <v>-0.23666889999999999</v>
      </c>
      <c r="AE28">
        <v>-2.7999999999792601E-3</v>
      </c>
      <c r="AF28">
        <v>1.3465979190693601E-3</v>
      </c>
      <c r="AG28">
        <v>-0.23666889999999999</v>
      </c>
      <c r="AH28">
        <v>0.56497856092170295</v>
      </c>
      <c r="AI28">
        <v>112.72869851553899</v>
      </c>
      <c r="AJ28">
        <v>89.863438656436699</v>
      </c>
      <c r="AK28">
        <v>0.61254775801918004</v>
      </c>
      <c r="AL28">
        <v>75.590085686706104</v>
      </c>
      <c r="AM28">
        <v>95.204403137929404</v>
      </c>
      <c r="AN28">
        <v>1.0000000620334499</v>
      </c>
    </row>
    <row r="29" spans="1:40" x14ac:dyDescent="0.25">
      <c r="A29" t="str">
        <f>"20190304164336580"</f>
        <v>20190304164336580</v>
      </c>
      <c r="B29" t="str">
        <f>"1551689016569668"</f>
        <v>1551689016569668</v>
      </c>
      <c r="C29" t="s">
        <v>40</v>
      </c>
      <c r="D29">
        <v>5.3937780000000002</v>
      </c>
      <c r="E29">
        <v>0.55868009999999901</v>
      </c>
      <c r="F29" t="s">
        <v>41</v>
      </c>
      <c r="G29">
        <v>-475.65660000000003</v>
      </c>
      <c r="H29">
        <v>0.87394620000000001</v>
      </c>
      <c r="I29">
        <v>367.2124</v>
      </c>
      <c r="J29">
        <v>-476.30259999999998</v>
      </c>
      <c r="K29">
        <v>1.1105259999999999</v>
      </c>
      <c r="L29">
        <v>367.21510000000001</v>
      </c>
      <c r="M29">
        <v>0.99994070000000002</v>
      </c>
      <c r="N29">
        <v>-1.0710880000000001E-2</v>
      </c>
      <c r="O29">
        <v>-2.0291089999999999E-3</v>
      </c>
      <c r="P29">
        <v>0.96732660000000004</v>
      </c>
      <c r="Q29">
        <v>0.2384262</v>
      </c>
      <c r="R29">
        <v>8.6211430000000006E-2</v>
      </c>
      <c r="S29">
        <v>3.404083</v>
      </c>
      <c r="T29">
        <v>-1.2273620000000001</v>
      </c>
      <c r="U29">
        <v>-1.3732909999999999E-2</v>
      </c>
      <c r="V29">
        <v>-8.8172459999999994E-2</v>
      </c>
      <c r="W29">
        <v>0.24877250000000001</v>
      </c>
      <c r="X29">
        <v>0.96454019999999996</v>
      </c>
      <c r="Y29">
        <v>1.9956420000000002E-3</v>
      </c>
      <c r="Z29">
        <v>3.2836170000000002E-4</v>
      </c>
      <c r="AA29">
        <v>0.99999800000000005</v>
      </c>
      <c r="AB29">
        <v>1</v>
      </c>
      <c r="AC29">
        <v>0.64599999999995805</v>
      </c>
      <c r="AD29">
        <v>-0.23657980000000001</v>
      </c>
      <c r="AE29">
        <v>-2.7000000000043599E-3</v>
      </c>
      <c r="AF29">
        <v>1.2248431325273699E-3</v>
      </c>
      <c r="AG29">
        <v>-0.23657980000000001</v>
      </c>
      <c r="AH29">
        <v>0.56960996796236596</v>
      </c>
      <c r="AI29">
        <v>112.554847641151</v>
      </c>
      <c r="AJ29">
        <v>89.876795987005707</v>
      </c>
      <c r="AK29">
        <v>0.61678766006691998</v>
      </c>
      <c r="AL29">
        <v>75.595112584334899</v>
      </c>
      <c r="AM29">
        <v>95.223118583770699</v>
      </c>
      <c r="AN29">
        <v>0.99999996843737005</v>
      </c>
    </row>
    <row r="30" spans="1:40" x14ac:dyDescent="0.25">
      <c r="A30" t="str">
        <f>"20190304164336600"</f>
        <v>20190304164336600</v>
      </c>
      <c r="B30" t="str">
        <f>"1551689016590164"</f>
        <v>1551689016590164</v>
      </c>
      <c r="C30" t="s">
        <v>40</v>
      </c>
      <c r="D30">
        <v>5.5281890000000002</v>
      </c>
      <c r="E30">
        <v>0.55862909999999999</v>
      </c>
      <c r="F30" t="s">
        <v>41</v>
      </c>
      <c r="G30">
        <v>-475.63869999999997</v>
      </c>
      <c r="H30">
        <v>0.87151420000000002</v>
      </c>
      <c r="I30">
        <v>367.21210000000002</v>
      </c>
      <c r="J30">
        <v>-476.2826</v>
      </c>
      <c r="K30">
        <v>1.1100840000000001</v>
      </c>
      <c r="L30">
        <v>367.21499999999997</v>
      </c>
      <c r="M30">
        <v>0.9999538</v>
      </c>
      <c r="N30">
        <v>-9.3792289999999993E-3</v>
      </c>
      <c r="O30">
        <v>-2.1542979999999998E-3</v>
      </c>
      <c r="P30">
        <v>0.96696979999999999</v>
      </c>
      <c r="Q30">
        <v>0.23977380000000001</v>
      </c>
      <c r="R30">
        <v>8.6475979999999994E-2</v>
      </c>
      <c r="S30">
        <v>3.4047239999999999</v>
      </c>
      <c r="T30">
        <v>-1.2256339999999999</v>
      </c>
      <c r="U30">
        <v>-1.4251710000000001E-2</v>
      </c>
      <c r="V30">
        <v>-8.8543479999999994E-2</v>
      </c>
      <c r="W30">
        <v>0.24883620000000001</v>
      </c>
      <c r="X30">
        <v>0.96448979999999995</v>
      </c>
      <c r="Y30">
        <v>2.0288289999999998E-3</v>
      </c>
      <c r="Z30">
        <v>3.6841759999999999E-4</v>
      </c>
      <c r="AA30">
        <v>0.9999979</v>
      </c>
      <c r="AB30">
        <v>2</v>
      </c>
      <c r="AC30">
        <v>0.64390000000003</v>
      </c>
      <c r="AD30">
        <v>-0.2385698</v>
      </c>
      <c r="AE30">
        <v>-2.8999999999541602E-3</v>
      </c>
      <c r="AF30">
        <v>1.33018180785563E-3</v>
      </c>
      <c r="AG30">
        <v>-0.2385698</v>
      </c>
      <c r="AH30">
        <v>0.56618307728325301</v>
      </c>
      <c r="AI30">
        <v>112.848803965687</v>
      </c>
      <c r="AJ30">
        <v>89.865390425093693</v>
      </c>
      <c r="AK30">
        <v>0.61439449530217705</v>
      </c>
      <c r="AL30">
        <v>75.591344638425397</v>
      </c>
      <c r="AM30">
        <v>95.245247117462199</v>
      </c>
      <c r="AN30">
        <v>0.99999998829249503</v>
      </c>
    </row>
    <row r="31" spans="1:40" x14ac:dyDescent="0.25">
      <c r="A31" t="str">
        <f>"20190304164336614"</f>
        <v>20190304164336614</v>
      </c>
      <c r="B31" t="str">
        <f>"1551689016599924"</f>
        <v>1551689016599924</v>
      </c>
      <c r="C31" t="s">
        <v>40</v>
      </c>
      <c r="D31">
        <v>5.5041039999999999</v>
      </c>
      <c r="E31">
        <v>0.55859989999999904</v>
      </c>
      <c r="F31" t="s">
        <v>41</v>
      </c>
      <c r="G31">
        <v>-475.61739999999998</v>
      </c>
      <c r="H31">
        <v>0.87163729999999995</v>
      </c>
      <c r="I31">
        <v>367.21210000000002</v>
      </c>
      <c r="J31">
        <v>-476.26819999999998</v>
      </c>
      <c r="K31">
        <v>1.109834</v>
      </c>
      <c r="L31">
        <v>367.2149</v>
      </c>
      <c r="M31">
        <v>0.99996110000000005</v>
      </c>
      <c r="N31">
        <v>-8.5210909999999997E-3</v>
      </c>
      <c r="O31">
        <v>-2.2570730000000001E-3</v>
      </c>
      <c r="P31">
        <v>0.96674289999999996</v>
      </c>
      <c r="Q31">
        <v>0.24068000000000001</v>
      </c>
      <c r="R31">
        <v>8.6494589999999996E-2</v>
      </c>
      <c r="S31">
        <v>3.4064329999999998</v>
      </c>
      <c r="T31">
        <v>-1.2209939999999999</v>
      </c>
      <c r="U31">
        <v>-1.400757E-2</v>
      </c>
      <c r="V31">
        <v>-8.8650580000000007E-2</v>
      </c>
      <c r="W31">
        <v>0.248917</v>
      </c>
      <c r="X31">
        <v>0.96445910000000001</v>
      </c>
      <c r="Y31">
        <v>1.8695039999999999E-3</v>
      </c>
      <c r="Z31">
        <v>4.3277060000000001E-4</v>
      </c>
      <c r="AA31">
        <v>0.99999819999999995</v>
      </c>
      <c r="AB31">
        <v>2</v>
      </c>
      <c r="AC31">
        <v>0.65080000000000304</v>
      </c>
      <c r="AD31">
        <v>-0.23819670000000001</v>
      </c>
      <c r="AE31">
        <v>-2.7999999999792601E-3</v>
      </c>
      <c r="AF31">
        <v>1.1737969726707399E-3</v>
      </c>
      <c r="AG31">
        <v>-0.23819670000000001</v>
      </c>
      <c r="AH31">
        <v>0.57392312200238005</v>
      </c>
      <c r="AI31">
        <v>112.539992026091</v>
      </c>
      <c r="AJ31">
        <v>89.882817896353501</v>
      </c>
      <c r="AK31">
        <v>0.62139101671908803</v>
      </c>
      <c r="AL31">
        <v>75.586564573084303</v>
      </c>
      <c r="AM31">
        <v>95.251722415032901</v>
      </c>
      <c r="AN31">
        <v>0.99999997689807296</v>
      </c>
    </row>
    <row r="32" spans="1:40" x14ac:dyDescent="0.25">
      <c r="A32" t="str">
        <f>"20190304164336633"</f>
        <v>20190304164336633</v>
      </c>
      <c r="B32" t="str">
        <f>"1551689016620421"</f>
        <v>1551689016620421</v>
      </c>
      <c r="C32" t="s">
        <v>40</v>
      </c>
      <c r="D32">
        <v>5.415178</v>
      </c>
      <c r="E32">
        <v>0.55856619999999901</v>
      </c>
      <c r="F32" t="s">
        <v>41</v>
      </c>
      <c r="G32">
        <v>-475.59550000000002</v>
      </c>
      <c r="H32">
        <v>0.86931460000000005</v>
      </c>
      <c r="I32">
        <v>367.21190000000001</v>
      </c>
      <c r="J32">
        <v>-476.24680000000001</v>
      </c>
      <c r="K32">
        <v>1.1096079999999999</v>
      </c>
      <c r="L32">
        <v>367.21469999999999</v>
      </c>
      <c r="M32">
        <v>0.99996830000000003</v>
      </c>
      <c r="N32">
        <v>-7.5893250000000001E-3</v>
      </c>
      <c r="O32">
        <v>-2.4242119999999998E-3</v>
      </c>
      <c r="P32">
        <v>0.96647850000000002</v>
      </c>
      <c r="Q32">
        <v>0.24154919999999999</v>
      </c>
      <c r="R32">
        <v>8.7025989999999998E-2</v>
      </c>
      <c r="S32">
        <v>3.407715</v>
      </c>
      <c r="T32">
        <v>-1.2181470000000001</v>
      </c>
      <c r="U32">
        <v>-1.351929E-2</v>
      </c>
      <c r="V32">
        <v>-8.9328169999999998E-2</v>
      </c>
      <c r="W32">
        <v>0.24888979999999999</v>
      </c>
      <c r="X32">
        <v>0.96440360000000003</v>
      </c>
      <c r="Y32">
        <v>1.5863450000000001E-3</v>
      </c>
      <c r="Z32">
        <v>5.4145460000000001E-4</v>
      </c>
      <c r="AA32">
        <v>0.99999859999999896</v>
      </c>
      <c r="AB32">
        <v>2</v>
      </c>
      <c r="AC32">
        <v>0.651299999999992</v>
      </c>
      <c r="AD32">
        <v>-0.24029339999999899</v>
      </c>
      <c r="AE32">
        <v>-2.7999999999792601E-3</v>
      </c>
      <c r="AF32">
        <v>1.07476316445525E-3</v>
      </c>
      <c r="AG32">
        <v>-0.24029339999999899</v>
      </c>
      <c r="AH32">
        <v>0.573272533103097</v>
      </c>
      <c r="AI32">
        <v>112.741487155927</v>
      </c>
      <c r="AJ32">
        <v>89.892582816030995</v>
      </c>
      <c r="AK32">
        <v>0.62159751480347902</v>
      </c>
      <c r="AL32">
        <v>75.588173691334802</v>
      </c>
      <c r="AM32">
        <v>95.291939103038303</v>
      </c>
      <c r="AN32">
        <v>0.99999997909627403</v>
      </c>
    </row>
    <row r="33" spans="1:40" x14ac:dyDescent="0.25">
      <c r="A33" t="str">
        <f>"20190304164336645"</f>
        <v>20190304164336645</v>
      </c>
      <c r="B33" t="str">
        <f>"1551689016639940"</f>
        <v>1551689016639940</v>
      </c>
      <c r="C33" t="s">
        <v>40</v>
      </c>
      <c r="D33">
        <v>5.4025919999999896</v>
      </c>
      <c r="E33">
        <v>0.5585791</v>
      </c>
      <c r="F33" t="s">
        <v>41</v>
      </c>
      <c r="G33">
        <v>-475.59249999999997</v>
      </c>
      <c r="H33">
        <v>0.87629210000000002</v>
      </c>
      <c r="I33">
        <v>367.21199999999999</v>
      </c>
      <c r="J33">
        <v>-476.2346</v>
      </c>
      <c r="K33">
        <v>1.1097330000000001</v>
      </c>
      <c r="L33">
        <v>367.21460000000002</v>
      </c>
      <c r="M33">
        <v>0.99996600000000002</v>
      </c>
      <c r="N33">
        <v>-7.8753620000000003E-3</v>
      </c>
      <c r="O33">
        <v>-2.4952910000000002E-3</v>
      </c>
      <c r="P33">
        <v>0.96653520000000004</v>
      </c>
      <c r="Q33">
        <v>0.24130650000000001</v>
      </c>
      <c r="R33">
        <v>8.707057E-2</v>
      </c>
      <c r="S33">
        <v>3.4088750000000001</v>
      </c>
      <c r="T33">
        <v>-1.2152620000000001</v>
      </c>
      <c r="U33">
        <v>-1.2146000000000001E-2</v>
      </c>
      <c r="V33">
        <v>-8.9442800000000003E-2</v>
      </c>
      <c r="W33">
        <v>0.24892310000000001</v>
      </c>
      <c r="X33">
        <v>0.96438440000000003</v>
      </c>
      <c r="Y33">
        <v>1.142672E-3</v>
      </c>
      <c r="Z33">
        <v>6.4166199999999998E-4</v>
      </c>
      <c r="AA33">
        <v>0.99999919999999998</v>
      </c>
      <c r="AB33">
        <v>2</v>
      </c>
      <c r="AC33">
        <v>0.64210000000002698</v>
      </c>
      <c r="AD33">
        <v>-0.23344090000000001</v>
      </c>
      <c r="AE33">
        <v>-2.6000000000294598E-3</v>
      </c>
      <c r="AF33">
        <v>8.81240249007665E-4</v>
      </c>
      <c r="AG33">
        <v>-0.23344090000000001</v>
      </c>
      <c r="AH33">
        <v>0.56714363879680596</v>
      </c>
      <c r="AI33">
        <v>112.372436879669</v>
      </c>
      <c r="AJ33">
        <v>89.910972630359396</v>
      </c>
      <c r="AK33">
        <v>0.61330851730989999</v>
      </c>
      <c r="AL33">
        <v>75.586204014792102</v>
      </c>
      <c r="AM33">
        <v>95.298796224898695</v>
      </c>
      <c r="AN33">
        <v>0.99999999757440405</v>
      </c>
    </row>
    <row r="34" spans="1:40" x14ac:dyDescent="0.25">
      <c r="A34" t="str">
        <f>"20190304164336659"</f>
        <v>20190304164336659</v>
      </c>
      <c r="B34" t="str">
        <f>"1551689016650677"</f>
        <v>1551689016650677</v>
      </c>
      <c r="C34" t="s">
        <v>40</v>
      </c>
      <c r="D34">
        <v>5.4528559999999997</v>
      </c>
      <c r="E34">
        <v>0.55857829999999997</v>
      </c>
      <c r="F34" t="s">
        <v>41</v>
      </c>
      <c r="G34">
        <v>-475.57409999999999</v>
      </c>
      <c r="H34">
        <v>0.87411459999999996</v>
      </c>
      <c r="I34">
        <v>367.2122</v>
      </c>
      <c r="J34">
        <v>-476.22190000000001</v>
      </c>
      <c r="K34">
        <v>1.109977</v>
      </c>
      <c r="L34">
        <v>367.21449999999999</v>
      </c>
      <c r="M34">
        <v>0.99996039999999997</v>
      </c>
      <c r="N34">
        <v>-8.5349359999999999E-3</v>
      </c>
      <c r="O34">
        <v>-2.5582529999999999E-3</v>
      </c>
      <c r="P34">
        <v>0.96672219999999998</v>
      </c>
      <c r="Q34">
        <v>0.24050250000000001</v>
      </c>
      <c r="R34">
        <v>8.7218829999999997E-2</v>
      </c>
      <c r="S34">
        <v>3.4084469999999998</v>
      </c>
      <c r="T34">
        <v>-1.2158850000000001</v>
      </c>
      <c r="U34">
        <v>-1.1566160000000001E-2</v>
      </c>
      <c r="V34">
        <v>-8.9658329999999994E-2</v>
      </c>
      <c r="W34">
        <v>0.248755</v>
      </c>
      <c r="X34">
        <v>0.96440769999999998</v>
      </c>
      <c r="Y34">
        <v>9.2679269999999998E-4</v>
      </c>
      <c r="Z34">
        <v>6.9964309999999896E-4</v>
      </c>
      <c r="AA34">
        <v>0.99999930000000004</v>
      </c>
      <c r="AB34">
        <v>3</v>
      </c>
      <c r="AC34">
        <v>0.64780000000001703</v>
      </c>
      <c r="AD34">
        <v>-0.235862399999999</v>
      </c>
      <c r="AE34">
        <v>-2.29999999999108E-3</v>
      </c>
      <c r="AF34">
        <v>5.6746921216836005E-4</v>
      </c>
      <c r="AG34">
        <v>-0.235862399999999</v>
      </c>
      <c r="AH34">
        <v>0.57197914177782405</v>
      </c>
      <c r="AI34">
        <v>112.409374769618</v>
      </c>
      <c r="AJ34">
        <v>89.943156003744804</v>
      </c>
      <c r="AK34">
        <v>0.61870148891364596</v>
      </c>
      <c r="AL34">
        <v>75.596147370155094</v>
      </c>
      <c r="AM34">
        <v>95.311364183208099</v>
      </c>
      <c r="AN34">
        <v>0.99999993899133699</v>
      </c>
    </row>
    <row r="35" spans="1:40" x14ac:dyDescent="0.25">
      <c r="A35" t="str">
        <f>"20190304164336679"</f>
        <v>20190304164336679</v>
      </c>
      <c r="B35" t="str">
        <f>"1551689016670196"</f>
        <v>1551689016670196</v>
      </c>
      <c r="C35" t="s">
        <v>40</v>
      </c>
      <c r="D35">
        <v>5.5411769999999896</v>
      </c>
      <c r="E35">
        <v>0.55859720000000002</v>
      </c>
      <c r="F35" t="s">
        <v>41</v>
      </c>
      <c r="G35">
        <v>-475.55889999999999</v>
      </c>
      <c r="H35">
        <v>0.87280619999999998</v>
      </c>
      <c r="I35">
        <v>367.21190000000001</v>
      </c>
      <c r="J35">
        <v>-476.20650000000001</v>
      </c>
      <c r="K35">
        <v>1.110455</v>
      </c>
      <c r="L35">
        <v>367.21429999999998</v>
      </c>
      <c r="M35">
        <v>0.99994620000000001</v>
      </c>
      <c r="N35">
        <v>-1.004801E-2</v>
      </c>
      <c r="O35">
        <v>-2.6076770000000001E-3</v>
      </c>
      <c r="P35">
        <v>0.96697869999999997</v>
      </c>
      <c r="Q35">
        <v>0.23920130000000001</v>
      </c>
      <c r="R35">
        <v>8.7948620000000005E-2</v>
      </c>
      <c r="S35">
        <v>3.4074710000000001</v>
      </c>
      <c r="T35">
        <v>-1.2186900000000001</v>
      </c>
      <c r="U35">
        <v>-1.135254E-2</v>
      </c>
      <c r="V35">
        <v>-9.0455240000000006E-2</v>
      </c>
      <c r="W35">
        <v>0.24890880000000001</v>
      </c>
      <c r="X35">
        <v>0.96429370000000003</v>
      </c>
      <c r="Y35">
        <v>8.2399199999999995E-4</v>
      </c>
      <c r="Z35">
        <v>7.3195780000000004E-4</v>
      </c>
      <c r="AA35">
        <v>0.99999939999999998</v>
      </c>
      <c r="AB35">
        <v>2</v>
      </c>
      <c r="AC35">
        <v>0.64760000000001094</v>
      </c>
      <c r="AD35">
        <v>-0.23764879999999999</v>
      </c>
      <c r="AE35">
        <v>-2.3999999999659801E-3</v>
      </c>
      <c r="AF35">
        <v>6.2677151932465905E-4</v>
      </c>
      <c r="AG35">
        <v>-0.23764879999999999</v>
      </c>
      <c r="AH35">
        <v>0.57074520711047405</v>
      </c>
      <c r="AI35">
        <v>112.606019642875</v>
      </c>
      <c r="AJ35">
        <v>89.937079895033705</v>
      </c>
      <c r="AK35">
        <v>0.61824544998208897</v>
      </c>
      <c r="AL35">
        <v>75.587050603056397</v>
      </c>
      <c r="AM35">
        <v>95.358929371550801</v>
      </c>
      <c r="AN35">
        <v>1.00000004051029</v>
      </c>
    </row>
    <row r="36" spans="1:40" x14ac:dyDescent="0.25">
      <c r="A36" t="str">
        <f>"20190304164336691"</f>
        <v>20190304164336691</v>
      </c>
      <c r="B36" t="str">
        <f>"1551689016679956"</f>
        <v>1551689016679956</v>
      </c>
      <c r="C36" t="s">
        <v>40</v>
      </c>
      <c r="D36">
        <v>5.5354479999999997</v>
      </c>
      <c r="E36">
        <v>0.55860849999999995</v>
      </c>
      <c r="F36" t="s">
        <v>41</v>
      </c>
      <c r="G36">
        <v>-475.5453</v>
      </c>
      <c r="H36">
        <v>0.87302259999999998</v>
      </c>
      <c r="I36">
        <v>367.21199999999999</v>
      </c>
      <c r="J36">
        <v>-476.19830000000002</v>
      </c>
      <c r="K36">
        <v>1.1107340000000001</v>
      </c>
      <c r="L36">
        <v>367.21420000000001</v>
      </c>
      <c r="M36">
        <v>0.99993569999999998</v>
      </c>
      <c r="N36">
        <v>-1.1036549999999999E-2</v>
      </c>
      <c r="O36">
        <v>-2.6239359999999999E-3</v>
      </c>
      <c r="P36">
        <v>0.9671862</v>
      </c>
      <c r="Q36">
        <v>0.2381722</v>
      </c>
      <c r="R36">
        <v>8.8459159999999995E-2</v>
      </c>
      <c r="S36">
        <v>3.4058839999999901</v>
      </c>
      <c r="T36">
        <v>-1.2228699999999999</v>
      </c>
      <c r="U36">
        <v>-1.0223390000000001E-2</v>
      </c>
      <c r="V36">
        <v>-9.0994640000000002E-2</v>
      </c>
      <c r="W36">
        <v>0.2488302</v>
      </c>
      <c r="X36">
        <v>0.96426319999999999</v>
      </c>
      <c r="Y36">
        <v>4.9941280000000002E-4</v>
      </c>
      <c r="Z36">
        <v>7.9566990000000002E-4</v>
      </c>
      <c r="AA36">
        <v>0.99999959999999999</v>
      </c>
      <c r="AB36">
        <v>2</v>
      </c>
      <c r="AC36">
        <v>0.65300000000002001</v>
      </c>
      <c r="AD36">
        <v>-0.23771139999999999</v>
      </c>
      <c r="AE36">
        <v>-2.2000000000161799E-3</v>
      </c>
      <c r="AF36">
        <v>4.2953731590258698E-4</v>
      </c>
      <c r="AG36">
        <v>-0.23771139999999999</v>
      </c>
      <c r="AH36">
        <v>0.57659534411693403</v>
      </c>
      <c r="AI36">
        <v>112.40474648516</v>
      </c>
      <c r="AJ36">
        <v>89.957317257166395</v>
      </c>
      <c r="AK36">
        <v>0.62367386112421896</v>
      </c>
      <c r="AL36">
        <v>75.591699836517705</v>
      </c>
      <c r="AM36">
        <v>95.390867385887006</v>
      </c>
      <c r="AN36">
        <v>1.0000000059075</v>
      </c>
    </row>
    <row r="37" spans="1:40" x14ac:dyDescent="0.25">
      <c r="A37" t="str">
        <f>"20190304164336713"</f>
        <v>20190304164336713</v>
      </c>
      <c r="B37" t="str">
        <f>"1551689016700452"</f>
        <v>1551689016700452</v>
      </c>
      <c r="C37" t="s">
        <v>40</v>
      </c>
      <c r="D37">
        <v>5.5162149999999999</v>
      </c>
      <c r="E37">
        <v>0.55862819999999902</v>
      </c>
      <c r="F37" t="s">
        <v>41</v>
      </c>
      <c r="G37">
        <v>-475.54430000000002</v>
      </c>
      <c r="H37">
        <v>0.87524599999999897</v>
      </c>
      <c r="I37">
        <v>367.21210000000002</v>
      </c>
      <c r="J37">
        <v>-476.17939999999999</v>
      </c>
      <c r="K37">
        <v>1.1105750000000001</v>
      </c>
      <c r="L37">
        <v>367.21409999999997</v>
      </c>
      <c r="M37">
        <v>0.9999382</v>
      </c>
      <c r="N37">
        <v>-1.0790869999999999E-2</v>
      </c>
      <c r="O37">
        <v>-2.688672E-3</v>
      </c>
      <c r="P37">
        <v>0.96702999999999995</v>
      </c>
      <c r="Q37">
        <v>0.2388422</v>
      </c>
      <c r="R37">
        <v>8.8359579999999993E-2</v>
      </c>
      <c r="S37">
        <v>3.404541</v>
      </c>
      <c r="T37">
        <v>-1.2259500000000001</v>
      </c>
      <c r="U37">
        <v>-9.6130369999999996E-3</v>
      </c>
      <c r="V37">
        <v>-9.0956140000000005E-2</v>
      </c>
      <c r="W37">
        <v>0.2492625</v>
      </c>
      <c r="X37">
        <v>0.96415510000000004</v>
      </c>
      <c r="Y37">
        <v>2.7587940000000001E-4</v>
      </c>
      <c r="Z37">
        <v>8.6081720000000001E-4</v>
      </c>
      <c r="AA37">
        <v>0.99999959999999999</v>
      </c>
      <c r="AB37">
        <v>2</v>
      </c>
      <c r="AC37">
        <v>0.63509999999996503</v>
      </c>
      <c r="AD37">
        <v>-0.23532900000000001</v>
      </c>
      <c r="AE37">
        <v>-1.9999999999527002E-3</v>
      </c>
      <c r="AF37">
        <v>2.5702847559943399E-4</v>
      </c>
      <c r="AG37">
        <v>-0.23532900000000001</v>
      </c>
      <c r="AH37">
        <v>0.55843183359487603</v>
      </c>
      <c r="AI37">
        <v>112.851063083634</v>
      </c>
      <c r="AJ37">
        <v>89.973628570327307</v>
      </c>
      <c r="AK37">
        <v>0.60599168069930798</v>
      </c>
      <c r="AL37">
        <v>75.566124005021194</v>
      </c>
      <c r="AM37">
        <v>95.389200535814695</v>
      </c>
      <c r="AN37">
        <v>0.99999993508297702</v>
      </c>
    </row>
    <row r="38" spans="1:40" x14ac:dyDescent="0.25">
      <c r="A38" t="str">
        <f>"20190304164336735"</f>
        <v>20190304164336735</v>
      </c>
      <c r="B38" t="str">
        <f>"1551689016719972"</f>
        <v>1551689016719972</v>
      </c>
      <c r="C38" t="s">
        <v>40</v>
      </c>
      <c r="D38">
        <v>5.5223879999999896</v>
      </c>
      <c r="E38">
        <v>0.55863459999999998</v>
      </c>
      <c r="F38" t="s">
        <v>41</v>
      </c>
      <c r="G38">
        <v>-475.5256</v>
      </c>
      <c r="H38">
        <v>0.87561019999999901</v>
      </c>
      <c r="I38">
        <v>367.2115</v>
      </c>
      <c r="J38">
        <v>-476.15469999999999</v>
      </c>
      <c r="K38">
        <v>1.1100950000000001</v>
      </c>
      <c r="L38">
        <v>367.21390000000002</v>
      </c>
      <c r="M38">
        <v>0.99995270000000003</v>
      </c>
      <c r="N38">
        <v>-9.3219080000000003E-3</v>
      </c>
      <c r="O38">
        <v>-2.8357180000000001E-3</v>
      </c>
      <c r="P38">
        <v>0.96653889999999998</v>
      </c>
      <c r="Q38">
        <v>0.2408584</v>
      </c>
      <c r="R38">
        <v>8.8262439999999998E-2</v>
      </c>
      <c r="S38">
        <v>3.4053040000000001</v>
      </c>
      <c r="T38">
        <v>-1.2232179999999999</v>
      </c>
      <c r="U38">
        <v>-1.031494E-2</v>
      </c>
      <c r="V38">
        <v>-9.0990390000000004E-2</v>
      </c>
      <c r="W38">
        <v>0.24986040000000001</v>
      </c>
      <c r="X38">
        <v>0.96399710000000005</v>
      </c>
      <c r="Y38">
        <v>3.3969540000000002E-4</v>
      </c>
      <c r="Z38">
        <v>9.012712E-4</v>
      </c>
      <c r="AA38">
        <v>0.99999950000000004</v>
      </c>
      <c r="AB38">
        <v>1</v>
      </c>
      <c r="AC38">
        <v>0.629099999999994</v>
      </c>
      <c r="AD38">
        <v>-0.23448479999999999</v>
      </c>
      <c r="AE38">
        <v>-2.4000000000228201E-3</v>
      </c>
      <c r="AF38">
        <v>5.4082786360445804E-4</v>
      </c>
      <c r="AG38">
        <v>-0.23448479999999999</v>
      </c>
      <c r="AH38">
        <v>0.55236621745117198</v>
      </c>
      <c r="AI38">
        <v>113.001682135111</v>
      </c>
      <c r="AJ38">
        <v>89.943901087455004</v>
      </c>
      <c r="AK38">
        <v>0.60007653854082099</v>
      </c>
      <c r="AL38">
        <v>75.530747574381706</v>
      </c>
      <c r="AM38">
        <v>95.3920963299704</v>
      </c>
      <c r="AN38">
        <v>0.99999993968445899</v>
      </c>
    </row>
    <row r="39" spans="1:40" x14ac:dyDescent="0.25">
      <c r="A39" t="str">
        <f>"20190304164336757"</f>
        <v>20190304164336757</v>
      </c>
      <c r="B39" t="str">
        <f>"1551689016750228"</f>
        <v>1551689016750228</v>
      </c>
      <c r="C39" t="s">
        <v>40</v>
      </c>
      <c r="D39">
        <v>5.5082769999999996</v>
      </c>
      <c r="E39">
        <v>0.55866099999999996</v>
      </c>
      <c r="F39" t="s">
        <v>41</v>
      </c>
      <c r="G39">
        <v>-475.48039999999997</v>
      </c>
      <c r="H39">
        <v>0.86940409999999901</v>
      </c>
      <c r="I39">
        <v>367.21159999999998</v>
      </c>
      <c r="J39">
        <v>-476.12729999999999</v>
      </c>
      <c r="K39">
        <v>1.10972</v>
      </c>
      <c r="L39">
        <v>367.21370000000002</v>
      </c>
      <c r="M39">
        <v>0.99996359999999995</v>
      </c>
      <c r="N39">
        <v>-7.9782199999999994E-3</v>
      </c>
      <c r="O39">
        <v>-3.0301600000000001E-3</v>
      </c>
      <c r="P39">
        <v>0.9661111</v>
      </c>
      <c r="Q39">
        <v>0.24271529999999999</v>
      </c>
      <c r="R39">
        <v>8.7856160000000003E-2</v>
      </c>
      <c r="S39">
        <v>3.4078369999999998</v>
      </c>
      <c r="T39">
        <v>-1.2162949999999999</v>
      </c>
      <c r="U39">
        <v>-9.7351069999999998E-3</v>
      </c>
      <c r="V39">
        <v>-9.0755210000000003E-2</v>
      </c>
      <c r="W39">
        <v>0.25042330000000002</v>
      </c>
      <c r="X39">
        <v>0.96387330000000004</v>
      </c>
      <c r="Y39" s="1">
        <v>5.0300439999999996E-6</v>
      </c>
      <c r="Z39">
        <v>1.0247259999999999E-3</v>
      </c>
      <c r="AA39">
        <v>0.99999950000000004</v>
      </c>
      <c r="AB39">
        <v>3</v>
      </c>
      <c r="AC39">
        <v>0.64690000000001602</v>
      </c>
      <c r="AD39">
        <v>-0.2403159</v>
      </c>
      <c r="AE39">
        <v>-2.1000000000412902E-3</v>
      </c>
      <c r="AF39">
        <v>1.2277436326610199E-4</v>
      </c>
      <c r="AG39">
        <v>-0.2403159</v>
      </c>
      <c r="AH39">
        <v>0.56845529053741894</v>
      </c>
      <c r="AI39">
        <v>112.916332487963</v>
      </c>
      <c r="AJ39">
        <v>89.987625319255002</v>
      </c>
      <c r="AK39">
        <v>0.61716542693700505</v>
      </c>
      <c r="AL39">
        <v>75.497438256781706</v>
      </c>
      <c r="AM39">
        <v>95.378928106015195</v>
      </c>
      <c r="AN39">
        <v>1.00000003788896</v>
      </c>
    </row>
    <row r="40" spans="1:40" x14ac:dyDescent="0.25">
      <c r="A40" t="str">
        <f>"20190304164336779"</f>
        <v>20190304164336779</v>
      </c>
      <c r="B40" t="str">
        <f>"1551689016769752"</f>
        <v>1551689016769752</v>
      </c>
      <c r="C40" t="s">
        <v>40</v>
      </c>
      <c r="D40">
        <v>5.4900949999999904</v>
      </c>
      <c r="E40">
        <v>0.55863940000000001</v>
      </c>
      <c r="F40" t="s">
        <v>41</v>
      </c>
      <c r="G40">
        <v>-475.45359999999999</v>
      </c>
      <c r="H40">
        <v>0.87079619999999902</v>
      </c>
      <c r="I40">
        <v>367.21120000000002</v>
      </c>
      <c r="J40">
        <v>-476.09809999999999</v>
      </c>
      <c r="K40">
        <v>1.109637</v>
      </c>
      <c r="L40">
        <v>367.21339999999998</v>
      </c>
      <c r="M40">
        <v>0.99996719999999895</v>
      </c>
      <c r="N40">
        <v>-7.4262269999999997E-3</v>
      </c>
      <c r="O40">
        <v>-3.2398959999999999E-3</v>
      </c>
      <c r="P40">
        <v>0.96587480000000003</v>
      </c>
      <c r="Q40">
        <v>0.24365700000000001</v>
      </c>
      <c r="R40">
        <v>8.784865E-2</v>
      </c>
      <c r="S40">
        <v>3.4100950000000001</v>
      </c>
      <c r="T40">
        <v>-1.2091769999999999</v>
      </c>
      <c r="U40">
        <v>-1.2268070000000001E-2</v>
      </c>
      <c r="V40">
        <v>-9.0938229999999995E-2</v>
      </c>
      <c r="W40">
        <v>0.25083539999999999</v>
      </c>
      <c r="X40">
        <v>0.96374890000000002</v>
      </c>
      <c r="Y40">
        <v>5.1490930000000002E-4</v>
      </c>
      <c r="Z40">
        <v>1.0008949999999999E-3</v>
      </c>
      <c r="AA40">
        <v>0.99999930000000004</v>
      </c>
      <c r="AB40">
        <v>3</v>
      </c>
      <c r="AC40">
        <v>0.64449999999999297</v>
      </c>
      <c r="AD40">
        <v>-0.23884079999999999</v>
      </c>
      <c r="AE40">
        <v>-2.1999999999593399E-3</v>
      </c>
      <c r="AF40" s="1">
        <v>9.8316167345321396E-5</v>
      </c>
      <c r="AG40">
        <v>-0.23884079999999999</v>
      </c>
      <c r="AH40">
        <v>0.566681277911805</v>
      </c>
      <c r="AI40">
        <v>112.854104160456</v>
      </c>
      <c r="AJ40">
        <v>89.990059489152301</v>
      </c>
      <c r="AK40">
        <v>0.61495740352195605</v>
      </c>
      <c r="AL40">
        <v>75.473048406011301</v>
      </c>
      <c r="AM40">
        <v>95.390403221287798</v>
      </c>
      <c r="AN40">
        <v>1.00000005090995</v>
      </c>
    </row>
    <row r="41" spans="1:40" x14ac:dyDescent="0.25">
      <c r="A41" t="str">
        <f>"20190304164336800"</f>
        <v>20190304164336800</v>
      </c>
      <c r="B41" t="str">
        <f>"1551689016790244"</f>
        <v>1551689016790244</v>
      </c>
      <c r="C41" t="s">
        <v>40</v>
      </c>
      <c r="D41">
        <v>5.5188059999999997</v>
      </c>
      <c r="E41">
        <v>0.55863419999999997</v>
      </c>
      <c r="F41" t="s">
        <v>41</v>
      </c>
      <c r="G41">
        <v>-475.43020000000001</v>
      </c>
      <c r="H41">
        <v>0.87349129999999997</v>
      </c>
      <c r="I41">
        <v>367.21010000000001</v>
      </c>
      <c r="J41">
        <v>-476.07600000000002</v>
      </c>
      <c r="K41">
        <v>1.1100399999999999</v>
      </c>
      <c r="L41">
        <v>367.21319999999997</v>
      </c>
      <c r="M41">
        <v>0.99995789999999996</v>
      </c>
      <c r="N41">
        <v>-8.5405450000000001E-3</v>
      </c>
      <c r="O41">
        <v>-3.356922E-3</v>
      </c>
      <c r="P41">
        <v>0.96602440000000001</v>
      </c>
      <c r="Q41">
        <v>0.2431121</v>
      </c>
      <c r="R41">
        <v>8.7711720000000007E-2</v>
      </c>
      <c r="S41">
        <v>3.4114379999999902</v>
      </c>
      <c r="T41">
        <v>-1.2058469999999999</v>
      </c>
      <c r="U41">
        <v>-1.364136E-2</v>
      </c>
      <c r="V41">
        <v>-9.0923530000000002E-2</v>
      </c>
      <c r="W41">
        <v>0.25136209999999998</v>
      </c>
      <c r="X41">
        <v>0.96361300000000005</v>
      </c>
      <c r="Y41">
        <v>7.8654279999999896E-4</v>
      </c>
      <c r="Z41">
        <v>9.85428E-4</v>
      </c>
      <c r="AA41">
        <v>0.99999919999999998</v>
      </c>
      <c r="AB41">
        <v>3</v>
      </c>
      <c r="AC41">
        <v>0.64579999999995097</v>
      </c>
      <c r="AD41">
        <v>-0.236548699999999</v>
      </c>
      <c r="AE41">
        <v>-3.0999999999607999E-3</v>
      </c>
      <c r="AF41">
        <v>8.2175372399011703E-4</v>
      </c>
      <c r="AG41">
        <v>-0.236548699999999</v>
      </c>
      <c r="AH41">
        <v>0.56941230354103201</v>
      </c>
      <c r="AI41">
        <v>112.559249797505</v>
      </c>
      <c r="AJ41">
        <v>89.917313013427602</v>
      </c>
      <c r="AK41">
        <v>0.61659251874700605</v>
      </c>
      <c r="AL41">
        <v>75.441871167390801</v>
      </c>
      <c r="AM41">
        <v>95.390292622635698</v>
      </c>
      <c r="AN41">
        <v>1.00000000369653</v>
      </c>
    </row>
    <row r="42" spans="1:40" x14ac:dyDescent="0.25">
      <c r="A42" t="str">
        <f>"20190304164336824"</f>
        <v>20190304164336824</v>
      </c>
      <c r="B42" t="str">
        <f>"1551689016809765"</f>
        <v>1551689016809765</v>
      </c>
      <c r="C42" t="s">
        <v>40</v>
      </c>
      <c r="D42">
        <v>5.545458</v>
      </c>
      <c r="E42">
        <v>0.55863909999999894</v>
      </c>
      <c r="F42" t="s">
        <v>41</v>
      </c>
      <c r="G42">
        <v>-475.41109999999998</v>
      </c>
      <c r="H42">
        <v>0.87457929999999995</v>
      </c>
      <c r="I42">
        <v>367.21010000000001</v>
      </c>
      <c r="J42">
        <v>-476.0557</v>
      </c>
      <c r="K42">
        <v>1.110606</v>
      </c>
      <c r="L42">
        <v>367.21300000000002</v>
      </c>
      <c r="M42">
        <v>0.99993960000000004</v>
      </c>
      <c r="N42">
        <v>-1.045306E-2</v>
      </c>
      <c r="O42">
        <v>-3.4240780000000001E-3</v>
      </c>
      <c r="P42">
        <v>0.96654859999999998</v>
      </c>
      <c r="Q42">
        <v>0.24100369999999999</v>
      </c>
      <c r="R42">
        <v>8.7755050000000001E-2</v>
      </c>
      <c r="S42">
        <v>3.410736</v>
      </c>
      <c r="T42">
        <v>-1.207781</v>
      </c>
      <c r="U42">
        <v>-1.452637E-2</v>
      </c>
      <c r="V42">
        <v>-9.1053659999999995E-2</v>
      </c>
      <c r="W42">
        <v>0.25109480000000001</v>
      </c>
      <c r="X42">
        <v>0.96367040000000004</v>
      </c>
      <c r="Y42">
        <v>9.7005560000000004E-4</v>
      </c>
      <c r="Z42">
        <v>9.7002329999999997E-4</v>
      </c>
      <c r="AA42">
        <v>0.99999899999999997</v>
      </c>
      <c r="AB42">
        <v>2</v>
      </c>
      <c r="AC42">
        <v>0.64460000000002504</v>
      </c>
      <c r="AD42">
        <v>-0.23602670000000001</v>
      </c>
      <c r="AE42">
        <v>-2.9000000000110001E-3</v>
      </c>
      <c r="AF42">
        <v>6.1081035612377298E-4</v>
      </c>
      <c r="AG42">
        <v>-0.23602670000000001</v>
      </c>
      <c r="AH42">
        <v>0.56840047696002505</v>
      </c>
      <c r="AI42">
        <v>112.550519296614</v>
      </c>
      <c r="AJ42">
        <v>89.938429252901699</v>
      </c>
      <c r="AK42">
        <v>0.61545761707087998</v>
      </c>
      <c r="AL42">
        <v>75.457693795636601</v>
      </c>
      <c r="AM42">
        <v>95.397642062736793</v>
      </c>
      <c r="AN42">
        <v>1.0000000037112899</v>
      </c>
    </row>
    <row r="43" spans="1:40" x14ac:dyDescent="0.25">
      <c r="A43" t="str">
        <f>"20190304164336845"</f>
        <v>20190304164336845</v>
      </c>
      <c r="B43" t="str">
        <f>"1551689016830261"</f>
        <v>1551689016830261</v>
      </c>
      <c r="C43" t="s">
        <v>40</v>
      </c>
      <c r="D43">
        <v>5.5408770000000001</v>
      </c>
      <c r="E43">
        <v>0.55863629999999997</v>
      </c>
      <c r="F43" t="s">
        <v>41</v>
      </c>
      <c r="G43">
        <v>-475.39479999999998</v>
      </c>
      <c r="H43">
        <v>0.8749036</v>
      </c>
      <c r="I43">
        <v>367.21019999999999</v>
      </c>
      <c r="J43">
        <v>-476.03489999999999</v>
      </c>
      <c r="K43">
        <v>1.1107260000000001</v>
      </c>
      <c r="L43">
        <v>367.21280000000002</v>
      </c>
      <c r="M43">
        <v>0.99993189999999998</v>
      </c>
      <c r="N43">
        <v>-1.1137589999999999E-2</v>
      </c>
      <c r="O43">
        <v>-3.4870909999999999E-3</v>
      </c>
      <c r="P43">
        <v>0.96673430000000005</v>
      </c>
      <c r="Q43">
        <v>0.24040500000000001</v>
      </c>
      <c r="R43">
        <v>8.7349369999999996E-2</v>
      </c>
      <c r="S43">
        <v>3.4080509999999999</v>
      </c>
      <c r="T43">
        <v>-1.215274</v>
      </c>
      <c r="U43">
        <v>-1.3153079999999999E-2</v>
      </c>
      <c r="V43">
        <v>-9.0716759999999994E-2</v>
      </c>
      <c r="W43">
        <v>0.25115490000000001</v>
      </c>
      <c r="X43">
        <v>0.9636865</v>
      </c>
      <c r="Y43">
        <v>5.3953309999999995E-4</v>
      </c>
      <c r="Z43">
        <v>1.072124E-3</v>
      </c>
      <c r="AA43">
        <v>0.99999930000000004</v>
      </c>
      <c r="AB43">
        <v>2</v>
      </c>
      <c r="AC43">
        <v>0.64010000000001799</v>
      </c>
      <c r="AD43">
        <v>-0.23582239999999999</v>
      </c>
      <c r="AE43">
        <v>-2.6000000000294598E-3</v>
      </c>
      <c r="AF43">
        <v>3.2380906145857699E-4</v>
      </c>
      <c r="AG43">
        <v>-0.23582239999999999</v>
      </c>
      <c r="AH43">
        <v>0.56360814836446704</v>
      </c>
      <c r="AI43">
        <v>112.70518799080099</v>
      </c>
      <c r="AJ43">
        <v>89.967081933428005</v>
      </c>
      <c r="AK43">
        <v>0.61095536178749699</v>
      </c>
      <c r="AL43">
        <v>75.454136149416996</v>
      </c>
      <c r="AM43">
        <v>95.377698686049101</v>
      </c>
      <c r="AN43">
        <v>0.99999999231057801</v>
      </c>
    </row>
    <row r="44" spans="1:40" x14ac:dyDescent="0.25">
      <c r="A44" t="str">
        <f>"20190304164336880"</f>
        <v>20190304164336880</v>
      </c>
      <c r="B44" t="str">
        <f>"1551689016870276"</f>
        <v>1551689016870276</v>
      </c>
      <c r="C44" t="s">
        <v>40</v>
      </c>
      <c r="D44">
        <v>5.5699620000000003</v>
      </c>
      <c r="E44">
        <v>0.55863059999999998</v>
      </c>
      <c r="F44" t="s">
        <v>41</v>
      </c>
      <c r="G44">
        <v>-475.37369999999999</v>
      </c>
      <c r="H44">
        <v>0.87433639999999901</v>
      </c>
      <c r="I44">
        <v>367.20979999999997</v>
      </c>
      <c r="J44">
        <v>-475.99220000000003</v>
      </c>
      <c r="K44">
        <v>1.110047</v>
      </c>
      <c r="L44">
        <v>367.2124</v>
      </c>
      <c r="M44">
        <v>0.99995089999999998</v>
      </c>
      <c r="N44">
        <v>-9.1813339999999993E-3</v>
      </c>
      <c r="O44">
        <v>-3.72552E-3</v>
      </c>
      <c r="P44">
        <v>0.96637609999999996</v>
      </c>
      <c r="Q44">
        <v>0.24182480000000001</v>
      </c>
      <c r="R44">
        <v>8.7396379999999996E-2</v>
      </c>
      <c r="S44">
        <v>3.407257</v>
      </c>
      <c r="T44">
        <v>-1.217743</v>
      </c>
      <c r="U44">
        <v>-1.351929E-2</v>
      </c>
      <c r="V44">
        <v>-9.0978030000000001E-2</v>
      </c>
      <c r="W44">
        <v>0.250691</v>
      </c>
      <c r="X44">
        <v>0.96378269999999999</v>
      </c>
      <c r="Y44">
        <v>4.335656E-4</v>
      </c>
      <c r="Z44">
        <v>1.181072E-3</v>
      </c>
      <c r="AA44">
        <v>0.99999919999999998</v>
      </c>
      <c r="AB44">
        <v>2</v>
      </c>
      <c r="AC44">
        <v>0.61850000000004002</v>
      </c>
      <c r="AD44">
        <v>-0.23571059999999999</v>
      </c>
      <c r="AE44">
        <v>-2.6000000000294598E-3</v>
      </c>
      <c r="AF44">
        <v>2.5815723160498401E-4</v>
      </c>
      <c r="AG44">
        <v>-0.23571059999999999</v>
      </c>
      <c r="AH44">
        <v>0.54006856259827296</v>
      </c>
      <c r="AI44">
        <v>113.578653323281</v>
      </c>
      <c r="AJ44">
        <v>89.972612146457806</v>
      </c>
      <c r="AK44">
        <v>0.58926531028432405</v>
      </c>
      <c r="AL44">
        <v>75.481594773334507</v>
      </c>
      <c r="AM44">
        <v>95.392560468843001</v>
      </c>
      <c r="AN44">
        <v>1.00000003612148</v>
      </c>
    </row>
    <row r="45" spans="1:40" x14ac:dyDescent="0.25">
      <c r="A45" t="str">
        <f>"20190304164336901"</f>
        <v>20190304164336901</v>
      </c>
      <c r="B45" t="str">
        <f>"1551689016889800"</f>
        <v>1551689016889800</v>
      </c>
      <c r="C45" t="s">
        <v>40</v>
      </c>
      <c r="D45">
        <v>5.5130460000000001</v>
      </c>
      <c r="E45">
        <v>0.55863069999999904</v>
      </c>
      <c r="F45" t="s">
        <v>41</v>
      </c>
      <c r="G45">
        <v>-475.32139999999998</v>
      </c>
      <c r="H45">
        <v>0.87133249999999995</v>
      </c>
      <c r="I45">
        <v>367.20940000000002</v>
      </c>
      <c r="J45">
        <v>-475.96199999999999</v>
      </c>
      <c r="K45">
        <v>1.10971</v>
      </c>
      <c r="L45">
        <v>367.2122</v>
      </c>
      <c r="M45">
        <v>0.99996070000000004</v>
      </c>
      <c r="N45">
        <v>-7.9462400000000002E-3</v>
      </c>
      <c r="O45">
        <v>-3.9371659999999998E-3</v>
      </c>
      <c r="P45">
        <v>0.96608059999999996</v>
      </c>
      <c r="Q45">
        <v>0.2431383</v>
      </c>
      <c r="R45">
        <v>8.7018750000000006E-2</v>
      </c>
      <c r="S45">
        <v>3.4091490000000002</v>
      </c>
      <c r="T45">
        <v>-1.2130030000000001</v>
      </c>
      <c r="U45">
        <v>-1.358032E-2</v>
      </c>
      <c r="V45">
        <v>-9.0788859999999999E-2</v>
      </c>
      <c r="W45">
        <v>0.25081700000000001</v>
      </c>
      <c r="X45">
        <v>0.9637677</v>
      </c>
      <c r="Y45">
        <v>2.6087810000000001E-4</v>
      </c>
      <c r="Z45">
        <v>1.282659E-3</v>
      </c>
      <c r="AA45">
        <v>0.99999919999999998</v>
      </c>
      <c r="AB45">
        <v>3</v>
      </c>
      <c r="AC45">
        <v>0.64060000000000605</v>
      </c>
      <c r="AD45">
        <v>-0.23837749999999899</v>
      </c>
      <c r="AE45">
        <v>-2.7999999999792601E-3</v>
      </c>
      <c r="AF45">
        <v>2.4396844344489301E-4</v>
      </c>
      <c r="AG45">
        <v>-0.23837749999999899</v>
      </c>
      <c r="AH45">
        <v>0.56269148524649104</v>
      </c>
      <c r="AI45">
        <v>112.959360159582</v>
      </c>
      <c r="AJ45">
        <v>89.975158036625103</v>
      </c>
      <c r="AK45">
        <v>0.61110195515621901</v>
      </c>
      <c r="AL45">
        <v>75.474136441268996</v>
      </c>
      <c r="AM45">
        <v>95.381496913061099</v>
      </c>
      <c r="AN45">
        <v>0.99999998207619401</v>
      </c>
    </row>
    <row r="46" spans="1:40" x14ac:dyDescent="0.25">
      <c r="A46" t="str">
        <f>"20190304164336924"</f>
        <v>20190304164336924</v>
      </c>
      <c r="B46" t="str">
        <f>"1551689016920052"</f>
        <v>1551689016920052</v>
      </c>
      <c r="C46" t="s">
        <v>40</v>
      </c>
      <c r="D46">
        <v>5.5244239999999998</v>
      </c>
      <c r="E46">
        <v>0.5586236</v>
      </c>
      <c r="F46" t="s">
        <v>41</v>
      </c>
      <c r="G46">
        <v>-475.2919</v>
      </c>
      <c r="H46">
        <v>0.87222369999999905</v>
      </c>
      <c r="I46">
        <v>367.209</v>
      </c>
      <c r="J46">
        <v>-475.93079999999998</v>
      </c>
      <c r="K46">
        <v>1.109747</v>
      </c>
      <c r="L46">
        <v>367.21190000000001</v>
      </c>
      <c r="M46">
        <v>0.99996110000000005</v>
      </c>
      <c r="N46">
        <v>-7.7779819999999897E-3</v>
      </c>
      <c r="O46">
        <v>-4.1443850000000004E-3</v>
      </c>
      <c r="P46">
        <v>0.96604080000000003</v>
      </c>
      <c r="Q46">
        <v>0.24349979999999999</v>
      </c>
      <c r="R46">
        <v>8.6447629999999998E-2</v>
      </c>
      <c r="S46">
        <v>3.4107970000000001</v>
      </c>
      <c r="T46">
        <v>-1.208475</v>
      </c>
      <c r="U46">
        <v>-1.480103E-2</v>
      </c>
      <c r="V46">
        <v>-9.0410370000000004E-2</v>
      </c>
      <c r="W46">
        <v>0.25101780000000001</v>
      </c>
      <c r="X46">
        <v>0.96375100000000002</v>
      </c>
      <c r="Y46">
        <v>4.1077900000000001E-4</v>
      </c>
      <c r="Z46">
        <v>1.321409E-3</v>
      </c>
      <c r="AA46">
        <v>0.99999899999999997</v>
      </c>
      <c r="AB46">
        <v>3</v>
      </c>
      <c r="AC46">
        <v>0.63889999999997804</v>
      </c>
      <c r="AD46">
        <v>-0.23752329999999999</v>
      </c>
      <c r="AE46">
        <v>-2.9000000000110001E-3</v>
      </c>
      <c r="AF46">
        <v>2.2144189306906299E-4</v>
      </c>
      <c r="AG46">
        <v>-0.23752329999999999</v>
      </c>
      <c r="AH46">
        <v>0.56132598132656297</v>
      </c>
      <c r="AI46">
        <v>112.935495200483</v>
      </c>
      <c r="AJ46">
        <v>89.977396939311305</v>
      </c>
      <c r="AK46">
        <v>0.60951146370813303</v>
      </c>
      <c r="AL46">
        <v>75.462251198533906</v>
      </c>
      <c r="AM46">
        <v>95.359285191736603</v>
      </c>
      <c r="AN46">
        <v>0.99999998046068805</v>
      </c>
    </row>
    <row r="47" spans="1:40" x14ac:dyDescent="0.25">
      <c r="A47" t="str">
        <f>"20190304164336946"</f>
        <v>20190304164336946</v>
      </c>
      <c r="B47" t="str">
        <f>"1551689016940549"</f>
        <v>1551689016940549</v>
      </c>
      <c r="C47" t="s">
        <v>40</v>
      </c>
      <c r="D47">
        <v>5.4421989999999996</v>
      </c>
      <c r="E47">
        <v>0.55861959999999999</v>
      </c>
      <c r="F47" t="s">
        <v>41</v>
      </c>
      <c r="G47">
        <v>-475.26600000000002</v>
      </c>
      <c r="H47">
        <v>0.87441650000000004</v>
      </c>
      <c r="I47">
        <v>367.20870000000002</v>
      </c>
      <c r="J47">
        <v>-475.90030000000002</v>
      </c>
      <c r="K47">
        <v>1.109858</v>
      </c>
      <c r="L47">
        <v>367.2115</v>
      </c>
      <c r="M47">
        <v>0.99995909999999999</v>
      </c>
      <c r="N47">
        <v>-7.9611860000000003E-3</v>
      </c>
      <c r="O47">
        <v>-4.3215930000000003E-3</v>
      </c>
      <c r="P47">
        <v>0.96607180000000004</v>
      </c>
      <c r="Q47">
        <v>0.2434943</v>
      </c>
      <c r="R47">
        <v>8.6114529999999995E-2</v>
      </c>
      <c r="S47">
        <v>3.4112550000000001</v>
      </c>
      <c r="T47">
        <v>-1.2074469999999999</v>
      </c>
      <c r="U47">
        <v>-1.6235349999999999E-2</v>
      </c>
      <c r="V47">
        <v>-9.0245339999999993E-2</v>
      </c>
      <c r="W47">
        <v>0.25118990000000002</v>
      </c>
      <c r="X47">
        <v>0.96372159999999996</v>
      </c>
      <c r="Y47">
        <v>6.4825440000000005E-4</v>
      </c>
      <c r="Z47">
        <v>1.3371139999999999E-3</v>
      </c>
      <c r="AA47">
        <v>0.99999890000000002</v>
      </c>
      <c r="AB47">
        <v>3</v>
      </c>
      <c r="AC47">
        <v>0.63430000000005204</v>
      </c>
      <c r="AD47">
        <v>-0.2354415</v>
      </c>
      <c r="AE47">
        <v>-2.7999999999792601E-3</v>
      </c>
      <c r="AF47" s="1">
        <v>5.1592740196498702E-5</v>
      </c>
      <c r="AG47">
        <v>-0.2354415</v>
      </c>
      <c r="AH47">
        <v>0.55749737806168598</v>
      </c>
      <c r="AI47">
        <v>112.895236901251</v>
      </c>
      <c r="AJ47">
        <v>89.994697649935802</v>
      </c>
      <c r="AK47">
        <v>0.60517437910879401</v>
      </c>
      <c r="AL47">
        <v>75.452063823095202</v>
      </c>
      <c r="AM47">
        <v>95.349721710053501</v>
      </c>
      <c r="AN47">
        <v>0.99999995478014103</v>
      </c>
    </row>
    <row r="48" spans="1:40" x14ac:dyDescent="0.25">
      <c r="A48" t="str">
        <f>"20190304164336968"</f>
        <v>20190304164336968</v>
      </c>
      <c r="B48" t="str">
        <f>"1551689016960068"</f>
        <v>1551689016960068</v>
      </c>
      <c r="C48" t="s">
        <v>40</v>
      </c>
      <c r="D48">
        <v>5.5555560000000002</v>
      </c>
      <c r="E48">
        <v>0.55861530000000004</v>
      </c>
      <c r="F48" t="s">
        <v>41</v>
      </c>
      <c r="G48">
        <v>-475.23719999999997</v>
      </c>
      <c r="H48">
        <v>0.87502429999999998</v>
      </c>
      <c r="I48">
        <v>367.20769999999999</v>
      </c>
      <c r="J48">
        <v>-475.86599999999999</v>
      </c>
      <c r="K48">
        <v>1.1096379999999999</v>
      </c>
      <c r="L48">
        <v>367.21109999999999</v>
      </c>
      <c r="M48">
        <v>0.99996479999999999</v>
      </c>
      <c r="N48">
        <v>-7.0770290000000003E-3</v>
      </c>
      <c r="O48">
        <v>-4.5423440000000002E-3</v>
      </c>
      <c r="P48">
        <v>0.96577469999999999</v>
      </c>
      <c r="Q48">
        <v>0.2447453</v>
      </c>
      <c r="R48">
        <v>8.5901530000000004E-2</v>
      </c>
      <c r="S48">
        <v>3.411346</v>
      </c>
      <c r="T48">
        <v>-1.2078059999999999</v>
      </c>
      <c r="U48">
        <v>-1.742554E-2</v>
      </c>
      <c r="V48">
        <v>-9.023428E-2</v>
      </c>
      <c r="W48">
        <v>0.25159009999999998</v>
      </c>
      <c r="X48">
        <v>0.96361830000000004</v>
      </c>
      <c r="Y48">
        <v>7.8234959999999999E-4</v>
      </c>
      <c r="Z48">
        <v>1.3922769999999999E-3</v>
      </c>
      <c r="AA48">
        <v>0.99999870000000002</v>
      </c>
      <c r="AB48">
        <v>3</v>
      </c>
      <c r="AC48">
        <v>0.62880000000001202</v>
      </c>
      <c r="AD48">
        <v>-0.23461369999999901</v>
      </c>
      <c r="AE48">
        <v>-3.3999999999991802E-3</v>
      </c>
      <c r="AF48">
        <v>4.7723261232607099E-4</v>
      </c>
      <c r="AG48">
        <v>-0.23461369999999901</v>
      </c>
      <c r="AH48">
        <v>0.55196953612398802</v>
      </c>
      <c r="AI48">
        <v>113.027827117819</v>
      </c>
      <c r="AJ48">
        <v>89.950462107182702</v>
      </c>
      <c r="AK48">
        <v>0.59976177336304703</v>
      </c>
      <c r="AL48">
        <v>75.428374159104294</v>
      </c>
      <c r="AM48">
        <v>95.349639973476997</v>
      </c>
      <c r="AN48">
        <v>1.0000000159</v>
      </c>
    </row>
    <row r="49" spans="1:40" x14ac:dyDescent="0.25">
      <c r="A49" t="str">
        <f>"20190304164336990"</f>
        <v>20190304164336990</v>
      </c>
      <c r="B49" t="str">
        <f>"1551689016980565"</f>
        <v>1551689016980565</v>
      </c>
      <c r="C49" t="s">
        <v>40</v>
      </c>
      <c r="D49">
        <v>5.4607539999999997</v>
      </c>
      <c r="E49">
        <v>0.5586139</v>
      </c>
      <c r="F49" t="s">
        <v>41</v>
      </c>
      <c r="G49">
        <v>-475.20440000000002</v>
      </c>
      <c r="H49">
        <v>0.87634920000000005</v>
      </c>
      <c r="I49">
        <v>367.20729999999998</v>
      </c>
      <c r="J49">
        <v>-475.83159999999998</v>
      </c>
      <c r="K49">
        <v>1.1095889999999999</v>
      </c>
      <c r="L49">
        <v>367.21069999999997</v>
      </c>
      <c r="M49">
        <v>0.99996689999999999</v>
      </c>
      <c r="N49">
        <v>-6.6256650000000002E-3</v>
      </c>
      <c r="O49">
        <v>-4.7389650000000004E-3</v>
      </c>
      <c r="P49">
        <v>0.96570800000000001</v>
      </c>
      <c r="Q49">
        <v>0.24508070000000001</v>
      </c>
      <c r="R49">
        <v>8.5695530000000006E-2</v>
      </c>
      <c r="S49">
        <v>3.4128419999999999</v>
      </c>
      <c r="T49">
        <v>-1.2033309999999999</v>
      </c>
      <c r="U49">
        <v>-1.7761229999999999E-2</v>
      </c>
      <c r="V49">
        <v>-9.0220209999999995E-2</v>
      </c>
      <c r="W49">
        <v>0.25148900000000002</v>
      </c>
      <c r="X49">
        <v>0.963646</v>
      </c>
      <c r="Y49">
        <v>6.9746509999999904E-4</v>
      </c>
      <c r="Z49">
        <v>1.469719E-3</v>
      </c>
      <c r="AA49">
        <v>0.99999870000000002</v>
      </c>
      <c r="AB49">
        <v>3</v>
      </c>
      <c r="AC49">
        <v>0.62719999999995901</v>
      </c>
      <c r="AD49">
        <v>-0.233239799999999</v>
      </c>
      <c r="AE49">
        <v>-3.3999999999991802E-3</v>
      </c>
      <c r="AF49">
        <v>3.75668062199198E-4</v>
      </c>
      <c r="AG49">
        <v>-0.233239799999999</v>
      </c>
      <c r="AH49">
        <v>0.551011499663147</v>
      </c>
      <c r="AI49">
        <v>112.94263871616501</v>
      </c>
      <c r="AJ49">
        <v>89.960936947522697</v>
      </c>
      <c r="AK49">
        <v>0.59834322774772197</v>
      </c>
      <c r="AL49">
        <v>75.434359087006598</v>
      </c>
      <c r="AM49">
        <v>95.348657796392999</v>
      </c>
      <c r="AN49">
        <v>1.00000000836472</v>
      </c>
    </row>
    <row r="50" spans="1:40" x14ac:dyDescent="0.25">
      <c r="A50" t="str">
        <f>"20190304164337012"</f>
        <v>20190304164337012</v>
      </c>
      <c r="B50" t="str">
        <f>"1551689017000085"</f>
        <v>1551689017000085</v>
      </c>
      <c r="C50" t="s">
        <v>40</v>
      </c>
      <c r="D50">
        <v>5.593985</v>
      </c>
      <c r="E50">
        <v>0.55859890000000001</v>
      </c>
      <c r="F50" t="s">
        <v>41</v>
      </c>
      <c r="G50">
        <v>-475.17230000000001</v>
      </c>
      <c r="H50">
        <v>0.87727449999999996</v>
      </c>
      <c r="I50">
        <v>367.20679999999999</v>
      </c>
      <c r="J50">
        <v>-475.80029999999999</v>
      </c>
      <c r="K50">
        <v>1.109952</v>
      </c>
      <c r="L50">
        <v>367.21030000000002</v>
      </c>
      <c r="M50">
        <v>0.99995959999999995</v>
      </c>
      <c r="N50">
        <v>-7.5517800000000001E-3</v>
      </c>
      <c r="O50">
        <v>-4.8905579999999997E-3</v>
      </c>
      <c r="P50">
        <v>0.96595509999999996</v>
      </c>
      <c r="Q50">
        <v>0.2442887</v>
      </c>
      <c r="R50">
        <v>8.5171720000000006E-2</v>
      </c>
      <c r="S50">
        <v>3.4133300000000002</v>
      </c>
      <c r="T50">
        <v>-1.2023729999999999</v>
      </c>
      <c r="U50">
        <v>-1.8646240000000001E-2</v>
      </c>
      <c r="V50">
        <v>-8.9864070000000004E-2</v>
      </c>
      <c r="W50">
        <v>0.25158449999999999</v>
      </c>
      <c r="X50">
        <v>0.96365429999999996</v>
      </c>
      <c r="Y50">
        <v>8.0448899999999905E-4</v>
      </c>
      <c r="Z50">
        <v>1.49579799999999E-3</v>
      </c>
      <c r="AA50">
        <v>0.99999859999999896</v>
      </c>
      <c r="AB50">
        <v>4</v>
      </c>
      <c r="AC50">
        <v>0.62799999999998501</v>
      </c>
      <c r="AD50">
        <v>-0.23267750000000001</v>
      </c>
      <c r="AE50">
        <v>-3.5000000000309198E-3</v>
      </c>
      <c r="AF50">
        <v>3.7686769372073198E-4</v>
      </c>
      <c r="AG50">
        <v>-0.23267750000000001</v>
      </c>
      <c r="AH50">
        <v>0.55220795657337596</v>
      </c>
      <c r="AI50">
        <v>112.848532256485</v>
      </c>
      <c r="AJ50">
        <v>89.960897113713102</v>
      </c>
      <c r="AK50">
        <v>0.59922665856790103</v>
      </c>
      <c r="AL50">
        <v>75.428704858472699</v>
      </c>
      <c r="AM50">
        <v>95.327620330673795</v>
      </c>
      <c r="AN50">
        <v>0.99999996081285103</v>
      </c>
    </row>
    <row r="51" spans="1:40" x14ac:dyDescent="0.25">
      <c r="A51" t="str">
        <f>"20190304164337037"</f>
        <v>20190304164337037</v>
      </c>
      <c r="B51" t="str">
        <f>"1551689017030342"</f>
        <v>1551689017030342</v>
      </c>
      <c r="C51" t="s">
        <v>40</v>
      </c>
      <c r="D51">
        <v>5.4675729999999998</v>
      </c>
      <c r="E51">
        <v>0.55858369999999902</v>
      </c>
      <c r="F51" t="s">
        <v>41</v>
      </c>
      <c r="G51">
        <v>-475.14389999999997</v>
      </c>
      <c r="H51">
        <v>0.87806309999999999</v>
      </c>
      <c r="I51">
        <v>367.2063</v>
      </c>
      <c r="J51">
        <v>-475.76150000000001</v>
      </c>
      <c r="K51">
        <v>1.1098980000000001</v>
      </c>
      <c r="L51">
        <v>367.20979999999997</v>
      </c>
      <c r="M51">
        <v>0.99996039999999997</v>
      </c>
      <c r="N51">
        <v>-7.2959909999999999E-3</v>
      </c>
      <c r="O51">
        <v>-5.0950739999999998E-3</v>
      </c>
      <c r="P51">
        <v>0.96592960000000005</v>
      </c>
      <c r="Q51">
        <v>0.24449499999999999</v>
      </c>
      <c r="R51">
        <v>8.4864540000000002E-2</v>
      </c>
      <c r="S51">
        <v>3.4123230000000002</v>
      </c>
      <c r="T51">
        <v>-1.2054199999999999</v>
      </c>
      <c r="U51">
        <v>-1.986694E-2</v>
      </c>
      <c r="V51">
        <v>-8.9756150000000007E-2</v>
      </c>
      <c r="W51">
        <v>0.25154300000000002</v>
      </c>
      <c r="X51">
        <v>0.96367519999999995</v>
      </c>
      <c r="Y51">
        <v>9.631428E-4</v>
      </c>
      <c r="Z51">
        <v>1.5420970000000001E-3</v>
      </c>
      <c r="AA51">
        <v>0.99999830000000001</v>
      </c>
      <c r="AB51">
        <v>4</v>
      </c>
      <c r="AC51">
        <v>0.61760000000003801</v>
      </c>
      <c r="AD51">
        <v>-0.23183490000000001</v>
      </c>
      <c r="AE51">
        <v>-3.4999999999740798E-3</v>
      </c>
      <c r="AF51">
        <v>3.0953745228725298E-4</v>
      </c>
      <c r="AG51">
        <v>-0.23183490000000001</v>
      </c>
      <c r="AH51">
        <v>0.54133283818359201</v>
      </c>
      <c r="AI51">
        <v>113.183841514001</v>
      </c>
      <c r="AJ51">
        <v>89.967237923818004</v>
      </c>
      <c r="AK51">
        <v>0.58888772984954196</v>
      </c>
      <c r="AL51">
        <v>75.431161766724003</v>
      </c>
      <c r="AM51">
        <v>95.321144264192995</v>
      </c>
      <c r="AN51">
        <v>0.99999996920343004</v>
      </c>
    </row>
    <row r="52" spans="1:40" x14ac:dyDescent="0.25">
      <c r="A52" t="str">
        <f>"20190304164337059"</f>
        <v>20190304164337059</v>
      </c>
      <c r="B52" t="str">
        <f>"1551689017050275"</f>
        <v>1551689017050275</v>
      </c>
      <c r="C52" t="s">
        <v>40</v>
      </c>
      <c r="D52">
        <v>5.5149699999999999</v>
      </c>
      <c r="E52">
        <v>0.55856749999999999</v>
      </c>
      <c r="F52" t="s">
        <v>41</v>
      </c>
      <c r="G52">
        <v>-475.08010000000002</v>
      </c>
      <c r="H52">
        <v>0.86932929999999997</v>
      </c>
      <c r="I52">
        <v>367.20549999999997</v>
      </c>
      <c r="J52">
        <v>-475.72160000000002</v>
      </c>
      <c r="K52">
        <v>1.1096159999999999</v>
      </c>
      <c r="L52">
        <v>367.20940000000002</v>
      </c>
      <c r="M52">
        <v>0.99996629999999997</v>
      </c>
      <c r="N52">
        <v>-6.2409839999999998E-3</v>
      </c>
      <c r="O52">
        <v>-5.3433200000000004E-3</v>
      </c>
      <c r="P52">
        <v>0.96555899999999995</v>
      </c>
      <c r="Q52">
        <v>0.2459134</v>
      </c>
      <c r="R52">
        <v>8.4986399999999906E-2</v>
      </c>
      <c r="S52">
        <v>3.4126280000000002</v>
      </c>
      <c r="T52">
        <v>-1.2047570000000001</v>
      </c>
      <c r="U52">
        <v>-2.0965580000000001E-2</v>
      </c>
      <c r="V52">
        <v>-9.0108510000000003E-2</v>
      </c>
      <c r="W52">
        <v>0.25194499999999997</v>
      </c>
      <c r="X52">
        <v>0.96353730000000004</v>
      </c>
      <c r="Y52">
        <v>1.047316E-3</v>
      </c>
      <c r="Z52">
        <v>1.6157529999999999E-3</v>
      </c>
      <c r="AA52">
        <v>0.99999819999999995</v>
      </c>
      <c r="AB52">
        <v>4</v>
      </c>
      <c r="AC52">
        <v>0.64150000000000695</v>
      </c>
      <c r="AD52">
        <v>-0.24028669999999999</v>
      </c>
      <c r="AE52">
        <v>-3.9000000000442001E-3</v>
      </c>
      <c r="AF52">
        <v>4.1404803514840798E-4</v>
      </c>
      <c r="AG52">
        <v>-0.24028669999999999</v>
      </c>
      <c r="AH52">
        <v>0.56258270488056406</v>
      </c>
      <c r="AI52">
        <v>113.127979305049</v>
      </c>
      <c r="AJ52">
        <v>89.957831621127696</v>
      </c>
      <c r="AK52">
        <v>0.61174927009633395</v>
      </c>
      <c r="AL52">
        <v>75.407362500361202</v>
      </c>
      <c r="AM52">
        <v>95.342673225769701</v>
      </c>
      <c r="AN52">
        <v>0.99999997754535397</v>
      </c>
    </row>
    <row r="53" spans="1:40" x14ac:dyDescent="0.25">
      <c r="A53" t="str">
        <f>"20190304164337080"</f>
        <v>20190304164337080</v>
      </c>
      <c r="B53" t="str">
        <f>"1551689017069799"</f>
        <v>1551689017069799</v>
      </c>
      <c r="C53" t="s">
        <v>40</v>
      </c>
      <c r="D53">
        <v>5.487247</v>
      </c>
      <c r="E53">
        <v>0.55854950000000003</v>
      </c>
      <c r="F53" t="s">
        <v>41</v>
      </c>
      <c r="G53">
        <v>-475.04160000000002</v>
      </c>
      <c r="H53">
        <v>0.87049069999999995</v>
      </c>
      <c r="I53">
        <v>367.20530000000002</v>
      </c>
      <c r="J53">
        <v>-475.68119999999999</v>
      </c>
      <c r="K53">
        <v>1.10948</v>
      </c>
      <c r="L53">
        <v>367.20890000000003</v>
      </c>
      <c r="M53">
        <v>0.99996890000000005</v>
      </c>
      <c r="N53">
        <v>-5.5776580000000001E-3</v>
      </c>
      <c r="O53">
        <v>-5.5982929999999998E-3</v>
      </c>
      <c r="P53">
        <v>0.96542810000000001</v>
      </c>
      <c r="Q53">
        <v>0.2464374</v>
      </c>
      <c r="R53">
        <v>8.4955130000000004E-2</v>
      </c>
      <c r="S53">
        <v>3.4143979999999998</v>
      </c>
      <c r="T53">
        <v>-1.200453</v>
      </c>
      <c r="U53">
        <v>-1.7974850000000001E-2</v>
      </c>
      <c r="V53">
        <v>-9.0316209999999994E-2</v>
      </c>
      <c r="W53">
        <v>0.25183100000000003</v>
      </c>
      <c r="X53">
        <v>0.96354770000000001</v>
      </c>
      <c r="Y53" s="1">
        <v>-8.19008E-6</v>
      </c>
      <c r="Z53">
        <v>1.882009E-3</v>
      </c>
      <c r="AA53">
        <v>0.99999819999999995</v>
      </c>
      <c r="AB53">
        <v>4</v>
      </c>
      <c r="AC53">
        <v>0.63959999999997297</v>
      </c>
      <c r="AD53">
        <v>-0.23898929999999999</v>
      </c>
      <c r="AE53">
        <v>-3.6000000000058199E-3</v>
      </c>
      <c r="AF53" s="1">
        <v>1.68654900048392E-5</v>
      </c>
      <c r="AG53">
        <v>-0.23898929999999999</v>
      </c>
      <c r="AH53">
        <v>0.56125198747644001</v>
      </c>
      <c r="AI53">
        <v>113.06501379209401</v>
      </c>
      <c r="AJ53">
        <v>89.998278275323798</v>
      </c>
      <c r="AK53">
        <v>0.610016130315575</v>
      </c>
      <c r="AL53">
        <v>75.4141124794116</v>
      </c>
      <c r="AM53">
        <v>95.354859112363499</v>
      </c>
      <c r="AN53">
        <v>1.0000000202625201</v>
      </c>
    </row>
    <row r="54" spans="1:40" x14ac:dyDescent="0.25">
      <c r="A54" t="str">
        <f>"20190304164337102"</f>
        <v>20190304164337102</v>
      </c>
      <c r="B54" t="str">
        <f>"1551689017090291"</f>
        <v>1551689017090291</v>
      </c>
      <c r="C54" t="s">
        <v>40</v>
      </c>
      <c r="D54">
        <v>5.4722749999999998</v>
      </c>
      <c r="E54">
        <v>0.55687449999999905</v>
      </c>
      <c r="F54" t="s">
        <v>41</v>
      </c>
      <c r="G54">
        <v>-475.00490000000002</v>
      </c>
      <c r="H54">
        <v>0.87203589999999997</v>
      </c>
      <c r="I54">
        <v>367.20510000000002</v>
      </c>
      <c r="J54">
        <v>-475.64449999999999</v>
      </c>
      <c r="K54">
        <v>1.109761</v>
      </c>
      <c r="L54">
        <v>367.20850000000002</v>
      </c>
      <c r="M54">
        <v>0.99996359999999995</v>
      </c>
      <c r="N54">
        <v>-6.2890790000000004E-3</v>
      </c>
      <c r="O54">
        <v>-5.7941800000000003E-3</v>
      </c>
      <c r="P54">
        <v>0.9655108</v>
      </c>
      <c r="Q54">
        <v>0.24604870000000001</v>
      </c>
      <c r="R54">
        <v>8.5141449999999994E-2</v>
      </c>
      <c r="S54">
        <v>3.4150999999999998</v>
      </c>
      <c r="T54">
        <v>-1.1988970000000001</v>
      </c>
      <c r="U54">
        <v>-1.870728E-2</v>
      </c>
      <c r="V54">
        <v>-9.0700000000000003E-2</v>
      </c>
      <c r="W54">
        <v>0.2521254</v>
      </c>
      <c r="X54">
        <v>0.96343460000000003</v>
      </c>
      <c r="Y54" s="1">
        <v>1.6750829999999899E-5</v>
      </c>
      <c r="Z54">
        <v>1.9366679999999999E-3</v>
      </c>
      <c r="AA54">
        <v>0.99999819999999995</v>
      </c>
      <c r="AB54">
        <v>4</v>
      </c>
      <c r="AC54">
        <v>0.63959999999997297</v>
      </c>
      <c r="AD54">
        <v>-0.237725099999999</v>
      </c>
      <c r="AE54">
        <v>-3.3999999999991802E-3</v>
      </c>
      <c r="AF54">
        <v>-2.6893630650327301E-4</v>
      </c>
      <c r="AG54">
        <v>-0.237725099999999</v>
      </c>
      <c r="AH54">
        <v>0.56197717815694204</v>
      </c>
      <c r="AI54">
        <v>112.92911674786301</v>
      </c>
      <c r="AJ54">
        <v>90.027419110140201</v>
      </c>
      <c r="AK54">
        <v>0.61018984280794697</v>
      </c>
      <c r="AL54">
        <v>75.396681395441306</v>
      </c>
      <c r="AM54">
        <v>95.378108529857897</v>
      </c>
      <c r="AN54">
        <v>0.99999996790115897</v>
      </c>
    </row>
    <row r="55" spans="1:40" x14ac:dyDescent="0.25">
      <c r="A55" t="str">
        <f>"20190304164337126"</f>
        <v>20190304164337126</v>
      </c>
      <c r="B55" t="str">
        <f>"1551689017120547"</f>
        <v>1551689017120547</v>
      </c>
      <c r="C55" t="s">
        <v>40</v>
      </c>
      <c r="D55">
        <v>5.5627469999999999</v>
      </c>
      <c r="E55">
        <v>0.55732660000000001</v>
      </c>
      <c r="F55" t="s">
        <v>41</v>
      </c>
      <c r="G55">
        <v>-474.97480000000002</v>
      </c>
      <c r="H55">
        <v>0.86674889999999905</v>
      </c>
      <c r="I55">
        <v>367.20749999999998</v>
      </c>
      <c r="J55">
        <v>-475.6069</v>
      </c>
      <c r="K55">
        <v>1.1103889999999901</v>
      </c>
      <c r="L55">
        <v>367.20800000000003</v>
      </c>
      <c r="M55">
        <v>0.99994740000000004</v>
      </c>
      <c r="N55">
        <v>-8.3676689999999995E-3</v>
      </c>
      <c r="O55">
        <v>-5.9581490000000003E-3</v>
      </c>
      <c r="P55">
        <v>0.96607880000000002</v>
      </c>
      <c r="Q55">
        <v>0.2438158</v>
      </c>
      <c r="R55">
        <v>8.5122030000000001E-2</v>
      </c>
      <c r="S55">
        <v>3.4240110000000001</v>
      </c>
      <c r="T55">
        <v>-1.242213</v>
      </c>
      <c r="U55">
        <v>-3.0517579999999999E-3</v>
      </c>
      <c r="V55">
        <v>-9.0865600000000005E-2</v>
      </c>
      <c r="W55">
        <v>0.25189099999999998</v>
      </c>
      <c r="X55">
        <v>0.96348040000000001</v>
      </c>
      <c r="Y55">
        <v>-4.4158940000000001E-3</v>
      </c>
      <c r="Z55">
        <v>2.8417590000000001E-3</v>
      </c>
      <c r="AA55">
        <v>0.99998620000000005</v>
      </c>
      <c r="AB55">
        <v>4</v>
      </c>
      <c r="AC55">
        <v>0.63209999999997901</v>
      </c>
      <c r="AD55">
        <v>-0.243640099999999</v>
      </c>
      <c r="AE55">
        <v>-5.0000000004501999E-4</v>
      </c>
      <c r="AF55">
        <v>-2.8437895827390998E-3</v>
      </c>
      <c r="AG55">
        <v>-0.243640099999999</v>
      </c>
      <c r="AH55">
        <v>0.55033022137921295</v>
      </c>
      <c r="AI55">
        <v>113.879464691463</v>
      </c>
      <c r="AJ55">
        <v>90.296068949775702</v>
      </c>
      <c r="AK55">
        <v>0.60185707442090797</v>
      </c>
      <c r="AL55">
        <v>75.410560770340894</v>
      </c>
      <c r="AM55">
        <v>95.387615533718005</v>
      </c>
      <c r="AN55">
        <v>1.00000005716425</v>
      </c>
    </row>
    <row r="56" spans="1:40" x14ac:dyDescent="0.25">
      <c r="A56" t="str">
        <f>"20190304164337149"</f>
        <v>20190304164337149</v>
      </c>
      <c r="B56" t="str">
        <f>"1551689017140067"</f>
        <v>1551689017140067</v>
      </c>
      <c r="C56" t="s">
        <v>40</v>
      </c>
      <c r="D56">
        <v>5.4865139999999997</v>
      </c>
      <c r="E56">
        <v>0.55763090000000004</v>
      </c>
      <c r="F56" t="s">
        <v>41</v>
      </c>
      <c r="G56">
        <v>-474.94499999999999</v>
      </c>
      <c r="H56">
        <v>0.8687011</v>
      </c>
      <c r="I56">
        <v>367.20659999999998</v>
      </c>
      <c r="J56">
        <v>-475.5684</v>
      </c>
      <c r="K56">
        <v>1.1105069999999999</v>
      </c>
      <c r="L56">
        <v>367.20760000000001</v>
      </c>
      <c r="M56">
        <v>0.99993989999999999</v>
      </c>
      <c r="N56">
        <v>-9.1070609999999996E-3</v>
      </c>
      <c r="O56">
        <v>-6.1194819999999999E-3</v>
      </c>
      <c r="P56">
        <v>0.96637949999999995</v>
      </c>
      <c r="Q56">
        <v>0.2429347</v>
      </c>
      <c r="R56">
        <v>8.4222969999999994E-2</v>
      </c>
      <c r="S56">
        <v>3.4211119999999999</v>
      </c>
      <c r="T56">
        <v>-1.2490870000000001</v>
      </c>
      <c r="U56">
        <v>-6.0424800000000002E-3</v>
      </c>
      <c r="V56">
        <v>-9.0128600000000003E-2</v>
      </c>
      <c r="W56">
        <v>0.25172299999999997</v>
      </c>
      <c r="X56">
        <v>0.96359349999999999</v>
      </c>
      <c r="Y56">
        <v>-3.7306029999999999E-3</v>
      </c>
      <c r="Z56">
        <v>2.787646E-3</v>
      </c>
      <c r="AA56">
        <v>0.99998920000000002</v>
      </c>
      <c r="AB56">
        <v>4</v>
      </c>
      <c r="AC56">
        <v>0.62340000000000295</v>
      </c>
      <c r="AD56">
        <v>-0.24180589999999899</v>
      </c>
      <c r="AE56">
        <v>-1.0000000000331901E-3</v>
      </c>
      <c r="AF56">
        <v>-2.4469171358812202E-3</v>
      </c>
      <c r="AG56">
        <v>-0.24180589999999899</v>
      </c>
      <c r="AH56">
        <v>0.54186896812412699</v>
      </c>
      <c r="AI56">
        <v>114.04832461235701</v>
      </c>
      <c r="AJ56">
        <v>90.258728733350694</v>
      </c>
      <c r="AK56">
        <v>0.59337851266639796</v>
      </c>
      <c r="AL56">
        <v>75.420506595526504</v>
      </c>
      <c r="AM56">
        <v>95.343547630383298</v>
      </c>
      <c r="AN56">
        <v>1.0000000332546</v>
      </c>
    </row>
    <row r="57" spans="1:40" x14ac:dyDescent="0.25">
      <c r="A57" t="str">
        <f>"20190304164337170"</f>
        <v>20190304164337170</v>
      </c>
      <c r="B57" t="str">
        <f>"1551689017160563"</f>
        <v>1551689017160563</v>
      </c>
      <c r="C57" t="s">
        <v>40</v>
      </c>
      <c r="D57">
        <v>5.5833750000000002</v>
      </c>
      <c r="E57">
        <v>0.55773850000000003</v>
      </c>
      <c r="F57" t="s">
        <v>41</v>
      </c>
      <c r="G57">
        <v>-474.91050000000001</v>
      </c>
      <c r="H57">
        <v>0.8702974</v>
      </c>
      <c r="I57">
        <v>367.2054</v>
      </c>
      <c r="J57">
        <v>-475.52980000000002</v>
      </c>
      <c r="K57">
        <v>1.110123</v>
      </c>
      <c r="L57">
        <v>367.20710000000003</v>
      </c>
      <c r="M57">
        <v>0.99994700000000003</v>
      </c>
      <c r="N57">
        <v>-8.1433859999999903E-3</v>
      </c>
      <c r="O57">
        <v>-6.3173650000000001E-3</v>
      </c>
      <c r="P57">
        <v>0.96624989999999999</v>
      </c>
      <c r="Q57">
        <v>0.24355299999999999</v>
      </c>
      <c r="R57">
        <v>8.3922099999999999E-2</v>
      </c>
      <c r="S57">
        <v>3.4188839999999998</v>
      </c>
      <c r="T57">
        <v>-1.247959</v>
      </c>
      <c r="U57">
        <v>-9.3688959999999998E-3</v>
      </c>
      <c r="V57">
        <v>-9.0005050000000003E-2</v>
      </c>
      <c r="W57">
        <v>0.25141649999999999</v>
      </c>
      <c r="X57">
        <v>0.96368500000000001</v>
      </c>
      <c r="Y57">
        <v>-2.9900270000000001E-3</v>
      </c>
      <c r="Z57">
        <v>2.725196E-3</v>
      </c>
      <c r="AA57">
        <v>0.99999179999999999</v>
      </c>
      <c r="AB57">
        <v>3</v>
      </c>
      <c r="AC57">
        <v>0.61930000000000895</v>
      </c>
      <c r="AD57">
        <v>-0.2398256</v>
      </c>
      <c r="AE57">
        <v>-1.7000000000280101E-3</v>
      </c>
      <c r="AF57">
        <v>-1.9239804597429801E-3</v>
      </c>
      <c r="AG57">
        <v>-0.2398256</v>
      </c>
      <c r="AH57">
        <v>0.53853741131751798</v>
      </c>
      <c r="AI57">
        <v>114.00459616013799</v>
      </c>
      <c r="AJ57">
        <v>90.204694212318799</v>
      </c>
      <c r="AK57">
        <v>0.58952740691569405</v>
      </c>
      <c r="AL57">
        <v>75.4386503938711</v>
      </c>
      <c r="AM57">
        <v>95.335761164747296</v>
      </c>
      <c r="AN57">
        <v>0.99999997236137494</v>
      </c>
    </row>
    <row r="58" spans="1:40" x14ac:dyDescent="0.25">
      <c r="A58" t="str">
        <f>"20190304164337190"</f>
        <v>20190304164337190</v>
      </c>
      <c r="B58" t="str">
        <f>"1551689017180083"</f>
        <v>1551689017180083</v>
      </c>
      <c r="C58" t="s">
        <v>40</v>
      </c>
      <c r="D58">
        <v>5.493296</v>
      </c>
      <c r="E58">
        <v>0.55783400000000005</v>
      </c>
      <c r="F58" t="s">
        <v>41</v>
      </c>
      <c r="G58">
        <v>-474.87200000000001</v>
      </c>
      <c r="H58">
        <v>0.87086379999999997</v>
      </c>
      <c r="I58">
        <v>367.20490000000001</v>
      </c>
      <c r="J58">
        <v>-475.48919999999998</v>
      </c>
      <c r="K58">
        <v>1.109737</v>
      </c>
      <c r="L58">
        <v>367.20659999999998</v>
      </c>
      <c r="M58">
        <v>0.99995429999999996</v>
      </c>
      <c r="N58">
        <v>-6.9554380000000004E-3</v>
      </c>
      <c r="O58">
        <v>-6.5586519999999999E-3</v>
      </c>
      <c r="P58">
        <v>0.96603810000000001</v>
      </c>
      <c r="Q58">
        <v>0.24441470000000001</v>
      </c>
      <c r="R58">
        <v>8.3855810000000003E-2</v>
      </c>
      <c r="S58">
        <v>3.419098</v>
      </c>
      <c r="T58">
        <v>-1.243363</v>
      </c>
      <c r="U58">
        <v>-1.0223390000000001E-2</v>
      </c>
      <c r="V58">
        <v>-9.0154269999999995E-2</v>
      </c>
      <c r="W58">
        <v>0.2511369</v>
      </c>
      <c r="X58">
        <v>0.96374400000000005</v>
      </c>
      <c r="Y58">
        <v>-2.9703249999999998E-3</v>
      </c>
      <c r="Z58">
        <v>2.8007589999999999E-3</v>
      </c>
      <c r="AA58">
        <v>0.99999170000000004</v>
      </c>
      <c r="AB58">
        <v>4</v>
      </c>
      <c r="AC58">
        <v>0.61720000000002495</v>
      </c>
      <c r="AD58">
        <v>-0.23887319999999901</v>
      </c>
      <c r="AE58">
        <v>-1.6999999999711599E-3</v>
      </c>
      <c r="AF58">
        <v>-2.0422309196541401E-3</v>
      </c>
      <c r="AG58">
        <v>-0.23887319999999901</v>
      </c>
      <c r="AH58">
        <v>0.536792325171082</v>
      </c>
      <c r="AI58">
        <v>113.988964808047</v>
      </c>
      <c r="AJ58">
        <v>90.217981223751096</v>
      </c>
      <c r="AK58">
        <v>0.58754623371097003</v>
      </c>
      <c r="AL58">
        <v>75.455201978380799</v>
      </c>
      <c r="AM58">
        <v>95.3442308797636</v>
      </c>
      <c r="AN58">
        <v>1.0000000162384199</v>
      </c>
    </row>
    <row r="59" spans="1:40" x14ac:dyDescent="0.25">
      <c r="A59" t="str">
        <f>"20190304164337214"</f>
        <v>20190304164337214</v>
      </c>
      <c r="B59" t="str">
        <f>"1551689017210339"</f>
        <v>1551689017210339</v>
      </c>
      <c r="C59" t="s">
        <v>40</v>
      </c>
      <c r="D59">
        <v>5.5976489999999997</v>
      </c>
      <c r="E59">
        <v>0.5578166</v>
      </c>
      <c r="F59" t="s">
        <v>41</v>
      </c>
      <c r="G59">
        <v>-474.8313</v>
      </c>
      <c r="H59">
        <v>0.87152229999999997</v>
      </c>
      <c r="I59">
        <v>367.20339999999999</v>
      </c>
      <c r="J59">
        <v>-475.44060000000002</v>
      </c>
      <c r="K59">
        <v>1.1094440000000001</v>
      </c>
      <c r="L59">
        <v>367.20609999999999</v>
      </c>
      <c r="M59">
        <v>0.99995909999999999</v>
      </c>
      <c r="N59">
        <v>-5.9099779999999998E-3</v>
      </c>
      <c r="O59">
        <v>-6.8757660000000002E-3</v>
      </c>
      <c r="P59">
        <v>0.9657597</v>
      </c>
      <c r="Q59">
        <v>0.24564639999999999</v>
      </c>
      <c r="R59">
        <v>8.3462679999999997E-2</v>
      </c>
      <c r="S59">
        <v>3.419861</v>
      </c>
      <c r="T59">
        <v>-1.237816</v>
      </c>
      <c r="U59">
        <v>-1.428223E-2</v>
      </c>
      <c r="V59">
        <v>-9.0047650000000007E-2</v>
      </c>
      <c r="W59">
        <v>0.25136530000000001</v>
      </c>
      <c r="X59">
        <v>0.96369439999999995</v>
      </c>
      <c r="Y59">
        <v>-2.1391610000000001E-3</v>
      </c>
      <c r="Z59">
        <v>2.7544079999999999E-3</v>
      </c>
      <c r="AA59">
        <v>0.99999389999999999</v>
      </c>
      <c r="AB59">
        <v>4</v>
      </c>
      <c r="AC59">
        <v>0.60930000000001805</v>
      </c>
      <c r="AD59">
        <v>-0.23792170000000001</v>
      </c>
      <c r="AE59">
        <v>-2.7000000000043599E-3</v>
      </c>
      <c r="AF59">
        <v>-1.29247142746565E-3</v>
      </c>
      <c r="AG59">
        <v>-0.23792170000000001</v>
      </c>
      <c r="AH59">
        <v>0.52869209715784304</v>
      </c>
      <c r="AI59">
        <v>114.22860556412</v>
      </c>
      <c r="AJ59">
        <v>90.140068313506106</v>
      </c>
      <c r="AK59">
        <v>0.57976179540431805</v>
      </c>
      <c r="AL59">
        <v>75.441681608756099</v>
      </c>
      <c r="AM59">
        <v>95.338220260872305</v>
      </c>
      <c r="AN59">
        <v>0.99999999495298597</v>
      </c>
    </row>
    <row r="60" spans="1:40" x14ac:dyDescent="0.25">
      <c r="A60" t="str">
        <f>"20190304164337237"</f>
        <v>20190304164337237</v>
      </c>
      <c r="B60" t="str">
        <f>"1551689017229860"</f>
        <v>1551689017229860</v>
      </c>
      <c r="C60" t="s">
        <v>40</v>
      </c>
      <c r="D60">
        <v>5.5984350000000003</v>
      </c>
      <c r="E60">
        <v>0.5578649</v>
      </c>
      <c r="F60" t="s">
        <v>41</v>
      </c>
      <c r="G60">
        <v>-474.78800000000001</v>
      </c>
      <c r="H60">
        <v>0.87415419999999999</v>
      </c>
      <c r="I60">
        <v>367.20260000000002</v>
      </c>
      <c r="J60">
        <v>-475.39400000000001</v>
      </c>
      <c r="K60">
        <v>1.109718</v>
      </c>
      <c r="L60">
        <v>367.2054</v>
      </c>
      <c r="M60">
        <v>0.99995259999999997</v>
      </c>
      <c r="N60">
        <v>-6.6349950000000003E-3</v>
      </c>
      <c r="O60">
        <v>-7.120286E-3</v>
      </c>
      <c r="P60">
        <v>0.96587730000000005</v>
      </c>
      <c r="Q60">
        <v>0.24524989999999999</v>
      </c>
      <c r="R60">
        <v>8.3268510000000004E-2</v>
      </c>
      <c r="S60">
        <v>3.4213870000000002</v>
      </c>
      <c r="T60">
        <v>-1.2330399999999999</v>
      </c>
      <c r="U60">
        <v>-1.620483E-2</v>
      </c>
      <c r="V60">
        <v>-9.009412E-2</v>
      </c>
      <c r="W60">
        <v>0.25166709999999998</v>
      </c>
      <c r="X60">
        <v>0.96361129999999995</v>
      </c>
      <c r="Y60">
        <v>-1.834533E-3</v>
      </c>
      <c r="Z60">
        <v>2.7686719999999998E-3</v>
      </c>
      <c r="AA60">
        <v>0.99999450000000001</v>
      </c>
      <c r="AB60">
        <v>5</v>
      </c>
      <c r="AC60">
        <v>0.60599999999999399</v>
      </c>
      <c r="AD60">
        <v>-0.23556379999999999</v>
      </c>
      <c r="AE60">
        <v>-2.7999999999792601E-3</v>
      </c>
      <c r="AF60">
        <v>-1.3161847835293399E-3</v>
      </c>
      <c r="AG60">
        <v>-0.23556379999999999</v>
      </c>
      <c r="AH60">
        <v>0.52645723159277102</v>
      </c>
      <c r="AI60">
        <v>114.106108687779</v>
      </c>
      <c r="AJ60">
        <v>90.143243689159803</v>
      </c>
      <c r="AK60">
        <v>0.57675753389890705</v>
      </c>
      <c r="AL60">
        <v>75.423815601948704</v>
      </c>
      <c r="AM60">
        <v>95.341417106641401</v>
      </c>
      <c r="AN60">
        <v>1.0000000085843299</v>
      </c>
    </row>
    <row r="61" spans="1:40" x14ac:dyDescent="0.25">
      <c r="A61" t="str">
        <f>"20190304164337249"</f>
        <v>20190304164337249</v>
      </c>
      <c r="B61" t="str">
        <f>"1551689017240597"</f>
        <v>1551689017240597</v>
      </c>
      <c r="C61" t="s">
        <v>40</v>
      </c>
      <c r="D61">
        <v>5.5100170000000004</v>
      </c>
      <c r="E61">
        <v>0.55778870000000003</v>
      </c>
      <c r="F61" t="s">
        <v>41</v>
      </c>
      <c r="G61">
        <v>-474.71620000000001</v>
      </c>
      <c r="H61">
        <v>0.86533700000000002</v>
      </c>
      <c r="I61">
        <v>367.20170000000002</v>
      </c>
      <c r="J61">
        <v>-475.37119999999999</v>
      </c>
      <c r="K61">
        <v>1.1100209999999999</v>
      </c>
      <c r="L61">
        <v>367.20510000000002</v>
      </c>
      <c r="M61">
        <v>0.99994510000000003</v>
      </c>
      <c r="N61">
        <v>-7.5945759999999996E-3</v>
      </c>
      <c r="O61">
        <v>-7.2227899999999998E-3</v>
      </c>
      <c r="P61">
        <v>0.96620220000000001</v>
      </c>
      <c r="Q61">
        <v>0.2439847</v>
      </c>
      <c r="R61">
        <v>8.3216010000000007E-2</v>
      </c>
      <c r="S61">
        <v>3.4206850000000002</v>
      </c>
      <c r="T61">
        <v>-1.2332110000000001</v>
      </c>
      <c r="U61">
        <v>-1.7852779999999999E-2</v>
      </c>
      <c r="V61">
        <v>-9.0152930000000006E-2</v>
      </c>
      <c r="W61">
        <v>0.25132520000000003</v>
      </c>
      <c r="X61">
        <v>0.96369499999999997</v>
      </c>
      <c r="Y61">
        <v>-1.4731099999999999E-3</v>
      </c>
      <c r="Z61">
        <v>2.7343480000000002E-3</v>
      </c>
      <c r="AA61">
        <v>0.99999519999999997</v>
      </c>
      <c r="AB61">
        <v>4</v>
      </c>
      <c r="AC61">
        <v>0.65499999999997205</v>
      </c>
      <c r="AD61">
        <v>-0.24468399999999901</v>
      </c>
      <c r="AE61">
        <v>-3.3999999999991802E-3</v>
      </c>
      <c r="AF61">
        <v>-1.1681429914652301E-3</v>
      </c>
      <c r="AG61">
        <v>-0.24468399999999901</v>
      </c>
      <c r="AH61">
        <v>0.57479695728460001</v>
      </c>
      <c r="AI61">
        <v>113.058815659895</v>
      </c>
      <c r="AJ61">
        <v>90.1164403713139</v>
      </c>
      <c r="AK61">
        <v>0.62471046615026604</v>
      </c>
      <c r="AL61">
        <v>75.444055150607795</v>
      </c>
      <c r="AM61">
        <v>95.344422061339799</v>
      </c>
      <c r="AN61">
        <v>0.99999997998381196</v>
      </c>
    </row>
    <row r="62" spans="1:40" x14ac:dyDescent="0.25">
      <c r="A62" t="str">
        <f>"20190304164337264"</f>
        <v>20190304164337264</v>
      </c>
      <c r="B62" t="str">
        <f>"1551689017260115"</f>
        <v>1551689017260115</v>
      </c>
      <c r="C62" t="s">
        <v>40</v>
      </c>
      <c r="D62">
        <v>5.6175519999999999</v>
      </c>
      <c r="E62">
        <v>0.55781669999999905</v>
      </c>
      <c r="F62" t="s">
        <v>41</v>
      </c>
      <c r="G62">
        <v>-474.71339999999998</v>
      </c>
      <c r="H62">
        <v>0.87175930000000001</v>
      </c>
      <c r="I62">
        <v>367.20159999999998</v>
      </c>
      <c r="J62">
        <v>-475.34629999999999</v>
      </c>
      <c r="K62">
        <v>1.11009</v>
      </c>
      <c r="L62">
        <v>367.2047</v>
      </c>
      <c r="M62">
        <v>0.99994209999999994</v>
      </c>
      <c r="N62">
        <v>-7.8579189999999997E-3</v>
      </c>
      <c r="O62">
        <v>-7.3436909999999899E-3</v>
      </c>
      <c r="P62">
        <v>0.96627830000000003</v>
      </c>
      <c r="Q62">
        <v>0.24361820000000001</v>
      </c>
      <c r="R62">
        <v>8.3406419999999995E-2</v>
      </c>
      <c r="S62">
        <v>3.4191280000000002</v>
      </c>
      <c r="T62">
        <v>-1.2382470000000001</v>
      </c>
      <c r="U62">
        <v>-1.724243E-2</v>
      </c>
      <c r="V62">
        <v>-9.0464009999999997E-2</v>
      </c>
      <c r="W62">
        <v>0.25121159999999998</v>
      </c>
      <c r="X62">
        <v>0.96369550000000004</v>
      </c>
      <c r="Y62">
        <v>-1.7411929999999901E-3</v>
      </c>
      <c r="Z62">
        <v>2.834245E-3</v>
      </c>
      <c r="AA62">
        <v>0.99999450000000001</v>
      </c>
      <c r="AB62">
        <v>4</v>
      </c>
      <c r="AC62">
        <v>0.63290000000000601</v>
      </c>
      <c r="AD62">
        <v>-0.23833069999999901</v>
      </c>
      <c r="AE62">
        <v>-3.1000000000176399E-3</v>
      </c>
      <c r="AF62">
        <v>-1.3557961315106199E-3</v>
      </c>
      <c r="AG62">
        <v>-0.23833069999999901</v>
      </c>
      <c r="AH62">
        <v>0.55430472171122902</v>
      </c>
      <c r="AI62">
        <v>113.265869069787</v>
      </c>
      <c r="AJ62">
        <v>90.140141763655905</v>
      </c>
      <c r="AK62">
        <v>0.60337143225131495</v>
      </c>
      <c r="AL62">
        <v>75.450780151457906</v>
      </c>
      <c r="AM62">
        <v>95.362753324654705</v>
      </c>
      <c r="AN62">
        <v>1.00000001090004</v>
      </c>
    </row>
    <row r="63" spans="1:40" x14ac:dyDescent="0.25">
      <c r="A63" t="str">
        <f>"20190304164337281"</f>
        <v>20190304164337281</v>
      </c>
      <c r="B63" t="str">
        <f>"1551689017269875"</f>
        <v>1551689017269875</v>
      </c>
      <c r="C63" t="s">
        <v>40</v>
      </c>
      <c r="D63">
        <v>5.5960809999999999</v>
      </c>
      <c r="E63">
        <v>0.55783590000000005</v>
      </c>
      <c r="F63" t="s">
        <v>41</v>
      </c>
      <c r="G63">
        <v>-474.6755</v>
      </c>
      <c r="H63">
        <v>0.86704340000000002</v>
      </c>
      <c r="I63">
        <v>367.20100000000002</v>
      </c>
      <c r="J63">
        <v>-475.30900000000003</v>
      </c>
      <c r="K63">
        <v>1.1099380000000001</v>
      </c>
      <c r="L63">
        <v>367.20420000000001</v>
      </c>
      <c r="M63">
        <v>0.9999439</v>
      </c>
      <c r="N63">
        <v>-7.4538729999999997E-3</v>
      </c>
      <c r="O63">
        <v>-7.5415889999999996E-3</v>
      </c>
      <c r="P63">
        <v>0.96620919999999999</v>
      </c>
      <c r="Q63">
        <v>0.2437964</v>
      </c>
      <c r="R63">
        <v>8.3686220000000006E-2</v>
      </c>
      <c r="S63">
        <v>3.4183349999999999</v>
      </c>
      <c r="T63">
        <v>-1.2382500000000001</v>
      </c>
      <c r="U63">
        <v>-1.7364500000000001E-2</v>
      </c>
      <c r="V63">
        <v>-9.0932810000000003E-2</v>
      </c>
      <c r="W63">
        <v>0.25100070000000002</v>
      </c>
      <c r="X63">
        <v>0.96370630000000002</v>
      </c>
      <c r="Y63">
        <v>-1.8799629999999999E-3</v>
      </c>
      <c r="Z63">
        <v>2.9303340000000002E-3</v>
      </c>
      <c r="AA63">
        <v>0.99999389999999999</v>
      </c>
      <c r="AB63">
        <v>4</v>
      </c>
      <c r="AC63">
        <v>0.63350000000002604</v>
      </c>
      <c r="AD63">
        <v>-0.24289459999999899</v>
      </c>
      <c r="AE63">
        <v>-3.2000000000493799E-3</v>
      </c>
      <c r="AF63">
        <v>-1.3756000405899099E-3</v>
      </c>
      <c r="AG63">
        <v>-0.24289459999999899</v>
      </c>
      <c r="AH63">
        <v>0.55231341559673597</v>
      </c>
      <c r="AI63">
        <v>113.73871166388599</v>
      </c>
      <c r="AJ63">
        <v>90.142701428987706</v>
      </c>
      <c r="AK63">
        <v>0.60336538517946503</v>
      </c>
      <c r="AL63">
        <v>75.463263354199796</v>
      </c>
      <c r="AM63">
        <v>95.390320702364804</v>
      </c>
      <c r="AN63">
        <v>0.99999997999733703</v>
      </c>
    </row>
    <row r="64" spans="1:40" x14ac:dyDescent="0.25">
      <c r="A64" t="str">
        <f>"20190304164337294"</f>
        <v>20190304164337294</v>
      </c>
      <c r="B64" t="str">
        <f>"1551689017290372"</f>
        <v>1551689017290372</v>
      </c>
      <c r="C64" t="s">
        <v>40</v>
      </c>
      <c r="D64">
        <v>5.5337860000000001</v>
      </c>
      <c r="E64">
        <v>0.5578668</v>
      </c>
      <c r="F64" t="s">
        <v>41</v>
      </c>
      <c r="G64">
        <v>-474.63200000000001</v>
      </c>
      <c r="H64">
        <v>0.86493949999999997</v>
      </c>
      <c r="I64">
        <v>367.20069999999998</v>
      </c>
      <c r="J64">
        <v>-475.28030000000001</v>
      </c>
      <c r="K64">
        <v>1.10972</v>
      </c>
      <c r="L64">
        <v>367.20389999999998</v>
      </c>
      <c r="M64">
        <v>0.99994760000000005</v>
      </c>
      <c r="N64">
        <v>-6.7532859999999998E-3</v>
      </c>
      <c r="O64">
        <v>-7.7063679999999999E-3</v>
      </c>
      <c r="P64">
        <v>0.96603910000000004</v>
      </c>
      <c r="Q64">
        <v>0.24448230000000001</v>
      </c>
      <c r="R64">
        <v>8.3647869999999999E-2</v>
      </c>
      <c r="S64">
        <v>3.4184879999999902</v>
      </c>
      <c r="T64">
        <v>-1.2370719999999999</v>
      </c>
      <c r="U64">
        <v>-1.6235349999999999E-2</v>
      </c>
      <c r="V64">
        <v>-9.1047890000000006E-2</v>
      </c>
      <c r="W64">
        <v>0.25101129999999999</v>
      </c>
      <c r="X64">
        <v>0.96369269999999996</v>
      </c>
      <c r="Y64">
        <v>-2.3352659999999999E-3</v>
      </c>
      <c r="Z64">
        <v>3.0701410000000002E-3</v>
      </c>
      <c r="AA64">
        <v>0.99999249999999995</v>
      </c>
      <c r="AB64">
        <v>4</v>
      </c>
      <c r="AC64">
        <v>0.64830000000006205</v>
      </c>
      <c r="AD64">
        <v>-0.24478050000000001</v>
      </c>
      <c r="AE64">
        <v>-3.19999999999254E-3</v>
      </c>
      <c r="AF64">
        <v>-1.5721277508190599E-3</v>
      </c>
      <c r="AG64">
        <v>-0.24478050000000001</v>
      </c>
      <c r="AH64">
        <v>0.56741584908528697</v>
      </c>
      <c r="AI64">
        <v>113.33505771553</v>
      </c>
      <c r="AJ64">
        <v>90.158747864777396</v>
      </c>
      <c r="AK64">
        <v>0.61796497518798899</v>
      </c>
      <c r="AL64">
        <v>75.462636311509698</v>
      </c>
      <c r="AM64">
        <v>95.397177881398306</v>
      </c>
      <c r="AN64">
        <v>1.00000000551721</v>
      </c>
    </row>
    <row r="65" spans="1:40" x14ac:dyDescent="0.25">
      <c r="A65" t="str">
        <f>"20190304164337306"</f>
        <v>20190304164337306</v>
      </c>
      <c r="B65" t="str">
        <f>"1551689017300132"</f>
        <v>1551689017300132</v>
      </c>
      <c r="C65" t="s">
        <v>40</v>
      </c>
      <c r="D65">
        <v>5.6275389999999996</v>
      </c>
      <c r="E65">
        <v>0.55791210000000002</v>
      </c>
      <c r="F65" t="s">
        <v>41</v>
      </c>
      <c r="G65">
        <v>-474.5872</v>
      </c>
      <c r="H65">
        <v>0.85959789999999903</v>
      </c>
      <c r="I65">
        <v>367.2004</v>
      </c>
      <c r="J65">
        <v>-475.2491</v>
      </c>
      <c r="K65">
        <v>1.10951</v>
      </c>
      <c r="L65">
        <v>367.20350000000002</v>
      </c>
      <c r="M65">
        <v>0.99995080000000003</v>
      </c>
      <c r="N65">
        <v>-5.9929529999999996E-3</v>
      </c>
      <c r="O65">
        <v>-7.9017449999999999E-3</v>
      </c>
      <c r="P65">
        <v>0.96579660000000001</v>
      </c>
      <c r="Q65">
        <v>0.2454373</v>
      </c>
      <c r="R65">
        <v>8.3651229999999993E-2</v>
      </c>
      <c r="S65">
        <v>3.4190670000000001</v>
      </c>
      <c r="T65">
        <v>-1.2337819999999999</v>
      </c>
      <c r="U65">
        <v>-1.6174319999999999E-2</v>
      </c>
      <c r="V65">
        <v>-9.1232229999999997E-2</v>
      </c>
      <c r="W65">
        <v>0.25123430000000002</v>
      </c>
      <c r="X65">
        <v>0.9636171</v>
      </c>
      <c r="Y65">
        <v>-2.5268130000000001E-3</v>
      </c>
      <c r="Z65">
        <v>3.1679239999999999E-3</v>
      </c>
      <c r="AA65">
        <v>0.99999179999999999</v>
      </c>
      <c r="AB65">
        <v>5</v>
      </c>
      <c r="AC65">
        <v>0.66190000000000204</v>
      </c>
      <c r="AD65">
        <v>-0.2499121</v>
      </c>
      <c r="AE65">
        <v>-3.1000000000176399E-3</v>
      </c>
      <c r="AF65">
        <v>-1.8645554663052699E-3</v>
      </c>
      <c r="AG65">
        <v>-0.2499121</v>
      </c>
      <c r="AH65">
        <v>0.57931937164191505</v>
      </c>
      <c r="AI65">
        <v>113.334736003022</v>
      </c>
      <c r="AJ65">
        <v>90.184407418833004</v>
      </c>
      <c r="AK65">
        <v>0.63092825951377396</v>
      </c>
      <c r="AL65">
        <v>75.449435602560101</v>
      </c>
      <c r="AM65">
        <v>95.408462317932603</v>
      </c>
      <c r="AN65">
        <v>0.99999995434983502</v>
      </c>
    </row>
    <row r="66" spans="1:40" x14ac:dyDescent="0.25">
      <c r="A66" t="str">
        <f>"20190304164337328"</f>
        <v>20190304164337328</v>
      </c>
      <c r="B66" t="str">
        <f>"1551689017320627"</f>
        <v>1551689017320627</v>
      </c>
      <c r="C66" t="s">
        <v>40</v>
      </c>
      <c r="D66">
        <v>5.5438970000000003</v>
      </c>
      <c r="E66">
        <v>0.55790879999999998</v>
      </c>
      <c r="F66" t="s">
        <v>41</v>
      </c>
      <c r="G66">
        <v>-474.58280000000002</v>
      </c>
      <c r="H66">
        <v>0.86992969999999903</v>
      </c>
      <c r="I66">
        <v>367.2</v>
      </c>
      <c r="J66">
        <v>-475.20359999999999</v>
      </c>
      <c r="K66">
        <v>1.1095950000000001</v>
      </c>
      <c r="L66">
        <v>367.20280000000002</v>
      </c>
      <c r="M66">
        <v>0.99994839999999996</v>
      </c>
      <c r="N66">
        <v>-6.0763619999999897E-3</v>
      </c>
      <c r="O66">
        <v>-8.1639920000000001E-3</v>
      </c>
      <c r="P66">
        <v>0.96592040000000001</v>
      </c>
      <c r="Q66">
        <v>0.24503759999999999</v>
      </c>
      <c r="R66">
        <v>8.3395349999999993E-2</v>
      </c>
      <c r="S66">
        <v>3.4201969999999999</v>
      </c>
      <c r="T66">
        <v>-1.229649</v>
      </c>
      <c r="U66">
        <v>-1.7181399999999999E-2</v>
      </c>
      <c r="V66">
        <v>-9.1232679999999997E-2</v>
      </c>
      <c r="W66">
        <v>0.25091479999999999</v>
      </c>
      <c r="X66">
        <v>0.96370040000000001</v>
      </c>
      <c r="Y66">
        <v>-2.4876469999999999E-3</v>
      </c>
      <c r="Z66">
        <v>3.2391999999999998E-3</v>
      </c>
      <c r="AA66">
        <v>0.99999170000000004</v>
      </c>
      <c r="AB66">
        <v>5</v>
      </c>
      <c r="AC66">
        <v>0.62079999999997404</v>
      </c>
      <c r="AD66">
        <v>-0.2396653</v>
      </c>
      <c r="AE66">
        <v>-2.8000000000361E-3</v>
      </c>
      <c r="AF66">
        <v>-1.9741657381626299E-3</v>
      </c>
      <c r="AG66">
        <v>-0.2396653</v>
      </c>
      <c r="AH66">
        <v>0.54027975997031197</v>
      </c>
      <c r="AI66">
        <v>113.921683910729</v>
      </c>
      <c r="AJ66">
        <v>90.209356096301704</v>
      </c>
      <c r="AK66">
        <v>0.59105462724525704</v>
      </c>
      <c r="AL66">
        <v>75.468348810689406</v>
      </c>
      <c r="AM66">
        <v>95.408024111545501</v>
      </c>
      <c r="AN66">
        <v>1.00000004985958</v>
      </c>
    </row>
    <row r="67" spans="1:40" x14ac:dyDescent="0.25">
      <c r="A67" t="str">
        <f>"20190304164337350"</f>
        <v>20190304164337350</v>
      </c>
      <c r="B67" t="str">
        <f>"1551689017340148"</f>
        <v>1551689017340148</v>
      </c>
      <c r="C67" t="s">
        <v>40</v>
      </c>
      <c r="D67">
        <v>5.6519640000000004</v>
      </c>
      <c r="E67">
        <v>0.55794600000000005</v>
      </c>
      <c r="F67" t="s">
        <v>41</v>
      </c>
      <c r="G67">
        <v>-474.53930000000003</v>
      </c>
      <c r="H67">
        <v>0.87047039999999998</v>
      </c>
      <c r="I67">
        <v>367.19920000000002</v>
      </c>
      <c r="J67">
        <v>-475.15809999999999</v>
      </c>
      <c r="K67">
        <v>1.110112</v>
      </c>
      <c r="L67">
        <v>367.20209999999997</v>
      </c>
      <c r="M67">
        <v>0.99993520000000002</v>
      </c>
      <c r="N67">
        <v>-7.7029309999999997E-3</v>
      </c>
      <c r="O67">
        <v>-8.3899690000000006E-3</v>
      </c>
      <c r="P67">
        <v>0.96619100000000002</v>
      </c>
      <c r="Q67">
        <v>0.2440466</v>
      </c>
      <c r="R67">
        <v>8.3164260000000004E-2</v>
      </c>
      <c r="S67">
        <v>3.4196469999999999</v>
      </c>
      <c r="T67">
        <v>-1.23092</v>
      </c>
      <c r="U67">
        <v>-1.7761229999999999E-2</v>
      </c>
      <c r="V67">
        <v>-9.1238890000000003E-2</v>
      </c>
      <c r="W67">
        <v>0.25148720000000002</v>
      </c>
      <c r="X67">
        <v>0.96355060000000003</v>
      </c>
      <c r="Y67">
        <v>-2.5293630000000002E-3</v>
      </c>
      <c r="Z67">
        <v>3.3167040000000002E-3</v>
      </c>
      <c r="AA67">
        <v>0.99999130000000003</v>
      </c>
      <c r="AB67">
        <v>5</v>
      </c>
      <c r="AC67">
        <v>0.61879999999996405</v>
      </c>
      <c r="AD67">
        <v>-0.23964160000000001</v>
      </c>
      <c r="AE67">
        <v>-2.8999999999541602E-3</v>
      </c>
      <c r="AF67">
        <v>-1.9930622404320201E-3</v>
      </c>
      <c r="AG67">
        <v>-0.23964160000000001</v>
      </c>
      <c r="AH67">
        <v>0.53810161542667201</v>
      </c>
      <c r="AI67">
        <v>114.00548093446901</v>
      </c>
      <c r="AJ67">
        <v>90.212215554118302</v>
      </c>
      <c r="AK67">
        <v>0.58905468105469505</v>
      </c>
      <c r="AL67">
        <v>75.434466305445</v>
      </c>
      <c r="AM67">
        <v>95.409225878166794</v>
      </c>
      <c r="AN67">
        <v>1.00000005278631</v>
      </c>
    </row>
    <row r="68" spans="1:40" x14ac:dyDescent="0.25">
      <c r="A68" t="str">
        <f>"20190304164337370"</f>
        <v>20190304164337370</v>
      </c>
      <c r="B68" t="str">
        <f>"1551689017359671"</f>
        <v>1551689017359671</v>
      </c>
      <c r="C68" t="s">
        <v>40</v>
      </c>
      <c r="D68">
        <v>5.6441249999999998</v>
      </c>
      <c r="E68">
        <v>0.55797810000000003</v>
      </c>
      <c r="F68" t="s">
        <v>41</v>
      </c>
      <c r="G68">
        <v>-474.49939999999998</v>
      </c>
      <c r="H68">
        <v>0.87231190000000003</v>
      </c>
      <c r="I68">
        <v>367.19850000000002</v>
      </c>
      <c r="J68">
        <v>-475.11540000000002</v>
      </c>
      <c r="K68">
        <v>1.110233</v>
      </c>
      <c r="L68">
        <v>367.20150000000001</v>
      </c>
      <c r="M68">
        <v>0.99992899999999996</v>
      </c>
      <c r="N68">
        <v>-8.2697329999999996E-3</v>
      </c>
      <c r="O68">
        <v>-8.599265E-3</v>
      </c>
      <c r="P68">
        <v>0.9662541</v>
      </c>
      <c r="Q68">
        <v>0.244008</v>
      </c>
      <c r="R68">
        <v>8.25433E-2</v>
      </c>
      <c r="S68">
        <v>3.4181819999999998</v>
      </c>
      <c r="T68">
        <v>-1.2338070000000001</v>
      </c>
      <c r="U68">
        <v>-1.8280029999999999E-2</v>
      </c>
      <c r="V68">
        <v>-9.0823570000000006E-2</v>
      </c>
      <c r="W68">
        <v>0.25199389999999999</v>
      </c>
      <c r="X68">
        <v>0.96345740000000002</v>
      </c>
      <c r="Y68">
        <v>-2.5673520000000002E-3</v>
      </c>
      <c r="Z68">
        <v>3.3999899999999999E-3</v>
      </c>
      <c r="AA68">
        <v>0.99999090000000002</v>
      </c>
      <c r="AB68">
        <v>5</v>
      </c>
      <c r="AC68">
        <v>0.61600000000004196</v>
      </c>
      <c r="AD68">
        <v>-0.2379211</v>
      </c>
      <c r="AE68">
        <v>-2.9999999999858998E-3</v>
      </c>
      <c r="AF68">
        <v>-1.9992078504428201E-3</v>
      </c>
      <c r="AG68">
        <v>-0.2379211</v>
      </c>
      <c r="AH68">
        <v>0.53603964768923296</v>
      </c>
      <c r="AI68">
        <v>113.93388507261299</v>
      </c>
      <c r="AJ68">
        <v>90.213688747822601</v>
      </c>
      <c r="AK68">
        <v>0.58647161103674605</v>
      </c>
      <c r="AL68">
        <v>75.404467719955605</v>
      </c>
      <c r="AM68">
        <v>95.385265939046107</v>
      </c>
      <c r="AN68">
        <v>1.0000000040597501</v>
      </c>
    </row>
    <row r="69" spans="1:40" x14ac:dyDescent="0.25">
      <c r="A69" t="str">
        <f>"20190304164337386"</f>
        <v>20190304164337386</v>
      </c>
      <c r="B69" t="str">
        <f>"1551689017380164"</f>
        <v>1551689017380164</v>
      </c>
      <c r="C69" t="s">
        <v>40</v>
      </c>
      <c r="D69">
        <v>5.6681720000000002</v>
      </c>
      <c r="E69">
        <v>0.55799949999999998</v>
      </c>
      <c r="F69" t="s">
        <v>41</v>
      </c>
      <c r="G69">
        <v>-474.45690000000002</v>
      </c>
      <c r="H69">
        <v>0.87255590000000005</v>
      </c>
      <c r="I69">
        <v>367.19749999999999</v>
      </c>
      <c r="J69">
        <v>-475.0813</v>
      </c>
      <c r="K69">
        <v>1.1100429999999999</v>
      </c>
      <c r="L69">
        <v>367.20100000000002</v>
      </c>
      <c r="M69">
        <v>0.99993109999999996</v>
      </c>
      <c r="N69">
        <v>-7.7936709999999899E-3</v>
      </c>
      <c r="O69">
        <v>-8.7796049999999994E-3</v>
      </c>
      <c r="P69">
        <v>0.96610830000000003</v>
      </c>
      <c r="Q69">
        <v>0.2446951</v>
      </c>
      <c r="R69">
        <v>8.2213159999999993E-2</v>
      </c>
      <c r="S69">
        <v>3.417999</v>
      </c>
      <c r="T69">
        <v>-1.233484</v>
      </c>
      <c r="U69">
        <v>-1.9805909999999999E-2</v>
      </c>
      <c r="V69">
        <v>-9.0658550000000004E-2</v>
      </c>
      <c r="W69">
        <v>0.2522237</v>
      </c>
      <c r="X69">
        <v>0.96341279999999996</v>
      </c>
      <c r="Y69">
        <v>-2.3060620000000002E-3</v>
      </c>
      <c r="Z69">
        <v>3.417621E-3</v>
      </c>
      <c r="AA69">
        <v>0.99999150000000003</v>
      </c>
      <c r="AB69">
        <v>4</v>
      </c>
      <c r="AC69">
        <v>0.62439999999997997</v>
      </c>
      <c r="AD69">
        <v>-0.23748709999999901</v>
      </c>
      <c r="AE69">
        <v>-3.4999999999740798E-3</v>
      </c>
      <c r="AF69">
        <v>-1.7317729414028E-3</v>
      </c>
      <c r="AG69">
        <v>-0.23748709999999901</v>
      </c>
      <c r="AH69">
        <v>0.54549655660409702</v>
      </c>
      <c r="AI69">
        <v>113.52625193990301</v>
      </c>
      <c r="AJ69">
        <v>90.181894727062797</v>
      </c>
      <c r="AK69">
        <v>0.59495345613825701</v>
      </c>
      <c r="AL69">
        <v>75.390861529230506</v>
      </c>
      <c r="AM69">
        <v>95.375786057204706</v>
      </c>
      <c r="AN69">
        <v>0.99999999536681605</v>
      </c>
    </row>
    <row r="70" spans="1:40" x14ac:dyDescent="0.25">
      <c r="A70" t="str">
        <f>"20190304164337404"</f>
        <v>20190304164337404</v>
      </c>
      <c r="B70" t="str">
        <f>"1551689017399684"</f>
        <v>1551689017399684</v>
      </c>
      <c r="C70" t="s">
        <v>40</v>
      </c>
      <c r="D70">
        <v>5.5605669999999998</v>
      </c>
      <c r="E70">
        <v>0.55800070000000002</v>
      </c>
      <c r="F70" t="s">
        <v>41</v>
      </c>
      <c r="G70">
        <v>-474.4117</v>
      </c>
      <c r="H70">
        <v>0.86894769999999899</v>
      </c>
      <c r="I70">
        <v>367.19639999999998</v>
      </c>
      <c r="J70">
        <v>-475.0367</v>
      </c>
      <c r="K70">
        <v>1.1097269999999999</v>
      </c>
      <c r="L70">
        <v>367.2004</v>
      </c>
      <c r="M70">
        <v>0.99993589999999999</v>
      </c>
      <c r="N70">
        <v>-6.8328219999999997E-3</v>
      </c>
      <c r="O70">
        <v>-9.0322809999999996E-3</v>
      </c>
      <c r="P70">
        <v>0.96586399999999994</v>
      </c>
      <c r="Q70">
        <v>0.24579980000000001</v>
      </c>
      <c r="R70">
        <v>8.1788189999999997E-2</v>
      </c>
      <c r="S70">
        <v>3.4186709999999998</v>
      </c>
      <c r="T70">
        <v>-1.230477</v>
      </c>
      <c r="U70">
        <v>-2.0996089999999999E-2</v>
      </c>
      <c r="V70">
        <v>-9.0463500000000002E-2</v>
      </c>
      <c r="W70">
        <v>0.25240459999999998</v>
      </c>
      <c r="X70">
        <v>0.96338380000000001</v>
      </c>
      <c r="Y70">
        <v>-2.2040179999999999E-3</v>
      </c>
      <c r="Z70">
        <v>3.4843740000000002E-3</v>
      </c>
      <c r="AA70">
        <v>0.99999150000000003</v>
      </c>
      <c r="AB70">
        <v>5</v>
      </c>
      <c r="AC70">
        <v>0.625</v>
      </c>
      <c r="AD70">
        <v>-0.2407793</v>
      </c>
      <c r="AE70">
        <v>-4.0000000000190898E-3</v>
      </c>
      <c r="AF70">
        <v>-1.43282598971098E-3</v>
      </c>
      <c r="AG70">
        <v>-0.2407793</v>
      </c>
      <c r="AH70">
        <v>0.54424041475453599</v>
      </c>
      <c r="AI70">
        <v>113.865171317315</v>
      </c>
      <c r="AJ70">
        <v>90.150842697623304</v>
      </c>
      <c r="AK70">
        <v>0.59512549378345103</v>
      </c>
      <c r="AL70">
        <v>75.380150775340496</v>
      </c>
      <c r="AM70">
        <v>95.364448240640101</v>
      </c>
      <c r="AN70">
        <v>1.00000003651792</v>
      </c>
    </row>
    <row r="71" spans="1:40" x14ac:dyDescent="0.25">
      <c r="A71" t="str">
        <f>"20190304164337427"</f>
        <v>20190304164337427</v>
      </c>
      <c r="B71" t="str">
        <f>"1551689017420180"</f>
        <v>1551689017420180</v>
      </c>
      <c r="C71" t="s">
        <v>40</v>
      </c>
      <c r="D71">
        <v>5.673089</v>
      </c>
      <c r="E71">
        <v>0.55801069999999997</v>
      </c>
      <c r="F71" t="s">
        <v>41</v>
      </c>
      <c r="G71">
        <v>-474.36250000000001</v>
      </c>
      <c r="H71">
        <v>0.86787069999999999</v>
      </c>
      <c r="I71">
        <v>367.19529999999997</v>
      </c>
      <c r="J71">
        <v>-474.9769</v>
      </c>
      <c r="K71">
        <v>1.1093869999999999</v>
      </c>
      <c r="L71">
        <v>367.1995</v>
      </c>
      <c r="M71">
        <v>0.9999403</v>
      </c>
      <c r="N71">
        <v>-5.608147E-3</v>
      </c>
      <c r="O71">
        <v>-9.3982349999999996E-3</v>
      </c>
      <c r="P71">
        <v>0.96567170000000002</v>
      </c>
      <c r="Q71">
        <v>0.24679300000000001</v>
      </c>
      <c r="R71">
        <v>8.1065730000000003E-2</v>
      </c>
      <c r="S71">
        <v>3.4200129999999902</v>
      </c>
      <c r="T71">
        <v>-1.2263139999999999</v>
      </c>
      <c r="U71">
        <v>-2.267456E-2</v>
      </c>
      <c r="V71">
        <v>-9.0077439999999995E-2</v>
      </c>
      <c r="W71">
        <v>0.25222230000000001</v>
      </c>
      <c r="X71">
        <v>0.96346770000000004</v>
      </c>
      <c r="Y71">
        <v>-2.0697990000000002E-3</v>
      </c>
      <c r="Z71">
        <v>3.5826650000000001E-3</v>
      </c>
      <c r="AA71">
        <v>0.99999139999999997</v>
      </c>
      <c r="AB71">
        <v>5</v>
      </c>
      <c r="AC71">
        <v>0.61439999999998895</v>
      </c>
      <c r="AD71">
        <v>-0.24151629999999999</v>
      </c>
      <c r="AE71">
        <v>-4.20000000002573E-3</v>
      </c>
      <c r="AF71">
        <v>-1.3638203125714201E-3</v>
      </c>
      <c r="AG71">
        <v>-0.24151629999999999</v>
      </c>
      <c r="AH71">
        <v>0.53218228003466395</v>
      </c>
      <c r="AI71">
        <v>114.409545881822</v>
      </c>
      <c r="AJ71">
        <v>90.146831226433704</v>
      </c>
      <c r="AK71">
        <v>0.58442275995586301</v>
      </c>
      <c r="AL71">
        <v>75.390944811826202</v>
      </c>
      <c r="AM71">
        <v>95.341225277977401</v>
      </c>
      <c r="AN71">
        <v>1.0000000213787601</v>
      </c>
    </row>
    <row r="72" spans="1:40" x14ac:dyDescent="0.25">
      <c r="A72" t="str">
        <f>"20190304164337450"</f>
        <v>20190304164337450</v>
      </c>
      <c r="B72" t="str">
        <f>"1551689017439699"</f>
        <v>1551689017439699</v>
      </c>
      <c r="C72" t="s">
        <v>40</v>
      </c>
      <c r="D72">
        <v>5.5593859999999999</v>
      </c>
      <c r="E72">
        <v>0.55799299999999996</v>
      </c>
      <c r="F72" t="s">
        <v>41</v>
      </c>
      <c r="G72">
        <v>-474.30959999999999</v>
      </c>
      <c r="H72">
        <v>0.8709865</v>
      </c>
      <c r="I72">
        <v>367.19439999999997</v>
      </c>
      <c r="J72">
        <v>-474.91800000000001</v>
      </c>
      <c r="K72">
        <v>1.109191</v>
      </c>
      <c r="L72">
        <v>367.19850000000002</v>
      </c>
      <c r="M72">
        <v>0.99994110000000003</v>
      </c>
      <c r="N72">
        <v>-4.726292E-3</v>
      </c>
      <c r="O72">
        <v>-9.7794869999999999E-3</v>
      </c>
      <c r="P72">
        <v>0.96561529999999995</v>
      </c>
      <c r="Q72">
        <v>0.24724789999999999</v>
      </c>
      <c r="R72">
        <v>8.0347080000000001E-2</v>
      </c>
      <c r="S72">
        <v>3.4212039999999999</v>
      </c>
      <c r="T72">
        <v>-1.2224090000000001</v>
      </c>
      <c r="U72">
        <v>-2.5848389999999999E-2</v>
      </c>
      <c r="V72">
        <v>-8.9714299999999997E-2</v>
      </c>
      <c r="W72">
        <v>0.25183100000000003</v>
      </c>
      <c r="X72">
        <v>0.96360389999999996</v>
      </c>
      <c r="Y72">
        <v>-1.5384249999999999E-3</v>
      </c>
      <c r="Z72">
        <v>3.6146849999999999E-3</v>
      </c>
      <c r="AA72">
        <v>0.99999229999999995</v>
      </c>
      <c r="AB72">
        <v>6</v>
      </c>
      <c r="AC72">
        <v>0.60840000000001704</v>
      </c>
      <c r="AD72">
        <v>-0.23820450000000001</v>
      </c>
      <c r="AE72">
        <v>-4.1000000000508399E-3</v>
      </c>
      <c r="AF72">
        <v>-1.6042007581051499E-3</v>
      </c>
      <c r="AG72">
        <v>-0.23820450000000001</v>
      </c>
      <c r="AH72">
        <v>0.52754575398981696</v>
      </c>
      <c r="AI72">
        <v>114.300663743455</v>
      </c>
      <c r="AJ72">
        <v>90.174228773391803</v>
      </c>
      <c r="AK72">
        <v>0.57883372382145004</v>
      </c>
      <c r="AL72">
        <v>75.414112060127806</v>
      </c>
      <c r="AM72">
        <v>95.319068729640904</v>
      </c>
      <c r="AN72">
        <v>0.99999999214034996</v>
      </c>
    </row>
    <row r="73" spans="1:40" x14ac:dyDescent="0.25">
      <c r="A73" t="str">
        <f>"20190304164337465"</f>
        <v>20190304164337465</v>
      </c>
      <c r="B73" t="str">
        <f>"1551689017460197"</f>
        <v>1551689017460197</v>
      </c>
      <c r="C73" t="s">
        <v>40</v>
      </c>
      <c r="D73">
        <v>5.5647089999999997</v>
      </c>
      <c r="E73">
        <v>0.55800109999999903</v>
      </c>
      <c r="F73" t="s">
        <v>41</v>
      </c>
      <c r="G73">
        <v>-474.25549999999998</v>
      </c>
      <c r="H73">
        <v>0.87271290000000001</v>
      </c>
      <c r="I73">
        <v>367.19299999999998</v>
      </c>
      <c r="J73">
        <v>-474.8809</v>
      </c>
      <c r="K73">
        <v>1.1093649999999999</v>
      </c>
      <c r="L73">
        <v>367.1979</v>
      </c>
      <c r="M73">
        <v>0.99993690000000002</v>
      </c>
      <c r="N73">
        <v>-5.1138720000000002E-3</v>
      </c>
      <c r="O73">
        <v>-9.9956139999999999E-3</v>
      </c>
      <c r="P73">
        <v>0.96571340000000006</v>
      </c>
      <c r="Q73">
        <v>0.24691740000000001</v>
      </c>
      <c r="R73">
        <v>8.0183879999999999E-2</v>
      </c>
      <c r="S73">
        <v>3.4217529999999998</v>
      </c>
      <c r="T73">
        <v>-1.2211529999999999</v>
      </c>
      <c r="U73">
        <v>-2.7435299999999999E-2</v>
      </c>
      <c r="V73">
        <v>-8.9764759999999999E-2</v>
      </c>
      <c r="W73">
        <v>0.2518726</v>
      </c>
      <c r="X73">
        <v>0.96358840000000001</v>
      </c>
      <c r="Y73">
        <v>-1.2970150000000001E-3</v>
      </c>
      <c r="Z73">
        <v>3.638531E-3</v>
      </c>
      <c r="AA73">
        <v>0.99999249999999995</v>
      </c>
      <c r="AB73">
        <v>6</v>
      </c>
      <c r="AC73">
        <v>0.62540000000001295</v>
      </c>
      <c r="AD73">
        <v>-0.236652099999999</v>
      </c>
      <c r="AE73">
        <v>-4.8999999999637103E-3</v>
      </c>
      <c r="AF73">
        <v>-1.18230333374474E-3</v>
      </c>
      <c r="AG73">
        <v>-0.236652099999999</v>
      </c>
      <c r="AH73">
        <v>0.54708660464211201</v>
      </c>
      <c r="AI73">
        <v>113.39171060691601</v>
      </c>
      <c r="AJ73">
        <v>90.123821137451003</v>
      </c>
      <c r="AK73">
        <v>0.59607832308717401</v>
      </c>
      <c r="AL73">
        <v>75.411650203449796</v>
      </c>
      <c r="AM73">
        <v>95.322128394484693</v>
      </c>
      <c r="AN73">
        <v>1.0000000616915801</v>
      </c>
    </row>
    <row r="74" spans="1:40" x14ac:dyDescent="0.25">
      <c r="A74" t="str">
        <f>"20190304164337481"</f>
        <v>20190304164337481</v>
      </c>
      <c r="B74" t="str">
        <f>"1551689017469956"</f>
        <v>1551689017469956</v>
      </c>
      <c r="C74" t="s">
        <v>40</v>
      </c>
      <c r="D74">
        <v>5.676539</v>
      </c>
      <c r="E74">
        <v>0.55799980000000005</v>
      </c>
      <c r="F74" t="s">
        <v>41</v>
      </c>
      <c r="G74">
        <v>-474.20780000000002</v>
      </c>
      <c r="H74">
        <v>0.86885919999999905</v>
      </c>
      <c r="I74">
        <v>367.19220000000001</v>
      </c>
      <c r="J74">
        <v>-474.83969999999999</v>
      </c>
      <c r="K74">
        <v>1.109756</v>
      </c>
      <c r="L74">
        <v>367.19729999999998</v>
      </c>
      <c r="M74">
        <v>0.99992829999999999</v>
      </c>
      <c r="N74">
        <v>-6.2605789999999996E-3</v>
      </c>
      <c r="O74">
        <v>-1.0213150000000001E-2</v>
      </c>
      <c r="P74">
        <v>0.96612240000000005</v>
      </c>
      <c r="Q74">
        <v>0.24546770000000001</v>
      </c>
      <c r="R74">
        <v>7.9707210000000001E-2</v>
      </c>
      <c r="S74">
        <v>3.4213559999999998</v>
      </c>
      <c r="T74">
        <v>-1.222351</v>
      </c>
      <c r="U74">
        <v>-2.7832030000000001E-2</v>
      </c>
      <c r="V74">
        <v>-8.9516269999999995E-2</v>
      </c>
      <c r="W74">
        <v>0.251525</v>
      </c>
      <c r="X74">
        <v>0.96370219999999995</v>
      </c>
      <c r="Y74">
        <v>-1.3815920000000001E-3</v>
      </c>
      <c r="Z74">
        <v>3.7209650000000001E-3</v>
      </c>
      <c r="AA74">
        <v>0.99999210000000005</v>
      </c>
      <c r="AB74">
        <v>6</v>
      </c>
      <c r="AC74">
        <v>0.63189999999997304</v>
      </c>
      <c r="AD74">
        <v>-0.24089679999999999</v>
      </c>
      <c r="AE74">
        <v>-5.0999999999703496E-3</v>
      </c>
      <c r="AF74">
        <v>-1.1822695843507101E-3</v>
      </c>
      <c r="AG74">
        <v>-0.24089679999999999</v>
      </c>
      <c r="AH74">
        <v>0.55173835657210202</v>
      </c>
      <c r="AI74">
        <v>113.586716634379</v>
      </c>
      <c r="AJ74">
        <v>90.122773689640894</v>
      </c>
      <c r="AK74">
        <v>0.60203644418298596</v>
      </c>
      <c r="AL74">
        <v>75.432227202787502</v>
      </c>
      <c r="AM74">
        <v>95.306856579463201</v>
      </c>
      <c r="AN74">
        <v>0.99999995925227503</v>
      </c>
    </row>
    <row r="75" spans="1:40" x14ac:dyDescent="0.25">
      <c r="A75" t="str">
        <f>"20190304164337496"</f>
        <v>20190304164337496</v>
      </c>
      <c r="B75" t="str">
        <f>"1551689017490452"</f>
        <v>1551689017490452</v>
      </c>
      <c r="C75" t="s">
        <v>40</v>
      </c>
      <c r="D75">
        <v>5.5814789999999999</v>
      </c>
      <c r="E75">
        <v>0.55799670000000001</v>
      </c>
      <c r="F75" t="s">
        <v>41</v>
      </c>
      <c r="G75">
        <v>-474.1626</v>
      </c>
      <c r="H75">
        <v>0.86663840000000003</v>
      </c>
      <c r="I75">
        <v>367.19099999999997</v>
      </c>
      <c r="J75">
        <v>-474.80829999999997</v>
      </c>
      <c r="K75">
        <v>1.1101019999999999</v>
      </c>
      <c r="L75">
        <v>367.19670000000002</v>
      </c>
      <c r="M75">
        <v>0.99991920000000001</v>
      </c>
      <c r="N75">
        <v>-7.3734109999999999E-3</v>
      </c>
      <c r="O75">
        <v>-1.0364979999999999E-2</v>
      </c>
      <c r="P75">
        <v>0.96634120000000001</v>
      </c>
      <c r="Q75">
        <v>0.24460999999999999</v>
      </c>
      <c r="R75">
        <v>7.9693150000000004E-2</v>
      </c>
      <c r="S75">
        <v>3.4195250000000001</v>
      </c>
      <c r="T75">
        <v>-1.227528</v>
      </c>
      <c r="U75">
        <v>-2.9693600000000001E-2</v>
      </c>
      <c r="V75">
        <v>-8.9665579999999995E-2</v>
      </c>
      <c r="W75">
        <v>0.25173590000000001</v>
      </c>
      <c r="X75">
        <v>0.96363330000000003</v>
      </c>
      <c r="Y75">
        <v>-9.9726700000000003E-4</v>
      </c>
      <c r="Z75">
        <v>3.711116E-3</v>
      </c>
      <c r="AA75">
        <v>0.99999260000000001</v>
      </c>
      <c r="AB75">
        <v>5</v>
      </c>
      <c r="AC75">
        <v>0.64569999999997596</v>
      </c>
      <c r="AD75">
        <v>-0.2434636</v>
      </c>
      <c r="AE75">
        <v>-5.7000000000471101E-3</v>
      </c>
      <c r="AF75">
        <v>-8.6954226505769699E-4</v>
      </c>
      <c r="AG75">
        <v>-0.2434636</v>
      </c>
      <c r="AH75">
        <v>0.56535448067058502</v>
      </c>
      <c r="AI75">
        <v>113.298564297247</v>
      </c>
      <c r="AJ75">
        <v>90.088123583192498</v>
      </c>
      <c r="AK75">
        <v>0.61554932332268697</v>
      </c>
      <c r="AL75">
        <v>75.419742513785707</v>
      </c>
      <c r="AM75">
        <v>95.316035459943606</v>
      </c>
      <c r="AN75">
        <v>1.00000000822721</v>
      </c>
    </row>
    <row r="76" spans="1:40" x14ac:dyDescent="0.25">
      <c r="A76" t="str">
        <f>"20190304164337516"</f>
        <v>20190304164337516</v>
      </c>
      <c r="B76" t="str">
        <f>"1551689017509973"</f>
        <v>1551689017509973</v>
      </c>
      <c r="C76" t="s">
        <v>40</v>
      </c>
      <c r="D76">
        <v>5.5654219999999999</v>
      </c>
      <c r="E76">
        <v>0.5579501</v>
      </c>
      <c r="F76" t="s">
        <v>41</v>
      </c>
      <c r="G76">
        <v>-474.11739999999998</v>
      </c>
      <c r="H76">
        <v>0.86129</v>
      </c>
      <c r="I76">
        <v>367.19060000000002</v>
      </c>
      <c r="J76">
        <v>-474.7577</v>
      </c>
      <c r="K76">
        <v>1.1102479999999999</v>
      </c>
      <c r="L76">
        <v>367.19589999999999</v>
      </c>
      <c r="M76">
        <v>0.99991200000000002</v>
      </c>
      <c r="N76">
        <v>-8.0373960000000005E-3</v>
      </c>
      <c r="O76">
        <v>-1.0569540000000001E-2</v>
      </c>
      <c r="P76">
        <v>0.96653789999999995</v>
      </c>
      <c r="Q76">
        <v>0.2439731</v>
      </c>
      <c r="R76">
        <v>7.9257590000000003E-2</v>
      </c>
      <c r="S76">
        <v>3.418396</v>
      </c>
      <c r="T76">
        <v>-1.2307159999999999</v>
      </c>
      <c r="U76">
        <v>-2.8778080000000001E-2</v>
      </c>
      <c r="V76">
        <v>-8.9441800000000002E-2</v>
      </c>
      <c r="W76">
        <v>0.25173590000000001</v>
      </c>
      <c r="X76">
        <v>0.96365409999999996</v>
      </c>
      <c r="Y76">
        <v>-1.425277E-3</v>
      </c>
      <c r="Z76">
        <v>3.86149E-3</v>
      </c>
      <c r="AA76">
        <v>0.99999150000000003</v>
      </c>
      <c r="AB76">
        <v>5</v>
      </c>
      <c r="AC76">
        <v>0.64030000000002396</v>
      </c>
      <c r="AD76">
        <v>-0.24895799999999901</v>
      </c>
      <c r="AE76">
        <v>-5.2999999999769898E-3</v>
      </c>
      <c r="AF76">
        <v>-1.2753933613076499E-3</v>
      </c>
      <c r="AG76">
        <v>-0.24895799999999901</v>
      </c>
      <c r="AH76">
        <v>0.55623602596650201</v>
      </c>
      <c r="AI76">
        <v>114.112096557569</v>
      </c>
      <c r="AJ76">
        <v>90.131373239686695</v>
      </c>
      <c r="AK76">
        <v>0.60940973816902</v>
      </c>
      <c r="AL76">
        <v>75.419742565414097</v>
      </c>
      <c r="AM76">
        <v>95.302730056235305</v>
      </c>
      <c r="AN76">
        <v>1.00000001169143</v>
      </c>
    </row>
    <row r="77" spans="1:40" x14ac:dyDescent="0.25">
      <c r="A77" t="str">
        <f>"20190304164337541"</f>
        <v>20190304164337541</v>
      </c>
      <c r="B77" t="str">
        <f>"1551689017530467"</f>
        <v>1551689017530467</v>
      </c>
      <c r="C77" t="s">
        <v>40</v>
      </c>
      <c r="D77">
        <v>5.5787430000000002</v>
      </c>
      <c r="E77">
        <v>0.55629700000000004</v>
      </c>
      <c r="F77" t="s">
        <v>41</v>
      </c>
      <c r="G77">
        <v>-474.06540000000001</v>
      </c>
      <c r="H77">
        <v>0.86032710000000001</v>
      </c>
      <c r="I77">
        <v>367.18990000000002</v>
      </c>
      <c r="J77">
        <v>-474.69290000000001</v>
      </c>
      <c r="K77">
        <v>1.1098790000000001</v>
      </c>
      <c r="L77">
        <v>367.19479999999999</v>
      </c>
      <c r="M77">
        <v>0.99991629999999998</v>
      </c>
      <c r="N77">
        <v>-7.0248759999999898E-3</v>
      </c>
      <c r="O77">
        <v>-1.08749E-2</v>
      </c>
      <c r="P77">
        <v>0.96620980000000001</v>
      </c>
      <c r="Q77">
        <v>0.2453912</v>
      </c>
      <c r="R77">
        <v>7.8879400000000002E-2</v>
      </c>
      <c r="S77">
        <v>3.4176639999999998</v>
      </c>
      <c r="T77">
        <v>-1.2338089999999999</v>
      </c>
      <c r="U77">
        <v>-2.9174800000000001E-2</v>
      </c>
      <c r="V77">
        <v>-8.9349380000000006E-2</v>
      </c>
      <c r="W77">
        <v>0.25217840000000002</v>
      </c>
      <c r="X77">
        <v>0.96354689999999998</v>
      </c>
      <c r="Y77">
        <v>-1.5770549999999999E-3</v>
      </c>
      <c r="Z77">
        <v>4.0131330000000003E-3</v>
      </c>
      <c r="AA77">
        <v>0.99999070000000001</v>
      </c>
      <c r="AB77">
        <v>5</v>
      </c>
      <c r="AC77">
        <v>0.62749999999999695</v>
      </c>
      <c r="AD77">
        <v>-0.24955189999999999</v>
      </c>
      <c r="AE77">
        <v>-4.8999999999637103E-3</v>
      </c>
      <c r="AF77">
        <v>-1.6616655762534301E-3</v>
      </c>
      <c r="AG77">
        <v>-0.24955189999999999</v>
      </c>
      <c r="AH77">
        <v>0.54182657838234205</v>
      </c>
      <c r="AI77">
        <v>114.72952407850499</v>
      </c>
      <c r="AJ77">
        <v>90.175713281341501</v>
      </c>
      <c r="AK77">
        <v>0.59653579353431396</v>
      </c>
      <c r="AL77">
        <v>75.393542945946905</v>
      </c>
      <c r="AM77">
        <v>95.297867943937703</v>
      </c>
      <c r="AN77">
        <v>0.99999994281627502</v>
      </c>
    </row>
    <row r="78" spans="1:40" x14ac:dyDescent="0.25">
      <c r="A78" t="str">
        <f>"20190304164337561"</f>
        <v>20190304164337561</v>
      </c>
      <c r="B78" t="str">
        <f>"1551689017549988"</f>
        <v>1551689017549988</v>
      </c>
      <c r="C78" t="s">
        <v>40</v>
      </c>
      <c r="D78">
        <v>5.6215149999999996</v>
      </c>
      <c r="E78">
        <v>0.55634090000000003</v>
      </c>
      <c r="F78" t="s">
        <v>41</v>
      </c>
      <c r="G78">
        <v>-474.00979999999998</v>
      </c>
      <c r="H78">
        <v>0.85976769999999902</v>
      </c>
      <c r="I78">
        <v>367.19150000000002</v>
      </c>
      <c r="J78">
        <v>-474.63490000000002</v>
      </c>
      <c r="K78">
        <v>1.1095469999999901</v>
      </c>
      <c r="L78">
        <v>367.19389999999999</v>
      </c>
      <c r="M78">
        <v>0.99991980000000003</v>
      </c>
      <c r="N78">
        <v>-5.9150909999999999E-3</v>
      </c>
      <c r="O78">
        <v>-1.11904E-2</v>
      </c>
      <c r="P78">
        <v>0.96595109999999995</v>
      </c>
      <c r="Q78">
        <v>0.24650449999999999</v>
      </c>
      <c r="R78">
        <v>7.8575229999999996E-2</v>
      </c>
      <c r="S78">
        <v>3.4245610000000002</v>
      </c>
      <c r="T78">
        <v>-1.2537290000000001</v>
      </c>
      <c r="U78">
        <v>-1.4953610000000001E-2</v>
      </c>
      <c r="V78">
        <v>-8.9336810000000003E-2</v>
      </c>
      <c r="W78">
        <v>0.2522237</v>
      </c>
      <c r="X78">
        <v>0.96353630000000001</v>
      </c>
      <c r="Y78">
        <v>-5.742105E-3</v>
      </c>
      <c r="Z78">
        <v>4.9393379999999997E-3</v>
      </c>
      <c r="AA78">
        <v>0.99997130000000001</v>
      </c>
      <c r="AB78">
        <v>6</v>
      </c>
      <c r="AC78">
        <v>0.62510000000003096</v>
      </c>
      <c r="AD78">
        <v>-0.24977929999999901</v>
      </c>
      <c r="AE78">
        <v>-2.3999999999659801E-3</v>
      </c>
      <c r="AF78">
        <v>-3.9626923169450903E-3</v>
      </c>
      <c r="AG78">
        <v>-0.24977929999999901</v>
      </c>
      <c r="AH78">
        <v>0.53902476919341602</v>
      </c>
      <c r="AI78">
        <v>114.861997603196</v>
      </c>
      <c r="AJ78">
        <v>90.421207833257498</v>
      </c>
      <c r="AK78">
        <v>0.59409856374418601</v>
      </c>
      <c r="AL78">
        <v>75.390862060489894</v>
      </c>
      <c r="AM78">
        <v>95.297184803406495</v>
      </c>
      <c r="AN78">
        <v>1.00000003094017</v>
      </c>
    </row>
    <row r="79" spans="1:40" x14ac:dyDescent="0.25">
      <c r="A79" t="str">
        <f>"20190304164337582"</f>
        <v>20190304164337582</v>
      </c>
      <c r="B79" t="str">
        <f>"1551689017570484"</f>
        <v>1551689017570484</v>
      </c>
      <c r="C79" t="s">
        <v>40</v>
      </c>
      <c r="D79">
        <v>5.7111289999999997</v>
      </c>
      <c r="E79">
        <v>0.55707189999999995</v>
      </c>
      <c r="F79" t="s">
        <v>41</v>
      </c>
      <c r="G79">
        <v>-473.952</v>
      </c>
      <c r="H79">
        <v>0.860654699999999</v>
      </c>
      <c r="I79">
        <v>367.1902</v>
      </c>
      <c r="J79">
        <v>-474.57350000000002</v>
      </c>
      <c r="K79">
        <v>1.1093200000000001</v>
      </c>
      <c r="L79">
        <v>367.19279999999998</v>
      </c>
      <c r="M79">
        <v>0.9999207</v>
      </c>
      <c r="N79">
        <v>-5.0239919999999997E-3</v>
      </c>
      <c r="O79">
        <v>-1.1548889999999999E-2</v>
      </c>
      <c r="P79">
        <v>0.96571790000000002</v>
      </c>
      <c r="Q79">
        <v>0.24749660000000001</v>
      </c>
      <c r="R79">
        <v>7.8322509999999998E-2</v>
      </c>
      <c r="S79">
        <v>3.4257810000000002</v>
      </c>
      <c r="T79">
        <v>-1.2485409999999999</v>
      </c>
      <c r="U79">
        <v>-1.748657E-2</v>
      </c>
      <c r="V79">
        <v>-8.9414380000000002E-2</v>
      </c>
      <c r="W79">
        <v>0.25236019999999998</v>
      </c>
      <c r="X79">
        <v>0.9634933</v>
      </c>
      <c r="Y79">
        <v>-5.3715150000000003E-3</v>
      </c>
      <c r="Z79">
        <v>4.9837329999999997E-3</v>
      </c>
      <c r="AA79">
        <v>0.99997320000000001</v>
      </c>
      <c r="AB79">
        <v>6</v>
      </c>
      <c r="AC79">
        <v>0.62150000000002503</v>
      </c>
      <c r="AD79">
        <v>-0.24866530000000001</v>
      </c>
      <c r="AE79">
        <v>-2.5999999999726199E-3</v>
      </c>
      <c r="AF79">
        <v>-3.9461882343492004E-3</v>
      </c>
      <c r="AG79">
        <v>-0.24866530000000001</v>
      </c>
      <c r="AH79">
        <v>0.535728485072547</v>
      </c>
      <c r="AI79">
        <v>114.898387199583</v>
      </c>
      <c r="AJ79">
        <v>90.422034385252999</v>
      </c>
      <c r="AK79">
        <v>0.59063949541475502</v>
      </c>
      <c r="AL79">
        <v>75.382778830084803</v>
      </c>
      <c r="AM79">
        <v>95.301993347011702</v>
      </c>
      <c r="AN79">
        <v>0.99999997051985601</v>
      </c>
    </row>
    <row r="80" spans="1:40" x14ac:dyDescent="0.25">
      <c r="A80" t="str">
        <f>"20190304164337605"</f>
        <v>20190304164337605</v>
      </c>
      <c r="B80" t="str">
        <f>"1551689017599764"</f>
        <v>1551689017599764</v>
      </c>
      <c r="C80" t="s">
        <v>40</v>
      </c>
      <c r="D80">
        <v>5.6867260000000002</v>
      </c>
      <c r="E80">
        <v>0.5586489</v>
      </c>
      <c r="F80" t="s">
        <v>41</v>
      </c>
      <c r="G80">
        <v>-473.89179999999999</v>
      </c>
      <c r="H80">
        <v>0.86335740000000005</v>
      </c>
      <c r="I80">
        <v>367.1875</v>
      </c>
      <c r="J80">
        <v>-474.50450000000001</v>
      </c>
      <c r="K80">
        <v>1.109165</v>
      </c>
      <c r="L80">
        <v>367.19170000000003</v>
      </c>
      <c r="M80">
        <v>0.99991940000000001</v>
      </c>
      <c r="N80">
        <v>-4.2543529999999998E-3</v>
      </c>
      <c r="O80">
        <v>-1.196761E-2</v>
      </c>
      <c r="P80">
        <v>0.96551319999999996</v>
      </c>
      <c r="Q80">
        <v>0.24834600000000001</v>
      </c>
      <c r="R80">
        <v>7.8158930000000001E-2</v>
      </c>
      <c r="S80">
        <v>3.4250790000000002</v>
      </c>
      <c r="T80">
        <v>-1.235422</v>
      </c>
      <c r="U80">
        <v>-2.4688720000000001E-2</v>
      </c>
      <c r="V80">
        <v>-8.9638640000000006E-2</v>
      </c>
      <c r="W80">
        <v>0.25247190000000003</v>
      </c>
      <c r="X80">
        <v>0.96344319999999894</v>
      </c>
      <c r="Y80">
        <v>-3.781511E-3</v>
      </c>
      <c r="Z80">
        <v>4.8046340000000003E-3</v>
      </c>
      <c r="AA80">
        <v>0.99998129999999996</v>
      </c>
      <c r="AB80">
        <v>6</v>
      </c>
      <c r="AC80">
        <v>0.61270000000001801</v>
      </c>
      <c r="AD80">
        <v>-0.24580759999999899</v>
      </c>
      <c r="AE80">
        <v>-4.20000000002573E-3</v>
      </c>
      <c r="AF80">
        <v>-2.6985984349964598E-3</v>
      </c>
      <c r="AG80">
        <v>-0.24580759999999899</v>
      </c>
      <c r="AH80">
        <v>0.52776572602017402</v>
      </c>
      <c r="AI80">
        <v>114.97352661970601</v>
      </c>
      <c r="AJ80">
        <v>90.292965127912694</v>
      </c>
      <c r="AK80">
        <v>0.58220728285798196</v>
      </c>
      <c r="AL80">
        <v>75.376164753231905</v>
      </c>
      <c r="AM80">
        <v>95.315490009464597</v>
      </c>
      <c r="AN80">
        <v>0.99999997284844899</v>
      </c>
    </row>
    <row r="81" spans="1:40" x14ac:dyDescent="0.25">
      <c r="A81" t="str">
        <f>"20190304164337618"</f>
        <v>20190304164337618</v>
      </c>
      <c r="B81" t="str">
        <f>"1551689017610500"</f>
        <v>1551689017610500</v>
      </c>
      <c r="C81" t="s">
        <v>40</v>
      </c>
      <c r="D81">
        <v>5.7037329999999997</v>
      </c>
      <c r="E81">
        <v>0.55841149999999995</v>
      </c>
      <c r="F81" t="s">
        <v>41</v>
      </c>
      <c r="G81">
        <v>-473.82740000000001</v>
      </c>
      <c r="H81">
        <v>0.87163889999999999</v>
      </c>
      <c r="I81">
        <v>367.18310000000002</v>
      </c>
      <c r="J81">
        <v>-474.46570000000003</v>
      </c>
      <c r="K81">
        <v>1.109091</v>
      </c>
      <c r="L81">
        <v>367.1909</v>
      </c>
      <c r="M81">
        <v>0.99991819999999998</v>
      </c>
      <c r="N81">
        <v>-3.845472E-3</v>
      </c>
      <c r="O81">
        <v>-1.220366E-2</v>
      </c>
      <c r="P81">
        <v>0.96544750000000001</v>
      </c>
      <c r="Q81">
        <v>0.2485578</v>
      </c>
      <c r="R81">
        <v>7.8294450000000002E-2</v>
      </c>
      <c r="S81">
        <v>3.4190059999999902</v>
      </c>
      <c r="T81">
        <v>-1.19912</v>
      </c>
      <c r="U81">
        <v>-4.2053220000000002E-2</v>
      </c>
      <c r="V81">
        <v>-8.9993980000000001E-2</v>
      </c>
      <c r="W81">
        <v>0.25229190000000001</v>
      </c>
      <c r="X81">
        <v>0.96345720000000001</v>
      </c>
      <c r="Y81">
        <v>7.6188570000000004E-4</v>
      </c>
      <c r="Z81">
        <v>3.9788749999999998E-3</v>
      </c>
      <c r="AA81">
        <v>0.99999179999999999</v>
      </c>
      <c r="AB81">
        <v>7</v>
      </c>
      <c r="AC81">
        <v>0.63830000000001497</v>
      </c>
      <c r="AD81">
        <v>-0.237452099999999</v>
      </c>
      <c r="AE81">
        <v>-7.79999999997471E-3</v>
      </c>
      <c r="AF81" s="1">
        <v>8.5788150900678908E-6</v>
      </c>
      <c r="AG81">
        <v>-0.237452099999999</v>
      </c>
      <c r="AH81">
        <v>0.56075656471393198</v>
      </c>
      <c r="AI81">
        <v>112.95020533004001</v>
      </c>
      <c r="AJ81">
        <v>89.999123452262893</v>
      </c>
      <c r="AK81">
        <v>0.60895929645402103</v>
      </c>
      <c r="AL81">
        <v>75.386822651495905</v>
      </c>
      <c r="AM81">
        <v>95.336362842694399</v>
      </c>
      <c r="AN81">
        <v>0.99999994773684298</v>
      </c>
    </row>
    <row r="82" spans="1:40" x14ac:dyDescent="0.25">
      <c r="A82" t="str">
        <f>"20190304164337630"</f>
        <v>20190304164337630</v>
      </c>
      <c r="B82" t="str">
        <f>"1551689017620261"</f>
        <v>1551689017620261</v>
      </c>
      <c r="C82" t="s">
        <v>40</v>
      </c>
      <c r="D82">
        <v>5.7047019999999904</v>
      </c>
      <c r="E82">
        <v>0.5582606</v>
      </c>
      <c r="F82" t="s">
        <v>41</v>
      </c>
      <c r="G82">
        <v>-473.76740000000001</v>
      </c>
      <c r="H82">
        <v>0.86337969999999897</v>
      </c>
      <c r="I82">
        <v>367.18239999999997</v>
      </c>
      <c r="J82">
        <v>-474.42320000000001</v>
      </c>
      <c r="K82">
        <v>1.1090120000000001</v>
      </c>
      <c r="L82">
        <v>367.1902</v>
      </c>
      <c r="M82">
        <v>0.99991669999999999</v>
      </c>
      <c r="N82">
        <v>-3.3806370000000001E-3</v>
      </c>
      <c r="O82">
        <v>-1.2461369999999999E-2</v>
      </c>
      <c r="P82">
        <v>0.96533290000000005</v>
      </c>
      <c r="Q82">
        <v>0.2491024</v>
      </c>
      <c r="R82">
        <v>7.7979740000000006E-2</v>
      </c>
      <c r="S82">
        <v>3.4203489999999999</v>
      </c>
      <c r="T82">
        <v>-1.2031369999999999</v>
      </c>
      <c r="U82">
        <v>-3.9611819999999999E-2</v>
      </c>
      <c r="V82">
        <v>-8.9920829999999993E-2</v>
      </c>
      <c r="W82">
        <v>0.25239070000000002</v>
      </c>
      <c r="X82">
        <v>0.96343820000000002</v>
      </c>
      <c r="Y82">
        <v>-1.386514E-4</v>
      </c>
      <c r="Z82">
        <v>4.238304E-3</v>
      </c>
      <c r="AA82">
        <v>0.99999099999999996</v>
      </c>
      <c r="AB82">
        <v>7</v>
      </c>
      <c r="AC82">
        <v>0.65579999999999905</v>
      </c>
      <c r="AD82">
        <v>-0.2456323</v>
      </c>
      <c r="AE82">
        <v>-7.8000000000315499E-3</v>
      </c>
      <c r="AF82">
        <v>-3.2695597851906198E-4</v>
      </c>
      <c r="AG82">
        <v>-0.2456323</v>
      </c>
      <c r="AH82">
        <v>0.57516722041000301</v>
      </c>
      <c r="AI82">
        <v>113.125503210581</v>
      </c>
      <c r="AJ82">
        <v>90.032569998729301</v>
      </c>
      <c r="AK82">
        <v>0.62542198964992501</v>
      </c>
      <c r="AL82">
        <v>75.380973186462299</v>
      </c>
      <c r="AM82">
        <v>95.332154833310597</v>
      </c>
      <c r="AN82">
        <v>0.99999999316680899</v>
      </c>
    </row>
    <row r="83" spans="1:40" x14ac:dyDescent="0.25">
      <c r="A83" t="str">
        <f>"20190304164337650"</f>
        <v>20190304164337650</v>
      </c>
      <c r="B83" t="str">
        <f>"1551689017639780"</f>
        <v>1551689017639780</v>
      </c>
      <c r="C83" t="s">
        <v>40</v>
      </c>
      <c r="D83">
        <v>5.703875</v>
      </c>
      <c r="E83">
        <v>0.5580174</v>
      </c>
      <c r="F83" t="s">
        <v>41</v>
      </c>
      <c r="G83">
        <v>-473.76190000000003</v>
      </c>
      <c r="H83">
        <v>0.87616779999999905</v>
      </c>
      <c r="I83">
        <v>367.18209999999999</v>
      </c>
      <c r="J83">
        <v>-474.36099999999999</v>
      </c>
      <c r="K83">
        <v>1.1089070000000001</v>
      </c>
      <c r="L83">
        <v>367.18900000000002</v>
      </c>
      <c r="M83">
        <v>0.99991399999999997</v>
      </c>
      <c r="N83">
        <v>-2.727363E-3</v>
      </c>
      <c r="O83">
        <v>-1.2827959999999999E-2</v>
      </c>
      <c r="P83">
        <v>0.96523740000000002</v>
      </c>
      <c r="Q83">
        <v>0.24953520000000001</v>
      </c>
      <c r="R83">
        <v>7.7775800000000006E-2</v>
      </c>
      <c r="S83">
        <v>3.4217529999999998</v>
      </c>
      <c r="T83">
        <v>-1.2044870000000001</v>
      </c>
      <c r="U83">
        <v>-3.9825439999999997E-2</v>
      </c>
      <c r="V83">
        <v>-9.0062000000000003E-2</v>
      </c>
      <c r="W83">
        <v>0.25219599999999998</v>
      </c>
      <c r="X83">
        <v>0.963476</v>
      </c>
      <c r="Y83">
        <v>-4.058957E-4</v>
      </c>
      <c r="Z83">
        <v>4.4193610000000001E-3</v>
      </c>
      <c r="AA83">
        <v>0.99999020000000005</v>
      </c>
      <c r="AB83">
        <v>7</v>
      </c>
      <c r="AC83">
        <v>0.59909999999996399</v>
      </c>
      <c r="AD83">
        <v>-0.23273919999999901</v>
      </c>
      <c r="AE83">
        <v>-6.9000000000300999E-3</v>
      </c>
      <c r="AF83">
        <v>-6.8279492411684503E-4</v>
      </c>
      <c r="AG83">
        <v>-0.23273919999999901</v>
      </c>
      <c r="AH83">
        <v>0.52058421860604698</v>
      </c>
      <c r="AI83">
        <v>114.088115633499</v>
      </c>
      <c r="AJ83">
        <v>90.075148734044404</v>
      </c>
      <c r="AK83">
        <v>0.57024199256738095</v>
      </c>
      <c r="AL83">
        <v>75.392501628835504</v>
      </c>
      <c r="AM83">
        <v>95.340269303553399</v>
      </c>
      <c r="AN83">
        <v>0.99999999441800003</v>
      </c>
    </row>
    <row r="84" spans="1:40" x14ac:dyDescent="0.25">
      <c r="A84" t="str">
        <f>"20190304164337663"</f>
        <v>20190304164337663</v>
      </c>
      <c r="B84" t="str">
        <f>"1551689017659808"</f>
        <v>1551689017659808</v>
      </c>
      <c r="C84" t="s">
        <v>40</v>
      </c>
      <c r="D84">
        <v>5.7016559999999998</v>
      </c>
      <c r="E84">
        <v>0.55781440000000004</v>
      </c>
      <c r="F84" t="s">
        <v>41</v>
      </c>
      <c r="G84">
        <v>-473.69670000000002</v>
      </c>
      <c r="H84">
        <v>0.87439750000000005</v>
      </c>
      <c r="I84">
        <v>367.18119999999999</v>
      </c>
      <c r="J84">
        <v>-474.32</v>
      </c>
      <c r="K84">
        <v>1.109064</v>
      </c>
      <c r="L84">
        <v>367.18819999999999</v>
      </c>
      <c r="M84">
        <v>0.99991019999999997</v>
      </c>
      <c r="N84">
        <v>-3.0401180000000001E-3</v>
      </c>
      <c r="O84">
        <v>-1.304873E-2</v>
      </c>
      <c r="P84">
        <v>0.96523309999999996</v>
      </c>
      <c r="Q84">
        <v>0.24951609999999999</v>
      </c>
      <c r="R84">
        <v>7.7889970000000003E-2</v>
      </c>
      <c r="S84">
        <v>3.423492</v>
      </c>
      <c r="T84">
        <v>-1.2083079999999999</v>
      </c>
      <c r="U84">
        <v>-3.8208010000000001E-2</v>
      </c>
      <c r="V84">
        <v>-9.0393769999999998E-2</v>
      </c>
      <c r="W84">
        <v>0.25247609999999998</v>
      </c>
      <c r="X84">
        <v>0.96337159999999999</v>
      </c>
      <c r="Y84">
        <v>-1.0498370000000001E-3</v>
      </c>
      <c r="Z84">
        <v>4.6130099999999999E-3</v>
      </c>
      <c r="AA84">
        <v>0.99998880000000001</v>
      </c>
      <c r="AB84">
        <v>7</v>
      </c>
      <c r="AC84">
        <v>0.62329999999997199</v>
      </c>
      <c r="AD84">
        <v>-0.2346665</v>
      </c>
      <c r="AE84">
        <v>-7.0000000000049996E-3</v>
      </c>
      <c r="AF84">
        <v>-9.93150822521628E-4</v>
      </c>
      <c r="AG84">
        <v>-0.2346665</v>
      </c>
      <c r="AH84">
        <v>0.54596078787232305</v>
      </c>
      <c r="AI84">
        <v>113.259110711833</v>
      </c>
      <c r="AJ84">
        <v>90.104225961000495</v>
      </c>
      <c r="AK84">
        <v>0.59425796962680599</v>
      </c>
      <c r="AL84">
        <v>75.375916866669201</v>
      </c>
      <c r="AM84">
        <v>95.360404862404295</v>
      </c>
      <c r="AN84">
        <v>1.0000000272062901</v>
      </c>
    </row>
    <row r="85" spans="1:40" x14ac:dyDescent="0.25">
      <c r="A85" t="str">
        <f>"20190304164337682"</f>
        <v>20190304164337682</v>
      </c>
      <c r="B85" t="str">
        <f>"1551689017670544"</f>
        <v>1551689017670544</v>
      </c>
      <c r="C85" t="s">
        <v>40</v>
      </c>
      <c r="D85">
        <v>5.6277030000000003</v>
      </c>
      <c r="E85">
        <v>0.55763009999999902</v>
      </c>
      <c r="F85" t="s">
        <v>41</v>
      </c>
      <c r="G85">
        <v>-473.63709999999998</v>
      </c>
      <c r="H85">
        <v>0.86728069999999902</v>
      </c>
      <c r="I85">
        <v>367.1807</v>
      </c>
      <c r="J85">
        <v>-474.26179999999999</v>
      </c>
      <c r="K85">
        <v>1.1094869999999999</v>
      </c>
      <c r="L85">
        <v>367.18709999999999</v>
      </c>
      <c r="M85">
        <v>0.99990199999999996</v>
      </c>
      <c r="N85">
        <v>-4.2505279999999999E-3</v>
      </c>
      <c r="O85">
        <v>-1.334194E-2</v>
      </c>
      <c r="P85">
        <v>0.96567400000000003</v>
      </c>
      <c r="Q85">
        <v>0.2477413</v>
      </c>
      <c r="R85">
        <v>7.8090270000000003E-2</v>
      </c>
      <c r="S85">
        <v>3.4243769999999998</v>
      </c>
      <c r="T85">
        <v>-1.2123280000000001</v>
      </c>
      <c r="U85">
        <v>-3.6560059999999998E-2</v>
      </c>
      <c r="V85">
        <v>-9.0899820000000006E-2</v>
      </c>
      <c r="W85">
        <v>0.25186330000000001</v>
      </c>
      <c r="X85">
        <v>0.96348429999999996</v>
      </c>
      <c r="Y85">
        <v>-1.7657910000000001E-3</v>
      </c>
      <c r="Z85">
        <v>4.8358730000000001E-3</v>
      </c>
      <c r="AA85">
        <v>0.99998679999999995</v>
      </c>
      <c r="AB85">
        <v>7</v>
      </c>
      <c r="AC85">
        <v>0.62470000000001802</v>
      </c>
      <c r="AD85">
        <v>-0.24220630000000001</v>
      </c>
      <c r="AE85">
        <v>-6.39999999998508E-3</v>
      </c>
      <c r="AF85">
        <v>-1.6824662731630699E-3</v>
      </c>
      <c r="AG85">
        <v>-0.24220630000000001</v>
      </c>
      <c r="AH85">
        <v>0.54309780585321399</v>
      </c>
      <c r="AI85">
        <v>114.035420949518</v>
      </c>
      <c r="AJ85">
        <v>90.177496405268997</v>
      </c>
      <c r="AK85">
        <v>0.59466120537245903</v>
      </c>
      <c r="AL85">
        <v>75.412199105701106</v>
      </c>
      <c r="AM85">
        <v>95.3896108772486</v>
      </c>
      <c r="AN85">
        <v>0.99999994775470402</v>
      </c>
    </row>
    <row r="86" spans="1:40" x14ac:dyDescent="0.25">
      <c r="A86" t="str">
        <f>"20190304164337695"</f>
        <v>20190304164337695</v>
      </c>
      <c r="B86" t="str">
        <f>"1551689017690063"</f>
        <v>1551689017690063</v>
      </c>
      <c r="C86" t="s">
        <v>40</v>
      </c>
      <c r="D86">
        <v>5.6573919999999998</v>
      </c>
      <c r="E86">
        <v>0.55745900000000004</v>
      </c>
      <c r="F86" t="s">
        <v>41</v>
      </c>
      <c r="G86">
        <v>-473.57830000000001</v>
      </c>
      <c r="H86">
        <v>0.86553359999999901</v>
      </c>
      <c r="I86">
        <v>367.1798</v>
      </c>
      <c r="J86">
        <v>-474.22300000000001</v>
      </c>
      <c r="K86">
        <v>1.1098429999999999</v>
      </c>
      <c r="L86">
        <v>367.18630000000002</v>
      </c>
      <c r="M86">
        <v>0.99989410000000001</v>
      </c>
      <c r="N86">
        <v>-5.3786069999999997E-3</v>
      </c>
      <c r="O86">
        <v>-1.3525560000000001E-2</v>
      </c>
      <c r="P86">
        <v>0.96600589999999997</v>
      </c>
      <c r="Q86">
        <v>0.2465041</v>
      </c>
      <c r="R86">
        <v>7.7900739999999996E-2</v>
      </c>
      <c r="S86">
        <v>3.422882</v>
      </c>
      <c r="T86">
        <v>-1.2216640000000001</v>
      </c>
      <c r="U86">
        <v>-3.482056E-2</v>
      </c>
      <c r="V86">
        <v>-9.0907260000000004E-2</v>
      </c>
      <c r="W86">
        <v>0.25170920000000002</v>
      </c>
      <c r="X86">
        <v>0.96352389999999999</v>
      </c>
      <c r="Y86">
        <v>-2.3929340000000002E-3</v>
      </c>
      <c r="Z86">
        <v>5.0327139999999998E-3</v>
      </c>
      <c r="AA86">
        <v>0.9999844</v>
      </c>
      <c r="AB86">
        <v>7</v>
      </c>
      <c r="AC86">
        <v>0.64470000000000005</v>
      </c>
      <c r="AD86">
        <v>-0.24430940000000001</v>
      </c>
      <c r="AE86">
        <v>-6.5000000000168196E-3</v>
      </c>
      <c r="AF86">
        <v>-1.9418244721839499E-3</v>
      </c>
      <c r="AG86">
        <v>-0.24430940000000001</v>
      </c>
      <c r="AH86">
        <v>0.56377684484293</v>
      </c>
      <c r="AI86">
        <v>113.429090791958</v>
      </c>
      <c r="AJ86">
        <v>90.197343874386704</v>
      </c>
      <c r="AK86">
        <v>0.61443891835697595</v>
      </c>
      <c r="AL86">
        <v>75.421322768581504</v>
      </c>
      <c r="AM86">
        <v>95.389829188274604</v>
      </c>
      <c r="AN86">
        <v>0.99999997857827805</v>
      </c>
    </row>
    <row r="87" spans="1:40" x14ac:dyDescent="0.25">
      <c r="A87" t="str">
        <f>"20190304164337708"</f>
        <v>20190304164337708</v>
      </c>
      <c r="B87" t="str">
        <f>"1551689017699823"</f>
        <v>1551689017699823</v>
      </c>
      <c r="C87" t="s">
        <v>40</v>
      </c>
      <c r="D87">
        <v>5.7056279999999999</v>
      </c>
      <c r="E87">
        <v>0.55725659999999999</v>
      </c>
      <c r="F87" t="s">
        <v>41</v>
      </c>
      <c r="G87">
        <v>-473.52379999999999</v>
      </c>
      <c r="H87">
        <v>0.85876659999999905</v>
      </c>
      <c r="I87">
        <v>367.17950000000002</v>
      </c>
      <c r="J87">
        <v>-474.185</v>
      </c>
      <c r="K87">
        <v>1.1101760000000001</v>
      </c>
      <c r="L87">
        <v>367.18560000000002</v>
      </c>
      <c r="M87">
        <v>0.99988480000000002</v>
      </c>
      <c r="N87">
        <v>-6.5952559999999999E-3</v>
      </c>
      <c r="O87">
        <v>-1.367808E-2</v>
      </c>
      <c r="P87">
        <v>0.96637249999999997</v>
      </c>
      <c r="Q87">
        <v>0.24503050000000001</v>
      </c>
      <c r="R87">
        <v>7.8003119999999995E-2</v>
      </c>
      <c r="S87">
        <v>3.4216920000000002</v>
      </c>
      <c r="T87">
        <v>-1.228394</v>
      </c>
      <c r="U87">
        <v>-3.2836909999999997E-2</v>
      </c>
      <c r="V87">
        <v>-9.1177519999999998E-2</v>
      </c>
      <c r="W87">
        <v>0.25140459999999998</v>
      </c>
      <c r="X87">
        <v>0.96357789999999999</v>
      </c>
      <c r="Y87">
        <v>-3.0637730000000001E-3</v>
      </c>
      <c r="Z87">
        <v>5.217551E-3</v>
      </c>
      <c r="AA87">
        <v>0.99998169999999997</v>
      </c>
      <c r="AB87">
        <v>7</v>
      </c>
      <c r="AC87">
        <v>0.661200000000007</v>
      </c>
      <c r="AD87">
        <v>-0.25140940000000001</v>
      </c>
      <c r="AE87">
        <v>-6.1000000000035401E-3</v>
      </c>
      <c r="AF87">
        <v>-2.5727812348656899E-3</v>
      </c>
      <c r="AG87">
        <v>-0.25140940000000001</v>
      </c>
      <c r="AH87">
        <v>0.57770604294863004</v>
      </c>
      <c r="AI87">
        <v>113.517777860176</v>
      </c>
      <c r="AJ87">
        <v>90.255161831258306</v>
      </c>
      <c r="AK87">
        <v>0.63004569490712903</v>
      </c>
      <c r="AL87">
        <v>75.439355120636293</v>
      </c>
      <c r="AM87">
        <v>95.405456786713799</v>
      </c>
      <c r="AN87">
        <v>0.99999999121145999</v>
      </c>
    </row>
    <row r="88" spans="1:40" x14ac:dyDescent="0.25">
      <c r="A88" t="str">
        <f>"20190304164337730"</f>
        <v>20190304164337730</v>
      </c>
      <c r="B88" t="str">
        <f>"1551689017720319"</f>
        <v>1551689017720319</v>
      </c>
      <c r="C88" t="s">
        <v>40</v>
      </c>
      <c r="D88">
        <v>5.5947259999999996</v>
      </c>
      <c r="E88">
        <v>0.55697799999999997</v>
      </c>
      <c r="F88" t="s">
        <v>41</v>
      </c>
      <c r="G88">
        <v>-473.51909999999998</v>
      </c>
      <c r="H88">
        <v>0.86944509999999897</v>
      </c>
      <c r="I88">
        <v>367.17950000000002</v>
      </c>
      <c r="J88">
        <v>-474.11970000000002</v>
      </c>
      <c r="K88">
        <v>1.110231</v>
      </c>
      <c r="L88">
        <v>367.18439999999998</v>
      </c>
      <c r="M88">
        <v>0.99987720000000002</v>
      </c>
      <c r="N88">
        <v>-7.1679650000000001E-3</v>
      </c>
      <c r="O88">
        <v>-1.394189E-2</v>
      </c>
      <c r="P88">
        <v>0.96646489999999996</v>
      </c>
      <c r="Q88">
        <v>0.24454960000000001</v>
      </c>
      <c r="R88">
        <v>7.8367820000000005E-2</v>
      </c>
      <c r="S88">
        <v>3.4202880000000002</v>
      </c>
      <c r="T88">
        <v>-1.2362759999999999</v>
      </c>
      <c r="U88">
        <v>-3.0639650000000001E-2</v>
      </c>
      <c r="V88">
        <v>-9.1802949999999994E-2</v>
      </c>
      <c r="W88">
        <v>0.25147429999999998</v>
      </c>
      <c r="X88">
        <v>0.96350029999999998</v>
      </c>
      <c r="Y88">
        <v>-3.8855399999999998E-3</v>
      </c>
      <c r="Z88">
        <v>5.4825019999999898E-3</v>
      </c>
      <c r="AA88">
        <v>0.99997740000000002</v>
      </c>
      <c r="AB88">
        <v>7</v>
      </c>
      <c r="AC88">
        <v>0.60060000000004199</v>
      </c>
      <c r="AD88">
        <v>-0.2407859</v>
      </c>
      <c r="AE88">
        <v>-4.8999999999637103E-3</v>
      </c>
      <c r="AF88">
        <v>-2.9931404527296398E-3</v>
      </c>
      <c r="AG88">
        <v>-0.2407859</v>
      </c>
      <c r="AH88">
        <v>0.517447234114914</v>
      </c>
      <c r="AI88">
        <v>114.95380348148301</v>
      </c>
      <c r="AJ88">
        <v>90.331420078120303</v>
      </c>
      <c r="AK88">
        <v>0.57073500735608795</v>
      </c>
      <c r="AL88">
        <v>75.435228680785897</v>
      </c>
      <c r="AM88">
        <v>95.442749205342906</v>
      </c>
      <c r="AN88">
        <v>0.99999996664463997</v>
      </c>
    </row>
    <row r="89" spans="1:40" x14ac:dyDescent="0.25">
      <c r="A89" t="str">
        <f>"20190304164337752"</f>
        <v>20190304164337752</v>
      </c>
      <c r="B89" t="str">
        <f>"1551689017739839"</f>
        <v>1551689017739839</v>
      </c>
      <c r="C89" t="s">
        <v>40</v>
      </c>
      <c r="D89">
        <v>5.6654410000000004</v>
      </c>
      <c r="E89">
        <v>0.5567704</v>
      </c>
      <c r="F89" t="s">
        <v>41</v>
      </c>
      <c r="G89">
        <v>-473.45729999999998</v>
      </c>
      <c r="H89">
        <v>0.86975239999999998</v>
      </c>
      <c r="I89">
        <v>367.17860000000002</v>
      </c>
      <c r="J89">
        <v>-474.05</v>
      </c>
      <c r="K89">
        <v>1.109893</v>
      </c>
      <c r="L89">
        <v>367.18299999999999</v>
      </c>
      <c r="M89">
        <v>0.99987769999999998</v>
      </c>
      <c r="N89">
        <v>-6.4352769999999997E-3</v>
      </c>
      <c r="O89">
        <v>-1.4261390000000001E-2</v>
      </c>
      <c r="P89">
        <v>0.96634520000000002</v>
      </c>
      <c r="Q89">
        <v>0.2447599</v>
      </c>
      <c r="R89">
        <v>7.9180520000000004E-2</v>
      </c>
      <c r="S89">
        <v>3.4205930000000002</v>
      </c>
      <c r="T89">
        <v>-1.2415989999999999</v>
      </c>
      <c r="U89">
        <v>-2.9022220000000001E-2</v>
      </c>
      <c r="V89">
        <v>-9.2912300000000003E-2</v>
      </c>
      <c r="W89">
        <v>0.25098130000000002</v>
      </c>
      <c r="X89">
        <v>0.96352260000000001</v>
      </c>
      <c r="Y89">
        <v>-4.6003019999999997E-3</v>
      </c>
      <c r="Z89">
        <v>5.7514990000000002E-3</v>
      </c>
      <c r="AA89">
        <v>0.99997290000000005</v>
      </c>
      <c r="AB89">
        <v>6</v>
      </c>
      <c r="AC89">
        <v>0.59270000000003598</v>
      </c>
      <c r="AD89">
        <v>-0.24014060000000001</v>
      </c>
      <c r="AE89">
        <v>-4.4000000000323702E-3</v>
      </c>
      <c r="AF89">
        <v>-3.4818125364261699E-3</v>
      </c>
      <c r="AG89">
        <v>-0.24014060000000001</v>
      </c>
      <c r="AH89">
        <v>0.50912953150021301</v>
      </c>
      <c r="AI89">
        <v>115.251280414183</v>
      </c>
      <c r="AJ89">
        <v>90.391825736150693</v>
      </c>
      <c r="AK89">
        <v>0.56293206573486698</v>
      </c>
      <c r="AL89">
        <v>75.464412757873006</v>
      </c>
      <c r="AM89">
        <v>95.507990787355894</v>
      </c>
      <c r="AN89">
        <v>1.0000000545758601</v>
      </c>
    </row>
    <row r="90" spans="1:40" x14ac:dyDescent="0.25">
      <c r="A90" t="str">
        <f>"20190304164337773"</f>
        <v>20190304164337773</v>
      </c>
      <c r="B90" t="str">
        <f>"1551689017770603"</f>
        <v>1551689017770603</v>
      </c>
      <c r="C90" t="s">
        <v>40</v>
      </c>
      <c r="D90">
        <v>5.6080550000000002</v>
      </c>
      <c r="E90">
        <v>0.55652239999999997</v>
      </c>
      <c r="F90" t="s">
        <v>41</v>
      </c>
      <c r="G90">
        <v>-473.3913</v>
      </c>
      <c r="H90">
        <v>0.87054169999999997</v>
      </c>
      <c r="I90">
        <v>367.17770000000002</v>
      </c>
      <c r="J90">
        <v>-473.9778</v>
      </c>
      <c r="K90">
        <v>1.109564</v>
      </c>
      <c r="L90">
        <v>367.1816</v>
      </c>
      <c r="M90">
        <v>0.99987769999999998</v>
      </c>
      <c r="N90">
        <v>-5.5093340000000003E-3</v>
      </c>
      <c r="O90">
        <v>-1.463306E-2</v>
      </c>
      <c r="P90">
        <v>0.9660571</v>
      </c>
      <c r="Q90">
        <v>0.24590970000000001</v>
      </c>
      <c r="R90">
        <v>7.9132079999999994E-2</v>
      </c>
      <c r="S90">
        <v>3.4212950000000002</v>
      </c>
      <c r="T90">
        <v>-1.24268</v>
      </c>
      <c r="U90">
        <v>-2.5207520000000001E-2</v>
      </c>
      <c r="V90">
        <v>-9.3203960000000002E-2</v>
      </c>
      <c r="W90">
        <v>0.25124210000000002</v>
      </c>
      <c r="X90">
        <v>0.96342640000000002</v>
      </c>
      <c r="Y90">
        <v>-5.9711579999999998E-3</v>
      </c>
      <c r="Z90">
        <v>6.1397519999999896E-3</v>
      </c>
      <c r="AA90">
        <v>0.9999633</v>
      </c>
      <c r="AB90">
        <v>7</v>
      </c>
      <c r="AC90">
        <v>0.58650000000000002</v>
      </c>
      <c r="AD90">
        <v>-0.23902229999999999</v>
      </c>
      <c r="AE90">
        <v>-3.8999999999873498E-3</v>
      </c>
      <c r="AF90">
        <v>-4.0158749134339396E-3</v>
      </c>
      <c r="AG90">
        <v>-0.23902229999999999</v>
      </c>
      <c r="AH90">
        <v>0.50296158979062999</v>
      </c>
      <c r="AI90">
        <v>115.417748571028</v>
      </c>
      <c r="AJ90">
        <v>90.457465935494199</v>
      </c>
      <c r="AK90">
        <v>0.556882526169863</v>
      </c>
      <c r="AL90">
        <v>75.448974558920099</v>
      </c>
      <c r="AM90">
        <v>95.525722322297</v>
      </c>
      <c r="AN90">
        <v>0.99999999959452501</v>
      </c>
    </row>
    <row r="91" spans="1:40" x14ac:dyDescent="0.25">
      <c r="A91" t="str">
        <f>"20190304164337795"</f>
        <v>20190304164337795</v>
      </c>
      <c r="B91" t="str">
        <f>"1551689017790122"</f>
        <v>1551689017790122</v>
      </c>
      <c r="C91" t="s">
        <v>40</v>
      </c>
      <c r="D91">
        <v>5.6938420000000001</v>
      </c>
      <c r="E91">
        <v>0.55643290000000001</v>
      </c>
      <c r="F91" t="s">
        <v>41</v>
      </c>
      <c r="G91">
        <v>-473.32279999999997</v>
      </c>
      <c r="H91">
        <v>0.87197800000000003</v>
      </c>
      <c r="I91">
        <v>367.17770000000002</v>
      </c>
      <c r="J91">
        <v>-473.90210000000002</v>
      </c>
      <c r="K91">
        <v>1.1093420000000001</v>
      </c>
      <c r="L91">
        <v>367.18009999999998</v>
      </c>
      <c r="M91">
        <v>0.99987530000000002</v>
      </c>
      <c r="N91">
        <v>-4.7813020000000003E-3</v>
      </c>
      <c r="O91">
        <v>-1.5052909999999999E-2</v>
      </c>
      <c r="P91">
        <v>0.96593189999999995</v>
      </c>
      <c r="Q91">
        <v>0.2464567</v>
      </c>
      <c r="R91">
        <v>7.8963080000000005E-2</v>
      </c>
      <c r="S91">
        <v>3.4232480000000001</v>
      </c>
      <c r="T91">
        <v>-1.241946</v>
      </c>
      <c r="U91">
        <v>-2.0965580000000001E-2</v>
      </c>
      <c r="V91">
        <v>-9.342454E-2</v>
      </c>
      <c r="W91">
        <v>0.25109209999999998</v>
      </c>
      <c r="X91">
        <v>0.96344410000000003</v>
      </c>
      <c r="Y91">
        <v>-7.5087890000000001E-3</v>
      </c>
      <c r="Z91">
        <v>6.5608489999999997E-3</v>
      </c>
      <c r="AA91">
        <v>0.99995029999999996</v>
      </c>
      <c r="AB91">
        <v>7</v>
      </c>
      <c r="AC91">
        <v>0.579300000000046</v>
      </c>
      <c r="AD91">
        <v>-0.23736399999999999</v>
      </c>
      <c r="AE91">
        <v>-2.3999999999659801E-3</v>
      </c>
      <c r="AF91">
        <v>-5.4119328359396503E-3</v>
      </c>
      <c r="AG91">
        <v>-0.23736399999999999</v>
      </c>
      <c r="AH91">
        <v>0.49599905644047598</v>
      </c>
      <c r="AI91">
        <v>115.572461065038</v>
      </c>
      <c r="AJ91">
        <v>90.625139507682803</v>
      </c>
      <c r="AK91">
        <v>0.54989637342217801</v>
      </c>
      <c r="AL91">
        <v>75.457852973490603</v>
      </c>
      <c r="AM91">
        <v>95.538617358606103</v>
      </c>
      <c r="AN91">
        <v>0.99999996059071505</v>
      </c>
    </row>
    <row r="92" spans="1:40" x14ac:dyDescent="0.25">
      <c r="A92" t="str">
        <f>"20190304164337808"</f>
        <v>20190304164337808</v>
      </c>
      <c r="B92" t="str">
        <f>"1551689017799882"</f>
        <v>1551689017799882</v>
      </c>
      <c r="C92" t="s">
        <v>40</v>
      </c>
      <c r="D92">
        <v>5.6290199999999997</v>
      </c>
      <c r="E92">
        <v>0.55641689999999999</v>
      </c>
      <c r="F92" t="s">
        <v>41</v>
      </c>
      <c r="G92">
        <v>-473.19119999999998</v>
      </c>
      <c r="H92">
        <v>0.85160550000000002</v>
      </c>
      <c r="I92">
        <v>367.17590000000001</v>
      </c>
      <c r="J92">
        <v>-473.851</v>
      </c>
      <c r="K92">
        <v>1.1092379999999999</v>
      </c>
      <c r="L92">
        <v>367.17899999999997</v>
      </c>
      <c r="M92">
        <v>0.99987280000000001</v>
      </c>
      <c r="N92">
        <v>-4.3855129999999997E-3</v>
      </c>
      <c r="O92">
        <v>-1.534458E-2</v>
      </c>
      <c r="P92">
        <v>0.96593910000000005</v>
      </c>
      <c r="Q92">
        <v>0.24657090000000001</v>
      </c>
      <c r="R92">
        <v>7.8514260000000002E-2</v>
      </c>
      <c r="S92">
        <v>3.4241329999999999</v>
      </c>
      <c r="T92">
        <v>-1.241385</v>
      </c>
      <c r="U92">
        <v>-1.9653319999999998E-2</v>
      </c>
      <c r="V92">
        <v>-9.3248769999999995E-2</v>
      </c>
      <c r="W92">
        <v>0.2508281</v>
      </c>
      <c r="X92">
        <v>0.96352990000000005</v>
      </c>
      <c r="Y92">
        <v>-8.1276490000000007E-3</v>
      </c>
      <c r="Z92">
        <v>6.7720280000000002E-3</v>
      </c>
      <c r="AA92">
        <v>0.99994400000000006</v>
      </c>
      <c r="AB92">
        <v>8</v>
      </c>
      <c r="AC92">
        <v>0.65980000000001804</v>
      </c>
      <c r="AD92">
        <v>-0.25763249999999899</v>
      </c>
      <c r="AE92">
        <v>-3.1000000000176399E-3</v>
      </c>
      <c r="AF92">
        <v>-6.0954747079657303E-3</v>
      </c>
      <c r="AG92">
        <v>-0.25763249999999899</v>
      </c>
      <c r="AH92">
        <v>0.57248636877260595</v>
      </c>
      <c r="AI92">
        <v>114.22766473979701</v>
      </c>
      <c r="AJ92">
        <v>90.610026364436493</v>
      </c>
      <c r="AK92">
        <v>0.62781550020576105</v>
      </c>
      <c r="AL92">
        <v>75.473479255140504</v>
      </c>
      <c r="AM92">
        <v>95.527772324702298</v>
      </c>
      <c r="AN92">
        <v>0.99999996852506601</v>
      </c>
    </row>
    <row r="93" spans="1:40" x14ac:dyDescent="0.25">
      <c r="A93" t="str">
        <f>"20190304164337823"</f>
        <v>20190304164337823</v>
      </c>
      <c r="B93" t="str">
        <f>"1551689017810619"</f>
        <v>1551689017810619</v>
      </c>
      <c r="C93" t="s">
        <v>40</v>
      </c>
      <c r="D93">
        <v>5.6298279999999998</v>
      </c>
      <c r="E93">
        <v>0.55639719999999904</v>
      </c>
      <c r="F93" t="s">
        <v>41</v>
      </c>
      <c r="G93">
        <v>-473.18439999999998</v>
      </c>
      <c r="H93">
        <v>0.86761869999999996</v>
      </c>
      <c r="I93">
        <v>367.17469999999997</v>
      </c>
      <c r="J93">
        <v>-473.80110000000002</v>
      </c>
      <c r="K93">
        <v>1.109148</v>
      </c>
      <c r="L93">
        <v>367.178</v>
      </c>
      <c r="M93">
        <v>0.99986989999999998</v>
      </c>
      <c r="N93">
        <v>-3.9955809999999998E-3</v>
      </c>
      <c r="O93">
        <v>-1.5627249999999999E-2</v>
      </c>
      <c r="P93">
        <v>0.96583220000000003</v>
      </c>
      <c r="Q93">
        <v>0.2469915</v>
      </c>
      <c r="R93">
        <v>7.8509029999999994E-2</v>
      </c>
      <c r="S93">
        <v>3.424347</v>
      </c>
      <c r="T93">
        <v>-1.2412369999999999</v>
      </c>
      <c r="U93">
        <v>-2.1240229999999999E-2</v>
      </c>
      <c r="V93">
        <v>-9.350762E-2</v>
      </c>
      <c r="W93">
        <v>0.25087520000000002</v>
      </c>
      <c r="X93">
        <v>0.96349260000000003</v>
      </c>
      <c r="Y93">
        <v>-7.9407799999999997E-3</v>
      </c>
      <c r="Z93">
        <v>6.840006E-3</v>
      </c>
      <c r="AA93">
        <v>0.99994510000000003</v>
      </c>
      <c r="AB93">
        <v>8</v>
      </c>
      <c r="AC93">
        <v>0.616700000000037</v>
      </c>
      <c r="AD93">
        <v>-0.2415293</v>
      </c>
      <c r="AE93">
        <v>-3.30000000008112E-3</v>
      </c>
      <c r="AF93">
        <v>-5.4949665221423498E-3</v>
      </c>
      <c r="AG93">
        <v>-0.2415293</v>
      </c>
      <c r="AH93">
        <v>0.53466703454947895</v>
      </c>
      <c r="AI93">
        <v>114.309356729757</v>
      </c>
      <c r="AJ93">
        <v>90.588828721046696</v>
      </c>
      <c r="AK93">
        <v>0.586715804499507</v>
      </c>
      <c r="AL93">
        <v>75.470692185662003</v>
      </c>
      <c r="AM93">
        <v>95.543234729956296</v>
      </c>
      <c r="AN93">
        <v>1.0000000156139299</v>
      </c>
    </row>
    <row r="94" spans="1:40" x14ac:dyDescent="0.25">
      <c r="A94" t="str">
        <f>"20190304164337839"</f>
        <v>20190304164337839</v>
      </c>
      <c r="B94" t="str">
        <f>"1551689017830139"</f>
        <v>1551689017830139</v>
      </c>
      <c r="C94" t="s">
        <v>40</v>
      </c>
      <c r="D94">
        <v>5.6307499999999999</v>
      </c>
      <c r="E94">
        <v>0.55637119999999995</v>
      </c>
      <c r="F94" t="s">
        <v>41</v>
      </c>
      <c r="G94">
        <v>-473.11439999999999</v>
      </c>
      <c r="H94">
        <v>0.86040139999999998</v>
      </c>
      <c r="I94">
        <v>367.17320000000001</v>
      </c>
      <c r="J94">
        <v>-473.73860000000002</v>
      </c>
      <c r="K94">
        <v>1.109051</v>
      </c>
      <c r="L94">
        <v>367.17660000000001</v>
      </c>
      <c r="M94">
        <v>0.99986620000000004</v>
      </c>
      <c r="N94">
        <v>-3.4944339999999998E-3</v>
      </c>
      <c r="O94">
        <v>-1.5976529999999999E-2</v>
      </c>
      <c r="P94">
        <v>0.96568140000000002</v>
      </c>
      <c r="Q94">
        <v>0.24760170000000001</v>
      </c>
      <c r="R94">
        <v>7.8440259999999998E-2</v>
      </c>
      <c r="S94">
        <v>3.4251399999999999</v>
      </c>
      <c r="T94">
        <v>-1.240432</v>
      </c>
      <c r="U94">
        <v>-2.209473E-2</v>
      </c>
      <c r="V94">
        <v>-9.3766719999999998E-2</v>
      </c>
      <c r="W94">
        <v>0.25100440000000002</v>
      </c>
      <c r="X94">
        <v>0.96343369999999995</v>
      </c>
      <c r="Y94">
        <v>-8.0160209999999999E-3</v>
      </c>
      <c r="Z94">
        <v>6.9745789999999998E-3</v>
      </c>
      <c r="AA94">
        <v>0.99994360000000004</v>
      </c>
      <c r="AB94">
        <v>8</v>
      </c>
      <c r="AC94">
        <v>0.62420000000002995</v>
      </c>
      <c r="AD94">
        <v>-0.248649599999999</v>
      </c>
      <c r="AE94">
        <v>-3.3999999999991802E-3</v>
      </c>
      <c r="AF94">
        <v>-5.6728865116979204E-3</v>
      </c>
      <c r="AG94">
        <v>-0.248649599999999</v>
      </c>
      <c r="AH94">
        <v>0.538695795016641</v>
      </c>
      <c r="AI94">
        <v>114.77575306092101</v>
      </c>
      <c r="AJ94">
        <v>90.603346904705504</v>
      </c>
      <c r="AK94">
        <v>0.59333967066946203</v>
      </c>
      <c r="AL94">
        <v>75.463043909632205</v>
      </c>
      <c r="AM94">
        <v>95.558836094913701</v>
      </c>
      <c r="AN94">
        <v>0.99999995044730206</v>
      </c>
    </row>
    <row r="95" spans="1:40" x14ac:dyDescent="0.25">
      <c r="A95" t="str">
        <f>"20190304164337855"</f>
        <v>20190304164337855</v>
      </c>
      <c r="B95" t="str">
        <f>"1551689017850167"</f>
        <v>1551689017850167</v>
      </c>
      <c r="C95" t="s">
        <v>40</v>
      </c>
      <c r="D95">
        <v>5.7237739999999997</v>
      </c>
      <c r="E95">
        <v>0.55636269999999999</v>
      </c>
      <c r="F95" t="s">
        <v>41</v>
      </c>
      <c r="G95">
        <v>-473.04059999999998</v>
      </c>
      <c r="H95">
        <v>0.85668169999999899</v>
      </c>
      <c r="I95">
        <v>367.17219999999998</v>
      </c>
      <c r="J95">
        <v>-473.68560000000002</v>
      </c>
      <c r="K95">
        <v>1.1089690000000001</v>
      </c>
      <c r="L95">
        <v>367.1755</v>
      </c>
      <c r="M95">
        <v>0.9998631</v>
      </c>
      <c r="N95">
        <v>-3.057185E-3</v>
      </c>
      <c r="O95">
        <v>-1.6264259999999999E-2</v>
      </c>
      <c r="P95">
        <v>0.96568330000000002</v>
      </c>
      <c r="Q95">
        <v>0.24774060000000001</v>
      </c>
      <c r="R95">
        <v>7.7978660000000005E-2</v>
      </c>
      <c r="S95">
        <v>3.4260559999999902</v>
      </c>
      <c r="T95">
        <v>-1.2387319999999999</v>
      </c>
      <c r="U95">
        <v>-2.2491460000000001E-2</v>
      </c>
      <c r="V95">
        <v>-9.3579430000000005E-2</v>
      </c>
      <c r="W95">
        <v>0.25072290000000003</v>
      </c>
      <c r="X95">
        <v>0.96352530000000003</v>
      </c>
      <c r="Y95">
        <v>-8.1652759999999904E-3</v>
      </c>
      <c r="Z95">
        <v>7.0950939999999997E-3</v>
      </c>
      <c r="AA95">
        <v>0.99994150000000004</v>
      </c>
      <c r="AB95">
        <v>8</v>
      </c>
      <c r="AC95">
        <v>0.64500000000003799</v>
      </c>
      <c r="AD95">
        <v>-0.25228729999999999</v>
      </c>
      <c r="AE95">
        <v>-3.30000000002428E-3</v>
      </c>
      <c r="AF95">
        <v>-6.2367752352211602E-3</v>
      </c>
      <c r="AG95">
        <v>-0.25228729999999999</v>
      </c>
      <c r="AH95">
        <v>0.55938816467999197</v>
      </c>
      <c r="AI95">
        <v>114.274315770177</v>
      </c>
      <c r="AJ95">
        <v>90.638780217072494</v>
      </c>
      <c r="AK95">
        <v>0.61367980078431295</v>
      </c>
      <c r="AL95">
        <v>75.479706842365104</v>
      </c>
      <c r="AM95">
        <v>95.547278066541296</v>
      </c>
      <c r="AN95">
        <v>1.0000000430218099</v>
      </c>
    </row>
    <row r="96" spans="1:40" x14ac:dyDescent="0.25">
      <c r="A96" t="str">
        <f>"20190304164337872"</f>
        <v>20190304164337872</v>
      </c>
      <c r="B96" t="str">
        <f>"1551689017859927"</f>
        <v>1551689017859927</v>
      </c>
      <c r="C96" t="s">
        <v>40</v>
      </c>
      <c r="D96">
        <v>5.6978179999999998</v>
      </c>
      <c r="E96">
        <v>0.55637590000000003</v>
      </c>
      <c r="F96" t="s">
        <v>41</v>
      </c>
      <c r="G96">
        <v>-472.9665</v>
      </c>
      <c r="H96">
        <v>0.84897469999999997</v>
      </c>
      <c r="I96">
        <v>367.16969999999998</v>
      </c>
      <c r="J96">
        <v>-473.61320000000001</v>
      </c>
      <c r="K96">
        <v>1.1088910000000001</v>
      </c>
      <c r="L96">
        <v>367.1739</v>
      </c>
      <c r="M96">
        <v>0.99985860000000004</v>
      </c>
      <c r="N96">
        <v>-2.548902E-3</v>
      </c>
      <c r="O96">
        <v>-1.662574E-2</v>
      </c>
      <c r="P96">
        <v>0.96558120000000003</v>
      </c>
      <c r="Q96">
        <v>0.24841650000000001</v>
      </c>
      <c r="R96">
        <v>7.7086349999999998E-2</v>
      </c>
      <c r="S96">
        <v>3.426361</v>
      </c>
      <c r="T96">
        <v>-1.2384599999999999</v>
      </c>
      <c r="U96">
        <v>-2.4597170000000002E-2</v>
      </c>
      <c r="V96">
        <v>-9.3033110000000002E-2</v>
      </c>
      <c r="W96">
        <v>0.2509093</v>
      </c>
      <c r="X96">
        <v>0.96352959999999999</v>
      </c>
      <c r="Y96">
        <v>-7.9056850000000008E-3</v>
      </c>
      <c r="Z96">
        <v>7.1788030000000001E-3</v>
      </c>
      <c r="AA96">
        <v>0.99994300000000003</v>
      </c>
      <c r="AB96">
        <v>8</v>
      </c>
      <c r="AC96">
        <v>0.64670000000000905</v>
      </c>
      <c r="AD96">
        <v>-0.25991629999999999</v>
      </c>
      <c r="AE96">
        <v>-4.20000000002573E-3</v>
      </c>
      <c r="AF96">
        <v>-5.6412681487479797E-3</v>
      </c>
      <c r="AG96">
        <v>-0.25991629999999999</v>
      </c>
      <c r="AH96">
        <v>0.55675062629648897</v>
      </c>
      <c r="AI96">
        <v>115.02416063928599</v>
      </c>
      <c r="AJ96">
        <v>90.580528840091404</v>
      </c>
      <c r="AK96">
        <v>0.61445875922924997</v>
      </c>
      <c r="AL96">
        <v>75.468673064993894</v>
      </c>
      <c r="AM96">
        <v>95.515068651135806</v>
      </c>
      <c r="AN96">
        <v>0.99999996322946005</v>
      </c>
    </row>
    <row r="97" spans="1:40" x14ac:dyDescent="0.25">
      <c r="A97" t="str">
        <f>"20190304164337886"</f>
        <v>20190304164337886</v>
      </c>
      <c r="B97" t="str">
        <f>"1551689017880422"</f>
        <v>1551689017880422</v>
      </c>
      <c r="C97" t="s">
        <v>40</v>
      </c>
      <c r="D97">
        <v>5.6903769999999998</v>
      </c>
      <c r="E97">
        <v>0.55629130000000004</v>
      </c>
      <c r="F97" t="s">
        <v>41</v>
      </c>
      <c r="G97">
        <v>-472.95679999999999</v>
      </c>
      <c r="H97">
        <v>0.87203709999999901</v>
      </c>
      <c r="I97">
        <v>367.16809999999998</v>
      </c>
      <c r="J97">
        <v>-473.56119999999999</v>
      </c>
      <c r="K97">
        <v>1.108887</v>
      </c>
      <c r="L97">
        <v>367.17259999999999</v>
      </c>
      <c r="M97">
        <v>0.9998553</v>
      </c>
      <c r="N97">
        <v>-2.3294700000000002E-3</v>
      </c>
      <c r="O97">
        <v>-1.6861689999999999E-2</v>
      </c>
      <c r="P97">
        <v>0.96551770000000003</v>
      </c>
      <c r="Q97">
        <v>0.24876309999999999</v>
      </c>
      <c r="R97">
        <v>7.6764260000000001E-2</v>
      </c>
      <c r="S97">
        <v>3.427155</v>
      </c>
      <c r="T97">
        <v>-1.2362059999999999</v>
      </c>
      <c r="U97">
        <v>-2.709961E-2</v>
      </c>
      <c r="V97">
        <v>-9.2940640000000005E-2</v>
      </c>
      <c r="W97">
        <v>0.25104270000000001</v>
      </c>
      <c r="X97">
        <v>0.96350380000000002</v>
      </c>
      <c r="Y97">
        <v>-7.4337179999999997E-3</v>
      </c>
      <c r="Z97">
        <v>7.16638E-3</v>
      </c>
      <c r="AA97">
        <v>0.99994669999999997</v>
      </c>
      <c r="AB97">
        <v>8</v>
      </c>
      <c r="AC97">
        <v>0.60439999999999805</v>
      </c>
      <c r="AD97">
        <v>-0.2368499</v>
      </c>
      <c r="AE97">
        <v>-4.5000000000072699E-3</v>
      </c>
      <c r="AF97">
        <v>-4.9341856113708296E-3</v>
      </c>
      <c r="AG97">
        <v>-0.2368499</v>
      </c>
      <c r="AH97">
        <v>0.523935310939876</v>
      </c>
      <c r="AI97">
        <v>114.324842310188</v>
      </c>
      <c r="AJ97">
        <v>90.539569766720703</v>
      </c>
      <c r="AK97">
        <v>0.57500472290870897</v>
      </c>
      <c r="AL97">
        <v>75.460777424805201</v>
      </c>
      <c r="AM97">
        <v>95.509767335534605</v>
      </c>
      <c r="AN97">
        <v>0.99999998620066899</v>
      </c>
    </row>
    <row r="98" spans="1:40" x14ac:dyDescent="0.25">
      <c r="A98" t="str">
        <f>"20190304164337908"</f>
        <v>20190304164337908</v>
      </c>
      <c r="B98" t="str">
        <f>"1551689017899943"</f>
        <v>1551689017899943</v>
      </c>
      <c r="C98" t="s">
        <v>40</v>
      </c>
      <c r="D98">
        <v>5.6956860000000002</v>
      </c>
      <c r="E98">
        <v>0.55630239999999997</v>
      </c>
      <c r="F98" t="s">
        <v>41</v>
      </c>
      <c r="G98">
        <v>-472.88150000000002</v>
      </c>
      <c r="H98">
        <v>0.8638091</v>
      </c>
      <c r="I98">
        <v>367.1669</v>
      </c>
      <c r="J98">
        <v>-473.47410000000002</v>
      </c>
      <c r="K98">
        <v>1.1089389999999999</v>
      </c>
      <c r="L98">
        <v>367.17070000000001</v>
      </c>
      <c r="M98">
        <v>0.99984930000000005</v>
      </c>
      <c r="N98">
        <v>-2.1680229999999998E-3</v>
      </c>
      <c r="O98">
        <v>-1.723015E-2</v>
      </c>
      <c r="P98">
        <v>0.96535150000000003</v>
      </c>
      <c r="Q98">
        <v>0.24958759999999999</v>
      </c>
      <c r="R98">
        <v>7.6176010000000002E-2</v>
      </c>
      <c r="S98">
        <v>3.4278559999999998</v>
      </c>
      <c r="T98">
        <v>-1.236022</v>
      </c>
      <c r="U98">
        <v>-2.7893069999999999E-2</v>
      </c>
      <c r="V98">
        <v>-9.2714130000000006E-2</v>
      </c>
      <c r="W98">
        <v>0.25170779999999998</v>
      </c>
      <c r="X98">
        <v>0.96335210000000004</v>
      </c>
      <c r="Y98">
        <v>-7.5428580000000004E-3</v>
      </c>
      <c r="Z98">
        <v>7.3132040000000002E-3</v>
      </c>
      <c r="AA98">
        <v>0.99994479999999997</v>
      </c>
      <c r="AB98">
        <v>9</v>
      </c>
      <c r="AC98">
        <v>0.59260000000000401</v>
      </c>
      <c r="AD98">
        <v>-0.24512989999999901</v>
      </c>
      <c r="AE98">
        <v>-3.8000000000124601E-3</v>
      </c>
      <c r="AF98">
        <v>-5.4744863129962398E-3</v>
      </c>
      <c r="AG98">
        <v>-0.24512989999999901</v>
      </c>
      <c r="AH98">
        <v>0.50600053007734003</v>
      </c>
      <c r="AI98">
        <v>115.846363773289</v>
      </c>
      <c r="AJ98">
        <v>90.619866392254295</v>
      </c>
      <c r="AK98">
        <v>0.56227677731963099</v>
      </c>
      <c r="AL98">
        <v>75.421405933627199</v>
      </c>
      <c r="AM98">
        <v>95.497281779159096</v>
      </c>
      <c r="AN98">
        <v>0.99999999752845303</v>
      </c>
    </row>
    <row r="99" spans="1:40" x14ac:dyDescent="0.25">
      <c r="A99" t="str">
        <f>"20190304164337930"</f>
        <v>20190304164337930</v>
      </c>
      <c r="B99" t="str">
        <f>"1551689017920439"</f>
        <v>1551689017920439</v>
      </c>
      <c r="C99" t="s">
        <v>40</v>
      </c>
      <c r="D99">
        <v>5.7231899999999998</v>
      </c>
      <c r="E99">
        <v>0.55632320000000002</v>
      </c>
      <c r="F99" t="s">
        <v>41</v>
      </c>
      <c r="G99">
        <v>-472.80059999999997</v>
      </c>
      <c r="H99">
        <v>0.86669419999999897</v>
      </c>
      <c r="I99">
        <v>367.16449999999998</v>
      </c>
      <c r="J99">
        <v>-473.38420000000002</v>
      </c>
      <c r="K99">
        <v>1.109046</v>
      </c>
      <c r="L99">
        <v>367.16860000000003</v>
      </c>
      <c r="M99">
        <v>0.99984280000000003</v>
      </c>
      <c r="N99">
        <v>-2.2279800000000001E-3</v>
      </c>
      <c r="O99">
        <v>-1.7589569999999999E-2</v>
      </c>
      <c r="P99">
        <v>0.96545610000000004</v>
      </c>
      <c r="Q99">
        <v>0.24937419999999999</v>
      </c>
      <c r="R99">
        <v>7.5545609999999999E-2</v>
      </c>
      <c r="S99">
        <v>3.4288940000000001</v>
      </c>
      <c r="T99">
        <v>-1.233195</v>
      </c>
      <c r="U99">
        <v>-2.9785160000000001E-2</v>
      </c>
      <c r="V99">
        <v>-9.2445250000000007E-2</v>
      </c>
      <c r="W99">
        <v>0.25154720000000003</v>
      </c>
      <c r="X99">
        <v>0.9634199</v>
      </c>
      <c r="Y99">
        <v>-7.3510030000000001E-3</v>
      </c>
      <c r="Z99">
        <v>7.3853869999999898E-3</v>
      </c>
      <c r="AA99">
        <v>0.99994570000000005</v>
      </c>
      <c r="AB99">
        <v>9</v>
      </c>
      <c r="AC99">
        <v>0.58360000000004597</v>
      </c>
      <c r="AD99">
        <v>-0.24235180000000001</v>
      </c>
      <c r="AE99">
        <v>-4.1000000000508399E-3</v>
      </c>
      <c r="AF99">
        <v>-5.2590561091221E-3</v>
      </c>
      <c r="AG99">
        <v>-0.24235180000000001</v>
      </c>
      <c r="AH99">
        <v>0.49774942693635099</v>
      </c>
      <c r="AI99">
        <v>115.959969181267</v>
      </c>
      <c r="AJ99">
        <v>90.605345764755796</v>
      </c>
      <c r="AK99">
        <v>0.55363936334934205</v>
      </c>
      <c r="AL99">
        <v>75.430913750518499</v>
      </c>
      <c r="AM99">
        <v>95.481052963467505</v>
      </c>
      <c r="AN99">
        <v>1.0000000108956999</v>
      </c>
    </row>
    <row r="100" spans="1:40" x14ac:dyDescent="0.25">
      <c r="A100" t="str">
        <f>"20190304164337953"</f>
        <v>20190304164337953</v>
      </c>
      <c r="B100" t="str">
        <f>"1551689017939960"</f>
        <v>1551689017939960</v>
      </c>
      <c r="C100" t="s">
        <v>40</v>
      </c>
      <c r="D100">
        <v>5.635262</v>
      </c>
      <c r="E100">
        <v>0.55635889999999999</v>
      </c>
      <c r="F100" t="s">
        <v>41</v>
      </c>
      <c r="G100">
        <v>-472.71879999999999</v>
      </c>
      <c r="H100">
        <v>0.86958029999999997</v>
      </c>
      <c r="I100">
        <v>367.16230000000002</v>
      </c>
      <c r="J100">
        <v>-473.29360000000003</v>
      </c>
      <c r="K100">
        <v>1.109145</v>
      </c>
      <c r="L100">
        <v>367.16660000000002</v>
      </c>
      <c r="M100">
        <v>0.99983610000000001</v>
      </c>
      <c r="N100">
        <v>-2.3547379999999999E-3</v>
      </c>
      <c r="O100">
        <v>-1.7951700000000001E-2</v>
      </c>
      <c r="P100">
        <v>0.96565509999999999</v>
      </c>
      <c r="Q100">
        <v>0.24879599999999999</v>
      </c>
      <c r="R100">
        <v>7.490397E-2</v>
      </c>
      <c r="S100">
        <v>3.4284970000000001</v>
      </c>
      <c r="T100">
        <v>-1.2337659999999999</v>
      </c>
      <c r="U100">
        <v>-3.1951899999999998E-2</v>
      </c>
      <c r="V100">
        <v>-9.2169979999999999E-2</v>
      </c>
      <c r="W100">
        <v>0.25108649999999999</v>
      </c>
      <c r="X100">
        <v>0.96356640000000005</v>
      </c>
      <c r="Y100">
        <v>-7.0742060000000004E-3</v>
      </c>
      <c r="Z100">
        <v>7.4645939999999997E-3</v>
      </c>
      <c r="AA100">
        <v>0.99994709999999998</v>
      </c>
      <c r="AB100">
        <v>9</v>
      </c>
      <c r="AC100">
        <v>0.57480000000003795</v>
      </c>
      <c r="AD100">
        <v>-0.23956469999999999</v>
      </c>
      <c r="AE100">
        <v>-4.3000000000006297E-3</v>
      </c>
      <c r="AF100">
        <v>-5.1285533857765896E-3</v>
      </c>
      <c r="AG100">
        <v>-0.23956469999999999</v>
      </c>
      <c r="AH100">
        <v>0.48972217324243</v>
      </c>
      <c r="AI100">
        <v>116.06594283325001</v>
      </c>
      <c r="AJ100">
        <v>90.6000008550579</v>
      </c>
      <c r="AK100">
        <v>0.54520212262170198</v>
      </c>
      <c r="AL100">
        <v>75.458184610471406</v>
      </c>
      <c r="AM100">
        <v>95.464005389695103</v>
      </c>
      <c r="AN100">
        <v>0.99999997145220398</v>
      </c>
    </row>
    <row r="101" spans="1:40" x14ac:dyDescent="0.25">
      <c r="A101" t="str">
        <f>"20190304164337973"</f>
        <v>20190304164337973</v>
      </c>
      <c r="B101" t="str">
        <f>"1551689017969746"</f>
        <v>1551689017969746</v>
      </c>
      <c r="C101" t="s">
        <v>40</v>
      </c>
      <c r="D101">
        <v>5.6167689999999997</v>
      </c>
      <c r="E101">
        <v>0.55635369999999995</v>
      </c>
      <c r="F101" t="s">
        <v>41</v>
      </c>
      <c r="G101">
        <v>-472.63600000000002</v>
      </c>
      <c r="H101">
        <v>0.87201569999999995</v>
      </c>
      <c r="I101">
        <v>367.1592</v>
      </c>
      <c r="J101">
        <v>-473.2063</v>
      </c>
      <c r="K101">
        <v>1.1092040000000001</v>
      </c>
      <c r="L101">
        <v>367.16449999999998</v>
      </c>
      <c r="M101">
        <v>0.99982950000000004</v>
      </c>
      <c r="N101">
        <v>-2.4476290000000002E-3</v>
      </c>
      <c r="O101">
        <v>-1.8304279999999999E-2</v>
      </c>
      <c r="P101">
        <v>0.96572460000000004</v>
      </c>
      <c r="Q101">
        <v>0.24867359999999999</v>
      </c>
      <c r="R101">
        <v>7.4415789999999996E-2</v>
      </c>
      <c r="S101">
        <v>3.4277950000000001</v>
      </c>
      <c r="T101">
        <v>-1.23563</v>
      </c>
      <c r="U101">
        <v>-3.5095210000000002E-2</v>
      </c>
      <c r="V101">
        <v>-9.203211E-2</v>
      </c>
      <c r="W101">
        <v>0.25105060000000001</v>
      </c>
      <c r="X101">
        <v>0.96358900000000003</v>
      </c>
      <c r="Y101">
        <v>-6.5167740000000004E-3</v>
      </c>
      <c r="Z101">
        <v>7.4996259999999997E-3</v>
      </c>
      <c r="AA101">
        <v>0.99995060000000002</v>
      </c>
      <c r="AB101">
        <v>9</v>
      </c>
      <c r="AC101">
        <v>0.570300000000031</v>
      </c>
      <c r="AD101">
        <v>-0.23718829999999999</v>
      </c>
      <c r="AE101">
        <v>-5.2999999999769898E-3</v>
      </c>
      <c r="AF101">
        <v>-4.3819530893009903E-3</v>
      </c>
      <c r="AG101">
        <v>-0.23718829999999999</v>
      </c>
      <c r="AH101">
        <v>0.48620764950086198</v>
      </c>
      <c r="AI101">
        <v>116.003746079774</v>
      </c>
      <c r="AJ101">
        <v>90.516365015947798</v>
      </c>
      <c r="AK101">
        <v>0.54099479628081404</v>
      </c>
      <c r="AL101">
        <v>75.460310567389698</v>
      </c>
      <c r="AM101">
        <v>95.455754366919393</v>
      </c>
      <c r="AN101">
        <v>1.0000000369762001</v>
      </c>
    </row>
    <row r="102" spans="1:40" x14ac:dyDescent="0.25">
      <c r="A102" t="str">
        <f>"20190304164337987"</f>
        <v>20190304164337987</v>
      </c>
      <c r="B102" t="str">
        <f>"1551689017980482"</f>
        <v>1551689017980482</v>
      </c>
      <c r="C102" t="s">
        <v>40</v>
      </c>
      <c r="D102">
        <v>5.6282059999999996</v>
      </c>
      <c r="E102">
        <v>0.5563534</v>
      </c>
      <c r="F102" t="s">
        <v>41</v>
      </c>
      <c r="G102">
        <v>-472.5523</v>
      </c>
      <c r="H102">
        <v>0.87331619999999999</v>
      </c>
      <c r="I102">
        <v>367.15730000000002</v>
      </c>
      <c r="J102">
        <v>-473.14589999999998</v>
      </c>
      <c r="K102">
        <v>1.109226</v>
      </c>
      <c r="L102">
        <v>367.16320000000002</v>
      </c>
      <c r="M102">
        <v>0.99982490000000002</v>
      </c>
      <c r="N102">
        <v>-2.4885990000000002E-3</v>
      </c>
      <c r="O102">
        <v>-1.8547859999999999E-2</v>
      </c>
      <c r="P102">
        <v>0.96572729999999996</v>
      </c>
      <c r="Q102">
        <v>0.24867400000000001</v>
      </c>
      <c r="R102">
        <v>7.4378589999999994E-2</v>
      </c>
      <c r="S102">
        <v>3.4277039999999999</v>
      </c>
      <c r="T102">
        <v>-1.236337</v>
      </c>
      <c r="U102">
        <v>-3.771973E-2</v>
      </c>
      <c r="V102">
        <v>-9.2232850000000005E-2</v>
      </c>
      <c r="W102">
        <v>0.25108930000000002</v>
      </c>
      <c r="X102">
        <v>0.96355970000000002</v>
      </c>
      <c r="Y102">
        <v>-6.0100259999999999E-3</v>
      </c>
      <c r="Z102">
        <v>7.4985709999999999E-3</v>
      </c>
      <c r="AA102">
        <v>0.9999538</v>
      </c>
      <c r="AB102">
        <v>9</v>
      </c>
      <c r="AC102">
        <v>0.59359999999998003</v>
      </c>
      <c r="AD102">
        <v>-0.2359098</v>
      </c>
      <c r="AE102">
        <v>-5.8999999999968999E-3</v>
      </c>
      <c r="AF102">
        <v>-4.4139661997335397E-3</v>
      </c>
      <c r="AG102">
        <v>-0.2359098</v>
      </c>
      <c r="AH102">
        <v>0.51264579301028701</v>
      </c>
      <c r="AI102">
        <v>114.710177562285</v>
      </c>
      <c r="AJ102">
        <v>90.493314074287696</v>
      </c>
      <c r="AK102">
        <v>0.56433910543643695</v>
      </c>
      <c r="AL102">
        <v>75.458019524874899</v>
      </c>
      <c r="AM102">
        <v>95.467747648383096</v>
      </c>
      <c r="AN102">
        <v>1.00000001532885</v>
      </c>
    </row>
    <row r="103" spans="1:40" x14ac:dyDescent="0.25">
      <c r="A103" t="str">
        <f>"20190304164338000"</f>
        <v>20190304164338000</v>
      </c>
      <c r="B103" t="str">
        <f>"1551689017990244"</f>
        <v>1551689017990244</v>
      </c>
      <c r="C103" t="s">
        <v>40</v>
      </c>
      <c r="D103">
        <v>5.6148280000000002</v>
      </c>
      <c r="E103">
        <v>0.55635889999999999</v>
      </c>
      <c r="F103" t="s">
        <v>41</v>
      </c>
      <c r="G103">
        <v>-472.471</v>
      </c>
      <c r="H103">
        <v>0.86569989999999997</v>
      </c>
      <c r="I103">
        <v>367.1549</v>
      </c>
      <c r="J103">
        <v>-473.0917</v>
      </c>
      <c r="K103">
        <v>1.1092390000000001</v>
      </c>
      <c r="L103">
        <v>367.16199999999998</v>
      </c>
      <c r="M103">
        <v>0.99982079999999995</v>
      </c>
      <c r="N103">
        <v>-2.5211830000000002E-3</v>
      </c>
      <c r="O103">
        <v>-1.8764260000000001E-2</v>
      </c>
      <c r="P103">
        <v>0.96578660000000005</v>
      </c>
      <c r="Q103">
        <v>0.2485356</v>
      </c>
      <c r="R103">
        <v>7.4070170000000005E-2</v>
      </c>
      <c r="S103">
        <v>3.4277950000000001</v>
      </c>
      <c r="T103">
        <v>-1.2364459999999999</v>
      </c>
      <c r="U103">
        <v>-3.8665770000000002E-2</v>
      </c>
      <c r="V103">
        <v>-9.2134869999999994E-2</v>
      </c>
      <c r="W103">
        <v>0.25098229999999999</v>
      </c>
      <c r="X103">
        <v>0.96359689999999998</v>
      </c>
      <c r="Y103">
        <v>-5.9416959999999998E-3</v>
      </c>
      <c r="Z103">
        <v>7.5615980000000001E-3</v>
      </c>
      <c r="AA103">
        <v>0.99995369999999995</v>
      </c>
      <c r="AB103">
        <v>9</v>
      </c>
      <c r="AC103">
        <v>0.62069999999999903</v>
      </c>
      <c r="AD103">
        <v>-0.24353909999999901</v>
      </c>
      <c r="AE103">
        <v>-7.0999999999799002E-3</v>
      </c>
      <c r="AF103">
        <v>-3.9415487994056697E-3</v>
      </c>
      <c r="AG103">
        <v>-0.24353909999999901</v>
      </c>
      <c r="AH103">
        <v>0.53792268390540399</v>
      </c>
      <c r="AI103">
        <v>114.357585449119</v>
      </c>
      <c r="AJ103">
        <v>90.419818825555296</v>
      </c>
      <c r="AK103">
        <v>0.59049779245628098</v>
      </c>
      <c r="AL103">
        <v>75.464352272999903</v>
      </c>
      <c r="AM103">
        <v>95.461764756746007</v>
      </c>
      <c r="AN103">
        <v>0.99999996743640795</v>
      </c>
    </row>
    <row r="104" spans="1:40" x14ac:dyDescent="0.25">
      <c r="A104" t="str">
        <f>"20190304164338020"</f>
        <v>20190304164338020</v>
      </c>
      <c r="B104" t="str">
        <f>"1551689018009765"</f>
        <v>1551689018009765</v>
      </c>
      <c r="C104" t="s">
        <v>40</v>
      </c>
      <c r="D104">
        <v>5.6768640000000001</v>
      </c>
      <c r="E104">
        <v>0.55644729999999998</v>
      </c>
      <c r="F104" t="s">
        <v>41</v>
      </c>
      <c r="G104">
        <v>-472.38940000000002</v>
      </c>
      <c r="H104">
        <v>0.85575129999999999</v>
      </c>
      <c r="I104">
        <v>367.15390000000002</v>
      </c>
      <c r="J104">
        <v>-473.00810000000001</v>
      </c>
      <c r="K104">
        <v>1.109254</v>
      </c>
      <c r="L104">
        <v>367.1601</v>
      </c>
      <c r="M104">
        <v>0.99981450000000005</v>
      </c>
      <c r="N104">
        <v>-2.565768E-3</v>
      </c>
      <c r="O104">
        <v>-1.909251E-2</v>
      </c>
      <c r="P104">
        <v>0.96582610000000002</v>
      </c>
      <c r="Q104">
        <v>0.2486061</v>
      </c>
      <c r="R104">
        <v>7.3315599999999995E-2</v>
      </c>
      <c r="S104">
        <v>3.4276119999999999</v>
      </c>
      <c r="T104">
        <v>-1.237039</v>
      </c>
      <c r="U104">
        <v>-3.872681E-2</v>
      </c>
      <c r="V104">
        <v>-9.1696479999999997E-2</v>
      </c>
      <c r="W104">
        <v>0.25109619999999999</v>
      </c>
      <c r="X104">
        <v>0.9636091</v>
      </c>
      <c r="Y104">
        <v>-6.2125840000000002E-3</v>
      </c>
      <c r="Z104">
        <v>7.7264769999999998E-3</v>
      </c>
      <c r="AA104">
        <v>0.99995080000000003</v>
      </c>
      <c r="AB104">
        <v>9</v>
      </c>
      <c r="AC104">
        <v>0.61869999999998904</v>
      </c>
      <c r="AD104">
        <v>-0.25350270000000003</v>
      </c>
      <c r="AE104">
        <v>-6.1999999999784398E-3</v>
      </c>
      <c r="AF104">
        <v>-4.8068072270363704E-3</v>
      </c>
      <c r="AG104">
        <v>-0.25350270000000003</v>
      </c>
      <c r="AH104">
        <v>0.52977472179777596</v>
      </c>
      <c r="AI104">
        <v>115.570680172387</v>
      </c>
      <c r="AJ104">
        <v>90.519847773769996</v>
      </c>
      <c r="AK104">
        <v>0.58732272232471905</v>
      </c>
      <c r="AL104">
        <v>75.457611196220697</v>
      </c>
      <c r="AM104">
        <v>95.435864577456599</v>
      </c>
      <c r="AN104">
        <v>1.0000000218508101</v>
      </c>
    </row>
    <row r="105" spans="1:40" x14ac:dyDescent="0.25">
      <c r="A105" t="str">
        <f>"20190304164338035"</f>
        <v>20190304164338035</v>
      </c>
      <c r="B105" t="str">
        <f>"1551689018030258"</f>
        <v>1551689018030258</v>
      </c>
      <c r="C105" t="s">
        <v>40</v>
      </c>
      <c r="D105">
        <v>5.6803589999999904</v>
      </c>
      <c r="E105">
        <v>0.55649209999999905</v>
      </c>
      <c r="F105" t="s">
        <v>41</v>
      </c>
      <c r="G105">
        <v>-472.30259999999998</v>
      </c>
      <c r="H105">
        <v>0.85481359999999995</v>
      </c>
      <c r="I105">
        <v>367.15109999999999</v>
      </c>
      <c r="J105">
        <v>-472.94510000000002</v>
      </c>
      <c r="K105">
        <v>1.109259</v>
      </c>
      <c r="L105">
        <v>367.15859999999998</v>
      </c>
      <c r="M105">
        <v>0.99980979999999997</v>
      </c>
      <c r="N105">
        <v>-2.5981419999999999E-3</v>
      </c>
      <c r="O105">
        <v>-1.933528E-2</v>
      </c>
      <c r="P105">
        <v>0.96578569999999997</v>
      </c>
      <c r="Q105">
        <v>0.2487538</v>
      </c>
      <c r="R105">
        <v>7.3346060000000005E-2</v>
      </c>
      <c r="S105">
        <v>3.427368</v>
      </c>
      <c r="T105">
        <v>-1.235919</v>
      </c>
      <c r="U105">
        <v>-4.0985109999999998E-2</v>
      </c>
      <c r="V105">
        <v>-9.1957159999999996E-2</v>
      </c>
      <c r="W105">
        <v>0.25127630000000001</v>
      </c>
      <c r="X105">
        <v>0.96353730000000004</v>
      </c>
      <c r="Y105">
        <v>-5.8091189999999997E-3</v>
      </c>
      <c r="Z105">
        <v>7.7330209999999996E-3</v>
      </c>
      <c r="AA105">
        <v>0.99995319999999999</v>
      </c>
      <c r="AB105">
        <v>10</v>
      </c>
      <c r="AC105">
        <v>0.64250000000004004</v>
      </c>
      <c r="AD105">
        <v>-0.25444539999999899</v>
      </c>
      <c r="AE105">
        <v>-7.4999999999931797E-3</v>
      </c>
      <c r="AF105">
        <v>-4.2568308862788399E-3</v>
      </c>
      <c r="AG105">
        <v>-0.25444539999999899</v>
      </c>
      <c r="AH105">
        <v>0.55542646959021902</v>
      </c>
      <c r="AI105">
        <v>114.61226514913901</v>
      </c>
      <c r="AJ105">
        <v>90.439110633057396</v>
      </c>
      <c r="AK105">
        <v>0.61094938031870405</v>
      </c>
      <c r="AL105">
        <v>75.446950302899197</v>
      </c>
      <c r="AM105">
        <v>95.4516287702494</v>
      </c>
      <c r="AN105">
        <v>1.00000001335412</v>
      </c>
    </row>
    <row r="106" spans="1:40" x14ac:dyDescent="0.25">
      <c r="A106" t="str">
        <f>"20190304164338050"</f>
        <v>20190304164338050</v>
      </c>
      <c r="B106" t="str">
        <f>"1551689018040018"</f>
        <v>1551689018040018</v>
      </c>
      <c r="C106" t="s">
        <v>40</v>
      </c>
      <c r="D106">
        <v>5.6142370000000001</v>
      </c>
      <c r="E106">
        <v>0.55648299999999995</v>
      </c>
      <c r="F106" t="s">
        <v>41</v>
      </c>
      <c r="G106">
        <v>-472.2174</v>
      </c>
      <c r="H106">
        <v>0.84708050000000001</v>
      </c>
      <c r="I106">
        <v>367.14960000000002</v>
      </c>
      <c r="J106">
        <v>-472.86989999999997</v>
      </c>
      <c r="K106">
        <v>1.1092610000000001</v>
      </c>
      <c r="L106">
        <v>367.15690000000001</v>
      </c>
      <c r="M106">
        <v>0.99980409999999997</v>
      </c>
      <c r="N106">
        <v>-2.634899E-3</v>
      </c>
      <c r="O106">
        <v>-1.9618839999999999E-2</v>
      </c>
      <c r="P106">
        <v>0.96569110000000002</v>
      </c>
      <c r="Q106">
        <v>0.24914500000000001</v>
      </c>
      <c r="R106">
        <v>7.3263120000000001E-2</v>
      </c>
      <c r="S106">
        <v>3.427368</v>
      </c>
      <c r="T106">
        <v>-1.2347269999999999</v>
      </c>
      <c r="U106">
        <v>-4.110718E-2</v>
      </c>
      <c r="V106">
        <v>-9.2140910000000006E-2</v>
      </c>
      <c r="W106">
        <v>0.25170409999999999</v>
      </c>
      <c r="X106">
        <v>0.96340809999999999</v>
      </c>
      <c r="Y106">
        <v>-6.0287819999999999E-3</v>
      </c>
      <c r="Z106">
        <v>7.8623340000000003E-3</v>
      </c>
      <c r="AA106">
        <v>0.99995089999999998</v>
      </c>
      <c r="AB106">
        <v>10</v>
      </c>
      <c r="AC106">
        <v>0.65249999999997499</v>
      </c>
      <c r="AD106">
        <v>-0.26218049999999998</v>
      </c>
      <c r="AE106">
        <v>-7.2999999999865299E-3</v>
      </c>
      <c r="AF106">
        <v>-4.7379007285655297E-3</v>
      </c>
      <c r="AG106">
        <v>-0.26218049999999998</v>
      </c>
      <c r="AH106">
        <v>0.56182240308022902</v>
      </c>
      <c r="AI106">
        <v>115.015837422541</v>
      </c>
      <c r="AJ106">
        <v>90.483169199196197</v>
      </c>
      <c r="AK106">
        <v>0.62000441521525196</v>
      </c>
      <c r="AL106">
        <v>75.421625526938598</v>
      </c>
      <c r="AM106">
        <v>95.463184584650705</v>
      </c>
      <c r="AN106">
        <v>1.0000000341990201</v>
      </c>
    </row>
    <row r="107" spans="1:40" x14ac:dyDescent="0.25">
      <c r="A107" t="str">
        <f>"20190304164338073"</f>
        <v>20190304164338073</v>
      </c>
      <c r="B107" t="str">
        <f>"1551689018070273"</f>
        <v>1551689018070273</v>
      </c>
      <c r="C107" t="s">
        <v>40</v>
      </c>
      <c r="D107">
        <v>5.6953950000000004</v>
      </c>
      <c r="E107">
        <v>0.55652699999999999</v>
      </c>
      <c r="F107" t="s">
        <v>41</v>
      </c>
      <c r="G107">
        <v>-472.20740000000001</v>
      </c>
      <c r="H107">
        <v>0.87085630000000003</v>
      </c>
      <c r="I107">
        <v>367.14859999999999</v>
      </c>
      <c r="J107">
        <v>-472.77080000000001</v>
      </c>
      <c r="K107">
        <v>1.109251</v>
      </c>
      <c r="L107">
        <v>367.15449999999998</v>
      </c>
      <c r="M107">
        <v>0.99979660000000004</v>
      </c>
      <c r="N107">
        <v>-2.679767E-3</v>
      </c>
      <c r="O107">
        <v>-1.9985739999999998E-2</v>
      </c>
      <c r="P107">
        <v>0.96567599999999998</v>
      </c>
      <c r="Q107">
        <v>0.24922140000000001</v>
      </c>
      <c r="R107">
        <v>7.3201939999999993E-2</v>
      </c>
      <c r="S107">
        <v>3.4280400000000002</v>
      </c>
      <c r="T107">
        <v>-1.233541</v>
      </c>
      <c r="U107">
        <v>-4.1564940000000002E-2</v>
      </c>
      <c r="V107">
        <v>-9.2426830000000001E-2</v>
      </c>
      <c r="W107">
        <v>0.25182640000000001</v>
      </c>
      <c r="X107">
        <v>0.96334869999999995</v>
      </c>
      <c r="Y107">
        <v>-6.2328660000000001E-3</v>
      </c>
      <c r="Z107">
        <v>8.0159180000000003E-3</v>
      </c>
      <c r="AA107">
        <v>0.99994839999999996</v>
      </c>
      <c r="AB107">
        <v>10</v>
      </c>
      <c r="AC107">
        <v>0.56340000000000101</v>
      </c>
      <c r="AD107">
        <v>-0.23839469999999999</v>
      </c>
      <c r="AE107">
        <v>-5.8999999999968999E-3</v>
      </c>
      <c r="AF107">
        <v>-4.5471376742033101E-3</v>
      </c>
      <c r="AG107">
        <v>-0.23839469999999999</v>
      </c>
      <c r="AH107">
        <v>0.47785733084962101</v>
      </c>
      <c r="AI107">
        <v>116.51277356011001</v>
      </c>
      <c r="AJ107">
        <v>90.545191875577501</v>
      </c>
      <c r="AK107">
        <v>0.53404151345737405</v>
      </c>
      <c r="AL107">
        <v>75.414384309334395</v>
      </c>
      <c r="AM107">
        <v>95.480370047917305</v>
      </c>
      <c r="AN107">
        <v>0.99999998621624897</v>
      </c>
    </row>
    <row r="108" spans="1:40" x14ac:dyDescent="0.25">
      <c r="A108" t="str">
        <f>"20190304164338097"</f>
        <v>20190304164338097</v>
      </c>
      <c r="B108" t="str">
        <f>"1551689018089794"</f>
        <v>1551689018089794</v>
      </c>
      <c r="C108" t="s">
        <v>40</v>
      </c>
      <c r="D108">
        <v>5.621766</v>
      </c>
      <c r="E108">
        <v>0.5565833</v>
      </c>
      <c r="F108" t="s">
        <v>41</v>
      </c>
      <c r="G108">
        <v>-472.11649999999997</v>
      </c>
      <c r="H108">
        <v>0.87379680000000004</v>
      </c>
      <c r="I108">
        <v>367.14609999999999</v>
      </c>
      <c r="J108">
        <v>-472.66399999999999</v>
      </c>
      <c r="K108">
        <v>1.1092360000000001</v>
      </c>
      <c r="L108">
        <v>367.15190000000001</v>
      </c>
      <c r="M108">
        <v>0.99978889999999998</v>
      </c>
      <c r="N108">
        <v>-2.7238980000000002E-3</v>
      </c>
      <c r="O108">
        <v>-2.0371009999999998E-2</v>
      </c>
      <c r="P108">
        <v>0.96582650000000003</v>
      </c>
      <c r="Q108">
        <v>0.2487404</v>
      </c>
      <c r="R108">
        <v>7.2853609999999999E-2</v>
      </c>
      <c r="S108">
        <v>3.4280699999999902</v>
      </c>
      <c r="T108">
        <v>-1.2331529999999999</v>
      </c>
      <c r="U108">
        <v>-4.1595460000000001E-2</v>
      </c>
      <c r="V108">
        <v>-9.2446840000000002E-2</v>
      </c>
      <c r="W108">
        <v>0.25139020000000001</v>
      </c>
      <c r="X108">
        <v>0.96346069999999995</v>
      </c>
      <c r="Y108">
        <v>-6.5658469999999997E-3</v>
      </c>
      <c r="Z108">
        <v>8.2046040000000008E-3</v>
      </c>
      <c r="AA108">
        <v>0.99994479999999997</v>
      </c>
      <c r="AB108">
        <v>10</v>
      </c>
      <c r="AC108">
        <v>0.54750000000001298</v>
      </c>
      <c r="AD108">
        <v>-0.23543919999999999</v>
      </c>
      <c r="AE108">
        <v>-5.8000000000220098E-3</v>
      </c>
      <c r="AF108">
        <v>-4.51883242677905E-3</v>
      </c>
      <c r="AG108">
        <v>-0.23543919999999999</v>
      </c>
      <c r="AH108">
        <v>0.46206753382291199</v>
      </c>
      <c r="AI108">
        <v>116.999288674282</v>
      </c>
      <c r="AJ108">
        <v>90.560311542824294</v>
      </c>
      <c r="AK108">
        <v>0.51861203471991402</v>
      </c>
      <c r="AL108">
        <v>75.440207474181307</v>
      </c>
      <c r="AM108">
        <v>95.480915961486502</v>
      </c>
      <c r="AN108">
        <v>0.99999998566325699</v>
      </c>
    </row>
    <row r="109" spans="1:40" x14ac:dyDescent="0.25">
      <c r="A109" t="str">
        <f>"20190304164338109"</f>
        <v>20190304164338109</v>
      </c>
      <c r="B109" t="str">
        <f>"1551689018100531"</f>
        <v>1551689018100531</v>
      </c>
      <c r="C109" t="s">
        <v>40</v>
      </c>
      <c r="D109">
        <v>5.6957820000000003</v>
      </c>
      <c r="E109">
        <v>0.55660759999999998</v>
      </c>
      <c r="F109" t="s">
        <v>41</v>
      </c>
      <c r="G109">
        <v>-471.9434</v>
      </c>
      <c r="H109">
        <v>0.84965829999999998</v>
      </c>
      <c r="I109">
        <v>367.14240000000001</v>
      </c>
      <c r="J109">
        <v>-472.60340000000002</v>
      </c>
      <c r="K109">
        <v>1.1092329999999999</v>
      </c>
      <c r="L109">
        <v>367.15050000000002</v>
      </c>
      <c r="M109">
        <v>0.99978440000000002</v>
      </c>
      <c r="N109">
        <v>-2.7480780000000002E-3</v>
      </c>
      <c r="O109">
        <v>-2.0586230000000001E-2</v>
      </c>
      <c r="P109">
        <v>0.96593050000000003</v>
      </c>
      <c r="Q109">
        <v>0.24837200000000001</v>
      </c>
      <c r="R109">
        <v>7.2730970000000006E-2</v>
      </c>
      <c r="S109">
        <v>3.4271850000000001</v>
      </c>
      <c r="T109">
        <v>-1.23414</v>
      </c>
      <c r="U109">
        <v>-4.2266850000000002E-2</v>
      </c>
      <c r="V109">
        <v>-9.2531639999999998E-2</v>
      </c>
      <c r="W109">
        <v>0.2510464</v>
      </c>
      <c r="X109">
        <v>0.96354220000000002</v>
      </c>
      <c r="Y109">
        <v>-6.5655180000000002E-3</v>
      </c>
      <c r="Z109">
        <v>8.2869039999999995E-3</v>
      </c>
      <c r="AA109">
        <v>0.9999441</v>
      </c>
      <c r="AB109">
        <v>10</v>
      </c>
      <c r="AC109">
        <v>0.66000000000002501</v>
      </c>
      <c r="AD109">
        <v>-0.25957469999999899</v>
      </c>
      <c r="AE109">
        <v>-8.1000000000130898E-3</v>
      </c>
      <c r="AF109">
        <v>-4.7535113985213602E-3</v>
      </c>
      <c r="AG109">
        <v>-0.25957469999999899</v>
      </c>
      <c r="AH109">
        <v>0.57162127183613898</v>
      </c>
      <c r="AI109">
        <v>114.422176119216</v>
      </c>
      <c r="AJ109">
        <v>90.476451588808402</v>
      </c>
      <c r="AK109">
        <v>0.627815656993572</v>
      </c>
      <c r="AL109">
        <v>75.460558402935902</v>
      </c>
      <c r="AM109">
        <v>95.485451672299206</v>
      </c>
      <c r="AN109">
        <v>0.99999998526744405</v>
      </c>
    </row>
    <row r="110" spans="1:40" x14ac:dyDescent="0.25">
      <c r="A110" t="str">
        <f>"20190304164338122"</f>
        <v>20190304164338122</v>
      </c>
      <c r="B110" t="str">
        <f>"1551689018110290"</f>
        <v>1551689018110290</v>
      </c>
      <c r="C110" t="s">
        <v>40</v>
      </c>
      <c r="D110">
        <v>5.6251819999999997</v>
      </c>
      <c r="E110">
        <v>0.55662639999999997</v>
      </c>
      <c r="F110" t="s">
        <v>41</v>
      </c>
      <c r="G110">
        <v>-471.93549999999999</v>
      </c>
      <c r="H110">
        <v>0.86839840000000001</v>
      </c>
      <c r="I110">
        <v>367.14150000000001</v>
      </c>
      <c r="J110">
        <v>-472.54930000000002</v>
      </c>
      <c r="K110">
        <v>1.109227</v>
      </c>
      <c r="L110">
        <v>367.14909999999998</v>
      </c>
      <c r="M110">
        <v>0.99978049999999996</v>
      </c>
      <c r="N110">
        <v>-2.76918E-3</v>
      </c>
      <c r="O110">
        <v>-2.0776300000000001E-2</v>
      </c>
      <c r="P110">
        <v>0.96599539999999995</v>
      </c>
      <c r="Q110">
        <v>0.2482453</v>
      </c>
      <c r="R110">
        <v>7.2300020000000007E-2</v>
      </c>
      <c r="S110">
        <v>3.4266049999999999</v>
      </c>
      <c r="T110">
        <v>-1.235109</v>
      </c>
      <c r="U110">
        <v>-4.2755130000000002E-2</v>
      </c>
      <c r="V110">
        <v>-9.2283840000000006E-2</v>
      </c>
      <c r="W110">
        <v>0.25094070000000002</v>
      </c>
      <c r="X110">
        <v>0.96359349999999999</v>
      </c>
      <c r="Y110">
        <v>-6.5944280000000003E-3</v>
      </c>
      <c r="Z110">
        <v>8.3650140000000005E-3</v>
      </c>
      <c r="AA110">
        <v>0.99994329999999998</v>
      </c>
      <c r="AB110">
        <v>10</v>
      </c>
      <c r="AC110">
        <v>0.61380000000002599</v>
      </c>
      <c r="AD110">
        <v>-0.240828599999999</v>
      </c>
      <c r="AE110">
        <v>-7.5999999999680698E-3</v>
      </c>
      <c r="AF110">
        <v>-4.4666690952812902E-3</v>
      </c>
      <c r="AG110">
        <v>-0.240828599999999</v>
      </c>
      <c r="AH110">
        <v>0.53194785968089497</v>
      </c>
      <c r="AI110">
        <v>114.356916566046</v>
      </c>
      <c r="AJ110">
        <v>90.481090897405906</v>
      </c>
      <c r="AK110">
        <v>0.58394082844912598</v>
      </c>
      <c r="AL110">
        <v>75.466814878618905</v>
      </c>
      <c r="AM110">
        <v>95.470561369994996</v>
      </c>
      <c r="AN110">
        <v>0.99999998764194198</v>
      </c>
    </row>
    <row r="111" spans="1:40" x14ac:dyDescent="0.25">
      <c r="A111" t="str">
        <f>"20190304164338143"</f>
        <v>20190304164338143</v>
      </c>
      <c r="B111" t="str">
        <f>"1551689018129810"</f>
        <v>1551689018129810</v>
      </c>
      <c r="C111" t="s">
        <v>40</v>
      </c>
      <c r="D111">
        <v>5.6193970000000002</v>
      </c>
      <c r="E111">
        <v>0.55664899999999995</v>
      </c>
      <c r="F111" t="s">
        <v>41</v>
      </c>
      <c r="G111">
        <v>-471.84699999999998</v>
      </c>
      <c r="H111">
        <v>0.85602829999999996</v>
      </c>
      <c r="I111">
        <v>367.13979999999998</v>
      </c>
      <c r="J111">
        <v>-472.4529</v>
      </c>
      <c r="K111">
        <v>1.1092109999999999</v>
      </c>
      <c r="L111">
        <v>367.14679999999998</v>
      </c>
      <c r="M111">
        <v>0.99977329999999998</v>
      </c>
      <c r="N111">
        <v>-2.8058499999999999E-3</v>
      </c>
      <c r="O111">
        <v>-2.111159E-2</v>
      </c>
      <c r="P111">
        <v>0.96599880000000005</v>
      </c>
      <c r="Q111">
        <v>0.24838399999999999</v>
      </c>
      <c r="R111">
        <v>7.1776930000000003E-2</v>
      </c>
      <c r="S111">
        <v>3.4263919999999999</v>
      </c>
      <c r="T111">
        <v>-1.235336</v>
      </c>
      <c r="U111">
        <v>-4.4067380000000003E-2</v>
      </c>
      <c r="V111">
        <v>-9.2080590000000004E-2</v>
      </c>
      <c r="W111">
        <v>0.25111559999999999</v>
      </c>
      <c r="X111">
        <v>0.96356739999999996</v>
      </c>
      <c r="Y111">
        <v>-6.5288899999999999E-3</v>
      </c>
      <c r="Z111">
        <v>8.4710240000000006E-3</v>
      </c>
      <c r="AA111">
        <v>0.99994280000000002</v>
      </c>
      <c r="AB111">
        <v>10</v>
      </c>
      <c r="AC111">
        <v>0.60590000000001898</v>
      </c>
      <c r="AD111">
        <v>-0.25318269999999998</v>
      </c>
      <c r="AE111">
        <v>-7.0000000000049996E-3</v>
      </c>
      <c r="AF111">
        <v>-4.9320559533390998E-3</v>
      </c>
      <c r="AG111">
        <v>-0.25318269999999998</v>
      </c>
      <c r="AH111">
        <v>0.51585239039666597</v>
      </c>
      <c r="AI111">
        <v>116.140978688305</v>
      </c>
      <c r="AJ111">
        <v>90.547787284813694</v>
      </c>
      <c r="AK111">
        <v>0.57465597833240301</v>
      </c>
      <c r="AL111">
        <v>75.456462644125395</v>
      </c>
      <c r="AM111">
        <v>95.458732579942506</v>
      </c>
      <c r="AN111">
        <v>1.00000000698043</v>
      </c>
    </row>
    <row r="112" spans="1:40" x14ac:dyDescent="0.25">
      <c r="A112" t="str">
        <f>"20190304164338165"</f>
        <v>20190304164338165</v>
      </c>
      <c r="B112" t="str">
        <f>"1551689018160574"</f>
        <v>1551689018160574</v>
      </c>
      <c r="C112" t="s">
        <v>40</v>
      </c>
      <c r="D112">
        <v>5.6957300000000002</v>
      </c>
      <c r="E112">
        <v>0.55657860000000003</v>
      </c>
      <c r="F112" t="s">
        <v>41</v>
      </c>
      <c r="G112">
        <v>-471.75200000000001</v>
      </c>
      <c r="H112">
        <v>0.85665290000000005</v>
      </c>
      <c r="I112">
        <v>367.13709999999998</v>
      </c>
      <c r="J112">
        <v>-472.34249999999997</v>
      </c>
      <c r="K112">
        <v>1.1092010000000001</v>
      </c>
      <c r="L112">
        <v>367.14400000000001</v>
      </c>
      <c r="M112">
        <v>0.99976500000000001</v>
      </c>
      <c r="N112">
        <v>-2.8449870000000002E-3</v>
      </c>
      <c r="O112">
        <v>-2.1491340000000001E-2</v>
      </c>
      <c r="P112">
        <v>0.96592739999999999</v>
      </c>
      <c r="Q112">
        <v>0.24875820000000001</v>
      </c>
      <c r="R112">
        <v>7.1440939999999994E-2</v>
      </c>
      <c r="S112">
        <v>3.4263309999999998</v>
      </c>
      <c r="T112">
        <v>-1.2344059999999999</v>
      </c>
      <c r="U112">
        <v>-4.5074459999999997E-2</v>
      </c>
      <c r="V112">
        <v>-9.2107599999999998E-2</v>
      </c>
      <c r="W112">
        <v>0.25152829999999998</v>
      </c>
      <c r="X112">
        <v>0.96345720000000001</v>
      </c>
      <c r="Y112">
        <v>-6.5899779999999998E-3</v>
      </c>
      <c r="Z112">
        <v>8.6067550000000007E-3</v>
      </c>
      <c r="AA112">
        <v>0.99994119999999997</v>
      </c>
      <c r="AB112">
        <v>10</v>
      </c>
      <c r="AC112">
        <v>0.59050000000002001</v>
      </c>
      <c r="AD112">
        <v>-0.2525481</v>
      </c>
      <c r="AE112">
        <v>-6.9000000000300999E-3</v>
      </c>
      <c r="AF112">
        <v>-4.8967214873521098E-3</v>
      </c>
      <c r="AG112">
        <v>-0.2525481</v>
      </c>
      <c r="AH112">
        <v>0.49921132369274601</v>
      </c>
      <c r="AI112">
        <v>116.83347252764899</v>
      </c>
      <c r="AJ112">
        <v>90.561991412902202</v>
      </c>
      <c r="AK112">
        <v>0.55947874526026298</v>
      </c>
      <c r="AL112">
        <v>75.432032988185895</v>
      </c>
      <c r="AM112">
        <v>95.460944889214005</v>
      </c>
      <c r="AN112">
        <v>1.0000000359552399</v>
      </c>
    </row>
    <row r="113" spans="1:40" x14ac:dyDescent="0.25">
      <c r="A113" t="str">
        <f>"20190304164338187"</f>
        <v>20190304164338187</v>
      </c>
      <c r="B113" t="str">
        <f>"1551689018180093"</f>
        <v>1551689018180093</v>
      </c>
      <c r="C113" t="s">
        <v>40</v>
      </c>
      <c r="D113">
        <v>5.6022429999999996</v>
      </c>
      <c r="E113">
        <v>0.55656499999999998</v>
      </c>
      <c r="F113" t="s">
        <v>41</v>
      </c>
      <c r="G113">
        <v>-471.654</v>
      </c>
      <c r="H113">
        <v>0.86128510000000003</v>
      </c>
      <c r="I113">
        <v>367.1345</v>
      </c>
      <c r="J113">
        <v>-472.23579999999998</v>
      </c>
      <c r="K113">
        <v>1.1091869999999999</v>
      </c>
      <c r="L113">
        <v>367.1413</v>
      </c>
      <c r="M113">
        <v>0.99975709999999995</v>
      </c>
      <c r="N113">
        <v>-2.878102E-3</v>
      </c>
      <c r="O113">
        <v>-2.1855820000000001E-2</v>
      </c>
      <c r="P113">
        <v>0.96599080000000004</v>
      </c>
      <c r="Q113">
        <v>0.24861520000000001</v>
      </c>
      <c r="R113">
        <v>7.1081790000000006E-2</v>
      </c>
      <c r="S113">
        <v>3.4270019999999999</v>
      </c>
      <c r="T113">
        <v>-1.2337549999999999</v>
      </c>
      <c r="U113">
        <v>-4.586792E-2</v>
      </c>
      <c r="V113">
        <v>-9.2099769999999997E-2</v>
      </c>
      <c r="W113">
        <v>0.25141750000000002</v>
      </c>
      <c r="X113">
        <v>0.96348690000000003</v>
      </c>
      <c r="Y113">
        <v>-6.698898E-3</v>
      </c>
      <c r="Z113">
        <v>8.7455999999999992E-3</v>
      </c>
      <c r="AA113">
        <v>0.99993929999999998</v>
      </c>
      <c r="AB113">
        <v>11</v>
      </c>
      <c r="AC113">
        <v>0.58179999999998699</v>
      </c>
      <c r="AD113">
        <v>-0.24790190000000001</v>
      </c>
      <c r="AE113">
        <v>-6.7999999999983603E-3</v>
      </c>
      <c r="AF113">
        <v>-5.0082368952579798E-3</v>
      </c>
      <c r="AG113">
        <v>-0.24790190000000001</v>
      </c>
      <c r="AH113">
        <v>0.49241975284049599</v>
      </c>
      <c r="AI113">
        <v>116.721145544726</v>
      </c>
      <c r="AJ113">
        <v>90.582716151331695</v>
      </c>
      <c r="AK113">
        <v>0.55132354153246899</v>
      </c>
      <c r="AL113">
        <v>75.438592600758398</v>
      </c>
      <c r="AM113">
        <v>95.460316159268302</v>
      </c>
      <c r="AN113">
        <v>1.0000000667059501</v>
      </c>
    </row>
    <row r="114" spans="1:40" x14ac:dyDescent="0.25">
      <c r="A114" t="str">
        <f>"20190304164338209"</f>
        <v>20190304164338209</v>
      </c>
      <c r="B114" t="str">
        <f>"1551689018200589"</f>
        <v>1551689018200589</v>
      </c>
      <c r="C114" t="s">
        <v>40</v>
      </c>
      <c r="D114">
        <v>5.7443790000000003</v>
      </c>
      <c r="E114">
        <v>0.55657849999999998</v>
      </c>
      <c r="F114" t="s">
        <v>41</v>
      </c>
      <c r="G114">
        <v>-471.55540000000002</v>
      </c>
      <c r="H114">
        <v>0.86400290000000002</v>
      </c>
      <c r="I114">
        <v>367.13170000000002</v>
      </c>
      <c r="J114">
        <v>-472.12900000000002</v>
      </c>
      <c r="K114">
        <v>1.1091819999999999</v>
      </c>
      <c r="L114">
        <v>367.13850000000002</v>
      </c>
      <c r="M114">
        <v>0.99974890000000005</v>
      </c>
      <c r="N114">
        <v>-2.9056749999999999E-3</v>
      </c>
      <c r="O114">
        <v>-2.221803E-2</v>
      </c>
      <c r="P114">
        <v>0.96612719999999996</v>
      </c>
      <c r="Q114">
        <v>0.2481486</v>
      </c>
      <c r="R114">
        <v>7.0857790000000004E-2</v>
      </c>
      <c r="S114">
        <v>3.4266969999999999</v>
      </c>
      <c r="T114">
        <v>-1.23461</v>
      </c>
      <c r="U114">
        <v>-4.5776369999999997E-2</v>
      </c>
      <c r="V114">
        <v>-9.2227790000000004E-2</v>
      </c>
      <c r="W114">
        <v>0.25097809999999998</v>
      </c>
      <c r="X114">
        <v>0.96358909999999998</v>
      </c>
      <c r="Y114">
        <v>-7.0401090000000001E-3</v>
      </c>
      <c r="Z114">
        <v>8.9371480000000007E-3</v>
      </c>
      <c r="AA114">
        <v>0.99993529999999997</v>
      </c>
      <c r="AB114">
        <v>11</v>
      </c>
      <c r="AC114">
        <v>0.573599999999999</v>
      </c>
      <c r="AD114">
        <v>-0.24517909999999901</v>
      </c>
      <c r="AE114">
        <v>-6.7999999999983603E-3</v>
      </c>
      <c r="AF114">
        <v>-5.0275662000341904E-3</v>
      </c>
      <c r="AG114">
        <v>-0.24517909999999901</v>
      </c>
      <c r="AH114">
        <v>0.485008782969028</v>
      </c>
      <c r="AI114">
        <v>116.816031977943</v>
      </c>
      <c r="AJ114">
        <v>90.593902662670502</v>
      </c>
      <c r="AK114">
        <v>0.54348099051926602</v>
      </c>
      <c r="AL114">
        <v>75.464600803273498</v>
      </c>
      <c r="AM114">
        <v>95.467283693015602</v>
      </c>
      <c r="AN114">
        <v>0.99999996278335102</v>
      </c>
    </row>
    <row r="115" spans="1:40" x14ac:dyDescent="0.25">
      <c r="A115" t="str">
        <f>"20190304164338222"</f>
        <v>20190304164338222</v>
      </c>
      <c r="B115" t="str">
        <f>"1551689018210350"</f>
        <v>1551689018210350</v>
      </c>
      <c r="C115" t="s">
        <v>40</v>
      </c>
      <c r="D115">
        <v>5.7248190000000001</v>
      </c>
      <c r="E115">
        <v>0.55659590000000003</v>
      </c>
      <c r="F115" t="s">
        <v>41</v>
      </c>
      <c r="G115">
        <v>-471.45569999999998</v>
      </c>
      <c r="H115">
        <v>0.86628819999999995</v>
      </c>
      <c r="I115">
        <v>367.12920000000003</v>
      </c>
      <c r="J115">
        <v>-472.06630000000001</v>
      </c>
      <c r="K115">
        <v>1.1091770000000001</v>
      </c>
      <c r="L115">
        <v>367.13690000000003</v>
      </c>
      <c r="M115">
        <v>0.99974419999999997</v>
      </c>
      <c r="N115">
        <v>-2.918646E-3</v>
      </c>
      <c r="O115">
        <v>-2.242953E-2</v>
      </c>
      <c r="P115">
        <v>0.96606990000000004</v>
      </c>
      <c r="Q115">
        <v>0.2484172</v>
      </c>
      <c r="R115">
        <v>7.0696469999999997E-2</v>
      </c>
      <c r="S115">
        <v>3.4260250000000001</v>
      </c>
      <c r="T115">
        <v>-1.235868</v>
      </c>
      <c r="U115">
        <v>-4.6844480000000001E-2</v>
      </c>
      <c r="V115">
        <v>-9.2268619999999996E-2</v>
      </c>
      <c r="W115">
        <v>0.25125969999999997</v>
      </c>
      <c r="X115">
        <v>0.96351189999999998</v>
      </c>
      <c r="Y115">
        <v>-6.9271869999999996E-3</v>
      </c>
      <c r="Z115">
        <v>9.0005969999999904E-3</v>
      </c>
      <c r="AA115">
        <v>0.99993549999999998</v>
      </c>
      <c r="AB115">
        <v>11</v>
      </c>
      <c r="AC115">
        <v>0.61060000000003301</v>
      </c>
      <c r="AD115">
        <v>-0.24288879999999999</v>
      </c>
      <c r="AE115">
        <v>-7.6999999999998103E-3</v>
      </c>
      <c r="AF115">
        <v>-5.1782224792899902E-3</v>
      </c>
      <c r="AG115">
        <v>-0.24288879999999999</v>
      </c>
      <c r="AH115">
        <v>0.52720957798925605</v>
      </c>
      <c r="AI115">
        <v>114.734773823068</v>
      </c>
      <c r="AJ115">
        <v>90.562737791107494</v>
      </c>
      <c r="AK115">
        <v>0.58049265480029499</v>
      </c>
      <c r="AL115">
        <v>75.447933606082699</v>
      </c>
      <c r="AM115">
        <v>95.470125021826107</v>
      </c>
      <c r="AN115">
        <v>1.0000000582612001</v>
      </c>
    </row>
    <row r="116" spans="1:40" x14ac:dyDescent="0.25">
      <c r="A116" t="str">
        <f>"20190304164338234"</f>
        <v>20190304164338234</v>
      </c>
      <c r="B116" t="str">
        <f>"1551689018229869"</f>
        <v>1551689018229869</v>
      </c>
      <c r="C116" t="s">
        <v>40</v>
      </c>
      <c r="D116">
        <v>5.6248529999999999</v>
      </c>
      <c r="E116">
        <v>0.55662919999999905</v>
      </c>
      <c r="F116" t="s">
        <v>41</v>
      </c>
      <c r="G116">
        <v>-471.36059999999998</v>
      </c>
      <c r="H116">
        <v>0.85476580000000002</v>
      </c>
      <c r="I116">
        <v>367.12650000000002</v>
      </c>
      <c r="J116">
        <v>-472.00400000000002</v>
      </c>
      <c r="K116">
        <v>1.1091770000000001</v>
      </c>
      <c r="L116">
        <v>367.1352</v>
      </c>
      <c r="M116">
        <v>0.9997395</v>
      </c>
      <c r="N116">
        <v>-2.9301069999999999E-3</v>
      </c>
      <c r="O116">
        <v>-2.263888E-2</v>
      </c>
      <c r="P116">
        <v>0.96607399999999999</v>
      </c>
      <c r="Q116">
        <v>0.24846090000000001</v>
      </c>
      <c r="R116">
        <v>7.0487620000000001E-2</v>
      </c>
      <c r="S116">
        <v>3.426361</v>
      </c>
      <c r="T116">
        <v>-1.23489</v>
      </c>
      <c r="U116">
        <v>-4.721069E-2</v>
      </c>
      <c r="V116">
        <v>-9.2261750000000003E-2</v>
      </c>
      <c r="W116">
        <v>0.25131409999999998</v>
      </c>
      <c r="X116">
        <v>0.96349830000000003</v>
      </c>
      <c r="Y116">
        <v>-7.0157409999999998E-3</v>
      </c>
      <c r="Z116">
        <v>9.080945E-3</v>
      </c>
      <c r="AA116">
        <v>0.99993410000000005</v>
      </c>
      <c r="AB116">
        <v>11</v>
      </c>
      <c r="AC116">
        <v>0.64340000000004205</v>
      </c>
      <c r="AD116">
        <v>-0.254411199999999</v>
      </c>
      <c r="AE116">
        <v>-8.6999999999761695E-3</v>
      </c>
      <c r="AF116">
        <v>-5.0748205359514601E-3</v>
      </c>
      <c r="AG116">
        <v>-0.254411199999999</v>
      </c>
      <c r="AH116">
        <v>0.55644525375144505</v>
      </c>
      <c r="AI116">
        <v>114.56935561882401</v>
      </c>
      <c r="AJ116">
        <v>90.522527122638294</v>
      </c>
      <c r="AK116">
        <v>0.61186774135545197</v>
      </c>
      <c r="AL116">
        <v>75.444712383054394</v>
      </c>
      <c r="AM116">
        <v>95.469796943616501</v>
      </c>
      <c r="AN116">
        <v>0.99999999073738099</v>
      </c>
    </row>
    <row r="117" spans="1:40" x14ac:dyDescent="0.25">
      <c r="A117" t="str">
        <f>"20190304164338252"</f>
        <v>20190304164338252</v>
      </c>
      <c r="B117" t="str">
        <f>"1551689018240606"</f>
        <v>1551689018240606</v>
      </c>
      <c r="C117" t="s">
        <v>40</v>
      </c>
      <c r="D117">
        <v>5.7014990000000001</v>
      </c>
      <c r="E117">
        <v>0.55664559999999996</v>
      </c>
      <c r="F117" t="s">
        <v>41</v>
      </c>
      <c r="G117">
        <v>-471.26429999999999</v>
      </c>
      <c r="H117">
        <v>0.84271489999999905</v>
      </c>
      <c r="I117">
        <v>367.12490000000003</v>
      </c>
      <c r="J117">
        <v>-471.91019999999997</v>
      </c>
      <c r="K117">
        <v>1.1091740000000001</v>
      </c>
      <c r="L117">
        <v>367.13279999999997</v>
      </c>
      <c r="M117">
        <v>0.99973230000000002</v>
      </c>
      <c r="N117">
        <v>-2.9438989999999998E-3</v>
      </c>
      <c r="O117">
        <v>-2.2950990000000001E-2</v>
      </c>
      <c r="P117">
        <v>0.96595790000000004</v>
      </c>
      <c r="Q117">
        <v>0.24909110000000001</v>
      </c>
      <c r="R117">
        <v>6.9850209999999996E-2</v>
      </c>
      <c r="S117">
        <v>3.4262079999999999</v>
      </c>
      <c r="T117">
        <v>-1.2340530000000001</v>
      </c>
      <c r="U117">
        <v>-4.8065190000000001E-2</v>
      </c>
      <c r="V117">
        <v>-9.1922429999999999E-2</v>
      </c>
      <c r="W117">
        <v>0.25195689999999998</v>
      </c>
      <c r="X117">
        <v>0.96336279999999996</v>
      </c>
      <c r="Y117">
        <v>-7.0583649999999996E-3</v>
      </c>
      <c r="Z117">
        <v>9.1907959999999993E-3</v>
      </c>
      <c r="AA117">
        <v>0.99993279999999995</v>
      </c>
      <c r="AB117">
        <v>11</v>
      </c>
      <c r="AC117">
        <v>0.64589999999998304</v>
      </c>
      <c r="AD117">
        <v>-0.26645909999999901</v>
      </c>
      <c r="AE117">
        <v>-7.8999999999496105E-3</v>
      </c>
      <c r="AF117">
        <v>-5.9189941495171802E-3</v>
      </c>
      <c r="AG117">
        <v>-0.26645909999999901</v>
      </c>
      <c r="AH117">
        <v>0.55198385180270604</v>
      </c>
      <c r="AI117">
        <v>115.76670271492</v>
      </c>
      <c r="AJ117">
        <v>90.614366498304804</v>
      </c>
      <c r="AK117">
        <v>0.61296138468545003</v>
      </c>
      <c r="AL117">
        <v>75.406657518696804</v>
      </c>
      <c r="AM117">
        <v>95.450563392199598</v>
      </c>
      <c r="AN117">
        <v>0.99999994850927598</v>
      </c>
    </row>
    <row r="118" spans="1:40" x14ac:dyDescent="0.25">
      <c r="A118" t="str">
        <f>"20190304164338265"</f>
        <v>20190304164338265</v>
      </c>
      <c r="B118" t="str">
        <f>"1551689018260126"</f>
        <v>1551689018260126</v>
      </c>
      <c r="C118" t="s">
        <v>40</v>
      </c>
      <c r="D118">
        <v>5.7311550000000002</v>
      </c>
      <c r="E118">
        <v>0.55667880000000003</v>
      </c>
      <c r="F118" t="s">
        <v>41</v>
      </c>
      <c r="G118">
        <v>-471.2518</v>
      </c>
      <c r="H118">
        <v>0.87256529999999999</v>
      </c>
      <c r="I118">
        <v>367.1232</v>
      </c>
      <c r="J118">
        <v>-471.84390000000002</v>
      </c>
      <c r="K118">
        <v>1.109175</v>
      </c>
      <c r="L118">
        <v>367.13099999999997</v>
      </c>
      <c r="M118">
        <v>0.99972729999999999</v>
      </c>
      <c r="N118">
        <v>-2.9521259999999998E-3</v>
      </c>
      <c r="O118">
        <v>-2.3168439999999998E-2</v>
      </c>
      <c r="P118">
        <v>0.96598709999999999</v>
      </c>
      <c r="Q118">
        <v>0.24899070000000001</v>
      </c>
      <c r="R118">
        <v>6.9805610000000004E-2</v>
      </c>
      <c r="S118">
        <v>3.4269409999999998</v>
      </c>
      <c r="T118">
        <v>-1.23146</v>
      </c>
      <c r="U118">
        <v>-4.9987789999999997E-2</v>
      </c>
      <c r="V118">
        <v>-9.2087790000000003E-2</v>
      </c>
      <c r="W118">
        <v>0.2518647</v>
      </c>
      <c r="X118">
        <v>0.96337119999999998</v>
      </c>
      <c r="Y118">
        <v>-6.7336050000000001E-3</v>
      </c>
      <c r="Z118">
        <v>9.1884970000000003E-3</v>
      </c>
      <c r="AA118">
        <v>0.99993509999999997</v>
      </c>
      <c r="AB118">
        <v>11</v>
      </c>
      <c r="AC118">
        <v>0.59210000000001595</v>
      </c>
      <c r="AD118">
        <v>-0.23660970000000001</v>
      </c>
      <c r="AE118">
        <v>-7.79999999997471E-3</v>
      </c>
      <c r="AF118">
        <v>-5.1050990421544597E-3</v>
      </c>
      <c r="AG118">
        <v>-0.23660970000000001</v>
      </c>
      <c r="AH118">
        <v>0.51059890451441303</v>
      </c>
      <c r="AI118">
        <v>114.86174465542101</v>
      </c>
      <c r="AJ118">
        <v>90.572838837858697</v>
      </c>
      <c r="AK118">
        <v>0.56278011111058202</v>
      </c>
      <c r="AL118">
        <v>75.412117424820806</v>
      </c>
      <c r="AM118">
        <v>95.460261924831698</v>
      </c>
      <c r="AN118">
        <v>1.0000000285813</v>
      </c>
    </row>
    <row r="119" spans="1:40" x14ac:dyDescent="0.25">
      <c r="A119" t="str">
        <f>"20190304164338287"</f>
        <v>20190304164338287</v>
      </c>
      <c r="B119" t="str">
        <f>"1551689018280622"</f>
        <v>1551689018280622</v>
      </c>
      <c r="C119" t="s">
        <v>40</v>
      </c>
      <c r="D119">
        <v>5.6951219999999996</v>
      </c>
      <c r="E119">
        <v>0.55670620000000004</v>
      </c>
      <c r="F119" t="s">
        <v>41</v>
      </c>
      <c r="G119">
        <v>-471.154</v>
      </c>
      <c r="H119">
        <v>0.86123859999999997</v>
      </c>
      <c r="I119">
        <v>367.12060000000002</v>
      </c>
      <c r="J119">
        <v>-471.73149999999998</v>
      </c>
      <c r="K119">
        <v>1.1091679999999999</v>
      </c>
      <c r="L119">
        <v>367.12790000000001</v>
      </c>
      <c r="M119">
        <v>0.99971869999999996</v>
      </c>
      <c r="N119">
        <v>-2.9654809999999998E-3</v>
      </c>
      <c r="O119">
        <v>-2.353121E-2</v>
      </c>
      <c r="P119">
        <v>0.9660358</v>
      </c>
      <c r="Q119">
        <v>0.24893009999999999</v>
      </c>
      <c r="R119">
        <v>6.9345589999999999E-2</v>
      </c>
      <c r="S119">
        <v>3.4266969999999999</v>
      </c>
      <c r="T119">
        <v>-1.2314830000000001</v>
      </c>
      <c r="U119">
        <v>-5.0323489999999999E-2</v>
      </c>
      <c r="V119">
        <v>-9.1979169999999999E-2</v>
      </c>
      <c r="W119">
        <v>0.25181710000000002</v>
      </c>
      <c r="X119">
        <v>0.96339399999999997</v>
      </c>
      <c r="Y119">
        <v>-6.9606030000000001E-3</v>
      </c>
      <c r="Z119">
        <v>9.3542409999999993E-3</v>
      </c>
      <c r="AA119">
        <v>0.99993209999999999</v>
      </c>
      <c r="AB119">
        <v>11</v>
      </c>
      <c r="AC119">
        <v>0.57749999999998602</v>
      </c>
      <c r="AD119">
        <v>-0.247929399999999</v>
      </c>
      <c r="AE119">
        <v>-7.2999999999865299E-3</v>
      </c>
      <c r="AF119">
        <v>-5.3123795366897203E-3</v>
      </c>
      <c r="AG119">
        <v>-0.247929399999999</v>
      </c>
      <c r="AH119">
        <v>0.48764729638280901</v>
      </c>
      <c r="AI119">
        <v>116.94829860869901</v>
      </c>
      <c r="AJ119">
        <v>90.624149644409798</v>
      </c>
      <c r="AK119">
        <v>0.54708051914701294</v>
      </c>
      <c r="AL119">
        <v>75.414935249400699</v>
      </c>
      <c r="AM119">
        <v>95.453731962020001</v>
      </c>
      <c r="AN119">
        <v>1.0000000094011401</v>
      </c>
    </row>
    <row r="120" spans="1:40" x14ac:dyDescent="0.25">
      <c r="A120" t="str">
        <f>"20190304164338300"</f>
        <v>20190304164338300</v>
      </c>
      <c r="B120" t="str">
        <f>"1551689018290382"</f>
        <v>1551689018290382</v>
      </c>
      <c r="C120" t="s">
        <v>40</v>
      </c>
      <c r="D120">
        <v>5.7003680000000001</v>
      </c>
      <c r="E120">
        <v>0.55671530000000002</v>
      </c>
      <c r="F120" t="s">
        <v>41</v>
      </c>
      <c r="G120">
        <v>-471.04899999999998</v>
      </c>
      <c r="H120">
        <v>0.86393249999999999</v>
      </c>
      <c r="I120">
        <v>367.11720000000003</v>
      </c>
      <c r="J120">
        <v>-471.66559999999998</v>
      </c>
      <c r="K120">
        <v>1.1091679999999999</v>
      </c>
      <c r="L120">
        <v>367.12610000000001</v>
      </c>
      <c r="M120">
        <v>0.99971390000000004</v>
      </c>
      <c r="N120">
        <v>-2.9730970000000001E-3</v>
      </c>
      <c r="O120">
        <v>-2.3739360000000001E-2</v>
      </c>
      <c r="P120">
        <v>0.96604060000000003</v>
      </c>
      <c r="Q120">
        <v>0.24897240000000001</v>
      </c>
      <c r="R120">
        <v>6.9129869999999996E-2</v>
      </c>
      <c r="S120">
        <v>3.4264830000000002</v>
      </c>
      <c r="T120">
        <v>-1.2310700000000001</v>
      </c>
      <c r="U120">
        <v>-5.264282E-2</v>
      </c>
      <c r="V120">
        <v>-9.1965089999999999E-2</v>
      </c>
      <c r="W120">
        <v>0.25186649999999999</v>
      </c>
      <c r="X120">
        <v>0.96338239999999997</v>
      </c>
      <c r="Y120">
        <v>-6.5080429999999998E-3</v>
      </c>
      <c r="Z120">
        <v>9.3439839999999996E-3</v>
      </c>
      <c r="AA120">
        <v>0.99993520000000002</v>
      </c>
      <c r="AB120">
        <v>11</v>
      </c>
      <c r="AC120">
        <v>0.61659999999994797</v>
      </c>
      <c r="AD120">
        <v>-0.245235499999999</v>
      </c>
      <c r="AE120">
        <v>-8.8999999999828001E-3</v>
      </c>
      <c r="AF120">
        <v>-4.9564048651806504E-3</v>
      </c>
      <c r="AG120">
        <v>-0.245235499999999</v>
      </c>
      <c r="AH120">
        <v>0.53243320530836402</v>
      </c>
      <c r="AI120">
        <v>114.72956697163301</v>
      </c>
      <c r="AJ120">
        <v>90.533349300818003</v>
      </c>
      <c r="AK120">
        <v>0.58621679822773398</v>
      </c>
      <c r="AL120">
        <v>75.412010134203001</v>
      </c>
      <c r="AM120">
        <v>95.452967409398497</v>
      </c>
      <c r="AN120">
        <v>0.99999998011535796</v>
      </c>
    </row>
    <row r="121" spans="1:40" x14ac:dyDescent="0.25">
      <c r="A121" t="str">
        <f>"20190304164338312"</f>
        <v>20190304164338312</v>
      </c>
      <c r="B121" t="str">
        <f>"1551689018300142"</f>
        <v>1551689018300142</v>
      </c>
      <c r="C121" t="s">
        <v>40</v>
      </c>
      <c r="D121">
        <v>5.6231549999999997</v>
      </c>
      <c r="E121">
        <v>0.55673269999999997</v>
      </c>
      <c r="F121" t="s">
        <v>41</v>
      </c>
      <c r="G121">
        <v>-470.94900000000001</v>
      </c>
      <c r="H121">
        <v>0.85175529999999999</v>
      </c>
      <c r="I121">
        <v>367.11470000000003</v>
      </c>
      <c r="J121">
        <v>-471.59629999999999</v>
      </c>
      <c r="K121">
        <v>1.1091770000000001</v>
      </c>
      <c r="L121">
        <v>367.12430000000001</v>
      </c>
      <c r="M121">
        <v>0.99970879999999995</v>
      </c>
      <c r="N121">
        <v>-2.9809860000000001E-3</v>
      </c>
      <c r="O121">
        <v>-2.3955259999999999E-2</v>
      </c>
      <c r="P121">
        <v>0.96601709999999996</v>
      </c>
      <c r="Q121">
        <v>0.2491814</v>
      </c>
      <c r="R121">
        <v>6.870358E-2</v>
      </c>
      <c r="S121">
        <v>3.4265140000000001</v>
      </c>
      <c r="T121">
        <v>-1.2308209999999999</v>
      </c>
      <c r="U121">
        <v>-5.3466800000000002E-2</v>
      </c>
      <c r="V121">
        <v>-9.1747980000000007E-2</v>
      </c>
      <c r="W121">
        <v>0.25208249999999999</v>
      </c>
      <c r="X121">
        <v>0.9633467</v>
      </c>
      <c r="Y121">
        <v>-6.4734769999999896E-3</v>
      </c>
      <c r="Z121">
        <v>9.4104110000000005E-3</v>
      </c>
      <c r="AA121">
        <v>0.99993480000000001</v>
      </c>
      <c r="AB121">
        <v>12</v>
      </c>
      <c r="AC121">
        <v>0.64729999999997201</v>
      </c>
      <c r="AD121">
        <v>-0.25742169999999998</v>
      </c>
      <c r="AE121">
        <v>-9.5999999999776195E-3</v>
      </c>
      <c r="AF121">
        <v>-5.10229191099279E-3</v>
      </c>
      <c r="AG121">
        <v>-0.25742169999999998</v>
      </c>
      <c r="AH121">
        <v>0.55896182754681201</v>
      </c>
      <c r="AI121">
        <v>114.72683614725599</v>
      </c>
      <c r="AJ121">
        <v>90.522990406095204</v>
      </c>
      <c r="AK121">
        <v>0.615410667496191</v>
      </c>
      <c r="AL121">
        <v>75.399222973631694</v>
      </c>
      <c r="AM121">
        <v>95.440371830311904</v>
      </c>
      <c r="AN121">
        <v>1.0000000715206001</v>
      </c>
    </row>
    <row r="122" spans="1:40" x14ac:dyDescent="0.25">
      <c r="A122" t="str">
        <f>"20190304164338332"</f>
        <v>20190304164338332</v>
      </c>
      <c r="B122" t="str">
        <f>"1551689018320638"</f>
        <v>1551689018320638</v>
      </c>
      <c r="C122" t="s">
        <v>40</v>
      </c>
      <c r="D122">
        <v>5.6209110000000004</v>
      </c>
      <c r="E122">
        <v>0.55675450000000004</v>
      </c>
      <c r="F122" t="s">
        <v>41</v>
      </c>
      <c r="G122">
        <v>-470.93979999999999</v>
      </c>
      <c r="H122">
        <v>0.87355649999999996</v>
      </c>
      <c r="I122">
        <v>367.11349999999999</v>
      </c>
      <c r="J122">
        <v>-471.49619999999999</v>
      </c>
      <c r="K122">
        <v>1.1091789999999999</v>
      </c>
      <c r="L122">
        <v>367.12150000000003</v>
      </c>
      <c r="M122">
        <v>0.99970139999999996</v>
      </c>
      <c r="N122">
        <v>-2.9908669999999999E-3</v>
      </c>
      <c r="O122">
        <v>-2.42571E-2</v>
      </c>
      <c r="P122">
        <v>0.96596190000000004</v>
      </c>
      <c r="Q122">
        <v>0.24942149999999999</v>
      </c>
      <c r="R122">
        <v>6.8606819999999999E-2</v>
      </c>
      <c r="S122">
        <v>3.4266969999999999</v>
      </c>
      <c r="T122">
        <v>-1.2298070000000001</v>
      </c>
      <c r="U122">
        <v>-5.5175780000000001E-2</v>
      </c>
      <c r="V122">
        <v>-9.1942560000000007E-2</v>
      </c>
      <c r="W122">
        <v>0.25233119999999998</v>
      </c>
      <c r="X122">
        <v>0.96326299999999998</v>
      </c>
      <c r="Y122">
        <v>-6.2749579999999998E-3</v>
      </c>
      <c r="Z122">
        <v>9.4716279999999993E-3</v>
      </c>
      <c r="AA122">
        <v>0.99993540000000003</v>
      </c>
      <c r="AB122">
        <v>12</v>
      </c>
      <c r="AC122">
        <v>0.55639999999999601</v>
      </c>
      <c r="AD122">
        <v>-0.23562250000000001</v>
      </c>
      <c r="AE122">
        <v>-8.0000000000381901E-3</v>
      </c>
      <c r="AF122">
        <v>-4.6630068139778703E-3</v>
      </c>
      <c r="AG122">
        <v>-0.23562250000000001</v>
      </c>
      <c r="AH122">
        <v>0.47183281468899402</v>
      </c>
      <c r="AI122">
        <v>116.535373876459</v>
      </c>
      <c r="AJ122">
        <v>90.566221560682493</v>
      </c>
      <c r="AK122">
        <v>0.52741436381287199</v>
      </c>
      <c r="AL122">
        <v>75.384496987834396</v>
      </c>
      <c r="AM122">
        <v>95.452311246342205</v>
      </c>
      <c r="AN122">
        <v>1.00000003800089</v>
      </c>
    </row>
    <row r="123" spans="1:40" x14ac:dyDescent="0.25">
      <c r="A123" t="str">
        <f>"20190304164338355"</f>
        <v>20190304164338355</v>
      </c>
      <c r="B123" t="str">
        <f>"1551689018349918"</f>
        <v>1551689018349918</v>
      </c>
      <c r="C123" t="s">
        <v>40</v>
      </c>
      <c r="D123">
        <v>5.6254429999999997</v>
      </c>
      <c r="E123">
        <v>0.55674099999999904</v>
      </c>
      <c r="F123" t="s">
        <v>41</v>
      </c>
      <c r="G123">
        <v>-470.83420000000001</v>
      </c>
      <c r="H123">
        <v>0.87188449999999995</v>
      </c>
      <c r="I123">
        <v>367.11079999999998</v>
      </c>
      <c r="J123">
        <v>-471.37279999999998</v>
      </c>
      <c r="K123">
        <v>1.1091770000000001</v>
      </c>
      <c r="L123">
        <v>367.11810000000003</v>
      </c>
      <c r="M123">
        <v>0.9996929</v>
      </c>
      <c r="N123">
        <v>-2.9944110000000002E-3</v>
      </c>
      <c r="O123">
        <v>-2.460147E-2</v>
      </c>
      <c r="P123">
        <v>0.96579649999999995</v>
      </c>
      <c r="Q123">
        <v>0.25019770000000002</v>
      </c>
      <c r="R123">
        <v>6.8104639999999994E-2</v>
      </c>
      <c r="S123">
        <v>3.4268190000000001</v>
      </c>
      <c r="T123">
        <v>-1.2284330000000001</v>
      </c>
      <c r="U123">
        <v>-5.502319E-2</v>
      </c>
      <c r="V123">
        <v>-9.1771710000000006E-2</v>
      </c>
      <c r="W123">
        <v>0.25310899999999997</v>
      </c>
      <c r="X123">
        <v>0.96307520000000002</v>
      </c>
      <c r="Y123">
        <v>-6.6256569999999897E-3</v>
      </c>
      <c r="Z123">
        <v>9.6413850000000006E-3</v>
      </c>
      <c r="AA123">
        <v>0.99993160000000003</v>
      </c>
      <c r="AB123">
        <v>12</v>
      </c>
      <c r="AC123">
        <v>0.53859999999997399</v>
      </c>
      <c r="AD123">
        <v>-0.23729249999999999</v>
      </c>
      <c r="AE123">
        <v>-7.3000000000433803E-3</v>
      </c>
      <c r="AF123">
        <v>-4.9851569327033704E-3</v>
      </c>
      <c r="AG123">
        <v>-0.23729249999999999</v>
      </c>
      <c r="AH123">
        <v>0.45107669695192998</v>
      </c>
      <c r="AI123">
        <v>117.74553097036799</v>
      </c>
      <c r="AJ123">
        <v>90.633189048287306</v>
      </c>
      <c r="AK123">
        <v>0.50970851364182401</v>
      </c>
      <c r="AL123">
        <v>75.338437035407097</v>
      </c>
      <c r="AM123">
        <v>95.443295374048105</v>
      </c>
      <c r="AN123">
        <v>1.0000000267461799</v>
      </c>
    </row>
    <row r="124" spans="1:40" x14ac:dyDescent="0.25">
      <c r="A124" t="str">
        <f>"20190304164338377"</f>
        <v>20190304164338377</v>
      </c>
      <c r="B124" t="str">
        <f>"1551689018370414"</f>
        <v>1551689018370414</v>
      </c>
      <c r="C124" t="s">
        <v>40</v>
      </c>
      <c r="D124">
        <v>5.6874500000000001</v>
      </c>
      <c r="E124">
        <v>0.55674099999999904</v>
      </c>
      <c r="F124" t="s">
        <v>41</v>
      </c>
      <c r="G124">
        <v>-470.62920000000003</v>
      </c>
      <c r="H124">
        <v>0.84328440000000005</v>
      </c>
      <c r="I124">
        <v>367.10579999999999</v>
      </c>
      <c r="J124">
        <v>-471.2568</v>
      </c>
      <c r="K124">
        <v>1.109151</v>
      </c>
      <c r="L124">
        <v>367.1148</v>
      </c>
      <c r="M124">
        <v>0.9996912</v>
      </c>
      <c r="N124">
        <v>-2.9078300000000001E-3</v>
      </c>
      <c r="O124">
        <v>-2.467774E-2</v>
      </c>
      <c r="P124">
        <v>0.96555219999999997</v>
      </c>
      <c r="Q124">
        <v>0.25103209999999998</v>
      </c>
      <c r="R124">
        <v>6.8498519999999993E-2</v>
      </c>
      <c r="S124">
        <v>3.4277039999999999</v>
      </c>
      <c r="T124">
        <v>-1.225625</v>
      </c>
      <c r="U124">
        <v>-5.603027E-2</v>
      </c>
      <c r="V124">
        <v>-9.2234250000000004E-2</v>
      </c>
      <c r="W124">
        <v>0.2538591</v>
      </c>
      <c r="X124">
        <v>0.96283350000000001</v>
      </c>
      <c r="Y124">
        <v>-6.4289509999999996E-3</v>
      </c>
      <c r="Z124">
        <v>9.6117010000000003E-3</v>
      </c>
      <c r="AA124">
        <v>0.99993310000000002</v>
      </c>
      <c r="AB124">
        <v>12</v>
      </c>
      <c r="AC124">
        <v>0.62759999999997196</v>
      </c>
      <c r="AD124">
        <v>-0.26586659999999901</v>
      </c>
      <c r="AE124">
        <v>-9.0000000000145502E-3</v>
      </c>
      <c r="AF124">
        <v>-5.5031735540709403E-3</v>
      </c>
      <c r="AG124">
        <v>-0.26586659999999901</v>
      </c>
      <c r="AH124">
        <v>0.53215193065048705</v>
      </c>
      <c r="AI124">
        <v>116.545789947996</v>
      </c>
      <c r="AJ124">
        <v>90.592495039572199</v>
      </c>
      <c r="AK124">
        <v>0.59489579861498998</v>
      </c>
      <c r="AL124">
        <v>75.294007621732007</v>
      </c>
      <c r="AM124">
        <v>95.471929132279101</v>
      </c>
      <c r="AN124">
        <v>0.99999997412406005</v>
      </c>
    </row>
    <row r="125" spans="1:40" x14ac:dyDescent="0.25">
      <c r="A125" t="str">
        <f>"20190304164338388"</f>
        <v>20190304164338388</v>
      </c>
      <c r="B125" t="str">
        <f>"1551689018380175"</f>
        <v>1551689018380175</v>
      </c>
      <c r="C125" t="s">
        <v>40</v>
      </c>
      <c r="D125">
        <v>5.5247260000000002</v>
      </c>
      <c r="E125">
        <v>0.53945500000000002</v>
      </c>
      <c r="F125" t="s">
        <v>41</v>
      </c>
      <c r="G125">
        <v>-470.51780000000002</v>
      </c>
      <c r="H125">
        <v>0.84560990000000003</v>
      </c>
      <c r="I125">
        <v>367.10230000000001</v>
      </c>
      <c r="J125">
        <v>-471.18279999999999</v>
      </c>
      <c r="K125">
        <v>1.109178</v>
      </c>
      <c r="L125">
        <v>367.11259999999999</v>
      </c>
      <c r="M125">
        <v>0.99968800000000002</v>
      </c>
      <c r="N125">
        <v>-2.9437600000000001E-3</v>
      </c>
      <c r="O125">
        <v>-2.4804199999999998E-2</v>
      </c>
      <c r="P125">
        <v>0.96552530000000003</v>
      </c>
      <c r="Q125">
        <v>0.25111869999999997</v>
      </c>
      <c r="R125">
        <v>6.8559149999999999E-2</v>
      </c>
      <c r="S125">
        <v>3.4287719999999999</v>
      </c>
      <c r="T125">
        <v>-1.2225250000000001</v>
      </c>
      <c r="U125">
        <v>-5.5328370000000002E-2</v>
      </c>
      <c r="V125">
        <v>-9.2447269999999998E-2</v>
      </c>
      <c r="W125">
        <v>0.25396839999999998</v>
      </c>
      <c r="X125">
        <v>0.96278430000000004</v>
      </c>
      <c r="Y125">
        <v>-6.7484659999999998E-3</v>
      </c>
      <c r="Z125">
        <v>9.6841919999999995E-3</v>
      </c>
      <c r="AA125">
        <v>0.99993030000000005</v>
      </c>
      <c r="AB125">
        <v>12</v>
      </c>
      <c r="AC125">
        <v>0.66499999999996295</v>
      </c>
      <c r="AD125">
        <v>-0.26356810000000003</v>
      </c>
      <c r="AE125">
        <v>-1.0299999999972401E-2</v>
      </c>
      <c r="AF125">
        <v>-5.3567545629745602E-3</v>
      </c>
      <c r="AG125">
        <v>-0.26356810000000003</v>
      </c>
      <c r="AH125">
        <v>0.574781402466498</v>
      </c>
      <c r="AI125">
        <v>114.63305219907301</v>
      </c>
      <c r="AJ125">
        <v>90.533960461483801</v>
      </c>
      <c r="AK125">
        <v>0.63235314404090104</v>
      </c>
      <c r="AL125">
        <v>75.287533796590907</v>
      </c>
      <c r="AM125">
        <v>95.484768438972793</v>
      </c>
      <c r="AN125">
        <v>1.00000002712775</v>
      </c>
    </row>
    <row r="126" spans="1:40" x14ac:dyDescent="0.25">
      <c r="A126" t="str">
        <f>"20190304164338411"</f>
        <v>20190304164338411</v>
      </c>
      <c r="B126" t="str">
        <f>"1551689018399693"</f>
        <v>1551689018399693</v>
      </c>
      <c r="C126" t="s">
        <v>40</v>
      </c>
      <c r="D126">
        <v>5.4944829999999998</v>
      </c>
      <c r="E126">
        <v>0.52609709999999998</v>
      </c>
      <c r="F126" t="s">
        <v>41</v>
      </c>
      <c r="G126">
        <v>-470.48390000000001</v>
      </c>
      <c r="H126">
        <v>0.92161700000000002</v>
      </c>
      <c r="I126">
        <v>367.12279999999998</v>
      </c>
      <c r="J126">
        <v>-471.06369999999998</v>
      </c>
      <c r="K126">
        <v>1.1092839999999999</v>
      </c>
      <c r="L126">
        <v>367.10919999999999</v>
      </c>
      <c r="M126">
        <v>0.99967740000000005</v>
      </c>
      <c r="N126">
        <v>-3.0735789999999999E-3</v>
      </c>
      <c r="O126">
        <v>-2.5215049999999999E-2</v>
      </c>
      <c r="P126">
        <v>0.96551169999999997</v>
      </c>
      <c r="Q126">
        <v>0.2512392</v>
      </c>
      <c r="R126">
        <v>6.8309620000000001E-2</v>
      </c>
      <c r="S126">
        <v>3.3363339999999901</v>
      </c>
      <c r="T126">
        <v>-0.89525149999999998</v>
      </c>
      <c r="U126">
        <v>5.1055910000000003E-2</v>
      </c>
      <c r="V126">
        <v>-9.2677850000000006E-2</v>
      </c>
      <c r="W126">
        <v>0.2541833</v>
      </c>
      <c r="X126">
        <v>0.96270540000000004</v>
      </c>
      <c r="Y126">
        <v>-3.8267509999999998E-2</v>
      </c>
      <c r="Z126">
        <v>1.1676260000000001E-2</v>
      </c>
      <c r="AA126">
        <v>0.99919930000000001</v>
      </c>
      <c r="AB126">
        <v>12</v>
      </c>
      <c r="AC126">
        <v>0.579799999999977</v>
      </c>
      <c r="AD126">
        <v>-0.187666999999999</v>
      </c>
      <c r="AE126">
        <v>1.35999999999967E-2</v>
      </c>
      <c r="AF126">
        <v>-2.5541071278917301E-2</v>
      </c>
      <c r="AG126">
        <v>-0.187666999999999</v>
      </c>
      <c r="AH126">
        <v>0.52436720117633495</v>
      </c>
      <c r="AI126">
        <v>109.67037142917199</v>
      </c>
      <c r="AJ126">
        <v>92.788580073882699</v>
      </c>
      <c r="AK126">
        <v>0.55752328281478702</v>
      </c>
      <c r="AL126">
        <v>75.274802919539695</v>
      </c>
      <c r="AM126">
        <v>95.498812565952207</v>
      </c>
      <c r="AN126">
        <v>1.0000000105343301</v>
      </c>
    </row>
    <row r="127" spans="1:40" x14ac:dyDescent="0.25">
      <c r="A127" t="str">
        <f>"20190304164338433"</f>
        <v>20190304164338433</v>
      </c>
      <c r="B127" t="str">
        <f>"1551689018429950"</f>
        <v>1551689018429950</v>
      </c>
      <c r="C127" t="s">
        <v>40</v>
      </c>
      <c r="D127">
        <v>5.7274789999999998</v>
      </c>
      <c r="E127">
        <v>0.50775959999999998</v>
      </c>
      <c r="F127" t="s">
        <v>41</v>
      </c>
      <c r="G127">
        <v>-470.35469999999998</v>
      </c>
      <c r="H127">
        <v>0.95953790000000005</v>
      </c>
      <c r="I127">
        <v>367.1388</v>
      </c>
      <c r="J127">
        <v>-470.93979999999999</v>
      </c>
      <c r="K127">
        <v>1.109359</v>
      </c>
      <c r="L127">
        <v>367.10570000000001</v>
      </c>
      <c r="M127">
        <v>0.99966270000000002</v>
      </c>
      <c r="N127">
        <v>-3.2046969999999998E-3</v>
      </c>
      <c r="O127">
        <v>-2.5780620000000001E-2</v>
      </c>
      <c r="P127">
        <v>0.96539850000000005</v>
      </c>
      <c r="Q127">
        <v>0.25179449999999998</v>
      </c>
      <c r="R127">
        <v>6.7865590000000003E-2</v>
      </c>
      <c r="S127">
        <v>3.2774960000000002</v>
      </c>
      <c r="T127">
        <v>-0.69215660000000001</v>
      </c>
      <c r="U127">
        <v>0.13778689999999999</v>
      </c>
      <c r="V127">
        <v>-9.2843949999999995E-2</v>
      </c>
      <c r="W127">
        <v>0.25483939999999999</v>
      </c>
      <c r="X127">
        <v>0.96251589999999998</v>
      </c>
      <c r="Y127">
        <v>-6.5726599999999996E-2</v>
      </c>
      <c r="Z127">
        <v>1.2269469999999999E-2</v>
      </c>
      <c r="AA127">
        <v>0.99776229999999999</v>
      </c>
      <c r="AB127">
        <v>12</v>
      </c>
      <c r="AC127">
        <v>0.58510000000001094</v>
      </c>
      <c r="AD127">
        <v>-0.14982109999999901</v>
      </c>
      <c r="AE127">
        <v>3.3099999999990297E-2</v>
      </c>
      <c r="AF127">
        <v>-4.5217962185558097E-2</v>
      </c>
      <c r="AG127">
        <v>-0.14982109999999901</v>
      </c>
      <c r="AH127">
        <v>0.54822157126279203</v>
      </c>
      <c r="AI127">
        <v>105.235572485158</v>
      </c>
      <c r="AJ127">
        <v>94.715150224688998</v>
      </c>
      <c r="AK127">
        <v>0.57012096725806305</v>
      </c>
      <c r="AL127">
        <v>75.235930765123996</v>
      </c>
      <c r="AM127">
        <v>95.509684997327</v>
      </c>
      <c r="AN127">
        <v>0.99999998829838599</v>
      </c>
    </row>
    <row r="128" spans="1:40" x14ac:dyDescent="0.25">
      <c r="A128" t="str">
        <f>"20190304164338456"</f>
        <v>20190304164338456</v>
      </c>
      <c r="B128" t="str">
        <f>"1551689018450445"</f>
        <v>1551689018450445</v>
      </c>
      <c r="C128" t="s">
        <v>40</v>
      </c>
      <c r="D128">
        <v>5.4950619999999999</v>
      </c>
      <c r="E128">
        <v>0.51026769999999999</v>
      </c>
      <c r="F128" t="s">
        <v>42</v>
      </c>
      <c r="G128">
        <v>-453.64699999999999</v>
      </c>
      <c r="H128" s="1">
        <v>-2.922723E-6</v>
      </c>
      <c r="I128">
        <v>368.40440000000001</v>
      </c>
      <c r="J128">
        <v>-470.81380000000001</v>
      </c>
      <c r="K128">
        <v>1.109335</v>
      </c>
      <c r="L128">
        <v>367.10219999999998</v>
      </c>
      <c r="M128">
        <v>0.99964980000000003</v>
      </c>
      <c r="N128">
        <v>-3.2531600000000002E-3</v>
      </c>
      <c r="O128">
        <v>-2.626328E-2</v>
      </c>
      <c r="P128">
        <v>0.96535070000000001</v>
      </c>
      <c r="Q128">
        <v>0.25202729999999901</v>
      </c>
      <c r="R128">
        <v>6.7677639999999997E-2</v>
      </c>
      <c r="S128">
        <v>3.1435240000000002</v>
      </c>
      <c r="T128">
        <v>-0.2016608</v>
      </c>
      <c r="U128">
        <v>0.23608399999999999</v>
      </c>
      <c r="V128">
        <v>-9.3133489999999999E-2</v>
      </c>
      <c r="W128">
        <v>0.25511339999999999</v>
      </c>
      <c r="X128">
        <v>0.96241529999999997</v>
      </c>
      <c r="Y128">
        <v>-0.10078959999999999</v>
      </c>
      <c r="Z128">
        <v>4.9851660000000001E-3</v>
      </c>
      <c r="AA128">
        <v>0.99489530000000004</v>
      </c>
      <c r="AB128">
        <v>12</v>
      </c>
      <c r="AC128">
        <v>17.166799999999999</v>
      </c>
      <c r="AD128">
        <v>-1.109337922723</v>
      </c>
      <c r="AE128">
        <v>1.30220000000002</v>
      </c>
      <c r="AF128">
        <v>-1.74536291651863</v>
      </c>
      <c r="AG128">
        <v>-1.109337922723</v>
      </c>
      <c r="AH128">
        <v>17.0558622891085</v>
      </c>
      <c r="AI128">
        <v>93.702079404572601</v>
      </c>
      <c r="AJ128">
        <v>95.842861248637305</v>
      </c>
      <c r="AK128">
        <v>17.180784637559</v>
      </c>
      <c r="AL128">
        <v>75.219694535369598</v>
      </c>
      <c r="AM128">
        <v>95.527335221321295</v>
      </c>
      <c r="AN128">
        <v>0.99999995174661305</v>
      </c>
    </row>
    <row r="129" spans="1:40" x14ac:dyDescent="0.25">
      <c r="A129" t="str">
        <f>"20190304164338477"</f>
        <v>20190304164338477</v>
      </c>
      <c r="B129" t="str">
        <f>"1551689018469966"</f>
        <v>1551689018469966</v>
      </c>
      <c r="C129" t="s">
        <v>40</v>
      </c>
      <c r="D129">
        <v>5.4617399999999998</v>
      </c>
      <c r="E129">
        <v>0.51274770000000003</v>
      </c>
      <c r="F129" t="s">
        <v>42</v>
      </c>
      <c r="G129">
        <v>-452.15140000000002</v>
      </c>
      <c r="H129" s="1">
        <v>-3.5695849999999999E-6</v>
      </c>
      <c r="I129">
        <v>368.37479999999999</v>
      </c>
      <c r="J129">
        <v>-470.68349999999998</v>
      </c>
      <c r="K129">
        <v>1.1092489999999999</v>
      </c>
      <c r="L129">
        <v>367.0985</v>
      </c>
      <c r="M129">
        <v>0.99964229999999998</v>
      </c>
      <c r="N129">
        <v>-3.236451E-3</v>
      </c>
      <c r="O129">
        <v>-2.6553549999999999E-2</v>
      </c>
      <c r="P129">
        <v>0.96522399999999997</v>
      </c>
      <c r="Q129">
        <v>0.25243670000000001</v>
      </c>
      <c r="R129">
        <v>6.7962599999999998E-2</v>
      </c>
      <c r="S129">
        <v>3.1414490000000002</v>
      </c>
      <c r="T129">
        <v>-0.18673429999999999</v>
      </c>
      <c r="U129">
        <v>0.21423339999999999</v>
      </c>
      <c r="V129">
        <v>-9.3670680000000006E-2</v>
      </c>
      <c r="W129">
        <v>0.25551489999999999</v>
      </c>
      <c r="X129">
        <v>0.96225669999999996</v>
      </c>
      <c r="Y129">
        <v>-9.4289349999999994E-2</v>
      </c>
      <c r="Z129">
        <v>4.4392110000000002E-3</v>
      </c>
      <c r="AA129">
        <v>0.99553499999999995</v>
      </c>
      <c r="AB129">
        <v>13</v>
      </c>
      <c r="AC129">
        <v>18.5320999999999</v>
      </c>
      <c r="AD129">
        <v>-1.109252569585</v>
      </c>
      <c r="AE129">
        <v>1.27629999999999</v>
      </c>
      <c r="AF129">
        <v>-1.7616637758517599</v>
      </c>
      <c r="AG129">
        <v>-1.109252569585</v>
      </c>
      <c r="AH129">
        <v>18.425971630385298</v>
      </c>
      <c r="AI129">
        <v>93.429475524396395</v>
      </c>
      <c r="AJ129">
        <v>95.461314681072196</v>
      </c>
      <c r="AK129">
        <v>18.5432017474341</v>
      </c>
      <c r="AL129">
        <v>75.195902601543196</v>
      </c>
      <c r="AM129">
        <v>95.559928022977601</v>
      </c>
      <c r="AN129">
        <v>1.00000000855428</v>
      </c>
    </row>
    <row r="130" spans="1:40" x14ac:dyDescent="0.25">
      <c r="A130" t="str">
        <f>"20190304164338490"</f>
        <v>20190304164338490</v>
      </c>
      <c r="B130" t="str">
        <f>"1551689018479726"</f>
        <v>1551689018479726</v>
      </c>
      <c r="C130" t="s">
        <v>40</v>
      </c>
      <c r="D130">
        <v>5.4662519999999999</v>
      </c>
      <c r="E130">
        <v>0.51343190000000005</v>
      </c>
      <c r="F130" t="s">
        <v>42</v>
      </c>
      <c r="G130">
        <v>-453.47379999999998</v>
      </c>
      <c r="H130" s="1">
        <v>-3.0383799999999901E-6</v>
      </c>
      <c r="I130">
        <v>368.17110000000002</v>
      </c>
      <c r="J130">
        <v>-470.60700000000003</v>
      </c>
      <c r="K130">
        <v>1.1091949999999999</v>
      </c>
      <c r="L130">
        <v>367.09640000000002</v>
      </c>
      <c r="M130">
        <v>0.99963970000000002</v>
      </c>
      <c r="N130">
        <v>-3.216815E-3</v>
      </c>
      <c r="O130">
        <v>-2.664948E-2</v>
      </c>
      <c r="P130">
        <v>0.96516310000000005</v>
      </c>
      <c r="Q130">
        <v>0.2526447</v>
      </c>
      <c r="R130">
        <v>6.8050680000000002E-2</v>
      </c>
      <c r="S130">
        <v>3.1473080000000002</v>
      </c>
      <c r="T130">
        <v>-0.20285890000000001</v>
      </c>
      <c r="U130">
        <v>0.19616700000000001</v>
      </c>
      <c r="V130">
        <v>-9.3829449999999995E-2</v>
      </c>
      <c r="W130">
        <v>0.25571129999999997</v>
      </c>
      <c r="X130">
        <v>0.96218899999999996</v>
      </c>
      <c r="Y130">
        <v>-8.8541690000000006E-2</v>
      </c>
      <c r="Z130">
        <v>4.6193579999999996E-3</v>
      </c>
      <c r="AA130">
        <v>0.99606170000000005</v>
      </c>
      <c r="AB130">
        <v>13</v>
      </c>
      <c r="AC130">
        <v>17.133199999999899</v>
      </c>
      <c r="AD130">
        <v>-1.10919803838</v>
      </c>
      <c r="AE130">
        <v>1.0747</v>
      </c>
      <c r="AF130">
        <v>-1.5245468416264301</v>
      </c>
      <c r="AG130">
        <v>-1.10919803838</v>
      </c>
      <c r="AH130">
        <v>17.027388595483899</v>
      </c>
      <c r="AI130">
        <v>93.712286981632403</v>
      </c>
      <c r="AJ130">
        <v>95.116333672864201</v>
      </c>
      <c r="AK130">
        <v>17.1314484426238</v>
      </c>
      <c r="AL130">
        <v>75.184262195089801</v>
      </c>
      <c r="AM130">
        <v>95.569682188969196</v>
      </c>
      <c r="AN130">
        <v>0.99999995317799495</v>
      </c>
    </row>
    <row r="131" spans="1:40" x14ac:dyDescent="0.25">
      <c r="A131" t="str">
        <f>"20190304164338511"</f>
        <v>20190304164338511</v>
      </c>
      <c r="B131" t="str">
        <f>"1551689018500222"</f>
        <v>1551689018500222</v>
      </c>
      <c r="C131" t="s">
        <v>40</v>
      </c>
      <c r="D131">
        <v>5.4381729999999999</v>
      </c>
      <c r="E131">
        <v>0.51411359999999995</v>
      </c>
      <c r="F131" t="s">
        <v>42</v>
      </c>
      <c r="G131">
        <v>-453.66250000000002</v>
      </c>
      <c r="H131" s="1">
        <v>-2.9661030000000002E-6</v>
      </c>
      <c r="I131">
        <v>368.12220000000002</v>
      </c>
      <c r="J131">
        <v>-470.48689999999999</v>
      </c>
      <c r="K131">
        <v>1.109127</v>
      </c>
      <c r="L131">
        <v>367.09289999999999</v>
      </c>
      <c r="M131">
        <v>0.99963729999999995</v>
      </c>
      <c r="N131">
        <v>-3.1853620000000002E-3</v>
      </c>
      <c r="O131">
        <v>-2.6741979999999999E-2</v>
      </c>
      <c r="P131">
        <v>0.96509180000000006</v>
      </c>
      <c r="Q131">
        <v>0.25284329999999999</v>
      </c>
      <c r="R131">
        <v>6.8325010000000005E-2</v>
      </c>
      <c r="S131">
        <v>3.1487729999999998</v>
      </c>
      <c r="T131">
        <v>-0.20611969999999999</v>
      </c>
      <c r="U131">
        <v>0.19064329999999999</v>
      </c>
      <c r="V131">
        <v>-9.4163919999999998E-2</v>
      </c>
      <c r="W131">
        <v>0.25588870000000002</v>
      </c>
      <c r="X131">
        <v>0.9621092</v>
      </c>
      <c r="Y131">
        <v>-8.686025E-2</v>
      </c>
      <c r="Z131">
        <v>4.6382029999999996E-3</v>
      </c>
      <c r="AA131">
        <v>0.99620969999999998</v>
      </c>
      <c r="AB131">
        <v>13</v>
      </c>
      <c r="AC131">
        <v>16.824399999999901</v>
      </c>
      <c r="AD131">
        <v>-1.1091299661030001</v>
      </c>
      <c r="AE131">
        <v>1.0293000000000301</v>
      </c>
      <c r="AF131">
        <v>-1.4724764741849501</v>
      </c>
      <c r="AG131">
        <v>-1.1091299661030001</v>
      </c>
      <c r="AH131">
        <v>16.718470491076101</v>
      </c>
      <c r="AI131">
        <v>93.780937832089705</v>
      </c>
      <c r="AJ131">
        <v>95.033328144957693</v>
      </c>
      <c r="AK131">
        <v>16.8197982095421</v>
      </c>
      <c r="AL131">
        <v>75.173748700798498</v>
      </c>
      <c r="AM131">
        <v>95.589871369518605</v>
      </c>
      <c r="AN131">
        <v>0.99999999167104803</v>
      </c>
    </row>
    <row r="132" spans="1:40" x14ac:dyDescent="0.25">
      <c r="A132" t="str">
        <f>"20190304164338532"</f>
        <v>20190304164338532</v>
      </c>
      <c r="B132" t="str">
        <f>"1551689018519745"</f>
        <v>1551689018519745</v>
      </c>
      <c r="C132" t="s">
        <v>40</v>
      </c>
      <c r="D132">
        <v>5.4549890000000003</v>
      </c>
      <c r="E132">
        <v>0.52121010000000001</v>
      </c>
      <c r="F132" t="s">
        <v>42</v>
      </c>
      <c r="G132">
        <v>-454.29259999999999</v>
      </c>
      <c r="H132" s="1">
        <v>-2.7077980000000001E-6</v>
      </c>
      <c r="I132">
        <v>368.05450000000002</v>
      </c>
      <c r="J132">
        <v>-470.36349999999999</v>
      </c>
      <c r="K132">
        <v>1.109103</v>
      </c>
      <c r="L132">
        <v>367.08940000000001</v>
      </c>
      <c r="M132">
        <v>0.99963579999999996</v>
      </c>
      <c r="N132">
        <v>-3.1515689999999999E-3</v>
      </c>
      <c r="O132">
        <v>-2.6807810000000001E-2</v>
      </c>
      <c r="P132">
        <v>0.96494429999999998</v>
      </c>
      <c r="Q132">
        <v>0.25341809999999998</v>
      </c>
      <c r="R132">
        <v>6.8280599999999997E-2</v>
      </c>
      <c r="S132">
        <v>3.1517940000000002</v>
      </c>
      <c r="T132">
        <v>-0.21586159999999999</v>
      </c>
      <c r="U132">
        <v>0.18716430000000001</v>
      </c>
      <c r="V132">
        <v>-9.4166319999999998E-2</v>
      </c>
      <c r="W132">
        <v>0.25643579999999999</v>
      </c>
      <c r="X132">
        <v>0.96196329999999997</v>
      </c>
      <c r="Y132">
        <v>-8.5751999999999995E-2</v>
      </c>
      <c r="Z132">
        <v>4.8140730000000003E-3</v>
      </c>
      <c r="AA132">
        <v>0.99630490000000005</v>
      </c>
      <c r="AB132">
        <v>13</v>
      </c>
      <c r="AC132">
        <v>16.070899999999899</v>
      </c>
      <c r="AD132">
        <v>-1.109105707798</v>
      </c>
      <c r="AE132">
        <v>0.96510000000000595</v>
      </c>
      <c r="AF132">
        <v>-1.3889890960704001</v>
      </c>
      <c r="AG132">
        <v>-1.109105707798</v>
      </c>
      <c r="AH132">
        <v>15.963493551060401</v>
      </c>
      <c r="AI132">
        <v>93.959476148468099</v>
      </c>
      <c r="AJ132">
        <v>94.972801468945804</v>
      </c>
      <c r="AK132">
        <v>16.062145950489299</v>
      </c>
      <c r="AL132">
        <v>75.141320333280802</v>
      </c>
      <c r="AM132">
        <v>95.5908553992424</v>
      </c>
      <c r="AN132">
        <v>1.0000000029454299</v>
      </c>
    </row>
    <row r="133" spans="1:40" x14ac:dyDescent="0.25">
      <c r="A133" t="str">
        <f>"20190304164338548"</f>
        <v>20190304164338548</v>
      </c>
      <c r="B133" t="str">
        <f>"1551689018540237"</f>
        <v>1551689018540237</v>
      </c>
      <c r="C133" t="s">
        <v>40</v>
      </c>
      <c r="D133">
        <v>5.45465</v>
      </c>
      <c r="E133">
        <v>0.52103739999999998</v>
      </c>
      <c r="F133" t="s">
        <v>41</v>
      </c>
      <c r="G133">
        <v>-469.63060000000002</v>
      </c>
      <c r="H133">
        <v>1.0115229999999999</v>
      </c>
      <c r="I133">
        <v>367.1241</v>
      </c>
      <c r="J133">
        <v>-470.26819999999998</v>
      </c>
      <c r="K133">
        <v>1.1091040000000001</v>
      </c>
      <c r="L133">
        <v>367.08670000000001</v>
      </c>
      <c r="M133">
        <v>0.99963460000000004</v>
      </c>
      <c r="N133">
        <v>-3.121572E-3</v>
      </c>
      <c r="O133">
        <v>-2.685365E-2</v>
      </c>
      <c r="P133">
        <v>0.96475060000000001</v>
      </c>
      <c r="Q133">
        <v>0.25409310000000002</v>
      </c>
      <c r="R133">
        <v>6.8505179999999999E-2</v>
      </c>
      <c r="S133">
        <v>3.2105410000000001</v>
      </c>
      <c r="T133">
        <v>-0.42741380000000001</v>
      </c>
      <c r="U133">
        <v>0.15124509999999999</v>
      </c>
      <c r="V133">
        <v>-9.443124E-2</v>
      </c>
      <c r="W133">
        <v>0.25708009999999998</v>
      </c>
      <c r="X133">
        <v>0.96176530000000005</v>
      </c>
      <c r="Y133">
        <v>-7.2980439999999994E-2</v>
      </c>
      <c r="Z133">
        <v>8.4225369999999904E-3</v>
      </c>
      <c r="AA133">
        <v>0.99729780000000001</v>
      </c>
      <c r="AB133">
        <v>13</v>
      </c>
      <c r="AC133">
        <v>0.63759999999996297</v>
      </c>
      <c r="AD133">
        <v>-9.7581000000000098E-2</v>
      </c>
      <c r="AE133">
        <v>3.7399999999991003E-2</v>
      </c>
      <c r="AF133">
        <v>-5.32651544281817E-2</v>
      </c>
      <c r="AG133">
        <v>-9.7581000000000098E-2</v>
      </c>
      <c r="AH133">
        <v>0.62185036305072605</v>
      </c>
      <c r="AI133">
        <v>98.886133457935003</v>
      </c>
      <c r="AJ133">
        <v>94.895771755639601</v>
      </c>
      <c r="AK133">
        <v>0.63170966611535895</v>
      </c>
      <c r="AL133">
        <v>75.103123578935794</v>
      </c>
      <c r="AM133">
        <v>95.607631053446298</v>
      </c>
      <c r="AN133">
        <v>0.99999996459401796</v>
      </c>
    </row>
    <row r="134" spans="1:40" x14ac:dyDescent="0.25">
      <c r="A134" t="str">
        <f>"20190304164338569"</f>
        <v>20190304164338569</v>
      </c>
      <c r="B134" t="str">
        <f>"1551689018560734"</f>
        <v>1551689018560734</v>
      </c>
      <c r="C134" t="s">
        <v>40</v>
      </c>
      <c r="D134">
        <v>5.4517230000000003</v>
      </c>
      <c r="E134">
        <v>0.52151859999999906</v>
      </c>
      <c r="F134" t="s">
        <v>41</v>
      </c>
      <c r="G134">
        <v>-469.50959999999998</v>
      </c>
      <c r="H134">
        <v>1.010915</v>
      </c>
      <c r="I134">
        <v>367.1225</v>
      </c>
      <c r="J134">
        <v>-470.13479999999998</v>
      </c>
      <c r="K134">
        <v>1.1091299999999999</v>
      </c>
      <c r="L134">
        <v>367.08300000000003</v>
      </c>
      <c r="M134">
        <v>0.99963340000000001</v>
      </c>
      <c r="N134">
        <v>-3.0752209999999999E-3</v>
      </c>
      <c r="O134">
        <v>-2.6908350000000001E-2</v>
      </c>
      <c r="P134">
        <v>0.96448579999999995</v>
      </c>
      <c r="Q134">
        <v>0.25513279999999999</v>
      </c>
      <c r="R134">
        <v>6.8372660000000002E-2</v>
      </c>
      <c r="S134">
        <v>3.2081300000000001</v>
      </c>
      <c r="T134">
        <v>-0.41536590000000001</v>
      </c>
      <c r="U134">
        <v>0.1526489</v>
      </c>
      <c r="V134">
        <v>-9.4356380000000004E-2</v>
      </c>
      <c r="W134">
        <v>0.25807029999999997</v>
      </c>
      <c r="X134">
        <v>0.96150740000000001</v>
      </c>
      <c r="Y134">
        <v>-7.3548000000000002E-2</v>
      </c>
      <c r="Z134">
        <v>8.2377960000000004E-3</v>
      </c>
      <c r="AA134">
        <v>0.99725759999999997</v>
      </c>
      <c r="AB134">
        <v>13</v>
      </c>
      <c r="AC134">
        <v>0.62520000000000597</v>
      </c>
      <c r="AD134">
        <v>-9.82149999999999E-2</v>
      </c>
      <c r="AE134">
        <v>3.9499999999975402E-2</v>
      </c>
      <c r="AF134">
        <v>-5.4957988181422598E-2</v>
      </c>
      <c r="AG134">
        <v>-9.82149999999999E-2</v>
      </c>
      <c r="AH134">
        <v>0.60894272255513004</v>
      </c>
      <c r="AI134">
        <v>99.1257403667327</v>
      </c>
      <c r="AJ134">
        <v>95.157057788247201</v>
      </c>
      <c r="AK134">
        <v>0.61925584861412797</v>
      </c>
      <c r="AL134">
        <v>75.0444078041686</v>
      </c>
      <c r="AM134">
        <v>95.604707278225206</v>
      </c>
      <c r="AN134">
        <v>0.99999994322177499</v>
      </c>
    </row>
    <row r="135" spans="1:40" x14ac:dyDescent="0.25">
      <c r="A135" t="str">
        <f>"20190304164338589"</f>
        <v>20190304164338589</v>
      </c>
      <c r="B135" t="str">
        <f>"1551689018580254"</f>
        <v>1551689018580254</v>
      </c>
      <c r="C135" t="s">
        <v>40</v>
      </c>
      <c r="D135">
        <v>5.5321660000000001</v>
      </c>
      <c r="E135">
        <v>0.52115239999999996</v>
      </c>
      <c r="F135" t="s">
        <v>41</v>
      </c>
      <c r="G135">
        <v>-469.38260000000002</v>
      </c>
      <c r="H135">
        <v>1.0143580000000001</v>
      </c>
      <c r="I135">
        <v>367.11739999999998</v>
      </c>
      <c r="J135">
        <v>-470.0136</v>
      </c>
      <c r="K135">
        <v>1.1091679999999999</v>
      </c>
      <c r="L135">
        <v>367.07960000000003</v>
      </c>
      <c r="M135">
        <v>0.99963270000000004</v>
      </c>
      <c r="N135">
        <v>-3.0309069999999998E-3</v>
      </c>
      <c r="O135">
        <v>-2.6937780000000001E-2</v>
      </c>
      <c r="P135">
        <v>0.96423890000000001</v>
      </c>
      <c r="Q135">
        <v>0.25613619999999998</v>
      </c>
      <c r="R135">
        <v>6.8102560000000006E-2</v>
      </c>
      <c r="S135">
        <v>3.206909</v>
      </c>
      <c r="T135">
        <v>-0.40422979999999997</v>
      </c>
      <c r="U135">
        <v>0.147308299999999</v>
      </c>
      <c r="V135">
        <v>-9.4122869999999997E-2</v>
      </c>
      <c r="W135">
        <v>0.25902520000000001</v>
      </c>
      <c r="X135">
        <v>0.96127359999999995</v>
      </c>
      <c r="Y135">
        <v>-7.1994069999999993E-2</v>
      </c>
      <c r="Z135">
        <v>7.926064E-3</v>
      </c>
      <c r="AA135">
        <v>0.99737359999999997</v>
      </c>
      <c r="AB135">
        <v>14</v>
      </c>
      <c r="AC135">
        <v>0.63099999999997103</v>
      </c>
      <c r="AD135">
        <v>-9.4809999999999797E-2</v>
      </c>
      <c r="AE135">
        <v>3.7799999999947403E-2</v>
      </c>
      <c r="AF135">
        <v>-5.3578819514733901E-2</v>
      </c>
      <c r="AG135">
        <v>-9.4809999999999797E-2</v>
      </c>
      <c r="AH135">
        <v>0.61589788945925505</v>
      </c>
      <c r="AI135">
        <v>98.718874512328696</v>
      </c>
      <c r="AJ135">
        <v>94.971816417901707</v>
      </c>
      <c r="AK135">
        <v>0.62545170576228903</v>
      </c>
      <c r="AL135">
        <v>74.987771960222801</v>
      </c>
      <c r="AM135">
        <v>95.5922761254118</v>
      </c>
      <c r="AN135">
        <v>1.00000005147451</v>
      </c>
    </row>
    <row r="136" spans="1:40" x14ac:dyDescent="0.25">
      <c r="A136" t="str">
        <f>"20190304164338622"</f>
        <v>20190304164338622</v>
      </c>
      <c r="B136" t="str">
        <f>"1551689018610510"</f>
        <v>1551689018610510</v>
      </c>
      <c r="C136" t="s">
        <v>40</v>
      </c>
      <c r="D136">
        <v>5.4303299999999997</v>
      </c>
      <c r="E136">
        <v>0.52013980000000004</v>
      </c>
      <c r="F136" t="s">
        <v>41</v>
      </c>
      <c r="G136">
        <v>-469.25209999999998</v>
      </c>
      <c r="H136">
        <v>1.0150889999999999</v>
      </c>
      <c r="I136">
        <v>367.11450000000002</v>
      </c>
      <c r="J136">
        <v>-469.81</v>
      </c>
      <c r="K136">
        <v>1.109221</v>
      </c>
      <c r="L136">
        <v>367.07420000000002</v>
      </c>
      <c r="M136">
        <v>0.99963290000000005</v>
      </c>
      <c r="N136">
        <v>-2.9587350000000001E-3</v>
      </c>
      <c r="O136">
        <v>-2.693748E-2</v>
      </c>
      <c r="P136">
        <v>0.96397040000000001</v>
      </c>
      <c r="Q136">
        <v>0.25729030000000003</v>
      </c>
      <c r="R136">
        <v>6.7550760000000001E-2</v>
      </c>
      <c r="S136">
        <v>3.205994</v>
      </c>
      <c r="T136">
        <v>-0.39627059999999997</v>
      </c>
      <c r="U136">
        <v>0.1485901</v>
      </c>
      <c r="V136">
        <v>-9.357907E-2</v>
      </c>
      <c r="W136">
        <v>0.2601041</v>
      </c>
      <c r="X136">
        <v>0.96103530000000004</v>
      </c>
      <c r="Y136">
        <v>-7.2431430000000005E-2</v>
      </c>
      <c r="Z136">
        <v>7.8006960000000002E-3</v>
      </c>
      <c r="AA136">
        <v>0.99734290000000003</v>
      </c>
      <c r="AB136">
        <v>14</v>
      </c>
      <c r="AC136">
        <v>0.55790000000001705</v>
      </c>
      <c r="AD136">
        <v>-9.4132000000000104E-2</v>
      </c>
      <c r="AE136">
        <v>4.0300000000002001E-2</v>
      </c>
      <c r="AF136">
        <v>-5.3790483435323902E-2</v>
      </c>
      <c r="AG136">
        <v>-9.4132000000000104E-2</v>
      </c>
      <c r="AH136">
        <v>0.54128254523476205</v>
      </c>
      <c r="AI136">
        <v>99.817974120990201</v>
      </c>
      <c r="AJ136">
        <v>95.675191244340795</v>
      </c>
      <c r="AK136">
        <v>0.55203355270130805</v>
      </c>
      <c r="AL136">
        <v>74.923761096702606</v>
      </c>
      <c r="AM136">
        <v>95.561539561885297</v>
      </c>
      <c r="AN136">
        <v>1.00000001651248</v>
      </c>
    </row>
    <row r="137" spans="1:40" x14ac:dyDescent="0.25">
      <c r="A137" t="str">
        <f>"20190304164338636"</f>
        <v>20190304164338636</v>
      </c>
      <c r="B137" t="str">
        <f>"1551689018630030"</f>
        <v>1551689018630030</v>
      </c>
      <c r="C137" t="s">
        <v>40</v>
      </c>
      <c r="D137">
        <v>5.4869459999999997</v>
      </c>
      <c r="E137">
        <v>0.51943549999999905</v>
      </c>
      <c r="F137" t="s">
        <v>41</v>
      </c>
      <c r="G137">
        <v>-469.00209999999998</v>
      </c>
      <c r="H137">
        <v>1.0114449999999999</v>
      </c>
      <c r="I137">
        <v>367.1123</v>
      </c>
      <c r="J137">
        <v>-469.71940000000001</v>
      </c>
      <c r="K137">
        <v>1.1092360000000001</v>
      </c>
      <c r="L137">
        <v>367.0718</v>
      </c>
      <c r="M137">
        <v>0.99963329999999995</v>
      </c>
      <c r="N137">
        <v>-2.9270300000000002E-3</v>
      </c>
      <c r="O137">
        <v>-2.692027E-2</v>
      </c>
      <c r="P137">
        <v>0.96381649999999996</v>
      </c>
      <c r="Q137">
        <v>0.25789990000000002</v>
      </c>
      <c r="R137">
        <v>6.7419480000000004E-2</v>
      </c>
      <c r="S137">
        <v>3.2050169999999998</v>
      </c>
      <c r="T137">
        <v>-0.3881404</v>
      </c>
      <c r="U137">
        <v>0.1529846</v>
      </c>
      <c r="V137">
        <v>-9.3429269999999995E-2</v>
      </c>
      <c r="W137">
        <v>0.26068190000000002</v>
      </c>
      <c r="X137">
        <v>0.96089329999999995</v>
      </c>
      <c r="Y137">
        <v>-7.3812779999999995E-2</v>
      </c>
      <c r="Z137">
        <v>7.7274419999999898E-3</v>
      </c>
      <c r="AA137">
        <v>0.99724219999999997</v>
      </c>
      <c r="AB137">
        <v>14</v>
      </c>
      <c r="AC137">
        <v>0.71730000000002203</v>
      </c>
      <c r="AD137">
        <v>-9.7790999999999906E-2</v>
      </c>
      <c r="AE137">
        <v>4.0500000000008599E-2</v>
      </c>
      <c r="AF137">
        <v>-5.8707616546421697E-2</v>
      </c>
      <c r="AG137">
        <v>-9.7790999999999906E-2</v>
      </c>
      <c r="AH137">
        <v>0.70292638266515295</v>
      </c>
      <c r="AI137">
        <v>97.893011440812202</v>
      </c>
      <c r="AJ137">
        <v>94.774198632129796</v>
      </c>
      <c r="AK137">
        <v>0.71212018885036499</v>
      </c>
      <c r="AL137">
        <v>74.889472604110495</v>
      </c>
      <c r="AM137">
        <v>95.553507857505494</v>
      </c>
      <c r="AN137">
        <v>1.0000000077326101</v>
      </c>
    </row>
    <row r="138" spans="1:40" x14ac:dyDescent="0.25">
      <c r="A138" t="str">
        <f>"20190304164338649"</f>
        <v>20190304164338649</v>
      </c>
      <c r="B138" t="str">
        <f>"1551689018639790"</f>
        <v>1551689018639790</v>
      </c>
      <c r="C138" t="s">
        <v>40</v>
      </c>
      <c r="D138">
        <v>5.4228680000000002</v>
      </c>
      <c r="E138">
        <v>0.51911809999999903</v>
      </c>
      <c r="F138" t="s">
        <v>41</v>
      </c>
      <c r="G138">
        <v>-468.87650000000002</v>
      </c>
      <c r="H138">
        <v>1.0077609999999999</v>
      </c>
      <c r="I138">
        <v>367.11320000000001</v>
      </c>
      <c r="J138">
        <v>-469.62779999999998</v>
      </c>
      <c r="K138">
        <v>1.1092470000000001</v>
      </c>
      <c r="L138">
        <v>367.06939999999997</v>
      </c>
      <c r="M138">
        <v>0.99963420000000003</v>
      </c>
      <c r="N138">
        <v>-2.8944130000000002E-3</v>
      </c>
      <c r="O138">
        <v>-2.6891390000000001E-2</v>
      </c>
      <c r="P138">
        <v>0.9637635</v>
      </c>
      <c r="Q138">
        <v>0.25819979999999998</v>
      </c>
      <c r="R138">
        <v>6.7027519999999993E-2</v>
      </c>
      <c r="S138">
        <v>3.2048030000000001</v>
      </c>
      <c r="T138">
        <v>-0.38585960000000002</v>
      </c>
      <c r="U138">
        <v>0.15786739999999999</v>
      </c>
      <c r="V138">
        <v>-9.3006660000000005E-2</v>
      </c>
      <c r="W138">
        <v>0.26095170000000001</v>
      </c>
      <c r="X138">
        <v>0.96086110000000002</v>
      </c>
      <c r="Y138">
        <v>-7.5300690000000003E-2</v>
      </c>
      <c r="Z138">
        <v>7.7704209999999996E-3</v>
      </c>
      <c r="AA138">
        <v>0.99713059999999998</v>
      </c>
      <c r="AB138">
        <v>14</v>
      </c>
      <c r="AC138">
        <v>0.751299999999957</v>
      </c>
      <c r="AD138">
        <v>-0.10148599999999899</v>
      </c>
      <c r="AE138">
        <v>4.3800000000032903E-2</v>
      </c>
      <c r="AF138">
        <v>-6.2844914288299594E-2</v>
      </c>
      <c r="AG138">
        <v>-0.10148599999999899</v>
      </c>
      <c r="AH138">
        <v>0.73645800431783204</v>
      </c>
      <c r="AI138">
        <v>97.818044766772303</v>
      </c>
      <c r="AJ138">
        <v>94.877462438287907</v>
      </c>
      <c r="AK138">
        <v>0.74606922170245504</v>
      </c>
      <c r="AL138">
        <v>74.873460494392702</v>
      </c>
      <c r="AM138">
        <v>95.528727698303499</v>
      </c>
      <c r="AN138">
        <v>1.0000000410152201</v>
      </c>
    </row>
    <row r="139" spans="1:40" x14ac:dyDescent="0.25">
      <c r="A139" t="str">
        <f>"20190304164338668"</f>
        <v>20190304164338668</v>
      </c>
      <c r="B139" t="str">
        <f>"1551689018660286"</f>
        <v>1551689018660286</v>
      </c>
      <c r="C139" t="s">
        <v>40</v>
      </c>
      <c r="D139">
        <v>5.4400309999999896</v>
      </c>
      <c r="E139">
        <v>0.51877709999999999</v>
      </c>
      <c r="F139" t="s">
        <v>42</v>
      </c>
      <c r="G139">
        <v>-460.4436</v>
      </c>
      <c r="H139" s="1">
        <v>-4.4526259999999998E-6</v>
      </c>
      <c r="I139">
        <v>367.52659999999997</v>
      </c>
      <c r="J139">
        <v>-469.51280000000003</v>
      </c>
      <c r="K139">
        <v>1.1092519999999999</v>
      </c>
      <c r="L139">
        <v>367.06639999999999</v>
      </c>
      <c r="M139">
        <v>0.99963570000000002</v>
      </c>
      <c r="N139">
        <v>-2.8523480000000002E-3</v>
      </c>
      <c r="O139">
        <v>-2.684392E-2</v>
      </c>
      <c r="P139">
        <v>0.96346639999999995</v>
      </c>
      <c r="Q139">
        <v>0.2594263</v>
      </c>
      <c r="R139">
        <v>6.6565189999999996E-2</v>
      </c>
      <c r="S139">
        <v>3.2053829999999999</v>
      </c>
      <c r="T139">
        <v>-0.38713690000000001</v>
      </c>
      <c r="U139">
        <v>0.1596069</v>
      </c>
      <c r="V139">
        <v>-9.2486040000000005E-2</v>
      </c>
      <c r="W139">
        <v>0.2621386</v>
      </c>
      <c r="X139">
        <v>0.9605882</v>
      </c>
      <c r="Y139">
        <v>-7.5776540000000003E-2</v>
      </c>
      <c r="Z139">
        <v>7.8176280000000001E-3</v>
      </c>
      <c r="AA139">
        <v>0.99709420000000004</v>
      </c>
      <c r="AB139">
        <v>14</v>
      </c>
      <c r="AC139">
        <v>9.0692000000000199</v>
      </c>
      <c r="AD139">
        <v>-1.109256452626</v>
      </c>
      <c r="AE139">
        <v>0.46019999999998601</v>
      </c>
      <c r="AF139">
        <v>-0.69314530863108803</v>
      </c>
      <c r="AG139">
        <v>-1.109256452626</v>
      </c>
      <c r="AH139">
        <v>8.9204723422509797</v>
      </c>
      <c r="AI139">
        <v>97.067230540987893</v>
      </c>
      <c r="AJ139">
        <v>94.443112386248799</v>
      </c>
      <c r="AK139">
        <v>9.0158597540908101</v>
      </c>
      <c r="AL139">
        <v>74.803003001452296</v>
      </c>
      <c r="AM139">
        <v>95.499522276642793</v>
      </c>
      <c r="AN139">
        <v>1.0000000015920401</v>
      </c>
    </row>
    <row r="140" spans="1:40" x14ac:dyDescent="0.25">
      <c r="A140" t="str">
        <f>"20190304164338689"</f>
        <v>20190304164338689</v>
      </c>
      <c r="B140" t="str">
        <f>"1551689018679809"</f>
        <v>1551689018679809</v>
      </c>
      <c r="C140" t="s">
        <v>40</v>
      </c>
      <c r="D140">
        <v>5.4363140000000003</v>
      </c>
      <c r="E140">
        <v>0.51856080000000004</v>
      </c>
      <c r="F140" t="s">
        <v>42</v>
      </c>
      <c r="G140">
        <v>-460.23090000000002</v>
      </c>
      <c r="H140" s="1">
        <v>-4.5430969999999999E-6</v>
      </c>
      <c r="I140">
        <v>367.53100000000001</v>
      </c>
      <c r="J140">
        <v>-469.37459999999999</v>
      </c>
      <c r="K140">
        <v>1.1092580000000001</v>
      </c>
      <c r="L140">
        <v>367.06279999999998</v>
      </c>
      <c r="M140">
        <v>0.99963769999999996</v>
      </c>
      <c r="N140">
        <v>-2.8013589999999998E-3</v>
      </c>
      <c r="O140">
        <v>-2.6771659999999999E-2</v>
      </c>
      <c r="P140">
        <v>0.96324469999999995</v>
      </c>
      <c r="Q140">
        <v>0.26019740000000002</v>
      </c>
      <c r="R140">
        <v>6.6762269999999999E-2</v>
      </c>
      <c r="S140">
        <v>3.2058110000000002</v>
      </c>
      <c r="T140">
        <v>-0.3831156</v>
      </c>
      <c r="U140">
        <v>0.16049189999999999</v>
      </c>
      <c r="V140">
        <v>-9.2598570000000005E-2</v>
      </c>
      <c r="W140">
        <v>0.26286330000000002</v>
      </c>
      <c r="X140">
        <v>0.96037930000000005</v>
      </c>
      <c r="Y140">
        <v>-7.5987040000000006E-2</v>
      </c>
      <c r="Z140">
        <v>7.7400990000000003E-3</v>
      </c>
      <c r="AA140">
        <v>0.99707880000000004</v>
      </c>
      <c r="AB140">
        <v>14</v>
      </c>
      <c r="AC140">
        <v>9.14369999999996</v>
      </c>
      <c r="AD140">
        <v>-1.109262543097</v>
      </c>
      <c r="AE140">
        <v>0.46820000000002399</v>
      </c>
      <c r="AF140">
        <v>-0.70251318027362097</v>
      </c>
      <c r="AG140">
        <v>-1.109262543097</v>
      </c>
      <c r="AH140">
        <v>8.9958408626234903</v>
      </c>
      <c r="AI140">
        <v>97.008439914873506</v>
      </c>
      <c r="AJ140">
        <v>94.465342917197802</v>
      </c>
      <c r="AK140">
        <v>9.0911572961654699</v>
      </c>
      <c r="AL140">
        <v>74.7599717658278</v>
      </c>
      <c r="AM140">
        <v>95.507362910703705</v>
      </c>
      <c r="AN140">
        <v>1.00000000476071</v>
      </c>
    </row>
    <row r="141" spans="1:40" x14ac:dyDescent="0.25">
      <c r="A141" t="str">
        <f>"20190304164338711"</f>
        <v>20190304164338711</v>
      </c>
      <c r="B141" t="str">
        <f>"1551689018700302"</f>
        <v>1551689018700302</v>
      </c>
      <c r="C141" t="s">
        <v>40</v>
      </c>
      <c r="D141">
        <v>5.3401149999999999</v>
      </c>
      <c r="E141">
        <v>0.51826749999999999</v>
      </c>
      <c r="F141" t="s">
        <v>42</v>
      </c>
      <c r="G141">
        <v>-460.04790000000003</v>
      </c>
      <c r="H141" s="1">
        <v>-4.6210960000000004E-6</v>
      </c>
      <c r="I141">
        <v>367.53390000000002</v>
      </c>
      <c r="J141">
        <v>-469.23140000000001</v>
      </c>
      <c r="K141">
        <v>1.109251</v>
      </c>
      <c r="L141">
        <v>367.0591</v>
      </c>
      <c r="M141">
        <v>0.99964030000000004</v>
      </c>
      <c r="N141">
        <v>-2.7498000000000002E-3</v>
      </c>
      <c r="O141">
        <v>-2.6681400000000001E-2</v>
      </c>
      <c r="P141">
        <v>0.96275250000000001</v>
      </c>
      <c r="Q141">
        <v>0.26179720000000001</v>
      </c>
      <c r="R141">
        <v>6.7601190000000005E-2</v>
      </c>
      <c r="S141">
        <v>3.2062680000000001</v>
      </c>
      <c r="T141">
        <v>-0.38133299999999998</v>
      </c>
      <c r="U141">
        <v>0.161987299999999</v>
      </c>
      <c r="V141">
        <v>-9.3327279999999999E-2</v>
      </c>
      <c r="W141">
        <v>0.26441569999999998</v>
      </c>
      <c r="X141">
        <v>0.95988249999999997</v>
      </c>
      <c r="Y141">
        <v>-7.6358739999999994E-2</v>
      </c>
      <c r="Z141">
        <v>7.7148E-3</v>
      </c>
      <c r="AA141">
        <v>0.99705060000000001</v>
      </c>
      <c r="AB141">
        <v>14</v>
      </c>
      <c r="AC141">
        <v>9.1834999999999791</v>
      </c>
      <c r="AD141">
        <v>-1.1092556210959901</v>
      </c>
      <c r="AE141">
        <v>0.47480000000001599</v>
      </c>
      <c r="AF141">
        <v>-0.70933903961297096</v>
      </c>
      <c r="AG141">
        <v>-1.1092556210959901</v>
      </c>
      <c r="AH141">
        <v>9.0360797910961299</v>
      </c>
      <c r="AI141">
        <v>96.977276414688006</v>
      </c>
      <c r="AJ141">
        <v>94.488556713851693</v>
      </c>
      <c r="AK141">
        <v>9.1315030469856406</v>
      </c>
      <c r="AL141">
        <v>74.667763954897794</v>
      </c>
      <c r="AM141">
        <v>95.553288585388003</v>
      </c>
      <c r="AN141">
        <v>1.00000002870246</v>
      </c>
    </row>
    <row r="142" spans="1:40" x14ac:dyDescent="0.25">
      <c r="A142" t="str">
        <f>"20190304164338725"</f>
        <v>20190304164338725</v>
      </c>
      <c r="B142" t="str">
        <f>"1551689018719822"</f>
        <v>1551689018719822</v>
      </c>
      <c r="C142" t="s">
        <v>40</v>
      </c>
      <c r="D142">
        <v>5.3356389999999996</v>
      </c>
      <c r="E142">
        <v>0.51824899999999996</v>
      </c>
      <c r="F142" t="s">
        <v>42</v>
      </c>
      <c r="G142">
        <v>-459.75139999999999</v>
      </c>
      <c r="H142" s="1">
        <v>-6.2065659999999995E-7</v>
      </c>
      <c r="I142">
        <v>367.54930000000002</v>
      </c>
      <c r="J142">
        <v>-469.14</v>
      </c>
      <c r="K142">
        <v>1.109254</v>
      </c>
      <c r="L142">
        <v>367.05680000000001</v>
      </c>
      <c r="M142">
        <v>0.99964209999999998</v>
      </c>
      <c r="N142">
        <v>-2.718809E-3</v>
      </c>
      <c r="O142">
        <v>-2.6617499999999999E-2</v>
      </c>
      <c r="P142">
        <v>0.96261260000000004</v>
      </c>
      <c r="Q142">
        <v>0.26210309999999998</v>
      </c>
      <c r="R142">
        <v>6.8405659999999993E-2</v>
      </c>
      <c r="S142">
        <v>3.2064509999999999</v>
      </c>
      <c r="T142">
        <v>-0.37518420000000002</v>
      </c>
      <c r="U142">
        <v>0.165802</v>
      </c>
      <c r="V142">
        <v>-9.405993E-2</v>
      </c>
      <c r="W142">
        <v>0.26469389999999998</v>
      </c>
      <c r="X142">
        <v>0.95973430000000004</v>
      </c>
      <c r="Y142">
        <v>-7.7491050000000006E-2</v>
      </c>
      <c r="Z142">
        <v>7.6509949999999998E-3</v>
      </c>
      <c r="AA142">
        <v>0.99696370000000001</v>
      </c>
      <c r="AB142">
        <v>15</v>
      </c>
      <c r="AC142">
        <v>9.3885999999999896</v>
      </c>
      <c r="AD142">
        <v>-1.1092546206566001</v>
      </c>
      <c r="AE142">
        <v>0.49250000000000599</v>
      </c>
      <c r="AF142">
        <v>-0.73203684613479603</v>
      </c>
      <c r="AG142">
        <v>-1.1092546206566001</v>
      </c>
      <c r="AH142">
        <v>9.2434866750320204</v>
      </c>
      <c r="AI142">
        <v>96.821837694848</v>
      </c>
      <c r="AJ142">
        <v>94.528081885579496</v>
      </c>
      <c r="AK142">
        <v>9.3385421597293004</v>
      </c>
      <c r="AL142">
        <v>74.651235369187404</v>
      </c>
      <c r="AM142">
        <v>95.597466758972402</v>
      </c>
      <c r="AN142">
        <v>1.00000002886265</v>
      </c>
    </row>
    <row r="143" spans="1:40" x14ac:dyDescent="0.25">
      <c r="A143" t="str">
        <f>"20190304164338746"</f>
        <v>20190304164338746</v>
      </c>
      <c r="B143" t="str">
        <f>"1551689018740317"</f>
        <v>1551689018740317</v>
      </c>
      <c r="C143" t="s">
        <v>40</v>
      </c>
      <c r="D143">
        <v>5.2786850000000003</v>
      </c>
      <c r="E143">
        <v>0.53108199999999905</v>
      </c>
      <c r="F143" t="s">
        <v>42</v>
      </c>
      <c r="G143">
        <v>-459.61779999999999</v>
      </c>
      <c r="H143" s="1">
        <v>-6.6448920000000005E-7</v>
      </c>
      <c r="I143">
        <v>367.55540000000002</v>
      </c>
      <c r="J143">
        <v>-469.0059</v>
      </c>
      <c r="K143">
        <v>1.1092500000000001</v>
      </c>
      <c r="L143">
        <v>367.05340000000001</v>
      </c>
      <c r="M143">
        <v>0.9996448</v>
      </c>
      <c r="N143">
        <v>-2.6760899999999999E-3</v>
      </c>
      <c r="O143">
        <v>-2.6518779999999999E-2</v>
      </c>
      <c r="P143">
        <v>0.9621577</v>
      </c>
      <c r="Q143">
        <v>0.26321539999999999</v>
      </c>
      <c r="R143">
        <v>7.0500590000000002E-2</v>
      </c>
      <c r="S143">
        <v>3.206299</v>
      </c>
      <c r="T143">
        <v>-0.373504</v>
      </c>
      <c r="U143">
        <v>0.16790769999999999</v>
      </c>
      <c r="V143">
        <v>-9.6038449999999997E-2</v>
      </c>
      <c r="W143">
        <v>0.26576609999999901</v>
      </c>
      <c r="X143">
        <v>0.95924189999999998</v>
      </c>
      <c r="Y143">
        <v>-7.805115E-2</v>
      </c>
      <c r="Z143">
        <v>7.6388709999999898E-3</v>
      </c>
      <c r="AA143">
        <v>0.99692009999999998</v>
      </c>
      <c r="AB143">
        <v>15</v>
      </c>
      <c r="AC143">
        <v>9.3880999999999997</v>
      </c>
      <c r="AD143">
        <v>-1.1092506644892</v>
      </c>
      <c r="AE143">
        <v>0.50200000000000899</v>
      </c>
      <c r="AF143">
        <v>-0.74047725533806197</v>
      </c>
      <c r="AG143">
        <v>-1.1092506644892</v>
      </c>
      <c r="AH143">
        <v>9.2428184823168706</v>
      </c>
      <c r="AI143">
        <v>96.821810599195203</v>
      </c>
      <c r="AJ143">
        <v>94.580399651814403</v>
      </c>
      <c r="AK143">
        <v>9.3385457700544006</v>
      </c>
      <c r="AL143">
        <v>74.587520663480404</v>
      </c>
      <c r="AM143">
        <v>95.717350266558199</v>
      </c>
      <c r="AN143">
        <v>1.00000001325161</v>
      </c>
    </row>
    <row r="144" spans="1:40" x14ac:dyDescent="0.25">
      <c r="A144" t="str">
        <f>"20190304164338768"</f>
        <v>20190304164338768</v>
      </c>
      <c r="B144" t="str">
        <f>"1551689018759838"</f>
        <v>1551689018759838</v>
      </c>
      <c r="C144" t="s">
        <v>40</v>
      </c>
      <c r="D144">
        <v>5.228396</v>
      </c>
      <c r="E144">
        <v>0.53141549999999904</v>
      </c>
      <c r="F144" t="s">
        <v>41</v>
      </c>
      <c r="G144">
        <v>-468.22660000000002</v>
      </c>
      <c r="H144">
        <v>1.0170159999999999</v>
      </c>
      <c r="I144">
        <v>367.07089999999999</v>
      </c>
      <c r="J144">
        <v>-468.84809999999999</v>
      </c>
      <c r="K144">
        <v>1.1092489999999999</v>
      </c>
      <c r="L144">
        <v>367.04930000000002</v>
      </c>
      <c r="M144">
        <v>0.99964810000000004</v>
      </c>
      <c r="N144">
        <v>-2.6308490000000002E-3</v>
      </c>
      <c r="O144">
        <v>-2.6398729999999999E-2</v>
      </c>
      <c r="P144">
        <v>0.96171879999999998</v>
      </c>
      <c r="Q144">
        <v>0.26421349999999999</v>
      </c>
      <c r="R144">
        <v>7.2720939999999998E-2</v>
      </c>
      <c r="S144">
        <v>3.216888</v>
      </c>
      <c r="T144">
        <v>-0.38096980000000003</v>
      </c>
      <c r="U144">
        <v>7.3516849999999995E-2</v>
      </c>
      <c r="V144">
        <v>-9.8123139999999998E-2</v>
      </c>
      <c r="W144">
        <v>0.26672249999999997</v>
      </c>
      <c r="X144">
        <v>0.95876530000000004</v>
      </c>
      <c r="Y144">
        <v>-4.8707260000000002E-2</v>
      </c>
      <c r="Z144">
        <v>5.9838620000000004E-3</v>
      </c>
      <c r="AA144">
        <v>0.99879519999999999</v>
      </c>
      <c r="AB144">
        <v>15</v>
      </c>
      <c r="AC144">
        <v>0.62149999999996897</v>
      </c>
      <c r="AD144">
        <v>-9.2232999999999996E-2</v>
      </c>
      <c r="AE144">
        <v>2.1599999999978001E-2</v>
      </c>
      <c r="AF144">
        <v>-3.7181453048952998E-2</v>
      </c>
      <c r="AG144">
        <v>-9.2232999999999996E-2</v>
      </c>
      <c r="AH144">
        <v>0.60735315671971901</v>
      </c>
      <c r="AI144">
        <v>98.619101395997504</v>
      </c>
      <c r="AJ144">
        <v>93.503208892604704</v>
      </c>
      <c r="AK144">
        <v>0.61544069065770901</v>
      </c>
      <c r="AL144">
        <v>74.5306703620588</v>
      </c>
      <c r="AM144">
        <v>95.843490118092205</v>
      </c>
      <c r="AN144">
        <v>0.99999997154689901</v>
      </c>
    </row>
    <row r="145" spans="1:40" x14ac:dyDescent="0.25">
      <c r="A145" t="str">
        <f>"20190304164338790"</f>
        <v>20190304164338790</v>
      </c>
      <c r="B145" t="str">
        <f>"1551689018780334"</f>
        <v>1551689018780334</v>
      </c>
      <c r="C145" t="s">
        <v>40</v>
      </c>
      <c r="D145">
        <v>5.2106170000000001</v>
      </c>
      <c r="E145">
        <v>0.53136119999999898</v>
      </c>
      <c r="F145" t="s">
        <v>41</v>
      </c>
      <c r="G145">
        <v>-468.0881</v>
      </c>
      <c r="H145">
        <v>1.0200359999999999</v>
      </c>
      <c r="I145">
        <v>367.06779999999998</v>
      </c>
      <c r="J145">
        <v>-468.69709999999998</v>
      </c>
      <c r="K145">
        <v>1.1092040000000001</v>
      </c>
      <c r="L145">
        <v>367.04539999999997</v>
      </c>
      <c r="M145">
        <v>0.99965919999999997</v>
      </c>
      <c r="N145">
        <v>-2.4697970000000001E-3</v>
      </c>
      <c r="O145">
        <v>-2.598901E-2</v>
      </c>
      <c r="P145">
        <v>0.96110770000000001</v>
      </c>
      <c r="Q145">
        <v>0.26536169999999998</v>
      </c>
      <c r="R145">
        <v>7.6519169999999997E-2</v>
      </c>
      <c r="S145">
        <v>3.2172239999999999</v>
      </c>
      <c r="T145">
        <v>-0.3777064</v>
      </c>
      <c r="U145">
        <v>7.8796389999999994E-2</v>
      </c>
      <c r="V145">
        <v>-0.1014948</v>
      </c>
      <c r="W145">
        <v>0.26772059999999998</v>
      </c>
      <c r="X145">
        <v>0.95813599999999999</v>
      </c>
      <c r="Y145">
        <v>-4.9936689999999999E-2</v>
      </c>
      <c r="Z145">
        <v>5.959013E-3</v>
      </c>
      <c r="AA145">
        <v>0.99873460000000003</v>
      </c>
      <c r="AB145">
        <v>15</v>
      </c>
      <c r="AC145">
        <v>0.60899999999998</v>
      </c>
      <c r="AD145">
        <v>-8.91679999999999E-2</v>
      </c>
      <c r="AE145">
        <v>2.24000000000046E-2</v>
      </c>
      <c r="AF145">
        <v>-3.7418692232146798E-2</v>
      </c>
      <c r="AG145">
        <v>-8.91679999999999E-2</v>
      </c>
      <c r="AH145">
        <v>0.59546385675703895</v>
      </c>
      <c r="AI145">
        <v>98.499980820874597</v>
      </c>
      <c r="AJ145">
        <v>93.595714142690994</v>
      </c>
      <c r="AK145">
        <v>0.60326469767120605</v>
      </c>
      <c r="AL145">
        <v>74.471326683289007</v>
      </c>
      <c r="AM145">
        <v>96.0467595410679</v>
      </c>
      <c r="AN145">
        <v>1.00000005429369</v>
      </c>
    </row>
    <row r="146" spans="1:40" x14ac:dyDescent="0.25">
      <c r="A146" t="str">
        <f>"20190304164338811"</f>
        <v>20190304164338811</v>
      </c>
      <c r="B146" t="str">
        <f>"1551689018800082"</f>
        <v>1551689018800082</v>
      </c>
      <c r="C146" t="s">
        <v>40</v>
      </c>
      <c r="D146">
        <v>5.2546299999999997</v>
      </c>
      <c r="E146">
        <v>0.53172249999999999</v>
      </c>
      <c r="F146" t="s">
        <v>41</v>
      </c>
      <c r="G146">
        <v>-467.94810000000001</v>
      </c>
      <c r="H146">
        <v>1.0219819999999999</v>
      </c>
      <c r="I146">
        <v>367.06700000000001</v>
      </c>
      <c r="J146">
        <v>-468.55169999999998</v>
      </c>
      <c r="K146">
        <v>1.109205</v>
      </c>
      <c r="L146">
        <v>367.04160000000002</v>
      </c>
      <c r="M146">
        <v>0.99966659999999996</v>
      </c>
      <c r="N146">
        <v>-2.374728E-3</v>
      </c>
      <c r="O146">
        <v>-2.57141E-2</v>
      </c>
      <c r="P146">
        <v>0.96113059999999995</v>
      </c>
      <c r="Q146">
        <v>0.2649589</v>
      </c>
      <c r="R146">
        <v>7.7621480000000007E-2</v>
      </c>
      <c r="S146">
        <v>3.217438</v>
      </c>
      <c r="T146">
        <v>-0.37489630000000002</v>
      </c>
      <c r="U146">
        <v>9.3902589999999994E-2</v>
      </c>
      <c r="V146">
        <v>-0.1023686</v>
      </c>
      <c r="W146">
        <v>0.26721289999999998</v>
      </c>
      <c r="X146">
        <v>0.9581847</v>
      </c>
      <c r="Y146">
        <v>-5.4325020000000002E-2</v>
      </c>
      <c r="Z146">
        <v>6.1430449999999998E-3</v>
      </c>
      <c r="AA146">
        <v>0.99850439999999996</v>
      </c>
      <c r="AB146">
        <v>15</v>
      </c>
      <c r="AC146">
        <v>0.60359999999997105</v>
      </c>
      <c r="AD146">
        <v>-8.7222999999999995E-2</v>
      </c>
      <c r="AE146">
        <v>2.5399999999933601E-2</v>
      </c>
      <c r="AF146">
        <v>-4.0077276416726301E-2</v>
      </c>
      <c r="AG146">
        <v>-8.7222999999999995E-2</v>
      </c>
      <c r="AH146">
        <v>0.59043974441148195</v>
      </c>
      <c r="AI146">
        <v>98.384254100308695</v>
      </c>
      <c r="AJ146">
        <v>93.883109197646604</v>
      </c>
      <c r="AK146">
        <v>0.59819155092217602</v>
      </c>
      <c r="AL146">
        <v>74.501514626430094</v>
      </c>
      <c r="AM146">
        <v>96.098119703346597</v>
      </c>
      <c r="AN146">
        <v>0.99999999175322996</v>
      </c>
    </row>
    <row r="147" spans="1:40" x14ac:dyDescent="0.25">
      <c r="A147" t="str">
        <f>"20190304164338834"</f>
        <v>20190304164338834</v>
      </c>
      <c r="B147" t="str">
        <f>"1551689018830338"</f>
        <v>1551689018830338</v>
      </c>
      <c r="C147" t="s">
        <v>40</v>
      </c>
      <c r="D147">
        <v>5.1695589999999996</v>
      </c>
      <c r="E147">
        <v>0.53218019999999999</v>
      </c>
      <c r="F147" t="s">
        <v>41</v>
      </c>
      <c r="G147">
        <v>-467.80849999999998</v>
      </c>
      <c r="H147">
        <v>1.022775</v>
      </c>
      <c r="I147">
        <v>367.06349999999998</v>
      </c>
      <c r="J147">
        <v>-468.39249999999998</v>
      </c>
      <c r="K147">
        <v>1.1093109999999999</v>
      </c>
      <c r="L147">
        <v>367.03750000000002</v>
      </c>
      <c r="M147">
        <v>0.99966379999999999</v>
      </c>
      <c r="N147">
        <v>-2.4232400000000001E-3</v>
      </c>
      <c r="O147">
        <v>-2.581667E-2</v>
      </c>
      <c r="P147">
        <v>0.96111150000000001</v>
      </c>
      <c r="Q147">
        <v>0.26512790000000003</v>
      </c>
      <c r="R147">
        <v>7.7276960000000006E-2</v>
      </c>
      <c r="S147">
        <v>3.2168269999999999</v>
      </c>
      <c r="T147">
        <v>-0.3740966</v>
      </c>
      <c r="U147">
        <v>9.4940189999999994E-2</v>
      </c>
      <c r="V147">
        <v>-0.10221570000000001</v>
      </c>
      <c r="W147">
        <v>0.26739249999999998</v>
      </c>
      <c r="X147">
        <v>0.95815090000000003</v>
      </c>
      <c r="Y147">
        <v>-5.4753280000000001E-2</v>
      </c>
      <c r="Z147">
        <v>6.1682169999999897E-3</v>
      </c>
      <c r="AA147">
        <v>0.9984809</v>
      </c>
      <c r="AB147">
        <v>15</v>
      </c>
      <c r="AC147">
        <v>0.58400000000000296</v>
      </c>
      <c r="AD147">
        <v>-8.6536000000000099E-2</v>
      </c>
      <c r="AE147">
        <v>2.5999999999953598E-2</v>
      </c>
      <c r="AF147">
        <v>-4.0187668067812501E-2</v>
      </c>
      <c r="AG147">
        <v>-8.6536000000000099E-2</v>
      </c>
      <c r="AH147">
        <v>0.57062972677106705</v>
      </c>
      <c r="AI147">
        <v>98.6022141275362</v>
      </c>
      <c r="AJ147">
        <v>94.028511053882198</v>
      </c>
      <c r="AK147">
        <v>0.57855147829346298</v>
      </c>
      <c r="AL147">
        <v>74.490835425354305</v>
      </c>
      <c r="AM147">
        <v>96.089293080265804</v>
      </c>
      <c r="AN147">
        <v>0.99999997277677399</v>
      </c>
    </row>
    <row r="148" spans="1:40" x14ac:dyDescent="0.25">
      <c r="A148" t="str">
        <f>"20190304164338857"</f>
        <v>20190304164338857</v>
      </c>
      <c r="B148" t="str">
        <f>"1551689018850835"</f>
        <v>1551689018850835</v>
      </c>
      <c r="C148" t="s">
        <v>40</v>
      </c>
      <c r="D148">
        <v>5.1556100000000002</v>
      </c>
      <c r="E148">
        <v>0.53247739999999999</v>
      </c>
      <c r="F148" t="s">
        <v>41</v>
      </c>
      <c r="G148">
        <v>-467.66759999999999</v>
      </c>
      <c r="H148">
        <v>1.0248349999999999</v>
      </c>
      <c r="I148">
        <v>367.05739999999997</v>
      </c>
      <c r="J148">
        <v>-468.23169999999999</v>
      </c>
      <c r="K148">
        <v>1.109372</v>
      </c>
      <c r="L148">
        <v>367.0335</v>
      </c>
      <c r="M148">
        <v>0.99965519999999997</v>
      </c>
      <c r="N148">
        <v>-2.4769290000000001E-3</v>
      </c>
      <c r="O148">
        <v>-2.614114E-2</v>
      </c>
      <c r="P148">
        <v>0.96121760000000001</v>
      </c>
      <c r="Q148">
        <v>0.26522800000000002</v>
      </c>
      <c r="R148">
        <v>7.5595129999999996E-2</v>
      </c>
      <c r="S148">
        <v>3.217743</v>
      </c>
      <c r="T148">
        <v>-0.37511070000000002</v>
      </c>
      <c r="U148">
        <v>8.9294429999999994E-2</v>
      </c>
      <c r="V148">
        <v>-0.1009056</v>
      </c>
      <c r="W148">
        <v>0.26752389999999998</v>
      </c>
      <c r="X148">
        <v>0.95825309999999997</v>
      </c>
      <c r="Y148">
        <v>-5.3323570000000001E-2</v>
      </c>
      <c r="Z148">
        <v>6.1353689999999999E-3</v>
      </c>
      <c r="AA148">
        <v>0.99855850000000002</v>
      </c>
      <c r="AB148">
        <v>16</v>
      </c>
      <c r="AC148">
        <v>0.56409999999999605</v>
      </c>
      <c r="AD148">
        <v>-8.4537000000000001E-2</v>
      </c>
      <c r="AE148">
        <v>2.3899999999969099E-2</v>
      </c>
      <c r="AF148">
        <v>-3.7790887380952903E-2</v>
      </c>
      <c r="AG148">
        <v>-8.4537000000000001E-2</v>
      </c>
      <c r="AH148">
        <v>0.55093150454154804</v>
      </c>
      <c r="AI148">
        <v>98.703500734914599</v>
      </c>
      <c r="AJ148">
        <v>93.924030283876505</v>
      </c>
      <c r="AK148">
        <v>0.55865926845838099</v>
      </c>
      <c r="AL148">
        <v>74.483022397354702</v>
      </c>
      <c r="AM148">
        <v>96.011185290034206</v>
      </c>
      <c r="AN148">
        <v>0.999999990421089</v>
      </c>
    </row>
    <row r="149" spans="1:40" x14ac:dyDescent="0.25">
      <c r="A149" t="str">
        <f>"20190304164338879"</f>
        <v>20190304164338879</v>
      </c>
      <c r="B149" t="str">
        <f>"1551689018870354"</f>
        <v>1551689018870354</v>
      </c>
      <c r="C149" t="s">
        <v>40</v>
      </c>
      <c r="D149">
        <v>5.1537689999999996</v>
      </c>
      <c r="E149">
        <v>0.53278729999999996</v>
      </c>
      <c r="F149" t="s">
        <v>41</v>
      </c>
      <c r="G149">
        <v>-467.39190000000002</v>
      </c>
      <c r="H149">
        <v>1.0116419999999999</v>
      </c>
      <c r="I149">
        <v>367.05410000000001</v>
      </c>
      <c r="J149">
        <v>-468.07</v>
      </c>
      <c r="K149">
        <v>1.109308</v>
      </c>
      <c r="L149">
        <v>367.02949999999998</v>
      </c>
      <c r="M149">
        <v>0.99965199999999999</v>
      </c>
      <c r="N149">
        <v>-2.4257599999999999E-3</v>
      </c>
      <c r="O149">
        <v>-2.6273680000000001E-2</v>
      </c>
      <c r="P149">
        <v>0.96123259999999999</v>
      </c>
      <c r="Q149">
        <v>0.26560899999999998</v>
      </c>
      <c r="R149">
        <v>7.4054610000000007E-2</v>
      </c>
      <c r="S149">
        <v>3.2181700000000002</v>
      </c>
      <c r="T149">
        <v>-0.37477290000000002</v>
      </c>
      <c r="U149">
        <v>7.9833979999999999E-2</v>
      </c>
      <c r="V149">
        <v>-9.9484370000000003E-2</v>
      </c>
      <c r="W149">
        <v>0.26786019999999999</v>
      </c>
      <c r="X149">
        <v>0.95830769999999998</v>
      </c>
      <c r="Y149">
        <v>-5.0538069999999997E-2</v>
      </c>
      <c r="Z149">
        <v>5.9792830000000002E-3</v>
      </c>
      <c r="AA149">
        <v>0.99870429999999999</v>
      </c>
      <c r="AB149">
        <v>16</v>
      </c>
      <c r="AC149">
        <v>0.67809999999997195</v>
      </c>
      <c r="AD149">
        <v>-9.7666000000000003E-2</v>
      </c>
      <c r="AE149">
        <v>2.46000000000208E-2</v>
      </c>
      <c r="AF149">
        <v>-4.1547007916460599E-2</v>
      </c>
      <c r="AG149">
        <v>-9.7666000000000003E-2</v>
      </c>
      <c r="AH149">
        <v>0.66347433799731004</v>
      </c>
      <c r="AI149">
        <v>98.357882435201802</v>
      </c>
      <c r="AJ149">
        <v>93.583204128228104</v>
      </c>
      <c r="AK149">
        <v>0.67190996316752105</v>
      </c>
      <c r="AL149">
        <v>74.463023127405904</v>
      </c>
      <c r="AM149">
        <v>95.926790957995195</v>
      </c>
      <c r="AN149">
        <v>0.99999993724881098</v>
      </c>
    </row>
    <row r="150" spans="1:40" x14ac:dyDescent="0.25">
      <c r="A150" t="str">
        <f>"20190304164338900"</f>
        <v>20190304164338900</v>
      </c>
      <c r="B150" t="str">
        <f>"1551689018889877"</f>
        <v>1551689018889877</v>
      </c>
      <c r="C150" t="s">
        <v>40</v>
      </c>
      <c r="D150">
        <v>5.1113910000000002</v>
      </c>
      <c r="E150">
        <v>0.53307539999999998</v>
      </c>
      <c r="F150" t="s">
        <v>41</v>
      </c>
      <c r="G150">
        <v>-467.2466</v>
      </c>
      <c r="H150">
        <v>1.0137400000000001</v>
      </c>
      <c r="I150">
        <v>367.04759999999999</v>
      </c>
      <c r="J150">
        <v>-467.91640000000001</v>
      </c>
      <c r="K150">
        <v>1.1091959999999901</v>
      </c>
      <c r="L150">
        <v>367.02569999999997</v>
      </c>
      <c r="M150">
        <v>0.99965619999999999</v>
      </c>
      <c r="N150">
        <v>-2.3288620000000001E-3</v>
      </c>
      <c r="O150">
        <v>-2.6117700000000001E-2</v>
      </c>
      <c r="P150">
        <v>0.96119370000000004</v>
      </c>
      <c r="Q150">
        <v>0.26595459999999999</v>
      </c>
      <c r="R150">
        <v>7.3312820000000001E-2</v>
      </c>
      <c r="S150">
        <v>3.2187190000000001</v>
      </c>
      <c r="T150">
        <v>-0.37362279999999998</v>
      </c>
      <c r="U150">
        <v>7.1289060000000001E-2</v>
      </c>
      <c r="V150">
        <v>-9.8546739999999994E-2</v>
      </c>
      <c r="W150">
        <v>0.26813039999999999</v>
      </c>
      <c r="X150">
        <v>0.95832910000000004</v>
      </c>
      <c r="Y150">
        <v>-4.775136E-2</v>
      </c>
      <c r="Z150">
        <v>5.7781569999999999E-3</v>
      </c>
      <c r="AA150">
        <v>0.99884249999999997</v>
      </c>
      <c r="AB150">
        <v>16</v>
      </c>
      <c r="AC150">
        <v>0.66980000000000905</v>
      </c>
      <c r="AD150">
        <v>-9.5455999999999999E-2</v>
      </c>
      <c r="AE150">
        <v>2.1900000000016399E-2</v>
      </c>
      <c r="AF150">
        <v>-3.8603010400257098E-2</v>
      </c>
      <c r="AG150">
        <v>-9.5455999999999999E-2</v>
      </c>
      <c r="AH150">
        <v>0.65569637058368302</v>
      </c>
      <c r="AI150">
        <v>98.268788829190697</v>
      </c>
      <c r="AJ150">
        <v>93.369302576769201</v>
      </c>
      <c r="AK150">
        <v>0.663731700873611</v>
      </c>
      <c r="AL150">
        <v>74.4469552835115</v>
      </c>
      <c r="AM150">
        <v>95.871193430821194</v>
      </c>
      <c r="AN150">
        <v>1.0000000176377899</v>
      </c>
    </row>
    <row r="151" spans="1:40" x14ac:dyDescent="0.25">
      <c r="A151" t="str">
        <f>"20190304164338922"</f>
        <v>20190304164338922</v>
      </c>
      <c r="B151" t="str">
        <f>"1551689018910370"</f>
        <v>1551689018910370</v>
      </c>
      <c r="C151" t="s">
        <v>40</v>
      </c>
      <c r="D151">
        <v>5.1248310000000004</v>
      </c>
      <c r="E151">
        <v>0.53326249999999997</v>
      </c>
      <c r="F151" t="s">
        <v>41</v>
      </c>
      <c r="G151">
        <v>-467.1003</v>
      </c>
      <c r="H151">
        <v>1.0148109999999999</v>
      </c>
      <c r="I151">
        <v>367.0419</v>
      </c>
      <c r="J151">
        <v>-467.75729999999999</v>
      </c>
      <c r="K151">
        <v>1.109102</v>
      </c>
      <c r="L151">
        <v>367.02159999999998</v>
      </c>
      <c r="M151">
        <v>0.99966480000000002</v>
      </c>
      <c r="N151">
        <v>-2.2599909999999998E-3</v>
      </c>
      <c r="O151">
        <v>-2.5795700000000001E-2</v>
      </c>
      <c r="P151">
        <v>0.9611248</v>
      </c>
      <c r="Q151">
        <v>0.26614599999999999</v>
      </c>
      <c r="R151">
        <v>7.3523740000000004E-2</v>
      </c>
      <c r="S151">
        <v>3.219147</v>
      </c>
      <c r="T151">
        <v>-0.37249729999999998</v>
      </c>
      <c r="U151">
        <v>6.5521239999999994E-2</v>
      </c>
      <c r="V151">
        <v>-9.8399189999999997E-2</v>
      </c>
      <c r="W151">
        <v>0.2682737</v>
      </c>
      <c r="X151">
        <v>0.95830420000000005</v>
      </c>
      <c r="Y151">
        <v>-4.5657099999999999E-2</v>
      </c>
      <c r="Z151">
        <v>5.6007919999999899E-3</v>
      </c>
      <c r="AA151">
        <v>0.99894150000000004</v>
      </c>
      <c r="AB151">
        <v>16</v>
      </c>
      <c r="AC151">
        <v>0.65699999999998204</v>
      </c>
      <c r="AD151">
        <v>-9.4290999999999903E-2</v>
      </c>
      <c r="AE151">
        <v>2.0300000000020101E-2</v>
      </c>
      <c r="AF151">
        <v>-3.6490179645311899E-2</v>
      </c>
      <c r="AG151">
        <v>-9.4290999999999903E-2</v>
      </c>
      <c r="AH151">
        <v>0.64302577311948395</v>
      </c>
      <c r="AI151">
        <v>98.328983626243499</v>
      </c>
      <c r="AJ151">
        <v>93.247915470628797</v>
      </c>
      <c r="AK151">
        <v>0.65092585659770597</v>
      </c>
      <c r="AL151">
        <v>74.438433211803897</v>
      </c>
      <c r="AM151">
        <v>95.862615270643801</v>
      </c>
      <c r="AN151">
        <v>1.0000000592209899</v>
      </c>
    </row>
    <row r="152" spans="1:40" x14ac:dyDescent="0.25">
      <c r="A152" t="str">
        <f>"20190304164338946"</f>
        <v>20190304164338946</v>
      </c>
      <c r="B152" t="str">
        <f>"1551689018940626"</f>
        <v>1551689018940626</v>
      </c>
      <c r="C152" t="s">
        <v>40</v>
      </c>
      <c r="D152">
        <v>5.0742240000000001</v>
      </c>
      <c r="E152">
        <v>0.53332619999999997</v>
      </c>
      <c r="F152" t="s">
        <v>41</v>
      </c>
      <c r="G152">
        <v>-466.95249999999999</v>
      </c>
      <c r="H152">
        <v>1.0160450000000001</v>
      </c>
      <c r="I152">
        <v>367.03739999999999</v>
      </c>
      <c r="J152">
        <v>-467.58539999999999</v>
      </c>
      <c r="K152">
        <v>1.1090660000000001</v>
      </c>
      <c r="L152">
        <v>367.0172</v>
      </c>
      <c r="M152">
        <v>0.99967269999999997</v>
      </c>
      <c r="N152">
        <v>-2.250457E-3</v>
      </c>
      <c r="O152">
        <v>-2.5483700000000001E-2</v>
      </c>
      <c r="P152">
        <v>0.96101139999999996</v>
      </c>
      <c r="Q152">
        <v>0.26633659999999998</v>
      </c>
      <c r="R152">
        <v>7.4310959999999995E-2</v>
      </c>
      <c r="S152">
        <v>3.2196039999999999</v>
      </c>
      <c r="T152">
        <v>-0.372442</v>
      </c>
      <c r="U152">
        <v>6.4239500000000005E-2</v>
      </c>
      <c r="V152">
        <v>-9.8857059999999997E-2</v>
      </c>
      <c r="W152">
        <v>0.26846429999999999</v>
      </c>
      <c r="X152">
        <v>0.95820360000000004</v>
      </c>
      <c r="Y152">
        <v>-4.4951980000000002E-2</v>
      </c>
      <c r="Z152">
        <v>5.5225129999999997E-3</v>
      </c>
      <c r="AA152">
        <v>0.99897389999999997</v>
      </c>
      <c r="AB152">
        <v>16</v>
      </c>
      <c r="AC152">
        <v>0.63290000000000601</v>
      </c>
      <c r="AD152">
        <v>-9.3020999999999798E-2</v>
      </c>
      <c r="AE152">
        <v>2.0199999999988401E-2</v>
      </c>
      <c r="AF152">
        <v>-3.5554844063432497E-2</v>
      </c>
      <c r="AG152">
        <v>-9.3020999999999798E-2</v>
      </c>
      <c r="AH152">
        <v>0.618825486268341</v>
      </c>
      <c r="AI152">
        <v>98.534751554634695</v>
      </c>
      <c r="AJ152">
        <v>93.288334698755804</v>
      </c>
      <c r="AK152">
        <v>0.62678707375999998</v>
      </c>
      <c r="AL152">
        <v>74.427095330392902</v>
      </c>
      <c r="AM152">
        <v>95.890317799174994</v>
      </c>
      <c r="AN152">
        <v>0.99999996886964604</v>
      </c>
    </row>
    <row r="153" spans="1:40" x14ac:dyDescent="0.25">
      <c r="A153" t="str">
        <f>"20190304164338969"</f>
        <v>20190304164338969</v>
      </c>
      <c r="B153" t="str">
        <f>"1551689018960146"</f>
        <v>1551689018960146</v>
      </c>
      <c r="C153" t="s">
        <v>40</v>
      </c>
      <c r="D153">
        <v>5.0734389999999996</v>
      </c>
      <c r="E153">
        <v>0.52879169999999998</v>
      </c>
      <c r="F153" t="s">
        <v>41</v>
      </c>
      <c r="G153">
        <v>-466.80220000000003</v>
      </c>
      <c r="H153">
        <v>1.018759</v>
      </c>
      <c r="I153">
        <v>367.03300000000002</v>
      </c>
      <c r="J153">
        <v>-467.40589999999997</v>
      </c>
      <c r="K153">
        <v>1.1090880000000001</v>
      </c>
      <c r="L153">
        <v>367.0127</v>
      </c>
      <c r="M153">
        <v>0.99967700000000004</v>
      </c>
      <c r="N153">
        <v>-2.276616E-3</v>
      </c>
      <c r="O153">
        <v>-2.5312660000000001E-2</v>
      </c>
      <c r="P153">
        <v>0.96089740000000001</v>
      </c>
      <c r="Q153">
        <v>0.26642539999999998</v>
      </c>
      <c r="R153">
        <v>7.5457999999999997E-2</v>
      </c>
      <c r="S153">
        <v>3.2195429999999998</v>
      </c>
      <c r="T153">
        <v>-0.37152039999999997</v>
      </c>
      <c r="U153">
        <v>6.6192630000000002E-2</v>
      </c>
      <c r="V153">
        <v>-9.9835629999999995E-2</v>
      </c>
      <c r="W153">
        <v>0.26857779999999998</v>
      </c>
      <c r="X153">
        <v>0.95807039999999999</v>
      </c>
      <c r="Y153">
        <v>-4.5387650000000002E-2</v>
      </c>
      <c r="Z153">
        <v>5.5151920000000004E-3</v>
      </c>
      <c r="AA153">
        <v>0.99895420000000001</v>
      </c>
      <c r="AB153">
        <v>16</v>
      </c>
      <c r="AC153">
        <v>0.60369999999994595</v>
      </c>
      <c r="AD153">
        <v>-9.0328999999999798E-2</v>
      </c>
      <c r="AE153">
        <v>2.0300000000020101E-2</v>
      </c>
      <c r="AF153">
        <v>-3.47966461688149E-2</v>
      </c>
      <c r="AG153">
        <v>-9.0328999999999798E-2</v>
      </c>
      <c r="AH153">
        <v>0.58980321289703996</v>
      </c>
      <c r="AI153">
        <v>98.692371328442803</v>
      </c>
      <c r="AJ153">
        <v>93.376367940991798</v>
      </c>
      <c r="AK153">
        <v>0.59769387211955705</v>
      </c>
      <c r="AL153">
        <v>74.420345448918297</v>
      </c>
      <c r="AM153">
        <v>95.949030126285706</v>
      </c>
      <c r="AN153">
        <v>1.00000003951324</v>
      </c>
    </row>
    <row r="154" spans="1:40" x14ac:dyDescent="0.25">
      <c r="A154" t="str">
        <f>"20190304164338992"</f>
        <v>20190304164338992</v>
      </c>
      <c r="B154" t="str">
        <f>"1551689018980643"</f>
        <v>1551689018980643</v>
      </c>
      <c r="C154" t="s">
        <v>40</v>
      </c>
      <c r="D154">
        <v>5.0553629999999998</v>
      </c>
      <c r="E154">
        <v>0.52875519999999998</v>
      </c>
      <c r="F154" t="s">
        <v>42</v>
      </c>
      <c r="G154">
        <v>-455.79750000000001</v>
      </c>
      <c r="H154" s="1">
        <v>-2.1823709999999999E-6</v>
      </c>
      <c r="I154">
        <v>367.37709999999998</v>
      </c>
      <c r="J154">
        <v>-467.23910000000001</v>
      </c>
      <c r="K154">
        <v>1.1091169999999999</v>
      </c>
      <c r="L154">
        <v>367.0086</v>
      </c>
      <c r="M154">
        <v>0.99967799999999996</v>
      </c>
      <c r="N154">
        <v>-2.2991230000000001E-3</v>
      </c>
      <c r="O154">
        <v>-2.5265559999999999E-2</v>
      </c>
      <c r="P154">
        <v>0.96082990000000001</v>
      </c>
      <c r="Q154">
        <v>0.26616659999999998</v>
      </c>
      <c r="R154">
        <v>7.7209650000000005E-2</v>
      </c>
      <c r="S154">
        <v>3.198944</v>
      </c>
      <c r="T154">
        <v>-0.30563240000000003</v>
      </c>
      <c r="U154">
        <v>0.1004333</v>
      </c>
      <c r="V154">
        <v>-0.1015498</v>
      </c>
      <c r="W154">
        <v>0.26833610000000002</v>
      </c>
      <c r="X154">
        <v>0.95795790000000003</v>
      </c>
      <c r="Y154">
        <v>-5.6251860000000001E-2</v>
      </c>
      <c r="Z154">
        <v>5.0952089999999998E-3</v>
      </c>
      <c r="AA154">
        <v>0.99840359999999995</v>
      </c>
      <c r="AB154">
        <v>17</v>
      </c>
      <c r="AC154">
        <v>11.4415999999999</v>
      </c>
      <c r="AD154">
        <v>-1.1091191823709901</v>
      </c>
      <c r="AE154">
        <v>0.36849999999998301</v>
      </c>
      <c r="AF154">
        <v>-0.65134731857793704</v>
      </c>
      <c r="AG154">
        <v>-1.1091191823709901</v>
      </c>
      <c r="AH154">
        <v>11.322352793780199</v>
      </c>
      <c r="AI154">
        <v>95.585574743005495</v>
      </c>
      <c r="AJ154">
        <v>93.292457495640207</v>
      </c>
      <c r="AK154">
        <v>11.395177553550599</v>
      </c>
      <c r="AL154">
        <v>74.434720632221897</v>
      </c>
      <c r="AM154">
        <v>96.051128433659997</v>
      </c>
      <c r="AN154">
        <v>0.99999998130782897</v>
      </c>
    </row>
    <row r="155" spans="1:40" x14ac:dyDescent="0.25">
      <c r="A155" t="str">
        <f>"20190304164339012"</f>
        <v>20190304164339012</v>
      </c>
      <c r="B155" t="str">
        <f>"1551689019000162"</f>
        <v>1551689019000162</v>
      </c>
      <c r="C155" t="s">
        <v>40</v>
      </c>
      <c r="D155">
        <v>5.0448940000000002</v>
      </c>
      <c r="E155">
        <v>0.52891829999999995</v>
      </c>
      <c r="F155" t="s">
        <v>42</v>
      </c>
      <c r="G155">
        <v>-455.51549999999997</v>
      </c>
      <c r="H155" s="1">
        <v>-2.2997370000000002E-6</v>
      </c>
      <c r="I155">
        <v>367.39760000000001</v>
      </c>
      <c r="J155">
        <v>-467.08150000000001</v>
      </c>
      <c r="K155">
        <v>1.1091409999999999</v>
      </c>
      <c r="L155">
        <v>367.00479999999999</v>
      </c>
      <c r="M155">
        <v>0.99967890000000004</v>
      </c>
      <c r="N155">
        <v>-2.3113600000000002E-3</v>
      </c>
      <c r="O155">
        <v>-2.5235509999999999E-2</v>
      </c>
      <c r="P155">
        <v>0.96091479999999996</v>
      </c>
      <c r="Q155">
        <v>0.26554290000000003</v>
      </c>
      <c r="R155">
        <v>7.8294799999999998E-2</v>
      </c>
      <c r="S155">
        <v>3.1975709999999999</v>
      </c>
      <c r="T155">
        <v>-0.30250440000000001</v>
      </c>
      <c r="U155">
        <v>0.1061096</v>
      </c>
      <c r="V155">
        <v>-0.1026131</v>
      </c>
      <c r="W155">
        <v>0.26772200000000002</v>
      </c>
      <c r="X155">
        <v>0.95801650000000005</v>
      </c>
      <c r="Y155">
        <v>-5.8005080000000001E-2</v>
      </c>
      <c r="Z155">
        <v>5.1274119999999996E-3</v>
      </c>
      <c r="AA155">
        <v>0.9983031</v>
      </c>
      <c r="AB155">
        <v>17</v>
      </c>
      <c r="AC155">
        <v>11.566000000000001</v>
      </c>
      <c r="AD155">
        <v>-1.1091432997370001</v>
      </c>
      <c r="AE155">
        <v>0.39280000000002202</v>
      </c>
      <c r="AF155">
        <v>-0.67831880638923703</v>
      </c>
      <c r="AG155">
        <v>-1.1091432997370001</v>
      </c>
      <c r="AH155">
        <v>11.447253978329</v>
      </c>
      <c r="AI155">
        <v>95.524576713618799</v>
      </c>
      <c r="AJ155">
        <v>93.391154950688403</v>
      </c>
      <c r="AK155">
        <v>11.5208480116189</v>
      </c>
      <c r="AL155">
        <v>74.471243615322294</v>
      </c>
      <c r="AM155">
        <v>96.113639552466594</v>
      </c>
      <c r="AN155">
        <v>1.0000000659239201</v>
      </c>
    </row>
    <row r="156" spans="1:40" x14ac:dyDescent="0.25">
      <c r="A156" t="str">
        <f>"20190304164339036"</f>
        <v>20190304164339036</v>
      </c>
      <c r="B156" t="str">
        <f>"1551689019030418"</f>
        <v>1551689019030418</v>
      </c>
      <c r="C156" t="s">
        <v>40</v>
      </c>
      <c r="D156">
        <v>5.0277919999999998</v>
      </c>
      <c r="E156">
        <v>0.52918290000000001</v>
      </c>
      <c r="F156" t="s">
        <v>42</v>
      </c>
      <c r="G156">
        <v>-455.36950000000002</v>
      </c>
      <c r="H156" s="1">
        <v>-2.3618520000000002E-6</v>
      </c>
      <c r="I156">
        <v>367.40039999999999</v>
      </c>
      <c r="J156">
        <v>-466.9006</v>
      </c>
      <c r="K156">
        <v>1.1091530000000001</v>
      </c>
      <c r="L156">
        <v>367.00040000000001</v>
      </c>
      <c r="M156">
        <v>0.99968100000000004</v>
      </c>
      <c r="N156">
        <v>-2.3240819999999999E-3</v>
      </c>
      <c r="O156">
        <v>-2.5150180000000001E-2</v>
      </c>
      <c r="P156">
        <v>0.96099460000000003</v>
      </c>
      <c r="Q156">
        <v>0.26511810000000002</v>
      </c>
      <c r="R156">
        <v>7.8752450000000002E-2</v>
      </c>
      <c r="S156">
        <v>3.196869</v>
      </c>
      <c r="T156">
        <v>-0.30274509999999899</v>
      </c>
      <c r="U156">
        <v>0.10800170000000001</v>
      </c>
      <c r="V156">
        <v>-0.1029871</v>
      </c>
      <c r="W156">
        <v>0.26731070000000001</v>
      </c>
      <c r="X156">
        <v>0.95809109999999997</v>
      </c>
      <c r="Y156">
        <v>-5.8514589999999998E-2</v>
      </c>
      <c r="Z156">
        <v>5.1493870000000001E-3</v>
      </c>
      <c r="AA156">
        <v>0.99827330000000003</v>
      </c>
      <c r="AB156">
        <v>17</v>
      </c>
      <c r="AC156">
        <v>11.531099999999901</v>
      </c>
      <c r="AD156">
        <v>-1.109155361852</v>
      </c>
      <c r="AE156">
        <v>0.39999999999997699</v>
      </c>
      <c r="AF156">
        <v>-0.68356662294541903</v>
      </c>
      <c r="AG156">
        <v>-1.109155361852</v>
      </c>
      <c r="AH156">
        <v>11.411934232408001</v>
      </c>
      <c r="AI156">
        <v>95.541418505688995</v>
      </c>
      <c r="AJ156">
        <v>93.427880092428694</v>
      </c>
      <c r="AK156">
        <v>11.4860668581345</v>
      </c>
      <c r="AL156">
        <v>74.495698978304702</v>
      </c>
      <c r="AM156">
        <v>96.135278523903494</v>
      </c>
      <c r="AN156">
        <v>0.99999995450005297</v>
      </c>
    </row>
    <row r="157" spans="1:40" x14ac:dyDescent="0.25">
      <c r="A157" t="str">
        <f>"20190304164339057"</f>
        <v>20190304164339057</v>
      </c>
      <c r="B157" t="str">
        <f>"1551689019049939"</f>
        <v>1551689019049939</v>
      </c>
      <c r="C157" t="s">
        <v>40</v>
      </c>
      <c r="D157">
        <v>5.030138</v>
      </c>
      <c r="E157">
        <v>0.5293158</v>
      </c>
      <c r="F157" t="s">
        <v>42</v>
      </c>
      <c r="G157">
        <v>-455.24889999999999</v>
      </c>
      <c r="H157" s="1">
        <v>-2.4151809999999999E-6</v>
      </c>
      <c r="I157">
        <v>367.3913</v>
      </c>
      <c r="J157">
        <v>-466.72859999999997</v>
      </c>
      <c r="K157">
        <v>1.109164</v>
      </c>
      <c r="L157">
        <v>366.99619999999999</v>
      </c>
      <c r="M157">
        <v>0.99968460000000003</v>
      </c>
      <c r="N157">
        <v>-2.3413280000000002E-3</v>
      </c>
      <c r="O157">
        <v>-2.500921E-2</v>
      </c>
      <c r="P157">
        <v>0.96119480000000002</v>
      </c>
      <c r="Q157">
        <v>0.26443420000000001</v>
      </c>
      <c r="R157">
        <v>7.8609739999999997E-2</v>
      </c>
      <c r="S157">
        <v>3.196869</v>
      </c>
      <c r="T157">
        <v>-0.30431599999999998</v>
      </c>
      <c r="U157">
        <v>0.1072693</v>
      </c>
      <c r="V157">
        <v>-0.1027047</v>
      </c>
      <c r="W157">
        <v>0.26664759999999998</v>
      </c>
      <c r="X157">
        <v>0.9583062</v>
      </c>
      <c r="Y157">
        <v>-5.8143790000000001E-2</v>
      </c>
      <c r="Z157">
        <v>5.1449360000000001E-3</v>
      </c>
      <c r="AA157">
        <v>0.99829489999999999</v>
      </c>
      <c r="AB157">
        <v>17</v>
      </c>
      <c r="AC157">
        <v>11.4796999999999</v>
      </c>
      <c r="AD157">
        <v>-1.1091664151809999</v>
      </c>
      <c r="AE157">
        <v>0.395100000000013</v>
      </c>
      <c r="AF157">
        <v>-0.675774250125316</v>
      </c>
      <c r="AG157">
        <v>-1.1091664151809999</v>
      </c>
      <c r="AH157">
        <v>11.3603008715857</v>
      </c>
      <c r="AI157">
        <v>95.566638046121895</v>
      </c>
      <c r="AJ157">
        <v>93.404261916252906</v>
      </c>
      <c r="AK157">
        <v>11.434306138399799</v>
      </c>
      <c r="AL157">
        <v>74.535123297536899</v>
      </c>
      <c r="AM157">
        <v>96.1172198628378</v>
      </c>
      <c r="AN157">
        <v>0.99999998547314495</v>
      </c>
    </row>
    <row r="158" spans="1:40" x14ac:dyDescent="0.25">
      <c r="A158" t="str">
        <f>"20190304164339080"</f>
        <v>20190304164339080</v>
      </c>
      <c r="B158" t="str">
        <f>"1551689019070434"</f>
        <v>1551689019070434</v>
      </c>
      <c r="C158" t="s">
        <v>40</v>
      </c>
      <c r="D158">
        <v>5.0330620000000001</v>
      </c>
      <c r="E158">
        <v>0.52988939999999995</v>
      </c>
      <c r="F158" t="s">
        <v>42</v>
      </c>
      <c r="G158">
        <v>-455.1447</v>
      </c>
      <c r="H158" s="1">
        <v>-2.4610499999999999E-6</v>
      </c>
      <c r="I158">
        <v>367.38479999999998</v>
      </c>
      <c r="J158">
        <v>-466.55279999999999</v>
      </c>
      <c r="K158">
        <v>1.1091690000000001</v>
      </c>
      <c r="L158">
        <v>366.99209999999999</v>
      </c>
      <c r="M158">
        <v>0.99968889999999999</v>
      </c>
      <c r="N158">
        <v>-2.3624340000000001E-3</v>
      </c>
      <c r="O158">
        <v>-2.4836179999999999E-2</v>
      </c>
      <c r="P158">
        <v>0.96135320000000002</v>
      </c>
      <c r="Q158">
        <v>0.26432480000000003</v>
      </c>
      <c r="R158">
        <v>7.7023369999999994E-2</v>
      </c>
      <c r="S158">
        <v>3.196564</v>
      </c>
      <c r="T158">
        <v>-0.30607190000000001</v>
      </c>
      <c r="U158">
        <v>0.1072388</v>
      </c>
      <c r="V158">
        <v>-0.1009472</v>
      </c>
      <c r="W158">
        <v>0.26656360000000001</v>
      </c>
      <c r="X158">
        <v>0.95851629999999999</v>
      </c>
      <c r="Y158">
        <v>-5.7961859999999997E-2</v>
      </c>
      <c r="Z158">
        <v>5.1499919999999999E-3</v>
      </c>
      <c r="AA158">
        <v>0.99830549999999996</v>
      </c>
      <c r="AB158">
        <v>17</v>
      </c>
      <c r="AC158">
        <v>11.4080999999999</v>
      </c>
      <c r="AD158">
        <v>-1.1091714610500001</v>
      </c>
      <c r="AE158">
        <v>0.39269999999999</v>
      </c>
      <c r="AF158">
        <v>-0.66959106755362097</v>
      </c>
      <c r="AG158">
        <v>-1.1091714610500001</v>
      </c>
      <c r="AH158">
        <v>11.288246021168799</v>
      </c>
      <c r="AI158">
        <v>95.602026256079199</v>
      </c>
      <c r="AJ158">
        <v>93.394667381672093</v>
      </c>
      <c r="AK158">
        <v>11.3623550271142</v>
      </c>
      <c r="AL158">
        <v>74.540117012683595</v>
      </c>
      <c r="AM158">
        <v>96.012006146389496</v>
      </c>
      <c r="AN158">
        <v>0.99999999369924497</v>
      </c>
    </row>
    <row r="159" spans="1:40" x14ac:dyDescent="0.25">
      <c r="A159" t="str">
        <f>"20190304164339101"</f>
        <v>20190304164339101</v>
      </c>
      <c r="B159" t="str">
        <f>"1551689019089954"</f>
        <v>1551689019089954</v>
      </c>
      <c r="C159" t="s">
        <v>40</v>
      </c>
      <c r="D159">
        <v>5.0190619999999999</v>
      </c>
      <c r="E159">
        <v>0.52998149999999999</v>
      </c>
      <c r="F159" t="s">
        <v>42</v>
      </c>
      <c r="G159">
        <v>-454.33100000000002</v>
      </c>
      <c r="H159" s="1">
        <v>-2.8129979999999999E-6</v>
      </c>
      <c r="I159">
        <v>367.36869999999999</v>
      </c>
      <c r="J159">
        <v>-466.38600000000002</v>
      </c>
      <c r="K159">
        <v>1.1091839999999999</v>
      </c>
      <c r="L159">
        <v>366.98809999999997</v>
      </c>
      <c r="M159">
        <v>0.99969319999999895</v>
      </c>
      <c r="N159">
        <v>-2.3824050000000002E-3</v>
      </c>
      <c r="O159">
        <v>-2.465943E-2</v>
      </c>
      <c r="P159">
        <v>0.96142720000000004</v>
      </c>
      <c r="Q159">
        <v>0.26452300000000001</v>
      </c>
      <c r="R159">
        <v>7.540231E-2</v>
      </c>
      <c r="S159">
        <v>3.1924130000000002</v>
      </c>
      <c r="T159">
        <v>-0.28972109999999901</v>
      </c>
      <c r="U159">
        <v>9.8388669999999998E-2</v>
      </c>
      <c r="V159">
        <v>-9.9154119999999998E-2</v>
      </c>
      <c r="W159">
        <v>0.2667832</v>
      </c>
      <c r="X159">
        <v>0.95864240000000001</v>
      </c>
      <c r="Y159">
        <v>-5.5115020000000001E-2</v>
      </c>
      <c r="Z159">
        <v>4.7352419999999997E-3</v>
      </c>
      <c r="AA159">
        <v>0.99846880000000005</v>
      </c>
      <c r="AB159">
        <v>18</v>
      </c>
      <c r="AC159">
        <v>12.055</v>
      </c>
      <c r="AD159">
        <v>-1.109186812998</v>
      </c>
      <c r="AE159">
        <v>0.38060000000001498</v>
      </c>
      <c r="AF159">
        <v>-0.672070457246563</v>
      </c>
      <c r="AG159">
        <v>-1.109186812998</v>
      </c>
      <c r="AH159">
        <v>11.940958054216299</v>
      </c>
      <c r="AI159">
        <v>95.2985964666928</v>
      </c>
      <c r="AJ159">
        <v>93.221367804845201</v>
      </c>
      <c r="AK159">
        <v>12.011180347417399</v>
      </c>
      <c r="AL159">
        <v>74.527062727753204</v>
      </c>
      <c r="AM159">
        <v>95.905207761276898</v>
      </c>
      <c r="AN159">
        <v>1.00000003319648</v>
      </c>
    </row>
    <row r="160" spans="1:40" x14ac:dyDescent="0.25">
      <c r="A160" t="str">
        <f>"20190304164339124"</f>
        <v>20190304164339124</v>
      </c>
      <c r="B160" t="str">
        <f>"1551689019110451"</f>
        <v>1551689019110451</v>
      </c>
      <c r="C160" t="s">
        <v>40</v>
      </c>
      <c r="D160">
        <v>5.0251950000000001</v>
      </c>
      <c r="E160">
        <v>0.52972359999999996</v>
      </c>
      <c r="F160" t="s">
        <v>42</v>
      </c>
      <c r="G160">
        <v>-454.1549</v>
      </c>
      <c r="H160" s="1">
        <v>-2.8926419999999999E-6</v>
      </c>
      <c r="I160">
        <v>367.34559999999999</v>
      </c>
      <c r="J160">
        <v>-466.20620000000002</v>
      </c>
      <c r="K160">
        <v>1.109213</v>
      </c>
      <c r="L160">
        <v>366.98390000000001</v>
      </c>
      <c r="M160">
        <v>0.99969830000000004</v>
      </c>
      <c r="N160">
        <v>-2.4028399999999998E-3</v>
      </c>
      <c r="O160">
        <v>-2.444926E-2</v>
      </c>
      <c r="P160">
        <v>0.96146860000000001</v>
      </c>
      <c r="Q160">
        <v>0.26494959999999901</v>
      </c>
      <c r="R160">
        <v>7.3349109999999995E-2</v>
      </c>
      <c r="S160">
        <v>3.1927189999999999</v>
      </c>
      <c r="T160">
        <v>-0.28953099999999998</v>
      </c>
      <c r="U160">
        <v>9.3322749999999996E-2</v>
      </c>
      <c r="V160">
        <v>-9.6905690000000003E-2</v>
      </c>
      <c r="W160">
        <v>0.26722800000000002</v>
      </c>
      <c r="X160">
        <v>0.95874839999999995</v>
      </c>
      <c r="Y160">
        <v>-5.3328050000000002E-2</v>
      </c>
      <c r="Z160">
        <v>4.6303569999999999E-3</v>
      </c>
      <c r="AA160">
        <v>0.99856630000000002</v>
      </c>
      <c r="AB160">
        <v>18</v>
      </c>
      <c r="AC160">
        <v>12.051299999999999</v>
      </c>
      <c r="AD160">
        <v>-1.1092158926419999</v>
      </c>
      <c r="AE160">
        <v>0.36169999999998398</v>
      </c>
      <c r="AF160">
        <v>-0.65073030889662398</v>
      </c>
      <c r="AG160">
        <v>-1.1092158926419999</v>
      </c>
      <c r="AH160">
        <v>11.9378130791019</v>
      </c>
      <c r="AI160">
        <v>95.300638553395302</v>
      </c>
      <c r="AJ160">
        <v>93.120105652735404</v>
      </c>
      <c r="AK160">
        <v>12.0068809831272</v>
      </c>
      <c r="AL160">
        <v>74.500617031827204</v>
      </c>
      <c r="AM160">
        <v>95.771581319403296</v>
      </c>
      <c r="AN160">
        <v>1.0000000056204601</v>
      </c>
    </row>
    <row r="161" spans="1:40" x14ac:dyDescent="0.25">
      <c r="A161" t="str">
        <f>"20190304164339148"</f>
        <v>20190304164339148</v>
      </c>
      <c r="B161" t="str">
        <f>"1551689019140707"</f>
        <v>1551689019140707</v>
      </c>
      <c r="C161" t="s">
        <v>40</v>
      </c>
      <c r="D161">
        <v>5.0390110000000004</v>
      </c>
      <c r="E161">
        <v>0.5295221</v>
      </c>
      <c r="F161" t="s">
        <v>42</v>
      </c>
      <c r="G161">
        <v>-453.5532</v>
      </c>
      <c r="H161" s="1">
        <v>-3.1531590000000001E-6</v>
      </c>
      <c r="I161">
        <v>367.33199999999999</v>
      </c>
      <c r="J161">
        <v>-466.00920000000002</v>
      </c>
      <c r="K161">
        <v>1.109259</v>
      </c>
      <c r="L161">
        <v>366.9794</v>
      </c>
      <c r="M161">
        <v>0.99970479999999995</v>
      </c>
      <c r="N161">
        <v>-2.4258470000000001E-3</v>
      </c>
      <c r="O161">
        <v>-2.4176240000000002E-2</v>
      </c>
      <c r="P161">
        <v>0.96151850000000005</v>
      </c>
      <c r="Q161">
        <v>0.26525969999999999</v>
      </c>
      <c r="R161">
        <v>7.1550899999999903E-2</v>
      </c>
      <c r="S161">
        <v>3.1906129999999999</v>
      </c>
      <c r="T161">
        <v>-0.279701599999999</v>
      </c>
      <c r="U161">
        <v>8.7799070000000007E-2</v>
      </c>
      <c r="V161">
        <v>-9.4863050000000004E-2</v>
      </c>
      <c r="W161">
        <v>0.26755559999999901</v>
      </c>
      <c r="X161">
        <v>0.95886130000000003</v>
      </c>
      <c r="Y161">
        <v>-5.1376650000000003E-2</v>
      </c>
      <c r="Z161">
        <v>4.3660790000000001E-3</v>
      </c>
      <c r="AA161">
        <v>0.99866980000000005</v>
      </c>
      <c r="AB161">
        <v>18</v>
      </c>
      <c r="AC161">
        <v>12.456</v>
      </c>
      <c r="AD161">
        <v>-1.1092621531589999</v>
      </c>
      <c r="AE161">
        <v>0.35259999999999497</v>
      </c>
      <c r="AF161">
        <v>-0.64849813840478499</v>
      </c>
      <c r="AG161">
        <v>-1.1092621531589999</v>
      </c>
      <c r="AH161">
        <v>12.346000715397</v>
      </c>
      <c r="AI161">
        <v>95.127088972723996</v>
      </c>
      <c r="AJ161">
        <v>93.006810975230806</v>
      </c>
      <c r="AK161">
        <v>12.4126848838004</v>
      </c>
      <c r="AL161">
        <v>74.481137479974706</v>
      </c>
      <c r="AM161">
        <v>95.650058940904302</v>
      </c>
      <c r="AN161">
        <v>0.99999999499217596</v>
      </c>
    </row>
    <row r="162" spans="1:40" x14ac:dyDescent="0.25">
      <c r="A162" t="str">
        <f>"20190304164339169"</f>
        <v>20190304164339169</v>
      </c>
      <c r="B162" t="str">
        <f>"1551689019160226"</f>
        <v>1551689019160226</v>
      </c>
      <c r="C162" t="s">
        <v>40</v>
      </c>
      <c r="D162">
        <v>5.0491359999999998</v>
      </c>
      <c r="E162">
        <v>0.52952580000000005</v>
      </c>
      <c r="F162" t="s">
        <v>42</v>
      </c>
      <c r="G162">
        <v>-453.14359999999999</v>
      </c>
      <c r="H162" s="1">
        <v>-3.332092E-6</v>
      </c>
      <c r="I162">
        <v>367.31389999999999</v>
      </c>
      <c r="J162">
        <v>-465.82799999999997</v>
      </c>
      <c r="K162">
        <v>1.1093120000000001</v>
      </c>
      <c r="L162">
        <v>366.9753</v>
      </c>
      <c r="M162">
        <v>0.99971220000000005</v>
      </c>
      <c r="N162">
        <v>-2.4494550000000001E-3</v>
      </c>
      <c r="O162">
        <v>-2.3866470000000001E-2</v>
      </c>
      <c r="P162">
        <v>0.96163869999999896</v>
      </c>
      <c r="Q162">
        <v>0.26540770000000002</v>
      </c>
      <c r="R162">
        <v>6.9354120000000005E-2</v>
      </c>
      <c r="S162">
        <v>3.1896969999999998</v>
      </c>
      <c r="T162">
        <v>-0.27501179999999997</v>
      </c>
      <c r="U162">
        <v>8.2946779999999998E-2</v>
      </c>
      <c r="V162">
        <v>-9.2395340000000006E-2</v>
      </c>
      <c r="W162">
        <v>0.2677196</v>
      </c>
      <c r="X162">
        <v>0.95905649999999998</v>
      </c>
      <c r="Y162">
        <v>-4.9574279999999998E-2</v>
      </c>
      <c r="Z162">
        <v>4.188893E-3</v>
      </c>
      <c r="AA162">
        <v>0.99876169999999997</v>
      </c>
      <c r="AB162">
        <v>18</v>
      </c>
      <c r="AC162">
        <v>12.6844</v>
      </c>
      <c r="AD162">
        <v>-1.109315332092</v>
      </c>
      <c r="AE162">
        <v>0.33859999999998502</v>
      </c>
      <c r="AF162">
        <v>-0.63637253627293799</v>
      </c>
      <c r="AG162">
        <v>-1.109315332092</v>
      </c>
      <c r="AH162">
        <v>12.576583529401001</v>
      </c>
      <c r="AI162">
        <v>95.034311230446093</v>
      </c>
      <c r="AJ162">
        <v>92.896684163532299</v>
      </c>
      <c r="AK162">
        <v>12.6414399410406</v>
      </c>
      <c r="AL162">
        <v>74.471385709451795</v>
      </c>
      <c r="AM162">
        <v>95.502882830284804</v>
      </c>
      <c r="AN162">
        <v>1.0000000266350599</v>
      </c>
    </row>
    <row r="163" spans="1:40" x14ac:dyDescent="0.25">
      <c r="A163" t="str">
        <f>"20190304164339190"</f>
        <v>20190304164339190</v>
      </c>
      <c r="B163" t="str">
        <f>"1551689019180723"</f>
        <v>1551689019180723</v>
      </c>
      <c r="C163" t="s">
        <v>40</v>
      </c>
      <c r="D163">
        <v>5.0363660000000001</v>
      </c>
      <c r="E163">
        <v>0.52944709999999995</v>
      </c>
      <c r="F163" t="s">
        <v>42</v>
      </c>
      <c r="G163">
        <v>-452.92020000000002</v>
      </c>
      <c r="H163" s="1">
        <v>-3.4326879999999999E-6</v>
      </c>
      <c r="I163">
        <v>367.28719999999998</v>
      </c>
      <c r="J163">
        <v>-465.65899999999999</v>
      </c>
      <c r="K163">
        <v>1.109362</v>
      </c>
      <c r="L163">
        <v>366.97160000000002</v>
      </c>
      <c r="M163">
        <v>0.99972039999999995</v>
      </c>
      <c r="N163">
        <v>-2.4739200000000001E-3</v>
      </c>
      <c r="O163">
        <v>-2.3519620000000001E-2</v>
      </c>
      <c r="P163">
        <v>0.96158710000000003</v>
      </c>
      <c r="Q163">
        <v>0.26596389999999998</v>
      </c>
      <c r="R163">
        <v>6.7924139999999994E-2</v>
      </c>
      <c r="S163">
        <v>3.1897579999999999</v>
      </c>
      <c r="T163">
        <v>-0.27412989999999998</v>
      </c>
      <c r="U163">
        <v>7.7087399999999903E-2</v>
      </c>
      <c r="V163">
        <v>-9.0657039999999994E-2</v>
      </c>
      <c r="W163">
        <v>0.26829170000000002</v>
      </c>
      <c r="X163">
        <v>0.95906250000000004</v>
      </c>
      <c r="Y163">
        <v>-4.7404809999999999E-2</v>
      </c>
      <c r="Z163">
        <v>4.050924E-3</v>
      </c>
      <c r="AA163">
        <v>0.99886759999999997</v>
      </c>
      <c r="AB163">
        <v>18</v>
      </c>
      <c r="AC163">
        <v>12.7387999999999</v>
      </c>
      <c r="AD163">
        <v>-1.109365432688</v>
      </c>
      <c r="AE163">
        <v>0.31559999999996002</v>
      </c>
      <c r="AF163">
        <v>-0.61049820998871696</v>
      </c>
      <c r="AG163">
        <v>-1.109365432688</v>
      </c>
      <c r="AH163">
        <v>12.6321114784421</v>
      </c>
      <c r="AI163">
        <v>95.013078519001297</v>
      </c>
      <c r="AJ163">
        <v>92.7668989103027</v>
      </c>
      <c r="AK163">
        <v>12.6954180762758</v>
      </c>
      <c r="AL163">
        <v>74.437361808435199</v>
      </c>
      <c r="AM163">
        <v>95.399937347973093</v>
      </c>
      <c r="AN163">
        <v>1.0000000070483499</v>
      </c>
    </row>
    <row r="164" spans="1:40" x14ac:dyDescent="0.25">
      <c r="A164" t="str">
        <f>"20190304164339212"</f>
        <v>20190304164339212</v>
      </c>
      <c r="B164" t="str">
        <f>"1551689019200243"</f>
        <v>1551689019200243</v>
      </c>
      <c r="C164" t="s">
        <v>40</v>
      </c>
      <c r="D164">
        <v>5.0422560000000001</v>
      </c>
      <c r="E164">
        <v>0.52919259999999901</v>
      </c>
      <c r="F164" t="s">
        <v>42</v>
      </c>
      <c r="G164">
        <v>-452.68169999999998</v>
      </c>
      <c r="H164" s="1">
        <v>-3.5381769999999999E-6</v>
      </c>
      <c r="I164">
        <v>367.26909999999998</v>
      </c>
      <c r="J164">
        <v>-465.4753</v>
      </c>
      <c r="K164">
        <v>1.1094200000000001</v>
      </c>
      <c r="L164">
        <v>366.96769999999998</v>
      </c>
      <c r="M164">
        <v>0.99973040000000002</v>
      </c>
      <c r="N164">
        <v>-2.501901E-3</v>
      </c>
      <c r="O164">
        <v>-2.308371E-2</v>
      </c>
      <c r="P164">
        <v>0.96166220000000002</v>
      </c>
      <c r="Q164">
        <v>0.26580500000000001</v>
      </c>
      <c r="R164">
        <v>6.7480670000000006E-2</v>
      </c>
      <c r="S164">
        <v>3.1900940000000002</v>
      </c>
      <c r="T164">
        <v>-0.27270499999999998</v>
      </c>
      <c r="U164">
        <v>7.3150629999999994E-2</v>
      </c>
      <c r="V164">
        <v>-8.9825600000000005E-2</v>
      </c>
      <c r="W164">
        <v>0.26815099999999997</v>
      </c>
      <c r="X164">
        <v>0.95918009999999998</v>
      </c>
      <c r="Y164">
        <v>-4.5745170000000002E-2</v>
      </c>
      <c r="Z164">
        <v>3.9206019999999996E-3</v>
      </c>
      <c r="AA164">
        <v>0.99894550000000004</v>
      </c>
      <c r="AB164">
        <v>18</v>
      </c>
      <c r="AC164">
        <v>12.7936</v>
      </c>
      <c r="AD164">
        <v>-1.1094235381769999</v>
      </c>
      <c r="AE164">
        <v>0.301400000000001</v>
      </c>
      <c r="AF164">
        <v>-0.59219362775897399</v>
      </c>
      <c r="AG164">
        <v>-1.1094235381769999</v>
      </c>
      <c r="AH164">
        <v>12.687875484386501</v>
      </c>
      <c r="AI164">
        <v>94.9918069423086</v>
      </c>
      <c r="AJ164">
        <v>92.672282620807493</v>
      </c>
      <c r="AK164">
        <v>12.750046987643399</v>
      </c>
      <c r="AL164">
        <v>74.445730333607898</v>
      </c>
      <c r="AM164">
        <v>95.350049618292601</v>
      </c>
      <c r="AN164">
        <v>1.00000003072618</v>
      </c>
    </row>
    <row r="165" spans="1:40" x14ac:dyDescent="0.25">
      <c r="A165" t="str">
        <f>"20190304164339236"</f>
        <v>20190304164339236</v>
      </c>
      <c r="B165" t="str">
        <f>"1551689019230499"</f>
        <v>1551689019230499</v>
      </c>
      <c r="C165" t="s">
        <v>40</v>
      </c>
      <c r="D165">
        <v>5.0063319999999996</v>
      </c>
      <c r="E165">
        <v>0.52881559999999905</v>
      </c>
      <c r="F165" t="s">
        <v>42</v>
      </c>
      <c r="G165">
        <v>-452.4033</v>
      </c>
      <c r="H165" s="1">
        <v>-3.6578689999999999E-6</v>
      </c>
      <c r="I165">
        <v>367.26769999999999</v>
      </c>
      <c r="J165">
        <v>-465.279</v>
      </c>
      <c r="K165">
        <v>1.1094759999999999</v>
      </c>
      <c r="L165">
        <v>366.96379999999999</v>
      </c>
      <c r="M165">
        <v>0.99974249999999998</v>
      </c>
      <c r="N165">
        <v>-2.5326659999999998E-3</v>
      </c>
      <c r="O165">
        <v>-2.2558410000000001E-2</v>
      </c>
      <c r="P165">
        <v>0.961646</v>
      </c>
      <c r="Q165">
        <v>0.2657736</v>
      </c>
      <c r="R165">
        <v>6.7834749999999999E-2</v>
      </c>
      <c r="S165">
        <v>3.18927</v>
      </c>
      <c r="T165">
        <v>-0.27067269999999999</v>
      </c>
      <c r="U165">
        <v>7.3211670000000006E-2</v>
      </c>
      <c r="V165">
        <v>-8.9701950000000003E-2</v>
      </c>
      <c r="W165">
        <v>0.26813949999999998</v>
      </c>
      <c r="X165">
        <v>0.95919480000000001</v>
      </c>
      <c r="Y165">
        <v>-4.5252489999999999E-2</v>
      </c>
      <c r="Z165">
        <v>3.827825E-3</v>
      </c>
      <c r="AA165">
        <v>0.99896819999999997</v>
      </c>
      <c r="AB165">
        <v>18</v>
      </c>
      <c r="AC165">
        <v>12.875699999999901</v>
      </c>
      <c r="AD165">
        <v>-1.109479657869</v>
      </c>
      <c r="AE165">
        <v>0.30389999999999801</v>
      </c>
      <c r="AF165">
        <v>-0.58990127994046004</v>
      </c>
      <c r="AG165">
        <v>-1.109479657869</v>
      </c>
      <c r="AH165">
        <v>12.7707974445796</v>
      </c>
      <c r="AI165">
        <v>94.959916833738006</v>
      </c>
      <c r="AJ165">
        <v>92.644693588233295</v>
      </c>
      <c r="AK165">
        <v>12.832466481615301</v>
      </c>
      <c r="AL165">
        <v>74.4464129601633</v>
      </c>
      <c r="AM165">
        <v>95.342646214545795</v>
      </c>
      <c r="AN165">
        <v>0.99999994782054402</v>
      </c>
    </row>
    <row r="166" spans="1:40" x14ac:dyDescent="0.25">
      <c r="A166" t="str">
        <f>"20190304164339258"</f>
        <v>20190304164339258</v>
      </c>
      <c r="B166" t="str">
        <f>"1551689019250018"</f>
        <v>1551689019250018</v>
      </c>
      <c r="C166" t="s">
        <v>40</v>
      </c>
      <c r="D166">
        <v>5.0899109999999999</v>
      </c>
      <c r="E166">
        <v>0.52880039999999995</v>
      </c>
      <c r="F166" t="s">
        <v>42</v>
      </c>
      <c r="G166">
        <v>-452.08370000000002</v>
      </c>
      <c r="H166" s="1">
        <v>-3.7919839999999998E-6</v>
      </c>
      <c r="I166">
        <v>367.28449999999998</v>
      </c>
      <c r="J166">
        <v>-465.08539999999999</v>
      </c>
      <c r="K166">
        <v>1.1095120000000001</v>
      </c>
      <c r="L166">
        <v>366.96010000000001</v>
      </c>
      <c r="M166">
        <v>0.9997547</v>
      </c>
      <c r="N166">
        <v>-2.5627290000000001E-3</v>
      </c>
      <c r="O166">
        <v>-2.1996660000000001E-2</v>
      </c>
      <c r="P166">
        <v>0.9614047</v>
      </c>
      <c r="Q166">
        <v>0.26638430000000002</v>
      </c>
      <c r="R166">
        <v>6.8850220000000004E-2</v>
      </c>
      <c r="S166">
        <v>3.1882630000000001</v>
      </c>
      <c r="T166">
        <v>-0.26807309999999901</v>
      </c>
      <c r="U166">
        <v>7.7514650000000004E-2</v>
      </c>
      <c r="V166">
        <v>-9.0192209999999995E-2</v>
      </c>
      <c r="W166">
        <v>0.26877200000000001</v>
      </c>
      <c r="X166">
        <v>0.95897180000000004</v>
      </c>
      <c r="Y166">
        <v>-4.6049380000000001E-2</v>
      </c>
      <c r="Z166">
        <v>3.7810949999999999E-3</v>
      </c>
      <c r="AA166">
        <v>0.99893200000000004</v>
      </c>
      <c r="AB166">
        <v>19</v>
      </c>
      <c r="AC166">
        <v>13.0016999999999</v>
      </c>
      <c r="AD166">
        <v>-1.109515791984</v>
      </c>
      <c r="AE166">
        <v>0.32439999999996799</v>
      </c>
      <c r="AF166">
        <v>-0.60590680853169498</v>
      </c>
      <c r="AG166">
        <v>-1.109515791984</v>
      </c>
      <c r="AH166">
        <v>12.8975533876543</v>
      </c>
      <c r="AI166">
        <v>94.911391223097894</v>
      </c>
      <c r="AJ166">
        <v>92.689688238599004</v>
      </c>
      <c r="AK166">
        <v>12.9593607767004</v>
      </c>
      <c r="AL166">
        <v>74.408792723992505</v>
      </c>
      <c r="AM166">
        <v>95.372917568567004</v>
      </c>
      <c r="AN166">
        <v>0.999999967961961</v>
      </c>
    </row>
    <row r="167" spans="1:40" x14ac:dyDescent="0.25">
      <c r="A167" t="str">
        <f>"20190304164339280"</f>
        <v>20190304164339280</v>
      </c>
      <c r="B167" t="str">
        <f>"1551689019270514"</f>
        <v>1551689019270514</v>
      </c>
      <c r="C167" t="s">
        <v>40</v>
      </c>
      <c r="D167">
        <v>5.076962</v>
      </c>
      <c r="E167">
        <v>0.52872859999999999</v>
      </c>
      <c r="F167" t="s">
        <v>42</v>
      </c>
      <c r="G167">
        <v>-451.78989999999999</v>
      </c>
      <c r="H167" s="1">
        <v>-3.9158510000000002E-6</v>
      </c>
      <c r="I167">
        <v>367.29700000000003</v>
      </c>
      <c r="J167">
        <v>-464.90440000000001</v>
      </c>
      <c r="K167">
        <v>1.10954</v>
      </c>
      <c r="L167">
        <v>366.95670000000001</v>
      </c>
      <c r="M167">
        <v>0.99976670000000001</v>
      </c>
      <c r="N167">
        <v>-2.5903660000000002E-3</v>
      </c>
      <c r="O167">
        <v>-2.1447569999999999E-2</v>
      </c>
      <c r="P167">
        <v>0.96114690000000003</v>
      </c>
      <c r="Q167">
        <v>0.26675159999999998</v>
      </c>
      <c r="R167">
        <v>7.0995929999999999E-2</v>
      </c>
      <c r="S167">
        <v>3.1884160000000001</v>
      </c>
      <c r="T167">
        <v>-0.26607120000000001</v>
      </c>
      <c r="U167">
        <v>8.0810549999999995E-2</v>
      </c>
      <c r="V167">
        <v>-9.1814670000000001E-2</v>
      </c>
      <c r="W167">
        <v>0.26916060000000003</v>
      </c>
      <c r="X167">
        <v>0.95870880000000003</v>
      </c>
      <c r="Y167">
        <v>-4.6535189999999997E-2</v>
      </c>
      <c r="Z167">
        <v>3.7293360000000002E-3</v>
      </c>
      <c r="AA167">
        <v>0.99890970000000001</v>
      </c>
      <c r="AB167">
        <v>19</v>
      </c>
      <c r="AC167">
        <v>13.1145</v>
      </c>
      <c r="AD167">
        <v>-1.1095439158510001</v>
      </c>
      <c r="AE167">
        <v>0.34029999999995603</v>
      </c>
      <c r="AF167">
        <v>-0.61708275585176497</v>
      </c>
      <c r="AG167">
        <v>-1.1095439158510001</v>
      </c>
      <c r="AH167">
        <v>13.011115105747299</v>
      </c>
      <c r="AI167">
        <v>94.8687516631568</v>
      </c>
      <c r="AJ167">
        <v>92.715352480596493</v>
      </c>
      <c r="AK167">
        <v>13.072910736472499</v>
      </c>
      <c r="AL167">
        <v>74.385675627576305</v>
      </c>
      <c r="AM167">
        <v>95.470480842521994</v>
      </c>
      <c r="AN167">
        <v>0.999999962708503</v>
      </c>
    </row>
    <row r="168" spans="1:40" x14ac:dyDescent="0.25">
      <c r="A168" t="str">
        <f>"20190304164339302"</f>
        <v>20190304164339302</v>
      </c>
      <c r="B168" t="str">
        <f>"1551689019290035"</f>
        <v>1551689019290035</v>
      </c>
      <c r="C168" t="s">
        <v>40</v>
      </c>
      <c r="D168">
        <v>5.0836300000000003</v>
      </c>
      <c r="E168">
        <v>0.52867240000000004</v>
      </c>
      <c r="F168" t="s">
        <v>42</v>
      </c>
      <c r="G168">
        <v>-451.57479999999998</v>
      </c>
      <c r="H168" s="1">
        <v>-4.0031200000000004E-6</v>
      </c>
      <c r="I168">
        <v>367.32499999999999</v>
      </c>
      <c r="J168">
        <v>-464.71050000000002</v>
      </c>
      <c r="K168">
        <v>1.109551</v>
      </c>
      <c r="L168">
        <v>366.95319999999998</v>
      </c>
      <c r="M168">
        <v>0.99977939999999998</v>
      </c>
      <c r="N168">
        <v>-2.6193050000000002E-3</v>
      </c>
      <c r="O168">
        <v>-2.084511E-2</v>
      </c>
      <c r="P168">
        <v>0.96080049999999995</v>
      </c>
      <c r="Q168">
        <v>0.26734999999999998</v>
      </c>
      <c r="R168">
        <v>7.3394189999999998E-2</v>
      </c>
      <c r="S168">
        <v>3.1883849999999998</v>
      </c>
      <c r="T168">
        <v>-0.26539829999999998</v>
      </c>
      <c r="U168">
        <v>8.8104249999999995E-2</v>
      </c>
      <c r="V168">
        <v>-9.3630249999999998E-2</v>
      </c>
      <c r="W168">
        <v>0.2697833</v>
      </c>
      <c r="X168">
        <v>0.95835820000000005</v>
      </c>
      <c r="Y168">
        <v>-4.8214079999999999E-2</v>
      </c>
      <c r="Z168">
        <v>3.7434090000000001E-3</v>
      </c>
      <c r="AA168">
        <v>0.99883</v>
      </c>
      <c r="AB168">
        <v>19</v>
      </c>
      <c r="AC168">
        <v>13.1357</v>
      </c>
      <c r="AD168">
        <v>-1.1095550031200001</v>
      </c>
      <c r="AE168">
        <v>0.37180000000000701</v>
      </c>
      <c r="AF168">
        <v>-0.64096563324411104</v>
      </c>
      <c r="AG168">
        <v>-1.1095550031200001</v>
      </c>
      <c r="AH168">
        <v>13.032185956141401</v>
      </c>
      <c r="AI168">
        <v>94.8605564398095</v>
      </c>
      <c r="AJ168">
        <v>92.815725343312593</v>
      </c>
      <c r="AK168">
        <v>13.095030356719301</v>
      </c>
      <c r="AL168">
        <v>74.348628389895794</v>
      </c>
      <c r="AM168">
        <v>95.580008388143398</v>
      </c>
      <c r="AN168">
        <v>1.00000004609059</v>
      </c>
    </row>
    <row r="169" spans="1:40" x14ac:dyDescent="0.25">
      <c r="A169" t="str">
        <f>"20190304164339315"</f>
        <v>20190304164339315</v>
      </c>
      <c r="B169" t="str">
        <f>"1551689019310531"</f>
        <v>1551689019310531</v>
      </c>
      <c r="C169" t="s">
        <v>40</v>
      </c>
      <c r="D169">
        <v>5.0461140000000002</v>
      </c>
      <c r="E169">
        <v>0.52853890000000003</v>
      </c>
      <c r="F169" t="s">
        <v>42</v>
      </c>
      <c r="G169">
        <v>-451.29309999999998</v>
      </c>
      <c r="H169" s="1">
        <v>-4.116697E-6</v>
      </c>
      <c r="I169">
        <v>367.36610000000002</v>
      </c>
      <c r="J169">
        <v>-464.60849999999999</v>
      </c>
      <c r="K169">
        <v>1.109548</v>
      </c>
      <c r="L169">
        <v>366.95139999999998</v>
      </c>
      <c r="M169">
        <v>0.99978599999999995</v>
      </c>
      <c r="N169">
        <v>-2.6344060000000002E-3</v>
      </c>
      <c r="O169">
        <v>-2.0525519999999998E-2</v>
      </c>
      <c r="P169">
        <v>0.96071589999999996</v>
      </c>
      <c r="Q169">
        <v>0.26743220000000001</v>
      </c>
      <c r="R169">
        <v>7.4197680000000002E-2</v>
      </c>
      <c r="S169">
        <v>3.1883240000000002</v>
      </c>
      <c r="T169">
        <v>-0.26365759999999899</v>
      </c>
      <c r="U169">
        <v>9.8114010000000001E-2</v>
      </c>
      <c r="V169">
        <v>-9.4124799999999995E-2</v>
      </c>
      <c r="W169">
        <v>0.2698797</v>
      </c>
      <c r="X169">
        <v>0.95828259999999998</v>
      </c>
      <c r="Y169">
        <v>-5.1022560000000002E-2</v>
      </c>
      <c r="Z169">
        <v>3.8130360000000001E-3</v>
      </c>
      <c r="AA169">
        <v>0.99869019999999997</v>
      </c>
      <c r="AB169">
        <v>19</v>
      </c>
      <c r="AC169">
        <v>13.3154</v>
      </c>
      <c r="AD169">
        <v>-1.1095521166969999</v>
      </c>
      <c r="AE169">
        <v>0.41470000000003798</v>
      </c>
      <c r="AF169">
        <v>-0.68317989701028203</v>
      </c>
      <c r="AG169">
        <v>-1.1095521166969999</v>
      </c>
      <c r="AH169">
        <v>13.212429449379099</v>
      </c>
      <c r="AI169">
        <v>94.793941665909102</v>
      </c>
      <c r="AJ169">
        <v>92.959977614253305</v>
      </c>
      <c r="AK169">
        <v>13.276525623301</v>
      </c>
      <c r="AL169">
        <v>74.342892149103207</v>
      </c>
      <c r="AM169">
        <v>95.609733920817703</v>
      </c>
      <c r="AN169">
        <v>1.0000000359549399</v>
      </c>
    </row>
    <row r="170" spans="1:40" x14ac:dyDescent="0.25">
      <c r="A170" t="str">
        <f>"20190304164339328"</f>
        <v>20190304164339328</v>
      </c>
      <c r="B170" t="str">
        <f>"1551689019320291"</f>
        <v>1551689019320291</v>
      </c>
      <c r="C170" t="s">
        <v>40</v>
      </c>
      <c r="D170">
        <v>5.081645</v>
      </c>
      <c r="E170">
        <v>0.52852650000000001</v>
      </c>
      <c r="F170" t="s">
        <v>42</v>
      </c>
      <c r="G170">
        <v>-451.14370000000002</v>
      </c>
      <c r="H170" s="1">
        <v>-4.1773020000000003E-6</v>
      </c>
      <c r="I170">
        <v>367.38560000000001</v>
      </c>
      <c r="J170">
        <v>-464.48129999999998</v>
      </c>
      <c r="K170">
        <v>1.1095459999999999</v>
      </c>
      <c r="L170">
        <v>366.94929999999999</v>
      </c>
      <c r="M170">
        <v>0.99979410000000002</v>
      </c>
      <c r="N170">
        <v>-2.6527370000000001E-3</v>
      </c>
      <c r="O170">
        <v>-2.0126560000000002E-2</v>
      </c>
      <c r="P170">
        <v>0.96063350000000003</v>
      </c>
      <c r="Q170">
        <v>0.26754919999999999</v>
      </c>
      <c r="R170">
        <v>7.4838849999999998E-2</v>
      </c>
      <c r="S170">
        <v>3.1878660000000001</v>
      </c>
      <c r="T170">
        <v>-0.2626927</v>
      </c>
      <c r="U170">
        <v>0.10281369999999999</v>
      </c>
      <c r="V170">
        <v>-9.4378320000000002E-2</v>
      </c>
      <c r="W170">
        <v>0.27001510000000001</v>
      </c>
      <c r="X170">
        <v>0.9582195</v>
      </c>
      <c r="Y170">
        <v>-5.2098489999999997E-2</v>
      </c>
      <c r="Z170">
        <v>3.8136509999999999E-3</v>
      </c>
      <c r="AA170">
        <v>0.99863469999999999</v>
      </c>
      <c r="AB170">
        <v>19</v>
      </c>
      <c r="AC170">
        <v>13.337599999999901</v>
      </c>
      <c r="AD170">
        <v>-1.109550177302</v>
      </c>
      <c r="AE170">
        <v>0.43630000000001701</v>
      </c>
      <c r="AF170">
        <v>-0.69981462392258997</v>
      </c>
      <c r="AG170">
        <v>-1.109550177302</v>
      </c>
      <c r="AH170">
        <v>13.234624538670801</v>
      </c>
      <c r="AI170">
        <v>94.785640351026203</v>
      </c>
      <c r="AJ170">
        <v>93.026841939742894</v>
      </c>
      <c r="AK170">
        <v>13.2994785154679</v>
      </c>
      <c r="AL170">
        <v>74.334834863604996</v>
      </c>
      <c r="AM170">
        <v>95.6251146916929</v>
      </c>
      <c r="AN170">
        <v>1.00000001584714</v>
      </c>
    </row>
    <row r="171" spans="1:40" x14ac:dyDescent="0.25">
      <c r="A171" t="str">
        <f>"20190304164339340"</f>
        <v>20190304164339340</v>
      </c>
      <c r="B171" t="str">
        <f>"1551689019330052"</f>
        <v>1551689019330052</v>
      </c>
      <c r="C171" t="s">
        <v>40</v>
      </c>
      <c r="D171">
        <v>5.0741100000000001</v>
      </c>
      <c r="E171">
        <v>0.52849659999999998</v>
      </c>
      <c r="F171" t="s">
        <v>42</v>
      </c>
      <c r="G171">
        <v>-451.00029999999998</v>
      </c>
      <c r="H171" s="1">
        <v>-4.2366350000000001E-6</v>
      </c>
      <c r="I171">
        <v>367.39789999999999</v>
      </c>
      <c r="J171">
        <v>-464.37630000000001</v>
      </c>
      <c r="K171">
        <v>1.109545</v>
      </c>
      <c r="L171">
        <v>366.94749999999999</v>
      </c>
      <c r="M171">
        <v>0.99980040000000003</v>
      </c>
      <c r="N171">
        <v>-2.6676590000000002E-3</v>
      </c>
      <c r="O171">
        <v>-1.9798759999999999E-2</v>
      </c>
      <c r="P171">
        <v>0.96059760000000005</v>
      </c>
      <c r="Q171">
        <v>0.26745200000000002</v>
      </c>
      <c r="R171">
        <v>7.564121E-2</v>
      </c>
      <c r="S171">
        <v>3.1877749999999998</v>
      </c>
      <c r="T171">
        <v>-0.26236920000000002</v>
      </c>
      <c r="U171">
        <v>0.1061096</v>
      </c>
      <c r="V171">
        <v>-9.4862630000000003E-2</v>
      </c>
      <c r="W171">
        <v>0.26993289999999998</v>
      </c>
      <c r="X171">
        <v>0.95819480000000001</v>
      </c>
      <c r="Y171">
        <v>-5.2802549999999997E-2</v>
      </c>
      <c r="Z171">
        <v>3.8129320000000002E-3</v>
      </c>
      <c r="AA171">
        <v>0.99859770000000003</v>
      </c>
      <c r="AB171">
        <v>19</v>
      </c>
      <c r="AC171">
        <v>13.375999999999999</v>
      </c>
      <c r="AD171">
        <v>-1.1095492366349999</v>
      </c>
      <c r="AE171">
        <v>0.45040000000000102</v>
      </c>
      <c r="AF171">
        <v>-0.71025924138602303</v>
      </c>
      <c r="AG171">
        <v>-1.1095492366349999</v>
      </c>
      <c r="AH171">
        <v>13.273233309204</v>
      </c>
      <c r="AI171">
        <v>94.771620873870205</v>
      </c>
      <c r="AJ171">
        <v>93.063012666658295</v>
      </c>
      <c r="AK171">
        <v>13.3384515660197</v>
      </c>
      <c r="AL171">
        <v>74.339725658631707</v>
      </c>
      <c r="AM171">
        <v>95.653938676793899</v>
      </c>
      <c r="AN171">
        <v>0.99999998190998296</v>
      </c>
    </row>
    <row r="172" spans="1:40" x14ac:dyDescent="0.25">
      <c r="A172" t="str">
        <f>"20190304164339362"</f>
        <v>20190304164339362</v>
      </c>
      <c r="B172" t="str">
        <f>"1551689019350546"</f>
        <v>1551689019350546</v>
      </c>
      <c r="C172" t="s">
        <v>40</v>
      </c>
      <c r="D172">
        <v>5.0793990000000004</v>
      </c>
      <c r="E172">
        <v>0.52844340000000001</v>
      </c>
      <c r="F172" t="s">
        <v>42</v>
      </c>
      <c r="G172">
        <v>-450.90769999999998</v>
      </c>
      <c r="H172" s="1">
        <v>-4.2743849999999999E-6</v>
      </c>
      <c r="I172">
        <v>367.4092</v>
      </c>
      <c r="J172">
        <v>-464.19479999999999</v>
      </c>
      <c r="K172">
        <v>1.1095429999999999</v>
      </c>
      <c r="L172">
        <v>366.94450000000001</v>
      </c>
      <c r="M172">
        <v>0.99981140000000002</v>
      </c>
      <c r="N172">
        <v>-2.6931899999999998E-3</v>
      </c>
      <c r="O172">
        <v>-1.9237919999999999E-2</v>
      </c>
      <c r="P172">
        <v>0.9604878</v>
      </c>
      <c r="Q172">
        <v>0.26762380000000002</v>
      </c>
      <c r="R172">
        <v>7.6424320000000004E-2</v>
      </c>
      <c r="S172">
        <v>3.1875610000000001</v>
      </c>
      <c r="T172">
        <v>-0.26259199999999999</v>
      </c>
      <c r="U172">
        <v>0.1092834</v>
      </c>
      <c r="V172">
        <v>-9.5100690000000002E-2</v>
      </c>
      <c r="W172">
        <v>0.27013029999999999</v>
      </c>
      <c r="X172">
        <v>0.95811559999999996</v>
      </c>
      <c r="Y172">
        <v>-5.323758E-2</v>
      </c>
      <c r="Z172">
        <v>3.790379E-3</v>
      </c>
      <c r="AA172">
        <v>0.99857470000000004</v>
      </c>
      <c r="AB172">
        <v>20</v>
      </c>
      <c r="AC172">
        <v>13.287100000000001</v>
      </c>
      <c r="AD172">
        <v>-1.1095472743849999</v>
      </c>
      <c r="AE172">
        <v>0.46469999999999301</v>
      </c>
      <c r="AF172">
        <v>-0.71524959441032299</v>
      </c>
      <c r="AG172">
        <v>-1.1095472743849999</v>
      </c>
      <c r="AH172">
        <v>13.1838797745003</v>
      </c>
      <c r="AI172">
        <v>94.803610775557701</v>
      </c>
      <c r="AJ172">
        <v>93.105356609574002</v>
      </c>
      <c r="AK172">
        <v>13.2498061512189</v>
      </c>
      <c r="AL172">
        <v>74.327979581271904</v>
      </c>
      <c r="AM172">
        <v>95.668500575510194</v>
      </c>
      <c r="AN172">
        <v>1.0000000115899601</v>
      </c>
    </row>
    <row r="173" spans="1:40" x14ac:dyDescent="0.25">
      <c r="A173" t="str">
        <f>"20190304164339382"</f>
        <v>20190304164339382</v>
      </c>
      <c r="B173" t="str">
        <f>"1551689019370067"</f>
        <v>1551689019370067</v>
      </c>
      <c r="C173" t="s">
        <v>40</v>
      </c>
      <c r="D173">
        <v>5.0950559999999996</v>
      </c>
      <c r="E173">
        <v>0.52845719999999996</v>
      </c>
      <c r="F173" t="s">
        <v>42</v>
      </c>
      <c r="G173">
        <v>-450.6653</v>
      </c>
      <c r="H173" s="1">
        <v>-4.3761670000000003E-6</v>
      </c>
      <c r="I173">
        <v>367.42169999999999</v>
      </c>
      <c r="J173">
        <v>-464.01209999999998</v>
      </c>
      <c r="K173">
        <v>1.1095389999999901</v>
      </c>
      <c r="L173">
        <v>366.94170000000003</v>
      </c>
      <c r="M173">
        <v>0.99982199999999999</v>
      </c>
      <c r="N173">
        <v>-2.718809E-3</v>
      </c>
      <c r="O173">
        <v>-1.8681489999999999E-2</v>
      </c>
      <c r="P173">
        <v>0.96057780000000004</v>
      </c>
      <c r="Q173">
        <v>0.26739269999999998</v>
      </c>
      <c r="R173">
        <v>7.6104039999999998E-2</v>
      </c>
      <c r="S173">
        <v>3.1873170000000002</v>
      </c>
      <c r="T173">
        <v>-0.26138869999999997</v>
      </c>
      <c r="U173">
        <v>0.11242679999999999</v>
      </c>
      <c r="V173">
        <v>-9.4244140000000004E-2</v>
      </c>
      <c r="W173">
        <v>0.26992650000000001</v>
      </c>
      <c r="X173">
        <v>0.95825769999999999</v>
      </c>
      <c r="Y173">
        <v>-5.3670509999999998E-2</v>
      </c>
      <c r="Z173">
        <v>3.747851E-3</v>
      </c>
      <c r="AA173">
        <v>0.99855170000000004</v>
      </c>
      <c r="AB173">
        <v>20</v>
      </c>
      <c r="AC173">
        <v>13.346799999999901</v>
      </c>
      <c r="AD173">
        <v>-1.1095433761669999</v>
      </c>
      <c r="AE173">
        <v>0.47999999999996101</v>
      </c>
      <c r="AF173">
        <v>-0.72425641793769702</v>
      </c>
      <c r="AG173">
        <v>-1.1095433761669999</v>
      </c>
      <c r="AH173">
        <v>13.2440933270949</v>
      </c>
      <c r="AI173">
        <v>94.781744170504894</v>
      </c>
      <c r="AJ173">
        <v>93.130115741576105</v>
      </c>
      <c r="AK173">
        <v>13.310208184672399</v>
      </c>
      <c r="AL173">
        <v>74.340107524921706</v>
      </c>
      <c r="AM173">
        <v>95.616946017495394</v>
      </c>
      <c r="AN173">
        <v>1.0000000464679299</v>
      </c>
    </row>
    <row r="174" spans="1:40" x14ac:dyDescent="0.25">
      <c r="A174" t="str">
        <f>"20190304164339403"</f>
        <v>20190304164339403</v>
      </c>
      <c r="B174" t="str">
        <f>"1551689019390562"</f>
        <v>1551689019390562</v>
      </c>
      <c r="C174" t="s">
        <v>40</v>
      </c>
      <c r="D174">
        <v>5.0918939999999999</v>
      </c>
      <c r="E174">
        <v>0.528501</v>
      </c>
      <c r="F174" t="s">
        <v>42</v>
      </c>
      <c r="G174">
        <v>-450.54070000000002</v>
      </c>
      <c r="H174" s="1">
        <v>-4.4311629999999996E-6</v>
      </c>
      <c r="I174">
        <v>367.41289999999998</v>
      </c>
      <c r="J174">
        <v>-463.82089999999999</v>
      </c>
      <c r="K174">
        <v>1.10954</v>
      </c>
      <c r="L174">
        <v>366.93869999999998</v>
      </c>
      <c r="M174">
        <v>0.99983239999999995</v>
      </c>
      <c r="N174">
        <v>-2.745309E-3</v>
      </c>
      <c r="O174">
        <v>-1.8108249999999999E-2</v>
      </c>
      <c r="P174">
        <v>0.96067979999999997</v>
      </c>
      <c r="Q174">
        <v>0.267291099999999</v>
      </c>
      <c r="R174">
        <v>7.5167369999999997E-2</v>
      </c>
      <c r="S174">
        <v>3.1873779999999998</v>
      </c>
      <c r="T174">
        <v>-0.2625207</v>
      </c>
      <c r="U174">
        <v>0.1115112</v>
      </c>
      <c r="V174">
        <v>-9.2755950000000004E-2</v>
      </c>
      <c r="W174">
        <v>0.26985300000000001</v>
      </c>
      <c r="X174">
        <v>0.95842360000000004</v>
      </c>
      <c r="Y174">
        <v>-5.2813529999999997E-2</v>
      </c>
      <c r="Z174">
        <v>3.6821459999999999E-3</v>
      </c>
      <c r="AA174">
        <v>0.99859759999999997</v>
      </c>
      <c r="AB174">
        <v>20</v>
      </c>
      <c r="AC174">
        <v>13.280199999999899</v>
      </c>
      <c r="AD174">
        <v>-1.1095444311630001</v>
      </c>
      <c r="AE174">
        <v>0.47419999999999601</v>
      </c>
      <c r="AF174">
        <v>-0.70965692133065605</v>
      </c>
      <c r="AG174">
        <v>-1.1095444311630001</v>
      </c>
      <c r="AH174">
        <v>13.17756796303</v>
      </c>
      <c r="AI174">
        <v>94.805991299542796</v>
      </c>
      <c r="AJ174">
        <v>93.082595157051202</v>
      </c>
      <c r="AK174">
        <v>13.243224653044001</v>
      </c>
      <c r="AL174">
        <v>74.344481157153496</v>
      </c>
      <c r="AM174">
        <v>95.527852810611904</v>
      </c>
      <c r="AN174">
        <v>1.00000005245318</v>
      </c>
    </row>
    <row r="175" spans="1:40" x14ac:dyDescent="0.25">
      <c r="A175" t="str">
        <f>"20190304164339427"</f>
        <v>20190304164339427</v>
      </c>
      <c r="B175" t="str">
        <f>"1551689019420819"</f>
        <v>1551689019420819</v>
      </c>
      <c r="C175" t="s">
        <v>40</v>
      </c>
      <c r="D175">
        <v>5.1086229999999997</v>
      </c>
      <c r="E175">
        <v>0.52860810000000003</v>
      </c>
      <c r="F175" t="s">
        <v>42</v>
      </c>
      <c r="G175">
        <v>-450.39350000000002</v>
      </c>
      <c r="H175" s="1">
        <v>-4.4980019999999996E-6</v>
      </c>
      <c r="I175">
        <v>367.3922</v>
      </c>
      <c r="J175">
        <v>-463.60219999999998</v>
      </c>
      <c r="K175">
        <v>1.1095389999999901</v>
      </c>
      <c r="L175">
        <v>366.93549999999999</v>
      </c>
      <c r="M175">
        <v>0.9998437</v>
      </c>
      <c r="N175">
        <v>-2.7756080000000002E-3</v>
      </c>
      <c r="O175">
        <v>-1.7461930000000001E-2</v>
      </c>
      <c r="P175">
        <v>0.96079230000000004</v>
      </c>
      <c r="Q175">
        <v>0.26722639999999998</v>
      </c>
      <c r="R175">
        <v>7.3947970000000002E-2</v>
      </c>
      <c r="S175">
        <v>3.1876829999999998</v>
      </c>
      <c r="T175">
        <v>-0.26340540000000001</v>
      </c>
      <c r="U175">
        <v>0.107666</v>
      </c>
      <c r="V175">
        <v>-9.0918120000000005E-2</v>
      </c>
      <c r="W175">
        <v>0.26981949999999999</v>
      </c>
      <c r="X175">
        <v>0.95860900000000004</v>
      </c>
      <c r="Y175">
        <v>-5.0968380000000001E-2</v>
      </c>
      <c r="Z175">
        <v>3.5642500000000001E-3</v>
      </c>
      <c r="AA175">
        <v>0.99869390000000002</v>
      </c>
      <c r="AB175">
        <v>20</v>
      </c>
      <c r="AC175">
        <v>13.208699999999901</v>
      </c>
      <c r="AD175">
        <v>-1.10954349800199</v>
      </c>
      <c r="AE175">
        <v>0.45670000000001199</v>
      </c>
      <c r="AF175">
        <v>-0.682470769820121</v>
      </c>
      <c r="AG175">
        <v>-1.10954349800199</v>
      </c>
      <c r="AH175">
        <v>13.106341112072499</v>
      </c>
      <c r="AI175">
        <v>94.832434775292199</v>
      </c>
      <c r="AJ175">
        <v>92.980802181594498</v>
      </c>
      <c r="AK175">
        <v>13.170916083234999</v>
      </c>
      <c r="AL175">
        <v>74.346472717177093</v>
      </c>
      <c r="AM175">
        <v>95.417942798917196</v>
      </c>
      <c r="AN175">
        <v>0.99999994100278999</v>
      </c>
    </row>
    <row r="176" spans="1:40" x14ac:dyDescent="0.25">
      <c r="A176" t="str">
        <f>"20190304164339450"</f>
        <v>20190304164339450</v>
      </c>
      <c r="B176" t="str">
        <f>"1551689019440338"</f>
        <v>1551689019440338</v>
      </c>
      <c r="C176" t="s">
        <v>40</v>
      </c>
      <c r="D176">
        <v>5.1247309999999997</v>
      </c>
      <c r="E176">
        <v>0.52865050000000002</v>
      </c>
      <c r="F176" t="s">
        <v>42</v>
      </c>
      <c r="G176">
        <v>-450.2679</v>
      </c>
      <c r="H176" s="1">
        <v>-4.5560780000000001E-6</v>
      </c>
      <c r="I176">
        <v>367.36829999999998</v>
      </c>
      <c r="J176">
        <v>-463.39830000000001</v>
      </c>
      <c r="K176">
        <v>1.1095429999999999</v>
      </c>
      <c r="L176">
        <v>366.9325</v>
      </c>
      <c r="M176">
        <v>0.99985380000000001</v>
      </c>
      <c r="N176">
        <v>-2.8039919999999999E-3</v>
      </c>
      <c r="O176">
        <v>-1.6864839999999999E-2</v>
      </c>
      <c r="P176">
        <v>0.96081380000000005</v>
      </c>
      <c r="Q176">
        <v>0.26741579999999998</v>
      </c>
      <c r="R176">
        <v>7.2974739999999996E-2</v>
      </c>
      <c r="S176">
        <v>3.1882320000000002</v>
      </c>
      <c r="T176">
        <v>-0.26529059999999999</v>
      </c>
      <c r="U176">
        <v>0.1035156</v>
      </c>
      <c r="V176">
        <v>-8.9373279999999999E-2</v>
      </c>
      <c r="W176">
        <v>0.27003759999999999</v>
      </c>
      <c r="X176">
        <v>0.95869289999999996</v>
      </c>
      <c r="Y176">
        <v>-4.90728E-2</v>
      </c>
      <c r="Z176">
        <v>3.459915E-3</v>
      </c>
      <c r="AA176">
        <v>0.99878920000000004</v>
      </c>
      <c r="AB176">
        <v>20</v>
      </c>
      <c r="AC176">
        <v>13.1304</v>
      </c>
      <c r="AD176">
        <v>-1.1095475560779999</v>
      </c>
      <c r="AE176">
        <v>0.43579999999997199</v>
      </c>
      <c r="AF176">
        <v>-0.65252667739142101</v>
      </c>
      <c r="AG176">
        <v>-1.1095475560779999</v>
      </c>
      <c r="AH176">
        <v>13.0282553782032</v>
      </c>
      <c r="AI176">
        <v>94.861767203285495</v>
      </c>
      <c r="AJ176">
        <v>92.867291745719797</v>
      </c>
      <c r="AK176">
        <v>13.0916891592944</v>
      </c>
      <c r="AL176">
        <v>74.333495437684206</v>
      </c>
      <c r="AM176">
        <v>95.325954093957805</v>
      </c>
      <c r="AN176">
        <v>0.99999998255106404</v>
      </c>
    </row>
    <row r="177" spans="1:40" x14ac:dyDescent="0.25">
      <c r="A177" t="str">
        <f>"20190304164339472"</f>
        <v>20190304164339472</v>
      </c>
      <c r="B177" t="str">
        <f>"1551689019459859"</f>
        <v>1551689019459859</v>
      </c>
      <c r="C177" t="s">
        <v>40</v>
      </c>
      <c r="D177">
        <v>5.0897930000000002</v>
      </c>
      <c r="E177">
        <v>0.52863909999999903</v>
      </c>
      <c r="F177" t="s">
        <v>42</v>
      </c>
      <c r="G177">
        <v>-450.05239999999998</v>
      </c>
      <c r="H177" s="1">
        <v>-4.6516700000000003E-6</v>
      </c>
      <c r="I177">
        <v>367.35059999999999</v>
      </c>
      <c r="J177">
        <v>-463.19619999999998</v>
      </c>
      <c r="K177">
        <v>1.1095489999999999</v>
      </c>
      <c r="L177">
        <v>366.9298</v>
      </c>
      <c r="M177">
        <v>0.99986359999999996</v>
      </c>
      <c r="N177">
        <v>-2.8321230000000002E-3</v>
      </c>
      <c r="O177">
        <v>-1.627632E-2</v>
      </c>
      <c r="P177">
        <v>0.96092029999999995</v>
      </c>
      <c r="Q177">
        <v>0.26720240000000001</v>
      </c>
      <c r="R177">
        <v>7.2355050000000004E-2</v>
      </c>
      <c r="S177">
        <v>3.1885379999999999</v>
      </c>
      <c r="T177">
        <v>-0.26508720000000002</v>
      </c>
      <c r="U177">
        <v>9.9914550000000005E-2</v>
      </c>
      <c r="V177">
        <v>-8.8192610000000005E-2</v>
      </c>
      <c r="W177">
        <v>0.26985170000000003</v>
      </c>
      <c r="X177">
        <v>0.9588546</v>
      </c>
      <c r="Y177">
        <v>-4.7363229999999999E-2</v>
      </c>
      <c r="Z177">
        <v>3.3367140000000002E-3</v>
      </c>
      <c r="AA177">
        <v>0.99887219999999999</v>
      </c>
      <c r="AB177">
        <v>20</v>
      </c>
      <c r="AC177">
        <v>13.143800000000001</v>
      </c>
      <c r="AD177">
        <v>-1.10955365167</v>
      </c>
      <c r="AE177">
        <v>0.42079999999998502</v>
      </c>
      <c r="AF177">
        <v>-0.63019155395132098</v>
      </c>
      <c r="AG177">
        <v>-1.10955365167</v>
      </c>
      <c r="AH177">
        <v>13.042363127930299</v>
      </c>
      <c r="AI177">
        <v>94.856979152519799</v>
      </c>
      <c r="AJ177">
        <v>92.766312765249893</v>
      </c>
      <c r="AK177">
        <v>13.1046360751225</v>
      </c>
      <c r="AL177">
        <v>74.344557832851393</v>
      </c>
      <c r="AM177">
        <v>95.255110593177406</v>
      </c>
      <c r="AN177">
        <v>1.00000001019633</v>
      </c>
    </row>
    <row r="178" spans="1:40" x14ac:dyDescent="0.25">
      <c r="A178" t="str">
        <f>"20190304164339486"</f>
        <v>20190304164339486</v>
      </c>
      <c r="B178" t="str">
        <f>"1551689019480355"</f>
        <v>1551689019480355</v>
      </c>
      <c r="C178" t="s">
        <v>40</v>
      </c>
      <c r="D178">
        <v>5.0836940000000004</v>
      </c>
      <c r="E178">
        <v>0.52858579999999999</v>
      </c>
      <c r="F178" t="s">
        <v>42</v>
      </c>
      <c r="G178">
        <v>-449.88080000000002</v>
      </c>
      <c r="H178" s="1">
        <v>-6.3590369999999905E-7</v>
      </c>
      <c r="I178">
        <v>367.33909999999997</v>
      </c>
      <c r="J178">
        <v>-463.07049999999998</v>
      </c>
      <c r="K178">
        <v>1.109551</v>
      </c>
      <c r="L178">
        <v>366.9282</v>
      </c>
      <c r="M178">
        <v>0.99986949999999997</v>
      </c>
      <c r="N178">
        <v>-2.8494089999999998E-3</v>
      </c>
      <c r="O178">
        <v>-1.591132E-2</v>
      </c>
      <c r="P178">
        <v>0.96087979999999995</v>
      </c>
      <c r="Q178">
        <v>0.26741659999999901</v>
      </c>
      <c r="R178">
        <v>7.2101860000000004E-2</v>
      </c>
      <c r="S178">
        <v>3.1885379999999999</v>
      </c>
      <c r="T178">
        <v>-0.26569510000000002</v>
      </c>
      <c r="U178">
        <v>9.8022460000000006E-2</v>
      </c>
      <c r="V178">
        <v>-8.7590039999999994E-2</v>
      </c>
      <c r="W178">
        <v>0.27008219999999999</v>
      </c>
      <c r="X178">
        <v>0.95884499999999995</v>
      </c>
      <c r="Y178">
        <v>-4.6409980000000003E-2</v>
      </c>
      <c r="Z178">
        <v>3.274131E-3</v>
      </c>
      <c r="AA178">
        <v>0.9989171</v>
      </c>
      <c r="AB178">
        <v>20</v>
      </c>
      <c r="AC178">
        <v>13.189699999999901</v>
      </c>
      <c r="AD178">
        <v>-1.1095516359037001</v>
      </c>
      <c r="AE178">
        <v>0.41089999999996901</v>
      </c>
      <c r="AF178">
        <v>-0.61635685229349702</v>
      </c>
      <c r="AG178">
        <v>-1.1095516359037001</v>
      </c>
      <c r="AH178">
        <v>13.088956654165001</v>
      </c>
      <c r="AI178">
        <v>94.840044762500597</v>
      </c>
      <c r="AJ178">
        <v>92.696057375875</v>
      </c>
      <c r="AK178">
        <v>13.150353109202699</v>
      </c>
      <c r="AL178">
        <v>74.330842869101104</v>
      </c>
      <c r="AM178">
        <v>95.219456361068893</v>
      </c>
      <c r="AN178">
        <v>1.0000000719445099</v>
      </c>
    </row>
    <row r="179" spans="1:40" x14ac:dyDescent="0.25">
      <c r="A179" t="str">
        <f>"20190304164339504"</f>
        <v>20190304164339504</v>
      </c>
      <c r="B179" t="str">
        <f>"1551689019490115"</f>
        <v>1551689019490115</v>
      </c>
      <c r="C179" t="s">
        <v>40</v>
      </c>
      <c r="D179">
        <v>5.095682</v>
      </c>
      <c r="E179">
        <v>0.528559</v>
      </c>
      <c r="F179" t="s">
        <v>42</v>
      </c>
      <c r="G179">
        <v>-449.72250000000003</v>
      </c>
      <c r="H179" s="1">
        <v>-6.9682469999999997E-7</v>
      </c>
      <c r="I179">
        <v>367.33870000000002</v>
      </c>
      <c r="J179">
        <v>-462.89890000000003</v>
      </c>
      <c r="K179">
        <v>1.109559</v>
      </c>
      <c r="L179">
        <v>366.92599999999999</v>
      </c>
      <c r="M179">
        <v>0.99987709999999996</v>
      </c>
      <c r="N179">
        <v>-2.8730539999999999E-3</v>
      </c>
      <c r="O179">
        <v>-1.541316E-2</v>
      </c>
      <c r="P179">
        <v>0.96090379999999997</v>
      </c>
      <c r="Q179">
        <v>0.26728200000000002</v>
      </c>
      <c r="R179">
        <v>7.2278239999999994E-2</v>
      </c>
      <c r="S179">
        <v>3.188507</v>
      </c>
      <c r="T179">
        <v>-0.2650441</v>
      </c>
      <c r="U179">
        <v>9.8052979999999998E-2</v>
      </c>
      <c r="V179">
        <v>-8.7290640000000003E-2</v>
      </c>
      <c r="W179">
        <v>0.26997059999999901</v>
      </c>
      <c r="X179">
        <v>0.95890370000000003</v>
      </c>
      <c r="Y179">
        <v>-4.5926500000000002E-2</v>
      </c>
      <c r="Z179">
        <v>3.2057399999999999E-3</v>
      </c>
      <c r="AA179">
        <v>0.99893969999999999</v>
      </c>
      <c r="AB179">
        <v>21</v>
      </c>
      <c r="AC179">
        <v>13.176399999999999</v>
      </c>
      <c r="AD179">
        <v>-1.1095596968246999</v>
      </c>
      <c r="AE179">
        <v>0.41270000000002899</v>
      </c>
      <c r="AF179">
        <v>-0.61141050505681904</v>
      </c>
      <c r="AG179">
        <v>-1.1095596968246999</v>
      </c>
      <c r="AH179">
        <v>13.0758437230014</v>
      </c>
      <c r="AI179">
        <v>94.844985215117603</v>
      </c>
      <c r="AJ179">
        <v>92.677130829505799</v>
      </c>
      <c r="AK179">
        <v>13.1370710051696</v>
      </c>
      <c r="AL179">
        <v>74.3374833071897</v>
      </c>
      <c r="AM179">
        <v>95.201396590970006</v>
      </c>
      <c r="AN179">
        <v>1.00000004328482</v>
      </c>
    </row>
    <row r="180" spans="1:40" x14ac:dyDescent="0.25">
      <c r="A180" t="str">
        <f>"20190304164339518"</f>
        <v>20190304164339518</v>
      </c>
      <c r="B180" t="str">
        <f>"1551689019510611"</f>
        <v>1551689019510611</v>
      </c>
      <c r="C180" t="s">
        <v>40</v>
      </c>
      <c r="D180">
        <v>5.0922790000000004</v>
      </c>
      <c r="E180">
        <v>0.52855359999999996</v>
      </c>
      <c r="F180" t="s">
        <v>42</v>
      </c>
      <c r="G180">
        <v>-449.56909999999999</v>
      </c>
      <c r="H180" s="1">
        <v>-7.5521309999999997E-7</v>
      </c>
      <c r="I180">
        <v>367.34050000000002</v>
      </c>
      <c r="J180">
        <v>-462.76799999999997</v>
      </c>
      <c r="K180">
        <v>1.109561</v>
      </c>
      <c r="L180">
        <v>366.92439999999999</v>
      </c>
      <c r="M180">
        <v>0.99988279999999996</v>
      </c>
      <c r="N180">
        <v>-2.891139E-3</v>
      </c>
      <c r="O180">
        <v>-1.5033370000000001E-2</v>
      </c>
      <c r="P180">
        <v>0.96080390000000004</v>
      </c>
      <c r="Q180">
        <v>0.26748369999999999</v>
      </c>
      <c r="R180">
        <v>7.2857340000000007E-2</v>
      </c>
      <c r="S180">
        <v>3.1884160000000001</v>
      </c>
      <c r="T180">
        <v>-0.26540200000000003</v>
      </c>
      <c r="U180">
        <v>9.9151610000000001E-2</v>
      </c>
      <c r="V180">
        <v>-8.7505040000000006E-2</v>
      </c>
      <c r="W180">
        <v>0.27018819999999999</v>
      </c>
      <c r="X180">
        <v>0.95882279999999998</v>
      </c>
      <c r="Y180">
        <v>-4.5892589999999997E-2</v>
      </c>
      <c r="Z180">
        <v>3.1783240000000002E-3</v>
      </c>
      <c r="AA180">
        <v>0.99894130000000003</v>
      </c>
      <c r="AB180">
        <v>21</v>
      </c>
      <c r="AC180">
        <v>13.1989</v>
      </c>
      <c r="AD180">
        <v>-1.1095617552131001</v>
      </c>
      <c r="AE180">
        <v>0.416100000000028</v>
      </c>
      <c r="AF180">
        <v>-0.61017004137930897</v>
      </c>
      <c r="AG180">
        <v>-1.1095617552131001</v>
      </c>
      <c r="AH180">
        <v>13.098678170852001</v>
      </c>
      <c r="AI180">
        <v>94.836627661597106</v>
      </c>
      <c r="AJ180">
        <v>92.667056436511402</v>
      </c>
      <c r="AK180">
        <v>13.159741813257</v>
      </c>
      <c r="AL180">
        <v>74.324533505221794</v>
      </c>
      <c r="AM180">
        <v>95.214539245474995</v>
      </c>
      <c r="AN180">
        <v>0.99999997862223999</v>
      </c>
    </row>
    <row r="181" spans="1:40" x14ac:dyDescent="0.25">
      <c r="A181" t="str">
        <f>"20190304164339537"</f>
        <v>20190304164339537</v>
      </c>
      <c r="B181" t="str">
        <f>"1551689019530132"</f>
        <v>1551689019530132</v>
      </c>
      <c r="C181" t="s">
        <v>40</v>
      </c>
      <c r="D181">
        <v>5.1077000000000004</v>
      </c>
      <c r="E181">
        <v>0.52851269999999995</v>
      </c>
      <c r="F181" t="s">
        <v>42</v>
      </c>
      <c r="G181">
        <v>-449.40870000000001</v>
      </c>
      <c r="H181" s="1">
        <v>-8.1511190000000001E-7</v>
      </c>
      <c r="I181">
        <v>367.34699999999998</v>
      </c>
      <c r="J181">
        <v>-462.57769999999999</v>
      </c>
      <c r="K181">
        <v>1.1095649999999999</v>
      </c>
      <c r="L181">
        <v>366.9221</v>
      </c>
      <c r="M181">
        <v>0.99989090000000003</v>
      </c>
      <c r="N181">
        <v>-2.917429E-3</v>
      </c>
      <c r="O181">
        <v>-1.4481330000000001E-2</v>
      </c>
      <c r="P181">
        <v>0.96066390000000002</v>
      </c>
      <c r="Q181">
        <v>0.2676058</v>
      </c>
      <c r="R181">
        <v>7.4245179999999994E-2</v>
      </c>
      <c r="S181">
        <v>3.1884459999999999</v>
      </c>
      <c r="T181">
        <v>-0.2648163</v>
      </c>
      <c r="U181">
        <v>0.10086059999999999</v>
      </c>
      <c r="V181">
        <v>-8.8363520000000001E-2</v>
      </c>
      <c r="W181">
        <v>0.27033420000000002</v>
      </c>
      <c r="X181">
        <v>0.95870290000000002</v>
      </c>
      <c r="Y181">
        <v>-4.5878410000000001E-2</v>
      </c>
      <c r="Z181">
        <v>3.1267790000000001E-3</v>
      </c>
      <c r="AA181">
        <v>0.99894210000000006</v>
      </c>
      <c r="AB181">
        <v>21</v>
      </c>
      <c r="AC181">
        <v>13.168999999999899</v>
      </c>
      <c r="AD181">
        <v>-1.1095658151118999</v>
      </c>
      <c r="AE181">
        <v>0.42489999999997902</v>
      </c>
      <c r="AF181">
        <v>-0.61122627150824504</v>
      </c>
      <c r="AG181">
        <v>-1.1095658151118999</v>
      </c>
      <c r="AH181">
        <v>13.068786394188701</v>
      </c>
      <c r="AI181">
        <v>94.847613203070694</v>
      </c>
      <c r="AJ181">
        <v>92.677768465253806</v>
      </c>
      <c r="AK181">
        <v>13.1300385250759</v>
      </c>
      <c r="AL181">
        <v>74.315844872027697</v>
      </c>
      <c r="AM181">
        <v>95.266065840084906</v>
      </c>
      <c r="AN181">
        <v>0.99999997091241899</v>
      </c>
    </row>
    <row r="182" spans="1:40" x14ac:dyDescent="0.25">
      <c r="A182" t="str">
        <f>"20190304164339550"</f>
        <v>20190304164339550</v>
      </c>
      <c r="B182" t="str">
        <f>"1551689019539891"</f>
        <v>1551689019539891</v>
      </c>
      <c r="C182" t="s">
        <v>40</v>
      </c>
      <c r="D182">
        <v>5.1115149999999998</v>
      </c>
      <c r="E182">
        <v>0.52849599999999997</v>
      </c>
      <c r="F182" t="s">
        <v>42</v>
      </c>
      <c r="G182">
        <v>-449.18959999999998</v>
      </c>
      <c r="H182" s="1">
        <v>-8.9511669999999897E-7</v>
      </c>
      <c r="I182">
        <v>367.36239999999998</v>
      </c>
      <c r="J182">
        <v>-462.45710000000003</v>
      </c>
      <c r="K182">
        <v>1.1095630000000001</v>
      </c>
      <c r="L182">
        <v>366.92079999999999</v>
      </c>
      <c r="M182">
        <v>0.99989589999999995</v>
      </c>
      <c r="N182">
        <v>-2.9340659999999999E-3</v>
      </c>
      <c r="O182">
        <v>-1.413171E-2</v>
      </c>
      <c r="P182">
        <v>0.96062029999999998</v>
      </c>
      <c r="Q182">
        <v>0.26758569999999998</v>
      </c>
      <c r="R182">
        <v>7.4877170000000007E-2</v>
      </c>
      <c r="S182">
        <v>3.1883539999999999</v>
      </c>
      <c r="T182">
        <v>-0.26424120000000001</v>
      </c>
      <c r="U182">
        <v>0.10485839999999901</v>
      </c>
      <c r="V182">
        <v>-8.8660790000000003E-2</v>
      </c>
      <c r="W182">
        <v>0.27032909999999999</v>
      </c>
      <c r="X182">
        <v>0.95867690000000005</v>
      </c>
      <c r="Y182">
        <v>-4.6780059999999998E-2</v>
      </c>
      <c r="Z182">
        <v>3.1309559999999998E-3</v>
      </c>
      <c r="AA182">
        <v>0.99890029999999996</v>
      </c>
      <c r="AB182">
        <v>21</v>
      </c>
      <c r="AC182">
        <v>13.2675</v>
      </c>
      <c r="AD182">
        <v>-1.1095638951166999</v>
      </c>
      <c r="AE182">
        <v>0.441599999999993</v>
      </c>
      <c r="AF182">
        <v>-0.62468494051973</v>
      </c>
      <c r="AG182">
        <v>-1.1095638951166999</v>
      </c>
      <c r="AH182">
        <v>13.167939712056199</v>
      </c>
      <c r="AI182">
        <v>94.811124079539596</v>
      </c>
      <c r="AJ182">
        <v>92.716066242484004</v>
      </c>
      <c r="AK182">
        <v>13.229361268504499</v>
      </c>
      <c r="AL182">
        <v>74.316148499701299</v>
      </c>
      <c r="AM182">
        <v>95.283824171284607</v>
      </c>
      <c r="AN182">
        <v>0.999999978291921</v>
      </c>
    </row>
    <row r="183" spans="1:40" x14ac:dyDescent="0.25">
      <c r="A183" t="str">
        <f>"20190304164339566"</f>
        <v>20190304164339566</v>
      </c>
      <c r="B183" t="str">
        <f>"1551689019560387"</f>
        <v>1551689019560387</v>
      </c>
      <c r="C183" t="s">
        <v>40</v>
      </c>
      <c r="D183">
        <v>5.1322140000000003</v>
      </c>
      <c r="E183">
        <v>0.52849099999999904</v>
      </c>
      <c r="F183" t="s">
        <v>42</v>
      </c>
      <c r="G183">
        <v>-449.0745</v>
      </c>
      <c r="H183" s="1">
        <v>-9.3745070000000002E-7</v>
      </c>
      <c r="I183">
        <v>367.36950000000002</v>
      </c>
      <c r="J183">
        <v>-462.31810000000002</v>
      </c>
      <c r="K183">
        <v>1.109564</v>
      </c>
      <c r="L183">
        <v>366.91930000000002</v>
      </c>
      <c r="M183">
        <v>0.99990140000000005</v>
      </c>
      <c r="N183">
        <v>-2.9532510000000001E-3</v>
      </c>
      <c r="O183">
        <v>-1.3728789999999999E-2</v>
      </c>
      <c r="P183">
        <v>0.96045999999999998</v>
      </c>
      <c r="Q183">
        <v>0.26789190000000002</v>
      </c>
      <c r="R183">
        <v>7.5833239999999996E-2</v>
      </c>
      <c r="S183">
        <v>3.1883240000000002</v>
      </c>
      <c r="T183">
        <v>-0.26434649999999998</v>
      </c>
      <c r="U183">
        <v>0.1069031</v>
      </c>
      <c r="V183">
        <v>-8.9229729999999993E-2</v>
      </c>
      <c r="W183">
        <v>0.27065240000000002</v>
      </c>
      <c r="X183">
        <v>0.95853290000000002</v>
      </c>
      <c r="Y183">
        <v>-4.7018009999999999E-2</v>
      </c>
      <c r="Z183">
        <v>3.110411E-3</v>
      </c>
      <c r="AA183">
        <v>0.99888920000000003</v>
      </c>
      <c r="AB183">
        <v>21</v>
      </c>
      <c r="AC183">
        <v>13.243600000000001</v>
      </c>
      <c r="AD183">
        <v>-1.1095649374507</v>
      </c>
      <c r="AE183">
        <v>0.45019999999999499</v>
      </c>
      <c r="AF183">
        <v>-0.62757690474547501</v>
      </c>
      <c r="AG183">
        <v>-1.1095649374507</v>
      </c>
      <c r="AH183">
        <v>13.1440159277733</v>
      </c>
      <c r="AI183">
        <v>94.819774440223696</v>
      </c>
      <c r="AJ183">
        <v>92.733580159923406</v>
      </c>
      <c r="AK183">
        <v>13.2056859659523</v>
      </c>
      <c r="AL183">
        <v>74.296907762177398</v>
      </c>
      <c r="AM183">
        <v>95.318331211480697</v>
      </c>
      <c r="AN183">
        <v>0.99999999336202094</v>
      </c>
    </row>
    <row r="184" spans="1:40" x14ac:dyDescent="0.25">
      <c r="A184" t="str">
        <f>"20190304164339583"</f>
        <v>20190304164339583</v>
      </c>
      <c r="B184" t="str">
        <f>"1551689019570146"</f>
        <v>1551689019570146</v>
      </c>
      <c r="C184" t="s">
        <v>40</v>
      </c>
      <c r="D184">
        <v>5.1075280000000003</v>
      </c>
      <c r="E184">
        <v>0.52847089999999997</v>
      </c>
      <c r="F184" t="s">
        <v>42</v>
      </c>
      <c r="G184">
        <v>-448.89069999999998</v>
      </c>
      <c r="H184" s="1">
        <v>-1.004559E-6</v>
      </c>
      <c r="I184">
        <v>367.38249999999999</v>
      </c>
      <c r="J184">
        <v>-462.15570000000002</v>
      </c>
      <c r="K184">
        <v>1.1095710000000001</v>
      </c>
      <c r="L184">
        <v>366.91750000000002</v>
      </c>
      <c r="M184">
        <v>0.99990769999999995</v>
      </c>
      <c r="N184">
        <v>-2.9756650000000002E-3</v>
      </c>
      <c r="O184">
        <v>-1.325901E-2</v>
      </c>
      <c r="P184">
        <v>0.96046799999999999</v>
      </c>
      <c r="Q184">
        <v>0.26760149999999999</v>
      </c>
      <c r="R184">
        <v>7.6751849999999996E-2</v>
      </c>
      <c r="S184">
        <v>3.1883240000000002</v>
      </c>
      <c r="T184">
        <v>-0.26346700000000001</v>
      </c>
      <c r="U184">
        <v>0.1099854</v>
      </c>
      <c r="V184">
        <v>-8.9699310000000004E-2</v>
      </c>
      <c r="W184">
        <v>0.27038289999999998</v>
      </c>
      <c r="X184">
        <v>0.95856509999999995</v>
      </c>
      <c r="Y184">
        <v>-4.7514359999999999E-2</v>
      </c>
      <c r="Z184">
        <v>3.084224E-3</v>
      </c>
      <c r="AA184">
        <v>0.99886580000000003</v>
      </c>
      <c r="AB184">
        <v>21</v>
      </c>
      <c r="AC184">
        <v>13.265000000000001</v>
      </c>
      <c r="AD184">
        <v>-1.1095720045589901</v>
      </c>
      <c r="AE184">
        <v>0.46499999999997499</v>
      </c>
      <c r="AF184">
        <v>-0.63639344255959296</v>
      </c>
      <c r="AG184">
        <v>-1.1095720045589901</v>
      </c>
      <c r="AH184">
        <v>13.165664637613</v>
      </c>
      <c r="AI184">
        <v>94.811781182487294</v>
      </c>
      <c r="AJ184">
        <v>92.767372615125296</v>
      </c>
      <c r="AK184">
        <v>13.2276555744821</v>
      </c>
      <c r="AL184">
        <v>74.312946539303397</v>
      </c>
      <c r="AM184">
        <v>95.345979144083799</v>
      </c>
      <c r="AN184">
        <v>0.99999996488244702</v>
      </c>
    </row>
    <row r="185" spans="1:40" x14ac:dyDescent="0.25">
      <c r="A185" t="str">
        <f>"20190304164339605"</f>
        <v>20190304164339605</v>
      </c>
      <c r="B185" t="str">
        <f>"1551689019590643"</f>
        <v>1551689019590643</v>
      </c>
      <c r="C185" t="s">
        <v>40</v>
      </c>
      <c r="D185">
        <v>5.1639390000000001</v>
      </c>
      <c r="E185">
        <v>0.52317619999999998</v>
      </c>
      <c r="F185" t="s">
        <v>42</v>
      </c>
      <c r="G185">
        <v>-448.7826</v>
      </c>
      <c r="H185" s="1">
        <v>-1.0430710000000001E-6</v>
      </c>
      <c r="I185">
        <v>367.39389999999997</v>
      </c>
      <c r="J185">
        <v>-461.94709999999998</v>
      </c>
      <c r="K185">
        <v>1.1095729999999999</v>
      </c>
      <c r="L185">
        <v>366.91550000000001</v>
      </c>
      <c r="M185">
        <v>0.99991549999999996</v>
      </c>
      <c r="N185">
        <v>-3.0044939999999999E-3</v>
      </c>
      <c r="O185">
        <v>-1.265762E-2</v>
      </c>
      <c r="P185">
        <v>0.96049490000000004</v>
      </c>
      <c r="Q185">
        <v>0.26716000000000001</v>
      </c>
      <c r="R185">
        <v>7.7944490000000005E-2</v>
      </c>
      <c r="S185">
        <v>3.1880799999999998</v>
      </c>
      <c r="T185">
        <v>-0.26451609999999998</v>
      </c>
      <c r="U185">
        <v>0.1135559</v>
      </c>
      <c r="V185">
        <v>-9.0316770000000005E-2</v>
      </c>
      <c r="W185">
        <v>0.26996779999999998</v>
      </c>
      <c r="X185">
        <v>0.95862409999999998</v>
      </c>
      <c r="Y185">
        <v>-4.803193E-2</v>
      </c>
      <c r="Z185">
        <v>3.0710350000000002E-3</v>
      </c>
      <c r="AA185">
        <v>0.99884110000000004</v>
      </c>
      <c r="AB185">
        <v>21</v>
      </c>
      <c r="AC185">
        <v>13.164499999999901</v>
      </c>
      <c r="AD185">
        <v>-1.1095740430709999</v>
      </c>
      <c r="AE185">
        <v>0.47839999999996502</v>
      </c>
      <c r="AF185">
        <v>-0.64044987971220901</v>
      </c>
      <c r="AG185">
        <v>-1.1095740430709999</v>
      </c>
      <c r="AH185">
        <v>13.0647005233944</v>
      </c>
      <c r="AI185">
        <v>94.848638612866907</v>
      </c>
      <c r="AJ185">
        <v>92.806472555106794</v>
      </c>
      <c r="AK185">
        <v>13.1273657057104</v>
      </c>
      <c r="AL185">
        <v>74.337648399922998</v>
      </c>
      <c r="AM185">
        <v>95.382234339217504</v>
      </c>
      <c r="AN185">
        <v>0.99999994854044005</v>
      </c>
    </row>
    <row r="186" spans="1:40" x14ac:dyDescent="0.25">
      <c r="A186" t="str">
        <f>"20190304164339627"</f>
        <v>20190304164339627</v>
      </c>
      <c r="B186" t="str">
        <f>"1551689019619923"</f>
        <v>1551689019619923</v>
      </c>
      <c r="C186" t="s">
        <v>40</v>
      </c>
      <c r="D186">
        <v>5.1241629999999896</v>
      </c>
      <c r="E186">
        <v>0.52337489999999998</v>
      </c>
      <c r="F186" t="s">
        <v>42</v>
      </c>
      <c r="G186">
        <v>-449.12610000000001</v>
      </c>
      <c r="H186" s="1">
        <v>-8.6636969999999901E-7</v>
      </c>
      <c r="I186">
        <v>367.56220000000002</v>
      </c>
      <c r="J186">
        <v>-461.7217</v>
      </c>
      <c r="K186">
        <v>1.10958</v>
      </c>
      <c r="L186">
        <v>366.91329999999999</v>
      </c>
      <c r="M186">
        <v>0.99992320000000001</v>
      </c>
      <c r="N186">
        <v>-3.0357819999999999E-3</v>
      </c>
      <c r="O186">
        <v>-1.200963E-2</v>
      </c>
      <c r="P186">
        <v>0.96049119999999999</v>
      </c>
      <c r="Q186">
        <v>0.26684799999999997</v>
      </c>
      <c r="R186">
        <v>7.9049439999999999E-2</v>
      </c>
      <c r="S186">
        <v>3.1870419999999999</v>
      </c>
      <c r="T186">
        <v>-0.27581600000000001</v>
      </c>
      <c r="U186">
        <v>0.16076660000000001</v>
      </c>
      <c r="V186">
        <v>-9.0800989999999998E-2</v>
      </c>
      <c r="W186">
        <v>0.26968500000000001</v>
      </c>
      <c r="X186">
        <v>0.95865800000000001</v>
      </c>
      <c r="Y186">
        <v>-6.2089180000000001E-2</v>
      </c>
      <c r="Z186">
        <v>3.7749160000000001E-3</v>
      </c>
      <c r="AA186">
        <v>0.99806340000000004</v>
      </c>
      <c r="AB186">
        <v>21</v>
      </c>
      <c r="AC186">
        <v>12.5955999999999</v>
      </c>
      <c r="AD186">
        <v>-1.1095808663697</v>
      </c>
      <c r="AE186">
        <v>0.64890000000002601</v>
      </c>
      <c r="AF186">
        <v>-0.79397719075168405</v>
      </c>
      <c r="AG186">
        <v>-1.1095808663697</v>
      </c>
      <c r="AH186">
        <v>12.490226826927</v>
      </c>
      <c r="AI186">
        <v>95.066424395339496</v>
      </c>
      <c r="AJ186">
        <v>93.637277017897205</v>
      </c>
      <c r="AK186">
        <v>12.564526877942299</v>
      </c>
      <c r="AL186">
        <v>74.354476457469303</v>
      </c>
      <c r="AM186">
        <v>95.410729374968795</v>
      </c>
      <c r="AN186">
        <v>0.99999998998699002</v>
      </c>
    </row>
    <row r="187" spans="1:40" x14ac:dyDescent="0.25">
      <c r="A187" t="str">
        <f>"20190304164339650"</f>
        <v>20190304164339650</v>
      </c>
      <c r="B187" t="str">
        <f>"1551689019640418"</f>
        <v>1551689019640418</v>
      </c>
      <c r="C187" t="s">
        <v>40</v>
      </c>
      <c r="D187">
        <v>5.1099550000000002</v>
      </c>
      <c r="E187">
        <v>0.52343949999999995</v>
      </c>
      <c r="F187" t="s">
        <v>42</v>
      </c>
      <c r="G187">
        <v>-448.7826</v>
      </c>
      <c r="H187" s="1">
        <v>-9.9588080000000009E-7</v>
      </c>
      <c r="I187">
        <v>367.57119999999998</v>
      </c>
      <c r="J187">
        <v>-461.50779999999997</v>
      </c>
      <c r="K187">
        <v>1.1095839999999999</v>
      </c>
      <c r="L187">
        <v>366.91149999999999</v>
      </c>
      <c r="M187">
        <v>0.99993030000000005</v>
      </c>
      <c r="N187">
        <v>-3.0654649999999999E-3</v>
      </c>
      <c r="O187">
        <v>-1.139799E-2</v>
      </c>
      <c r="P187">
        <v>0.96047300000000002</v>
      </c>
      <c r="Q187">
        <v>0.26681059999999901</v>
      </c>
      <c r="R187">
        <v>7.9395350000000003E-2</v>
      </c>
      <c r="S187">
        <v>3.1859440000000001</v>
      </c>
      <c r="T187">
        <v>-0.2732077</v>
      </c>
      <c r="U187">
        <v>0.161987299999999</v>
      </c>
      <c r="V187">
        <v>-9.0561710000000004E-2</v>
      </c>
      <c r="W187">
        <v>0.26967529999999901</v>
      </c>
      <c r="X187">
        <v>0.95868339999999996</v>
      </c>
      <c r="Y187">
        <v>-6.1885299999999997E-2</v>
      </c>
      <c r="Z187">
        <v>3.6822000000000001E-3</v>
      </c>
      <c r="AA187">
        <v>0.99807650000000003</v>
      </c>
      <c r="AB187">
        <v>22</v>
      </c>
      <c r="AC187">
        <v>12.7251999999999</v>
      </c>
      <c r="AD187">
        <v>-1.1095849958808</v>
      </c>
      <c r="AE187">
        <v>0.65969999999998596</v>
      </c>
      <c r="AF187">
        <v>-0.79864362741029304</v>
      </c>
      <c r="AG187">
        <v>-1.1095849958808</v>
      </c>
      <c r="AH187">
        <v>12.6211511516796</v>
      </c>
      <c r="AI187">
        <v>95.014247489330302</v>
      </c>
      <c r="AJ187">
        <v>93.6207458481028</v>
      </c>
      <c r="AK187">
        <v>12.6949780188951</v>
      </c>
      <c r="AL187">
        <v>74.355054189395403</v>
      </c>
      <c r="AM187">
        <v>95.3964130996835</v>
      </c>
      <c r="AN187">
        <v>1.00000002609188</v>
      </c>
    </row>
    <row r="188" spans="1:40" x14ac:dyDescent="0.25">
      <c r="A188" t="str">
        <f>"20190304164339663"</f>
        <v>20190304164339663</v>
      </c>
      <c r="B188" t="str">
        <f>"1551689019650180"</f>
        <v>1551689019650180</v>
      </c>
      <c r="C188" t="s">
        <v>40</v>
      </c>
      <c r="D188">
        <v>5.1416839999999997</v>
      </c>
      <c r="E188">
        <v>0.52368859999999995</v>
      </c>
      <c r="F188" t="s">
        <v>42</v>
      </c>
      <c r="G188">
        <v>-448.55459999999999</v>
      </c>
      <c r="H188" s="1">
        <v>-1.0825359999999999E-6</v>
      </c>
      <c r="I188">
        <v>367.57459999999998</v>
      </c>
      <c r="J188">
        <v>-461.37700000000001</v>
      </c>
      <c r="K188">
        <v>1.1095930000000001</v>
      </c>
      <c r="L188">
        <v>366.91030000000001</v>
      </c>
      <c r="M188">
        <v>0.99993449999999995</v>
      </c>
      <c r="N188">
        <v>-3.0837709999999999E-3</v>
      </c>
      <c r="O188">
        <v>-1.102655E-2</v>
      </c>
      <c r="P188">
        <v>0.96040309999999995</v>
      </c>
      <c r="Q188">
        <v>0.26698349999999998</v>
      </c>
      <c r="R188">
        <v>7.9661120000000002E-2</v>
      </c>
      <c r="S188">
        <v>3.185791</v>
      </c>
      <c r="T188">
        <v>-0.27289930000000001</v>
      </c>
      <c r="U188">
        <v>0.16308590000000001</v>
      </c>
      <c r="V188">
        <v>-9.0471659999999995E-2</v>
      </c>
      <c r="W188">
        <v>0.26986599999999999</v>
      </c>
      <c r="X188">
        <v>0.95863830000000005</v>
      </c>
      <c r="Y188">
        <v>-6.1862189999999997E-2</v>
      </c>
      <c r="Z188">
        <v>3.6470059999999999E-3</v>
      </c>
      <c r="AA188">
        <v>0.99807800000000002</v>
      </c>
      <c r="AB188">
        <v>22</v>
      </c>
      <c r="AC188">
        <v>12.822399999999901</v>
      </c>
      <c r="AD188">
        <v>-1.109594082536</v>
      </c>
      <c r="AE188">
        <v>0.66429999999996803</v>
      </c>
      <c r="AF188">
        <v>-0.79967485058273202</v>
      </c>
      <c r="AG188">
        <v>-1.109594082536</v>
      </c>
      <c r="AH188">
        <v>12.719303098489601</v>
      </c>
      <c r="AI188">
        <v>94.975915898252595</v>
      </c>
      <c r="AJ188">
        <v>93.597505868758901</v>
      </c>
      <c r="AK188">
        <v>12.7926287449414</v>
      </c>
      <c r="AL188">
        <v>74.3437081315504</v>
      </c>
      <c r="AM188">
        <v>95.391330942566498</v>
      </c>
      <c r="AN188">
        <v>1.0000000847230099</v>
      </c>
    </row>
    <row r="189" spans="1:40" x14ac:dyDescent="0.25">
      <c r="A189" t="str">
        <f>"20190304164339676"</f>
        <v>20190304164339676</v>
      </c>
      <c r="B189" t="str">
        <f>"1551689019670674"</f>
        <v>1551689019670674</v>
      </c>
      <c r="C189" t="s">
        <v>40</v>
      </c>
      <c r="D189">
        <v>5.175478</v>
      </c>
      <c r="E189">
        <v>0.52382450000000003</v>
      </c>
      <c r="F189" t="s">
        <v>42</v>
      </c>
      <c r="G189">
        <v>-448.51740000000001</v>
      </c>
      <c r="H189" s="1">
        <v>-1.0997020000000001E-6</v>
      </c>
      <c r="I189">
        <v>367.56380000000001</v>
      </c>
      <c r="J189">
        <v>-461.24220000000003</v>
      </c>
      <c r="K189">
        <v>1.1095950000000001</v>
      </c>
      <c r="L189">
        <v>366.90929999999997</v>
      </c>
      <c r="M189">
        <v>0.99993849999999995</v>
      </c>
      <c r="N189">
        <v>-3.1027490000000001E-3</v>
      </c>
      <c r="O189">
        <v>-1.0644499999999999E-2</v>
      </c>
      <c r="P189">
        <v>0.96025039999999995</v>
      </c>
      <c r="Q189">
        <v>0.26742569999999999</v>
      </c>
      <c r="R189">
        <v>8.001751E-2</v>
      </c>
      <c r="S189">
        <v>3.1867369999999999</v>
      </c>
      <c r="T189">
        <v>-0.27496670000000001</v>
      </c>
      <c r="U189">
        <v>0.1619263</v>
      </c>
      <c r="V189">
        <v>-9.0460929999999995E-2</v>
      </c>
      <c r="W189">
        <v>0.2703255</v>
      </c>
      <c r="X189">
        <v>0.95850970000000002</v>
      </c>
      <c r="Y189">
        <v>-6.1103709999999999E-2</v>
      </c>
      <c r="Z189">
        <v>3.6078909999999998E-3</v>
      </c>
      <c r="AA189">
        <v>0.99812489999999998</v>
      </c>
      <c r="AB189">
        <v>22</v>
      </c>
      <c r="AC189">
        <v>12.7248</v>
      </c>
      <c r="AD189">
        <v>-1.109596099702</v>
      </c>
      <c r="AE189">
        <v>0.65450000000004105</v>
      </c>
      <c r="AF189">
        <v>-0.78396734528050604</v>
      </c>
      <c r="AG189">
        <v>-1.109596099702</v>
      </c>
      <c r="AH189">
        <v>12.621395489283501</v>
      </c>
      <c r="AI189">
        <v>95.014563495918196</v>
      </c>
      <c r="AJ189">
        <v>93.554312711219694</v>
      </c>
      <c r="AK189">
        <v>12.694307086243199</v>
      </c>
      <c r="AL189">
        <v>74.316362292338795</v>
      </c>
      <c r="AM189">
        <v>95.391414283902193</v>
      </c>
      <c r="AN189">
        <v>0.99999995040040102</v>
      </c>
    </row>
    <row r="190" spans="1:40" x14ac:dyDescent="0.25">
      <c r="A190" t="str">
        <f>"20190304164339693"</f>
        <v>20190304164339693</v>
      </c>
      <c r="B190" t="str">
        <f>"1551689019680434"</f>
        <v>1551689019680434</v>
      </c>
      <c r="C190" t="s">
        <v>40</v>
      </c>
      <c r="D190">
        <v>5.1628819999999997</v>
      </c>
      <c r="E190">
        <v>0.52402219999999999</v>
      </c>
      <c r="F190" t="s">
        <v>42</v>
      </c>
      <c r="G190">
        <v>-448.4015</v>
      </c>
      <c r="H190" s="1">
        <v>-1.144945E-6</v>
      </c>
      <c r="I190">
        <v>367.56099999999998</v>
      </c>
      <c r="J190">
        <v>-461.0752</v>
      </c>
      <c r="K190">
        <v>1.1095969999999999</v>
      </c>
      <c r="L190">
        <v>366.90800000000002</v>
      </c>
      <c r="M190">
        <v>0.99994329999999998</v>
      </c>
      <c r="N190">
        <v>-3.1263049999999998E-3</v>
      </c>
      <c r="O190">
        <v>-1.017389E-2</v>
      </c>
      <c r="P190">
        <v>0.96024469999999995</v>
      </c>
      <c r="Q190">
        <v>0.26725729999999998</v>
      </c>
      <c r="R190">
        <v>8.0646490000000001E-2</v>
      </c>
      <c r="S190">
        <v>3.187408</v>
      </c>
      <c r="T190">
        <v>-0.27543089999999998</v>
      </c>
      <c r="U190">
        <v>0.16177369999999999</v>
      </c>
      <c r="V190">
        <v>-9.0639399999999995E-2</v>
      </c>
      <c r="W190">
        <v>0.270179</v>
      </c>
      <c r="X190">
        <v>0.9585342</v>
      </c>
      <c r="Y190">
        <v>-6.0578449999999999E-2</v>
      </c>
      <c r="Z190">
        <v>3.5510250000000002E-3</v>
      </c>
      <c r="AA190">
        <v>0.99815710000000002</v>
      </c>
      <c r="AB190">
        <v>22</v>
      </c>
      <c r="AC190">
        <v>12.673699999999901</v>
      </c>
      <c r="AD190">
        <v>-1.1095981449450001</v>
      </c>
      <c r="AE190">
        <v>0.65299999999996305</v>
      </c>
      <c r="AF190">
        <v>-0.77597539741265098</v>
      </c>
      <c r="AG190">
        <v>-1.1095981449450001</v>
      </c>
      <c r="AH190">
        <v>12.570301474412499</v>
      </c>
      <c r="AI190">
        <v>95.034969110401406</v>
      </c>
      <c r="AJ190">
        <v>93.532434719536795</v>
      </c>
      <c r="AK190">
        <v>12.6430148706023</v>
      </c>
      <c r="AL190">
        <v>74.3250813754033</v>
      </c>
      <c r="AM190">
        <v>95.401850864797595</v>
      </c>
      <c r="AN190">
        <v>1.0000000027214999</v>
      </c>
    </row>
    <row r="191" spans="1:40" x14ac:dyDescent="0.25">
      <c r="A191" t="str">
        <f>"20190304164339717"</f>
        <v>20190304164339717</v>
      </c>
      <c r="B191" t="str">
        <f>"1551689019710691"</f>
        <v>1551689019710691</v>
      </c>
      <c r="C191" t="s">
        <v>40</v>
      </c>
      <c r="D191">
        <v>5.1602709999999998</v>
      </c>
      <c r="E191">
        <v>0.52418799999999999</v>
      </c>
      <c r="F191" t="s">
        <v>42</v>
      </c>
      <c r="G191">
        <v>-448.30829999999997</v>
      </c>
      <c r="H191" s="1">
        <v>-1.1827520000000001E-6</v>
      </c>
      <c r="I191">
        <v>367.55349999999999</v>
      </c>
      <c r="J191">
        <v>-460.84859999999998</v>
      </c>
      <c r="K191">
        <v>1.1095980000000001</v>
      </c>
      <c r="L191">
        <v>366.90640000000002</v>
      </c>
      <c r="M191">
        <v>0.99994959999999999</v>
      </c>
      <c r="N191">
        <v>-3.1583230000000002E-3</v>
      </c>
      <c r="O191">
        <v>-9.5419930000000003E-3</v>
      </c>
      <c r="P191">
        <v>0.96029330000000002</v>
      </c>
      <c r="Q191">
        <v>0.26707649999999999</v>
      </c>
      <c r="R191">
        <v>8.0667779999999994E-2</v>
      </c>
      <c r="S191">
        <v>3.1878359999999999</v>
      </c>
      <c r="T191">
        <v>-0.2770611</v>
      </c>
      <c r="U191">
        <v>0.16116329999999901</v>
      </c>
      <c r="V191">
        <v>-9.0055969999999999E-2</v>
      </c>
      <c r="W191">
        <v>0.27002930000000003</v>
      </c>
      <c r="X191">
        <v>0.95863129999999996</v>
      </c>
      <c r="Y191">
        <v>-5.9752569999999998E-2</v>
      </c>
      <c r="Z191">
        <v>3.4818879999999998E-3</v>
      </c>
      <c r="AA191">
        <v>0.99820719999999996</v>
      </c>
      <c r="AB191">
        <v>22</v>
      </c>
      <c r="AC191">
        <v>12.5403</v>
      </c>
      <c r="AD191">
        <v>-1.10959918275199</v>
      </c>
      <c r="AE191">
        <v>0.64709999999996604</v>
      </c>
      <c r="AF191">
        <v>-0.76079003219670904</v>
      </c>
      <c r="AG191">
        <v>-1.10959918275199</v>
      </c>
      <c r="AH191">
        <v>12.436445805755399</v>
      </c>
      <c r="AI191">
        <v>95.0890555664608</v>
      </c>
      <c r="AJ191">
        <v>93.500662881439496</v>
      </c>
      <c r="AK191">
        <v>12.5090046006445</v>
      </c>
      <c r="AL191">
        <v>74.333988576067199</v>
      </c>
      <c r="AM191">
        <v>95.366743326145198</v>
      </c>
      <c r="AN191">
        <v>0.99999993496540796</v>
      </c>
    </row>
    <row r="192" spans="1:40" x14ac:dyDescent="0.25">
      <c r="A192" t="str">
        <f>"20190304164339730"</f>
        <v>20190304164339730</v>
      </c>
      <c r="B192" t="str">
        <f>"1551689019720451"</f>
        <v>1551689019720451</v>
      </c>
      <c r="C192" t="s">
        <v>40</v>
      </c>
      <c r="D192">
        <v>5.167853</v>
      </c>
      <c r="E192">
        <v>0.52423569999999997</v>
      </c>
      <c r="F192" t="s">
        <v>42</v>
      </c>
      <c r="G192">
        <v>-448.1859</v>
      </c>
      <c r="H192" s="1">
        <v>-1.2318899999999999E-6</v>
      </c>
      <c r="I192">
        <v>367.5453</v>
      </c>
      <c r="J192">
        <v>-460.70769999999999</v>
      </c>
      <c r="K192">
        <v>1.1096029999999999</v>
      </c>
      <c r="L192">
        <v>366.90550000000002</v>
      </c>
      <c r="M192">
        <v>0.99995319999999999</v>
      </c>
      <c r="N192">
        <v>-3.1780839999999999E-3</v>
      </c>
      <c r="O192">
        <v>-9.1535130000000003E-3</v>
      </c>
      <c r="P192">
        <v>0.96023510000000001</v>
      </c>
      <c r="Q192">
        <v>0.26727250000000002</v>
      </c>
      <c r="R192">
        <v>8.0709680000000006E-2</v>
      </c>
      <c r="S192">
        <v>3.188202</v>
      </c>
      <c r="T192">
        <v>-0.27937509999999999</v>
      </c>
      <c r="U192">
        <v>0.16085820000000001</v>
      </c>
      <c r="V192">
        <v>-8.9724419999999999E-2</v>
      </c>
      <c r="W192">
        <v>0.2702447</v>
      </c>
      <c r="X192">
        <v>0.95860179999999995</v>
      </c>
      <c r="Y192">
        <v>-5.9262620000000002E-2</v>
      </c>
      <c r="Z192">
        <v>3.455423E-3</v>
      </c>
      <c r="AA192">
        <v>0.99823640000000002</v>
      </c>
      <c r="AB192">
        <v>22</v>
      </c>
      <c r="AC192">
        <v>12.521799999999899</v>
      </c>
      <c r="AD192">
        <v>-1.1096042318899999</v>
      </c>
      <c r="AE192">
        <v>0.63979999999997905</v>
      </c>
      <c r="AF192">
        <v>-0.74852976341336497</v>
      </c>
      <c r="AG192">
        <v>-1.1096042318899999</v>
      </c>
      <c r="AH192">
        <v>12.418160444953401</v>
      </c>
      <c r="AI192">
        <v>95.0968078855377</v>
      </c>
      <c r="AJ192">
        <v>93.449445508678394</v>
      </c>
      <c r="AK192">
        <v>12.490085155624399</v>
      </c>
      <c r="AL192">
        <v>74.321172205261206</v>
      </c>
      <c r="AM192">
        <v>95.347263457351602</v>
      </c>
      <c r="AN192">
        <v>1.00000004019283</v>
      </c>
    </row>
    <row r="193" spans="1:40" x14ac:dyDescent="0.25">
      <c r="A193" t="str">
        <f>"20190304164339750"</f>
        <v>20190304164339750</v>
      </c>
      <c r="B193" t="str">
        <f>"1551689019739971"</f>
        <v>1551689019739971</v>
      </c>
      <c r="C193" t="s">
        <v>40</v>
      </c>
      <c r="D193">
        <v>5.175529</v>
      </c>
      <c r="E193">
        <v>0.52436549999999904</v>
      </c>
      <c r="F193" t="s">
        <v>42</v>
      </c>
      <c r="G193">
        <v>-448.10219999999998</v>
      </c>
      <c r="H193" s="1">
        <v>-1.2650299999999999E-6</v>
      </c>
      <c r="I193">
        <v>367.54160000000002</v>
      </c>
      <c r="J193">
        <v>-460.50740000000002</v>
      </c>
      <c r="K193">
        <v>1.109605</v>
      </c>
      <c r="L193">
        <v>366.9042</v>
      </c>
      <c r="M193">
        <v>0.99995780000000001</v>
      </c>
      <c r="N193">
        <v>-3.2063769999999998E-3</v>
      </c>
      <c r="O193">
        <v>-8.6066159999999992E-3</v>
      </c>
      <c r="P193">
        <v>0.96015280000000003</v>
      </c>
      <c r="Q193">
        <v>0.26754090000000003</v>
      </c>
      <c r="R193">
        <v>8.079915E-2</v>
      </c>
      <c r="S193">
        <v>3.188812</v>
      </c>
      <c r="T193">
        <v>-0.28069690000000003</v>
      </c>
      <c r="U193">
        <v>0.16091920000000001</v>
      </c>
      <c r="V193">
        <v>-8.9288389999999995E-2</v>
      </c>
      <c r="W193">
        <v>0.27054080000000003</v>
      </c>
      <c r="X193">
        <v>0.95855900000000005</v>
      </c>
      <c r="Y193">
        <v>-5.872774E-2</v>
      </c>
      <c r="Z193">
        <v>3.4007220000000001E-3</v>
      </c>
      <c r="AA193">
        <v>0.99826820000000005</v>
      </c>
      <c r="AB193">
        <v>22</v>
      </c>
      <c r="AC193">
        <v>12.405200000000001</v>
      </c>
      <c r="AD193">
        <v>-1.10960626502999</v>
      </c>
      <c r="AE193">
        <v>0.63740000000001296</v>
      </c>
      <c r="AF193">
        <v>-0.73825271923332103</v>
      </c>
      <c r="AG193">
        <v>-1.10960626502999</v>
      </c>
      <c r="AH193">
        <v>12.3010959044699</v>
      </c>
      <c r="AI193">
        <v>95.145142701943598</v>
      </c>
      <c r="AJ193">
        <v>93.434498079265495</v>
      </c>
      <c r="AK193">
        <v>12.373083835156701</v>
      </c>
      <c r="AL193">
        <v>74.303550657683303</v>
      </c>
      <c r="AM193">
        <v>95.321663364840305</v>
      </c>
      <c r="AN193">
        <v>1.00000004876721</v>
      </c>
    </row>
    <row r="194" spans="1:40" x14ac:dyDescent="0.25">
      <c r="A194" t="str">
        <f>"20190304164339765"</f>
        <v>20190304164339765</v>
      </c>
      <c r="B194" t="str">
        <f>"1551689019750707"</f>
        <v>1551689019750707</v>
      </c>
      <c r="C194" t="s">
        <v>40</v>
      </c>
      <c r="D194">
        <v>5.1621629999999996</v>
      </c>
      <c r="E194">
        <v>0.52438240000000003</v>
      </c>
      <c r="F194" t="s">
        <v>42</v>
      </c>
      <c r="G194">
        <v>-447.93380000000002</v>
      </c>
      <c r="H194" s="1">
        <v>-1.330515E-6</v>
      </c>
      <c r="I194">
        <v>367.5385</v>
      </c>
      <c r="J194">
        <v>-460.36520000000002</v>
      </c>
      <c r="K194">
        <v>1.1096060000000001</v>
      </c>
      <c r="L194">
        <v>366.90339999999998</v>
      </c>
      <c r="M194">
        <v>0.99996110000000005</v>
      </c>
      <c r="N194">
        <v>-3.2265470000000002E-3</v>
      </c>
      <c r="O194">
        <v>-8.2245789999999992E-3</v>
      </c>
      <c r="P194">
        <v>0.96012900000000001</v>
      </c>
      <c r="Q194">
        <v>0.26757199999999998</v>
      </c>
      <c r="R194">
        <v>8.0979560000000006E-2</v>
      </c>
      <c r="S194">
        <v>3.189362</v>
      </c>
      <c r="T194">
        <v>-0.28145829999999999</v>
      </c>
      <c r="U194">
        <v>0.1608887</v>
      </c>
      <c r="V194">
        <v>-8.9101059999999996E-2</v>
      </c>
      <c r="W194">
        <v>0.27059129999999998</v>
      </c>
      <c r="X194">
        <v>0.95856209999999997</v>
      </c>
      <c r="Y194">
        <v>-5.8329770000000003E-2</v>
      </c>
      <c r="Z194">
        <v>3.359019E-3</v>
      </c>
      <c r="AA194">
        <v>0.9982917</v>
      </c>
      <c r="AB194">
        <v>22</v>
      </c>
      <c r="AC194">
        <v>12.431399999999901</v>
      </c>
      <c r="AD194">
        <v>-1.1096073305149901</v>
      </c>
      <c r="AE194">
        <v>0.63510000000002198</v>
      </c>
      <c r="AF194">
        <v>-0.73150925686341695</v>
      </c>
      <c r="AG194">
        <v>-1.1096073305149901</v>
      </c>
      <c r="AH194">
        <v>12.327795368110101</v>
      </c>
      <c r="AI194">
        <v>95.134269487230497</v>
      </c>
      <c r="AJ194">
        <v>93.395846865542794</v>
      </c>
      <c r="AK194">
        <v>12.39922872032</v>
      </c>
      <c r="AL194">
        <v>74.300543931312305</v>
      </c>
      <c r="AM194">
        <v>95.310545163956206</v>
      </c>
      <c r="AN194">
        <v>0.99999997504261096</v>
      </c>
    </row>
    <row r="195" spans="1:40" x14ac:dyDescent="0.25">
      <c r="A195" t="str">
        <f>"20190304164339785"</f>
        <v>20190304164339785</v>
      </c>
      <c r="B195" t="str">
        <f>"1551689019779987"</f>
        <v>1551689019779987</v>
      </c>
      <c r="C195" t="s">
        <v>40</v>
      </c>
      <c r="D195">
        <v>5.1769879999999997</v>
      </c>
      <c r="E195">
        <v>0.5244799</v>
      </c>
      <c r="F195" t="s">
        <v>42</v>
      </c>
      <c r="G195">
        <v>-447.81229999999999</v>
      </c>
      <c r="H195" s="1">
        <v>-1.38301E-6</v>
      </c>
      <c r="I195">
        <v>367.53949999999998</v>
      </c>
      <c r="J195">
        <v>-460.15620000000001</v>
      </c>
      <c r="K195">
        <v>1.1096010000000001</v>
      </c>
      <c r="L195">
        <v>366.90230000000003</v>
      </c>
      <c r="M195">
        <v>0.9999654</v>
      </c>
      <c r="N195">
        <v>-3.2562060000000002E-3</v>
      </c>
      <c r="O195">
        <v>-7.6724480000000001E-3</v>
      </c>
      <c r="P195">
        <v>0.96011820000000003</v>
      </c>
      <c r="Q195">
        <v>0.26762269999999999</v>
      </c>
      <c r="R195">
        <v>8.0941269999999996E-2</v>
      </c>
      <c r="S195">
        <v>3.189514</v>
      </c>
      <c r="T195">
        <v>-0.28193590000000002</v>
      </c>
      <c r="U195">
        <v>0.16162109999999999</v>
      </c>
      <c r="V195">
        <v>-8.8530789999999998E-2</v>
      </c>
      <c r="W195">
        <v>0.27067210000000003</v>
      </c>
      <c r="X195">
        <v>0.95859220000000001</v>
      </c>
      <c r="Y195">
        <v>-5.8007209999999997E-2</v>
      </c>
      <c r="Z195">
        <v>3.303397E-3</v>
      </c>
      <c r="AA195">
        <v>0.9983107</v>
      </c>
      <c r="AB195">
        <v>23</v>
      </c>
      <c r="AC195">
        <v>12.3439</v>
      </c>
      <c r="AD195">
        <v>-1.1096023830099999</v>
      </c>
      <c r="AE195">
        <v>0.63719999999995003</v>
      </c>
      <c r="AF195">
        <v>-0.72603861267355196</v>
      </c>
      <c r="AG195">
        <v>-1.1096023830099999</v>
      </c>
      <c r="AH195">
        <v>12.240007111948501</v>
      </c>
      <c r="AI195">
        <v>95.170878335371398</v>
      </c>
      <c r="AJ195">
        <v>93.394627320009505</v>
      </c>
      <c r="AK195">
        <v>12.311625547263301</v>
      </c>
      <c r="AL195">
        <v>74.295736122539594</v>
      </c>
      <c r="AM195">
        <v>95.276584013024902</v>
      </c>
      <c r="AN195">
        <v>1.00000004619863</v>
      </c>
    </row>
    <row r="196" spans="1:40" x14ac:dyDescent="0.25">
      <c r="A196" t="str">
        <f>"20190304164339807"</f>
        <v>20190304164339807</v>
      </c>
      <c r="B196" t="str">
        <f>"1551689019800483"</f>
        <v>1551689019800483</v>
      </c>
      <c r="C196" t="s">
        <v>40</v>
      </c>
      <c r="D196">
        <v>5.1773809999999996</v>
      </c>
      <c r="E196">
        <v>0.52446139999999997</v>
      </c>
      <c r="F196" t="s">
        <v>42</v>
      </c>
      <c r="G196">
        <v>-447.69060000000002</v>
      </c>
      <c r="H196" s="1">
        <v>-1.4426200000000001E-6</v>
      </c>
      <c r="I196">
        <v>367.52780000000001</v>
      </c>
      <c r="J196">
        <v>-459.92919999999998</v>
      </c>
      <c r="K196">
        <v>1.1095950000000001</v>
      </c>
      <c r="L196">
        <v>366.90120000000002</v>
      </c>
      <c r="M196">
        <v>0.99996949999999996</v>
      </c>
      <c r="N196">
        <v>-3.2884820000000001E-3</v>
      </c>
      <c r="O196">
        <v>-7.0874249999999996E-3</v>
      </c>
      <c r="P196">
        <v>0.9598913</v>
      </c>
      <c r="Q196">
        <v>0.26826299999999997</v>
      </c>
      <c r="R196">
        <v>8.150955E-2</v>
      </c>
      <c r="S196">
        <v>3.1902469999999998</v>
      </c>
      <c r="T196">
        <v>-0.28397260000000002</v>
      </c>
      <c r="U196">
        <v>0.16009519999999999</v>
      </c>
      <c r="V196">
        <v>-8.8533509999999996E-2</v>
      </c>
      <c r="W196">
        <v>0.27134360000000002</v>
      </c>
      <c r="X196">
        <v>0.95840199999999998</v>
      </c>
      <c r="Y196">
        <v>-5.6938089999999997E-2</v>
      </c>
      <c r="Z196">
        <v>3.2274069999999998E-3</v>
      </c>
      <c r="AA196">
        <v>0.9983725</v>
      </c>
      <c r="AB196">
        <v>23</v>
      </c>
      <c r="AC196">
        <v>12.2385999999999</v>
      </c>
      <c r="AD196">
        <v>-1.10959644262</v>
      </c>
      <c r="AE196">
        <v>0.62659999999999605</v>
      </c>
      <c r="AF196">
        <v>-0.70752431335200505</v>
      </c>
      <c r="AG196">
        <v>-1.10959644262</v>
      </c>
      <c r="AH196">
        <v>12.134369057957599</v>
      </c>
      <c r="AI196">
        <v>95.215926278888404</v>
      </c>
      <c r="AJ196">
        <v>93.3369934883913</v>
      </c>
      <c r="AK196">
        <v>12.205519544623201</v>
      </c>
      <c r="AL196">
        <v>74.255764869460293</v>
      </c>
      <c r="AM196">
        <v>95.2777864996566</v>
      </c>
      <c r="AN196">
        <v>0.99999996262893898</v>
      </c>
    </row>
    <row r="197" spans="1:40" x14ac:dyDescent="0.25">
      <c r="A197" t="str">
        <f>"20190304164339830"</f>
        <v>20190304164339830</v>
      </c>
      <c r="B197" t="str">
        <f>"1551689019820002"</f>
        <v>1551689019820002</v>
      </c>
      <c r="C197" t="s">
        <v>40</v>
      </c>
      <c r="D197">
        <v>5.2018139999999997</v>
      </c>
      <c r="E197">
        <v>0.52451630000000005</v>
      </c>
      <c r="F197" t="s">
        <v>42</v>
      </c>
      <c r="G197">
        <v>-447.36720000000003</v>
      </c>
      <c r="H197" s="1">
        <v>-1.5937909999999899E-6</v>
      </c>
      <c r="I197">
        <v>367.53750000000002</v>
      </c>
      <c r="J197">
        <v>-459.69229999999999</v>
      </c>
      <c r="K197">
        <v>1.1095870000000001</v>
      </c>
      <c r="L197">
        <v>366.90010000000001</v>
      </c>
      <c r="M197">
        <v>0.99997349999999996</v>
      </c>
      <c r="N197">
        <v>-3.3222310000000001E-3</v>
      </c>
      <c r="O197">
        <v>-6.4969299999999997E-3</v>
      </c>
      <c r="P197">
        <v>0.95976640000000002</v>
      </c>
      <c r="Q197">
        <v>0.26863819999999999</v>
      </c>
      <c r="R197">
        <v>8.1745419999999999E-2</v>
      </c>
      <c r="S197">
        <v>3.1903990000000002</v>
      </c>
      <c r="T197">
        <v>-0.28180559999999899</v>
      </c>
      <c r="U197">
        <v>0.1615906</v>
      </c>
      <c r="V197">
        <v>-8.8196620000000003E-2</v>
      </c>
      <c r="W197">
        <v>0.27175339999999998</v>
      </c>
      <c r="X197">
        <v>0.95831699999999997</v>
      </c>
      <c r="Y197">
        <v>-5.6819359999999999E-2</v>
      </c>
      <c r="Z197">
        <v>3.1484500000000001E-3</v>
      </c>
      <c r="AA197">
        <v>0.99837949999999998</v>
      </c>
      <c r="AB197">
        <v>23</v>
      </c>
      <c r="AC197">
        <v>12.3250999999999</v>
      </c>
      <c r="AD197">
        <v>-1.1095885937909999</v>
      </c>
      <c r="AE197">
        <v>0.63740000000001296</v>
      </c>
      <c r="AF197">
        <v>-0.71170940488872203</v>
      </c>
      <c r="AG197">
        <v>-1.1095885937909999</v>
      </c>
      <c r="AH197">
        <v>12.221906644104999</v>
      </c>
      <c r="AI197">
        <v>95.178757907145396</v>
      </c>
      <c r="AJ197">
        <v>93.332699818537293</v>
      </c>
      <c r="AK197">
        <v>12.292791348660201</v>
      </c>
      <c r="AL197">
        <v>74.231369173261598</v>
      </c>
      <c r="AM197">
        <v>95.258279840101906</v>
      </c>
      <c r="AN197">
        <v>1.00000001333999</v>
      </c>
    </row>
    <row r="198" spans="1:40" x14ac:dyDescent="0.25">
      <c r="A198" t="str">
        <f>"20190304164339852"</f>
        <v>20190304164339852</v>
      </c>
      <c r="B198" t="str">
        <f>"1551689019840499"</f>
        <v>1551689019840499</v>
      </c>
      <c r="C198" t="s">
        <v>40</v>
      </c>
      <c r="D198">
        <v>5.209956</v>
      </c>
      <c r="E198">
        <v>0.52451759999999903</v>
      </c>
      <c r="F198" t="s">
        <v>42</v>
      </c>
      <c r="G198">
        <v>-447.13760000000002</v>
      </c>
      <c r="H198" s="1">
        <v>-1.7020749999999999E-6</v>
      </c>
      <c r="I198">
        <v>367.53870000000001</v>
      </c>
      <c r="J198">
        <v>-459.46839999999997</v>
      </c>
      <c r="K198">
        <v>1.109583</v>
      </c>
      <c r="L198">
        <v>366.89929999999998</v>
      </c>
      <c r="M198">
        <v>0.99997670000000005</v>
      </c>
      <c r="N198">
        <v>-3.3543969999999998E-3</v>
      </c>
      <c r="O198">
        <v>-5.9622329999999999E-3</v>
      </c>
      <c r="P198">
        <v>0.95963100000000001</v>
      </c>
      <c r="Q198">
        <v>0.26886120000000002</v>
      </c>
      <c r="R198">
        <v>8.2596899999999904E-2</v>
      </c>
      <c r="S198">
        <v>3.190887</v>
      </c>
      <c r="T198">
        <v>-0.28201159999999997</v>
      </c>
      <c r="U198">
        <v>0.16229250000000001</v>
      </c>
      <c r="V198">
        <v>-8.8527690000000006E-2</v>
      </c>
      <c r="W198">
        <v>0.27200849999999999</v>
      </c>
      <c r="X198">
        <v>0.95821409999999996</v>
      </c>
      <c r="Y198">
        <v>-5.6499720000000003E-2</v>
      </c>
      <c r="Z198">
        <v>3.090939E-3</v>
      </c>
      <c r="AA198">
        <v>0.9983978</v>
      </c>
      <c r="AB198">
        <v>23</v>
      </c>
      <c r="AC198">
        <v>12.330799999999901</v>
      </c>
      <c r="AD198">
        <v>-1.109584702075</v>
      </c>
      <c r="AE198">
        <v>0.63940000000002295</v>
      </c>
      <c r="AF198">
        <v>-0.70719713641126203</v>
      </c>
      <c r="AG198">
        <v>-1.109584702075</v>
      </c>
      <c r="AH198">
        <v>12.2280205335283</v>
      </c>
      <c r="AI198">
        <v>95.176283137805896</v>
      </c>
      <c r="AJ198">
        <v>93.309965439506001</v>
      </c>
      <c r="AK198">
        <v>12.29860935916</v>
      </c>
      <c r="AL198">
        <v>74.216180977920203</v>
      </c>
      <c r="AM198">
        <v>95.278470537938304</v>
      </c>
      <c r="AN198">
        <v>1.00000001870389</v>
      </c>
    </row>
    <row r="199" spans="1:40" x14ac:dyDescent="0.25">
      <c r="A199" t="str">
        <f>"20190304164339872"</f>
        <v>20190304164339872</v>
      </c>
      <c r="B199" t="str">
        <f>"1551689019860019"</f>
        <v>1551689019860019</v>
      </c>
      <c r="C199" t="s">
        <v>40</v>
      </c>
      <c r="D199">
        <v>5.209104</v>
      </c>
      <c r="E199">
        <v>0.52454269999999903</v>
      </c>
      <c r="F199" t="s">
        <v>42</v>
      </c>
      <c r="G199">
        <v>-446.93009999999998</v>
      </c>
      <c r="H199" s="1">
        <v>-1.7980570000000001E-6</v>
      </c>
      <c r="I199">
        <v>367.55079999999998</v>
      </c>
      <c r="J199">
        <v>-459.25630000000001</v>
      </c>
      <c r="K199">
        <v>1.1095710000000001</v>
      </c>
      <c r="L199">
        <v>366.89859999999999</v>
      </c>
      <c r="M199">
        <v>0.99997930000000002</v>
      </c>
      <c r="N199">
        <v>-3.3848569999999998E-3</v>
      </c>
      <c r="O199">
        <v>-5.481545E-3</v>
      </c>
      <c r="P199">
        <v>0.95955650000000003</v>
      </c>
      <c r="Q199">
        <v>0.26885330000000002</v>
      </c>
      <c r="R199">
        <v>8.3483520000000006E-2</v>
      </c>
      <c r="S199">
        <v>3.1910400000000001</v>
      </c>
      <c r="T199">
        <v>-0.28239140000000001</v>
      </c>
      <c r="U199">
        <v>0.165802</v>
      </c>
      <c r="V199">
        <v>-8.8944200000000001E-2</v>
      </c>
      <c r="W199">
        <v>0.27203240000000001</v>
      </c>
      <c r="X199">
        <v>0.95816869999999998</v>
      </c>
      <c r="Y199">
        <v>-5.7111090000000003E-2</v>
      </c>
      <c r="Z199">
        <v>3.0826529999999999E-3</v>
      </c>
      <c r="AA199">
        <v>0.99836309999999995</v>
      </c>
      <c r="AB199">
        <v>23</v>
      </c>
      <c r="AC199">
        <v>12.3262</v>
      </c>
      <c r="AD199">
        <v>-1.1095727980569901</v>
      </c>
      <c r="AE199">
        <v>0.65219999999999301</v>
      </c>
      <c r="AF199">
        <v>-0.71398781602993799</v>
      </c>
      <c r="AG199">
        <v>-1.1095727980569901</v>
      </c>
      <c r="AH199">
        <v>12.2236662166284</v>
      </c>
      <c r="AI199">
        <v>95.177889893266496</v>
      </c>
      <c r="AJ199">
        <v>93.3428645244515</v>
      </c>
      <c r="AK199">
        <v>12.2946714543809</v>
      </c>
      <c r="AL199">
        <v>74.214757281271801</v>
      </c>
      <c r="AM199">
        <v>95.303413556627106</v>
      </c>
      <c r="AN199">
        <v>0.99999997751154401</v>
      </c>
    </row>
    <row r="200" spans="1:40" x14ac:dyDescent="0.25">
      <c r="A200" t="str">
        <f>"20190304164339896"</f>
        <v>20190304164339896</v>
      </c>
      <c r="B200" t="str">
        <f>"1551689019890275"</f>
        <v>1551689019890275</v>
      </c>
      <c r="C200" t="s">
        <v>40</v>
      </c>
      <c r="D200">
        <v>5.2048110000000003</v>
      </c>
      <c r="E200">
        <v>0.52456829999999999</v>
      </c>
      <c r="F200" t="s">
        <v>42</v>
      </c>
      <c r="G200">
        <v>-446.78030000000001</v>
      </c>
      <c r="H200" s="1">
        <v>-1.867134E-6</v>
      </c>
      <c r="I200">
        <v>367.56029999999998</v>
      </c>
      <c r="J200">
        <v>-459.01519999999999</v>
      </c>
      <c r="K200">
        <v>1.1095549999999901</v>
      </c>
      <c r="L200">
        <v>366.89789999999999</v>
      </c>
      <c r="M200">
        <v>0.99998189999999998</v>
      </c>
      <c r="N200">
        <v>-3.4195940000000002E-3</v>
      </c>
      <c r="O200">
        <v>-4.9707240000000001E-3</v>
      </c>
      <c r="P200">
        <v>0.95935689999999996</v>
      </c>
      <c r="Q200">
        <v>0.26917229999999998</v>
      </c>
      <c r="R200">
        <v>8.4741499999999997E-2</v>
      </c>
      <c r="S200">
        <v>3.1912229999999999</v>
      </c>
      <c r="T200">
        <v>-0.28381689999999998</v>
      </c>
      <c r="U200">
        <v>0.1692505</v>
      </c>
      <c r="V200">
        <v>-8.9698730000000004E-2</v>
      </c>
      <c r="W200">
        <v>0.2723875</v>
      </c>
      <c r="X200">
        <v>0.95799749999999995</v>
      </c>
      <c r="Y200">
        <v>-5.7671050000000001E-2</v>
      </c>
      <c r="Z200">
        <v>3.080536E-3</v>
      </c>
      <c r="AA200">
        <v>0.99833090000000002</v>
      </c>
      <c r="AB200">
        <v>23</v>
      </c>
      <c r="AC200">
        <v>12.2348999999999</v>
      </c>
      <c r="AD200">
        <v>-1.1095568671339999</v>
      </c>
      <c r="AE200">
        <v>0.662399999999991</v>
      </c>
      <c r="AF200">
        <v>-0.71732622181229</v>
      </c>
      <c r="AG200">
        <v>-1.1095568671339999</v>
      </c>
      <c r="AH200">
        <v>12.1319710101394</v>
      </c>
      <c r="AI200">
        <v>95.216517779521794</v>
      </c>
      <c r="AJ200">
        <v>93.383784084109706</v>
      </c>
      <c r="AK200">
        <v>12.2037041073916</v>
      </c>
      <c r="AL200">
        <v>74.193613646115793</v>
      </c>
      <c r="AM200">
        <v>95.349093806688799</v>
      </c>
      <c r="AN200">
        <v>1.00000001116305</v>
      </c>
    </row>
    <row r="201" spans="1:40" x14ac:dyDescent="0.25">
      <c r="A201" t="str">
        <f>"20190304164339917"</f>
        <v>20190304164339917</v>
      </c>
      <c r="B201" t="str">
        <f>"1551689019910772"</f>
        <v>1551689019910772</v>
      </c>
      <c r="C201" t="s">
        <v>40</v>
      </c>
      <c r="D201">
        <v>5.2077410000000004</v>
      </c>
      <c r="E201">
        <v>0.52456809999999998</v>
      </c>
      <c r="F201" t="s">
        <v>42</v>
      </c>
      <c r="G201">
        <v>-446.61939999999998</v>
      </c>
      <c r="H201" s="1">
        <v>-1.9414580000000001E-6</v>
      </c>
      <c r="I201">
        <v>367.57010000000002</v>
      </c>
      <c r="J201">
        <v>-458.774</v>
      </c>
      <c r="K201">
        <v>1.1095410000000001</v>
      </c>
      <c r="L201">
        <v>366.8972</v>
      </c>
      <c r="M201">
        <v>0.99998399999999998</v>
      </c>
      <c r="N201">
        <v>-3.4544689999999999E-3</v>
      </c>
      <c r="O201">
        <v>-4.5002059999999997E-3</v>
      </c>
      <c r="P201">
        <v>0.95934750000000002</v>
      </c>
      <c r="Q201">
        <v>0.26899590000000001</v>
      </c>
      <c r="R201">
        <v>8.5403199999999999E-2</v>
      </c>
      <c r="S201">
        <v>3.1919559999999998</v>
      </c>
      <c r="T201">
        <v>-0.2857152</v>
      </c>
      <c r="U201">
        <v>0.17309569999999999</v>
      </c>
      <c r="V201">
        <v>-8.9894680000000005E-2</v>
      </c>
      <c r="W201">
        <v>0.27224949999999998</v>
      </c>
      <c r="X201">
        <v>0.95801840000000005</v>
      </c>
      <c r="Y201">
        <v>-5.8383879999999999E-2</v>
      </c>
      <c r="Z201">
        <v>3.0932379999999999E-3</v>
      </c>
      <c r="AA201">
        <v>0.99828939999999999</v>
      </c>
      <c r="AB201">
        <v>24</v>
      </c>
      <c r="AC201">
        <v>12.1546</v>
      </c>
      <c r="AD201">
        <v>-1.10954294145799</v>
      </c>
      <c r="AE201">
        <v>0.67290000000002603</v>
      </c>
      <c r="AF201">
        <v>-0.72159694126401197</v>
      </c>
      <c r="AG201">
        <v>-1.10954294145799</v>
      </c>
      <c r="AH201">
        <v>12.051330558768599</v>
      </c>
      <c r="AI201">
        <v>95.250931415063803</v>
      </c>
      <c r="AJ201">
        <v>93.426605468499304</v>
      </c>
      <c r="AK201">
        <v>12.123792967602601</v>
      </c>
      <c r="AL201">
        <v>74.201831638764702</v>
      </c>
      <c r="AM201">
        <v>95.360594819754098</v>
      </c>
      <c r="AN201">
        <v>1.0000000492405501</v>
      </c>
    </row>
    <row r="202" spans="1:40" x14ac:dyDescent="0.25">
      <c r="A202" t="str">
        <f>"20190304164339940"</f>
        <v>20190304164339940</v>
      </c>
      <c r="B202" t="str">
        <f>"1551689019930291"</f>
        <v>1551689019930291</v>
      </c>
      <c r="C202" t="s">
        <v>40</v>
      </c>
      <c r="D202">
        <v>5.2170769999999997</v>
      </c>
      <c r="E202">
        <v>0.52489730000000001</v>
      </c>
      <c r="F202" t="s">
        <v>42</v>
      </c>
      <c r="G202">
        <v>-446.46600000000001</v>
      </c>
      <c r="H202" s="1">
        <v>-2.0133470000000001E-6</v>
      </c>
      <c r="I202">
        <v>367.5736</v>
      </c>
      <c r="J202">
        <v>-458.53460000000001</v>
      </c>
      <c r="K202">
        <v>1.1095250000000001</v>
      </c>
      <c r="L202">
        <v>366.89659999999998</v>
      </c>
      <c r="M202">
        <v>0.99998580000000004</v>
      </c>
      <c r="N202">
        <v>-3.489233E-3</v>
      </c>
      <c r="O202">
        <v>-4.0642559999999996E-3</v>
      </c>
      <c r="P202">
        <v>0.95914270000000001</v>
      </c>
      <c r="Q202">
        <v>0.26963379999999998</v>
      </c>
      <c r="R202">
        <v>8.56928E-2</v>
      </c>
      <c r="S202">
        <v>3.1922000000000001</v>
      </c>
      <c r="T202">
        <v>-0.28777150000000001</v>
      </c>
      <c r="U202">
        <v>0.17544560000000001</v>
      </c>
      <c r="V202">
        <v>-8.9753050000000001E-2</v>
      </c>
      <c r="W202">
        <v>0.27292420000000001</v>
      </c>
      <c r="X202">
        <v>0.95783960000000001</v>
      </c>
      <c r="Y202">
        <v>-5.8673929999999999E-2</v>
      </c>
      <c r="Z202">
        <v>3.0912420000000001E-3</v>
      </c>
      <c r="AA202">
        <v>0.99827239999999995</v>
      </c>
      <c r="AB202">
        <v>24</v>
      </c>
      <c r="AC202">
        <v>12.0686</v>
      </c>
      <c r="AD202">
        <v>-1.1095270133470001</v>
      </c>
      <c r="AE202">
        <v>0.67700000000002003</v>
      </c>
      <c r="AF202">
        <v>-0.71997837668215403</v>
      </c>
      <c r="AG202">
        <v>-1.1095270133470001</v>
      </c>
      <c r="AH202">
        <v>11.9649378000168</v>
      </c>
      <c r="AI202">
        <v>95.288462587224501</v>
      </c>
      <c r="AJ202">
        <v>93.443564962935397</v>
      </c>
      <c r="AK202">
        <v>12.037821879995899</v>
      </c>
      <c r="AL202">
        <v>74.161651262961598</v>
      </c>
      <c r="AM202">
        <v>95.353191523157804</v>
      </c>
      <c r="AN202">
        <v>0.99999996412905001</v>
      </c>
    </row>
    <row r="203" spans="1:40" x14ac:dyDescent="0.25">
      <c r="A203" t="str">
        <f>"20190304164339962"</f>
        <v>20190304164339962</v>
      </c>
      <c r="B203" t="str">
        <f>"1551689019949814"</f>
        <v>1551689019949814</v>
      </c>
      <c r="C203" t="s">
        <v>40</v>
      </c>
      <c r="D203">
        <v>5.2561669999999996</v>
      </c>
      <c r="E203">
        <v>0.52552129999999997</v>
      </c>
      <c r="F203" t="s">
        <v>42</v>
      </c>
      <c r="G203">
        <v>-447.34350000000001</v>
      </c>
      <c r="H203" s="1">
        <v>-1.607775E-6</v>
      </c>
      <c r="I203">
        <v>367.52159999999998</v>
      </c>
      <c r="J203">
        <v>-458.30650000000003</v>
      </c>
      <c r="K203">
        <v>1.1095139999999999</v>
      </c>
      <c r="L203">
        <v>366.89609999999999</v>
      </c>
      <c r="M203">
        <v>0.99998710000000002</v>
      </c>
      <c r="N203">
        <v>-3.5226580000000001E-3</v>
      </c>
      <c r="O203">
        <v>-3.6778879999999998E-3</v>
      </c>
      <c r="P203">
        <v>0.95908369999999998</v>
      </c>
      <c r="Q203">
        <v>0.26996330000000002</v>
      </c>
      <c r="R203">
        <v>8.5313230000000004E-2</v>
      </c>
      <c r="S203">
        <v>3.20105</v>
      </c>
      <c r="T203">
        <v>-0.31736510000000001</v>
      </c>
      <c r="U203">
        <v>0.17877199999999999</v>
      </c>
      <c r="V203">
        <v>-8.8991669999999995E-2</v>
      </c>
      <c r="W203">
        <v>0.27328940000000002</v>
      </c>
      <c r="X203">
        <v>0.95780650000000001</v>
      </c>
      <c r="Y203">
        <v>-5.9116830000000002E-2</v>
      </c>
      <c r="Z203">
        <v>3.3761450000000001E-3</v>
      </c>
      <c r="AA203">
        <v>0.99824539999999995</v>
      </c>
      <c r="AB203">
        <v>24</v>
      </c>
      <c r="AC203">
        <v>10.962999999999999</v>
      </c>
      <c r="AD203">
        <v>-1.1095156077749999</v>
      </c>
      <c r="AE203">
        <v>0.62549999999998795</v>
      </c>
      <c r="AF203">
        <v>-0.65908786853439405</v>
      </c>
      <c r="AG203">
        <v>-1.1095156077749999</v>
      </c>
      <c r="AH203">
        <v>10.8498557433083</v>
      </c>
      <c r="AI203">
        <v>95.828150370334896</v>
      </c>
      <c r="AJ203">
        <v>93.4762311045952</v>
      </c>
      <c r="AK203">
        <v>10.926334762991001</v>
      </c>
      <c r="AL203">
        <v>74.139899748953198</v>
      </c>
      <c r="AM203">
        <v>95.308222985059203</v>
      </c>
      <c r="AN203">
        <v>0.99999995246199802</v>
      </c>
    </row>
    <row r="204" spans="1:40" x14ac:dyDescent="0.25">
      <c r="A204" t="str">
        <f>"20190304164339984"</f>
        <v>20190304164339984</v>
      </c>
      <c r="B204" t="str">
        <f>"1551689019970307"</f>
        <v>1551689019970307</v>
      </c>
      <c r="C204" t="s">
        <v>40</v>
      </c>
      <c r="D204">
        <v>5.2584650000000002</v>
      </c>
      <c r="E204">
        <v>0.52570340000000004</v>
      </c>
      <c r="F204" t="s">
        <v>42</v>
      </c>
      <c r="G204">
        <v>-446.96969999999999</v>
      </c>
      <c r="H204" s="1">
        <v>-1.786047E-6</v>
      </c>
      <c r="I204">
        <v>367.5129</v>
      </c>
      <c r="J204">
        <v>-458.0582</v>
      </c>
      <c r="K204">
        <v>1.109505</v>
      </c>
      <c r="L204">
        <v>366.8956</v>
      </c>
      <c r="M204">
        <v>0.99998830000000005</v>
      </c>
      <c r="N204">
        <v>-3.5590890000000001E-3</v>
      </c>
      <c r="O204">
        <v>-3.289738E-3</v>
      </c>
      <c r="P204">
        <v>0.95906429999999998</v>
      </c>
      <c r="Q204">
        <v>0.27021020000000001</v>
      </c>
      <c r="R204">
        <v>8.4748030000000002E-2</v>
      </c>
      <c r="S204">
        <v>3.2006839999999999</v>
      </c>
      <c r="T204">
        <v>-0.31324639999999998</v>
      </c>
      <c r="U204">
        <v>0.17413329999999999</v>
      </c>
      <c r="V204">
        <v>-8.8044250000000004E-2</v>
      </c>
      <c r="W204">
        <v>0.27357559999999997</v>
      </c>
      <c r="X204">
        <v>0.95781240000000001</v>
      </c>
      <c r="Y204">
        <v>-5.7311719999999997E-2</v>
      </c>
      <c r="Z204">
        <v>3.207381E-3</v>
      </c>
      <c r="AA204">
        <v>0.99835119999999999</v>
      </c>
      <c r="AB204">
        <v>24</v>
      </c>
      <c r="AC204">
        <v>11.0885</v>
      </c>
      <c r="AD204">
        <v>-1.109506786047</v>
      </c>
      <c r="AE204">
        <v>0.61729999999999996</v>
      </c>
      <c r="AF204">
        <v>-0.64731435789962199</v>
      </c>
      <c r="AG204">
        <v>-1.109506786047</v>
      </c>
      <c r="AH204">
        <v>10.9768501973035</v>
      </c>
      <c r="AI204">
        <v>95.761739441083293</v>
      </c>
      <c r="AJ204">
        <v>93.374873224067997</v>
      </c>
      <c r="AK204">
        <v>11.051753772151701</v>
      </c>
      <c r="AL204">
        <v>74.122852740944396</v>
      </c>
      <c r="AM204">
        <v>95.251996312871498</v>
      </c>
      <c r="AN204">
        <v>0.99999999623359104</v>
      </c>
    </row>
    <row r="205" spans="1:40" x14ac:dyDescent="0.25">
      <c r="A205" t="str">
        <f>"20190304164340007"</f>
        <v>20190304164340007</v>
      </c>
      <c r="B205" t="str">
        <f>"1551689020000563"</f>
        <v>1551689020000563</v>
      </c>
      <c r="C205" t="s">
        <v>40</v>
      </c>
      <c r="D205">
        <v>5.2799639999999997</v>
      </c>
      <c r="E205">
        <v>0.52580059999999995</v>
      </c>
      <c r="F205" t="s">
        <v>42</v>
      </c>
      <c r="G205">
        <v>-446.74290000000002</v>
      </c>
      <c r="H205" s="1">
        <v>-1.8954629999999999E-6</v>
      </c>
      <c r="I205">
        <v>367.50040000000001</v>
      </c>
      <c r="J205">
        <v>-457.81360000000001</v>
      </c>
      <c r="K205">
        <v>1.10948</v>
      </c>
      <c r="L205">
        <v>366.89519999999999</v>
      </c>
      <c r="M205">
        <v>0.99998940000000003</v>
      </c>
      <c r="N205">
        <v>-3.5950800000000001E-3</v>
      </c>
      <c r="O205">
        <v>-2.935198E-3</v>
      </c>
      <c r="P205">
        <v>0.95902379999999998</v>
      </c>
      <c r="Q205">
        <v>0.27046029999999999</v>
      </c>
      <c r="R205">
        <v>8.4408369999999996E-2</v>
      </c>
      <c r="S205">
        <v>3.2013240000000001</v>
      </c>
      <c r="T205">
        <v>-0.31390210000000002</v>
      </c>
      <c r="U205">
        <v>0.17111209999999999</v>
      </c>
      <c r="V205">
        <v>-8.7355370000000002E-2</v>
      </c>
      <c r="W205">
        <v>0.27386310000000003</v>
      </c>
      <c r="X205">
        <v>0.95779329999999996</v>
      </c>
      <c r="Y205">
        <v>-5.6014210000000002E-2</v>
      </c>
      <c r="Z205">
        <v>3.1151040000000001E-3</v>
      </c>
      <c r="AA205">
        <v>0.99842509999999995</v>
      </c>
      <c r="AB205">
        <v>24</v>
      </c>
      <c r="AC205">
        <v>11.070699999999899</v>
      </c>
      <c r="AD205">
        <v>-1.1094818954629999</v>
      </c>
      <c r="AE205">
        <v>0.60520000000002405</v>
      </c>
      <c r="AF205">
        <v>-0.63136994812425096</v>
      </c>
      <c r="AG205">
        <v>-1.1094818954629999</v>
      </c>
      <c r="AH205">
        <v>10.959134492153</v>
      </c>
      <c r="AI205">
        <v>95.771314760826996</v>
      </c>
      <c r="AJ205">
        <v>93.297239459229004</v>
      </c>
      <c r="AK205">
        <v>11.033231933792299</v>
      </c>
      <c r="AL205">
        <v>74.105725897863095</v>
      </c>
      <c r="AM205">
        <v>95.211233868042896</v>
      </c>
      <c r="AN205">
        <v>0.99999998186716799</v>
      </c>
    </row>
    <row r="206" spans="1:40" x14ac:dyDescent="0.25">
      <c r="A206" t="str">
        <f>"20190304164340029"</f>
        <v>20190304164340029</v>
      </c>
      <c r="B206" t="str">
        <f>"1551689020020083"</f>
        <v>1551689020020083</v>
      </c>
      <c r="C206" t="s">
        <v>40</v>
      </c>
      <c r="D206">
        <v>5.2659129999999896</v>
      </c>
      <c r="E206">
        <v>0.52725379999999999</v>
      </c>
      <c r="F206" t="s">
        <v>42</v>
      </c>
      <c r="G206">
        <v>-446.6318</v>
      </c>
      <c r="H206" s="1">
        <v>-1.950524E-6</v>
      </c>
      <c r="I206">
        <v>367.48610000000002</v>
      </c>
      <c r="J206">
        <v>-457.5675</v>
      </c>
      <c r="K206">
        <v>1.1094660000000001</v>
      </c>
      <c r="L206">
        <v>366.89479999999998</v>
      </c>
      <c r="M206">
        <v>0.99999020000000005</v>
      </c>
      <c r="N206">
        <v>-3.631399E-3</v>
      </c>
      <c r="O206">
        <v>-2.5993650000000002E-3</v>
      </c>
      <c r="P206">
        <v>0.9590978</v>
      </c>
      <c r="Q206">
        <v>0.27039039999999998</v>
      </c>
      <c r="R206">
        <v>8.3790470000000006E-2</v>
      </c>
      <c r="S206">
        <v>3.2028810000000001</v>
      </c>
      <c r="T206">
        <v>-0.31779629999999998</v>
      </c>
      <c r="U206">
        <v>0.1692505</v>
      </c>
      <c r="V206">
        <v>-8.6408460000000006E-2</v>
      </c>
      <c r="W206">
        <v>0.27383099999999999</v>
      </c>
      <c r="X206">
        <v>0.95788839999999997</v>
      </c>
      <c r="Y206">
        <v>-5.507372E-2</v>
      </c>
      <c r="Z206">
        <v>3.0717040000000002E-3</v>
      </c>
      <c r="AA206">
        <v>0.99847759999999997</v>
      </c>
      <c r="AB206">
        <v>24</v>
      </c>
      <c r="AC206">
        <v>10.935699999999899</v>
      </c>
      <c r="AD206">
        <v>-1.1094679505239999</v>
      </c>
      <c r="AE206">
        <v>0.59130000000004601</v>
      </c>
      <c r="AF206">
        <v>-0.613428528486061</v>
      </c>
      <c r="AG206">
        <v>-1.1094679505239999</v>
      </c>
      <c r="AH206">
        <v>10.823050567747799</v>
      </c>
      <c r="AI206">
        <v>95.843617053012196</v>
      </c>
      <c r="AJ206">
        <v>93.243937806275198</v>
      </c>
      <c r="AK206">
        <v>10.8970471819124</v>
      </c>
      <c r="AL206">
        <v>74.107638696019805</v>
      </c>
      <c r="AM206">
        <v>95.154542389073399</v>
      </c>
      <c r="AN206">
        <v>1.0000000126875599</v>
      </c>
    </row>
    <row r="207" spans="1:40" x14ac:dyDescent="0.25">
      <c r="A207" t="str">
        <f>"20190304164340051"</f>
        <v>20190304164340051</v>
      </c>
      <c r="B207" t="str">
        <f>"1551689020040579"</f>
        <v>1551689020040579</v>
      </c>
      <c r="C207" t="s">
        <v>40</v>
      </c>
      <c r="D207">
        <v>5.2602019999999996</v>
      </c>
      <c r="E207">
        <v>0.52963919999999998</v>
      </c>
      <c r="F207" t="s">
        <v>42</v>
      </c>
      <c r="G207">
        <v>-446.25990000000002</v>
      </c>
      <c r="H207" s="1">
        <v>-2.133286E-6</v>
      </c>
      <c r="I207">
        <v>367.44659999999999</v>
      </c>
      <c r="J207">
        <v>-457.3356</v>
      </c>
      <c r="K207">
        <v>1.1094630000000001</v>
      </c>
      <c r="L207">
        <v>366.89460000000003</v>
      </c>
      <c r="M207">
        <v>0.99999079999999996</v>
      </c>
      <c r="N207">
        <v>-3.6658440000000001E-3</v>
      </c>
      <c r="O207">
        <v>-2.2962949999999998E-3</v>
      </c>
      <c r="P207">
        <v>0.95933400000000002</v>
      </c>
      <c r="Q207">
        <v>0.26980579999999998</v>
      </c>
      <c r="R207">
        <v>8.2965979999999995E-2</v>
      </c>
      <c r="S207">
        <v>3.2028810000000001</v>
      </c>
      <c r="T207">
        <v>-0.3142587</v>
      </c>
      <c r="U207">
        <v>0.15631099999999901</v>
      </c>
      <c r="V207">
        <v>-8.528993E-2</v>
      </c>
      <c r="W207">
        <v>0.27328249999999998</v>
      </c>
      <c r="X207">
        <v>0.95814529999999998</v>
      </c>
      <c r="Y207">
        <v>-5.0776109999999999E-2</v>
      </c>
      <c r="Z207">
        <v>2.793177E-3</v>
      </c>
      <c r="AA207">
        <v>0.99870619999999999</v>
      </c>
      <c r="AB207">
        <v>24</v>
      </c>
      <c r="AC207">
        <v>11.0756999999999</v>
      </c>
      <c r="AD207">
        <v>-1.1094651332859999</v>
      </c>
      <c r="AE207">
        <v>0.55199999999996396</v>
      </c>
      <c r="AF207">
        <v>-0.57170932545406195</v>
      </c>
      <c r="AG207">
        <v>-1.1094651332859999</v>
      </c>
      <c r="AH207">
        <v>10.9646537581848</v>
      </c>
      <c r="AI207">
        <v>95.770057648061595</v>
      </c>
      <c r="AJ207">
        <v>92.984763175046098</v>
      </c>
      <c r="AK207">
        <v>11.035460863582699</v>
      </c>
      <c r="AL207">
        <v>74.140312427410095</v>
      </c>
      <c r="AM207">
        <v>95.086813917594</v>
      </c>
      <c r="AN207">
        <v>1.00000005643887</v>
      </c>
    </row>
    <row r="208" spans="1:40" x14ac:dyDescent="0.25">
      <c r="A208" t="str">
        <f>"20190304164340075"</f>
        <v>20190304164340075</v>
      </c>
      <c r="B208" t="str">
        <f>"1551689020070300"</f>
        <v>1551689020070300</v>
      </c>
      <c r="C208" t="s">
        <v>40</v>
      </c>
      <c r="D208">
        <v>5.2846820000000001</v>
      </c>
      <c r="E208">
        <v>0.53246689999999997</v>
      </c>
      <c r="F208" t="s">
        <v>42</v>
      </c>
      <c r="G208">
        <v>-446.00009999999997</v>
      </c>
      <c r="H208" s="1">
        <v>-2.2695859999999999E-6</v>
      </c>
      <c r="I208">
        <v>367.37079999999997</v>
      </c>
      <c r="J208">
        <v>-457.0729</v>
      </c>
      <c r="K208">
        <v>1.1094599999999999</v>
      </c>
      <c r="L208">
        <v>366.89429999999999</v>
      </c>
      <c r="M208">
        <v>0.99999110000000002</v>
      </c>
      <c r="N208">
        <v>-3.7049940000000001E-3</v>
      </c>
      <c r="O208">
        <v>-1.9617459999999999E-3</v>
      </c>
      <c r="P208">
        <v>0.95946529999999997</v>
      </c>
      <c r="Q208">
        <v>0.26943349999999999</v>
      </c>
      <c r="R208">
        <v>8.265451E-2</v>
      </c>
      <c r="S208">
        <v>3.2037049999999998</v>
      </c>
      <c r="T208">
        <v>-0.31356200000000001</v>
      </c>
      <c r="U208">
        <v>0.13458249999999999</v>
      </c>
      <c r="V208">
        <v>-8.4656330000000002E-2</v>
      </c>
      <c r="W208">
        <v>0.2729491</v>
      </c>
      <c r="X208">
        <v>0.9582965</v>
      </c>
      <c r="Y208">
        <v>-4.3706259999999997E-2</v>
      </c>
      <c r="Z208">
        <v>2.3982589999999998E-3</v>
      </c>
      <c r="AA208">
        <v>0.99904159999999997</v>
      </c>
      <c r="AB208">
        <v>24</v>
      </c>
      <c r="AC208">
        <v>11.072800000000001</v>
      </c>
      <c r="AD208">
        <v>-1.1094622695859999</v>
      </c>
      <c r="AE208">
        <v>0.47649999999998699</v>
      </c>
      <c r="AF208">
        <v>-0.493278165457954</v>
      </c>
      <c r="AG208">
        <v>-1.1094622695859999</v>
      </c>
      <c r="AH208">
        <v>10.9619948800439</v>
      </c>
      <c r="AI208">
        <v>95.773417158207707</v>
      </c>
      <c r="AJ208">
        <v>92.5765113006956</v>
      </c>
      <c r="AK208">
        <v>11.029032669561801</v>
      </c>
      <c r="AL208">
        <v>74.1601695853888</v>
      </c>
      <c r="AM208">
        <v>95.048428624240401</v>
      </c>
      <c r="AN208">
        <v>1.0000000436560601</v>
      </c>
    </row>
    <row r="209" spans="1:40" x14ac:dyDescent="0.25">
      <c r="A209" t="str">
        <f>"20190304164340097"</f>
        <v>20190304164340097</v>
      </c>
      <c r="B209" t="str">
        <f>"1551689020089821"</f>
        <v>1551689020089821</v>
      </c>
      <c r="C209" t="s">
        <v>40</v>
      </c>
      <c r="D209">
        <v>5.4063990000000004</v>
      </c>
      <c r="E209">
        <v>0.53353919999999999</v>
      </c>
      <c r="F209" t="s">
        <v>41</v>
      </c>
      <c r="G209">
        <v>-456.1386</v>
      </c>
      <c r="H209">
        <v>1.018667</v>
      </c>
      <c r="I209">
        <v>366.9264</v>
      </c>
      <c r="J209">
        <v>-456.81810000000002</v>
      </c>
      <c r="K209">
        <v>1.1094679999999999</v>
      </c>
      <c r="L209">
        <v>366.89409999999998</v>
      </c>
      <c r="M209">
        <v>0.99999170000000004</v>
      </c>
      <c r="N209">
        <v>-3.7463589999999999E-3</v>
      </c>
      <c r="O209">
        <v>-1.643877E-3</v>
      </c>
      <c r="P209">
        <v>0.95941620000000005</v>
      </c>
      <c r="Q209">
        <v>0.2697369</v>
      </c>
      <c r="R209">
        <v>8.2236110000000001E-2</v>
      </c>
      <c r="S209">
        <v>3.204742</v>
      </c>
      <c r="T209">
        <v>-0.31156030000000001</v>
      </c>
      <c r="U209">
        <v>0.11007690000000001</v>
      </c>
      <c r="V209">
        <v>-8.3934519999999999E-2</v>
      </c>
      <c r="W209">
        <v>0.27329170000000003</v>
      </c>
      <c r="X209">
        <v>0.95826230000000001</v>
      </c>
      <c r="Y209">
        <v>-3.5788540000000001E-2</v>
      </c>
      <c r="Z209">
        <v>1.9555280000000002E-3</v>
      </c>
      <c r="AA209">
        <v>0.99935750000000001</v>
      </c>
      <c r="AB209">
        <v>25</v>
      </c>
      <c r="AC209">
        <v>0.67950000000001798</v>
      </c>
      <c r="AD209">
        <v>-9.0801000000000104E-2</v>
      </c>
      <c r="AE209">
        <v>3.2300000000020597E-2</v>
      </c>
      <c r="AF209">
        <v>-3.2832027085065198E-2</v>
      </c>
      <c r="AG209">
        <v>-9.0801000000000104E-2</v>
      </c>
      <c r="AH209">
        <v>0.66755254164150801</v>
      </c>
      <c r="AI209">
        <v>97.736639952641795</v>
      </c>
      <c r="AJ209">
        <v>92.815691472664199</v>
      </c>
      <c r="AK209">
        <v>0.67449919158999105</v>
      </c>
      <c r="AL209">
        <v>74.139763466540003</v>
      </c>
      <c r="AM209">
        <v>95.005781290028096</v>
      </c>
      <c r="AN209">
        <v>0.99999999626890501</v>
      </c>
    </row>
    <row r="210" spans="1:40" x14ac:dyDescent="0.25">
      <c r="A210" t="str">
        <f>"20190304164340119"</f>
        <v>20190304164340119</v>
      </c>
      <c r="B210" t="str">
        <f>"1551689020110316"</f>
        <v>1551689020110316</v>
      </c>
      <c r="C210" t="s">
        <v>40</v>
      </c>
      <c r="D210">
        <v>5.2500710000000002</v>
      </c>
      <c r="E210">
        <v>0.53457719999999997</v>
      </c>
      <c r="F210" t="s">
        <v>41</v>
      </c>
      <c r="G210">
        <v>-455.91329999999999</v>
      </c>
      <c r="H210">
        <v>1.022338</v>
      </c>
      <c r="I210">
        <v>366.92200000000003</v>
      </c>
      <c r="J210">
        <v>-456.57209999999998</v>
      </c>
      <c r="K210">
        <v>1.1094759999999999</v>
      </c>
      <c r="L210">
        <v>366.89400000000001</v>
      </c>
      <c r="M210">
        <v>0.99999199999999999</v>
      </c>
      <c r="N210">
        <v>-3.7907470000000001E-3</v>
      </c>
      <c r="O210">
        <v>-1.3394800000000001E-3</v>
      </c>
      <c r="P210">
        <v>0.95943500000000004</v>
      </c>
      <c r="Q210">
        <v>0.26968579999999998</v>
      </c>
      <c r="R210">
        <v>8.2184090000000001E-2</v>
      </c>
      <c r="S210">
        <v>3.2052309999999999</v>
      </c>
      <c r="T210">
        <v>-0.30880429999999998</v>
      </c>
      <c r="U210">
        <v>9.9548339999999999E-2</v>
      </c>
      <c r="V210">
        <v>-8.3592029999999998E-2</v>
      </c>
      <c r="W210">
        <v>0.273283</v>
      </c>
      <c r="X210">
        <v>0.95829470000000005</v>
      </c>
      <c r="Y210">
        <v>-3.2221270000000003E-2</v>
      </c>
      <c r="Z210">
        <v>1.733095E-3</v>
      </c>
      <c r="AA210">
        <v>0.99947920000000001</v>
      </c>
      <c r="AB210">
        <v>25</v>
      </c>
      <c r="AC210">
        <v>0.65879999999998495</v>
      </c>
      <c r="AD210">
        <v>-8.7138000000000104E-2</v>
      </c>
      <c r="AE210">
        <v>2.79999999999631E-2</v>
      </c>
      <c r="AF210">
        <v>-2.83867073972889E-2</v>
      </c>
      <c r="AG210">
        <v>-8.7138000000000104E-2</v>
      </c>
      <c r="AH210">
        <v>0.64745525296553796</v>
      </c>
      <c r="AI210">
        <v>97.657845535300297</v>
      </c>
      <c r="AJ210">
        <v>92.510440032638201</v>
      </c>
      <c r="AK210">
        <v>0.65390912273306601</v>
      </c>
      <c r="AL210">
        <v>74.140281382211199</v>
      </c>
      <c r="AM210">
        <v>94.985290928886698</v>
      </c>
      <c r="AN210">
        <v>0.99999997880830505</v>
      </c>
    </row>
    <row r="211" spans="1:40" x14ac:dyDescent="0.25">
      <c r="A211" t="str">
        <f>"20190304164340140"</f>
        <v>20190304164340140</v>
      </c>
      <c r="B211" t="str">
        <f>"1551689020129836"</f>
        <v>1551689020129836</v>
      </c>
      <c r="C211" t="s">
        <v>40</v>
      </c>
      <c r="D211">
        <v>5.2605149999999998</v>
      </c>
      <c r="E211">
        <v>0.53537619999999997</v>
      </c>
      <c r="F211" t="s">
        <v>41</v>
      </c>
      <c r="G211">
        <v>-455.6875</v>
      </c>
      <c r="H211">
        <v>1.0246550000000001</v>
      </c>
      <c r="I211">
        <v>366.91910000000001</v>
      </c>
      <c r="J211">
        <v>-456.3399</v>
      </c>
      <c r="K211">
        <v>1.1094900000000001</v>
      </c>
      <c r="L211">
        <v>366.89400000000001</v>
      </c>
      <c r="M211">
        <v>0.99999210000000005</v>
      </c>
      <c r="N211">
        <v>-3.8376909999999998E-3</v>
      </c>
      <c r="O211">
        <v>-1.0530870000000001E-3</v>
      </c>
      <c r="P211">
        <v>0.95939200000000002</v>
      </c>
      <c r="Q211">
        <v>0.26966610000000002</v>
      </c>
      <c r="R211">
        <v>8.2749530000000002E-2</v>
      </c>
      <c r="S211">
        <v>3.205505</v>
      </c>
      <c r="T211">
        <v>-0.30729380000000001</v>
      </c>
      <c r="U211">
        <v>9.036255E-2</v>
      </c>
      <c r="V211">
        <v>-8.3884780000000006E-2</v>
      </c>
      <c r="W211">
        <v>0.27330729999999998</v>
      </c>
      <c r="X211">
        <v>0.95826219999999995</v>
      </c>
      <c r="Y211">
        <v>-2.908821E-2</v>
      </c>
      <c r="Z211">
        <v>1.5434299999999999E-3</v>
      </c>
      <c r="AA211">
        <v>0.99957569999999996</v>
      </c>
      <c r="AB211">
        <v>25</v>
      </c>
      <c r="AC211">
        <v>0.65239999999999998</v>
      </c>
      <c r="AD211">
        <v>-8.4834999999999994E-2</v>
      </c>
      <c r="AE211">
        <v>2.5100000000009001E-2</v>
      </c>
      <c r="AF211">
        <v>-2.5358861617573801E-2</v>
      </c>
      <c r="AG211">
        <v>-8.4834999999999994E-2</v>
      </c>
      <c r="AH211">
        <v>0.64154130950858501</v>
      </c>
      <c r="AI211">
        <v>97.527062126254407</v>
      </c>
      <c r="AJ211">
        <v>92.263610620688297</v>
      </c>
      <c r="AK211">
        <v>0.64762280757670099</v>
      </c>
      <c r="AL211">
        <v>74.138834179199307</v>
      </c>
      <c r="AM211">
        <v>95.002830418443494</v>
      </c>
      <c r="AN211">
        <v>0.99999999024888897</v>
      </c>
    </row>
    <row r="212" spans="1:40" x14ac:dyDescent="0.25">
      <c r="A212" t="str">
        <f>"20190304164340163"</f>
        <v>20190304164340163</v>
      </c>
      <c r="B212" t="str">
        <f>"1551689020150332"</f>
        <v>1551689020150332</v>
      </c>
      <c r="C212" t="s">
        <v>40</v>
      </c>
      <c r="D212">
        <v>5.4179009999999996</v>
      </c>
      <c r="E212">
        <v>0.53592169999999995</v>
      </c>
      <c r="F212" t="s">
        <v>41</v>
      </c>
      <c r="G212">
        <v>-455.46129999999999</v>
      </c>
      <c r="H212">
        <v>1.0258959999999999</v>
      </c>
      <c r="I212">
        <v>366.91699999999997</v>
      </c>
      <c r="J212">
        <v>-456.0881</v>
      </c>
      <c r="K212">
        <v>1.1095010000000001</v>
      </c>
      <c r="L212">
        <v>366.89409999999998</v>
      </c>
      <c r="M212">
        <v>0.99999210000000005</v>
      </c>
      <c r="N212">
        <v>-3.8948329999999999E-3</v>
      </c>
      <c r="O212">
        <v>-7.4382859999999997E-4</v>
      </c>
      <c r="P212">
        <v>0.95934870000000005</v>
      </c>
      <c r="Q212">
        <v>0.26956970000000002</v>
      </c>
      <c r="R212">
        <v>8.356181E-2</v>
      </c>
      <c r="S212">
        <v>3.205444</v>
      </c>
      <c r="T212">
        <v>-0.3052454</v>
      </c>
      <c r="U212">
        <v>8.5266110000000006E-2</v>
      </c>
      <c r="V212">
        <v>-8.4402169999999999E-2</v>
      </c>
      <c r="W212">
        <v>0.27326509999999998</v>
      </c>
      <c r="X212">
        <v>0.95822879999999999</v>
      </c>
      <c r="Y212">
        <v>-2.7203439999999999E-2</v>
      </c>
      <c r="Z212">
        <v>1.4129839999999999E-3</v>
      </c>
      <c r="AA212">
        <v>0.99962890000000004</v>
      </c>
      <c r="AB212">
        <v>25</v>
      </c>
      <c r="AC212">
        <v>0.62680000000000202</v>
      </c>
      <c r="AD212">
        <v>-8.3605000000000096E-2</v>
      </c>
      <c r="AE212">
        <v>2.2899999999992801E-2</v>
      </c>
      <c r="AF212">
        <v>-2.29583162587003E-2</v>
      </c>
      <c r="AG212">
        <v>-8.3605000000000096E-2</v>
      </c>
      <c r="AH212">
        <v>0.61584081844609595</v>
      </c>
      <c r="AI212">
        <v>97.725765517641094</v>
      </c>
      <c r="AJ212">
        <v>92.134976636383897</v>
      </c>
      <c r="AK212">
        <v>0.62191381555227698</v>
      </c>
      <c r="AL212">
        <v>74.141347695423804</v>
      </c>
      <c r="AM212">
        <v>95.033703708494997</v>
      </c>
      <c r="AN212">
        <v>0.99999998716407901</v>
      </c>
    </row>
    <row r="213" spans="1:40" x14ac:dyDescent="0.25">
      <c r="A213" t="str">
        <f>"20190304164340186"</f>
        <v>20190304164340186</v>
      </c>
      <c r="B213" t="str">
        <f>"1551689020180589"</f>
        <v>1551689020180589</v>
      </c>
      <c r="C213" t="s">
        <v>40</v>
      </c>
      <c r="D213">
        <v>5.2488260000000002</v>
      </c>
      <c r="E213">
        <v>0.53651680000000002</v>
      </c>
      <c r="F213" t="s">
        <v>41</v>
      </c>
      <c r="G213">
        <v>-455.233</v>
      </c>
      <c r="H213">
        <v>1.028122</v>
      </c>
      <c r="I213">
        <v>366.9162</v>
      </c>
      <c r="J213">
        <v>-455.81540000000001</v>
      </c>
      <c r="K213">
        <v>1.109504</v>
      </c>
      <c r="L213">
        <v>366.89429999999999</v>
      </c>
      <c r="M213">
        <v>0.99999210000000005</v>
      </c>
      <c r="N213">
        <v>-3.9700919999999997E-3</v>
      </c>
      <c r="O213">
        <v>-4.1590000000000003E-4</v>
      </c>
      <c r="P213">
        <v>0.95920689999999997</v>
      </c>
      <c r="Q213">
        <v>0.2696865</v>
      </c>
      <c r="R213">
        <v>8.4801420000000002E-2</v>
      </c>
      <c r="S213">
        <v>3.205597</v>
      </c>
      <c r="T213">
        <v>-0.30515750000000003</v>
      </c>
      <c r="U213">
        <v>8.3404539999999999E-2</v>
      </c>
      <c r="V213">
        <v>-8.5326289999999999E-2</v>
      </c>
      <c r="W213">
        <v>0.27345320000000001</v>
      </c>
      <c r="X213">
        <v>0.95809330000000004</v>
      </c>
      <c r="Y213">
        <v>-2.629985E-2</v>
      </c>
      <c r="Z213">
        <v>1.338964E-3</v>
      </c>
      <c r="AA213">
        <v>0.99965320000000002</v>
      </c>
      <c r="AB213">
        <v>25</v>
      </c>
      <c r="AC213">
        <v>0.58240000000000602</v>
      </c>
      <c r="AD213">
        <v>-8.1381999999999996E-2</v>
      </c>
      <c r="AE213">
        <v>2.1900000000016399E-2</v>
      </c>
      <c r="AF213">
        <v>-2.1718738191491001E-2</v>
      </c>
      <c r="AG213">
        <v>-8.1381999999999996E-2</v>
      </c>
      <c r="AH213">
        <v>0.57125230070883803</v>
      </c>
      <c r="AI213">
        <v>98.1021631000893</v>
      </c>
      <c r="AJ213">
        <v>92.177309342605596</v>
      </c>
      <c r="AK213">
        <v>0.57742871817893704</v>
      </c>
      <c r="AL213">
        <v>74.130143826655797</v>
      </c>
      <c r="AM213">
        <v>95.089245846337306</v>
      </c>
      <c r="AN213">
        <v>0.99999999993014699</v>
      </c>
    </row>
    <row r="214" spans="1:40" x14ac:dyDescent="0.25">
      <c r="A214" t="str">
        <f>"20190304164340210"</f>
        <v>20190304164340210</v>
      </c>
      <c r="B214" t="str">
        <f>"1551689020200108"</f>
        <v>1551689020200108</v>
      </c>
      <c r="C214" t="s">
        <v>40</v>
      </c>
      <c r="D214">
        <v>5.304271</v>
      </c>
      <c r="E214">
        <v>0.53685799999999995</v>
      </c>
      <c r="F214" t="s">
        <v>41</v>
      </c>
      <c r="G214">
        <v>-455.00110000000001</v>
      </c>
      <c r="H214">
        <v>1.0335299999999901</v>
      </c>
      <c r="I214">
        <v>366.91460000000001</v>
      </c>
      <c r="J214">
        <v>-455.54570000000001</v>
      </c>
      <c r="K214">
        <v>1.1095109999999999</v>
      </c>
      <c r="L214">
        <v>366.89460000000003</v>
      </c>
      <c r="M214">
        <v>0.99999179999999999</v>
      </c>
      <c r="N214">
        <v>-4.0639990000000004E-3</v>
      </c>
      <c r="O214">
        <v>-1.042407E-4</v>
      </c>
      <c r="P214">
        <v>0.95910689999999998</v>
      </c>
      <c r="Q214">
        <v>0.269484</v>
      </c>
      <c r="R214">
        <v>8.6558919999999998E-2</v>
      </c>
      <c r="S214">
        <v>3.204529</v>
      </c>
      <c r="T214">
        <v>-0.29920970000000002</v>
      </c>
      <c r="U214">
        <v>8.1146239999999994E-2</v>
      </c>
      <c r="V214">
        <v>-8.6781410000000003E-2</v>
      </c>
      <c r="W214">
        <v>0.27334079999999999</v>
      </c>
      <c r="X214">
        <v>0.95799469999999998</v>
      </c>
      <c r="Y214">
        <v>-2.5303240000000001E-2</v>
      </c>
      <c r="Z214">
        <v>1.239371E-3</v>
      </c>
      <c r="AA214">
        <v>0.99967899999999998</v>
      </c>
      <c r="AB214">
        <v>25</v>
      </c>
      <c r="AC214">
        <v>0.54460000000000197</v>
      </c>
      <c r="AD214">
        <v>-7.5981000000000298E-2</v>
      </c>
      <c r="AE214">
        <v>1.99999999999818E-2</v>
      </c>
      <c r="AF214">
        <v>-1.9674324615024798E-2</v>
      </c>
      <c r="AG214">
        <v>-7.5981000000000298E-2</v>
      </c>
      <c r="AH214">
        <v>0.534213444838192</v>
      </c>
      <c r="AI214">
        <v>98.089455019106495</v>
      </c>
      <c r="AJ214">
        <v>92.109169174547901</v>
      </c>
      <c r="AK214">
        <v>0.53994832720913699</v>
      </c>
      <c r="AL214">
        <v>74.136839366502898</v>
      </c>
      <c r="AM214">
        <v>95.176098149172702</v>
      </c>
      <c r="AN214">
        <v>1.00000002564715</v>
      </c>
    </row>
    <row r="215" spans="1:40" x14ac:dyDescent="0.25">
      <c r="A215" t="str">
        <f>"20190304164340230"</f>
        <v>20190304164340230</v>
      </c>
      <c r="B215" t="str">
        <f>"1551689020220604"</f>
        <v>1551689020220604</v>
      </c>
      <c r="C215" t="s">
        <v>40</v>
      </c>
      <c r="D215">
        <v>5.2973160000000004</v>
      </c>
      <c r="E215">
        <v>0.53724300000000003</v>
      </c>
      <c r="F215" t="s">
        <v>41</v>
      </c>
      <c r="G215">
        <v>-454.7638</v>
      </c>
      <c r="H215">
        <v>1.0379080000000001</v>
      </c>
      <c r="I215">
        <v>366.91449999999998</v>
      </c>
      <c r="J215">
        <v>-455.31209999999999</v>
      </c>
      <c r="K215">
        <v>1.1095139999999999</v>
      </c>
      <c r="L215">
        <v>366.89479999999998</v>
      </c>
      <c r="M215">
        <v>0.99999139999999997</v>
      </c>
      <c r="N215">
        <v>-4.162425E-3</v>
      </c>
      <c r="O215">
        <v>1.5076689999999999E-4</v>
      </c>
      <c r="P215">
        <v>0.95901440000000004</v>
      </c>
      <c r="Q215">
        <v>0.26928829999999998</v>
      </c>
      <c r="R215">
        <v>8.8178129999999993E-2</v>
      </c>
      <c r="S215">
        <v>3.2028810000000001</v>
      </c>
      <c r="T215">
        <v>-0.2935218</v>
      </c>
      <c r="U215">
        <v>8.3129880000000003E-2</v>
      </c>
      <c r="V215">
        <v>-8.8150259999999994E-2</v>
      </c>
      <c r="W215">
        <v>0.27324039999999999</v>
      </c>
      <c r="X215">
        <v>0.95789829999999998</v>
      </c>
      <c r="Y215">
        <v>-2.5683379999999999E-2</v>
      </c>
      <c r="Z215">
        <v>1.2146139999999999E-3</v>
      </c>
      <c r="AA215">
        <v>0.99966940000000004</v>
      </c>
      <c r="AB215">
        <v>25</v>
      </c>
      <c r="AC215">
        <v>0.54829999999998302</v>
      </c>
      <c r="AD215">
        <v>-7.1605999999999795E-2</v>
      </c>
      <c r="AE215">
        <v>1.97000000000002E-2</v>
      </c>
      <c r="AF215">
        <v>-1.9288779534440598E-2</v>
      </c>
      <c r="AG215">
        <v>-7.1605999999999795E-2</v>
      </c>
      <c r="AH215">
        <v>0.53911990375413799</v>
      </c>
      <c r="AI215">
        <v>97.560971422580195</v>
      </c>
      <c r="AJ215">
        <v>92.049070058128905</v>
      </c>
      <c r="AK215">
        <v>0.54419642306413496</v>
      </c>
      <c r="AL215">
        <v>74.142818593303005</v>
      </c>
      <c r="AM215">
        <v>95.257815675055497</v>
      </c>
      <c r="AN215">
        <v>0.99999996883655795</v>
      </c>
    </row>
    <row r="216" spans="1:40" x14ac:dyDescent="0.25">
      <c r="A216" t="str">
        <f>"20190304164340251"</f>
        <v>20190304164340251</v>
      </c>
      <c r="B216" t="str">
        <f>"1551689020240124"</f>
        <v>1551689020240124</v>
      </c>
      <c r="C216" t="s">
        <v>40</v>
      </c>
      <c r="D216">
        <v>5.3055879999999904</v>
      </c>
      <c r="E216">
        <v>0.53753790000000001</v>
      </c>
      <c r="F216" t="s">
        <v>42</v>
      </c>
      <c r="G216">
        <v>-442.98410000000001</v>
      </c>
      <c r="H216" s="1">
        <v>-3.7219790000000002E-6</v>
      </c>
      <c r="I216">
        <v>367.22019999999998</v>
      </c>
      <c r="J216">
        <v>-455.0634</v>
      </c>
      <c r="K216">
        <v>1.109524</v>
      </c>
      <c r="L216">
        <v>366.89510000000001</v>
      </c>
      <c r="M216">
        <v>0.99999079999999996</v>
      </c>
      <c r="N216">
        <v>-4.2825090000000003E-3</v>
      </c>
      <c r="O216">
        <v>4.0553280000000001E-4</v>
      </c>
      <c r="P216">
        <v>0.95910680000000004</v>
      </c>
      <c r="Q216">
        <v>0.26849089999999998</v>
      </c>
      <c r="R216">
        <v>8.9593829999999999E-2</v>
      </c>
      <c r="S216">
        <v>3.201355</v>
      </c>
      <c r="T216">
        <v>-0.28812070000000001</v>
      </c>
      <c r="U216">
        <v>8.4503170000000002E-2</v>
      </c>
      <c r="V216">
        <v>-8.9313649999999994E-2</v>
      </c>
      <c r="W216">
        <v>0.27256049999999998</v>
      </c>
      <c r="X216">
        <v>0.95798430000000001</v>
      </c>
      <c r="Y216">
        <v>-2.5873469999999999E-2</v>
      </c>
      <c r="Z216">
        <v>1.182596E-3</v>
      </c>
      <c r="AA216">
        <v>0.99966449999999996</v>
      </c>
      <c r="AB216">
        <v>26</v>
      </c>
      <c r="AC216">
        <v>12.0792999999999</v>
      </c>
      <c r="AD216">
        <v>-1.1095277219789901</v>
      </c>
      <c r="AE216">
        <v>0.32509999999996297</v>
      </c>
      <c r="AF216">
        <v>-0.317524333389896</v>
      </c>
      <c r="AG216">
        <v>-1.1095277219789901</v>
      </c>
      <c r="AH216">
        <v>11.9784407931226</v>
      </c>
      <c r="AI216">
        <v>95.290191334248505</v>
      </c>
      <c r="AJ216">
        <v>91.518440096380502</v>
      </c>
      <c r="AK216">
        <v>12.033906984121099</v>
      </c>
      <c r="AL216">
        <v>74.183312096011093</v>
      </c>
      <c r="AM216">
        <v>95.326335266861804</v>
      </c>
      <c r="AN216">
        <v>1.00000003664153</v>
      </c>
    </row>
    <row r="217" spans="1:40" x14ac:dyDescent="0.25">
      <c r="A217" t="str">
        <f>"20190304164340274"</f>
        <v>20190304164340274</v>
      </c>
      <c r="B217" t="str">
        <f>"1551689020260621"</f>
        <v>1551689020260621</v>
      </c>
      <c r="C217" t="s">
        <v>40</v>
      </c>
      <c r="D217">
        <v>5.2909360000000003</v>
      </c>
      <c r="E217">
        <v>0.53781330000000005</v>
      </c>
      <c r="F217" t="s">
        <v>42</v>
      </c>
      <c r="G217">
        <v>-442.65550000000002</v>
      </c>
      <c r="H217" s="1">
        <v>-3.8755469999999998E-6</v>
      </c>
      <c r="I217">
        <v>367.23020000000002</v>
      </c>
      <c r="J217">
        <v>-454.80919999999998</v>
      </c>
      <c r="K217">
        <v>1.1095250000000001</v>
      </c>
      <c r="L217">
        <v>366.89550000000003</v>
      </c>
      <c r="M217">
        <v>0.99999020000000005</v>
      </c>
      <c r="N217">
        <v>-4.4162849999999998E-3</v>
      </c>
      <c r="O217">
        <v>6.4875299999999996E-4</v>
      </c>
      <c r="P217">
        <v>0.95916579999999996</v>
      </c>
      <c r="Q217">
        <v>0.26796940000000002</v>
      </c>
      <c r="R217">
        <v>9.0519829999999996E-2</v>
      </c>
      <c r="S217">
        <v>3.199951</v>
      </c>
      <c r="T217">
        <v>-0.2861416</v>
      </c>
      <c r="U217">
        <v>8.6425779999999994E-2</v>
      </c>
      <c r="V217">
        <v>-8.9998220000000004E-2</v>
      </c>
      <c r="W217">
        <v>0.27217000000000002</v>
      </c>
      <c r="X217">
        <v>0.95803119999999997</v>
      </c>
      <c r="Y217">
        <v>-2.624261E-2</v>
      </c>
      <c r="Z217">
        <v>1.1738199999999999E-3</v>
      </c>
      <c r="AA217">
        <v>0.99965490000000001</v>
      </c>
      <c r="AB217">
        <v>26</v>
      </c>
      <c r="AC217">
        <v>12.153699999999899</v>
      </c>
      <c r="AD217">
        <v>-1.1095288755470001</v>
      </c>
      <c r="AE217">
        <v>0.334699999999998</v>
      </c>
      <c r="AF217">
        <v>-0.32411592784950799</v>
      </c>
      <c r="AG217">
        <v>-1.1095288755470001</v>
      </c>
      <c r="AH217">
        <v>12.053534999203301</v>
      </c>
      <c r="AI217">
        <v>95.257370598861897</v>
      </c>
      <c r="AJ217">
        <v>91.540295096021197</v>
      </c>
      <c r="AK217">
        <v>12.108831960076801</v>
      </c>
      <c r="AL217">
        <v>74.206564358145101</v>
      </c>
      <c r="AM217">
        <v>95.3666617970093</v>
      </c>
      <c r="AN217">
        <v>0.99999998433830395</v>
      </c>
    </row>
    <row r="218" spans="1:40" x14ac:dyDescent="0.25">
      <c r="A218" t="str">
        <f>"20190304164340297"</f>
        <v>20190304164340297</v>
      </c>
      <c r="B218" t="str">
        <f>"1551689020289901"</f>
        <v>1551689020289901</v>
      </c>
      <c r="C218" t="s">
        <v>40</v>
      </c>
      <c r="D218">
        <v>5.315391</v>
      </c>
      <c r="E218">
        <v>0.53814229999999996</v>
      </c>
      <c r="F218" t="s">
        <v>42</v>
      </c>
      <c r="G218">
        <v>-442.3347</v>
      </c>
      <c r="H218" s="1">
        <v>-4.0250109999999997E-6</v>
      </c>
      <c r="I218">
        <v>367.2423</v>
      </c>
      <c r="J218">
        <v>-454.53269999999998</v>
      </c>
      <c r="K218">
        <v>1.1095349999999999</v>
      </c>
      <c r="L218">
        <v>366.89589999999998</v>
      </c>
      <c r="M218">
        <v>0.99998920000000002</v>
      </c>
      <c r="N218">
        <v>-4.5685400000000003E-3</v>
      </c>
      <c r="O218">
        <v>8.9646029999999996E-4</v>
      </c>
      <c r="P218">
        <v>0.95921160000000005</v>
      </c>
      <c r="Q218">
        <v>0.26797379999999998</v>
      </c>
      <c r="R218">
        <v>9.0017630000000001E-2</v>
      </c>
      <c r="S218">
        <v>3.1987920000000001</v>
      </c>
      <c r="T218">
        <v>-0.28451419999999999</v>
      </c>
      <c r="U218">
        <v>8.8928220000000002E-2</v>
      </c>
      <c r="V218">
        <v>-8.9251819999999996E-2</v>
      </c>
      <c r="W218">
        <v>0.27232319999999999</v>
      </c>
      <c r="X218">
        <v>0.95805750000000001</v>
      </c>
      <c r="Y218">
        <v>-2.678577E-2</v>
      </c>
      <c r="Z218">
        <v>1.174495E-3</v>
      </c>
      <c r="AA218">
        <v>0.99964050000000004</v>
      </c>
      <c r="AB218">
        <v>26</v>
      </c>
      <c r="AC218">
        <v>12.197999999999899</v>
      </c>
      <c r="AD218">
        <v>-1.109539025011</v>
      </c>
      <c r="AE218">
        <v>0.34640000000001597</v>
      </c>
      <c r="AF218">
        <v>-0.33271411425682401</v>
      </c>
      <c r="AG218">
        <v>-1.109539025011</v>
      </c>
      <c r="AH218">
        <v>12.0982868249272</v>
      </c>
      <c r="AI218">
        <v>95.237992972770698</v>
      </c>
      <c r="AJ218">
        <v>91.575290052962004</v>
      </c>
      <c r="AK218">
        <v>12.1536134391404</v>
      </c>
      <c r="AL218">
        <v>74.197442213135503</v>
      </c>
      <c r="AM218">
        <v>95.322264798893102</v>
      </c>
      <c r="AN218">
        <v>0.99999999296890096</v>
      </c>
    </row>
    <row r="219" spans="1:40" x14ac:dyDescent="0.25">
      <c r="A219" t="str">
        <f>"20190304164340319"</f>
        <v>20190304164340319</v>
      </c>
      <c r="B219" t="str">
        <f>"1551689020310396"</f>
        <v>1551689020310396</v>
      </c>
      <c r="C219" t="s">
        <v>40</v>
      </c>
      <c r="D219">
        <v>5.2899849999999997</v>
      </c>
      <c r="E219">
        <v>0.53840719999999997</v>
      </c>
      <c r="F219" t="s">
        <v>41</v>
      </c>
      <c r="G219">
        <v>-453.6164</v>
      </c>
      <c r="H219">
        <v>1.02947099999999</v>
      </c>
      <c r="I219">
        <v>366.9196</v>
      </c>
      <c r="J219">
        <v>-454.27659999999997</v>
      </c>
      <c r="K219">
        <v>1.1095440000000001</v>
      </c>
      <c r="L219">
        <v>366.89640000000003</v>
      </c>
      <c r="M219">
        <v>0.99998830000000005</v>
      </c>
      <c r="N219">
        <v>-4.7091800000000003E-3</v>
      </c>
      <c r="O219">
        <v>1.1160089999999901E-3</v>
      </c>
      <c r="P219">
        <v>0.95907940000000003</v>
      </c>
      <c r="Q219">
        <v>0.26837949999999999</v>
      </c>
      <c r="R219">
        <v>9.0217439999999996E-2</v>
      </c>
      <c r="S219">
        <v>3.197784</v>
      </c>
      <c r="T219">
        <v>-0.27971970000000002</v>
      </c>
      <c r="U219">
        <v>8.4228520000000001E-2</v>
      </c>
      <c r="V219">
        <v>-8.9237629999999998E-2</v>
      </c>
      <c r="W219">
        <v>0.27286369999999999</v>
      </c>
      <c r="X219">
        <v>0.95790500000000001</v>
      </c>
      <c r="Y219">
        <v>-2.5117649999999998E-2</v>
      </c>
      <c r="Z219">
        <v>1.063374E-3</v>
      </c>
      <c r="AA219">
        <v>0.99968389999999996</v>
      </c>
      <c r="AB219">
        <v>26</v>
      </c>
      <c r="AC219">
        <v>0.66019999999997403</v>
      </c>
      <c r="AD219">
        <v>-8.00730000000002E-2</v>
      </c>
      <c r="AE219">
        <v>2.31999999999743E-2</v>
      </c>
      <c r="AF219">
        <v>-2.2137934517242198E-2</v>
      </c>
      <c r="AG219">
        <v>-8.00730000000002E-2</v>
      </c>
      <c r="AH219">
        <v>0.65066580457572698</v>
      </c>
      <c r="AI219">
        <v>97.011709030749003</v>
      </c>
      <c r="AJ219">
        <v>91.948651840657803</v>
      </c>
      <c r="AK219">
        <v>0.65594798781448205</v>
      </c>
      <c r="AL219">
        <v>74.165254533692107</v>
      </c>
      <c r="AM219">
        <v>95.322265793337394</v>
      </c>
      <c r="AN219">
        <v>0.999999971205353</v>
      </c>
    </row>
    <row r="220" spans="1:40" x14ac:dyDescent="0.25">
      <c r="A220" t="str">
        <f>"20190304164340331"</f>
        <v>20190304164340331</v>
      </c>
      <c r="B220" t="str">
        <f>"1551689020320157"</f>
        <v>1551689020320157</v>
      </c>
      <c r="C220" t="s">
        <v>40</v>
      </c>
      <c r="D220">
        <v>5.3013640000000004</v>
      </c>
      <c r="E220">
        <v>0.53855509999999995</v>
      </c>
      <c r="F220" t="s">
        <v>41</v>
      </c>
      <c r="G220">
        <v>-453.37970000000001</v>
      </c>
      <c r="H220">
        <v>1.0324150000000001</v>
      </c>
      <c r="I220">
        <v>366.91879999999998</v>
      </c>
      <c r="J220">
        <v>-454.12549999999999</v>
      </c>
      <c r="K220">
        <v>1.1095549999999901</v>
      </c>
      <c r="L220">
        <v>366.89670000000001</v>
      </c>
      <c r="M220">
        <v>0.99998790000000004</v>
      </c>
      <c r="N220">
        <v>-4.7905159999999999E-3</v>
      </c>
      <c r="O220">
        <v>1.2418850000000001E-3</v>
      </c>
      <c r="P220">
        <v>0.95910680000000004</v>
      </c>
      <c r="Q220">
        <v>0.26839069999999998</v>
      </c>
      <c r="R220">
        <v>8.9894470000000004E-2</v>
      </c>
      <c r="S220">
        <v>3.1973880000000001</v>
      </c>
      <c r="T220">
        <v>-0.27509990000000001</v>
      </c>
      <c r="U220">
        <v>8.0871579999999998E-2</v>
      </c>
      <c r="V220">
        <v>-8.8793120000000003E-2</v>
      </c>
      <c r="W220">
        <v>0.27295360000000002</v>
      </c>
      <c r="X220">
        <v>0.95792069999999996</v>
      </c>
      <c r="Y220">
        <v>-2.3954119999999999E-2</v>
      </c>
      <c r="Z220">
        <v>9.8522929999999989E-4</v>
      </c>
      <c r="AA220">
        <v>0.99971259999999995</v>
      </c>
      <c r="AB220">
        <v>26</v>
      </c>
      <c r="AC220">
        <v>0.74579999999997404</v>
      </c>
      <c r="AD220">
        <v>-7.7139999999999903E-2</v>
      </c>
      <c r="AE220">
        <v>2.2099999999966199E-2</v>
      </c>
      <c r="AF220">
        <v>-2.0949843685453599E-2</v>
      </c>
      <c r="AG220">
        <v>-7.7139999999999903E-2</v>
      </c>
      <c r="AH220">
        <v>0.737939107808399</v>
      </c>
      <c r="AI220">
        <v>95.965317868967304</v>
      </c>
      <c r="AJ220">
        <v>91.626171167604994</v>
      </c>
      <c r="AK220">
        <v>0.74225575267794397</v>
      </c>
      <c r="AL220">
        <v>74.159900489098703</v>
      </c>
      <c r="AM220">
        <v>95.295819362193697</v>
      </c>
      <c r="AN220">
        <v>0.99999997670039198</v>
      </c>
    </row>
    <row r="221" spans="1:40" x14ac:dyDescent="0.25">
      <c r="A221" t="str">
        <f>"20190304164340345"</f>
        <v>20190304164340345</v>
      </c>
      <c r="B221" t="str">
        <f>"1551689020340652"</f>
        <v>1551689020340652</v>
      </c>
      <c r="C221" t="s">
        <v>40</v>
      </c>
      <c r="D221">
        <v>5.4766760000000003</v>
      </c>
      <c r="E221">
        <v>0.53891109999999998</v>
      </c>
      <c r="F221" t="s">
        <v>42</v>
      </c>
      <c r="G221">
        <v>-441.15170000000001</v>
      </c>
      <c r="H221" s="1">
        <v>-4.5891699999999996E-6</v>
      </c>
      <c r="I221">
        <v>367.21440000000001</v>
      </c>
      <c r="J221">
        <v>-453.98020000000002</v>
      </c>
      <c r="K221">
        <v>1.109567</v>
      </c>
      <c r="L221">
        <v>366.89699999999999</v>
      </c>
      <c r="M221">
        <v>0.99998719999999996</v>
      </c>
      <c r="N221">
        <v>-4.8654739999999998E-3</v>
      </c>
      <c r="O221">
        <v>1.3614580000000001E-3</v>
      </c>
      <c r="P221">
        <v>0.95912419999999998</v>
      </c>
      <c r="Q221">
        <v>0.26839410000000002</v>
      </c>
      <c r="R221">
        <v>8.9695639999999993E-2</v>
      </c>
      <c r="S221">
        <v>3.1970830000000001</v>
      </c>
      <c r="T221">
        <v>-0.27342569999999999</v>
      </c>
      <c r="U221">
        <v>7.830811E-2</v>
      </c>
      <c r="V221">
        <v>-8.8479150000000006E-2</v>
      </c>
      <c r="W221">
        <v>0.27302929999999997</v>
      </c>
      <c r="X221">
        <v>0.95792820000000001</v>
      </c>
      <c r="Y221">
        <v>-2.3040740000000001E-2</v>
      </c>
      <c r="Z221">
        <v>9.2989449999999997E-4</v>
      </c>
      <c r="AA221">
        <v>0.99973409999999996</v>
      </c>
      <c r="AB221">
        <v>26</v>
      </c>
      <c r="AC221">
        <v>12.8285</v>
      </c>
      <c r="AD221">
        <v>-1.10957158917</v>
      </c>
      <c r="AE221">
        <v>0.31740000000002</v>
      </c>
      <c r="AF221">
        <v>-0.297708245526286</v>
      </c>
      <c r="AG221">
        <v>-1.10957158917</v>
      </c>
      <c r="AH221">
        <v>12.7337177444759</v>
      </c>
      <c r="AI221">
        <v>94.978621507892498</v>
      </c>
      <c r="AJ221">
        <v>91.339304002262793</v>
      </c>
      <c r="AK221">
        <v>12.7854349518086</v>
      </c>
      <c r="AL221">
        <v>74.155392286345602</v>
      </c>
      <c r="AM221">
        <v>95.277158318743702</v>
      </c>
      <c r="AN221">
        <v>0.99999999749922597</v>
      </c>
    </row>
    <row r="222" spans="1:40" x14ac:dyDescent="0.25">
      <c r="A222" t="str">
        <f>"20190304164340364"</f>
        <v>20190304164340364</v>
      </c>
      <c r="B222" t="str">
        <f>"1551689020350412"</f>
        <v>1551689020350412</v>
      </c>
      <c r="C222" t="s">
        <v>40</v>
      </c>
      <c r="D222">
        <v>5.2961410000000004</v>
      </c>
      <c r="E222">
        <v>0.53909700000000005</v>
      </c>
      <c r="F222" t="s">
        <v>41</v>
      </c>
      <c r="G222">
        <v>-453.13850000000002</v>
      </c>
      <c r="H222">
        <v>1.0383599999999999</v>
      </c>
      <c r="I222">
        <v>366.91570000000002</v>
      </c>
      <c r="J222">
        <v>-453.75760000000002</v>
      </c>
      <c r="K222">
        <v>1.1095820000000001</v>
      </c>
      <c r="L222">
        <v>366.89749999999998</v>
      </c>
      <c r="M222">
        <v>0.99998659999999995</v>
      </c>
      <c r="N222">
        <v>-4.9758939999999998E-3</v>
      </c>
      <c r="O222">
        <v>1.542821E-3</v>
      </c>
      <c r="P222">
        <v>0.95913389999999998</v>
      </c>
      <c r="Q222">
        <v>0.26851760000000002</v>
      </c>
      <c r="R222">
        <v>8.9222880000000004E-2</v>
      </c>
      <c r="S222">
        <v>3.196777</v>
      </c>
      <c r="T222">
        <v>-0.27097259999999901</v>
      </c>
      <c r="U222">
        <v>7.369995E-2</v>
      </c>
      <c r="V222">
        <v>-8.7832789999999994E-2</v>
      </c>
      <c r="W222">
        <v>0.27325870000000002</v>
      </c>
      <c r="X222">
        <v>0.9579223</v>
      </c>
      <c r="Y222">
        <v>-2.1429440000000001E-2</v>
      </c>
      <c r="Z222">
        <v>8.3704319999999995E-4</v>
      </c>
      <c r="AA222">
        <v>0.99977000000000005</v>
      </c>
      <c r="AB222">
        <v>26</v>
      </c>
      <c r="AC222">
        <v>0.61910000000000298</v>
      </c>
      <c r="AD222">
        <v>-7.1222000000000105E-2</v>
      </c>
      <c r="AE222">
        <v>1.8200000000035702E-2</v>
      </c>
      <c r="AF222">
        <v>-1.7019753188876E-2</v>
      </c>
      <c r="AG222">
        <v>-7.1222000000000105E-2</v>
      </c>
      <c r="AH222">
        <v>0.61104743355444702</v>
      </c>
      <c r="AI222">
        <v>96.645684920226302</v>
      </c>
      <c r="AJ222">
        <v>91.595470186893905</v>
      </c>
      <c r="AK222">
        <v>0.61541954091179696</v>
      </c>
      <c r="AL222">
        <v>74.141729504449998</v>
      </c>
      <c r="AM222">
        <v>95.238854870629794</v>
      </c>
      <c r="AN222">
        <v>1.0000000244810801</v>
      </c>
    </row>
    <row r="223" spans="1:40" x14ac:dyDescent="0.25">
      <c r="A223" t="str">
        <f>"20190304164340378"</f>
        <v>20190304164340378</v>
      </c>
      <c r="B223" t="str">
        <f>"1551689020370909"</f>
        <v>1551689020370909</v>
      </c>
      <c r="C223" t="s">
        <v>40</v>
      </c>
      <c r="D223">
        <v>5.353567</v>
      </c>
      <c r="E223">
        <v>0.53935919999999904</v>
      </c>
      <c r="F223" t="s">
        <v>41</v>
      </c>
      <c r="G223">
        <v>-452.90469999999999</v>
      </c>
      <c r="H223">
        <v>1.0376570000000001</v>
      </c>
      <c r="I223">
        <v>366.91609999999997</v>
      </c>
      <c r="J223">
        <v>-453.59530000000001</v>
      </c>
      <c r="K223">
        <v>1.109591</v>
      </c>
      <c r="L223">
        <v>366.89780000000002</v>
      </c>
      <c r="M223">
        <v>0.99998580000000004</v>
      </c>
      <c r="N223">
        <v>-5.0524680000000001E-3</v>
      </c>
      <c r="O223">
        <v>1.6743719999999999E-3</v>
      </c>
      <c r="P223">
        <v>0.95918320000000001</v>
      </c>
      <c r="Q223">
        <v>0.26845409999999997</v>
      </c>
      <c r="R223">
        <v>8.8882630000000004E-2</v>
      </c>
      <c r="S223">
        <v>3.196777</v>
      </c>
      <c r="T223">
        <v>-0.2697657</v>
      </c>
      <c r="U223">
        <v>7.0709229999999998E-2</v>
      </c>
      <c r="V223">
        <v>-8.7367029999999998E-2</v>
      </c>
      <c r="W223">
        <v>0.27326919999999999</v>
      </c>
      <c r="X223">
        <v>0.95796190000000003</v>
      </c>
      <c r="Y223">
        <v>-2.036804E-2</v>
      </c>
      <c r="Z223">
        <v>7.7674369999999903E-4</v>
      </c>
      <c r="AA223">
        <v>0.99979229999999997</v>
      </c>
      <c r="AB223">
        <v>26</v>
      </c>
      <c r="AC223">
        <v>0.69060000000001698</v>
      </c>
      <c r="AD223">
        <v>-7.1933999999999901E-2</v>
      </c>
      <c r="AE223">
        <v>1.8299999999953801E-2</v>
      </c>
      <c r="AF223">
        <v>-1.6959760092376201E-2</v>
      </c>
      <c r="AG223">
        <v>-7.1933999999999901E-2</v>
      </c>
      <c r="AH223">
        <v>0.68322216118267498</v>
      </c>
      <c r="AI223">
        <v>96.008485533222796</v>
      </c>
      <c r="AJ223">
        <v>91.421972551248302</v>
      </c>
      <c r="AK223">
        <v>0.68720786909749199</v>
      </c>
      <c r="AL223">
        <v>74.141104147944205</v>
      </c>
      <c r="AM223">
        <v>95.211013380000196</v>
      </c>
      <c r="AN223">
        <v>1.00000002772563</v>
      </c>
    </row>
    <row r="224" spans="1:40" x14ac:dyDescent="0.25">
      <c r="A224" t="str">
        <f>"20190304164340399"</f>
        <v>20190304164340399</v>
      </c>
      <c r="B224" t="str">
        <f>"1551689020390429"</f>
        <v>1551689020390429</v>
      </c>
      <c r="C224" t="s">
        <v>40</v>
      </c>
      <c r="D224">
        <v>5.7295530000000001</v>
      </c>
      <c r="E224">
        <v>0.53956499999999996</v>
      </c>
      <c r="F224" t="s">
        <v>41</v>
      </c>
      <c r="G224">
        <v>-452.67189999999999</v>
      </c>
      <c r="H224">
        <v>1.0322370000000001</v>
      </c>
      <c r="I224">
        <v>366.9169</v>
      </c>
      <c r="J224">
        <v>-453.33670000000001</v>
      </c>
      <c r="K224">
        <v>1.109604</v>
      </c>
      <c r="L224">
        <v>366.89850000000001</v>
      </c>
      <c r="M224">
        <v>0.99998500000000001</v>
      </c>
      <c r="N224">
        <v>-5.1658570000000003E-3</v>
      </c>
      <c r="O224">
        <v>1.884157E-3</v>
      </c>
      <c r="P224">
        <v>0.95923999999999998</v>
      </c>
      <c r="Q224">
        <v>0.26819490000000001</v>
      </c>
      <c r="R224">
        <v>8.9054579999999994E-2</v>
      </c>
      <c r="S224">
        <v>3.1963499999999998</v>
      </c>
      <c r="T224">
        <v>-0.26809569999999999</v>
      </c>
      <c r="U224">
        <v>6.7932129999999993E-2</v>
      </c>
      <c r="V224">
        <v>-8.7338499999999999E-2</v>
      </c>
      <c r="W224">
        <v>0.27311829999999998</v>
      </c>
      <c r="X224">
        <v>0.95800750000000001</v>
      </c>
      <c r="Y224">
        <v>-1.9298340000000001E-2</v>
      </c>
      <c r="Z224">
        <v>7.0974280000000002E-4</v>
      </c>
      <c r="AA224">
        <v>0.99981350000000002</v>
      </c>
      <c r="AB224">
        <v>26</v>
      </c>
      <c r="AC224">
        <v>0.66480000000001305</v>
      </c>
      <c r="AD224">
        <v>-7.7366999999999894E-2</v>
      </c>
      <c r="AE224">
        <v>1.8399999999985501E-2</v>
      </c>
      <c r="AF224">
        <v>-1.6918404923540901E-2</v>
      </c>
      <c r="AG224">
        <v>-7.7366999999999894E-2</v>
      </c>
      <c r="AH224">
        <v>0.65595637304548404</v>
      </c>
      <c r="AI224">
        <v>96.724477596349203</v>
      </c>
      <c r="AJ224">
        <v>91.477443283757495</v>
      </c>
      <c r="AK224">
        <v>0.66071979571762696</v>
      </c>
      <c r="AL224">
        <v>74.150091449984203</v>
      </c>
      <c r="AM224">
        <v>95.209074476486194</v>
      </c>
      <c r="AN224">
        <v>0.99999999471669498</v>
      </c>
    </row>
    <row r="225" spans="1:40" x14ac:dyDescent="0.25">
      <c r="A225" t="str">
        <f>"20190304164340422"</f>
        <v>20190304164340422</v>
      </c>
      <c r="B225" t="str">
        <f>"1551689020409948"</f>
        <v>1551689020409948</v>
      </c>
      <c r="C225" t="s">
        <v>40</v>
      </c>
      <c r="D225">
        <v>5.2886899999999999</v>
      </c>
      <c r="E225">
        <v>0.53970149999999995</v>
      </c>
      <c r="F225" t="s">
        <v>41</v>
      </c>
      <c r="G225">
        <v>-452.4325</v>
      </c>
      <c r="H225">
        <v>1.034125</v>
      </c>
      <c r="I225">
        <v>366.91719999999998</v>
      </c>
      <c r="J225">
        <v>-453.06599999999997</v>
      </c>
      <c r="K225">
        <v>1.109615</v>
      </c>
      <c r="L225">
        <v>366.89929999999998</v>
      </c>
      <c r="M225">
        <v>0.99998399999999998</v>
      </c>
      <c r="N225">
        <v>-5.274763E-3</v>
      </c>
      <c r="O225">
        <v>2.1052129999999999E-3</v>
      </c>
      <c r="P225">
        <v>0.95915289999999997</v>
      </c>
      <c r="Q225">
        <v>0.26830579999999998</v>
      </c>
      <c r="R225">
        <v>8.96536E-2</v>
      </c>
      <c r="S225">
        <v>3.1959840000000002</v>
      </c>
      <c r="T225">
        <v>-0.26698369999999999</v>
      </c>
      <c r="U225">
        <v>6.674194E-2</v>
      </c>
      <c r="V225">
        <v>-8.7726730000000003E-2</v>
      </c>
      <c r="W225">
        <v>0.27333249999999998</v>
      </c>
      <c r="X225">
        <v>0.95791099999999996</v>
      </c>
      <c r="Y225">
        <v>-1.8710839999999999E-2</v>
      </c>
      <c r="Z225">
        <v>6.65075E-4</v>
      </c>
      <c r="AA225">
        <v>0.99982470000000001</v>
      </c>
      <c r="AB225">
        <v>27</v>
      </c>
      <c r="AC225">
        <v>0.63349999999996898</v>
      </c>
      <c r="AD225">
        <v>-7.5490000000000002E-2</v>
      </c>
      <c r="AE225">
        <v>1.78999999999973E-2</v>
      </c>
      <c r="AF225">
        <v>-1.6334525744825999E-2</v>
      </c>
      <c r="AG225">
        <v>-7.5490000000000002E-2</v>
      </c>
      <c r="AH225">
        <v>0.62467305467957601</v>
      </c>
      <c r="AI225">
        <v>96.888289513101597</v>
      </c>
      <c r="AJ225">
        <v>91.497881418002606</v>
      </c>
      <c r="AK225">
        <v>0.62942988654338705</v>
      </c>
      <c r="AL225">
        <v>74.137334296460807</v>
      </c>
      <c r="AM225">
        <v>95.232625359580695</v>
      </c>
      <c r="AN225">
        <v>1.0000000593168601</v>
      </c>
    </row>
    <row r="226" spans="1:40" x14ac:dyDescent="0.25">
      <c r="A226" t="str">
        <f>"20190304164340443"</f>
        <v>20190304164340443</v>
      </c>
      <c r="B226" t="str">
        <f>"1551689020430444"</f>
        <v>1551689020430444</v>
      </c>
      <c r="C226" t="s">
        <v>40</v>
      </c>
      <c r="D226">
        <v>5.2515429999999999</v>
      </c>
      <c r="E226">
        <v>0.53988700000000001</v>
      </c>
      <c r="F226" t="s">
        <v>41</v>
      </c>
      <c r="G226">
        <v>-452.19119999999998</v>
      </c>
      <c r="H226">
        <v>1.0372920000000001</v>
      </c>
      <c r="I226">
        <v>366.91719999999998</v>
      </c>
      <c r="J226">
        <v>-452.82100000000003</v>
      </c>
      <c r="K226">
        <v>1.109618</v>
      </c>
      <c r="L226">
        <v>366.9</v>
      </c>
      <c r="M226">
        <v>0.99998310000000001</v>
      </c>
      <c r="N226">
        <v>-5.3652939999999996E-3</v>
      </c>
      <c r="O226">
        <v>2.3062199999999999E-3</v>
      </c>
      <c r="P226">
        <v>0.95905099999999999</v>
      </c>
      <c r="Q226">
        <v>0.26836549999999998</v>
      </c>
      <c r="R226">
        <v>9.0562719999999999E-2</v>
      </c>
      <c r="S226">
        <v>3.1954959999999999</v>
      </c>
      <c r="T226">
        <v>-0.26452109999999901</v>
      </c>
      <c r="U226">
        <v>6.6955570000000006E-2</v>
      </c>
      <c r="V226">
        <v>-8.8444610000000007E-2</v>
      </c>
      <c r="W226">
        <v>0.2734779</v>
      </c>
      <c r="X226">
        <v>0.95780339999999997</v>
      </c>
      <c r="Y226">
        <v>-1.8581940000000002E-2</v>
      </c>
      <c r="Z226">
        <v>6.3944220000000001E-4</v>
      </c>
      <c r="AA226">
        <v>0.99982709999999997</v>
      </c>
      <c r="AB226">
        <v>27</v>
      </c>
      <c r="AC226">
        <v>0.62979999999998804</v>
      </c>
      <c r="AD226">
        <v>-7.2325999999999793E-2</v>
      </c>
      <c r="AE226">
        <v>1.7200000000002501E-2</v>
      </c>
      <c r="AF226">
        <v>-1.5542650323592099E-2</v>
      </c>
      <c r="AG226">
        <v>-7.2325999999999793E-2</v>
      </c>
      <c r="AH226">
        <v>0.62164575102841302</v>
      </c>
      <c r="AI226">
        <v>96.634243772504107</v>
      </c>
      <c r="AJ226">
        <v>91.432234952770898</v>
      </c>
      <c r="AK226">
        <v>0.62603199920352404</v>
      </c>
      <c r="AL226">
        <v>74.128672244946003</v>
      </c>
      <c r="AM226">
        <v>95.275793333614104</v>
      </c>
      <c r="AN226">
        <v>0.99999998193901096</v>
      </c>
    </row>
    <row r="227" spans="1:40" x14ac:dyDescent="0.25">
      <c r="A227" t="str">
        <f>"20190304164340480"</f>
        <v>20190304164340480</v>
      </c>
      <c r="B227" t="str">
        <f>"1551689020470461"</f>
        <v>1551689020470461</v>
      </c>
      <c r="C227" t="s">
        <v>40</v>
      </c>
      <c r="D227">
        <v>5.7190750000000001</v>
      </c>
      <c r="E227">
        <v>0.54012139999999997</v>
      </c>
      <c r="F227" t="s">
        <v>41</v>
      </c>
      <c r="G227">
        <v>-451.95100000000002</v>
      </c>
      <c r="H227">
        <v>1.037771</v>
      </c>
      <c r="I227">
        <v>366.91840000000002</v>
      </c>
      <c r="J227">
        <v>-452.37439999999998</v>
      </c>
      <c r="K227">
        <v>1.1096140000000001</v>
      </c>
      <c r="L227">
        <v>366.9015</v>
      </c>
      <c r="M227">
        <v>0.99998129999999996</v>
      </c>
      <c r="N227">
        <v>-5.5123109999999998E-3</v>
      </c>
      <c r="O227">
        <v>2.675939E-3</v>
      </c>
      <c r="P227">
        <v>0.95906769999999997</v>
      </c>
      <c r="Q227">
        <v>0.2678085</v>
      </c>
      <c r="R227">
        <v>9.2022300000000001E-2</v>
      </c>
      <c r="S227">
        <v>3.195557</v>
      </c>
      <c r="T227">
        <v>-0.2640209</v>
      </c>
      <c r="U227">
        <v>6.8145750000000005E-2</v>
      </c>
      <c r="V227">
        <v>-8.9550749999999998E-2</v>
      </c>
      <c r="W227">
        <v>0.2730609</v>
      </c>
      <c r="X227">
        <v>0.95781959999999999</v>
      </c>
      <c r="Y227">
        <v>-1.8585270000000001E-2</v>
      </c>
      <c r="Z227">
        <v>6.1173870000000004E-4</v>
      </c>
      <c r="AA227">
        <v>0.99982709999999997</v>
      </c>
      <c r="AB227">
        <v>27</v>
      </c>
      <c r="AC227">
        <v>0.42340000000001499</v>
      </c>
      <c r="AD227">
        <v>-7.1842999999999796E-2</v>
      </c>
      <c r="AE227">
        <v>1.6900000000020999E-2</v>
      </c>
      <c r="AF227">
        <v>-1.5326359849755901E-2</v>
      </c>
      <c r="AG227">
        <v>-7.1842999999999796E-2</v>
      </c>
      <c r="AH227">
        <v>0.41161156508693097</v>
      </c>
      <c r="AI227">
        <v>99.893992763140005</v>
      </c>
      <c r="AJ227">
        <v>92.132423666384895</v>
      </c>
      <c r="AK227">
        <v>0.41811528848938001</v>
      </c>
      <c r="AL227">
        <v>74.153510086060194</v>
      </c>
      <c r="AM227">
        <v>95.341306374271198</v>
      </c>
      <c r="AN227">
        <v>0.99999998903926601</v>
      </c>
    </row>
    <row r="228" spans="1:40" x14ac:dyDescent="0.25">
      <c r="A228" t="str">
        <f>"20190304164340498"</f>
        <v>20190304164340498</v>
      </c>
      <c r="B228" t="str">
        <f>"1551689020489980"</f>
        <v>1551689020489980</v>
      </c>
      <c r="C228" t="s">
        <v>40</v>
      </c>
      <c r="D228">
        <v>5.2715129999999997</v>
      </c>
      <c r="E228">
        <v>0.54032799999999903</v>
      </c>
      <c r="F228" t="s">
        <v>41</v>
      </c>
      <c r="G228">
        <v>-451.47160000000002</v>
      </c>
      <c r="H228">
        <v>1.034181</v>
      </c>
      <c r="I228">
        <v>366.92140000000001</v>
      </c>
      <c r="J228">
        <v>-452.13650000000001</v>
      </c>
      <c r="K228">
        <v>1.109618</v>
      </c>
      <c r="L228">
        <v>366.90230000000003</v>
      </c>
      <c r="M228">
        <v>0.99998039999999999</v>
      </c>
      <c r="N228">
        <v>-5.5820069999999999E-3</v>
      </c>
      <c r="O228">
        <v>2.8735900000000001E-3</v>
      </c>
      <c r="P228">
        <v>0.9590592</v>
      </c>
      <c r="Q228">
        <v>0.26756489999999999</v>
      </c>
      <c r="R228">
        <v>9.2814800000000003E-2</v>
      </c>
      <c r="S228">
        <v>3.19577</v>
      </c>
      <c r="T228">
        <v>-0.26707069999999999</v>
      </c>
      <c r="U228">
        <v>7.1166989999999999E-2</v>
      </c>
      <c r="V228">
        <v>-9.0154670000000006E-2</v>
      </c>
      <c r="W228">
        <v>0.27288440000000003</v>
      </c>
      <c r="X228">
        <v>0.95781329999999998</v>
      </c>
      <c r="Y228">
        <v>-1.9327449999999999E-2</v>
      </c>
      <c r="Z228">
        <v>6.3645960000000001E-4</v>
      </c>
      <c r="AA228">
        <v>0.99981299999999995</v>
      </c>
      <c r="AB228">
        <v>27</v>
      </c>
      <c r="AC228">
        <v>0.66489999999998795</v>
      </c>
      <c r="AD228">
        <v>-7.5436999999999907E-2</v>
      </c>
      <c r="AE228">
        <v>1.9099999999980299E-2</v>
      </c>
      <c r="AF228">
        <v>-1.6970966335694799E-2</v>
      </c>
      <c r="AG228">
        <v>-7.5436999999999907E-2</v>
      </c>
      <c r="AH228">
        <v>0.65650833661541397</v>
      </c>
      <c r="AI228">
        <v>96.552732650167698</v>
      </c>
      <c r="AJ228">
        <v>91.480785828261105</v>
      </c>
      <c r="AK228">
        <v>0.66104610331875102</v>
      </c>
      <c r="AL228">
        <v>74.164022826998206</v>
      </c>
      <c r="AM228">
        <v>95.377152261278894</v>
      </c>
      <c r="AN228">
        <v>1.00000003897152</v>
      </c>
    </row>
    <row r="229" spans="1:40" x14ac:dyDescent="0.25">
      <c r="A229" t="str">
        <f>"20190304164340512"</f>
        <v>20190304164340512</v>
      </c>
      <c r="B229" t="str">
        <f>"1551689020500717"</f>
        <v>1551689020500717</v>
      </c>
      <c r="C229" t="s">
        <v>40</v>
      </c>
      <c r="D229">
        <v>5.2646920000000001</v>
      </c>
      <c r="E229">
        <v>0.54045019999999999</v>
      </c>
      <c r="F229" t="s">
        <v>41</v>
      </c>
      <c r="G229">
        <v>-451.22930000000002</v>
      </c>
      <c r="H229">
        <v>1.034117</v>
      </c>
      <c r="I229">
        <v>366.92230000000001</v>
      </c>
      <c r="J229">
        <v>-451.97579999999999</v>
      </c>
      <c r="K229">
        <v>1.109618</v>
      </c>
      <c r="L229">
        <v>366.90289999999999</v>
      </c>
      <c r="M229">
        <v>0.99997970000000003</v>
      </c>
      <c r="N229">
        <v>-5.6265389999999998E-3</v>
      </c>
      <c r="O229">
        <v>3.0069910000000001E-3</v>
      </c>
      <c r="P229">
        <v>0.95901000000000003</v>
      </c>
      <c r="Q229">
        <v>0.26761679999999999</v>
      </c>
      <c r="R229">
        <v>9.317259E-2</v>
      </c>
      <c r="S229">
        <v>3.1953740000000002</v>
      </c>
      <c r="T229">
        <v>-0.2662001</v>
      </c>
      <c r="U229">
        <v>7.1624759999999996E-2</v>
      </c>
      <c r="V229">
        <v>-9.0384619999999999E-2</v>
      </c>
      <c r="W229">
        <v>0.272978</v>
      </c>
      <c r="X229">
        <v>0.95776490000000003</v>
      </c>
      <c r="Y229">
        <v>-1.9340679999999999E-2</v>
      </c>
      <c r="Z229">
        <v>6.2549139999999997E-4</v>
      </c>
      <c r="AA229">
        <v>0.99981279999999995</v>
      </c>
      <c r="AB229">
        <v>27</v>
      </c>
      <c r="AC229">
        <v>0.74649999999996897</v>
      </c>
      <c r="AD229">
        <v>-7.5500999999999999E-2</v>
      </c>
      <c r="AE229">
        <v>1.9400000000018701E-2</v>
      </c>
      <c r="AF229">
        <v>-1.6981565849218901E-2</v>
      </c>
      <c r="AG229">
        <v>-7.5500999999999999E-2</v>
      </c>
      <c r="AH229">
        <v>0.73900060690577896</v>
      </c>
      <c r="AI229">
        <v>95.831931855261601</v>
      </c>
      <c r="AJ229">
        <v>91.3163735484776</v>
      </c>
      <c r="AK229">
        <v>0.74304150058176499</v>
      </c>
      <c r="AL229">
        <v>74.158447433435796</v>
      </c>
      <c r="AM229">
        <v>95.391057434598906</v>
      </c>
      <c r="AN229">
        <v>0.99999998584427696</v>
      </c>
    </row>
    <row r="230" spans="1:40" x14ac:dyDescent="0.25">
      <c r="A230" t="str">
        <f>"20190304164340531"</f>
        <v>20190304164340531</v>
      </c>
      <c r="B230" t="str">
        <f>"1551689020520236"</f>
        <v>1551689020520236</v>
      </c>
      <c r="C230" t="s">
        <v>40</v>
      </c>
      <c r="D230">
        <v>5.3006219999999997</v>
      </c>
      <c r="E230">
        <v>0.54064730000000005</v>
      </c>
      <c r="F230" t="s">
        <v>43</v>
      </c>
      <c r="G230">
        <v>-438.0127</v>
      </c>
      <c r="H230">
        <v>-0.05</v>
      </c>
      <c r="I230">
        <v>367.21530000000001</v>
      </c>
      <c r="J230">
        <v>-451.74639999999999</v>
      </c>
      <c r="K230">
        <v>1.109626</v>
      </c>
      <c r="L230">
        <v>366.90379999999999</v>
      </c>
      <c r="M230">
        <v>0.99997879999999995</v>
      </c>
      <c r="N230">
        <v>-5.6860779999999998E-3</v>
      </c>
      <c r="O230">
        <v>3.1973930000000002E-3</v>
      </c>
      <c r="P230">
        <v>0.95896060000000005</v>
      </c>
      <c r="Q230">
        <v>0.26776660000000002</v>
      </c>
      <c r="R230">
        <v>9.3253020000000006E-2</v>
      </c>
      <c r="S230">
        <v>3.1953130000000001</v>
      </c>
      <c r="T230">
        <v>-0.26536680000000001</v>
      </c>
      <c r="U230">
        <v>7.1502689999999994E-2</v>
      </c>
      <c r="V230">
        <v>-9.0283699999999995E-2</v>
      </c>
      <c r="W230">
        <v>0.27318439999999999</v>
      </c>
      <c r="X230">
        <v>0.9577156</v>
      </c>
      <c r="Y230">
        <v>-1.9114269999999999E-2</v>
      </c>
      <c r="Z230">
        <v>5.9979749999999996E-4</v>
      </c>
      <c r="AA230">
        <v>0.99981710000000001</v>
      </c>
      <c r="AB230">
        <v>27</v>
      </c>
      <c r="AC230">
        <v>13.733700000000001</v>
      </c>
      <c r="AD230">
        <v>-1.159626</v>
      </c>
      <c r="AE230">
        <v>0.31150000000002298</v>
      </c>
      <c r="AF230">
        <v>-0.26569237770521198</v>
      </c>
      <c r="AG230">
        <v>-1.159626</v>
      </c>
      <c r="AH230">
        <v>13.637447231654001</v>
      </c>
      <c r="AI230">
        <v>94.859392967271603</v>
      </c>
      <c r="AJ230">
        <v>91.116127234031893</v>
      </c>
      <c r="AK230">
        <v>13.689240004309699</v>
      </c>
      <c r="AL230">
        <v>74.146154837659296</v>
      </c>
      <c r="AM230">
        <v>95.385348968472101</v>
      </c>
      <c r="AN230">
        <v>1.0000000166862</v>
      </c>
    </row>
    <row r="231" spans="1:40" x14ac:dyDescent="0.25">
      <c r="A231" t="str">
        <f>"20190304164340546"</f>
        <v>20190304164340546</v>
      </c>
      <c r="B231" t="str">
        <f>"1551689020540733"</f>
        <v>1551689020540733</v>
      </c>
      <c r="C231" t="s">
        <v>40</v>
      </c>
      <c r="D231">
        <v>5.4463920000000003</v>
      </c>
      <c r="E231">
        <v>0.54077359999999997</v>
      </c>
      <c r="F231" t="s">
        <v>43</v>
      </c>
      <c r="G231">
        <v>-437.68860000000001</v>
      </c>
      <c r="H231">
        <v>-0.05</v>
      </c>
      <c r="I231">
        <v>367.21179999999998</v>
      </c>
      <c r="J231">
        <v>-451.56630000000001</v>
      </c>
      <c r="K231">
        <v>1.1096349999999999</v>
      </c>
      <c r="L231">
        <v>366.90449999999998</v>
      </c>
      <c r="M231">
        <v>0.99997789999999998</v>
      </c>
      <c r="N231">
        <v>-5.7281019999999997E-3</v>
      </c>
      <c r="O231">
        <v>3.3467140000000002E-3</v>
      </c>
      <c r="P231">
        <v>0.95887670000000003</v>
      </c>
      <c r="Q231">
        <v>0.26796579999999998</v>
      </c>
      <c r="R231">
        <v>9.3540189999999995E-2</v>
      </c>
      <c r="S231">
        <v>3.1951290000000001</v>
      </c>
      <c r="T231">
        <v>-0.26356580000000002</v>
      </c>
      <c r="U231">
        <v>7.0007319999999998E-2</v>
      </c>
      <c r="V231">
        <v>-9.0428460000000002E-2</v>
      </c>
      <c r="W231">
        <v>0.27342329999999998</v>
      </c>
      <c r="X231">
        <v>0.95763370000000003</v>
      </c>
      <c r="Y231">
        <v>-1.8501940000000001E-2</v>
      </c>
      <c r="Z231">
        <v>5.5839189999999997E-4</v>
      </c>
      <c r="AA231">
        <v>0.99982870000000001</v>
      </c>
      <c r="AB231">
        <v>27</v>
      </c>
      <c r="AC231">
        <v>13.877700000000001</v>
      </c>
      <c r="AD231">
        <v>-1.159635</v>
      </c>
      <c r="AE231">
        <v>0.30729999999999702</v>
      </c>
      <c r="AF231">
        <v>-0.25904493871220102</v>
      </c>
      <c r="AG231">
        <v>-1.159635</v>
      </c>
      <c r="AH231">
        <v>13.7824625922261</v>
      </c>
      <c r="AI231">
        <v>94.808604825799193</v>
      </c>
      <c r="AJ231">
        <v>91.076762170664693</v>
      </c>
      <c r="AK231">
        <v>13.8335871240835</v>
      </c>
      <c r="AL231">
        <v>74.131924120129796</v>
      </c>
      <c r="AM231">
        <v>95.394391482325105</v>
      </c>
      <c r="AN231">
        <v>0.99999995536827402</v>
      </c>
    </row>
    <row r="232" spans="1:40" x14ac:dyDescent="0.25">
      <c r="A232" t="str">
        <f>"20190304164340559"</f>
        <v>20190304164340559</v>
      </c>
      <c r="B232" t="str">
        <f>"1551689020550493"</f>
        <v>1551689020550493</v>
      </c>
      <c r="C232" t="s">
        <v>40</v>
      </c>
      <c r="D232">
        <v>5.3033109999999999</v>
      </c>
      <c r="E232">
        <v>0.54086669999999903</v>
      </c>
      <c r="F232" t="s">
        <v>43</v>
      </c>
      <c r="G232">
        <v>-437.40719999999999</v>
      </c>
      <c r="H232">
        <v>-0.05</v>
      </c>
      <c r="I232">
        <v>367.2122</v>
      </c>
      <c r="J232">
        <v>-451.40539999999999</v>
      </c>
      <c r="K232">
        <v>1.109639</v>
      </c>
      <c r="L232">
        <v>366.90519999999998</v>
      </c>
      <c r="M232">
        <v>0.99997740000000002</v>
      </c>
      <c r="N232">
        <v>-5.7629309999999998E-3</v>
      </c>
      <c r="O232">
        <v>3.4800780000000002E-3</v>
      </c>
      <c r="P232">
        <v>0.95877230000000002</v>
      </c>
      <c r="Q232">
        <v>0.26827430000000002</v>
      </c>
      <c r="R232">
        <v>9.3726470000000006E-2</v>
      </c>
      <c r="S232">
        <v>3.1950379999999998</v>
      </c>
      <c r="T232">
        <v>-0.26167499999999999</v>
      </c>
      <c r="U232">
        <v>6.9427489999999994E-2</v>
      </c>
      <c r="V232">
        <v>-9.0487380000000006E-2</v>
      </c>
      <c r="W232">
        <v>0.27376460000000002</v>
      </c>
      <c r="X232">
        <v>0.95753069999999896</v>
      </c>
      <c r="Y232">
        <v>-1.8190109999999999E-2</v>
      </c>
      <c r="Z232">
        <v>5.3158640000000004E-4</v>
      </c>
      <c r="AA232">
        <v>0.99983440000000001</v>
      </c>
      <c r="AB232">
        <v>27</v>
      </c>
      <c r="AC232">
        <v>13.998199999999899</v>
      </c>
      <c r="AD232">
        <v>-1.1596389999999901</v>
      </c>
      <c r="AE232">
        <v>0.30700000000001598</v>
      </c>
      <c r="AF232">
        <v>-0.25652288857196298</v>
      </c>
      <c r="AG232">
        <v>-1.1596389999999901</v>
      </c>
      <c r="AH232">
        <v>13.903810458785401</v>
      </c>
      <c r="AI232">
        <v>94.766878027250002</v>
      </c>
      <c r="AJ232">
        <v>91.056977263195293</v>
      </c>
      <c r="AK232">
        <v>13.9544441622199</v>
      </c>
      <c r="AL232">
        <v>74.111594601393904</v>
      </c>
      <c r="AM232">
        <v>95.398462735408302</v>
      </c>
      <c r="AN232">
        <v>1.00000003179745</v>
      </c>
    </row>
    <row r="233" spans="1:40" x14ac:dyDescent="0.25">
      <c r="A233" t="str">
        <f>"20190304164340577"</f>
        <v>20190304164340577</v>
      </c>
      <c r="B233" t="str">
        <f>"1551689020570012"</f>
        <v>1551689020570012</v>
      </c>
      <c r="C233" t="s">
        <v>40</v>
      </c>
      <c r="D233">
        <v>5.318365</v>
      </c>
      <c r="E233">
        <v>0.54104479999999999</v>
      </c>
      <c r="F233" t="s">
        <v>41</v>
      </c>
      <c r="G233">
        <v>-450.49619999999999</v>
      </c>
      <c r="H233">
        <v>1.035582</v>
      </c>
      <c r="I233">
        <v>366.9248</v>
      </c>
      <c r="J233">
        <v>-451.18299999999999</v>
      </c>
      <c r="K233">
        <v>1.109645</v>
      </c>
      <c r="L233">
        <v>366.90620000000001</v>
      </c>
      <c r="M233">
        <v>0.99997639999999999</v>
      </c>
      <c r="N233">
        <v>-5.8058780000000004E-3</v>
      </c>
      <c r="O233">
        <v>3.6645610000000002E-3</v>
      </c>
      <c r="P233">
        <v>0.958735</v>
      </c>
      <c r="Q233">
        <v>0.26858900000000002</v>
      </c>
      <c r="R233">
        <v>9.3203919999999996E-2</v>
      </c>
      <c r="S233">
        <v>3.195068</v>
      </c>
      <c r="T233">
        <v>-0.26035700000000001</v>
      </c>
      <c r="U233">
        <v>6.9427489999999994E-2</v>
      </c>
      <c r="V233">
        <v>-8.9788899999999894E-2</v>
      </c>
      <c r="W233">
        <v>0.27412049999999999</v>
      </c>
      <c r="X233">
        <v>0.95749459999999997</v>
      </c>
      <c r="Y233">
        <v>-1.8007099999999901E-2</v>
      </c>
      <c r="Z233">
        <v>5.0790549999999996E-4</v>
      </c>
      <c r="AA233">
        <v>0.9998378</v>
      </c>
      <c r="AB233">
        <v>27</v>
      </c>
      <c r="AC233">
        <v>0.68680000000006203</v>
      </c>
      <c r="AD233">
        <v>-7.4062999999999907E-2</v>
      </c>
      <c r="AE233">
        <v>1.8599999999992099E-2</v>
      </c>
      <c r="AF233">
        <v>-1.5898266814229099E-2</v>
      </c>
      <c r="AG233">
        <v>-7.4062999999999907E-2</v>
      </c>
      <c r="AH233">
        <v>0.67897355986838803</v>
      </c>
      <c r="AI233">
        <v>96.223565942198803</v>
      </c>
      <c r="AJ233">
        <v>91.341344089290203</v>
      </c>
      <c r="AK233">
        <v>0.683186049226013</v>
      </c>
      <c r="AL233">
        <v>74.090391463258996</v>
      </c>
      <c r="AM233">
        <v>95.357235693949505</v>
      </c>
      <c r="AN233">
        <v>1.0000000020563</v>
      </c>
    </row>
    <row r="234" spans="1:40" x14ac:dyDescent="0.25">
      <c r="A234" t="str">
        <f>"20190304164340591"</f>
        <v>20190304164340591</v>
      </c>
      <c r="B234" t="str">
        <f>"1551689020580749"</f>
        <v>1551689020580749</v>
      </c>
      <c r="C234" t="s">
        <v>40</v>
      </c>
      <c r="D234">
        <v>5.3149089999999903</v>
      </c>
      <c r="E234">
        <v>0.54112380000000004</v>
      </c>
      <c r="F234" t="s">
        <v>41</v>
      </c>
      <c r="G234">
        <v>-450.25220000000002</v>
      </c>
      <c r="H234">
        <v>1.0335369999999999</v>
      </c>
      <c r="I234">
        <v>366.9255</v>
      </c>
      <c r="J234">
        <v>-451.00959999999998</v>
      </c>
      <c r="K234">
        <v>1.1096469999999901</v>
      </c>
      <c r="L234">
        <v>366.90690000000001</v>
      </c>
      <c r="M234">
        <v>0.99997579999999997</v>
      </c>
      <c r="N234">
        <v>-5.8349329999999996E-3</v>
      </c>
      <c r="O234">
        <v>3.8078959999999999E-3</v>
      </c>
      <c r="P234">
        <v>0.95874300000000001</v>
      </c>
      <c r="Q234">
        <v>0.26858609999999999</v>
      </c>
      <c r="R234">
        <v>9.3130619999999997E-2</v>
      </c>
      <c r="S234">
        <v>3.195862</v>
      </c>
      <c r="T234">
        <v>-0.26160939999999999</v>
      </c>
      <c r="U234">
        <v>6.7565920000000002E-2</v>
      </c>
      <c r="V234">
        <v>-8.9578679999999994E-2</v>
      </c>
      <c r="W234">
        <v>0.27414519999999998</v>
      </c>
      <c r="X234">
        <v>0.9575072</v>
      </c>
      <c r="Y234">
        <v>-1.7278780000000001E-2</v>
      </c>
      <c r="Z234">
        <v>4.6748889999999999E-4</v>
      </c>
      <c r="AA234">
        <v>0.99985060000000003</v>
      </c>
      <c r="AB234">
        <v>27</v>
      </c>
      <c r="AC234">
        <v>0.75739999999996099</v>
      </c>
      <c r="AD234">
        <v>-7.6109999999999595E-2</v>
      </c>
      <c r="AE234">
        <v>1.8599999999992099E-2</v>
      </c>
      <c r="AF234">
        <v>-1.5558699685124E-2</v>
      </c>
      <c r="AG234">
        <v>-7.6109999999999595E-2</v>
      </c>
      <c r="AH234">
        <v>0.74989747996665201</v>
      </c>
      <c r="AI234">
        <v>95.794087270762802</v>
      </c>
      <c r="AJ234">
        <v>91.188589066750893</v>
      </c>
      <c r="AK234">
        <v>0.75391049581248504</v>
      </c>
      <c r="AL234">
        <v>74.088919594358501</v>
      </c>
      <c r="AM234">
        <v>95.344695758114696</v>
      </c>
      <c r="AN234">
        <v>0.99999998432271098</v>
      </c>
    </row>
    <row r="235" spans="1:40" x14ac:dyDescent="0.25">
      <c r="A235" t="str">
        <f>"20190304164340611"</f>
        <v>20190304164340611</v>
      </c>
      <c r="B235" t="str">
        <f>"1551689020600269"</f>
        <v>1551689020600269</v>
      </c>
      <c r="C235" t="s">
        <v>40</v>
      </c>
      <c r="D235">
        <v>5.311369</v>
      </c>
      <c r="E235">
        <v>0.54128430000000005</v>
      </c>
      <c r="F235" t="s">
        <v>43</v>
      </c>
      <c r="G235">
        <v>-436.8931</v>
      </c>
      <c r="H235">
        <v>-0.05</v>
      </c>
      <c r="I235">
        <v>367.20370000000003</v>
      </c>
      <c r="J235">
        <v>-450.75889999999998</v>
      </c>
      <c r="K235">
        <v>1.1096569999999999</v>
      </c>
      <c r="L235">
        <v>366.90809999999999</v>
      </c>
      <c r="M235">
        <v>0.99997469999999999</v>
      </c>
      <c r="N235">
        <v>-5.8705379999999998E-3</v>
      </c>
      <c r="O235">
        <v>4.0154070000000004E-3</v>
      </c>
      <c r="P235">
        <v>0.95871819999999996</v>
      </c>
      <c r="Q235">
        <v>0.26886339999999997</v>
      </c>
      <c r="R235">
        <v>9.2584819999999998E-2</v>
      </c>
      <c r="S235">
        <v>3.1961360000000001</v>
      </c>
      <c r="T235">
        <v>-0.26255729999999999</v>
      </c>
      <c r="U235">
        <v>6.7199709999999996E-2</v>
      </c>
      <c r="V235">
        <v>-8.8834899999999994E-2</v>
      </c>
      <c r="W235">
        <v>0.2744566</v>
      </c>
      <c r="X235">
        <v>0.95748730000000004</v>
      </c>
      <c r="Y235">
        <v>-1.695636E-2</v>
      </c>
      <c r="Z235">
        <v>4.3935749999999998E-4</v>
      </c>
      <c r="AA235">
        <v>0.99985610000000003</v>
      </c>
      <c r="AB235">
        <v>27</v>
      </c>
      <c r="AC235">
        <v>13.865799999999901</v>
      </c>
      <c r="AD235">
        <v>-1.1596569999999999</v>
      </c>
      <c r="AE235">
        <v>0.295600000000035</v>
      </c>
      <c r="AF235">
        <v>-0.23825406745021099</v>
      </c>
      <c r="AG235">
        <v>-1.1596569999999999</v>
      </c>
      <c r="AH235">
        <v>13.770597711014201</v>
      </c>
      <c r="AI235">
        <v>94.812948480534502</v>
      </c>
      <c r="AJ235">
        <v>90.991212649108206</v>
      </c>
      <c r="AK235">
        <v>13.821393948401001</v>
      </c>
      <c r="AL235">
        <v>74.070366257348297</v>
      </c>
      <c r="AM235">
        <v>95.300681616194098</v>
      </c>
      <c r="AN235">
        <v>0.99999999720142996</v>
      </c>
    </row>
    <row r="236" spans="1:40" x14ac:dyDescent="0.25">
      <c r="A236" t="str">
        <f>"20190304164340632"</f>
        <v>20190304164340632</v>
      </c>
      <c r="B236" t="str">
        <f>"1551689020620765"</f>
        <v>1551689020620765</v>
      </c>
      <c r="C236" t="s">
        <v>40</v>
      </c>
      <c r="D236">
        <v>5.3334619999999999</v>
      </c>
      <c r="E236">
        <v>0.54144239999999999</v>
      </c>
      <c r="F236" t="s">
        <v>43</v>
      </c>
      <c r="G236">
        <v>-436.68470000000002</v>
      </c>
      <c r="H236">
        <v>-0.05</v>
      </c>
      <c r="I236">
        <v>367.19040000000001</v>
      </c>
      <c r="J236">
        <v>-450.5086</v>
      </c>
      <c r="K236">
        <v>1.109658</v>
      </c>
      <c r="L236">
        <v>366.90929999999997</v>
      </c>
      <c r="M236">
        <v>0.99997380000000002</v>
      </c>
      <c r="N236">
        <v>-5.8984220000000004E-3</v>
      </c>
      <c r="O236">
        <v>4.2224619999999997E-3</v>
      </c>
      <c r="P236">
        <v>0.9585939</v>
      </c>
      <c r="Q236">
        <v>0.26939360000000001</v>
      </c>
      <c r="R236">
        <v>9.233131E-2</v>
      </c>
      <c r="S236">
        <v>3.19693</v>
      </c>
      <c r="T236">
        <v>-0.26341409999999998</v>
      </c>
      <c r="U236">
        <v>6.4117430000000003E-2</v>
      </c>
      <c r="V236">
        <v>-8.8384260000000006E-2</v>
      </c>
      <c r="W236">
        <v>0.2750127</v>
      </c>
      <c r="X236">
        <v>0.95736940000000004</v>
      </c>
      <c r="Y236">
        <v>-1.578506E-2</v>
      </c>
      <c r="Z236">
        <v>3.7336919999999998E-4</v>
      </c>
      <c r="AA236">
        <v>0.99987539999999997</v>
      </c>
      <c r="AB236">
        <v>27</v>
      </c>
      <c r="AC236">
        <v>13.823899999999901</v>
      </c>
      <c r="AD236">
        <v>-1.1596580000000001</v>
      </c>
      <c r="AE236">
        <v>0.28110000000003699</v>
      </c>
      <c r="AF236">
        <v>-0.22116982391711201</v>
      </c>
      <c r="AG236">
        <v>-1.1596580000000001</v>
      </c>
      <c r="AH236">
        <v>13.728394455796501</v>
      </c>
      <c r="AI236">
        <v>94.8277741620293</v>
      </c>
      <c r="AJ236">
        <v>90.922977654243994</v>
      </c>
      <c r="AK236">
        <v>13.779061546488601</v>
      </c>
      <c r="AL236">
        <v>74.037228430468204</v>
      </c>
      <c r="AM236">
        <v>95.274590251724405</v>
      </c>
      <c r="AN236">
        <v>0.99999996531669799</v>
      </c>
    </row>
    <row r="237" spans="1:40" x14ac:dyDescent="0.25">
      <c r="A237" t="str">
        <f>"20190304164340654"</f>
        <v>20190304164340654</v>
      </c>
      <c r="B237" t="str">
        <f>"1551689020640285"</f>
        <v>1551689020640285</v>
      </c>
      <c r="C237" t="s">
        <v>40</v>
      </c>
      <c r="D237">
        <v>5.3206910000000001</v>
      </c>
      <c r="E237">
        <v>0.54159979999999996</v>
      </c>
      <c r="F237" t="s">
        <v>43</v>
      </c>
      <c r="G237">
        <v>-436.43180000000001</v>
      </c>
      <c r="H237">
        <v>-0.05</v>
      </c>
      <c r="I237">
        <v>367.18209999999999</v>
      </c>
      <c r="J237">
        <v>-450.23559999999998</v>
      </c>
      <c r="K237">
        <v>1.1096600000000001</v>
      </c>
      <c r="L237">
        <v>366.91059999999999</v>
      </c>
      <c r="M237">
        <v>0.99997259999999999</v>
      </c>
      <c r="N237">
        <v>-5.9217549999999999E-3</v>
      </c>
      <c r="O237">
        <v>4.4481260000000002E-3</v>
      </c>
      <c r="P237">
        <v>0.95868580000000003</v>
      </c>
      <c r="Q237">
        <v>0.26930209999999999</v>
      </c>
      <c r="R237">
        <v>9.1640890000000003E-2</v>
      </c>
      <c r="S237">
        <v>3.1976619999999998</v>
      </c>
      <c r="T237">
        <v>-0.2634261</v>
      </c>
      <c r="U237">
        <v>6.19812E-2</v>
      </c>
      <c r="V237">
        <v>-8.7478009999999995E-2</v>
      </c>
      <c r="W237">
        <v>0.27494390000000002</v>
      </c>
      <c r="X237">
        <v>0.9574724</v>
      </c>
      <c r="Y237">
        <v>-1.4891E-2</v>
      </c>
      <c r="Z237">
        <v>3.1696269999999997E-4</v>
      </c>
      <c r="AA237">
        <v>0.99988909999999998</v>
      </c>
      <c r="AB237">
        <v>28</v>
      </c>
      <c r="AC237">
        <v>13.803799999999899</v>
      </c>
      <c r="AD237">
        <v>-1.1596599999999999</v>
      </c>
      <c r="AE237">
        <v>0.27150000000000302</v>
      </c>
      <c r="AF237">
        <v>-0.20862336273909399</v>
      </c>
      <c r="AG237">
        <v>-1.1596599999999999</v>
      </c>
      <c r="AH237">
        <v>13.7081602639248</v>
      </c>
      <c r="AI237">
        <v>94.834942014541994</v>
      </c>
      <c r="AJ237">
        <v>90.871912440423301</v>
      </c>
      <c r="AK237">
        <v>13.7587060745016</v>
      </c>
      <c r="AL237">
        <v>74.041328568841806</v>
      </c>
      <c r="AM237">
        <v>95.220248999370895</v>
      </c>
      <c r="AN237">
        <v>0.99999997357126402</v>
      </c>
    </row>
    <row r="238" spans="1:40" x14ac:dyDescent="0.25">
      <c r="A238" t="str">
        <f>"20190304164340668"</f>
        <v>20190304164340668</v>
      </c>
      <c r="B238" t="str">
        <f>"1551689020660782"</f>
        <v>1551689020660782</v>
      </c>
      <c r="C238" t="s">
        <v>40</v>
      </c>
      <c r="D238">
        <v>5.3956419999999996</v>
      </c>
      <c r="E238">
        <v>0.55698169999999902</v>
      </c>
      <c r="F238" t="s">
        <v>41</v>
      </c>
      <c r="G238">
        <v>-449.2645</v>
      </c>
      <c r="H238">
        <v>1.029083</v>
      </c>
      <c r="I238">
        <v>366.9282</v>
      </c>
      <c r="J238">
        <v>-450.05309999999997</v>
      </c>
      <c r="K238">
        <v>1.109661</v>
      </c>
      <c r="L238">
        <v>366.91160000000002</v>
      </c>
      <c r="M238">
        <v>0.99997190000000002</v>
      </c>
      <c r="N238">
        <v>-5.9344180000000003E-3</v>
      </c>
      <c r="O238">
        <v>4.5990140000000002E-3</v>
      </c>
      <c r="P238">
        <v>0.95864050000000001</v>
      </c>
      <c r="Q238">
        <v>0.26955570000000001</v>
      </c>
      <c r="R238">
        <v>9.1369320000000004E-2</v>
      </c>
      <c r="S238">
        <v>3.198242</v>
      </c>
      <c r="T238">
        <v>-0.26563910000000002</v>
      </c>
      <c r="U238">
        <v>5.8868410000000003E-2</v>
      </c>
      <c r="V238">
        <v>-8.7062500000000001E-2</v>
      </c>
      <c r="W238">
        <v>0.2752098</v>
      </c>
      <c r="X238">
        <v>0.95743389999999995</v>
      </c>
      <c r="Y238">
        <v>-1.3767720000000001E-2</v>
      </c>
      <c r="Z238">
        <v>2.5761540000000002E-4</v>
      </c>
      <c r="AA238">
        <v>0.99990520000000005</v>
      </c>
      <c r="AB238">
        <v>28</v>
      </c>
      <c r="AC238">
        <v>0.78859999999997399</v>
      </c>
      <c r="AD238">
        <v>-8.0577999999999997E-2</v>
      </c>
      <c r="AE238">
        <v>1.6599999999982601E-2</v>
      </c>
      <c r="AF238">
        <v>-1.2838992884735801E-2</v>
      </c>
      <c r="AG238">
        <v>-8.0577999999999997E-2</v>
      </c>
      <c r="AH238">
        <v>0.78052260301703402</v>
      </c>
      <c r="AI238">
        <v>95.893313205685203</v>
      </c>
      <c r="AJ238">
        <v>90.942386250078101</v>
      </c>
      <c r="AK238">
        <v>0.78477588370360896</v>
      </c>
      <c r="AL238">
        <v>74.025482624279306</v>
      </c>
      <c r="AM238">
        <v>95.195797250790704</v>
      </c>
      <c r="AN238">
        <v>0.99999999289574903</v>
      </c>
    </row>
    <row r="239" spans="1:40" x14ac:dyDescent="0.25">
      <c r="A239" t="str">
        <f>"20190304164340689"</f>
        <v>20190304164340689</v>
      </c>
      <c r="B239" t="str">
        <f>"1551689020680301"</f>
        <v>1551689020680301</v>
      </c>
      <c r="C239" t="s">
        <v>40</v>
      </c>
      <c r="D239">
        <v>5.5918900000000002</v>
      </c>
      <c r="E239">
        <v>0.585928</v>
      </c>
      <c r="F239" t="s">
        <v>41</v>
      </c>
      <c r="G239">
        <v>-449.2645</v>
      </c>
      <c r="H239">
        <v>1.0300940000000001</v>
      </c>
      <c r="I239">
        <v>366.8972</v>
      </c>
      <c r="J239">
        <v>-449.80270000000002</v>
      </c>
      <c r="K239">
        <v>1.1096649999999999</v>
      </c>
      <c r="L239">
        <v>366.91289999999998</v>
      </c>
      <c r="M239">
        <v>0.9999709</v>
      </c>
      <c r="N239">
        <v>-5.9506089999999999E-3</v>
      </c>
      <c r="O239">
        <v>4.8053260000000004E-3</v>
      </c>
      <c r="P239">
        <v>0.95868540000000002</v>
      </c>
      <c r="Q239">
        <v>0.26954250000000002</v>
      </c>
      <c r="R239">
        <v>9.0936299999999998E-2</v>
      </c>
      <c r="S239">
        <v>3.2265009999999998</v>
      </c>
      <c r="T239">
        <v>-0.32583010000000001</v>
      </c>
      <c r="U239">
        <v>-5.758667E-2</v>
      </c>
      <c r="V239">
        <v>-8.6432369999999994E-2</v>
      </c>
      <c r="W239">
        <v>0.27521259999999997</v>
      </c>
      <c r="X239">
        <v>0.95749019999999996</v>
      </c>
      <c r="Y239">
        <v>2.2506760000000001E-2</v>
      </c>
      <c r="Z239">
        <v>-1.656086E-3</v>
      </c>
      <c r="AA239">
        <v>0.99974529999999995</v>
      </c>
      <c r="AB239">
        <v>28</v>
      </c>
      <c r="AC239">
        <v>0.538200000000017</v>
      </c>
      <c r="AD239">
        <v>-7.9570999999999795E-2</v>
      </c>
      <c r="AE239">
        <v>-1.5699999999981101E-2</v>
      </c>
      <c r="AF239">
        <v>1.7895257967112301E-2</v>
      </c>
      <c r="AG239">
        <v>-7.9570999999999795E-2</v>
      </c>
      <c r="AH239">
        <v>0.52661701999228205</v>
      </c>
      <c r="AI239">
        <v>98.587422910253196</v>
      </c>
      <c r="AJ239">
        <v>88.053750017637896</v>
      </c>
      <c r="AK239">
        <v>0.532895177351289</v>
      </c>
      <c r="AL239">
        <v>74.025315974265794</v>
      </c>
      <c r="AM239">
        <v>95.158093701947607</v>
      </c>
      <c r="AN239">
        <v>1.0000000064393</v>
      </c>
    </row>
    <row r="240" spans="1:40" x14ac:dyDescent="0.25">
      <c r="A240" t="str">
        <f>"20190304164340701"</f>
        <v>20190304164340701</v>
      </c>
      <c r="B240" t="str">
        <f>"1551689020690061"</f>
        <v>1551689020690061</v>
      </c>
      <c r="C240" t="s">
        <v>40</v>
      </c>
      <c r="D240">
        <v>5.6864569999999999</v>
      </c>
      <c r="E240">
        <v>0.58706769999999997</v>
      </c>
      <c r="F240" t="s">
        <v>41</v>
      </c>
      <c r="G240">
        <v>-449.02480000000003</v>
      </c>
      <c r="H240">
        <v>1.008775</v>
      </c>
      <c r="I240">
        <v>366.8467</v>
      </c>
      <c r="J240">
        <v>-449.64929999999998</v>
      </c>
      <c r="K240">
        <v>1.1096649999999999</v>
      </c>
      <c r="L240">
        <v>366.91379999999998</v>
      </c>
      <c r="M240">
        <v>0.99997009999999997</v>
      </c>
      <c r="N240">
        <v>-5.9591879999999998E-3</v>
      </c>
      <c r="O240">
        <v>4.9320859999999996E-3</v>
      </c>
      <c r="P240">
        <v>0.95869890000000002</v>
      </c>
      <c r="Q240">
        <v>0.26962429999999998</v>
      </c>
      <c r="R240">
        <v>9.0547959999999997E-2</v>
      </c>
      <c r="S240">
        <v>3.2750849999999998</v>
      </c>
      <c r="T240">
        <v>-0.42501240000000001</v>
      </c>
      <c r="U240">
        <v>-0.27801510000000001</v>
      </c>
      <c r="V240">
        <v>-8.5922830000000006E-2</v>
      </c>
      <c r="W240">
        <v>0.2753024</v>
      </c>
      <c r="X240">
        <v>0.95751019999999998</v>
      </c>
      <c r="Y240">
        <v>8.8686970000000004E-2</v>
      </c>
      <c r="Z240">
        <v>-6.5932559999999996E-3</v>
      </c>
      <c r="AA240">
        <v>0.99603770000000003</v>
      </c>
      <c r="AB240">
        <v>28</v>
      </c>
      <c r="AC240">
        <v>0.62449999999995398</v>
      </c>
      <c r="AD240">
        <v>-0.10088999999999899</v>
      </c>
      <c r="AE240">
        <v>-6.7099999999982105E-2</v>
      </c>
      <c r="AF240">
        <v>6.8414133421894702E-2</v>
      </c>
      <c r="AG240">
        <v>-0.10088999999999899</v>
      </c>
      <c r="AH240">
        <v>0.60846216962500999</v>
      </c>
      <c r="AI240">
        <v>99.356733126669099</v>
      </c>
      <c r="AJ240">
        <v>83.584733882011804</v>
      </c>
      <c r="AK240">
        <v>0.62055257441786804</v>
      </c>
      <c r="AL240">
        <v>74.019963369832894</v>
      </c>
      <c r="AM240">
        <v>95.127741532504302</v>
      </c>
      <c r="AN240">
        <v>0.99999996363250299</v>
      </c>
    </row>
    <row r="241" spans="1:40" x14ac:dyDescent="0.25">
      <c r="A241" t="str">
        <f>"20190304164340720"</f>
        <v>20190304164340720</v>
      </c>
      <c r="B241" t="str">
        <f>"1551689020710557"</f>
        <v>1551689020710557</v>
      </c>
      <c r="C241" t="s">
        <v>40</v>
      </c>
      <c r="D241">
        <v>5.6228579999999999</v>
      </c>
      <c r="E241">
        <v>0.58959419999999996</v>
      </c>
      <c r="F241" t="s">
        <v>41</v>
      </c>
      <c r="G241">
        <v>-448.78039999999999</v>
      </c>
      <c r="H241">
        <v>0.99469039999999997</v>
      </c>
      <c r="I241">
        <v>366.83699999999999</v>
      </c>
      <c r="J241">
        <v>-449.40170000000001</v>
      </c>
      <c r="K241">
        <v>1.109658</v>
      </c>
      <c r="L241">
        <v>366.91520000000003</v>
      </c>
      <c r="M241">
        <v>0.99996910000000006</v>
      </c>
      <c r="N241">
        <v>-5.9706960000000002E-3</v>
      </c>
      <c r="O241">
        <v>5.1362049999999996E-3</v>
      </c>
      <c r="P241">
        <v>0.9587696</v>
      </c>
      <c r="Q241">
        <v>0.26944390000000001</v>
      </c>
      <c r="R241">
        <v>9.0338459999999995E-2</v>
      </c>
      <c r="S241">
        <v>3.2785030000000002</v>
      </c>
      <c r="T241">
        <v>-0.4341429</v>
      </c>
      <c r="U241">
        <v>-0.28765869999999999</v>
      </c>
      <c r="V241">
        <v>-8.5517560000000006E-2</v>
      </c>
      <c r="W241">
        <v>0.27513379999999998</v>
      </c>
      <c r="X241">
        <v>0.95759499999999997</v>
      </c>
      <c r="Y241">
        <v>9.164957E-2</v>
      </c>
      <c r="Z241">
        <v>-6.951189E-3</v>
      </c>
      <c r="AA241">
        <v>0.99576710000000002</v>
      </c>
      <c r="AB241">
        <v>28</v>
      </c>
      <c r="AC241">
        <v>0.62130000000001895</v>
      </c>
      <c r="AD241">
        <v>-0.114967599999999</v>
      </c>
      <c r="AE241">
        <v>-7.8200000000038003E-2</v>
      </c>
      <c r="AF241">
        <v>7.8736176950897505E-2</v>
      </c>
      <c r="AG241">
        <v>-0.114967599999999</v>
      </c>
      <c r="AH241">
        <v>0.60064414334850802</v>
      </c>
      <c r="AI241">
        <v>100.745996506303</v>
      </c>
      <c r="AJ241">
        <v>82.531894253994693</v>
      </c>
      <c r="AK241">
        <v>0.61659575213381601</v>
      </c>
      <c r="AL241">
        <v>74.0300124435567</v>
      </c>
      <c r="AM241">
        <v>95.103234108310104</v>
      </c>
      <c r="AN241">
        <v>1.00000002249789</v>
      </c>
    </row>
    <row r="242" spans="1:40" x14ac:dyDescent="0.25">
      <c r="A242" t="str">
        <f>"20190304164340743"</f>
        <v>20190304164340743</v>
      </c>
      <c r="B242" t="str">
        <f>"1551689020730077"</f>
        <v>1551689020730077</v>
      </c>
      <c r="C242" t="s">
        <v>40</v>
      </c>
      <c r="D242">
        <v>5.6496040000000001</v>
      </c>
      <c r="E242">
        <v>0.59031109999999998</v>
      </c>
      <c r="F242" t="s">
        <v>41</v>
      </c>
      <c r="G242">
        <v>-448.52890000000002</v>
      </c>
      <c r="H242">
        <v>0.99362779999999995</v>
      </c>
      <c r="I242">
        <v>366.8331</v>
      </c>
      <c r="J242">
        <v>-449.11770000000001</v>
      </c>
      <c r="K242">
        <v>1.109659</v>
      </c>
      <c r="L242">
        <v>366.91699999999997</v>
      </c>
      <c r="M242">
        <v>0.99996779999999996</v>
      </c>
      <c r="N242">
        <v>-5.981058E-3</v>
      </c>
      <c r="O242">
        <v>5.37025E-3</v>
      </c>
      <c r="P242">
        <v>0.95875949999999999</v>
      </c>
      <c r="Q242">
        <v>0.269657599999999</v>
      </c>
      <c r="R242">
        <v>8.9807880000000007E-2</v>
      </c>
      <c r="S242">
        <v>3.2806090000000001</v>
      </c>
      <c r="T242">
        <v>-0.43621919999999997</v>
      </c>
      <c r="U242">
        <v>-0.3077087</v>
      </c>
      <c r="V242">
        <v>-8.4763939999999996E-2</v>
      </c>
      <c r="W242">
        <v>0.27535749999999998</v>
      </c>
      <c r="X242">
        <v>0.9575977</v>
      </c>
      <c r="Y242">
        <v>9.7796720000000004E-2</v>
      </c>
      <c r="Z242">
        <v>-7.4314580000000002E-3</v>
      </c>
      <c r="AA242">
        <v>0.99517860000000002</v>
      </c>
      <c r="AB242">
        <v>28</v>
      </c>
      <c r="AC242">
        <v>0.588799999999992</v>
      </c>
      <c r="AD242">
        <v>-0.116031199999999</v>
      </c>
      <c r="AE242">
        <v>-8.38999999999714E-2</v>
      </c>
      <c r="AF242">
        <v>8.3868693457776505E-2</v>
      </c>
      <c r="AG242">
        <v>-0.116031199999999</v>
      </c>
      <c r="AH242">
        <v>0.56676894348029805</v>
      </c>
      <c r="AI242">
        <v>101.448625829196</v>
      </c>
      <c r="AJ242">
        <v>81.582634052118095</v>
      </c>
      <c r="AK242">
        <v>0.58457183682548997</v>
      </c>
      <c r="AL242">
        <v>74.016680318693801</v>
      </c>
      <c r="AM242">
        <v>95.058482237021906</v>
      </c>
      <c r="AN242">
        <v>1.0000000166879299</v>
      </c>
    </row>
    <row r="243" spans="1:40" x14ac:dyDescent="0.25">
      <c r="A243" t="str">
        <f>"20190304164340756"</f>
        <v>20190304164340756</v>
      </c>
      <c r="B243" t="str">
        <f>"1551689020750573"</f>
        <v>1551689020750573</v>
      </c>
      <c r="C243" t="s">
        <v>40</v>
      </c>
      <c r="D243">
        <v>5.5745370000000003</v>
      </c>
      <c r="E243">
        <v>0.59042819999999996</v>
      </c>
      <c r="F243" t="s">
        <v>41</v>
      </c>
      <c r="G243">
        <v>-448.27449999999999</v>
      </c>
      <c r="H243">
        <v>0.99681280000000005</v>
      </c>
      <c r="I243">
        <v>366.83580000000001</v>
      </c>
      <c r="J243">
        <v>-448.9513</v>
      </c>
      <c r="K243">
        <v>1.1096600000000001</v>
      </c>
      <c r="L243">
        <v>366.91800000000001</v>
      </c>
      <c r="M243">
        <v>0.99996689999999999</v>
      </c>
      <c r="N243">
        <v>-5.9866850000000003E-3</v>
      </c>
      <c r="O243">
        <v>5.5076259999999998E-3</v>
      </c>
      <c r="P243">
        <v>0.95874649999999995</v>
      </c>
      <c r="Q243">
        <v>0.2697388</v>
      </c>
      <c r="R243">
        <v>8.9700760000000004E-2</v>
      </c>
      <c r="S243">
        <v>3.2821349999999998</v>
      </c>
      <c r="T243">
        <v>-0.43960959999999899</v>
      </c>
      <c r="U243">
        <v>-0.31402590000000002</v>
      </c>
      <c r="V243">
        <v>-8.4525690000000001E-2</v>
      </c>
      <c r="W243">
        <v>0.27544410000000003</v>
      </c>
      <c r="X243">
        <v>0.9575939</v>
      </c>
      <c r="Y243">
        <v>9.9756150000000002E-2</v>
      </c>
      <c r="Z243">
        <v>-7.6367409999999998E-3</v>
      </c>
      <c r="AA243">
        <v>0.99498260000000005</v>
      </c>
      <c r="AB243">
        <v>28</v>
      </c>
      <c r="AC243">
        <v>0.67680000000001395</v>
      </c>
      <c r="AD243">
        <v>-0.11284719999999999</v>
      </c>
      <c r="AE243">
        <v>-8.2200000000000203E-2</v>
      </c>
      <c r="AF243">
        <v>8.3635040803372696E-2</v>
      </c>
      <c r="AG243">
        <v>-0.11284719999999999</v>
      </c>
      <c r="AH243">
        <v>0.65830157946132695</v>
      </c>
      <c r="AI243">
        <v>99.651097722592098</v>
      </c>
      <c r="AJ243">
        <v>82.759549936983504</v>
      </c>
      <c r="AK243">
        <v>0.67311981111782804</v>
      </c>
      <c r="AL243">
        <v>74.0115196359191</v>
      </c>
      <c r="AM243">
        <v>95.044357496067306</v>
      </c>
      <c r="AN243">
        <v>1.00000006090599</v>
      </c>
    </row>
    <row r="244" spans="1:40" x14ac:dyDescent="0.25">
      <c r="A244" t="str">
        <f>"20190304164340769"</f>
        <v>20190304164340769</v>
      </c>
      <c r="B244" t="str">
        <f>"1551689020760333"</f>
        <v>1551689020760333</v>
      </c>
      <c r="C244" t="s">
        <v>40</v>
      </c>
      <c r="D244">
        <v>5.5925419999999999</v>
      </c>
      <c r="E244">
        <v>0.59062019999999904</v>
      </c>
      <c r="F244" t="s">
        <v>41</v>
      </c>
      <c r="G244">
        <v>-448.02710000000002</v>
      </c>
      <c r="H244">
        <v>0.98343029999999998</v>
      </c>
      <c r="I244">
        <v>366.8295</v>
      </c>
      <c r="J244">
        <v>-448.7885</v>
      </c>
      <c r="K244">
        <v>1.109661</v>
      </c>
      <c r="L244">
        <v>366.91899999999998</v>
      </c>
      <c r="M244">
        <v>0.99996620000000003</v>
      </c>
      <c r="N244">
        <v>-5.9922880000000001E-3</v>
      </c>
      <c r="O244">
        <v>5.6420799999999998E-3</v>
      </c>
      <c r="P244">
        <v>0.95876220000000001</v>
      </c>
      <c r="Q244">
        <v>0.26975450000000001</v>
      </c>
      <c r="R244">
        <v>8.9487919999999999E-2</v>
      </c>
      <c r="S244">
        <v>3.2846679999999999</v>
      </c>
      <c r="T244">
        <v>-0.4486887</v>
      </c>
      <c r="U244">
        <v>-0.31369019999999997</v>
      </c>
      <c r="V244">
        <v>-8.418407E-2</v>
      </c>
      <c r="W244">
        <v>0.27546520000000002</v>
      </c>
      <c r="X244">
        <v>0.95761790000000002</v>
      </c>
      <c r="Y244">
        <v>9.9678050000000004E-2</v>
      </c>
      <c r="Z244">
        <v>-7.7940800000000001E-3</v>
      </c>
      <c r="AA244">
        <v>0.99498920000000002</v>
      </c>
      <c r="AB244">
        <v>28</v>
      </c>
      <c r="AC244">
        <v>0.76139999999997998</v>
      </c>
      <c r="AD244">
        <v>-0.1262307</v>
      </c>
      <c r="AE244">
        <v>-8.95000000000436E-2</v>
      </c>
      <c r="AF244">
        <v>9.1318793602295695E-2</v>
      </c>
      <c r="AG244">
        <v>-0.1262307</v>
      </c>
      <c r="AH244">
        <v>0.74079914421271598</v>
      </c>
      <c r="AI244">
        <v>99.598918600729604</v>
      </c>
      <c r="AJ244">
        <v>82.972564286160505</v>
      </c>
      <c r="AK244">
        <v>0.75700507511757298</v>
      </c>
      <c r="AL244">
        <v>74.010261671577297</v>
      </c>
      <c r="AM244">
        <v>95.023949447105196</v>
      </c>
      <c r="AN244">
        <v>1.0000000382266001</v>
      </c>
    </row>
    <row r="245" spans="1:40" x14ac:dyDescent="0.25">
      <c r="A245" t="str">
        <f>"20190304164340790"</f>
        <v>20190304164340790</v>
      </c>
      <c r="B245" t="str">
        <f>"1551689020779852"</f>
        <v>1551689020779852</v>
      </c>
      <c r="C245" t="s">
        <v>40</v>
      </c>
      <c r="D245">
        <v>5.6023860000000001</v>
      </c>
      <c r="E245">
        <v>0.59087579999999995</v>
      </c>
      <c r="F245" t="s">
        <v>41</v>
      </c>
      <c r="G245">
        <v>-448.0172</v>
      </c>
      <c r="H245">
        <v>1.004259</v>
      </c>
      <c r="I245">
        <v>366.84469999999999</v>
      </c>
      <c r="J245">
        <v>-448.5224</v>
      </c>
      <c r="K245">
        <v>1.1096600000000001</v>
      </c>
      <c r="L245">
        <v>366.92070000000001</v>
      </c>
      <c r="M245">
        <v>0.99996479999999999</v>
      </c>
      <c r="N245">
        <v>-6.0023430000000003E-3</v>
      </c>
      <c r="O245">
        <v>5.8615809999999898E-3</v>
      </c>
      <c r="P245">
        <v>0.95880849999999995</v>
      </c>
      <c r="Q245">
        <v>0.269837099999999</v>
      </c>
      <c r="R245">
        <v>8.8735499999999995E-2</v>
      </c>
      <c r="S245">
        <v>3.2848510000000002</v>
      </c>
      <c r="T245">
        <v>-0.44901920000000001</v>
      </c>
      <c r="U245">
        <v>-0.3155212</v>
      </c>
      <c r="V245">
        <v>-8.3221439999999994E-2</v>
      </c>
      <c r="W245">
        <v>0.27555819999999998</v>
      </c>
      <c r="X245">
        <v>0.95767519999999995</v>
      </c>
      <c r="Y245">
        <v>0.1004303</v>
      </c>
      <c r="Z245">
        <v>-7.8812499999999994E-3</v>
      </c>
      <c r="AA245">
        <v>0.99491289999999999</v>
      </c>
      <c r="AB245">
        <v>28</v>
      </c>
      <c r="AC245">
        <v>0.50520000000000198</v>
      </c>
      <c r="AD245">
        <v>-0.10540099999999999</v>
      </c>
      <c r="AE245">
        <v>-7.60000000000218E-2</v>
      </c>
      <c r="AF245">
        <v>7.5736364927262698E-2</v>
      </c>
      <c r="AG245">
        <v>-0.10540099999999999</v>
      </c>
      <c r="AH245">
        <v>0.484138876058267</v>
      </c>
      <c r="AI245">
        <v>102.13893127024799</v>
      </c>
      <c r="AJ245">
        <v>81.108982502518202</v>
      </c>
      <c r="AK245">
        <v>0.501234295598732</v>
      </c>
      <c r="AL245">
        <v>74.004717337889304</v>
      </c>
      <c r="AM245">
        <v>94.966494798000895</v>
      </c>
      <c r="AN245">
        <v>0.999999959178975</v>
      </c>
    </row>
    <row r="246" spans="1:40" x14ac:dyDescent="0.25">
      <c r="A246" t="str">
        <f>"20190304164340812"</f>
        <v>20190304164340812</v>
      </c>
      <c r="B246" t="str">
        <f>"1551689020800349"</f>
        <v>1551689020800349</v>
      </c>
      <c r="C246" t="s">
        <v>40</v>
      </c>
      <c r="D246">
        <v>5.5919049999999997</v>
      </c>
      <c r="E246">
        <v>0.59076459999999997</v>
      </c>
      <c r="F246" t="s">
        <v>41</v>
      </c>
      <c r="G246">
        <v>-447.76190000000003</v>
      </c>
      <c r="H246">
        <v>1.005509</v>
      </c>
      <c r="I246">
        <v>366.84660000000002</v>
      </c>
      <c r="J246">
        <v>-448.2484</v>
      </c>
      <c r="K246">
        <v>1.109667</v>
      </c>
      <c r="L246">
        <v>366.92250000000001</v>
      </c>
      <c r="M246">
        <v>0.99996350000000001</v>
      </c>
      <c r="N246">
        <v>-6.0117679999999998E-3</v>
      </c>
      <c r="O246">
        <v>6.0869820000000003E-3</v>
      </c>
      <c r="P246">
        <v>0.95881819999999895</v>
      </c>
      <c r="Q246">
        <v>0.27007510000000001</v>
      </c>
      <c r="R246">
        <v>8.7904129999999997E-2</v>
      </c>
      <c r="S246">
        <v>3.2850649999999999</v>
      </c>
      <c r="T246">
        <v>-0.45018989999999998</v>
      </c>
      <c r="U246">
        <v>-0.3188782</v>
      </c>
      <c r="V246">
        <v>-8.2174140000000007E-2</v>
      </c>
      <c r="W246">
        <v>0.27580529999999998</v>
      </c>
      <c r="X246">
        <v>0.9576945</v>
      </c>
      <c r="Y246">
        <v>0.10163700000000001</v>
      </c>
      <c r="Z246">
        <v>-8.0155999999999995E-3</v>
      </c>
      <c r="AA246">
        <v>0.99478920000000004</v>
      </c>
      <c r="AB246">
        <v>28</v>
      </c>
      <c r="AC246">
        <v>0.48649999999997801</v>
      </c>
      <c r="AD246">
        <v>-0.104157999999999</v>
      </c>
      <c r="AE246">
        <v>-7.5899999999990003E-2</v>
      </c>
      <c r="AF246">
        <v>7.5482268643978195E-2</v>
      </c>
      <c r="AG246">
        <v>-0.104157999999999</v>
      </c>
      <c r="AH246">
        <v>0.465211598003268</v>
      </c>
      <c r="AI246">
        <v>102.462255350245</v>
      </c>
      <c r="AJ246">
        <v>80.783867315769697</v>
      </c>
      <c r="AK246">
        <v>0.48266789074931898</v>
      </c>
      <c r="AL246">
        <v>73.9899887200406</v>
      </c>
      <c r="AM246">
        <v>94.904202368467097</v>
      </c>
      <c r="AN246">
        <v>0.99999995406153797</v>
      </c>
    </row>
    <row r="247" spans="1:40" x14ac:dyDescent="0.25">
      <c r="A247" t="str">
        <f>"20190304164340833"</f>
        <v>20190304164340833</v>
      </c>
      <c r="B247" t="str">
        <f>"1551689020819869"</f>
        <v>1551689020819869</v>
      </c>
      <c r="C247" t="s">
        <v>40</v>
      </c>
      <c r="D247">
        <v>5.6963470000000003</v>
      </c>
      <c r="E247">
        <v>0.59051330000000002</v>
      </c>
      <c r="F247" t="s">
        <v>41</v>
      </c>
      <c r="G247">
        <v>-447.50560000000002</v>
      </c>
      <c r="H247">
        <v>1.0073299999999901</v>
      </c>
      <c r="I247">
        <v>366.85039999999998</v>
      </c>
      <c r="J247">
        <v>-447.97629999999998</v>
      </c>
      <c r="K247">
        <v>1.109669</v>
      </c>
      <c r="L247">
        <v>366.92439999999999</v>
      </c>
      <c r="M247">
        <v>0.99996220000000002</v>
      </c>
      <c r="N247">
        <v>-6.0193750000000004E-3</v>
      </c>
      <c r="O247">
        <v>6.3079729999999997E-3</v>
      </c>
      <c r="P247">
        <v>0.95873739999999996</v>
      </c>
      <c r="Q247">
        <v>0.27064820000000001</v>
      </c>
      <c r="R247">
        <v>8.7019100000000002E-2</v>
      </c>
      <c r="S247">
        <v>3.2856139999999998</v>
      </c>
      <c r="T247">
        <v>-0.4526308</v>
      </c>
      <c r="U247">
        <v>-0.31909179999999998</v>
      </c>
      <c r="V247">
        <v>-8.1077720000000006E-2</v>
      </c>
      <c r="W247">
        <v>0.27638590000000002</v>
      </c>
      <c r="X247">
        <v>0.95762060000000004</v>
      </c>
      <c r="Y247">
        <v>0.10188990000000001</v>
      </c>
      <c r="Z247">
        <v>-8.1032250000000004E-3</v>
      </c>
      <c r="AA247">
        <v>0.9947627</v>
      </c>
      <c r="AB247">
        <v>28</v>
      </c>
      <c r="AC247">
        <v>0.47069999999996498</v>
      </c>
      <c r="AD247">
        <v>-0.102339</v>
      </c>
      <c r="AE247">
        <v>-7.4000000000012195E-2</v>
      </c>
      <c r="AF247">
        <v>7.3573732402427802E-2</v>
      </c>
      <c r="AG247">
        <v>-0.102339</v>
      </c>
      <c r="AH247">
        <v>0.44948859142285202</v>
      </c>
      <c r="AI247">
        <v>102.66340522582701</v>
      </c>
      <c r="AJ247">
        <v>80.704077703475505</v>
      </c>
      <c r="AK247">
        <v>0.46682583351815898</v>
      </c>
      <c r="AL247">
        <v>73.955378013207493</v>
      </c>
      <c r="AM247">
        <v>94.839451832577694</v>
      </c>
      <c r="AN247">
        <v>0.99999998797178402</v>
      </c>
    </row>
    <row r="248" spans="1:40" x14ac:dyDescent="0.25">
      <c r="A248" t="str">
        <f>"20190304164340855"</f>
        <v>20190304164340855</v>
      </c>
      <c r="B248" t="str">
        <f>"1551689020850125"</f>
        <v>1551689020850125</v>
      </c>
      <c r="C248" t="s">
        <v>40</v>
      </c>
      <c r="D248">
        <v>5.6263079999999999</v>
      </c>
      <c r="E248">
        <v>0.59064050000000001</v>
      </c>
      <c r="F248" t="s">
        <v>41</v>
      </c>
      <c r="G248">
        <v>-447.24810000000002</v>
      </c>
      <c r="H248">
        <v>1.009422</v>
      </c>
      <c r="I248">
        <v>366.85309999999998</v>
      </c>
      <c r="J248">
        <v>-447.67989999999998</v>
      </c>
      <c r="K248">
        <v>1.109675</v>
      </c>
      <c r="L248">
        <v>366.92649999999998</v>
      </c>
      <c r="M248">
        <v>0.99996050000000003</v>
      </c>
      <c r="N248">
        <v>-6.0272930000000004E-3</v>
      </c>
      <c r="O248">
        <v>6.5418239999999999E-3</v>
      </c>
      <c r="P248">
        <v>0.95856560000000002</v>
      </c>
      <c r="Q248">
        <v>0.2715033</v>
      </c>
      <c r="R248">
        <v>8.6245390000000005E-2</v>
      </c>
      <c r="S248">
        <v>3.2859500000000001</v>
      </c>
      <c r="T248">
        <v>-0.45275779999999899</v>
      </c>
      <c r="U248">
        <v>-0.31942749999999998</v>
      </c>
      <c r="V248">
        <v>-8.0080250000000006E-2</v>
      </c>
      <c r="W248">
        <v>0.277248299999999</v>
      </c>
      <c r="X248">
        <v>0.95745519999999995</v>
      </c>
      <c r="Y248">
        <v>0.1022079</v>
      </c>
      <c r="Z248">
        <v>-8.1582540000000002E-3</v>
      </c>
      <c r="AA248">
        <v>0.99472959999999999</v>
      </c>
      <c r="AB248">
        <v>29</v>
      </c>
      <c r="AC248">
        <v>0.431799999999952</v>
      </c>
      <c r="AD248">
        <v>-0.100252999999999</v>
      </c>
      <c r="AE248">
        <v>-7.3399999999992305E-2</v>
      </c>
      <c r="AF248">
        <v>7.2428618199007005E-2</v>
      </c>
      <c r="AG248">
        <v>-0.100252999999999</v>
      </c>
      <c r="AH248">
        <v>0.40983864501978901</v>
      </c>
      <c r="AI248">
        <v>103.543566692257</v>
      </c>
      <c r="AJ248">
        <v>79.977900102603499</v>
      </c>
      <c r="AK248">
        <v>0.42809377908920199</v>
      </c>
      <c r="AL248">
        <v>73.903956310794399</v>
      </c>
      <c r="AM248">
        <v>94.781013347955593</v>
      </c>
      <c r="AN248">
        <v>0.99999996314999495</v>
      </c>
    </row>
    <row r="249" spans="1:40" x14ac:dyDescent="0.25">
      <c r="A249" t="str">
        <f>"20190304164340878"</f>
        <v>20190304164340878</v>
      </c>
      <c r="B249" t="str">
        <f>"1551689020870621"</f>
        <v>1551689020870621</v>
      </c>
      <c r="C249" t="s">
        <v>40</v>
      </c>
      <c r="D249">
        <v>5.5931259999999998</v>
      </c>
      <c r="E249">
        <v>0.59075549999999999</v>
      </c>
      <c r="F249" t="s">
        <v>41</v>
      </c>
      <c r="G249">
        <v>-446.74590000000001</v>
      </c>
      <c r="H249">
        <v>0.98133709999999996</v>
      </c>
      <c r="I249">
        <v>366.83449999999999</v>
      </c>
      <c r="J249">
        <v>-447.38940000000002</v>
      </c>
      <c r="K249">
        <v>1.109674</v>
      </c>
      <c r="L249">
        <v>366.92860000000002</v>
      </c>
      <c r="M249">
        <v>0.99995889999999998</v>
      </c>
      <c r="N249">
        <v>-6.0363190000000001E-3</v>
      </c>
      <c r="O249">
        <v>6.7610459999999997E-3</v>
      </c>
      <c r="P249">
        <v>0.95848160000000004</v>
      </c>
      <c r="Q249">
        <v>0.2721441</v>
      </c>
      <c r="R249">
        <v>8.5151569999999996E-2</v>
      </c>
      <c r="S249">
        <v>3.2866819999999999</v>
      </c>
      <c r="T249">
        <v>-0.45177099999999998</v>
      </c>
      <c r="U249">
        <v>-0.32250980000000001</v>
      </c>
      <c r="V249">
        <v>-7.8773640000000006E-2</v>
      </c>
      <c r="W249">
        <v>0.2778988</v>
      </c>
      <c r="X249">
        <v>0.95737499999999998</v>
      </c>
      <c r="Y249">
        <v>0.10332089999999899</v>
      </c>
      <c r="Z249">
        <v>-8.2475059999999999E-3</v>
      </c>
      <c r="AA249">
        <v>0.99461390000000005</v>
      </c>
      <c r="AB249">
        <v>29</v>
      </c>
      <c r="AC249">
        <v>0.64350000000001695</v>
      </c>
      <c r="AD249">
        <v>-0.1283369</v>
      </c>
      <c r="AE249">
        <v>-9.4100000000025802E-2</v>
      </c>
      <c r="AF249">
        <v>9.4758582872025807E-2</v>
      </c>
      <c r="AG249">
        <v>-0.1283369</v>
      </c>
      <c r="AH249">
        <v>0.61875362688296798</v>
      </c>
      <c r="AI249">
        <v>101.586318575711</v>
      </c>
      <c r="AJ249">
        <v>81.293126093121302</v>
      </c>
      <c r="AK249">
        <v>0.63898794958148597</v>
      </c>
      <c r="AL249">
        <v>73.865160863088093</v>
      </c>
      <c r="AM249">
        <v>94.703750192177907</v>
      </c>
      <c r="AN249">
        <v>0.99999996001264402</v>
      </c>
    </row>
    <row r="250" spans="1:40" x14ac:dyDescent="0.25">
      <c r="A250" t="str">
        <f>"20190304164340900"</f>
        <v>20190304164340900</v>
      </c>
      <c r="B250" t="str">
        <f>"1551689020890141"</f>
        <v>1551689020890141</v>
      </c>
      <c r="C250" t="s">
        <v>40</v>
      </c>
      <c r="D250">
        <v>5.5895659999999996</v>
      </c>
      <c r="E250">
        <v>0.59083219999999903</v>
      </c>
      <c r="F250" t="s">
        <v>41</v>
      </c>
      <c r="G250">
        <v>-446.48489999999998</v>
      </c>
      <c r="H250">
        <v>0.98553089999999999</v>
      </c>
      <c r="I250">
        <v>366.839</v>
      </c>
      <c r="J250">
        <v>-447.0994</v>
      </c>
      <c r="K250">
        <v>1.109674</v>
      </c>
      <c r="L250">
        <v>366.93079999999998</v>
      </c>
      <c r="M250">
        <v>0.9999576</v>
      </c>
      <c r="N250">
        <v>-6.0472440000000002E-3</v>
      </c>
      <c r="O250">
        <v>6.9692829999999997E-3</v>
      </c>
      <c r="P250">
        <v>0.95827600000000002</v>
      </c>
      <c r="Q250">
        <v>0.27315859999999997</v>
      </c>
      <c r="R250">
        <v>8.4213070000000001E-2</v>
      </c>
      <c r="S250">
        <v>3.2870180000000002</v>
      </c>
      <c r="T250">
        <v>-0.45103880000000002</v>
      </c>
      <c r="U250">
        <v>-0.32611079999999998</v>
      </c>
      <c r="V250">
        <v>-7.7632019999999996E-2</v>
      </c>
      <c r="W250">
        <v>0.27892420000000001</v>
      </c>
      <c r="X250">
        <v>0.95717010000000002</v>
      </c>
      <c r="Y250">
        <v>0.1045867</v>
      </c>
      <c r="Z250">
        <v>-8.3512080000000006E-3</v>
      </c>
      <c r="AA250">
        <v>0.9944807</v>
      </c>
      <c r="AB250">
        <v>29</v>
      </c>
      <c r="AC250">
        <v>0.61450000000002003</v>
      </c>
      <c r="AD250">
        <v>-0.12414309999999899</v>
      </c>
      <c r="AE250">
        <v>-9.1799999999977899E-2</v>
      </c>
      <c r="AF250">
        <v>9.2391971323802002E-2</v>
      </c>
      <c r="AG250">
        <v>-0.12414309999999899</v>
      </c>
      <c r="AH250">
        <v>0.59027994377444304</v>
      </c>
      <c r="AI250">
        <v>101.738032062364</v>
      </c>
      <c r="AJ250">
        <v>81.104111958910593</v>
      </c>
      <c r="AK250">
        <v>0.61022798826755498</v>
      </c>
      <c r="AL250">
        <v>73.803992233023806</v>
      </c>
      <c r="AM250">
        <v>94.636868876148796</v>
      </c>
      <c r="AN250">
        <v>1.0000000201044601</v>
      </c>
    </row>
    <row r="251" spans="1:40" x14ac:dyDescent="0.25">
      <c r="A251" t="str">
        <f>"20190304164340921"</f>
        <v>20190304164340921</v>
      </c>
      <c r="B251" t="str">
        <f>"1551689020910637"</f>
        <v>1551689020910637</v>
      </c>
      <c r="C251" t="s">
        <v>40</v>
      </c>
      <c r="D251">
        <v>5.6488820000000004</v>
      </c>
      <c r="E251">
        <v>0.59078339999999996</v>
      </c>
      <c r="F251" t="s">
        <v>41</v>
      </c>
      <c r="G251">
        <v>-446.22289999999998</v>
      </c>
      <c r="H251">
        <v>0.98991530000000005</v>
      </c>
      <c r="I251">
        <v>366.84280000000001</v>
      </c>
      <c r="J251">
        <v>-446.83260000000001</v>
      </c>
      <c r="K251">
        <v>1.109677</v>
      </c>
      <c r="L251">
        <v>366.93279999999999</v>
      </c>
      <c r="M251">
        <v>0.99995619999999996</v>
      </c>
      <c r="N251">
        <v>-6.0591459999999996E-3</v>
      </c>
      <c r="O251">
        <v>7.1464509999999998E-3</v>
      </c>
      <c r="P251">
        <v>0.95812109999999995</v>
      </c>
      <c r="Q251">
        <v>0.27391369999999998</v>
      </c>
      <c r="R251">
        <v>8.3519579999999996E-2</v>
      </c>
      <c r="S251">
        <v>3.2876590000000001</v>
      </c>
      <c r="T251">
        <v>-0.44937250000000001</v>
      </c>
      <c r="U251">
        <v>-0.3289185</v>
      </c>
      <c r="V251">
        <v>-7.6764289999999999E-2</v>
      </c>
      <c r="W251">
        <v>0.279692</v>
      </c>
      <c r="X251">
        <v>0.95701599999999998</v>
      </c>
      <c r="Y251">
        <v>0.10558190000000001</v>
      </c>
      <c r="Z251">
        <v>-8.4138630000000006E-3</v>
      </c>
      <c r="AA251">
        <v>0.99437500000000001</v>
      </c>
      <c r="AB251">
        <v>29</v>
      </c>
      <c r="AC251">
        <v>0.60970000000003199</v>
      </c>
      <c r="AD251">
        <v>-0.119761699999999</v>
      </c>
      <c r="AE251">
        <v>-8.9999999999974906E-2</v>
      </c>
      <c r="AF251">
        <v>9.0921690492631893E-2</v>
      </c>
      <c r="AG251">
        <v>-0.119761699999999</v>
      </c>
      <c r="AH251">
        <v>0.58688013460243205</v>
      </c>
      <c r="AI251">
        <v>101.401317982243</v>
      </c>
      <c r="AJ251">
        <v>81.193531534167207</v>
      </c>
      <c r="AK251">
        <v>0.60583653816842098</v>
      </c>
      <c r="AL251">
        <v>73.758176789034295</v>
      </c>
      <c r="AM251">
        <v>94.585997810553906</v>
      </c>
      <c r="AN251">
        <v>0.99999999766960201</v>
      </c>
    </row>
    <row r="252" spans="1:40" x14ac:dyDescent="0.25">
      <c r="A252" t="str">
        <f>"20190304164340944"</f>
        <v>20190304164340944</v>
      </c>
      <c r="B252" t="str">
        <f>"1551689020939917"</f>
        <v>1551689020939917</v>
      </c>
      <c r="C252" t="s">
        <v>40</v>
      </c>
      <c r="D252">
        <v>5.4989379999999999</v>
      </c>
      <c r="E252">
        <v>0.59070599999999995</v>
      </c>
      <c r="F252" t="s">
        <v>41</v>
      </c>
      <c r="G252">
        <v>-445.96170000000001</v>
      </c>
      <c r="H252">
        <v>0.99066940000000003</v>
      </c>
      <c r="I252">
        <v>366.84530000000001</v>
      </c>
      <c r="J252">
        <v>-446.53039999999999</v>
      </c>
      <c r="K252">
        <v>1.109667</v>
      </c>
      <c r="L252">
        <v>366.93520000000001</v>
      </c>
      <c r="M252">
        <v>0.99995460000000003</v>
      </c>
      <c r="N252">
        <v>-6.0749200000000001E-3</v>
      </c>
      <c r="O252">
        <v>7.3216469999999997E-3</v>
      </c>
      <c r="P252">
        <v>0.95784340000000001</v>
      </c>
      <c r="Q252">
        <v>0.27505639999999998</v>
      </c>
      <c r="R252">
        <v>8.2946569999999997E-2</v>
      </c>
      <c r="S252">
        <v>3.2883909999999998</v>
      </c>
      <c r="T252">
        <v>-0.44940160000000001</v>
      </c>
      <c r="U252">
        <v>-0.3297119</v>
      </c>
      <c r="V252">
        <v>-7.6014620000000005E-2</v>
      </c>
      <c r="W252">
        <v>0.28085110000000002</v>
      </c>
      <c r="X252">
        <v>0.95673640000000004</v>
      </c>
      <c r="Y252">
        <v>0.1059668</v>
      </c>
      <c r="Z252">
        <v>-8.4632449999999994E-3</v>
      </c>
      <c r="AA252">
        <v>0.99433369999999999</v>
      </c>
      <c r="AB252">
        <v>29</v>
      </c>
      <c r="AC252">
        <v>0.568699999999978</v>
      </c>
      <c r="AD252">
        <v>-0.1189976</v>
      </c>
      <c r="AE252">
        <v>-8.9899999999999994E-2</v>
      </c>
      <c r="AF252">
        <v>9.0208156151783001E-2</v>
      </c>
      <c r="AG252">
        <v>-0.1189976</v>
      </c>
      <c r="AH252">
        <v>0.54475669723507103</v>
      </c>
      <c r="AI252">
        <v>102.161642275736</v>
      </c>
      <c r="AJ252">
        <v>80.597515496006295</v>
      </c>
      <c r="AK252">
        <v>0.56485201550895403</v>
      </c>
      <c r="AL252">
        <v>73.688993280667304</v>
      </c>
      <c r="AM252">
        <v>94.542721459635601</v>
      </c>
      <c r="AN252">
        <v>1.00000005095495</v>
      </c>
    </row>
    <row r="253" spans="1:40" x14ac:dyDescent="0.25">
      <c r="A253" t="str">
        <f>"20190304164340967"</f>
        <v>20190304164340967</v>
      </c>
      <c r="B253" t="str">
        <f>"1551689020960413"</f>
        <v>1551689020960413</v>
      </c>
      <c r="C253" t="s">
        <v>40</v>
      </c>
      <c r="D253">
        <v>5.5201880000000001</v>
      </c>
      <c r="E253">
        <v>0.57182060000000001</v>
      </c>
      <c r="F253" t="s">
        <v>41</v>
      </c>
      <c r="G253">
        <v>-445.69760000000002</v>
      </c>
      <c r="H253">
        <v>0.99589280000000002</v>
      </c>
      <c r="I253">
        <v>366.85129999999998</v>
      </c>
      <c r="J253">
        <v>-446.2276</v>
      </c>
      <c r="K253">
        <v>1.1096429999999999</v>
      </c>
      <c r="L253">
        <v>366.9375</v>
      </c>
      <c r="M253">
        <v>0.99995369999999995</v>
      </c>
      <c r="N253">
        <v>-6.0930749999999999E-3</v>
      </c>
      <c r="O253">
        <v>7.4581500000000002E-3</v>
      </c>
      <c r="P253">
        <v>0.95761390000000002</v>
      </c>
      <c r="Q253">
        <v>0.27586899999999998</v>
      </c>
      <c r="R253">
        <v>8.2898410000000006E-2</v>
      </c>
      <c r="S253">
        <v>3.2896730000000001</v>
      </c>
      <c r="T253">
        <v>-0.44965270000000002</v>
      </c>
      <c r="U253">
        <v>-0.32977289999999998</v>
      </c>
      <c r="V253">
        <v>-7.5820600000000002E-2</v>
      </c>
      <c r="W253">
        <v>0.2816842</v>
      </c>
      <c r="X253">
        <v>0.95650679999999999</v>
      </c>
      <c r="Y253">
        <v>0.1060796</v>
      </c>
      <c r="Z253">
        <v>-8.491162E-3</v>
      </c>
      <c r="AA253">
        <v>0.99432140000000002</v>
      </c>
      <c r="AB253">
        <v>29</v>
      </c>
      <c r="AC253">
        <v>0.52999999999997205</v>
      </c>
      <c r="AD253">
        <v>-0.113750199999999</v>
      </c>
      <c r="AE253">
        <v>-8.6200000000019303E-2</v>
      </c>
      <c r="AF253">
        <v>8.6278656703720896E-2</v>
      </c>
      <c r="AG253">
        <v>-0.113750199999999</v>
      </c>
      <c r="AH253">
        <v>0.50660783670091003</v>
      </c>
      <c r="AI253">
        <v>102.480957110581</v>
      </c>
      <c r="AJ253">
        <v>80.334882251012203</v>
      </c>
      <c r="AK253">
        <v>0.52634077821256997</v>
      </c>
      <c r="AL253">
        <v>73.639251313610004</v>
      </c>
      <c r="AM253">
        <v>94.532258079004293</v>
      </c>
      <c r="AN253">
        <v>1.0000000051801099</v>
      </c>
    </row>
    <row r="254" spans="1:40" x14ac:dyDescent="0.25">
      <c r="A254" t="str">
        <f>"20190304164340990"</f>
        <v>20190304164340990</v>
      </c>
      <c r="B254" t="str">
        <f>"1551689020979933"</f>
        <v>1551689020979933</v>
      </c>
      <c r="C254" t="s">
        <v>40</v>
      </c>
      <c r="D254">
        <v>5.4165900000000002</v>
      </c>
      <c r="E254">
        <v>0.56948659999999995</v>
      </c>
      <c r="F254" t="s">
        <v>41</v>
      </c>
      <c r="G254">
        <v>-445.46370000000002</v>
      </c>
      <c r="H254">
        <v>0.93673649999999997</v>
      </c>
      <c r="I254">
        <v>366.90469999999999</v>
      </c>
      <c r="J254">
        <v>-445.92500000000001</v>
      </c>
      <c r="K254">
        <v>1.109607</v>
      </c>
      <c r="L254">
        <v>366.93990000000002</v>
      </c>
      <c r="M254">
        <v>0.99995290000000003</v>
      </c>
      <c r="N254">
        <v>-6.1134369999999898E-3</v>
      </c>
      <c r="O254">
        <v>7.5529389999999998E-3</v>
      </c>
      <c r="P254">
        <v>0.95763819999999999</v>
      </c>
      <c r="Q254">
        <v>0.27573029999999998</v>
      </c>
      <c r="R254">
        <v>8.3079349999999996E-2</v>
      </c>
      <c r="S254">
        <v>3.364716</v>
      </c>
      <c r="T254">
        <v>-0.76158689999999996</v>
      </c>
      <c r="U254">
        <v>-0.1450806</v>
      </c>
      <c r="V254">
        <v>-7.5889799999999993E-2</v>
      </c>
      <c r="W254">
        <v>0.28157120000000002</v>
      </c>
      <c r="X254">
        <v>0.95653460000000001</v>
      </c>
      <c r="Y254">
        <v>4.9166500000000002E-2</v>
      </c>
      <c r="Z254">
        <v>-7.2865539999999998E-3</v>
      </c>
      <c r="AA254">
        <v>0.99876399999999999</v>
      </c>
      <c r="AB254">
        <v>29</v>
      </c>
      <c r="AC254">
        <v>0.46129999999999399</v>
      </c>
      <c r="AD254">
        <v>-0.17287050000000001</v>
      </c>
      <c r="AE254">
        <v>-3.5200000000031602E-2</v>
      </c>
      <c r="AF254">
        <v>3.3943917909272099E-2</v>
      </c>
      <c r="AG254">
        <v>-0.17287050000000001</v>
      </c>
      <c r="AH254">
        <v>0.40453854281516699</v>
      </c>
      <c r="AI254">
        <v>113.065819693867</v>
      </c>
      <c r="AJ254">
        <v>85.2036753343002</v>
      </c>
      <c r="AK254">
        <v>0.441234441035942</v>
      </c>
      <c r="AL254">
        <v>73.645999129498506</v>
      </c>
      <c r="AM254">
        <v>94.536246034650105</v>
      </c>
      <c r="AN254">
        <v>1.00000002170531</v>
      </c>
    </row>
    <row r="255" spans="1:40" x14ac:dyDescent="0.25">
      <c r="A255" t="str">
        <f>"20190304164341013"</f>
        <v>20190304164341013</v>
      </c>
      <c r="B255" t="str">
        <f>"1551689021000428"</f>
        <v>1551689021000428</v>
      </c>
      <c r="C255" t="s">
        <v>40</v>
      </c>
      <c r="D255">
        <v>5.4545890000000004</v>
      </c>
      <c r="E255">
        <v>0.56798559999999998</v>
      </c>
      <c r="F255" t="s">
        <v>41</v>
      </c>
      <c r="G255">
        <v>-445.20010000000002</v>
      </c>
      <c r="H255">
        <v>0.93658669999999999</v>
      </c>
      <c r="I255">
        <v>366.91379999999998</v>
      </c>
      <c r="J255">
        <v>-445.63630000000001</v>
      </c>
      <c r="K255">
        <v>1.1095820000000001</v>
      </c>
      <c r="L255">
        <v>366.94209999999998</v>
      </c>
      <c r="M255">
        <v>0.99995230000000002</v>
      </c>
      <c r="N255">
        <v>-6.1371719999999998E-3</v>
      </c>
      <c r="O255">
        <v>7.6097600000000001E-3</v>
      </c>
      <c r="P255">
        <v>0.95744370000000001</v>
      </c>
      <c r="Q255">
        <v>0.27658310000000003</v>
      </c>
      <c r="R255">
        <v>8.2483539999999994E-2</v>
      </c>
      <c r="S255">
        <v>3.375092</v>
      </c>
      <c r="T255">
        <v>-0.8055563</v>
      </c>
      <c r="U255">
        <v>-0.1204224</v>
      </c>
      <c r="V255">
        <v>-7.5221839999999998E-2</v>
      </c>
      <c r="W255">
        <v>0.28245049999999999</v>
      </c>
      <c r="X255">
        <v>0.95632810000000001</v>
      </c>
      <c r="Y255">
        <v>4.1853130000000002E-2</v>
      </c>
      <c r="Z255">
        <v>-6.7988659999999998E-3</v>
      </c>
      <c r="AA255">
        <v>0.99910060000000001</v>
      </c>
      <c r="AB255">
        <v>29</v>
      </c>
      <c r="AC255">
        <v>0.43619999999998499</v>
      </c>
      <c r="AD255">
        <v>-0.17299529999999999</v>
      </c>
      <c r="AE255">
        <v>-2.8300000000001501E-2</v>
      </c>
      <c r="AF255">
        <v>2.7336865277197E-2</v>
      </c>
      <c r="AG255">
        <v>-0.17299529999999999</v>
      </c>
      <c r="AH255">
        <v>0.37693321369142602</v>
      </c>
      <c r="AI255">
        <v>114.596057557172</v>
      </c>
      <c r="AJ255">
        <v>85.851918940006499</v>
      </c>
      <c r="AK255">
        <v>0.41563604945796001</v>
      </c>
      <c r="AL255">
        <v>73.593487582649203</v>
      </c>
      <c r="AM255">
        <v>94.497450712342101</v>
      </c>
      <c r="AN255">
        <v>1.0000000225064201</v>
      </c>
    </row>
    <row r="256" spans="1:40" x14ac:dyDescent="0.25">
      <c r="A256" t="str">
        <f>"20190304164341033"</f>
        <v>20190304164341033</v>
      </c>
      <c r="B256" t="str">
        <f>"1551689021019949"</f>
        <v>1551689021019949</v>
      </c>
      <c r="C256" t="s">
        <v>40</v>
      </c>
      <c r="D256">
        <v>5.316757</v>
      </c>
      <c r="E256">
        <v>0.56818250000000003</v>
      </c>
      <c r="F256" t="s">
        <v>41</v>
      </c>
      <c r="G256">
        <v>-444.9348</v>
      </c>
      <c r="H256">
        <v>0.9386466</v>
      </c>
      <c r="I256">
        <v>366.92009999999999</v>
      </c>
      <c r="J256">
        <v>-445.35840000000002</v>
      </c>
      <c r="K256">
        <v>1.1095649999999999</v>
      </c>
      <c r="L256">
        <v>366.9443</v>
      </c>
      <c r="M256">
        <v>0.9999519</v>
      </c>
      <c r="N256">
        <v>-6.1648569999999897E-3</v>
      </c>
      <c r="O256">
        <v>7.6286130000000002E-3</v>
      </c>
      <c r="P256">
        <v>0.95745369999999996</v>
      </c>
      <c r="Q256">
        <v>0.2767115</v>
      </c>
      <c r="R256">
        <v>8.1935330000000001E-2</v>
      </c>
      <c r="S256">
        <v>3.3805239999999999</v>
      </c>
      <c r="T256">
        <v>-0.82386469999999901</v>
      </c>
      <c r="U256">
        <v>-0.1061401</v>
      </c>
      <c r="V256">
        <v>-7.4637200000000001E-2</v>
      </c>
      <c r="W256">
        <v>0.28261019999999998</v>
      </c>
      <c r="X256">
        <v>0.95632669999999997</v>
      </c>
      <c r="Y256">
        <v>3.766415E-2</v>
      </c>
      <c r="Z256">
        <v>-6.4257300000000002E-3</v>
      </c>
      <c r="AA256">
        <v>0.99926979999999999</v>
      </c>
      <c r="AB256">
        <v>29</v>
      </c>
      <c r="AC256">
        <v>0.42360000000002102</v>
      </c>
      <c r="AD256">
        <v>-0.170918399999999</v>
      </c>
      <c r="AE256">
        <v>-2.42000000000075E-2</v>
      </c>
      <c r="AF256">
        <v>2.3600995094554399E-2</v>
      </c>
      <c r="AG256">
        <v>-0.170918399999999</v>
      </c>
      <c r="AH256">
        <v>0.36428830962327802</v>
      </c>
      <c r="AI256">
        <v>115.08912781700199</v>
      </c>
      <c r="AJ256">
        <v>86.293182597762296</v>
      </c>
      <c r="AK256">
        <v>0.403083215919738</v>
      </c>
      <c r="AL256">
        <v>73.583948390725695</v>
      </c>
      <c r="AM256">
        <v>94.462643831914093</v>
      </c>
      <c r="AN256">
        <v>0.999999996950385</v>
      </c>
    </row>
    <row r="257" spans="1:40" x14ac:dyDescent="0.25">
      <c r="A257" t="str">
        <f>"20190304164341058"</f>
        <v>20190304164341058</v>
      </c>
      <c r="B257" t="str">
        <f>"1551689021050205"</f>
        <v>1551689021050205</v>
      </c>
      <c r="C257" t="s">
        <v>40</v>
      </c>
      <c r="D257">
        <v>5.395124</v>
      </c>
      <c r="E257">
        <v>0.56841079999999999</v>
      </c>
      <c r="F257" t="s">
        <v>41</v>
      </c>
      <c r="G257">
        <v>-444.66840000000002</v>
      </c>
      <c r="H257">
        <v>0.94139130000000004</v>
      </c>
      <c r="I257">
        <v>366.92200000000003</v>
      </c>
      <c r="J257">
        <v>-445.03699999999998</v>
      </c>
      <c r="K257">
        <v>1.1095429999999999</v>
      </c>
      <c r="L257">
        <v>366.94670000000002</v>
      </c>
      <c r="M257">
        <v>0.99995199999999995</v>
      </c>
      <c r="N257">
        <v>-6.2045549999999996E-3</v>
      </c>
      <c r="O257">
        <v>7.5966489999999996E-3</v>
      </c>
      <c r="P257">
        <v>0.95746330000000002</v>
      </c>
      <c r="Q257">
        <v>0.2767636</v>
      </c>
      <c r="R257">
        <v>8.1646490000000002E-2</v>
      </c>
      <c r="S257">
        <v>3.3806759999999998</v>
      </c>
      <c r="T257">
        <v>-0.82408879999999995</v>
      </c>
      <c r="U257">
        <v>-0.1074219</v>
      </c>
      <c r="V257">
        <v>-7.4355930000000001E-2</v>
      </c>
      <c r="W257">
        <v>0.28270669999999998</v>
      </c>
      <c r="X257">
        <v>0.95632010000000001</v>
      </c>
      <c r="Y257">
        <v>3.7999409999999997E-2</v>
      </c>
      <c r="Z257">
        <v>-6.4613939999999996E-3</v>
      </c>
      <c r="AA257">
        <v>0.99925679999999995</v>
      </c>
      <c r="AB257">
        <v>30</v>
      </c>
      <c r="AC257">
        <v>0.36859999999995802</v>
      </c>
      <c r="AD257">
        <v>-0.16815169999999899</v>
      </c>
      <c r="AE257">
        <v>-2.4700000000052499E-2</v>
      </c>
      <c r="AF257">
        <v>2.2779937278701201E-2</v>
      </c>
      <c r="AG257">
        <v>-0.16815169999999899</v>
      </c>
      <c r="AH257">
        <v>0.30517567998295497</v>
      </c>
      <c r="AI257">
        <v>118.78751807736801</v>
      </c>
      <c r="AJ257">
        <v>85.731055017128597</v>
      </c>
      <c r="AK257">
        <v>0.34917920242816602</v>
      </c>
      <c r="AL257">
        <v>73.578184480009497</v>
      </c>
      <c r="AM257">
        <v>94.445924487382698</v>
      </c>
      <c r="AN257">
        <v>1.00000000810753</v>
      </c>
    </row>
    <row r="258" spans="1:40" x14ac:dyDescent="0.25">
      <c r="A258" t="str">
        <f>"20190304164341078"</f>
        <v>20190304164341078</v>
      </c>
      <c r="B258" t="str">
        <f>"1551689021070701"</f>
        <v>1551689021070701</v>
      </c>
      <c r="C258" t="s">
        <v>40</v>
      </c>
      <c r="D258">
        <v>5.3600219999999998</v>
      </c>
      <c r="E258">
        <v>0.56877800000000001</v>
      </c>
      <c r="F258" t="s">
        <v>41</v>
      </c>
      <c r="G258">
        <v>-444.15660000000003</v>
      </c>
      <c r="H258">
        <v>0.89483819999999903</v>
      </c>
      <c r="I258">
        <v>366.91730000000001</v>
      </c>
      <c r="J258">
        <v>-444.75</v>
      </c>
      <c r="K258">
        <v>1.1095170000000001</v>
      </c>
      <c r="L258">
        <v>366.94880000000001</v>
      </c>
      <c r="M258">
        <v>0.99995230000000002</v>
      </c>
      <c r="N258">
        <v>-6.245329E-3</v>
      </c>
      <c r="O258">
        <v>7.5223649999999996E-3</v>
      </c>
      <c r="P258">
        <v>0.95759510000000003</v>
      </c>
      <c r="Q258">
        <v>0.27641399999999999</v>
      </c>
      <c r="R258">
        <v>8.1284690000000007E-2</v>
      </c>
      <c r="S258">
        <v>3.381256</v>
      </c>
      <c r="T258">
        <v>-0.82461569999999995</v>
      </c>
      <c r="U258">
        <v>-0.1118774</v>
      </c>
      <c r="V258">
        <v>-7.4042280000000002E-2</v>
      </c>
      <c r="W258">
        <v>0.28240209999999999</v>
      </c>
      <c r="X258">
        <v>0.95643440000000002</v>
      </c>
      <c r="Y258">
        <v>3.9199779999999997E-2</v>
      </c>
      <c r="Z258">
        <v>-6.5952880000000004E-3</v>
      </c>
      <c r="AA258">
        <v>0.99920960000000003</v>
      </c>
      <c r="AB258">
        <v>30</v>
      </c>
      <c r="AC258">
        <v>0.59339999999997395</v>
      </c>
      <c r="AD258">
        <v>-0.2146788</v>
      </c>
      <c r="AE258">
        <v>-3.1499999999993998E-2</v>
      </c>
      <c r="AF258">
        <v>3.18111301339849E-2</v>
      </c>
      <c r="AG258">
        <v>-0.2146788</v>
      </c>
      <c r="AH258">
        <v>0.524668966099195</v>
      </c>
      <c r="AI258">
        <v>112.21608609175701</v>
      </c>
      <c r="AJ258">
        <v>86.530355096556093</v>
      </c>
      <c r="AK258">
        <v>0.56778205251437697</v>
      </c>
      <c r="AL258">
        <v>73.596377726319403</v>
      </c>
      <c r="AM258">
        <v>94.4267183157707</v>
      </c>
      <c r="AN258">
        <v>0.99999998340768403</v>
      </c>
    </row>
    <row r="259" spans="1:40" x14ac:dyDescent="0.25">
      <c r="A259" t="str">
        <f>"20190304164341100"</f>
        <v>20190304164341100</v>
      </c>
      <c r="B259" t="str">
        <f>"1551689021090221"</f>
        <v>1551689021090221</v>
      </c>
      <c r="C259" t="s">
        <v>40</v>
      </c>
      <c r="D259">
        <v>5.3806260000000004</v>
      </c>
      <c r="E259">
        <v>0.56938089999999997</v>
      </c>
      <c r="F259" t="s">
        <v>41</v>
      </c>
      <c r="G259">
        <v>-443.88709999999998</v>
      </c>
      <c r="H259">
        <v>0.89945339999999996</v>
      </c>
      <c r="I259">
        <v>366.91849999999999</v>
      </c>
      <c r="J259">
        <v>-444.45870000000002</v>
      </c>
      <c r="K259">
        <v>1.109488</v>
      </c>
      <c r="L259">
        <v>366.95089999999999</v>
      </c>
      <c r="M259">
        <v>0.99995270000000003</v>
      </c>
      <c r="N259">
        <v>-6.2895149999999999E-3</v>
      </c>
      <c r="O259">
        <v>7.4098009999999997E-3</v>
      </c>
      <c r="P259">
        <v>0.95773169999999996</v>
      </c>
      <c r="Q259">
        <v>0.2761961</v>
      </c>
      <c r="R259">
        <v>8.0410609999999993E-2</v>
      </c>
      <c r="S259">
        <v>3.3804319999999999</v>
      </c>
      <c r="T259">
        <v>-0.82302169999999897</v>
      </c>
      <c r="U259">
        <v>-0.1175537</v>
      </c>
      <c r="V259">
        <v>-7.3253399999999996E-2</v>
      </c>
      <c r="W259">
        <v>0.28223320000000002</v>
      </c>
      <c r="X259">
        <v>0.95654499999999998</v>
      </c>
      <c r="Y259">
        <v>4.0732940000000002E-2</v>
      </c>
      <c r="Z259">
        <v>-6.747444E-3</v>
      </c>
      <c r="AA259">
        <v>0.99914729999999996</v>
      </c>
      <c r="AB259">
        <v>30</v>
      </c>
      <c r="AC259">
        <v>0.57160000000004596</v>
      </c>
      <c r="AD259">
        <v>-0.21003459999999999</v>
      </c>
      <c r="AE259">
        <v>-3.2399999999995502E-2</v>
      </c>
      <c r="AF259">
        <v>3.2288953417225097E-2</v>
      </c>
      <c r="AG259">
        <v>-0.21003459999999999</v>
      </c>
      <c r="AH259">
        <v>0.50357008218452703</v>
      </c>
      <c r="AI259">
        <v>112.598852420771</v>
      </c>
      <c r="AJ259">
        <v>86.331212526559398</v>
      </c>
      <c r="AK259">
        <v>0.54657107258001802</v>
      </c>
      <c r="AL259">
        <v>73.606465422118404</v>
      </c>
      <c r="AM259">
        <v>94.379234112501905</v>
      </c>
      <c r="AN259">
        <v>0.99999998840939897</v>
      </c>
    </row>
    <row r="260" spans="1:40" x14ac:dyDescent="0.25">
      <c r="A260" t="str">
        <f>"20190304164341123"</f>
        <v>20190304164341123</v>
      </c>
      <c r="B260" t="str">
        <f>"1551689021110718"</f>
        <v>1551689021110718</v>
      </c>
      <c r="C260" t="s">
        <v>40</v>
      </c>
      <c r="D260">
        <v>5.3246250000000002</v>
      </c>
      <c r="E260">
        <v>0.56956450000000003</v>
      </c>
      <c r="F260" t="s">
        <v>41</v>
      </c>
      <c r="G260">
        <v>-443.61619999999999</v>
      </c>
      <c r="H260">
        <v>0.90540350000000003</v>
      </c>
      <c r="I260">
        <v>366.91890000000001</v>
      </c>
      <c r="J260">
        <v>-444.15219999999999</v>
      </c>
      <c r="K260">
        <v>1.109459</v>
      </c>
      <c r="L260">
        <v>366.95299999999997</v>
      </c>
      <c r="M260">
        <v>0.99995369999999995</v>
      </c>
      <c r="N260">
        <v>-6.337189E-3</v>
      </c>
      <c r="O260">
        <v>7.2500009999999998E-3</v>
      </c>
      <c r="P260">
        <v>0.9579027</v>
      </c>
      <c r="Q260">
        <v>0.275702</v>
      </c>
      <c r="R260">
        <v>8.0069500000000002E-2</v>
      </c>
      <c r="S260">
        <v>3.3791199999999999</v>
      </c>
      <c r="T260">
        <v>-0.81860980000000005</v>
      </c>
      <c r="U260">
        <v>-0.1266785</v>
      </c>
      <c r="V260">
        <v>-7.3042529999999994E-2</v>
      </c>
      <c r="W260">
        <v>0.28179090000000001</v>
      </c>
      <c r="X260">
        <v>0.95669159999999998</v>
      </c>
      <c r="Y260">
        <v>4.3225420000000001E-2</v>
      </c>
      <c r="Z260">
        <v>-6.9839139999999999E-3</v>
      </c>
      <c r="AA260">
        <v>0.99904099999999996</v>
      </c>
      <c r="AB260">
        <v>30</v>
      </c>
      <c r="AC260">
        <v>0.53600000000000103</v>
      </c>
      <c r="AD260">
        <v>-0.204055499999999</v>
      </c>
      <c r="AE260">
        <v>-3.41000000000235E-2</v>
      </c>
      <c r="AF260">
        <v>3.3193713516613599E-2</v>
      </c>
      <c r="AG260">
        <v>-0.204055499999999</v>
      </c>
      <c r="AH260">
        <v>0.46816035541695</v>
      </c>
      <c r="AI260">
        <v>113.49820910170099</v>
      </c>
      <c r="AJ260">
        <v>85.944376183883904</v>
      </c>
      <c r="AK260">
        <v>0.51177591588643301</v>
      </c>
      <c r="AL260">
        <v>73.632880842526802</v>
      </c>
      <c r="AM260">
        <v>94.366010165543798</v>
      </c>
      <c r="AN260">
        <v>1.00000007001108</v>
      </c>
    </row>
    <row r="261" spans="1:40" x14ac:dyDescent="0.25">
      <c r="A261" t="str">
        <f>"20190304164341145"</f>
        <v>20190304164341145</v>
      </c>
      <c r="B261" t="str">
        <f>"1551689021139998"</f>
        <v>1551689021139998</v>
      </c>
      <c r="C261" t="s">
        <v>40</v>
      </c>
      <c r="D261">
        <v>5.3756659999999998</v>
      </c>
      <c r="E261">
        <v>0.55327740000000003</v>
      </c>
      <c r="F261" t="s">
        <v>41</v>
      </c>
      <c r="G261">
        <v>-443.34350000000001</v>
      </c>
      <c r="H261">
        <v>0.91337109999999999</v>
      </c>
      <c r="I261">
        <v>366.92140000000001</v>
      </c>
      <c r="J261">
        <v>-443.85570000000001</v>
      </c>
      <c r="K261">
        <v>1.1094349999999999</v>
      </c>
      <c r="L261">
        <v>366.95499999999998</v>
      </c>
      <c r="M261">
        <v>0.99995480000000003</v>
      </c>
      <c r="N261">
        <v>-6.3834E-3</v>
      </c>
      <c r="O261">
        <v>7.0614379999999997E-3</v>
      </c>
      <c r="P261">
        <v>0.95797500000000002</v>
      </c>
      <c r="Q261">
        <v>0.27536509999999997</v>
      </c>
      <c r="R261">
        <v>8.0362589999999998E-2</v>
      </c>
      <c r="S261">
        <v>3.3786010000000002</v>
      </c>
      <c r="T261">
        <v>-0.81931880000000001</v>
      </c>
      <c r="U261">
        <v>-0.13092039999999999</v>
      </c>
      <c r="V261">
        <v>-7.3495569999999996E-2</v>
      </c>
      <c r="W261">
        <v>0.28150449999999999</v>
      </c>
      <c r="X261">
        <v>0.95674119999999996</v>
      </c>
      <c r="Y261">
        <v>4.4266439999999997E-2</v>
      </c>
      <c r="Z261">
        <v>-7.0751570000000003E-3</v>
      </c>
      <c r="AA261">
        <v>0.99899470000000001</v>
      </c>
      <c r="AB261">
        <v>30</v>
      </c>
      <c r="AC261">
        <v>0.51220000000000698</v>
      </c>
      <c r="AD261">
        <v>-0.19606390000000001</v>
      </c>
      <c r="AE261">
        <v>-3.3599999999978501E-2</v>
      </c>
      <c r="AF261">
        <v>3.2477657942894401E-2</v>
      </c>
      <c r="AG261">
        <v>-0.19606390000000001</v>
      </c>
      <c r="AH261">
        <v>0.44676722866499302</v>
      </c>
      <c r="AI261">
        <v>113.63876649329301</v>
      </c>
      <c r="AJ261">
        <v>85.842208011361805</v>
      </c>
      <c r="AK261">
        <v>0.48897526293020599</v>
      </c>
      <c r="AL261">
        <v>73.649982385739705</v>
      </c>
      <c r="AM261">
        <v>94.392757436762096</v>
      </c>
      <c r="AN261">
        <v>1.0000000530536499</v>
      </c>
    </row>
    <row r="262" spans="1:40" x14ac:dyDescent="0.25">
      <c r="A262" t="str">
        <f>"20190304164341168"</f>
        <v>20190304164341168</v>
      </c>
      <c r="B262" t="str">
        <f>"1551689021160493"</f>
        <v>1551689021160493</v>
      </c>
      <c r="C262" t="s">
        <v>40</v>
      </c>
      <c r="D262">
        <v>5.4752269999999896</v>
      </c>
      <c r="E262">
        <v>0.55195969999999905</v>
      </c>
      <c r="F262" t="s">
        <v>41</v>
      </c>
      <c r="G262">
        <v>-443.09870000000001</v>
      </c>
      <c r="H262">
        <v>0.85048749999999995</v>
      </c>
      <c r="I262">
        <v>366.9633</v>
      </c>
      <c r="J262">
        <v>-443.5498</v>
      </c>
      <c r="K262">
        <v>1.1094120000000001</v>
      </c>
      <c r="L262">
        <v>366.95690000000002</v>
      </c>
      <c r="M262">
        <v>0.99995590000000001</v>
      </c>
      <c r="N262">
        <v>-6.4305600000000001E-3</v>
      </c>
      <c r="O262">
        <v>6.8410190000000003E-3</v>
      </c>
      <c r="P262">
        <v>0.95795350000000001</v>
      </c>
      <c r="Q262">
        <v>0.2757058</v>
      </c>
      <c r="R262">
        <v>7.944408E-2</v>
      </c>
      <c r="S262">
        <v>3.4694820000000002</v>
      </c>
      <c r="T262">
        <v>-1.186715</v>
      </c>
      <c r="U262">
        <v>3.8299560000000003E-2</v>
      </c>
      <c r="V262">
        <v>-7.2771559999999999E-2</v>
      </c>
      <c r="W262">
        <v>0.28189380000000003</v>
      </c>
      <c r="X262">
        <v>0.95668180000000003</v>
      </c>
      <c r="Y262">
        <v>-4.3212279999999999E-3</v>
      </c>
      <c r="Z262">
        <v>-1.4994710000000001E-3</v>
      </c>
      <c r="AA262">
        <v>0.99998949999999998</v>
      </c>
      <c r="AB262">
        <v>30</v>
      </c>
      <c r="AC262">
        <v>0.451099999999996</v>
      </c>
      <c r="AD262">
        <v>-0.2589245</v>
      </c>
      <c r="AE262">
        <v>6.39999999998508E-3</v>
      </c>
      <c r="AF262">
        <v>-2.49272023464072E-3</v>
      </c>
      <c r="AG262">
        <v>-0.2589245</v>
      </c>
      <c r="AH262">
        <v>0.33935301271548102</v>
      </c>
      <c r="AI262">
        <v>127.34268887961299</v>
      </c>
      <c r="AJ262">
        <v>90.420859031606597</v>
      </c>
      <c r="AK262">
        <v>0.426858966865512</v>
      </c>
      <c r="AL262">
        <v>73.626733818565199</v>
      </c>
      <c r="AM262">
        <v>94.349919999078494</v>
      </c>
      <c r="AN262">
        <v>0.99999994043725504</v>
      </c>
    </row>
    <row r="263" spans="1:40" x14ac:dyDescent="0.25">
      <c r="A263" t="str">
        <f>"20190304164341190"</f>
        <v>20190304164341190</v>
      </c>
      <c r="B263" t="str">
        <f>"1551689021180013"</f>
        <v>1551689021180013</v>
      </c>
      <c r="C263" t="s">
        <v>40</v>
      </c>
      <c r="D263">
        <v>5.3970200000000004</v>
      </c>
      <c r="E263">
        <v>0.55114779999999997</v>
      </c>
      <c r="F263" t="s">
        <v>41</v>
      </c>
      <c r="G263">
        <v>-442.8254</v>
      </c>
      <c r="H263">
        <v>0.85627330000000001</v>
      </c>
      <c r="I263">
        <v>366.9674</v>
      </c>
      <c r="J263">
        <v>-443.2441</v>
      </c>
      <c r="K263">
        <v>1.109397</v>
      </c>
      <c r="L263">
        <v>366.9588</v>
      </c>
      <c r="M263">
        <v>0.99995730000000005</v>
      </c>
      <c r="N263">
        <v>-6.4766939999999999E-3</v>
      </c>
      <c r="O263">
        <v>6.6037869999999999E-3</v>
      </c>
      <c r="P263">
        <v>0.95794919999999995</v>
      </c>
      <c r="Q263">
        <v>0.2759587</v>
      </c>
      <c r="R263">
        <v>7.8614550000000005E-2</v>
      </c>
      <c r="S263">
        <v>3.4772949999999998</v>
      </c>
      <c r="T263">
        <v>-1.2152959999999999</v>
      </c>
      <c r="U263">
        <v>4.995728E-2</v>
      </c>
      <c r="V263">
        <v>-7.2157260000000001E-2</v>
      </c>
      <c r="W263">
        <v>0.2821939</v>
      </c>
      <c r="X263">
        <v>0.95663989999999999</v>
      </c>
      <c r="Y263">
        <v>-7.6748249999999997E-3</v>
      </c>
      <c r="Z263">
        <v>-8.7175649999999996E-4</v>
      </c>
      <c r="AA263">
        <v>0.99997020000000003</v>
      </c>
      <c r="AB263">
        <v>30</v>
      </c>
      <c r="AC263">
        <v>0.41870000000000102</v>
      </c>
      <c r="AD263">
        <v>-0.25312369999999901</v>
      </c>
      <c r="AE263">
        <v>8.6000000000012698E-3</v>
      </c>
      <c r="AF263">
        <v>-4.2735315168367996E-3</v>
      </c>
      <c r="AG263">
        <v>-0.25312369999999901</v>
      </c>
      <c r="AH263">
        <v>0.30670236445546001</v>
      </c>
      <c r="AI263">
        <v>129.53037587758601</v>
      </c>
      <c r="AJ263">
        <v>90.798296666253805</v>
      </c>
      <c r="AK263">
        <v>0.39768858537288299</v>
      </c>
      <c r="AL263">
        <v>73.608812459186893</v>
      </c>
      <c r="AM263">
        <v>94.3135275897463</v>
      </c>
      <c r="AN263">
        <v>0.99999998281996305</v>
      </c>
    </row>
    <row r="264" spans="1:40" x14ac:dyDescent="0.25">
      <c r="A264" t="str">
        <f>"20190304164341214"</f>
        <v>20190304164341214</v>
      </c>
      <c r="B264" t="str">
        <f>"1551689021200509"</f>
        <v>1551689021200509</v>
      </c>
      <c r="C264" t="s">
        <v>40</v>
      </c>
      <c r="D264">
        <v>5.5422580000000004</v>
      </c>
      <c r="E264">
        <v>0.55085899999999999</v>
      </c>
      <c r="F264" t="s">
        <v>41</v>
      </c>
      <c r="G264">
        <v>-442.55040000000002</v>
      </c>
      <c r="H264">
        <v>0.8642358</v>
      </c>
      <c r="I264">
        <v>366.96949999999998</v>
      </c>
      <c r="J264">
        <v>-442.9341</v>
      </c>
      <c r="K264">
        <v>1.1093900000000001</v>
      </c>
      <c r="L264">
        <v>366.9606</v>
      </c>
      <c r="M264">
        <v>0.99995860000000003</v>
      </c>
      <c r="N264">
        <v>-6.5223429999999999E-3</v>
      </c>
      <c r="O264">
        <v>6.352183E-3</v>
      </c>
      <c r="P264">
        <v>0.95797560000000004</v>
      </c>
      <c r="Q264">
        <v>0.2758216</v>
      </c>
      <c r="R264">
        <v>7.8772919999999996E-2</v>
      </c>
      <c r="S264">
        <v>3.4816889999999998</v>
      </c>
      <c r="T264">
        <v>-1.2304170000000001</v>
      </c>
      <c r="U264">
        <v>5.4626460000000002E-2</v>
      </c>
      <c r="V264">
        <v>-7.254932E-2</v>
      </c>
      <c r="W264">
        <v>0.28210239999999998</v>
      </c>
      <c r="X264">
        <v>0.95663730000000002</v>
      </c>
      <c r="Y264">
        <v>-9.1418890000000003E-3</v>
      </c>
      <c r="Z264">
        <v>-5.3995309999999995E-4</v>
      </c>
      <c r="AA264">
        <v>0.99995800000000001</v>
      </c>
      <c r="AB264">
        <v>30</v>
      </c>
      <c r="AC264">
        <v>0.383699999999976</v>
      </c>
      <c r="AD264">
        <v>-0.24515419999999899</v>
      </c>
      <c r="AE264">
        <v>8.8999999999828001E-3</v>
      </c>
      <c r="AF264">
        <v>-4.5897943142242702E-3</v>
      </c>
      <c r="AG264">
        <v>-0.24515419999999899</v>
      </c>
      <c r="AH264">
        <v>0.27254861947372699</v>
      </c>
      <c r="AI264">
        <v>131.96696056578901</v>
      </c>
      <c r="AJ264">
        <v>90.964785615997002</v>
      </c>
      <c r="AK264">
        <v>0.36661205376599498</v>
      </c>
      <c r="AL264">
        <v>73.614278106235801</v>
      </c>
      <c r="AM264">
        <v>94.336887319192499</v>
      </c>
      <c r="AN264">
        <v>1.00000004583475</v>
      </c>
    </row>
    <row r="265" spans="1:40" x14ac:dyDescent="0.25">
      <c r="A265" t="str">
        <f>"20190304164341235"</f>
        <v>20190304164341235</v>
      </c>
      <c r="B265" t="str">
        <f>"1551689021230765"</f>
        <v>1551689021230765</v>
      </c>
      <c r="C265" t="s">
        <v>40</v>
      </c>
      <c r="D265">
        <v>5.3384070000000001</v>
      </c>
      <c r="E265">
        <v>0.55060739999999997</v>
      </c>
      <c r="F265" t="s">
        <v>41</v>
      </c>
      <c r="G265">
        <v>-442.27359999999999</v>
      </c>
      <c r="H265">
        <v>0.87489219999999901</v>
      </c>
      <c r="I265">
        <v>366.971</v>
      </c>
      <c r="J265">
        <v>-442.64350000000002</v>
      </c>
      <c r="K265">
        <v>1.109389</v>
      </c>
      <c r="L265">
        <v>366.9622</v>
      </c>
      <c r="M265">
        <v>0.99995990000000001</v>
      </c>
      <c r="N265">
        <v>-6.563943E-3</v>
      </c>
      <c r="O265">
        <v>6.1102910000000003E-3</v>
      </c>
      <c r="P265">
        <v>0.95798669999999997</v>
      </c>
      <c r="Q265">
        <v>0.27575119999999997</v>
      </c>
      <c r="R265">
        <v>7.8885609999999995E-2</v>
      </c>
      <c r="S265">
        <v>3.483063</v>
      </c>
      <c r="T265">
        <v>-1.2365539999999999</v>
      </c>
      <c r="U265">
        <v>5.5419919999999998E-2</v>
      </c>
      <c r="V265">
        <v>-7.2889809999999999E-2</v>
      </c>
      <c r="W265">
        <v>0.28207270000000001</v>
      </c>
      <c r="X265">
        <v>0.95662020000000003</v>
      </c>
      <c r="Y265">
        <v>-9.5630520000000007E-3</v>
      </c>
      <c r="Z265">
        <v>-3.8640419999999998E-4</v>
      </c>
      <c r="AA265">
        <v>0.99995420000000002</v>
      </c>
      <c r="AB265">
        <v>30</v>
      </c>
      <c r="AC265">
        <v>0.36990000000002898</v>
      </c>
      <c r="AD265">
        <v>-0.23449680000000001</v>
      </c>
      <c r="AE265">
        <v>8.8000000000079091E-3</v>
      </c>
      <c r="AF265">
        <v>-4.6656014310521897E-3</v>
      </c>
      <c r="AG265">
        <v>-0.23449680000000001</v>
      </c>
      <c r="AH265">
        <v>0.26393465965474999</v>
      </c>
      <c r="AI265">
        <v>131.61553637473099</v>
      </c>
      <c r="AJ265">
        <v>91.012718194990498</v>
      </c>
      <c r="AK265">
        <v>0.35308925445844702</v>
      </c>
      <c r="AL265">
        <v>73.616052227002498</v>
      </c>
      <c r="AM265">
        <v>94.357240676197904</v>
      </c>
      <c r="AN265">
        <v>1.0000000697675799</v>
      </c>
    </row>
    <row r="266" spans="1:40" x14ac:dyDescent="0.25">
      <c r="A266" t="str">
        <f>"20190304164341258"</f>
        <v>20190304164341258</v>
      </c>
      <c r="B266" t="str">
        <f>"1551689021250285"</f>
        <v>1551689021250285</v>
      </c>
      <c r="C266" t="s">
        <v>40</v>
      </c>
      <c r="D266">
        <v>5.3260639999999997</v>
      </c>
      <c r="E266">
        <v>0.55050959999999904</v>
      </c>
      <c r="F266" t="s">
        <v>41</v>
      </c>
      <c r="G266">
        <v>-441.76</v>
      </c>
      <c r="H266">
        <v>0.79416560000000003</v>
      </c>
      <c r="I266">
        <v>366.97629999999998</v>
      </c>
      <c r="J266">
        <v>-442.31950000000001</v>
      </c>
      <c r="K266">
        <v>1.1093839999999999</v>
      </c>
      <c r="L266">
        <v>366.964</v>
      </c>
      <c r="M266">
        <v>0.99996119999999999</v>
      </c>
      <c r="N266">
        <v>-6.6089579999999998E-3</v>
      </c>
      <c r="O266">
        <v>5.8381190000000001E-3</v>
      </c>
      <c r="P266">
        <v>0.95798450000000002</v>
      </c>
      <c r="Q266">
        <v>0.27573819999999999</v>
      </c>
      <c r="R266">
        <v>7.8958929999999997E-2</v>
      </c>
      <c r="S266">
        <v>3.4848940000000002</v>
      </c>
      <c r="T266">
        <v>-1.2433320000000001</v>
      </c>
      <c r="U266">
        <v>5.5572509999999999E-2</v>
      </c>
      <c r="V266">
        <v>-7.3220729999999998E-2</v>
      </c>
      <c r="W266">
        <v>0.28210380000000002</v>
      </c>
      <c r="X266">
        <v>0.95658569999999998</v>
      </c>
      <c r="Y266">
        <v>-9.8350039999999996E-3</v>
      </c>
      <c r="Z266">
        <v>-2.4762679999999998E-4</v>
      </c>
      <c r="AA266">
        <v>0.99995160000000005</v>
      </c>
      <c r="AB266">
        <v>31</v>
      </c>
      <c r="AC266">
        <v>0.55950000000001399</v>
      </c>
      <c r="AD266">
        <v>-0.31521839999999901</v>
      </c>
      <c r="AE266">
        <v>1.22999999999819E-2</v>
      </c>
      <c r="AF266">
        <v>-6.8576460624199496E-3</v>
      </c>
      <c r="AG266">
        <v>-0.31521839999999901</v>
      </c>
      <c r="AH266">
        <v>0.42479310419711802</v>
      </c>
      <c r="AI266">
        <v>126.57374916479399</v>
      </c>
      <c r="AJ266">
        <v>90.924873886712504</v>
      </c>
      <c r="AK266">
        <v>0.52901686965682004</v>
      </c>
      <c r="AL266">
        <v>73.614193982831196</v>
      </c>
      <c r="AM266">
        <v>94.377103109929095</v>
      </c>
      <c r="AN266">
        <v>1.0000000153603299</v>
      </c>
    </row>
    <row r="267" spans="1:40" x14ac:dyDescent="0.25">
      <c r="A267" t="str">
        <f>"20190304164341279"</f>
        <v>20190304164341279</v>
      </c>
      <c r="B267" t="str">
        <f>"1551689021270224"</f>
        <v>1551689021270224</v>
      </c>
      <c r="C267" t="s">
        <v>40</v>
      </c>
      <c r="D267">
        <v>5.3541150000000002</v>
      </c>
      <c r="E267">
        <v>0.55067239999999995</v>
      </c>
      <c r="F267" t="s">
        <v>41</v>
      </c>
      <c r="G267">
        <v>-441.47949999999997</v>
      </c>
      <c r="H267">
        <v>0.80909119999999901</v>
      </c>
      <c r="I267">
        <v>366.97680000000003</v>
      </c>
      <c r="J267">
        <v>-442.03250000000003</v>
      </c>
      <c r="K267">
        <v>1.10938</v>
      </c>
      <c r="L267">
        <v>366.96539999999999</v>
      </c>
      <c r="M267">
        <v>0.99996240000000003</v>
      </c>
      <c r="N267">
        <v>-6.6479010000000003E-3</v>
      </c>
      <c r="O267">
        <v>5.5972699999999997E-3</v>
      </c>
      <c r="P267">
        <v>0.95793349999999999</v>
      </c>
      <c r="Q267">
        <v>0.27579789999999998</v>
      </c>
      <c r="R267">
        <v>7.9368049999999996E-2</v>
      </c>
      <c r="S267">
        <v>3.485687</v>
      </c>
      <c r="T267">
        <v>-1.246</v>
      </c>
      <c r="U267">
        <v>5.4931639999999997E-2</v>
      </c>
      <c r="V267">
        <v>-7.3858930000000003E-2</v>
      </c>
      <c r="W267">
        <v>0.28220079999999997</v>
      </c>
      <c r="X267">
        <v>0.95650800000000002</v>
      </c>
      <c r="Y267">
        <v>-9.8706760000000001E-3</v>
      </c>
      <c r="Z267">
        <v>-1.5953359999999999E-4</v>
      </c>
      <c r="AA267">
        <v>0.99995120000000004</v>
      </c>
      <c r="AB267">
        <v>31</v>
      </c>
      <c r="AC267">
        <v>0.553000000000054</v>
      </c>
      <c r="AD267">
        <v>-0.30028880000000002</v>
      </c>
      <c r="AE267">
        <v>1.14000000000373E-2</v>
      </c>
      <c r="AF267">
        <v>-6.4139858488693503E-3</v>
      </c>
      <c r="AG267">
        <v>-0.30028880000000002</v>
      </c>
      <c r="AH267">
        <v>0.427154386703329</v>
      </c>
      <c r="AI267">
        <v>125.10411389383</v>
      </c>
      <c r="AJ267">
        <v>90.860266720143798</v>
      </c>
      <c r="AK267">
        <v>0.522183275009653</v>
      </c>
      <c r="AL267">
        <v>73.608400550539002</v>
      </c>
      <c r="AM267">
        <v>94.415461459504598</v>
      </c>
      <c r="AN267">
        <v>0.99999999356269198</v>
      </c>
    </row>
    <row r="268" spans="1:40" x14ac:dyDescent="0.25">
      <c r="A268" t="str">
        <f>"20190304164341301"</f>
        <v>20190304164341301</v>
      </c>
      <c r="B268" t="str">
        <f>"1551689021290721"</f>
        <v>1551689021290721</v>
      </c>
      <c r="C268" t="s">
        <v>40</v>
      </c>
      <c r="D268">
        <v>5.4477789999999997</v>
      </c>
      <c r="E268">
        <v>0.55095989999999995</v>
      </c>
      <c r="F268" t="s">
        <v>41</v>
      </c>
      <c r="G268">
        <v>-441.20249999999999</v>
      </c>
      <c r="H268">
        <v>0.81327609999999995</v>
      </c>
      <c r="I268">
        <v>366.97789999999998</v>
      </c>
      <c r="J268">
        <v>-441.7296</v>
      </c>
      <c r="K268">
        <v>1.1093820000000001</v>
      </c>
      <c r="L268">
        <v>366.96679999999998</v>
      </c>
      <c r="M268">
        <v>0.99996350000000001</v>
      </c>
      <c r="N268">
        <v>-6.6878719999999897E-3</v>
      </c>
      <c r="O268">
        <v>5.3437210000000001E-3</v>
      </c>
      <c r="P268">
        <v>0.95774040000000005</v>
      </c>
      <c r="Q268">
        <v>0.27626009999999901</v>
      </c>
      <c r="R268">
        <v>8.0087389999999994E-2</v>
      </c>
      <c r="S268">
        <v>3.4852910000000001</v>
      </c>
      <c r="T268">
        <v>-1.2433190000000001</v>
      </c>
      <c r="U268">
        <v>5.2734379999999997E-2</v>
      </c>
      <c r="V268">
        <v>-7.4819799999999895E-2</v>
      </c>
      <c r="W268">
        <v>0.2827017</v>
      </c>
      <c r="X268">
        <v>0.95628539999999995</v>
      </c>
      <c r="Y268">
        <v>-9.5046690000000003E-3</v>
      </c>
      <c r="Z268">
        <v>-1.371729E-4</v>
      </c>
      <c r="AA268">
        <v>0.99995480000000003</v>
      </c>
      <c r="AB268">
        <v>31</v>
      </c>
      <c r="AC268">
        <v>0.527100000000018</v>
      </c>
      <c r="AD268">
        <v>-0.29610589999999898</v>
      </c>
      <c r="AE268">
        <v>1.1099999999999E-2</v>
      </c>
      <c r="AF268">
        <v>-6.2968354217642301E-3</v>
      </c>
      <c r="AG268">
        <v>-0.29610589999999898</v>
      </c>
      <c r="AH268">
        <v>0.400742069192487</v>
      </c>
      <c r="AI268">
        <v>126.457091687651</v>
      </c>
      <c r="AJ268">
        <v>90.900210968973298</v>
      </c>
      <c r="AK268">
        <v>0.49830970306809702</v>
      </c>
      <c r="AL268">
        <v>73.578483173370401</v>
      </c>
      <c r="AM268">
        <v>94.473709849955497</v>
      </c>
      <c r="AN268">
        <v>1.00000000995404</v>
      </c>
    </row>
    <row r="269" spans="1:40" x14ac:dyDescent="0.25">
      <c r="A269" t="str">
        <f>"20190304164341323"</f>
        <v>20190304164341323</v>
      </c>
      <c r="B269" t="str">
        <f>"1551689021310240"</f>
        <v>1551689021310240</v>
      </c>
      <c r="C269" t="s">
        <v>40</v>
      </c>
      <c r="D269">
        <v>5.432175</v>
      </c>
      <c r="E269">
        <v>0.55127780000000004</v>
      </c>
      <c r="F269" t="s">
        <v>41</v>
      </c>
      <c r="G269">
        <v>-440.92259999999999</v>
      </c>
      <c r="H269">
        <v>0.82274559999999997</v>
      </c>
      <c r="I269">
        <v>366.97829999999999</v>
      </c>
      <c r="J269">
        <v>-441.42290000000003</v>
      </c>
      <c r="K269">
        <v>1.1093789999999999</v>
      </c>
      <c r="L269">
        <v>366.96820000000002</v>
      </c>
      <c r="M269">
        <v>0.99996459999999998</v>
      </c>
      <c r="N269">
        <v>-6.7273799999999998E-3</v>
      </c>
      <c r="O269">
        <v>5.0874900000000001E-3</v>
      </c>
      <c r="P269">
        <v>0.95760199999999995</v>
      </c>
      <c r="Q269">
        <v>0.27647169999999999</v>
      </c>
      <c r="R269">
        <v>8.1005830000000001E-2</v>
      </c>
      <c r="S269">
        <v>3.4850460000000001</v>
      </c>
      <c r="T269">
        <v>-1.2377990000000001</v>
      </c>
      <c r="U269">
        <v>5.1452640000000001E-2</v>
      </c>
      <c r="V269">
        <v>-7.5982160000000007E-2</v>
      </c>
      <c r="W269">
        <v>0.28295090000000001</v>
      </c>
      <c r="X269">
        <v>0.95611999999999997</v>
      </c>
      <c r="Y269">
        <v>-9.3885679999999999E-3</v>
      </c>
      <c r="Z269" s="1">
        <v>-6.9714969999999895E-5</v>
      </c>
      <c r="AA269">
        <v>0.99995599999999996</v>
      </c>
      <c r="AB269">
        <v>31</v>
      </c>
      <c r="AC269">
        <v>0.50030000000003805</v>
      </c>
      <c r="AD269">
        <v>-0.28663339999999998</v>
      </c>
      <c r="AE269">
        <v>1.00999999999658E-2</v>
      </c>
      <c r="AF269">
        <v>-5.6882015729190398E-3</v>
      </c>
      <c r="AG269">
        <v>-0.28663339999999998</v>
      </c>
      <c r="AH269">
        <v>0.37673536362940802</v>
      </c>
      <c r="AI269">
        <v>127.261996009379</v>
      </c>
      <c r="AJ269">
        <v>90.865024131338402</v>
      </c>
      <c r="AK269">
        <v>0.47341376811588098</v>
      </c>
      <c r="AL269">
        <v>73.563596741870697</v>
      </c>
      <c r="AM269">
        <v>94.543704869560401</v>
      </c>
      <c r="AN269">
        <v>0.99999997742453695</v>
      </c>
    </row>
    <row r="270" spans="1:40" x14ac:dyDescent="0.25">
      <c r="A270" t="str">
        <f>"20190304164341347"</f>
        <v>20190304164341347</v>
      </c>
      <c r="B270" t="str">
        <f>"1551689021340497"</f>
        <v>1551689021340497</v>
      </c>
      <c r="C270" t="s">
        <v>40</v>
      </c>
      <c r="D270">
        <v>5.3609960000000001</v>
      </c>
      <c r="E270">
        <v>0.55204779999999998</v>
      </c>
      <c r="F270" t="s">
        <v>41</v>
      </c>
      <c r="G270">
        <v>-440.64170000000001</v>
      </c>
      <c r="H270">
        <v>0.83286519999999997</v>
      </c>
      <c r="I270">
        <v>366.98020000000002</v>
      </c>
      <c r="J270">
        <v>-441.08870000000002</v>
      </c>
      <c r="K270">
        <v>1.1092690000000001</v>
      </c>
      <c r="L270">
        <v>366.96960000000001</v>
      </c>
      <c r="M270">
        <v>0.99996799999999997</v>
      </c>
      <c r="N270">
        <v>-6.4088180000000002E-3</v>
      </c>
      <c r="O270">
        <v>4.8016789999999997E-3</v>
      </c>
      <c r="P270">
        <v>0.9574201</v>
      </c>
      <c r="Q270">
        <v>0.27673769999999998</v>
      </c>
      <c r="R270">
        <v>8.2238389999999995E-2</v>
      </c>
      <c r="S270">
        <v>3.4843139999999999</v>
      </c>
      <c r="T270">
        <v>-1.233241</v>
      </c>
      <c r="U270">
        <v>5.368042E-2</v>
      </c>
      <c r="V270">
        <v>-7.7488429999999997E-2</v>
      </c>
      <c r="W270">
        <v>0.282912</v>
      </c>
      <c r="X270">
        <v>0.95601060000000004</v>
      </c>
      <c r="Y270">
        <v>-1.024956E-2</v>
      </c>
      <c r="Z270">
        <v>1.7471239999999999E-4</v>
      </c>
      <c r="AA270">
        <v>0.99994740000000004</v>
      </c>
      <c r="AB270">
        <v>31</v>
      </c>
      <c r="AC270">
        <v>0.44700000000000201</v>
      </c>
      <c r="AD270">
        <v>-0.27640379999999998</v>
      </c>
      <c r="AE270">
        <v>1.06000000000108E-2</v>
      </c>
      <c r="AF270">
        <v>-6.1162033656350897E-3</v>
      </c>
      <c r="AG270">
        <v>-0.27640379999999998</v>
      </c>
      <c r="AH270">
        <v>0.32344331708099999</v>
      </c>
      <c r="AI270">
        <v>130.511030184497</v>
      </c>
      <c r="AJ270">
        <v>91.083314637428103</v>
      </c>
      <c r="AK270">
        <v>0.42550211275904398</v>
      </c>
      <c r="AL270">
        <v>73.565920234008502</v>
      </c>
      <c r="AM270">
        <v>94.633918759976197</v>
      </c>
      <c r="AN270">
        <v>0.99999996192011098</v>
      </c>
    </row>
    <row r="271" spans="1:40" x14ac:dyDescent="0.25">
      <c r="A271" t="str">
        <f>"20190304164341360"</f>
        <v>20190304164341360</v>
      </c>
      <c r="B271" t="str">
        <f>"1551689021350256"</f>
        <v>1551689021350256</v>
      </c>
      <c r="C271" t="s">
        <v>40</v>
      </c>
      <c r="D271">
        <v>5.36111</v>
      </c>
      <c r="E271">
        <v>0.55207530000000005</v>
      </c>
      <c r="F271" t="s">
        <v>41</v>
      </c>
      <c r="G271">
        <v>-440.35410000000002</v>
      </c>
      <c r="H271">
        <v>0.85214880000000004</v>
      </c>
      <c r="I271">
        <v>366.98</v>
      </c>
      <c r="J271">
        <v>-440.91550000000001</v>
      </c>
      <c r="K271">
        <v>1.109151</v>
      </c>
      <c r="L271">
        <v>366.97030000000001</v>
      </c>
      <c r="M271">
        <v>0.99997069999999999</v>
      </c>
      <c r="N271">
        <v>-6.1113069999999999E-3</v>
      </c>
      <c r="O271">
        <v>4.6495099999999999E-3</v>
      </c>
      <c r="P271">
        <v>0.95729989999999998</v>
      </c>
      <c r="Q271">
        <v>0.27702769999999999</v>
      </c>
      <c r="R271">
        <v>8.2662479999999997E-2</v>
      </c>
      <c r="S271">
        <v>3.4811100000000001</v>
      </c>
      <c r="T271">
        <v>-1.218275</v>
      </c>
      <c r="U271">
        <v>5.130005E-2</v>
      </c>
      <c r="V271">
        <v>-7.8058569999999994E-2</v>
      </c>
      <c r="W271">
        <v>0.28291699999999997</v>
      </c>
      <c r="X271">
        <v>0.9559628</v>
      </c>
      <c r="Y271">
        <v>-9.7615789999999994E-3</v>
      </c>
      <c r="Z271">
        <v>1.3693129999999999E-4</v>
      </c>
      <c r="AA271">
        <v>0.99995230000000002</v>
      </c>
      <c r="AB271">
        <v>31</v>
      </c>
      <c r="AC271">
        <v>0.56139999999999102</v>
      </c>
      <c r="AD271">
        <v>-0.25700219999999901</v>
      </c>
      <c r="AE271">
        <v>9.7000000000093695E-3</v>
      </c>
      <c r="AF271">
        <v>-5.8615700506255298E-3</v>
      </c>
      <c r="AG271">
        <v>-0.25700219999999901</v>
      </c>
      <c r="AH271">
        <v>0.46418820011650902</v>
      </c>
      <c r="AI271">
        <v>118.969586784266</v>
      </c>
      <c r="AJ271">
        <v>90.7234681453604</v>
      </c>
      <c r="AK271">
        <v>0.53061772862928602</v>
      </c>
      <c r="AL271">
        <v>73.565622569768493</v>
      </c>
      <c r="AM271">
        <v>94.668096196864497</v>
      </c>
      <c r="AN271">
        <v>1.0000000221116401</v>
      </c>
    </row>
    <row r="272" spans="1:40" x14ac:dyDescent="0.25">
      <c r="A272" t="str">
        <f>"20190304164341371"</f>
        <v>20190304164341371</v>
      </c>
      <c r="B272" t="str">
        <f>"1551689021360017"</f>
        <v>1551689021360017</v>
      </c>
      <c r="C272" t="s">
        <v>40</v>
      </c>
      <c r="D272">
        <v>5.3600120000000002</v>
      </c>
      <c r="E272">
        <v>0.55209609999999998</v>
      </c>
      <c r="F272" t="s">
        <v>41</v>
      </c>
      <c r="G272">
        <v>-440.08620000000002</v>
      </c>
      <c r="H272">
        <v>0.81906639999999997</v>
      </c>
      <c r="I272">
        <v>366.98270000000002</v>
      </c>
      <c r="J272">
        <v>-440.745</v>
      </c>
      <c r="K272">
        <v>1.1090089999999999</v>
      </c>
      <c r="L272">
        <v>366.971</v>
      </c>
      <c r="M272">
        <v>0.99997290000000005</v>
      </c>
      <c r="N272">
        <v>-5.8314700000000001E-3</v>
      </c>
      <c r="O272">
        <v>4.4990250000000002E-3</v>
      </c>
      <c r="P272">
        <v>0.95720479999999997</v>
      </c>
      <c r="Q272">
        <v>0.2771363</v>
      </c>
      <c r="R272">
        <v>8.3394129999999997E-2</v>
      </c>
      <c r="S272">
        <v>3.4815670000000001</v>
      </c>
      <c r="T272">
        <v>-1.217573</v>
      </c>
      <c r="U272">
        <v>5.3131100000000001E-2</v>
      </c>
      <c r="V272">
        <v>-7.8933959999999997E-2</v>
      </c>
      <c r="W272">
        <v>0.28275840000000002</v>
      </c>
      <c r="X272">
        <v>0.95593790000000001</v>
      </c>
      <c r="Y272">
        <v>-1.039063E-2</v>
      </c>
      <c r="Z272">
        <v>2.9316580000000002E-4</v>
      </c>
      <c r="AA272">
        <v>0.999946</v>
      </c>
      <c r="AB272">
        <v>31</v>
      </c>
      <c r="AC272">
        <v>0.65879999999998495</v>
      </c>
      <c r="AD272">
        <v>-0.289942599999999</v>
      </c>
      <c r="AE272">
        <v>1.17000000000189E-2</v>
      </c>
      <c r="AF272">
        <v>-7.3187251042938399E-3</v>
      </c>
      <c r="AG272">
        <v>-0.289942599999999</v>
      </c>
      <c r="AH272">
        <v>0.55196684166029997</v>
      </c>
      <c r="AI272">
        <v>117.71041849066999</v>
      </c>
      <c r="AJ272">
        <v>90.759660647172296</v>
      </c>
      <c r="AK272">
        <v>0.623528402981259</v>
      </c>
      <c r="AL272">
        <v>73.575097428388801</v>
      </c>
      <c r="AM272">
        <v>94.720333841592506</v>
      </c>
      <c r="AN272">
        <v>1.0000000757341201</v>
      </c>
    </row>
    <row r="273" spans="1:40" x14ac:dyDescent="0.25">
      <c r="A273" t="str">
        <f>"20190304164341390"</f>
        <v>20190304164341390</v>
      </c>
      <c r="B273" t="str">
        <f>"1551689021380042"</f>
        <v>1551689021380042</v>
      </c>
      <c r="C273" t="s">
        <v>40</v>
      </c>
      <c r="D273">
        <v>5.3447740000000001</v>
      </c>
      <c r="E273">
        <v>0.55212649999999996</v>
      </c>
      <c r="F273" t="s">
        <v>41</v>
      </c>
      <c r="G273">
        <v>-440.06450000000001</v>
      </c>
      <c r="H273">
        <v>0.87105440000000001</v>
      </c>
      <c r="I273">
        <v>366.98160000000001</v>
      </c>
      <c r="J273">
        <v>-440.48329999999999</v>
      </c>
      <c r="K273">
        <v>1.108714</v>
      </c>
      <c r="L273">
        <v>366.97199999999998</v>
      </c>
      <c r="M273">
        <v>0.99997510000000001</v>
      </c>
      <c r="N273">
        <v>-5.6420169999999896E-3</v>
      </c>
      <c r="O273">
        <v>4.2652899999999997E-3</v>
      </c>
      <c r="P273">
        <v>0.95733449999999998</v>
      </c>
      <c r="Q273">
        <v>0.27643210000000001</v>
      </c>
      <c r="R273">
        <v>8.4240029999999994E-2</v>
      </c>
      <c r="S273">
        <v>3.4816889999999998</v>
      </c>
      <c r="T273">
        <v>-1.2172350000000001</v>
      </c>
      <c r="U273">
        <v>5.5755619999999999E-2</v>
      </c>
      <c r="V273">
        <v>-8.0001719999999998E-2</v>
      </c>
      <c r="W273">
        <v>0.28187499999999999</v>
      </c>
      <c r="X273">
        <v>0.95610989999999996</v>
      </c>
      <c r="Y273">
        <v>-1.1309390000000001E-2</v>
      </c>
      <c r="Z273">
        <v>5.2796039999999998E-4</v>
      </c>
      <c r="AA273">
        <v>0.99993589999999999</v>
      </c>
      <c r="AB273">
        <v>31</v>
      </c>
      <c r="AC273">
        <v>0.41879999999997602</v>
      </c>
      <c r="AD273">
        <v>-0.2376596</v>
      </c>
      <c r="AE273">
        <v>9.6000000000344698E-3</v>
      </c>
      <c r="AF273">
        <v>-5.9110429339918596E-3</v>
      </c>
      <c r="AG273">
        <v>-0.2376596</v>
      </c>
      <c r="AH273">
        <v>0.31685398881904098</v>
      </c>
      <c r="AI273">
        <v>126.867324142876</v>
      </c>
      <c r="AJ273">
        <v>91.068752622322506</v>
      </c>
      <c r="AK273">
        <v>0.39612305680339299</v>
      </c>
      <c r="AL273">
        <v>73.627856933910806</v>
      </c>
      <c r="AM273">
        <v>94.783036018774695</v>
      </c>
      <c r="AN273">
        <v>0.99999996585298301</v>
      </c>
    </row>
    <row r="274" spans="1:40" x14ac:dyDescent="0.25">
      <c r="A274" t="str">
        <f>"20190304164341406"</f>
        <v>20190304164341406</v>
      </c>
      <c r="B274" t="str">
        <f>"1551689021400539"</f>
        <v>1551689021400539</v>
      </c>
      <c r="C274" t="s">
        <v>40</v>
      </c>
      <c r="D274">
        <v>5.3904699999999997</v>
      </c>
      <c r="E274">
        <v>0.55211399999999999</v>
      </c>
      <c r="F274" t="s">
        <v>41</v>
      </c>
      <c r="G274">
        <v>-439.78460000000001</v>
      </c>
      <c r="H274">
        <v>0.86379159999999899</v>
      </c>
      <c r="I274">
        <v>366.98329999999999</v>
      </c>
      <c r="J274">
        <v>-440.27089999999998</v>
      </c>
      <c r="K274">
        <v>1.1083989999999999</v>
      </c>
      <c r="L274">
        <v>366.97280000000001</v>
      </c>
      <c r="M274">
        <v>0.99997539999999996</v>
      </c>
      <c r="N274">
        <v>-5.6990879999999997E-3</v>
      </c>
      <c r="O274">
        <v>4.0769489999999999E-3</v>
      </c>
      <c r="P274">
        <v>0.95745809999999998</v>
      </c>
      <c r="Q274">
        <v>0.27605780000000002</v>
      </c>
      <c r="R274">
        <v>8.4059640000000005E-2</v>
      </c>
      <c r="S274">
        <v>3.480896</v>
      </c>
      <c r="T274">
        <v>-1.220146</v>
      </c>
      <c r="U274">
        <v>5.7983399999999997E-2</v>
      </c>
      <c r="V274">
        <v>-7.9996269999999994E-2</v>
      </c>
      <c r="W274">
        <v>0.2815571</v>
      </c>
      <c r="X274">
        <v>0.9562041</v>
      </c>
      <c r="Y274">
        <v>-1.2081100000000001E-2</v>
      </c>
      <c r="Z274">
        <v>7.2634380000000001E-4</v>
      </c>
      <c r="AA274">
        <v>0.99992669999999995</v>
      </c>
      <c r="AB274">
        <v>31</v>
      </c>
      <c r="AC274">
        <v>0.48629999999997098</v>
      </c>
      <c r="AD274">
        <v>-0.2446074</v>
      </c>
      <c r="AE274">
        <v>1.0499999999979E-2</v>
      </c>
      <c r="AF274">
        <v>-6.7981017707842099E-3</v>
      </c>
      <c r="AG274">
        <v>-0.2446074</v>
      </c>
      <c r="AH274">
        <v>0.38817417560578199</v>
      </c>
      <c r="AI274">
        <v>122.213058589523</v>
      </c>
      <c r="AJ274">
        <v>91.003319517543105</v>
      </c>
      <c r="AK274">
        <v>0.45886619501732101</v>
      </c>
      <c r="AL274">
        <v>73.646841409059306</v>
      </c>
      <c r="AM274">
        <v>94.782242711724507</v>
      </c>
      <c r="AN274">
        <v>1.0000000423155599</v>
      </c>
    </row>
    <row r="275" spans="1:40" x14ac:dyDescent="0.25">
      <c r="A275" t="str">
        <f>"20190304164341428"</f>
        <v>20190304164341428</v>
      </c>
      <c r="B275" t="str">
        <f>"1551689021420059"</f>
        <v>1551689021420059</v>
      </c>
      <c r="C275" t="s">
        <v>40</v>
      </c>
      <c r="D275">
        <v>5.3754489999999997</v>
      </c>
      <c r="E275">
        <v>0.55211960000000004</v>
      </c>
      <c r="F275" t="s">
        <v>41</v>
      </c>
      <c r="G275">
        <v>-439.50990000000002</v>
      </c>
      <c r="H275">
        <v>0.841225</v>
      </c>
      <c r="I275">
        <v>366.9853</v>
      </c>
      <c r="J275">
        <v>-439.95960000000002</v>
      </c>
      <c r="K275">
        <v>1.1077969999999999</v>
      </c>
      <c r="L275">
        <v>366.97390000000001</v>
      </c>
      <c r="M275">
        <v>0.99997429999999998</v>
      </c>
      <c r="N275">
        <v>-6.0677140000000001E-3</v>
      </c>
      <c r="O275">
        <v>3.8034269999999998E-3</v>
      </c>
      <c r="P275">
        <v>0.95784590000000003</v>
      </c>
      <c r="Q275">
        <v>0.27485999999999999</v>
      </c>
      <c r="R275">
        <v>8.3565009999999995E-2</v>
      </c>
      <c r="S275">
        <v>3.4806210000000002</v>
      </c>
      <c r="T275">
        <v>-1.2221329999999999</v>
      </c>
      <c r="U275">
        <v>5.8013919999999997E-2</v>
      </c>
      <c r="V275">
        <v>-7.9752710000000004E-2</v>
      </c>
      <c r="W275">
        <v>0.28071639999999998</v>
      </c>
      <c r="X275">
        <v>0.95647159999999998</v>
      </c>
      <c r="Y275">
        <v>-1.233072E-2</v>
      </c>
      <c r="Z275">
        <v>8.6613450000000002E-4</v>
      </c>
      <c r="AA275">
        <v>0.99992360000000002</v>
      </c>
      <c r="AB275">
        <v>32</v>
      </c>
      <c r="AC275">
        <v>0.44970000000000698</v>
      </c>
      <c r="AD275">
        <v>-0.26657199999999898</v>
      </c>
      <c r="AE275">
        <v>1.13999999999805E-2</v>
      </c>
      <c r="AF275">
        <v>-7.1712374739965699E-3</v>
      </c>
      <c r="AG275">
        <v>-0.26657199999999898</v>
      </c>
      <c r="AH275">
        <v>0.332854962376192</v>
      </c>
      <c r="AI275">
        <v>128.683540666532</v>
      </c>
      <c r="AJ275">
        <v>91.234225510051502</v>
      </c>
      <c r="AK275">
        <v>0.42650261876026602</v>
      </c>
      <c r="AL275">
        <v>73.697034609815802</v>
      </c>
      <c r="AM275">
        <v>94.766422447254499</v>
      </c>
      <c r="AN275">
        <v>1.00000005679393</v>
      </c>
    </row>
    <row r="276" spans="1:40" x14ac:dyDescent="0.25">
      <c r="A276" t="str">
        <f>"20190304164341450"</f>
        <v>20190304164341450</v>
      </c>
      <c r="B276" t="str">
        <f>"1551689021440555"</f>
        <v>1551689021440555</v>
      </c>
      <c r="C276" t="s">
        <v>40</v>
      </c>
      <c r="D276">
        <v>5.340319</v>
      </c>
      <c r="E276">
        <v>0.55208710000000005</v>
      </c>
      <c r="F276" t="s">
        <v>41</v>
      </c>
      <c r="G276">
        <v>-439.22190000000001</v>
      </c>
      <c r="H276">
        <v>0.84761569999999997</v>
      </c>
      <c r="I276">
        <v>366.98489999999998</v>
      </c>
      <c r="J276">
        <v>-439.64150000000001</v>
      </c>
      <c r="K276">
        <v>1.1069639999999901</v>
      </c>
      <c r="L276">
        <v>366.97489999999999</v>
      </c>
      <c r="M276">
        <v>0.99997069999999999</v>
      </c>
      <c r="N276">
        <v>-6.7908319999999897E-3</v>
      </c>
      <c r="O276">
        <v>3.5267129999999999E-3</v>
      </c>
      <c r="P276">
        <v>0.95829589999999998</v>
      </c>
      <c r="Q276">
        <v>0.2733892</v>
      </c>
      <c r="R276">
        <v>8.3231520000000003E-2</v>
      </c>
      <c r="S276">
        <v>3.4794309999999999</v>
      </c>
      <c r="T276">
        <v>-1.2270030000000001</v>
      </c>
      <c r="U276">
        <v>5.4077149999999997E-2</v>
      </c>
      <c r="V276">
        <v>-7.9671110000000003E-2</v>
      </c>
      <c r="W276">
        <v>0.27994429999999998</v>
      </c>
      <c r="X276">
        <v>0.95670460000000002</v>
      </c>
      <c r="Y276">
        <v>-1.150959E-2</v>
      </c>
      <c r="Z276">
        <v>8.2618209999999999E-4</v>
      </c>
      <c r="AA276">
        <v>0.99993339999999997</v>
      </c>
      <c r="AB276">
        <v>32</v>
      </c>
      <c r="AC276">
        <v>0.41960000000000203</v>
      </c>
      <c r="AD276">
        <v>-0.25934829999999898</v>
      </c>
      <c r="AE276">
        <v>9.9999999999908998E-3</v>
      </c>
      <c r="AF276">
        <v>-6.1658869741233503E-3</v>
      </c>
      <c r="AG276">
        <v>-0.25934829999999898</v>
      </c>
      <c r="AH276">
        <v>0.303682949485089</v>
      </c>
      <c r="AI276">
        <v>130.49182996811899</v>
      </c>
      <c r="AJ276">
        <v>91.1631564033122</v>
      </c>
      <c r="AK276">
        <v>0.399403170597118</v>
      </c>
      <c r="AL276">
        <v>73.743119516636199</v>
      </c>
      <c r="AM276">
        <v>94.760413733328306</v>
      </c>
      <c r="AN276">
        <v>0.99999999426614095</v>
      </c>
    </row>
    <row r="277" spans="1:40" x14ac:dyDescent="0.25">
      <c r="A277" t="str">
        <f>"20190304164341470"</f>
        <v>20190304164341470</v>
      </c>
      <c r="B277" t="str">
        <f>"1551689021460074"</f>
        <v>1551689021460074</v>
      </c>
      <c r="C277" t="s">
        <v>40</v>
      </c>
      <c r="D277">
        <v>5.2862239999999998</v>
      </c>
      <c r="E277">
        <v>0.55224669999999998</v>
      </c>
      <c r="F277" t="s">
        <v>41</v>
      </c>
      <c r="G277">
        <v>-438.93200000000002</v>
      </c>
      <c r="H277">
        <v>0.85537870000000005</v>
      </c>
      <c r="I277">
        <v>366.98500000000001</v>
      </c>
      <c r="J277">
        <v>-439.33949999999999</v>
      </c>
      <c r="K277">
        <v>1.1060160000000001</v>
      </c>
      <c r="L277">
        <v>366.97570000000002</v>
      </c>
      <c r="M277">
        <v>0.99996260000000003</v>
      </c>
      <c r="N277">
        <v>-7.9960550000000002E-3</v>
      </c>
      <c r="O277">
        <v>3.2966409999999999E-3</v>
      </c>
      <c r="P277">
        <v>0.95862749999999997</v>
      </c>
      <c r="Q277">
        <v>0.2722213</v>
      </c>
      <c r="R277">
        <v>8.3241049999999997E-2</v>
      </c>
      <c r="S277">
        <v>3.4780579999999999</v>
      </c>
      <c r="T277">
        <v>-1.2332920000000001</v>
      </c>
      <c r="U277">
        <v>4.9285889999999999E-2</v>
      </c>
      <c r="V277">
        <v>-7.9886180000000001E-2</v>
      </c>
      <c r="W277">
        <v>0.27993559999999901</v>
      </c>
      <c r="X277">
        <v>0.95668920000000002</v>
      </c>
      <c r="Y277">
        <v>-1.041429E-2</v>
      </c>
      <c r="Z277">
        <v>7.2587219999999998E-4</v>
      </c>
      <c r="AA277">
        <v>0.99994550000000004</v>
      </c>
      <c r="AB277">
        <v>32</v>
      </c>
      <c r="AC277">
        <v>0.40750000000002701</v>
      </c>
      <c r="AD277">
        <v>-0.25063729999999901</v>
      </c>
      <c r="AE277">
        <v>9.2999999999960892E-3</v>
      </c>
      <c r="AF277">
        <v>-5.77353487825956E-3</v>
      </c>
      <c r="AG277">
        <v>-0.25063729999999901</v>
      </c>
      <c r="AH277">
        <v>0.295716987127978</v>
      </c>
      <c r="AI277">
        <v>130.27782515026499</v>
      </c>
      <c r="AJ277">
        <v>91.118492254313495</v>
      </c>
      <c r="AK277">
        <v>0.38768663419355698</v>
      </c>
      <c r="AL277">
        <v>73.743638572796002</v>
      </c>
      <c r="AM277">
        <v>94.773281525402993</v>
      </c>
      <c r="AN277">
        <v>0.99999998364949605</v>
      </c>
    </row>
    <row r="278" spans="1:40" x14ac:dyDescent="0.25">
      <c r="A278" t="str">
        <f>"20190304164341490"</f>
        <v>20190304164341490</v>
      </c>
      <c r="B278" t="str">
        <f>"1551689021480103"</f>
        <v>1551689021480103</v>
      </c>
      <c r="C278" t="s">
        <v>40</v>
      </c>
      <c r="D278">
        <v>5.0944140000000004</v>
      </c>
      <c r="E278">
        <v>0.55238009999999904</v>
      </c>
      <c r="F278" t="s">
        <v>41</v>
      </c>
      <c r="G278">
        <v>-438.64400000000001</v>
      </c>
      <c r="H278">
        <v>0.85873600000000005</v>
      </c>
      <c r="I278">
        <v>366.98390000000001</v>
      </c>
      <c r="J278">
        <v>-439.048</v>
      </c>
      <c r="K278">
        <v>1.104989</v>
      </c>
      <c r="L278">
        <v>366.97640000000001</v>
      </c>
      <c r="M278">
        <v>0.99994879999999997</v>
      </c>
      <c r="N278">
        <v>-9.6449750000000001E-3</v>
      </c>
      <c r="O278">
        <v>3.0960750000000002E-3</v>
      </c>
      <c r="P278">
        <v>0.95886740000000004</v>
      </c>
      <c r="Q278">
        <v>0.27116299999999999</v>
      </c>
      <c r="R278">
        <v>8.3929499999999893E-2</v>
      </c>
      <c r="S278">
        <v>3.476715</v>
      </c>
      <c r="T278">
        <v>-1.235803</v>
      </c>
      <c r="U278">
        <v>4.2602540000000001E-2</v>
      </c>
      <c r="V278">
        <v>-8.075599E-2</v>
      </c>
      <c r="W278">
        <v>0.28046009999999999</v>
      </c>
      <c r="X278">
        <v>0.95646260000000005</v>
      </c>
      <c r="Y278">
        <v>-8.7825400000000001E-3</v>
      </c>
      <c r="Z278">
        <v>5.1932979999999996E-4</v>
      </c>
      <c r="AA278">
        <v>0.99996130000000005</v>
      </c>
      <c r="AB278">
        <v>32</v>
      </c>
      <c r="AC278">
        <v>0.40399999999999597</v>
      </c>
      <c r="AD278">
        <v>-0.246252999999999</v>
      </c>
      <c r="AE278">
        <v>7.4999999999931797E-3</v>
      </c>
      <c r="AF278">
        <v>-4.5566993402144399E-3</v>
      </c>
      <c r="AG278">
        <v>-0.246252999999999</v>
      </c>
      <c r="AH278">
        <v>0.29460337782137203</v>
      </c>
      <c r="AI278">
        <v>129.888195850643</v>
      </c>
      <c r="AJ278">
        <v>90.886136560275702</v>
      </c>
      <c r="AK278">
        <v>0.38399538244832998</v>
      </c>
      <c r="AL278">
        <v>73.712334035669201</v>
      </c>
      <c r="AM278">
        <v>94.826147231392099</v>
      </c>
      <c r="AN278">
        <v>1.00000005140582</v>
      </c>
    </row>
    <row r="279" spans="1:40" x14ac:dyDescent="0.25">
      <c r="A279" t="str">
        <f>"20190304164341503"</f>
        <v>20190304164341503</v>
      </c>
      <c r="B279" t="str">
        <f>"1551689021500599"</f>
        <v>1551689021500599</v>
      </c>
      <c r="C279" t="s">
        <v>40</v>
      </c>
      <c r="D279">
        <v>4.6178109999999997</v>
      </c>
      <c r="E279">
        <v>0.55238969999999998</v>
      </c>
      <c r="F279" t="s">
        <v>41</v>
      </c>
      <c r="G279">
        <v>-438.35739999999998</v>
      </c>
      <c r="H279">
        <v>0.85875109999999999</v>
      </c>
      <c r="I279">
        <v>366.98439999999999</v>
      </c>
      <c r="J279">
        <v>-438.8707</v>
      </c>
      <c r="K279">
        <v>1.1042970000000001</v>
      </c>
      <c r="L279">
        <v>366.97680000000003</v>
      </c>
      <c r="M279">
        <v>0.99993759999999998</v>
      </c>
      <c r="N279">
        <v>-1.078027E-2</v>
      </c>
      <c r="O279">
        <v>2.9681059999999999E-3</v>
      </c>
      <c r="P279">
        <v>0.95901999999999998</v>
      </c>
      <c r="Q279">
        <v>0.2704413</v>
      </c>
      <c r="R279">
        <v>8.4512160000000003E-2</v>
      </c>
      <c r="S279">
        <v>3.475616</v>
      </c>
      <c r="T279">
        <v>-1.239134</v>
      </c>
      <c r="U279">
        <v>3.988647E-2</v>
      </c>
      <c r="V279">
        <v>-8.1459719999999999E-2</v>
      </c>
      <c r="W279">
        <v>0.28082679999999999</v>
      </c>
      <c r="X279">
        <v>0.95629529999999996</v>
      </c>
      <c r="Y279">
        <v>-8.1600709999999996E-3</v>
      </c>
      <c r="Z279">
        <v>4.6097940000000001E-4</v>
      </c>
      <c r="AA279">
        <v>0.99996660000000004</v>
      </c>
      <c r="AB279">
        <v>32</v>
      </c>
      <c r="AC279">
        <v>0.51330000000001497</v>
      </c>
      <c r="AD279">
        <v>-0.24554589999999901</v>
      </c>
      <c r="AE279">
        <v>7.5999999999680698E-3</v>
      </c>
      <c r="AF279">
        <v>-4.94500590647919E-3</v>
      </c>
      <c r="AG279">
        <v>-0.24554589999999901</v>
      </c>
      <c r="AH279">
        <v>0.41774620888757902</v>
      </c>
      <c r="AI279">
        <v>120.444716379311</v>
      </c>
      <c r="AJ279">
        <v>90.678198220906694</v>
      </c>
      <c r="AK279">
        <v>0.48459172210239998</v>
      </c>
      <c r="AL279">
        <v>73.690443753153502</v>
      </c>
      <c r="AM279">
        <v>94.868849919657706</v>
      </c>
      <c r="AN279">
        <v>1.0000000391913999</v>
      </c>
    </row>
    <row r="280" spans="1:40" x14ac:dyDescent="0.25">
      <c r="A280" t="str">
        <f>"20190304164341649"</f>
        <v>20190304164341649</v>
      </c>
      <c r="B280" t="str">
        <f>"1551689021640674"</f>
        <v>1551689021640674</v>
      </c>
      <c r="C280" t="s">
        <v>40</v>
      </c>
      <c r="D280">
        <v>4.9190440000000004</v>
      </c>
      <c r="E280">
        <v>0.53587450000000003</v>
      </c>
      <c r="F280" t="s">
        <v>41</v>
      </c>
      <c r="G280">
        <v>-436.34449999999998</v>
      </c>
      <c r="H280">
        <v>0.82818729999999996</v>
      </c>
      <c r="I280">
        <v>366.9948</v>
      </c>
      <c r="J280">
        <v>-436.76429999999999</v>
      </c>
      <c r="K280">
        <v>1.0910040000000001</v>
      </c>
      <c r="L280">
        <v>366.9796</v>
      </c>
      <c r="M280">
        <v>0.99985279999999999</v>
      </c>
      <c r="N280">
        <v>-1.7124819999999999E-2</v>
      </c>
      <c r="O280">
        <v>1.154955E-3</v>
      </c>
      <c r="P280">
        <v>0.95991459999999995</v>
      </c>
      <c r="Q280">
        <v>0.26501550000000001</v>
      </c>
      <c r="R280">
        <v>9.1272679999999995E-2</v>
      </c>
      <c r="S280">
        <v>3.4658199999999999</v>
      </c>
      <c r="T280">
        <v>-1.255342</v>
      </c>
      <c r="U280">
        <v>7.4279789999999998E-2</v>
      </c>
      <c r="V280">
        <v>-8.9948529999999999E-2</v>
      </c>
      <c r="W280">
        <v>0.28148620000000002</v>
      </c>
      <c r="X280">
        <v>0.95534010000000003</v>
      </c>
      <c r="Y280">
        <v>-1.906627E-2</v>
      </c>
      <c r="Z280">
        <v>3.1285929999999998E-3</v>
      </c>
      <c r="AA280">
        <v>0.99981330000000002</v>
      </c>
      <c r="AB280">
        <v>32</v>
      </c>
      <c r="AC280">
        <v>0.419800000000009</v>
      </c>
      <c r="AD280">
        <v>-0.26281670000000001</v>
      </c>
      <c r="AE280">
        <v>1.51999999999929E-2</v>
      </c>
      <c r="AF280">
        <v>-1.05755145476114E-2</v>
      </c>
      <c r="AG280">
        <v>-0.26281670000000001</v>
      </c>
      <c r="AH280">
        <v>0.30171681977345699</v>
      </c>
      <c r="AI280">
        <v>131.04074967230201</v>
      </c>
      <c r="AJ280">
        <v>92.007459800265295</v>
      </c>
      <c r="AK280">
        <v>0.40027178097018701</v>
      </c>
      <c r="AL280">
        <v>73.651073566621605</v>
      </c>
      <c r="AM280">
        <v>95.378736606823594</v>
      </c>
      <c r="AN280">
        <v>0.99999996275380398</v>
      </c>
    </row>
    <row r="281" spans="1:40" x14ac:dyDescent="0.25">
      <c r="A281" t="str">
        <f>"20190304164341662"</f>
        <v>20190304164341662</v>
      </c>
      <c r="B281" t="str">
        <f>"1551689021650433"</f>
        <v>1551689021650433</v>
      </c>
      <c r="C281" t="s">
        <v>40</v>
      </c>
      <c r="D281">
        <v>4.9939929999999997</v>
      </c>
      <c r="E281">
        <v>0.53868530000000003</v>
      </c>
      <c r="F281" t="s">
        <v>41</v>
      </c>
      <c r="G281">
        <v>-435.98379999999997</v>
      </c>
      <c r="H281">
        <v>0.9791107</v>
      </c>
      <c r="I281">
        <v>367.00740000000002</v>
      </c>
      <c r="J281">
        <v>-436.57499999999999</v>
      </c>
      <c r="K281">
        <v>1.089421</v>
      </c>
      <c r="L281">
        <v>366.97969999999998</v>
      </c>
      <c r="M281">
        <v>0.99985290000000004</v>
      </c>
      <c r="N281">
        <v>-1.7129930000000002E-2</v>
      </c>
      <c r="O281">
        <v>1.0312909999999999E-3</v>
      </c>
      <c r="P281">
        <v>0.9599124</v>
      </c>
      <c r="Q281">
        <v>0.2652139</v>
      </c>
      <c r="R281">
        <v>9.0719830000000001E-2</v>
      </c>
      <c r="S281">
        <v>3.2425839999999999</v>
      </c>
      <c r="T281">
        <v>-0.46483720000000001</v>
      </c>
      <c r="U281">
        <v>0.11581420000000001</v>
      </c>
      <c r="V281">
        <v>-8.9515259999999999E-2</v>
      </c>
      <c r="W281">
        <v>0.28168799999999999</v>
      </c>
      <c r="X281">
        <v>0.95532139999999999</v>
      </c>
      <c r="Y281">
        <v>-3.4278940000000001E-2</v>
      </c>
      <c r="Z281">
        <v>2.6096750000000001E-3</v>
      </c>
      <c r="AA281">
        <v>0.99940890000000004</v>
      </c>
      <c r="AB281">
        <v>32</v>
      </c>
      <c r="AC281">
        <v>0.59120000000001405</v>
      </c>
      <c r="AD281">
        <v>-0.110310299999999</v>
      </c>
      <c r="AE281">
        <v>2.7700000000038399E-2</v>
      </c>
      <c r="AF281">
        <v>-2.61807180607962E-2</v>
      </c>
      <c r="AG281">
        <v>-0.110310299999999</v>
      </c>
      <c r="AH281">
        <v>0.571379399410888</v>
      </c>
      <c r="AI281">
        <v>100.915890730493</v>
      </c>
      <c r="AJ281">
        <v>92.623469090557904</v>
      </c>
      <c r="AK281">
        <v>0.58251884978549395</v>
      </c>
      <c r="AL281">
        <v>73.639025057662096</v>
      </c>
      <c r="AM281">
        <v>95.353082990273606</v>
      </c>
      <c r="AN281">
        <v>1.00000004420741</v>
      </c>
    </row>
    <row r="282" spans="1:40" x14ac:dyDescent="0.25">
      <c r="A282" t="str">
        <f>"20190304164341682"</f>
        <v>20190304164341682</v>
      </c>
      <c r="B282" t="str">
        <f>"1551689021670461"</f>
        <v>1551689021670461</v>
      </c>
      <c r="C282" t="s">
        <v>40</v>
      </c>
      <c r="D282">
        <v>4.9648500000000002</v>
      </c>
      <c r="E282">
        <v>0.53951559999999998</v>
      </c>
      <c r="F282" t="s">
        <v>41</v>
      </c>
      <c r="G282">
        <v>-435.69450000000001</v>
      </c>
      <c r="H282">
        <v>0.97525600000000001</v>
      </c>
      <c r="I282">
        <v>367.00319999999999</v>
      </c>
      <c r="J282">
        <v>-436.29820000000001</v>
      </c>
      <c r="K282">
        <v>1.0870979999999999</v>
      </c>
      <c r="L282">
        <v>366.97969999999998</v>
      </c>
      <c r="M282">
        <v>0.99985250000000003</v>
      </c>
      <c r="N282">
        <v>-1.7157929999999998E-2</v>
      </c>
      <c r="O282">
        <v>8.5306919999999999E-4</v>
      </c>
      <c r="P282">
        <v>0.96004780000000001</v>
      </c>
      <c r="Q282">
        <v>0.2650748</v>
      </c>
      <c r="R282">
        <v>8.9687970000000006E-2</v>
      </c>
      <c r="S282">
        <v>3.23291</v>
      </c>
      <c r="T282">
        <v>-0.4193537</v>
      </c>
      <c r="U282">
        <v>8.7402339999999995E-2</v>
      </c>
      <c r="V282">
        <v>-8.866417E-2</v>
      </c>
      <c r="W282">
        <v>0.28157450000000001</v>
      </c>
      <c r="X282">
        <v>0.95543420000000001</v>
      </c>
      <c r="Y282">
        <v>-2.5931719999999998E-2</v>
      </c>
      <c r="Z282">
        <v>1.8025199999999999E-3</v>
      </c>
      <c r="AA282">
        <v>0.9996621</v>
      </c>
      <c r="AB282">
        <v>32</v>
      </c>
      <c r="AC282">
        <v>0.60370000000000301</v>
      </c>
      <c r="AD282">
        <v>-0.111842</v>
      </c>
      <c r="AE282">
        <v>2.3500000000012702E-2</v>
      </c>
      <c r="AF282">
        <v>-2.2223331555049401E-2</v>
      </c>
      <c r="AG282">
        <v>-0.111842</v>
      </c>
      <c r="AH282">
        <v>0.58371607337534004</v>
      </c>
      <c r="AI282">
        <v>100.838943197191</v>
      </c>
      <c r="AJ282">
        <v>92.180321022967306</v>
      </c>
      <c r="AK282">
        <v>0.59474949663377696</v>
      </c>
      <c r="AL282">
        <v>73.645802090992603</v>
      </c>
      <c r="AM282">
        <v>95.301856175231904</v>
      </c>
      <c r="AN282">
        <v>1.0000000223108301</v>
      </c>
    </row>
    <row r="283" spans="1:40" x14ac:dyDescent="0.25">
      <c r="A283" t="str">
        <f>"20190304164341703"</f>
        <v>20190304164341703</v>
      </c>
      <c r="B283" t="str">
        <f>"1551689021700716"</f>
        <v>1551689021700716</v>
      </c>
      <c r="C283" t="s">
        <v>40</v>
      </c>
      <c r="D283">
        <v>4.9753290000000003</v>
      </c>
      <c r="E283">
        <v>0.54029159999999998</v>
      </c>
      <c r="F283" t="s">
        <v>41</v>
      </c>
      <c r="G283">
        <v>-435.4006</v>
      </c>
      <c r="H283">
        <v>0.98241999999999996</v>
      </c>
      <c r="I283">
        <v>367.00020000000001</v>
      </c>
      <c r="J283">
        <v>-435.97710000000001</v>
      </c>
      <c r="K283">
        <v>1.0844739999999999</v>
      </c>
      <c r="L283">
        <v>366.97980000000001</v>
      </c>
      <c r="M283">
        <v>0.99984839999999997</v>
      </c>
      <c r="N283">
        <v>-1.7405469999999999E-2</v>
      </c>
      <c r="O283">
        <v>6.4593339999999895E-4</v>
      </c>
      <c r="P283">
        <v>0.96009809999999995</v>
      </c>
      <c r="Q283">
        <v>0.26533759999999901</v>
      </c>
      <c r="R283">
        <v>8.8361430000000005E-2</v>
      </c>
      <c r="S283">
        <v>3.2216800000000001</v>
      </c>
      <c r="T283">
        <v>-0.37575760000000002</v>
      </c>
      <c r="U283">
        <v>7.3669429999999994E-2</v>
      </c>
      <c r="V283">
        <v>-8.7556590000000004E-2</v>
      </c>
      <c r="W283">
        <v>0.28206720000000002</v>
      </c>
      <c r="X283">
        <v>0.95539099999999999</v>
      </c>
      <c r="Y283">
        <v>-2.2046280000000001E-2</v>
      </c>
      <c r="Z283">
        <v>1.409949E-3</v>
      </c>
      <c r="AA283">
        <v>0.99975599999999998</v>
      </c>
      <c r="AB283">
        <v>32</v>
      </c>
      <c r="AC283">
        <v>0.57650000000001</v>
      </c>
      <c r="AD283">
        <v>-0.10205399999999901</v>
      </c>
      <c r="AE283">
        <v>2.0399999999994999E-2</v>
      </c>
      <c r="AF283">
        <v>-1.9419757252968899E-2</v>
      </c>
      <c r="AG283">
        <v>-0.10205399999999901</v>
      </c>
      <c r="AH283">
        <v>0.55901689223453599</v>
      </c>
      <c r="AI283">
        <v>100.339869189376</v>
      </c>
      <c r="AJ283">
        <v>91.989605102138199</v>
      </c>
      <c r="AK283">
        <v>0.56858775197090095</v>
      </c>
      <c r="AL283">
        <v>73.616379723803405</v>
      </c>
      <c r="AM283">
        <v>95.236232023798493</v>
      </c>
      <c r="AN283">
        <v>1.00000001232463</v>
      </c>
    </row>
    <row r="284" spans="1:40" x14ac:dyDescent="0.25">
      <c r="A284" t="str">
        <f>"20190304164341716"</f>
        <v>20190304164341716</v>
      </c>
      <c r="B284" t="str">
        <f>"1551689021710477"</f>
        <v>1551689021710477</v>
      </c>
      <c r="C284" t="s">
        <v>40</v>
      </c>
      <c r="D284">
        <v>4.9812399999999997</v>
      </c>
      <c r="E284">
        <v>0.53998970000000002</v>
      </c>
      <c r="F284" t="s">
        <v>41</v>
      </c>
      <c r="G284">
        <v>-435.1071</v>
      </c>
      <c r="H284">
        <v>0.99261279999999996</v>
      </c>
      <c r="I284">
        <v>366.99549999999999</v>
      </c>
      <c r="J284">
        <v>-435.79169999999999</v>
      </c>
      <c r="K284">
        <v>1.083008</v>
      </c>
      <c r="L284">
        <v>366.97980000000001</v>
      </c>
      <c r="M284">
        <v>0.99984399999999996</v>
      </c>
      <c r="N284">
        <v>-1.766061E-2</v>
      </c>
      <c r="O284">
        <v>5.2915999999999998E-4</v>
      </c>
      <c r="P284">
        <v>0.96014849999999996</v>
      </c>
      <c r="Q284">
        <v>0.2654511</v>
      </c>
      <c r="R284">
        <v>8.7467900000000001E-2</v>
      </c>
      <c r="S284">
        <v>3.2130130000000001</v>
      </c>
      <c r="T284">
        <v>-0.33953680000000003</v>
      </c>
      <c r="U284">
        <v>5.993652E-2</v>
      </c>
      <c r="V284">
        <v>-8.6789110000000003E-2</v>
      </c>
      <c r="W284">
        <v>0.2824199</v>
      </c>
      <c r="X284">
        <v>0.95535680000000001</v>
      </c>
      <c r="Y284">
        <v>-1.800686E-2</v>
      </c>
      <c r="Z284">
        <v>1.0618310000000001E-3</v>
      </c>
      <c r="AA284">
        <v>0.99983730000000004</v>
      </c>
      <c r="AB284">
        <v>32</v>
      </c>
      <c r="AC284">
        <v>0.684599999999989</v>
      </c>
      <c r="AD284">
        <v>-9.0395199999999898E-2</v>
      </c>
      <c r="AE284">
        <v>1.5699999999981101E-2</v>
      </c>
      <c r="AF284">
        <v>-1.5074987175903399E-2</v>
      </c>
      <c r="AG284">
        <v>-9.0395199999999898E-2</v>
      </c>
      <c r="AH284">
        <v>0.67288280336547801</v>
      </c>
      <c r="AI284">
        <v>97.649419821002596</v>
      </c>
      <c r="AJ284">
        <v>91.283416178989697</v>
      </c>
      <c r="AK284">
        <v>0.67909484940351195</v>
      </c>
      <c r="AL284">
        <v>73.595314567966795</v>
      </c>
      <c r="AM284">
        <v>95.190770282017098</v>
      </c>
      <c r="AN284">
        <v>0.99999998241842003</v>
      </c>
    </row>
    <row r="285" spans="1:40" x14ac:dyDescent="0.25">
      <c r="A285" t="str">
        <f>"20190304164341729"</f>
        <v>20190304164341729</v>
      </c>
      <c r="B285" t="str">
        <f>"1551689021720238"</f>
        <v>1551689021720238</v>
      </c>
      <c r="C285" t="s">
        <v>40</v>
      </c>
      <c r="D285">
        <v>4.955387</v>
      </c>
      <c r="E285">
        <v>0.53949559999999996</v>
      </c>
      <c r="F285" t="s">
        <v>41</v>
      </c>
      <c r="G285">
        <v>-434.82350000000002</v>
      </c>
      <c r="H285">
        <v>0.98386569999999995</v>
      </c>
      <c r="I285">
        <v>366.99720000000002</v>
      </c>
      <c r="J285">
        <v>-435.60210000000001</v>
      </c>
      <c r="K285">
        <v>1.081515</v>
      </c>
      <c r="L285">
        <v>366.97980000000001</v>
      </c>
      <c r="M285">
        <v>0.99984119999999999</v>
      </c>
      <c r="N285">
        <v>-1.7829149999999998E-2</v>
      </c>
      <c r="O285">
        <v>4.185436E-4</v>
      </c>
      <c r="P285">
        <v>0.96017129999999995</v>
      </c>
      <c r="Q285">
        <v>0.26551160000000001</v>
      </c>
      <c r="R285">
        <v>8.7033180000000002E-2</v>
      </c>
      <c r="S285">
        <v>3.2101139999999999</v>
      </c>
      <c r="T285">
        <v>-0.3288219</v>
      </c>
      <c r="U285">
        <v>5.8288569999999998E-2</v>
      </c>
      <c r="V285">
        <v>-8.6474930000000005E-2</v>
      </c>
      <c r="W285">
        <v>0.28263709999999997</v>
      </c>
      <c r="X285">
        <v>0.95532110000000003</v>
      </c>
      <c r="Y285">
        <v>-1.7629390000000002E-2</v>
      </c>
      <c r="Z285">
        <v>1.022841E-3</v>
      </c>
      <c r="AA285">
        <v>0.99984410000000001</v>
      </c>
      <c r="AB285">
        <v>32</v>
      </c>
      <c r="AC285">
        <v>0.77859999999998297</v>
      </c>
      <c r="AD285">
        <v>-9.7649299999999994E-2</v>
      </c>
      <c r="AE285">
        <v>1.7400000000009099E-2</v>
      </c>
      <c r="AF285">
        <v>-1.6809794341069301E-2</v>
      </c>
      <c r="AG285">
        <v>-9.7649299999999994E-2</v>
      </c>
      <c r="AH285">
        <v>0.76655584542007504</v>
      </c>
      <c r="AI285">
        <v>97.257914943266897</v>
      </c>
      <c r="AJ285">
        <v>91.256237150853593</v>
      </c>
      <c r="AK285">
        <v>0.77293325657780099</v>
      </c>
      <c r="AL285">
        <v>73.582342083923706</v>
      </c>
      <c r="AM285">
        <v>95.172273816393201</v>
      </c>
      <c r="AN285">
        <v>1.0000000239600599</v>
      </c>
    </row>
    <row r="286" spans="1:40" x14ac:dyDescent="0.25">
      <c r="A286" t="str">
        <f>"20190304164341749"</f>
        <v>20190304164341749</v>
      </c>
      <c r="B286" t="str">
        <f>"1551689021740734"</f>
        <v>1551689021740734</v>
      </c>
      <c r="C286" t="s">
        <v>40</v>
      </c>
      <c r="D286">
        <v>4.9923260000000003</v>
      </c>
      <c r="E286">
        <v>0.5389178</v>
      </c>
      <c r="F286" t="s">
        <v>41</v>
      </c>
      <c r="G286">
        <v>-434.80720000000002</v>
      </c>
      <c r="H286">
        <v>1.0021119999999999</v>
      </c>
      <c r="I286">
        <v>366.99430000000001</v>
      </c>
      <c r="J286">
        <v>-435.31560000000002</v>
      </c>
      <c r="K286">
        <v>1.0792619999999999</v>
      </c>
      <c r="L286">
        <v>366.97969999999998</v>
      </c>
      <c r="M286">
        <v>0.99984130000000004</v>
      </c>
      <c r="N286">
        <v>-1.781137E-2</v>
      </c>
      <c r="O286">
        <v>2.9554640000000002E-4</v>
      </c>
      <c r="P286">
        <v>0.9603448</v>
      </c>
      <c r="Q286">
        <v>0.26532349999999999</v>
      </c>
      <c r="R286">
        <v>8.5681069999999998E-2</v>
      </c>
      <c r="S286">
        <v>3.2077330000000002</v>
      </c>
      <c r="T286">
        <v>-0.32050440000000002</v>
      </c>
      <c r="U286">
        <v>5.9143069999999999E-2</v>
      </c>
      <c r="V286">
        <v>-8.5258589999999995E-2</v>
      </c>
      <c r="W286">
        <v>0.28242859999999997</v>
      </c>
      <c r="X286">
        <v>0.95549209999999996</v>
      </c>
      <c r="Y286">
        <v>-1.8034109999999999E-2</v>
      </c>
      <c r="Z286">
        <v>1.0355379999999999E-3</v>
      </c>
      <c r="AA286">
        <v>0.99983690000000003</v>
      </c>
      <c r="AB286">
        <v>32</v>
      </c>
      <c r="AC286">
        <v>0.50839999999999397</v>
      </c>
      <c r="AD286">
        <v>-7.7149999999999996E-2</v>
      </c>
      <c r="AE286">
        <v>1.46000000000299E-2</v>
      </c>
      <c r="AF286">
        <v>-1.41247202846851E-2</v>
      </c>
      <c r="AG286">
        <v>-7.7149999999999996E-2</v>
      </c>
      <c r="AH286">
        <v>0.49696939254915101</v>
      </c>
      <c r="AI286">
        <v>98.820708059391393</v>
      </c>
      <c r="AJ286">
        <v>91.628005797827399</v>
      </c>
      <c r="AK286">
        <v>0.50312047002064297</v>
      </c>
      <c r="AL286">
        <v>73.594796033460696</v>
      </c>
      <c r="AM286">
        <v>95.099000069799999</v>
      </c>
      <c r="AN286">
        <v>1.00000004721457</v>
      </c>
    </row>
    <row r="287" spans="1:40" x14ac:dyDescent="0.25">
      <c r="A287" t="str">
        <f>"20190304164341763"</f>
        <v>20190304164341763</v>
      </c>
      <c r="B287" t="str">
        <f>"1551689021750493"</f>
        <v>1551689021750493</v>
      </c>
      <c r="C287" t="s">
        <v>40</v>
      </c>
      <c r="D287">
        <v>4.9903320000000004</v>
      </c>
      <c r="E287">
        <v>0.53854639999999998</v>
      </c>
      <c r="F287" t="s">
        <v>43</v>
      </c>
      <c r="G287">
        <v>-423.65609999999998</v>
      </c>
      <c r="H287">
        <v>-0.05</v>
      </c>
      <c r="I287">
        <v>367.19060000000002</v>
      </c>
      <c r="J287">
        <v>-435.13139999999999</v>
      </c>
      <c r="K287">
        <v>1.0778669999999999</v>
      </c>
      <c r="L287">
        <v>366.97969999999998</v>
      </c>
      <c r="M287">
        <v>0.9998437</v>
      </c>
      <c r="N287">
        <v>-1.7678909999999999E-2</v>
      </c>
      <c r="O287">
        <v>2.4370380000000001E-4</v>
      </c>
      <c r="P287">
        <v>0.96033789999999997</v>
      </c>
      <c r="Q287">
        <v>0.26548119999999997</v>
      </c>
      <c r="R287">
        <v>8.5270109999999996E-2</v>
      </c>
      <c r="S287">
        <v>3.2044980000000001</v>
      </c>
      <c r="T287">
        <v>-0.31036819999999998</v>
      </c>
      <c r="U287">
        <v>5.7952879999999998E-2</v>
      </c>
      <c r="V287">
        <v>-8.4910219999999995E-2</v>
      </c>
      <c r="W287">
        <v>0.28245599999999998</v>
      </c>
      <c r="X287">
        <v>0.955515</v>
      </c>
      <c r="Y287">
        <v>-1.7740740000000001E-2</v>
      </c>
      <c r="Z287">
        <v>9.9508509999999997E-4</v>
      </c>
      <c r="AA287">
        <v>0.99984209999999996</v>
      </c>
      <c r="AB287">
        <v>32</v>
      </c>
      <c r="AC287">
        <v>11.475300000000001</v>
      </c>
      <c r="AD287">
        <v>-1.127867</v>
      </c>
      <c r="AE287">
        <v>0.210900000000037</v>
      </c>
      <c r="AF287">
        <v>-0.20611255902047401</v>
      </c>
      <c r="AG287">
        <v>-1.127867</v>
      </c>
      <c r="AH287">
        <v>11.365593831999099</v>
      </c>
      <c r="AI287">
        <v>95.666278427681604</v>
      </c>
      <c r="AJ287">
        <v>91.038932552202297</v>
      </c>
      <c r="AK287">
        <v>11.423278404672301</v>
      </c>
      <c r="AL287">
        <v>73.593159143754704</v>
      </c>
      <c r="AM287">
        <v>95.078153446917099</v>
      </c>
      <c r="AN287">
        <v>1.00000002631072</v>
      </c>
    </row>
    <row r="288" spans="1:40" x14ac:dyDescent="0.25">
      <c r="A288" t="str">
        <f>"20190304164341782"</f>
        <v>20190304164341782</v>
      </c>
      <c r="B288" t="str">
        <f>"1551689021770519"</f>
        <v>1551689021770519</v>
      </c>
      <c r="C288" t="s">
        <v>40</v>
      </c>
      <c r="D288">
        <v>5.020905</v>
      </c>
      <c r="E288">
        <v>0.53817919999999997</v>
      </c>
      <c r="F288" t="s">
        <v>41</v>
      </c>
      <c r="G288">
        <v>-434.24130000000002</v>
      </c>
      <c r="H288">
        <v>0.99332640000000005</v>
      </c>
      <c r="I288">
        <v>366.9957</v>
      </c>
      <c r="J288">
        <v>-434.85430000000002</v>
      </c>
      <c r="K288">
        <v>1.075861</v>
      </c>
      <c r="L288">
        <v>366.97969999999998</v>
      </c>
      <c r="M288">
        <v>0.99984870000000003</v>
      </c>
      <c r="N288">
        <v>-1.7406399999999999E-2</v>
      </c>
      <c r="O288">
        <v>1.9330519999999999E-4</v>
      </c>
      <c r="P288">
        <v>0.9603488</v>
      </c>
      <c r="Q288">
        <v>0.26565529999999998</v>
      </c>
      <c r="R288">
        <v>8.4603239999999996E-2</v>
      </c>
      <c r="S288">
        <v>3.2028500000000002</v>
      </c>
      <c r="T288">
        <v>-0.30435849999999998</v>
      </c>
      <c r="U288">
        <v>5.8471679999999998E-2</v>
      </c>
      <c r="V288">
        <v>-8.431487E-2</v>
      </c>
      <c r="W288">
        <v>0.28236230000000001</v>
      </c>
      <c r="X288">
        <v>0.95559539999999998</v>
      </c>
      <c r="Y288">
        <v>-1.7964580000000001E-2</v>
      </c>
      <c r="Z288">
        <v>9.9339669999999993E-4</v>
      </c>
      <c r="AA288">
        <v>0.99983809999999995</v>
      </c>
      <c r="AB288">
        <v>32</v>
      </c>
      <c r="AC288">
        <v>0.61299999999999899</v>
      </c>
      <c r="AD288">
        <v>-8.2534599999999902E-2</v>
      </c>
      <c r="AE288">
        <v>1.6000000000019499E-2</v>
      </c>
      <c r="AF288">
        <v>-1.55989005121533E-2</v>
      </c>
      <c r="AG288">
        <v>-8.2534599999999902E-2</v>
      </c>
      <c r="AH288">
        <v>0.60209569042331201</v>
      </c>
      <c r="AI288">
        <v>97.802808264269203</v>
      </c>
      <c r="AJ288">
        <v>91.484068554002206</v>
      </c>
      <c r="AK288">
        <v>0.60792639876935195</v>
      </c>
      <c r="AL288">
        <v>73.598755411047605</v>
      </c>
      <c r="AM288">
        <v>95.042309995989001</v>
      </c>
      <c r="AN288">
        <v>1.0000000171327801</v>
      </c>
    </row>
    <row r="289" spans="1:40" x14ac:dyDescent="0.25">
      <c r="A289" t="str">
        <f>"20190304164341795"</f>
        <v>20190304164341795</v>
      </c>
      <c r="B289" t="str">
        <f>"1551689021790040"</f>
        <v>1551689021790040</v>
      </c>
      <c r="C289" t="s">
        <v>40</v>
      </c>
      <c r="D289">
        <v>5.0179</v>
      </c>
      <c r="E289">
        <v>0.53787910000000005</v>
      </c>
      <c r="F289" t="s">
        <v>41</v>
      </c>
      <c r="G289">
        <v>-433.9545</v>
      </c>
      <c r="H289">
        <v>0.99217860000000002</v>
      </c>
      <c r="I289">
        <v>366.99599999999998</v>
      </c>
      <c r="J289">
        <v>-434.65969999999999</v>
      </c>
      <c r="K289">
        <v>1.0745439999999999</v>
      </c>
      <c r="L289">
        <v>366.9796</v>
      </c>
      <c r="M289">
        <v>0.99985219999999997</v>
      </c>
      <c r="N289">
        <v>-1.7194310000000001E-2</v>
      </c>
      <c r="O289">
        <v>1.7251009999999999E-4</v>
      </c>
      <c r="P289">
        <v>0.96027720000000005</v>
      </c>
      <c r="Q289">
        <v>0.2659145</v>
      </c>
      <c r="R289">
        <v>8.4601010000000004E-2</v>
      </c>
      <c r="S289">
        <v>3.20105</v>
      </c>
      <c r="T289">
        <v>-0.29776219999999998</v>
      </c>
      <c r="U289">
        <v>5.85021999999999E-2</v>
      </c>
      <c r="V289">
        <v>-8.4350939999999999E-2</v>
      </c>
      <c r="W289">
        <v>0.282412099999999</v>
      </c>
      <c r="X289">
        <v>0.95557749999999997</v>
      </c>
      <c r="Y289">
        <v>-1.8008719999999999E-2</v>
      </c>
      <c r="Z289">
        <v>9.7790700000000008E-4</v>
      </c>
      <c r="AA289">
        <v>0.99983730000000004</v>
      </c>
      <c r="AB289">
        <v>32</v>
      </c>
      <c r="AC289">
        <v>0.70519999999998995</v>
      </c>
      <c r="AD289">
        <v>-8.2365399999999894E-2</v>
      </c>
      <c r="AE289">
        <v>1.6399999999975899E-2</v>
      </c>
      <c r="AF289">
        <v>-1.60593707082262E-2</v>
      </c>
      <c r="AG289">
        <v>-8.2365399999999894E-2</v>
      </c>
      <c r="AH289">
        <v>0.69571725906378701</v>
      </c>
      <c r="AI289">
        <v>96.749991983022795</v>
      </c>
      <c r="AJ289">
        <v>91.322334292226401</v>
      </c>
      <c r="AK289">
        <v>0.70075992113129004</v>
      </c>
      <c r="AL289">
        <v>73.595781021469605</v>
      </c>
      <c r="AM289">
        <v>95.044549980416093</v>
      </c>
      <c r="AN289">
        <v>1.0000000169057699</v>
      </c>
    </row>
    <row r="290" spans="1:40" x14ac:dyDescent="0.25">
      <c r="A290" t="str">
        <f>"20190304164341810"</f>
        <v>20190304164341810</v>
      </c>
      <c r="B290" t="str">
        <f>"1551689021800776"</f>
        <v>1551689021800776</v>
      </c>
      <c r="C290" t="s">
        <v>40</v>
      </c>
      <c r="D290">
        <v>5.0383559999999896</v>
      </c>
      <c r="E290">
        <v>0.537663</v>
      </c>
      <c r="F290" t="s">
        <v>41</v>
      </c>
      <c r="G290">
        <v>-433.67309999999998</v>
      </c>
      <c r="H290">
        <v>0.98457439999999996</v>
      </c>
      <c r="I290">
        <v>366.99799999999999</v>
      </c>
      <c r="J290">
        <v>-434.44729999999998</v>
      </c>
      <c r="K290">
        <v>1.073215</v>
      </c>
      <c r="L290">
        <v>366.9796</v>
      </c>
      <c r="M290">
        <v>0.99985639999999998</v>
      </c>
      <c r="N290">
        <v>-1.69476E-2</v>
      </c>
      <c r="O290">
        <v>1.6245619999999999E-4</v>
      </c>
      <c r="P290">
        <v>0.96013990000000005</v>
      </c>
      <c r="Q290">
        <v>0.26636779999999999</v>
      </c>
      <c r="R290">
        <v>8.4732160000000001E-2</v>
      </c>
      <c r="S290">
        <v>3.1996150000000001</v>
      </c>
      <c r="T290">
        <v>-0.29187449999999998</v>
      </c>
      <c r="U290">
        <v>6.0150149999999999E-2</v>
      </c>
      <c r="V290">
        <v>-8.4512279999999995E-2</v>
      </c>
      <c r="W290">
        <v>0.2826207</v>
      </c>
      <c r="X290">
        <v>0.95550159999999995</v>
      </c>
      <c r="Y290">
        <v>-1.854252E-2</v>
      </c>
      <c r="Z290">
        <v>9.8941250000000001E-4</v>
      </c>
      <c r="AA290">
        <v>0.99982760000000004</v>
      </c>
      <c r="AB290">
        <v>32</v>
      </c>
      <c r="AC290">
        <v>0.77420000000000699</v>
      </c>
      <c r="AD290">
        <v>-8.8640599999999903E-2</v>
      </c>
      <c r="AE290">
        <v>1.8400000000042299E-2</v>
      </c>
      <c r="AF290">
        <v>-1.80378886363299E-2</v>
      </c>
      <c r="AG290">
        <v>-8.8640599999999903E-2</v>
      </c>
      <c r="AH290">
        <v>0.76419109622070602</v>
      </c>
      <c r="AI290">
        <v>96.614500012206804</v>
      </c>
      <c r="AJ290">
        <v>91.352152654324797</v>
      </c>
      <c r="AK290">
        <v>0.76952618729827604</v>
      </c>
      <c r="AL290">
        <v>73.583322054893799</v>
      </c>
      <c r="AM290">
        <v>95.054548275118293</v>
      </c>
      <c r="AN290">
        <v>1.00000004657092</v>
      </c>
    </row>
    <row r="291" spans="1:40" x14ac:dyDescent="0.25">
      <c r="A291" t="str">
        <f>"20190304164341829"</f>
        <v>20190304164341829</v>
      </c>
      <c r="B291" t="str">
        <f>"1551689021820296"</f>
        <v>1551689021820296</v>
      </c>
      <c r="C291" t="s">
        <v>40</v>
      </c>
      <c r="D291">
        <v>5.0565249999999997</v>
      </c>
      <c r="E291">
        <v>0.53738109999999994</v>
      </c>
      <c r="F291" t="s">
        <v>43</v>
      </c>
      <c r="G291">
        <v>-421.96850000000001</v>
      </c>
      <c r="H291">
        <v>-0.05</v>
      </c>
      <c r="I291">
        <v>367.22120000000001</v>
      </c>
      <c r="J291">
        <v>-434.19119999999998</v>
      </c>
      <c r="K291">
        <v>1.071736</v>
      </c>
      <c r="L291">
        <v>366.97969999999998</v>
      </c>
      <c r="M291">
        <v>0.99986169999999996</v>
      </c>
      <c r="N291">
        <v>-1.6635509999999999E-2</v>
      </c>
      <c r="O291">
        <v>1.6149240000000001E-4</v>
      </c>
      <c r="P291">
        <v>0.96000669999999999</v>
      </c>
      <c r="Q291">
        <v>0.26676080000000002</v>
      </c>
      <c r="R291">
        <v>8.5007399999999997E-2</v>
      </c>
      <c r="S291">
        <v>3.1989749999999999</v>
      </c>
      <c r="T291">
        <v>-0.28793740000000001</v>
      </c>
      <c r="U291">
        <v>6.1920169999999997E-2</v>
      </c>
      <c r="V291">
        <v>-8.4808919999999996E-2</v>
      </c>
      <c r="W291">
        <v>0.28270719999999999</v>
      </c>
      <c r="X291">
        <v>0.95544969999999996</v>
      </c>
      <c r="Y291">
        <v>-1.9100059999999999E-2</v>
      </c>
      <c r="Z291">
        <v>1.00523E-3</v>
      </c>
      <c r="AA291">
        <v>0.99981710000000001</v>
      </c>
      <c r="AB291">
        <v>32</v>
      </c>
      <c r="AC291">
        <v>12.2226999999999</v>
      </c>
      <c r="AD291">
        <v>-1.1217360000000001</v>
      </c>
      <c r="AE291">
        <v>0.24150000000003</v>
      </c>
      <c r="AF291">
        <v>-0.237526040723888</v>
      </c>
      <c r="AG291">
        <v>-1.1217360000000001</v>
      </c>
      <c r="AH291">
        <v>12.1206907587337</v>
      </c>
      <c r="AI291">
        <v>95.286493295115406</v>
      </c>
      <c r="AJ291">
        <v>91.122666867841502</v>
      </c>
      <c r="AK291">
        <v>12.174804094628</v>
      </c>
      <c r="AL291">
        <v>73.578154840542794</v>
      </c>
      <c r="AM291">
        <v>95.072471549747206</v>
      </c>
      <c r="AN291">
        <v>1.0000000215367399</v>
      </c>
    </row>
    <row r="292" spans="1:40" x14ac:dyDescent="0.25">
      <c r="A292" t="str">
        <f>"20190304164341851"</f>
        <v>20190304164341851</v>
      </c>
      <c r="B292" t="str">
        <f>"1551689021840793"</f>
        <v>1551689021840793</v>
      </c>
      <c r="C292" t="s">
        <v>40</v>
      </c>
      <c r="D292">
        <v>5.0717400000000001</v>
      </c>
      <c r="E292">
        <v>0.53715489999999999</v>
      </c>
      <c r="F292" t="s">
        <v>43</v>
      </c>
      <c r="G292">
        <v>-421.53460000000001</v>
      </c>
      <c r="H292">
        <v>-0.05</v>
      </c>
      <c r="I292">
        <v>367.23559999999998</v>
      </c>
      <c r="J292">
        <v>-433.85809999999998</v>
      </c>
      <c r="K292">
        <v>1.0699909999999999</v>
      </c>
      <c r="L292">
        <v>366.97969999999998</v>
      </c>
      <c r="M292">
        <v>0.9998686</v>
      </c>
      <c r="N292">
        <v>-1.621887E-2</v>
      </c>
      <c r="O292">
        <v>1.7763999999999999E-4</v>
      </c>
      <c r="P292">
        <v>0.95971050000000002</v>
      </c>
      <c r="Q292">
        <v>0.26760780000000001</v>
      </c>
      <c r="R292">
        <v>8.5683930000000005E-2</v>
      </c>
      <c r="S292">
        <v>3.1979679999999999</v>
      </c>
      <c r="T292">
        <v>-0.28343249999999998</v>
      </c>
      <c r="U292">
        <v>6.4666749999999995E-2</v>
      </c>
      <c r="V292">
        <v>-8.5488030000000007E-2</v>
      </c>
      <c r="W292">
        <v>0.28314620000000001</v>
      </c>
      <c r="X292">
        <v>0.95525910000000003</v>
      </c>
      <c r="Y292">
        <v>-1.9947380000000001E-2</v>
      </c>
      <c r="Z292">
        <v>1.0314670000000001E-3</v>
      </c>
      <c r="AA292">
        <v>0.99980049999999998</v>
      </c>
      <c r="AB292">
        <v>32</v>
      </c>
      <c r="AC292">
        <v>12.3234999999999</v>
      </c>
      <c r="AD292">
        <v>-1.119991</v>
      </c>
      <c r="AE292">
        <v>0.25589999999999602</v>
      </c>
      <c r="AF292">
        <v>-0.25163306000149699</v>
      </c>
      <c r="AG292">
        <v>-1.119991</v>
      </c>
      <c r="AH292">
        <v>12.222634267498201</v>
      </c>
      <c r="AI292">
        <v>95.234433920941598</v>
      </c>
      <c r="AJ292">
        <v>91.179408268490306</v>
      </c>
      <c r="AK292">
        <v>12.276419977908301</v>
      </c>
      <c r="AL292">
        <v>73.551929483473998</v>
      </c>
      <c r="AM292">
        <v>95.113889827201902</v>
      </c>
      <c r="AN292">
        <v>0.999999960990264</v>
      </c>
    </row>
    <row r="293" spans="1:40" x14ac:dyDescent="0.25">
      <c r="A293" t="str">
        <f>"20190304164341871"</f>
        <v>20190304164341871</v>
      </c>
      <c r="B293" t="str">
        <f>"1551689021860312"</f>
        <v>1551689021860312</v>
      </c>
      <c r="C293" t="s">
        <v>40</v>
      </c>
      <c r="D293">
        <v>5.0779880000000004</v>
      </c>
      <c r="E293">
        <v>0.53692949999999995</v>
      </c>
      <c r="F293" t="s">
        <v>43</v>
      </c>
      <c r="G293">
        <v>-420.99169999999998</v>
      </c>
      <c r="H293">
        <v>-0.05</v>
      </c>
      <c r="I293">
        <v>367.255</v>
      </c>
      <c r="J293">
        <v>-433.57659999999998</v>
      </c>
      <c r="K293">
        <v>1.068695</v>
      </c>
      <c r="L293">
        <v>366.97969999999998</v>
      </c>
      <c r="M293">
        <v>0.99987400000000004</v>
      </c>
      <c r="N293">
        <v>-1.587088E-2</v>
      </c>
      <c r="O293">
        <v>2.0430669999999999E-4</v>
      </c>
      <c r="P293">
        <v>0.95941940000000003</v>
      </c>
      <c r="Q293">
        <v>0.2682698</v>
      </c>
      <c r="R293">
        <v>8.6865600000000001E-2</v>
      </c>
      <c r="S293">
        <v>3.1974179999999999</v>
      </c>
      <c r="T293">
        <v>-0.27832790000000002</v>
      </c>
      <c r="U293">
        <v>6.8420410000000001E-2</v>
      </c>
      <c r="V293">
        <v>-8.6653670000000002E-2</v>
      </c>
      <c r="W293">
        <v>0.28346769999999999</v>
      </c>
      <c r="X293">
        <v>0.95505879999999999</v>
      </c>
      <c r="Y293">
        <v>-2.1095639999999999E-2</v>
      </c>
      <c r="Z293">
        <v>1.069621E-3</v>
      </c>
      <c r="AA293">
        <v>0.99977689999999997</v>
      </c>
      <c r="AB293">
        <v>32</v>
      </c>
      <c r="AC293">
        <v>12.584899999999999</v>
      </c>
      <c r="AD293">
        <v>-1.118695</v>
      </c>
      <c r="AE293">
        <v>0.27530000000001498</v>
      </c>
      <c r="AF293">
        <v>-0.27059136546273599</v>
      </c>
      <c r="AG293">
        <v>-1.118695</v>
      </c>
      <c r="AH293">
        <v>12.4863391216706</v>
      </c>
      <c r="AI293">
        <v>95.118465555628404</v>
      </c>
      <c r="AJ293">
        <v>91.241462107402796</v>
      </c>
      <c r="AK293">
        <v>12.539272819882701</v>
      </c>
      <c r="AL293">
        <v>73.532723508952003</v>
      </c>
      <c r="AM293">
        <v>95.184322212545297</v>
      </c>
      <c r="AN293">
        <v>1.0000000534625899</v>
      </c>
    </row>
    <row r="294" spans="1:40" x14ac:dyDescent="0.25">
      <c r="A294" t="str">
        <f>"20190304164341894"</f>
        <v>20190304164341894</v>
      </c>
      <c r="B294" t="str">
        <f>"1551689021880341"</f>
        <v>1551689021880341</v>
      </c>
      <c r="C294" t="s">
        <v>40</v>
      </c>
      <c r="D294">
        <v>5.0917469999999998</v>
      </c>
      <c r="E294">
        <v>0.53670189999999995</v>
      </c>
      <c r="F294" t="s">
        <v>43</v>
      </c>
      <c r="G294">
        <v>-420.5222</v>
      </c>
      <c r="H294">
        <v>-0.05</v>
      </c>
      <c r="I294">
        <v>367.27879999999999</v>
      </c>
      <c r="J294">
        <v>-433.26049999999998</v>
      </c>
      <c r="K294">
        <v>1.067407</v>
      </c>
      <c r="L294">
        <v>366.97980000000001</v>
      </c>
      <c r="M294">
        <v>0.99987990000000004</v>
      </c>
      <c r="N294">
        <v>-1.549559E-2</v>
      </c>
      <c r="O294">
        <v>2.2297319999999999E-4</v>
      </c>
      <c r="P294">
        <v>0.95897049999999995</v>
      </c>
      <c r="Q294">
        <v>0.26948889999999998</v>
      </c>
      <c r="R294">
        <v>8.8041770000000005E-2</v>
      </c>
      <c r="S294">
        <v>3.1968990000000002</v>
      </c>
      <c r="T294">
        <v>-0.27395700000000001</v>
      </c>
      <c r="U294">
        <v>7.3242189999999999E-2</v>
      </c>
      <c r="V294">
        <v>-8.7813150000000006E-2</v>
      </c>
      <c r="W294">
        <v>0.2843213</v>
      </c>
      <c r="X294">
        <v>0.95469899999999996</v>
      </c>
      <c r="Y294">
        <v>-2.2584219999999999E-2</v>
      </c>
      <c r="Z294">
        <v>1.1255460000000001E-3</v>
      </c>
      <c r="AA294">
        <v>0.99974430000000003</v>
      </c>
      <c r="AB294">
        <v>32</v>
      </c>
      <c r="AC294">
        <v>12.738299999999899</v>
      </c>
      <c r="AD294">
        <v>-1.117407</v>
      </c>
      <c r="AE294">
        <v>0.29899999999997801</v>
      </c>
      <c r="AF294">
        <v>-0.29389908957493599</v>
      </c>
      <c r="AG294">
        <v>-1.117407</v>
      </c>
      <c r="AH294">
        <v>12.641148257368</v>
      </c>
      <c r="AI294">
        <v>95.050140250166194</v>
      </c>
      <c r="AJ294">
        <v>91.3318524570726</v>
      </c>
      <c r="AK294">
        <v>12.693841197338999</v>
      </c>
      <c r="AL294">
        <v>73.481715714639407</v>
      </c>
      <c r="AM294">
        <v>95.255274831512693</v>
      </c>
      <c r="AN294">
        <v>0.99999996577380501</v>
      </c>
    </row>
    <row r="295" spans="1:40" x14ac:dyDescent="0.25">
      <c r="A295" t="str">
        <f>"20190304164341906"</f>
        <v>20190304164341906</v>
      </c>
      <c r="B295" t="str">
        <f>"1551689021900838"</f>
        <v>1551689021900838</v>
      </c>
      <c r="C295" t="s">
        <v>40</v>
      </c>
      <c r="D295">
        <v>5.0998809999999999</v>
      </c>
      <c r="E295">
        <v>0.53650679999999995</v>
      </c>
      <c r="F295" t="s">
        <v>43</v>
      </c>
      <c r="G295">
        <v>-419.98050000000001</v>
      </c>
      <c r="H295">
        <v>-0.05</v>
      </c>
      <c r="I295">
        <v>367.31240000000003</v>
      </c>
      <c r="J295">
        <v>-433.07900000000001</v>
      </c>
      <c r="K295">
        <v>1.066762</v>
      </c>
      <c r="L295">
        <v>366.97989999999999</v>
      </c>
      <c r="M295">
        <v>0.99988319999999997</v>
      </c>
      <c r="N295">
        <v>-1.529296E-2</v>
      </c>
      <c r="O295">
        <v>2.270071E-4</v>
      </c>
      <c r="P295">
        <v>0.95869459999999995</v>
      </c>
      <c r="Q295">
        <v>0.27025549999999998</v>
      </c>
      <c r="R295">
        <v>8.8696010000000006E-2</v>
      </c>
      <c r="S295">
        <v>3.1965940000000002</v>
      </c>
      <c r="T295">
        <v>-0.26896690000000001</v>
      </c>
      <c r="U295">
        <v>8.0047610000000005E-2</v>
      </c>
      <c r="V295">
        <v>-8.8462180000000001E-2</v>
      </c>
      <c r="W295">
        <v>0.28489039999999999</v>
      </c>
      <c r="X295">
        <v>0.95446940000000002</v>
      </c>
      <c r="Y295">
        <v>-2.4704090000000001E-2</v>
      </c>
      <c r="Z295">
        <v>1.2110630000000001E-3</v>
      </c>
      <c r="AA295">
        <v>0.99969399999999997</v>
      </c>
      <c r="AB295">
        <v>32</v>
      </c>
      <c r="AC295">
        <v>13.0985</v>
      </c>
      <c r="AD295">
        <v>-1.116762</v>
      </c>
      <c r="AE295">
        <v>0.33250000000003799</v>
      </c>
      <c r="AF295">
        <v>-0.32714965329124002</v>
      </c>
      <c r="AG295">
        <v>-1.116762</v>
      </c>
      <c r="AH295">
        <v>13.0041084066703</v>
      </c>
      <c r="AI295">
        <v>94.906838032076706</v>
      </c>
      <c r="AJ295">
        <v>91.441109296128303</v>
      </c>
      <c r="AK295">
        <v>13.0560721395344</v>
      </c>
      <c r="AL295">
        <v>73.447702047141405</v>
      </c>
      <c r="AM295">
        <v>95.295163086936398</v>
      </c>
      <c r="AN295">
        <v>0.999999966419435</v>
      </c>
    </row>
    <row r="296" spans="1:40" x14ac:dyDescent="0.25">
      <c r="A296" t="str">
        <f>"20190304164341920"</f>
        <v>20190304164341920</v>
      </c>
      <c r="B296" t="str">
        <f>"1551689021910598"</f>
        <v>1551689021910598</v>
      </c>
      <c r="C296" t="s">
        <v>40</v>
      </c>
      <c r="D296">
        <v>5.0959989999999999</v>
      </c>
      <c r="E296">
        <v>0.53642829999999997</v>
      </c>
      <c r="F296" t="s">
        <v>43</v>
      </c>
      <c r="G296">
        <v>-419.59629999999999</v>
      </c>
      <c r="H296">
        <v>-0.05</v>
      </c>
      <c r="I296">
        <v>367.33530000000002</v>
      </c>
      <c r="J296">
        <v>-432.88</v>
      </c>
      <c r="K296">
        <v>1.0660989999999999</v>
      </c>
      <c r="L296">
        <v>366.97989999999999</v>
      </c>
      <c r="M296">
        <v>0.99988630000000001</v>
      </c>
      <c r="N296">
        <v>-1.5077739999999999E-2</v>
      </c>
      <c r="O296">
        <v>2.2933320000000001E-4</v>
      </c>
      <c r="P296">
        <v>0.95821350000000005</v>
      </c>
      <c r="Q296">
        <v>0.27169500000000002</v>
      </c>
      <c r="R296">
        <v>8.9491780000000007E-2</v>
      </c>
      <c r="S296">
        <v>3.1961059999999999</v>
      </c>
      <c r="T296">
        <v>-0.2647313</v>
      </c>
      <c r="U296">
        <v>8.4259029999999999E-2</v>
      </c>
      <c r="V296">
        <v>-8.9254589999999995E-2</v>
      </c>
      <c r="W296">
        <v>0.28611789999999998</v>
      </c>
      <c r="X296">
        <v>0.9540284</v>
      </c>
      <c r="Y296">
        <v>-2.6019799999999999E-2</v>
      </c>
      <c r="Z296">
        <v>1.2566680000000001E-3</v>
      </c>
      <c r="AA296">
        <v>0.99966060000000001</v>
      </c>
      <c r="AB296">
        <v>32</v>
      </c>
      <c r="AC296">
        <v>13.2837</v>
      </c>
      <c r="AD296">
        <v>-1.116099</v>
      </c>
      <c r="AE296">
        <v>0.35540000000003102</v>
      </c>
      <c r="AF296">
        <v>-0.34988504186411201</v>
      </c>
      <c r="AG296">
        <v>-1.116099</v>
      </c>
      <c r="AH296">
        <v>13.1907292390907</v>
      </c>
      <c r="AI296">
        <v>94.834720098929495</v>
      </c>
      <c r="AJ296">
        <v>91.519418395802703</v>
      </c>
      <c r="AK296">
        <v>13.242485959189199</v>
      </c>
      <c r="AL296">
        <v>73.374317765277496</v>
      </c>
      <c r="AM296">
        <v>95.344777074331702</v>
      </c>
      <c r="AN296">
        <v>1.0000000112715099</v>
      </c>
    </row>
    <row r="297" spans="1:40" x14ac:dyDescent="0.25">
      <c r="A297" t="str">
        <f>"20190304164341938"</f>
        <v>20190304164341938</v>
      </c>
      <c r="B297" t="str">
        <f>"1551689021930117"</f>
        <v>1551689021930117</v>
      </c>
      <c r="C297" t="s">
        <v>40</v>
      </c>
      <c r="D297">
        <v>5.1015899999999998</v>
      </c>
      <c r="E297">
        <v>0.53641159999999999</v>
      </c>
      <c r="F297" t="s">
        <v>43</v>
      </c>
      <c r="G297">
        <v>-419.13990000000001</v>
      </c>
      <c r="H297">
        <v>-0.05</v>
      </c>
      <c r="I297">
        <v>367.35539999999997</v>
      </c>
      <c r="J297">
        <v>-432.60629999999998</v>
      </c>
      <c r="K297">
        <v>1.065294</v>
      </c>
      <c r="L297">
        <v>366.98</v>
      </c>
      <c r="M297">
        <v>0.99989059999999996</v>
      </c>
      <c r="N297">
        <v>-1.479865E-2</v>
      </c>
      <c r="O297">
        <v>2.2766839999999999E-4</v>
      </c>
      <c r="P297">
        <v>0.95763100000000001</v>
      </c>
      <c r="Q297">
        <v>0.27338269999999998</v>
      </c>
      <c r="R297">
        <v>9.0581999999999996E-2</v>
      </c>
      <c r="S297">
        <v>3.1962890000000002</v>
      </c>
      <c r="T297">
        <v>-0.25963259999999999</v>
      </c>
      <c r="U297">
        <v>8.7341310000000005E-2</v>
      </c>
      <c r="V297">
        <v>-9.0346469999999998E-2</v>
      </c>
      <c r="W297">
        <v>0.28753030000000002</v>
      </c>
      <c r="X297">
        <v>0.95350089999999998</v>
      </c>
      <c r="Y297">
        <v>-2.6983489999999999E-2</v>
      </c>
      <c r="Z297">
        <v>1.2789209999999999E-3</v>
      </c>
      <c r="AA297">
        <v>0.99963500000000005</v>
      </c>
      <c r="AB297">
        <v>32</v>
      </c>
      <c r="AC297">
        <v>13.466399999999901</v>
      </c>
      <c r="AD297">
        <v>-1.115294</v>
      </c>
      <c r="AE297">
        <v>0.37539999999995599</v>
      </c>
      <c r="AF297">
        <v>-0.36979921095902402</v>
      </c>
      <c r="AG297">
        <v>-1.115294</v>
      </c>
      <c r="AH297">
        <v>13.374815357322101</v>
      </c>
      <c r="AI297">
        <v>94.764917970948105</v>
      </c>
      <c r="AJ297">
        <v>91.583762978038905</v>
      </c>
      <c r="AK297">
        <v>13.426329282619299</v>
      </c>
      <c r="AL297">
        <v>73.289844756828501</v>
      </c>
      <c r="AM297">
        <v>95.412750915631705</v>
      </c>
      <c r="AN297">
        <v>1.0000000621801699</v>
      </c>
    </row>
    <row r="298" spans="1:40" x14ac:dyDescent="0.25">
      <c r="A298" t="str">
        <f>"20190304164341960"</f>
        <v>20190304164341960</v>
      </c>
      <c r="B298" t="str">
        <f>"1551689021950613"</f>
        <v>1551689021950613</v>
      </c>
      <c r="C298" t="s">
        <v>40</v>
      </c>
      <c r="D298">
        <v>5.1183630000000004</v>
      </c>
      <c r="E298">
        <v>0.53634740000000003</v>
      </c>
      <c r="F298" t="s">
        <v>43</v>
      </c>
      <c r="G298">
        <v>-418.51369999999997</v>
      </c>
      <c r="H298">
        <v>-0.05</v>
      </c>
      <c r="I298">
        <v>367.38139999999999</v>
      </c>
      <c r="J298">
        <v>-432.30259999999998</v>
      </c>
      <c r="K298">
        <v>1.064516</v>
      </c>
      <c r="L298">
        <v>366.98</v>
      </c>
      <c r="M298">
        <v>0.99989479999999997</v>
      </c>
      <c r="N298">
        <v>-1.4513140000000001E-2</v>
      </c>
      <c r="O298">
        <v>2.227978E-4</v>
      </c>
      <c r="P298">
        <v>0.95717549999999996</v>
      </c>
      <c r="Q298">
        <v>0.27489560000000002</v>
      </c>
      <c r="R298">
        <v>9.0818609999999994E-2</v>
      </c>
      <c r="S298">
        <v>3.1963499999999998</v>
      </c>
      <c r="T298">
        <v>-0.2529613</v>
      </c>
      <c r="U298">
        <v>9.1033939999999994E-2</v>
      </c>
      <c r="V298">
        <v>-9.059006E-2</v>
      </c>
      <c r="W298">
        <v>0.28876360000000001</v>
      </c>
      <c r="X298">
        <v>0.95310490000000003</v>
      </c>
      <c r="Y298">
        <v>-2.8142670000000002E-2</v>
      </c>
      <c r="Z298">
        <v>1.3019279999999999E-3</v>
      </c>
      <c r="AA298">
        <v>0.99960309999999997</v>
      </c>
      <c r="AB298">
        <v>32</v>
      </c>
      <c r="AC298">
        <v>13.7889</v>
      </c>
      <c r="AD298">
        <v>-1.1145160000000001</v>
      </c>
      <c r="AE298">
        <v>0.40139999999996601</v>
      </c>
      <c r="AF298">
        <v>-0.39574431748390099</v>
      </c>
      <c r="AG298">
        <v>-1.1145160000000001</v>
      </c>
      <c r="AH298">
        <v>13.6995654688127</v>
      </c>
      <c r="AI298">
        <v>94.649073633845603</v>
      </c>
      <c r="AJ298">
        <v>91.654663809204393</v>
      </c>
      <c r="AK298">
        <v>13.7505219360343</v>
      </c>
      <c r="AL298">
        <v>73.216050327813406</v>
      </c>
      <c r="AM298">
        <v>95.429499090123002</v>
      </c>
      <c r="AN298">
        <v>0.99999996302988603</v>
      </c>
    </row>
    <row r="299" spans="1:40" x14ac:dyDescent="0.25">
      <c r="A299" t="str">
        <f>"20190304164341975"</f>
        <v>20190304164341975</v>
      </c>
      <c r="B299" t="str">
        <f>"1551689021970134"</f>
        <v>1551689021970134</v>
      </c>
      <c r="C299" t="s">
        <v>40</v>
      </c>
      <c r="D299">
        <v>5.1201689999999997</v>
      </c>
      <c r="E299">
        <v>0.53633920000000002</v>
      </c>
      <c r="F299" t="s">
        <v>43</v>
      </c>
      <c r="G299">
        <v>-417.94029999999998</v>
      </c>
      <c r="H299">
        <v>-0.05</v>
      </c>
      <c r="I299">
        <v>367.39710000000002</v>
      </c>
      <c r="J299">
        <v>-432.1078</v>
      </c>
      <c r="K299">
        <v>1.0640639999999999</v>
      </c>
      <c r="L299">
        <v>366.98</v>
      </c>
      <c r="M299">
        <v>0.99989709999999998</v>
      </c>
      <c r="N299">
        <v>-1.434069E-2</v>
      </c>
      <c r="O299">
        <v>2.1867100000000001E-4</v>
      </c>
      <c r="P299">
        <v>0.95721860000000003</v>
      </c>
      <c r="Q299">
        <v>0.2749336</v>
      </c>
      <c r="R299">
        <v>9.0244759999999993E-2</v>
      </c>
      <c r="S299">
        <v>3.1966860000000001</v>
      </c>
      <c r="T299">
        <v>-0.24806310000000001</v>
      </c>
      <c r="U299">
        <v>9.2834470000000002E-2</v>
      </c>
      <c r="V299">
        <v>-9.0022359999999996E-2</v>
      </c>
      <c r="W299">
        <v>0.28863719999999998</v>
      </c>
      <c r="X299">
        <v>0.95319699999999996</v>
      </c>
      <c r="Y299">
        <v>-2.8708210000000001E-2</v>
      </c>
      <c r="Z299">
        <v>1.3044339999999999E-3</v>
      </c>
      <c r="AA299">
        <v>0.999587</v>
      </c>
      <c r="AB299">
        <v>32</v>
      </c>
      <c r="AC299">
        <v>14.1675</v>
      </c>
      <c r="AD299">
        <v>-1.1140639999999999</v>
      </c>
      <c r="AE299">
        <v>0.41710000000000402</v>
      </c>
      <c r="AF299">
        <v>-0.41145959588727099</v>
      </c>
      <c r="AG299">
        <v>-1.1140639999999999</v>
      </c>
      <c r="AH299">
        <v>14.080599000131</v>
      </c>
      <c r="AI299">
        <v>94.521924219238301</v>
      </c>
      <c r="AJ299">
        <v>91.673806024817694</v>
      </c>
      <c r="AK299">
        <v>14.130594672469901</v>
      </c>
      <c r="AL299">
        <v>73.223615065533707</v>
      </c>
      <c r="AM299">
        <v>95.395157262233596</v>
      </c>
      <c r="AN299">
        <v>0.99999998966640402</v>
      </c>
    </row>
    <row r="300" spans="1:40" x14ac:dyDescent="0.25">
      <c r="A300" t="str">
        <f>"20190304164341986"</f>
        <v>20190304164341986</v>
      </c>
      <c r="B300" t="str">
        <f>"1551689021980869"</f>
        <v>1551689021980869</v>
      </c>
      <c r="C300" t="s">
        <v>40</v>
      </c>
      <c r="D300">
        <v>5.140835</v>
      </c>
      <c r="E300">
        <v>0.53637380000000001</v>
      </c>
      <c r="F300" t="s">
        <v>43</v>
      </c>
      <c r="G300">
        <v>-417.76100000000002</v>
      </c>
      <c r="H300">
        <v>-0.05</v>
      </c>
      <c r="I300">
        <v>367.38909999999998</v>
      </c>
      <c r="J300">
        <v>-431.92070000000001</v>
      </c>
      <c r="K300">
        <v>1.0636859999999999</v>
      </c>
      <c r="L300">
        <v>366.98009999999999</v>
      </c>
      <c r="M300">
        <v>0.99989919999999999</v>
      </c>
      <c r="N300">
        <v>-1.4199989999999999E-2</v>
      </c>
      <c r="O300">
        <v>2.1535479999999999E-4</v>
      </c>
      <c r="P300">
        <v>0.95728990000000003</v>
      </c>
      <c r="Q300">
        <v>0.27477829999999998</v>
      </c>
      <c r="R300">
        <v>8.9961570000000005E-2</v>
      </c>
      <c r="S300">
        <v>3.196777</v>
      </c>
      <c r="T300">
        <v>-0.24823709999999999</v>
      </c>
      <c r="U300">
        <v>9.1156009999999996E-2</v>
      </c>
      <c r="V300">
        <v>-8.9743260000000005E-2</v>
      </c>
      <c r="W300">
        <v>0.2883481</v>
      </c>
      <c r="X300">
        <v>0.95331080000000001</v>
      </c>
      <c r="Y300">
        <v>-2.8188169999999999E-2</v>
      </c>
      <c r="Z300">
        <v>1.2794739999999901E-3</v>
      </c>
      <c r="AA300">
        <v>0.99960179999999998</v>
      </c>
      <c r="AB300">
        <v>32</v>
      </c>
      <c r="AC300">
        <v>14.159700000000001</v>
      </c>
      <c r="AD300">
        <v>-1.113686</v>
      </c>
      <c r="AE300">
        <v>0.40899999999999098</v>
      </c>
      <c r="AF300">
        <v>-0.40345657892421399</v>
      </c>
      <c r="AG300">
        <v>-1.113686</v>
      </c>
      <c r="AH300">
        <v>14.0728044615536</v>
      </c>
      <c r="AI300">
        <v>94.522961607808099</v>
      </c>
      <c r="AJ300">
        <v>91.6421765162508</v>
      </c>
      <c r="AK300">
        <v>14.122567016332299</v>
      </c>
      <c r="AL300">
        <v>73.240914665782</v>
      </c>
      <c r="AM300">
        <v>95.377890391083696</v>
      </c>
      <c r="AN300">
        <v>0.999999980442838</v>
      </c>
    </row>
    <row r="301" spans="1:40" x14ac:dyDescent="0.25">
      <c r="A301" t="str">
        <f>"20190304164342006"</f>
        <v>20190304164342006</v>
      </c>
      <c r="B301" t="str">
        <f>"1551689022000390"</f>
        <v>1551689022000390</v>
      </c>
      <c r="C301" t="s">
        <v>40</v>
      </c>
      <c r="D301">
        <v>5.1339169999999896</v>
      </c>
      <c r="E301">
        <v>0.53639250000000005</v>
      </c>
      <c r="F301" t="s">
        <v>43</v>
      </c>
      <c r="G301">
        <v>-417.6293</v>
      </c>
      <c r="H301">
        <v>-0.05</v>
      </c>
      <c r="I301">
        <v>367.38200000000001</v>
      </c>
      <c r="J301">
        <v>-431.65109999999999</v>
      </c>
      <c r="K301">
        <v>1.063037</v>
      </c>
      <c r="L301">
        <v>366.98020000000002</v>
      </c>
      <c r="M301">
        <v>0.99990970000000001</v>
      </c>
      <c r="N301">
        <v>-1.344394E-2</v>
      </c>
      <c r="O301">
        <v>2.1333079999999999E-4</v>
      </c>
      <c r="P301">
        <v>0.95772420000000003</v>
      </c>
      <c r="Q301">
        <v>0.27339590000000003</v>
      </c>
      <c r="R301">
        <v>8.9551370000000005E-2</v>
      </c>
      <c r="S301">
        <v>3.1969599999999998</v>
      </c>
      <c r="T301">
        <v>-0.2491292</v>
      </c>
      <c r="U301">
        <v>8.9904789999999998E-2</v>
      </c>
      <c r="V301">
        <v>-8.9335510000000007E-2</v>
      </c>
      <c r="W301">
        <v>0.28625040000000002</v>
      </c>
      <c r="X301">
        <v>0.95398099999999997</v>
      </c>
      <c r="Y301">
        <v>-2.7799230000000001E-2</v>
      </c>
      <c r="Z301">
        <v>1.2548119999999999E-3</v>
      </c>
      <c r="AA301">
        <v>0.99961270000000002</v>
      </c>
      <c r="AB301">
        <v>32</v>
      </c>
      <c r="AC301">
        <v>14.021799999999899</v>
      </c>
      <c r="AD301">
        <v>-1.1130370000000001</v>
      </c>
      <c r="AE301">
        <v>0.401799999999923</v>
      </c>
      <c r="AF301">
        <v>-0.39631330509555601</v>
      </c>
      <c r="AG301">
        <v>-1.1130370000000001</v>
      </c>
      <c r="AH301">
        <v>13.934157869839099</v>
      </c>
      <c r="AI301">
        <v>94.565154997453106</v>
      </c>
      <c r="AJ301">
        <v>91.629159081382198</v>
      </c>
      <c r="AK301">
        <v>13.9841578631237</v>
      </c>
      <c r="AL301">
        <v>73.366393410927202</v>
      </c>
      <c r="AM301">
        <v>95.349858916798794</v>
      </c>
      <c r="AN301">
        <v>0.99999993660405795</v>
      </c>
    </row>
    <row r="302" spans="1:40" x14ac:dyDescent="0.25">
      <c r="A302" t="str">
        <f>"20190304164342020"</f>
        <v>20190304164342020</v>
      </c>
      <c r="B302" t="str">
        <f>"1551689022010151"</f>
        <v>1551689022010151</v>
      </c>
      <c r="C302" t="s">
        <v>40</v>
      </c>
      <c r="D302">
        <v>5.1244779999999999</v>
      </c>
      <c r="E302">
        <v>0.53641119999999898</v>
      </c>
      <c r="F302" t="s">
        <v>43</v>
      </c>
      <c r="G302">
        <v>-417.65390000000002</v>
      </c>
      <c r="H302">
        <v>-0.05</v>
      </c>
      <c r="I302">
        <v>367.36489999999998</v>
      </c>
      <c r="J302">
        <v>-431.44</v>
      </c>
      <c r="K302">
        <v>1.0624979999999999</v>
      </c>
      <c r="L302">
        <v>366.9803</v>
      </c>
      <c r="M302">
        <v>0.99992139999999996</v>
      </c>
      <c r="N302">
        <v>-1.253804E-2</v>
      </c>
      <c r="O302">
        <v>2.131464E-4</v>
      </c>
      <c r="P302">
        <v>0.95780100000000001</v>
      </c>
      <c r="Q302">
        <v>0.2732001</v>
      </c>
      <c r="R302">
        <v>8.9324150000000005E-2</v>
      </c>
      <c r="S302">
        <v>3.196777</v>
      </c>
      <c r="T302">
        <v>-0.25420310000000002</v>
      </c>
      <c r="U302">
        <v>8.7860110000000005E-2</v>
      </c>
      <c r="V302">
        <v>-8.9107829999999999E-2</v>
      </c>
      <c r="W302">
        <v>0.28519159999999999</v>
      </c>
      <c r="X302">
        <v>0.95431940000000004</v>
      </c>
      <c r="Y302">
        <v>-2.7161749999999998E-2</v>
      </c>
      <c r="Z302">
        <v>1.234403E-3</v>
      </c>
      <c r="AA302">
        <v>0.99963029999999997</v>
      </c>
      <c r="AB302">
        <v>32</v>
      </c>
      <c r="AC302">
        <v>13.7860999999999</v>
      </c>
      <c r="AD302">
        <v>-1.112498</v>
      </c>
      <c r="AE302">
        <v>0.38459999999997702</v>
      </c>
      <c r="AF302">
        <v>-0.37919390534276998</v>
      </c>
      <c r="AG302">
        <v>-1.112498</v>
      </c>
      <c r="AH302">
        <v>13.697055554536499</v>
      </c>
      <c r="AI302">
        <v>94.641696381630993</v>
      </c>
      <c r="AJ302">
        <v>91.585790637414604</v>
      </c>
      <c r="AK302">
        <v>13.747391413715899</v>
      </c>
      <c r="AL302">
        <v>73.429697978913197</v>
      </c>
      <c r="AM302">
        <v>95.334421779621707</v>
      </c>
      <c r="AN302">
        <v>0.99999998564711401</v>
      </c>
    </row>
    <row r="303" spans="1:40" x14ac:dyDescent="0.25">
      <c r="A303" t="str">
        <f>"20190304164342041"</f>
        <v>20190304164342041</v>
      </c>
      <c r="B303" t="str">
        <f>"1551689022030646"</f>
        <v>1551689022030646</v>
      </c>
      <c r="C303" t="s">
        <v>40</v>
      </c>
      <c r="D303">
        <v>5.138001</v>
      </c>
      <c r="E303">
        <v>0.53643540000000001</v>
      </c>
      <c r="F303" t="s">
        <v>43</v>
      </c>
      <c r="G303">
        <v>-417.49180000000001</v>
      </c>
      <c r="H303">
        <v>-0.05</v>
      </c>
      <c r="I303">
        <v>367.3578</v>
      </c>
      <c r="J303">
        <v>-431.14699999999999</v>
      </c>
      <c r="K303">
        <v>1.061812</v>
      </c>
      <c r="L303">
        <v>366.9803</v>
      </c>
      <c r="M303">
        <v>0.99993770000000004</v>
      </c>
      <c r="N303">
        <v>-1.1158629999999999E-2</v>
      </c>
      <c r="O303">
        <v>2.1394909999999999E-4</v>
      </c>
      <c r="P303">
        <v>0.95777380000000001</v>
      </c>
      <c r="Q303">
        <v>0.2733447</v>
      </c>
      <c r="R303">
        <v>8.9173530000000001E-2</v>
      </c>
      <c r="S303">
        <v>3.1968380000000001</v>
      </c>
      <c r="T303">
        <v>-0.25497730000000002</v>
      </c>
      <c r="U303">
        <v>8.6547849999999996E-2</v>
      </c>
      <c r="V303">
        <v>-8.895583E-2</v>
      </c>
      <c r="W303">
        <v>0.28401959999999998</v>
      </c>
      <c r="X303">
        <v>0.95468310000000001</v>
      </c>
      <c r="Y303">
        <v>-2.6752829999999998E-2</v>
      </c>
      <c r="Z303">
        <v>1.1999199999999999E-3</v>
      </c>
      <c r="AA303">
        <v>0.99964140000000001</v>
      </c>
      <c r="AB303">
        <v>32</v>
      </c>
      <c r="AC303">
        <v>13.655199999999899</v>
      </c>
      <c r="AD303">
        <v>-1.111812</v>
      </c>
      <c r="AE303">
        <v>0.377499999999997</v>
      </c>
      <c r="AF303">
        <v>-0.37211333079394499</v>
      </c>
      <c r="AG303">
        <v>-1.111812</v>
      </c>
      <c r="AH303">
        <v>13.5654201203469</v>
      </c>
      <c r="AI303">
        <v>94.683694087557299</v>
      </c>
      <c r="AJ303">
        <v>91.571287727075898</v>
      </c>
      <c r="AK303">
        <v>13.615991234420299</v>
      </c>
      <c r="AL303">
        <v>73.4997465181699</v>
      </c>
      <c r="AM303">
        <v>95.323357571416494</v>
      </c>
      <c r="AN303">
        <v>1.0000000471503701</v>
      </c>
    </row>
    <row r="304" spans="1:40" x14ac:dyDescent="0.25">
      <c r="A304" t="str">
        <f>"20190304164342061"</f>
        <v>20190304164342061</v>
      </c>
      <c r="B304" t="str">
        <f>"1551689022050165"</f>
        <v>1551689022050165</v>
      </c>
      <c r="C304" t="s">
        <v>40</v>
      </c>
      <c r="D304">
        <v>5.1419069999999998</v>
      </c>
      <c r="E304">
        <v>0.53646470000000002</v>
      </c>
      <c r="F304" t="s">
        <v>43</v>
      </c>
      <c r="G304">
        <v>-417.19499999999999</v>
      </c>
      <c r="H304">
        <v>-0.05</v>
      </c>
      <c r="I304">
        <v>367.35219999999998</v>
      </c>
      <c r="J304">
        <v>-430.83010000000002</v>
      </c>
      <c r="K304">
        <v>1.0611969999999999</v>
      </c>
      <c r="L304">
        <v>366.98039999999997</v>
      </c>
      <c r="M304">
        <v>0.99995299999999998</v>
      </c>
      <c r="N304">
        <v>-9.6936120000000008E-3</v>
      </c>
      <c r="O304">
        <v>2.1434549999999999E-4</v>
      </c>
      <c r="P304">
        <v>0.95744720000000005</v>
      </c>
      <c r="Q304">
        <v>0.27442270000000002</v>
      </c>
      <c r="R304">
        <v>8.9371350000000002E-2</v>
      </c>
      <c r="S304">
        <v>3.1970209999999999</v>
      </c>
      <c r="T304">
        <v>-0.25476549999999998</v>
      </c>
      <c r="U304">
        <v>8.5205080000000002E-2</v>
      </c>
      <c r="V304">
        <v>-8.9153679999999999E-2</v>
      </c>
      <c r="W304">
        <v>0.28369539999999999</v>
      </c>
      <c r="X304">
        <v>0.95476099999999997</v>
      </c>
      <c r="Y304">
        <v>-2.6334570000000002E-2</v>
      </c>
      <c r="Z304">
        <v>1.160349E-3</v>
      </c>
      <c r="AA304">
        <v>0.99965250000000005</v>
      </c>
      <c r="AB304">
        <v>33</v>
      </c>
      <c r="AC304">
        <v>13.6351</v>
      </c>
      <c r="AD304">
        <v>-1.111197</v>
      </c>
      <c r="AE304">
        <v>0.37180000000000701</v>
      </c>
      <c r="AF304">
        <v>-0.36644529760204497</v>
      </c>
      <c r="AG304">
        <v>-1.111197</v>
      </c>
      <c r="AH304">
        <v>13.5452853582521</v>
      </c>
      <c r="AI304">
        <v>94.688090177174303</v>
      </c>
      <c r="AJ304">
        <v>91.549664589211901</v>
      </c>
      <c r="AK304">
        <v>13.595727136325699</v>
      </c>
      <c r="AL304">
        <v>73.519118072300799</v>
      </c>
      <c r="AM304">
        <v>95.334696418395595</v>
      </c>
      <c r="AN304">
        <v>1.0000000128798501</v>
      </c>
    </row>
    <row r="305" spans="1:40" x14ac:dyDescent="0.25">
      <c r="A305" t="str">
        <f>"20190304164342075"</f>
        <v>20190304164342075</v>
      </c>
      <c r="B305" t="str">
        <f>"1551689022070661"</f>
        <v>1551689022070661</v>
      </c>
      <c r="C305" t="s">
        <v>40</v>
      </c>
      <c r="D305">
        <v>5.1472480000000003</v>
      </c>
      <c r="E305">
        <v>0.53647840000000002</v>
      </c>
      <c r="F305" t="s">
        <v>43</v>
      </c>
      <c r="G305">
        <v>-416.71859999999998</v>
      </c>
      <c r="H305">
        <v>-0.05</v>
      </c>
      <c r="I305">
        <v>367.35239999999999</v>
      </c>
      <c r="J305">
        <v>-430.63940000000002</v>
      </c>
      <c r="K305">
        <v>1.0608660000000001</v>
      </c>
      <c r="L305">
        <v>366.98039999999997</v>
      </c>
      <c r="M305">
        <v>0.99996099999999999</v>
      </c>
      <c r="N305">
        <v>-8.8317029999999998E-3</v>
      </c>
      <c r="O305">
        <v>2.144836E-4</v>
      </c>
      <c r="P305">
        <v>0.957341</v>
      </c>
      <c r="Q305">
        <v>0.27478390000000003</v>
      </c>
      <c r="R305">
        <v>8.9397679999999993E-2</v>
      </c>
      <c r="S305">
        <v>3.1976619999999998</v>
      </c>
      <c r="T305">
        <v>-0.2517971</v>
      </c>
      <c r="U305">
        <v>8.4289550000000005E-2</v>
      </c>
      <c r="V305">
        <v>-8.9179579999999994E-2</v>
      </c>
      <c r="W305">
        <v>0.283232599999999</v>
      </c>
      <c r="X305">
        <v>0.95489599999999997</v>
      </c>
      <c r="Y305">
        <v>-2.6047049999999999E-2</v>
      </c>
      <c r="Z305">
        <v>1.124035E-3</v>
      </c>
      <c r="AA305">
        <v>0.99966010000000005</v>
      </c>
      <c r="AB305">
        <v>33</v>
      </c>
      <c r="AC305">
        <v>13.9208</v>
      </c>
      <c r="AD305">
        <v>-1.1108659999999999</v>
      </c>
      <c r="AE305">
        <v>0.37200000000001399</v>
      </c>
      <c r="AF305">
        <v>-0.36668077829449902</v>
      </c>
      <c r="AG305">
        <v>-1.1108659999999999</v>
      </c>
      <c r="AH305">
        <v>13.8328563402847</v>
      </c>
      <c r="AI305">
        <v>94.589755569431006</v>
      </c>
      <c r="AJ305">
        <v>91.518438542962699</v>
      </c>
      <c r="AK305">
        <v>13.882232982992299</v>
      </c>
      <c r="AL305">
        <v>73.546769116727006</v>
      </c>
      <c r="AM305">
        <v>95.335487188538195</v>
      </c>
      <c r="AN305">
        <v>1.00000003700386</v>
      </c>
    </row>
    <row r="306" spans="1:40" x14ac:dyDescent="0.25">
      <c r="A306" t="str">
        <f>"20190304164342096"</f>
        <v>20190304164342096</v>
      </c>
      <c r="B306" t="str">
        <f>"1551689022090181"</f>
        <v>1551689022090181</v>
      </c>
      <c r="C306" t="s">
        <v>40</v>
      </c>
      <c r="D306">
        <v>5.1419930000000003</v>
      </c>
      <c r="E306">
        <v>0.53647080000000003</v>
      </c>
      <c r="F306" t="s">
        <v>41</v>
      </c>
      <c r="G306">
        <v>-429.62799999999999</v>
      </c>
      <c r="H306">
        <v>0.98143970000000003</v>
      </c>
      <c r="I306">
        <v>367.00700000000001</v>
      </c>
      <c r="J306">
        <v>-430.33429999999998</v>
      </c>
      <c r="K306">
        <v>1.0604150000000001</v>
      </c>
      <c r="L306">
        <v>366.98050000000001</v>
      </c>
      <c r="M306">
        <v>0.99997170000000002</v>
      </c>
      <c r="N306">
        <v>-7.5157549999999998E-3</v>
      </c>
      <c r="O306">
        <v>2.143523E-4</v>
      </c>
      <c r="P306">
        <v>0.95734730000000001</v>
      </c>
      <c r="Q306">
        <v>0.27454040000000002</v>
      </c>
      <c r="R306">
        <v>9.0076809999999993E-2</v>
      </c>
      <c r="S306">
        <v>3.1979060000000001</v>
      </c>
      <c r="T306">
        <v>-0.25122830000000002</v>
      </c>
      <c r="U306">
        <v>8.4442139999999999E-2</v>
      </c>
      <c r="V306">
        <v>-8.9859339999999996E-2</v>
      </c>
      <c r="W306">
        <v>0.28173179999999998</v>
      </c>
      <c r="X306">
        <v>0.95527609999999996</v>
      </c>
      <c r="Y306">
        <v>-2.609444E-2</v>
      </c>
      <c r="Z306">
        <v>1.1062800000000001E-3</v>
      </c>
      <c r="AA306">
        <v>0.99965890000000002</v>
      </c>
      <c r="AB306">
        <v>33</v>
      </c>
      <c r="AC306">
        <v>0.70629999999994197</v>
      </c>
      <c r="AD306">
        <v>-7.8975299999999901E-2</v>
      </c>
      <c r="AE306">
        <v>2.6499999999941699E-2</v>
      </c>
      <c r="AF306">
        <v>-2.6023688825369599E-2</v>
      </c>
      <c r="AG306">
        <v>-7.8975299999999901E-2</v>
      </c>
      <c r="AH306">
        <v>0.69759608334485601</v>
      </c>
      <c r="AI306">
        <v>96.454539681687606</v>
      </c>
      <c r="AJ306">
        <v>92.136417445711899</v>
      </c>
      <c r="AK306">
        <v>0.70253443039345198</v>
      </c>
      <c r="AL306">
        <v>73.636408287034001</v>
      </c>
      <c r="AM306">
        <v>95.373792355159097</v>
      </c>
      <c r="AN306">
        <v>0.99999996767384203</v>
      </c>
    </row>
    <row r="307" spans="1:40" x14ac:dyDescent="0.25">
      <c r="A307" t="str">
        <f>"20190304164342109"</f>
        <v>20190304164342109</v>
      </c>
      <c r="B307" t="str">
        <f>"1551689022099942"</f>
        <v>1551689022099942</v>
      </c>
      <c r="C307" t="s">
        <v>40</v>
      </c>
      <c r="D307">
        <v>5.1615440000000001</v>
      </c>
      <c r="E307">
        <v>0.53647539999999905</v>
      </c>
      <c r="F307" t="s">
        <v>41</v>
      </c>
      <c r="G307">
        <v>-429.32780000000002</v>
      </c>
      <c r="H307">
        <v>0.98098870000000005</v>
      </c>
      <c r="I307">
        <v>367.00729999999999</v>
      </c>
      <c r="J307">
        <v>-430.12729999999999</v>
      </c>
      <c r="K307">
        <v>1.0601769999999999</v>
      </c>
      <c r="L307">
        <v>366.98050000000001</v>
      </c>
      <c r="M307">
        <v>0.99997740000000002</v>
      </c>
      <c r="N307">
        <v>-6.7158779999999998E-3</v>
      </c>
      <c r="O307">
        <v>2.1400029999999999E-4</v>
      </c>
      <c r="P307">
        <v>0.95708369999999998</v>
      </c>
      <c r="Q307">
        <v>0.27533200000000002</v>
      </c>
      <c r="R307">
        <v>9.0459609999999996E-2</v>
      </c>
      <c r="S307">
        <v>3.1979679999999999</v>
      </c>
      <c r="T307">
        <v>-0.25260959999999999</v>
      </c>
      <c r="U307">
        <v>8.64563E-2</v>
      </c>
      <c r="V307">
        <v>-9.0242619999999996E-2</v>
      </c>
      <c r="W307">
        <v>0.28175739999999999</v>
      </c>
      <c r="X307">
        <v>0.95523239999999998</v>
      </c>
      <c r="Y307">
        <v>-2.6721249999999998E-2</v>
      </c>
      <c r="Z307">
        <v>1.127989E-3</v>
      </c>
      <c r="AA307">
        <v>0.99964229999999998</v>
      </c>
      <c r="AB307">
        <v>33</v>
      </c>
      <c r="AC307">
        <v>0.79949999999996602</v>
      </c>
      <c r="AD307">
        <v>-7.9188300000000197E-2</v>
      </c>
      <c r="AE307">
        <v>2.67999999999801E-2</v>
      </c>
      <c r="AF307">
        <v>-2.6370488570372299E-2</v>
      </c>
      <c r="AG307">
        <v>-7.9188300000000197E-2</v>
      </c>
      <c r="AH307">
        <v>0.79174710802466097</v>
      </c>
      <c r="AI307">
        <v>95.708422317953307</v>
      </c>
      <c r="AJ307">
        <v>91.907628521239701</v>
      </c>
      <c r="AK307">
        <v>0.79613420513738997</v>
      </c>
      <c r="AL307">
        <v>73.634879296958204</v>
      </c>
      <c r="AM307">
        <v>95.396823757862506</v>
      </c>
      <c r="AN307">
        <v>0.99999995046448997</v>
      </c>
    </row>
    <row r="308" spans="1:40" x14ac:dyDescent="0.25">
      <c r="A308" t="str">
        <f>"20190304164342121"</f>
        <v>20190304164342121</v>
      </c>
      <c r="B308" t="str">
        <f>"1551689022110679"</f>
        <v>1551689022110679</v>
      </c>
      <c r="C308" t="s">
        <v>40</v>
      </c>
      <c r="D308">
        <v>5.1305189999999996</v>
      </c>
      <c r="E308">
        <v>0.5364873</v>
      </c>
      <c r="F308" t="s">
        <v>43</v>
      </c>
      <c r="G308">
        <v>-415.9384</v>
      </c>
      <c r="H308">
        <v>-0.05</v>
      </c>
      <c r="I308">
        <v>367.36680000000001</v>
      </c>
      <c r="J308">
        <v>-429.94729999999998</v>
      </c>
      <c r="K308">
        <v>1.060025</v>
      </c>
      <c r="L308">
        <v>366.98059999999998</v>
      </c>
      <c r="M308">
        <v>0.99998100000000001</v>
      </c>
      <c r="N308">
        <v>-6.168555E-3</v>
      </c>
      <c r="O308">
        <v>2.1392960000000001E-4</v>
      </c>
      <c r="P308">
        <v>0.95686519999999997</v>
      </c>
      <c r="Q308">
        <v>0.27600089999999999</v>
      </c>
      <c r="R308">
        <v>9.073436E-2</v>
      </c>
      <c r="S308">
        <v>3.1983030000000001</v>
      </c>
      <c r="T308">
        <v>-0.25024570000000002</v>
      </c>
      <c r="U308">
        <v>8.7066649999999995E-2</v>
      </c>
      <c r="V308">
        <v>-9.0517360000000005E-2</v>
      </c>
      <c r="W308">
        <v>0.2819025</v>
      </c>
      <c r="X308">
        <v>0.95516369999999895</v>
      </c>
      <c r="Y308">
        <v>-2.6910699999999999E-2</v>
      </c>
      <c r="Z308">
        <v>1.1187510000000001E-3</v>
      </c>
      <c r="AA308">
        <v>0.9996372</v>
      </c>
      <c r="AB308">
        <v>33</v>
      </c>
      <c r="AC308">
        <v>14.008899999999899</v>
      </c>
      <c r="AD308">
        <v>-1.110025</v>
      </c>
      <c r="AE308">
        <v>0.38620000000003002</v>
      </c>
      <c r="AF308">
        <v>-0.38081388316223103</v>
      </c>
      <c r="AG308">
        <v>-1.110025</v>
      </c>
      <c r="AH308">
        <v>13.921641342791199</v>
      </c>
      <c r="AI308">
        <v>94.557066895051804</v>
      </c>
      <c r="AJ308">
        <v>91.566883400202002</v>
      </c>
      <c r="AK308">
        <v>13.9710154388129</v>
      </c>
      <c r="AL308">
        <v>73.626216167780299</v>
      </c>
      <c r="AM308">
        <v>95.413543746041796</v>
      </c>
      <c r="AN308">
        <v>1.00000005288265</v>
      </c>
    </row>
    <row r="309" spans="1:40" x14ac:dyDescent="0.25">
      <c r="A309" t="str">
        <f>"20190304164342140"</f>
        <v>20190304164342140</v>
      </c>
      <c r="B309" t="str">
        <f>"1551689022130197"</f>
        <v>1551689022130197</v>
      </c>
      <c r="C309" t="s">
        <v>40</v>
      </c>
      <c r="D309">
        <v>5.1368</v>
      </c>
      <c r="E309">
        <v>0.53657779999999999</v>
      </c>
      <c r="F309" t="s">
        <v>43</v>
      </c>
      <c r="G309">
        <v>-415.6388</v>
      </c>
      <c r="H309">
        <v>-0.05</v>
      </c>
      <c r="I309">
        <v>367.37380000000002</v>
      </c>
      <c r="J309">
        <v>-429.6549</v>
      </c>
      <c r="K309">
        <v>1.059906</v>
      </c>
      <c r="L309">
        <v>366.98070000000001</v>
      </c>
      <c r="M309">
        <v>0.99998410000000004</v>
      </c>
      <c r="N309">
        <v>-5.6613940000000001E-3</v>
      </c>
      <c r="O309">
        <v>2.1508559999999999E-4</v>
      </c>
      <c r="P309">
        <v>0.9560729</v>
      </c>
      <c r="Q309">
        <v>0.27852259999999901</v>
      </c>
      <c r="R309">
        <v>9.1380400000000001E-2</v>
      </c>
      <c r="S309">
        <v>3.1984249999999999</v>
      </c>
      <c r="T309">
        <v>-0.24812670000000001</v>
      </c>
      <c r="U309">
        <v>8.7890629999999997E-2</v>
      </c>
      <c r="V309">
        <v>-9.116312E-2</v>
      </c>
      <c r="W309">
        <v>0.28393459999999998</v>
      </c>
      <c r="X309">
        <v>0.95450009999999996</v>
      </c>
      <c r="Y309">
        <v>-2.716698E-2</v>
      </c>
      <c r="Z309">
        <v>1.113597E-3</v>
      </c>
      <c r="AA309">
        <v>0.99963029999999997</v>
      </c>
      <c r="AB309">
        <v>34</v>
      </c>
      <c r="AC309">
        <v>14.0160999999999</v>
      </c>
      <c r="AD309">
        <v>-1.1099060000000001</v>
      </c>
      <c r="AE309">
        <v>0.393100000000003</v>
      </c>
      <c r="AF309">
        <v>-0.38765630480533902</v>
      </c>
      <c r="AG309">
        <v>-1.1099060000000001</v>
      </c>
      <c r="AH309">
        <v>13.9289084695457</v>
      </c>
      <c r="AI309">
        <v>94.554153473408206</v>
      </c>
      <c r="AJ309">
        <v>91.594190831105607</v>
      </c>
      <c r="AK309">
        <v>13.978435530933799</v>
      </c>
      <c r="AL309">
        <v>73.504825071863095</v>
      </c>
      <c r="AM309">
        <v>95.455700131521695</v>
      </c>
      <c r="AN309">
        <v>1.00000000621265</v>
      </c>
    </row>
    <row r="310" spans="1:40" x14ac:dyDescent="0.25">
      <c r="A310" t="str">
        <f>"20190304164342161"</f>
        <v>20190304164342161</v>
      </c>
      <c r="B310" t="str">
        <f>"1551689022150693"</f>
        <v>1551689022150693</v>
      </c>
      <c r="C310" t="s">
        <v>40</v>
      </c>
      <c r="D310">
        <v>5.1471970000000002</v>
      </c>
      <c r="E310">
        <v>0.53661890000000001</v>
      </c>
      <c r="F310" t="s">
        <v>43</v>
      </c>
      <c r="G310">
        <v>-414.86959999999999</v>
      </c>
      <c r="H310">
        <v>-0.05</v>
      </c>
      <c r="I310">
        <v>367.39350000000002</v>
      </c>
      <c r="J310">
        <v>-429.33679999999998</v>
      </c>
      <c r="K310">
        <v>1.05996</v>
      </c>
      <c r="L310">
        <v>366.98070000000001</v>
      </c>
      <c r="M310">
        <v>0.99998350000000003</v>
      </c>
      <c r="N310">
        <v>-5.7664359999999998E-3</v>
      </c>
      <c r="O310">
        <v>2.171703E-4</v>
      </c>
      <c r="P310">
        <v>0.95559309999999997</v>
      </c>
      <c r="Q310">
        <v>0.2799605</v>
      </c>
      <c r="R310">
        <v>9.2000929999999995E-2</v>
      </c>
      <c r="S310">
        <v>3.199249</v>
      </c>
      <c r="T310">
        <v>-0.2401626</v>
      </c>
      <c r="U310">
        <v>8.932495E-2</v>
      </c>
      <c r="V310">
        <v>-9.1781660000000001E-2</v>
      </c>
      <c r="W310">
        <v>0.2854699</v>
      </c>
      <c r="X310">
        <v>0.95398269999999996</v>
      </c>
      <c r="Y310">
        <v>-2.760955E-2</v>
      </c>
      <c r="Z310">
        <v>1.0993610000000001E-3</v>
      </c>
      <c r="AA310">
        <v>0.99961820000000001</v>
      </c>
      <c r="AB310">
        <v>34</v>
      </c>
      <c r="AC310">
        <v>14.467199999999901</v>
      </c>
      <c r="AD310">
        <v>-1.1099600000000001</v>
      </c>
      <c r="AE310">
        <v>0.412800000000004</v>
      </c>
      <c r="AF310">
        <v>-0.40726275360038899</v>
      </c>
      <c r="AG310">
        <v>-1.1099600000000001</v>
      </c>
      <c r="AH310">
        <v>14.3826966708429</v>
      </c>
      <c r="AI310">
        <v>94.411195699009994</v>
      </c>
      <c r="AJ310">
        <v>91.621963106836404</v>
      </c>
      <c r="AK310">
        <v>14.4312105409611</v>
      </c>
      <c r="AL310">
        <v>73.413060584505203</v>
      </c>
      <c r="AM310">
        <v>95.495452009386497</v>
      </c>
      <c r="AN310">
        <v>0.99999996440882699</v>
      </c>
    </row>
    <row r="311" spans="1:40" x14ac:dyDescent="0.25">
      <c r="A311" t="str">
        <f>"20190304164342173"</f>
        <v>20190304164342173</v>
      </c>
      <c r="B311" t="str">
        <f>"1551689022160454"</f>
        <v>1551689022160454</v>
      </c>
      <c r="C311" t="s">
        <v>40</v>
      </c>
      <c r="D311">
        <v>5.1416000000000004</v>
      </c>
      <c r="E311">
        <v>0.53663839999999996</v>
      </c>
      <c r="F311" t="s">
        <v>43</v>
      </c>
      <c r="G311">
        <v>-414.24810000000002</v>
      </c>
      <c r="H311">
        <v>-0.05</v>
      </c>
      <c r="I311">
        <v>367.40949999999998</v>
      </c>
      <c r="J311">
        <v>-429.16489999999999</v>
      </c>
      <c r="K311">
        <v>1.0600210000000001</v>
      </c>
      <c r="L311">
        <v>366.98070000000001</v>
      </c>
      <c r="M311">
        <v>0.99998200000000004</v>
      </c>
      <c r="N311">
        <v>-5.9954319999999898E-3</v>
      </c>
      <c r="O311">
        <v>2.1834170000000001E-4</v>
      </c>
      <c r="P311">
        <v>0.95562060000000004</v>
      </c>
      <c r="Q311">
        <v>0.27982210000000002</v>
      </c>
      <c r="R311">
        <v>9.2135900000000007E-2</v>
      </c>
      <c r="S311">
        <v>3.1996150000000001</v>
      </c>
      <c r="T311">
        <v>-0.23537040000000001</v>
      </c>
      <c r="U311">
        <v>9.0942380000000003E-2</v>
      </c>
      <c r="V311">
        <v>-9.191626E-2</v>
      </c>
      <c r="W311">
        <v>0.28555039999999998</v>
      </c>
      <c r="X311">
        <v>0.95394570000000001</v>
      </c>
      <c r="Y311">
        <v>-2.8111569999999999E-2</v>
      </c>
      <c r="Z311">
        <v>1.1020520000000001E-3</v>
      </c>
      <c r="AA311">
        <v>0.99960420000000005</v>
      </c>
      <c r="AB311">
        <v>34</v>
      </c>
      <c r="AC311">
        <v>14.916799999999901</v>
      </c>
      <c r="AD311">
        <v>-1.1100209999999999</v>
      </c>
      <c r="AE311">
        <v>0.42879999999996699</v>
      </c>
      <c r="AF311">
        <v>-0.42320144314064201</v>
      </c>
      <c r="AG311">
        <v>-1.1100209999999999</v>
      </c>
      <c r="AH311">
        <v>14.834813822386</v>
      </c>
      <c r="AI311">
        <v>94.2774720446657</v>
      </c>
      <c r="AJ311">
        <v>91.634067154961798</v>
      </c>
      <c r="AK311">
        <v>14.882303155989399</v>
      </c>
      <c r="AL311">
        <v>73.408248801037701</v>
      </c>
      <c r="AM311">
        <v>95.503673925625705</v>
      </c>
      <c r="AN311">
        <v>1.0000000141705101</v>
      </c>
    </row>
    <row r="312" spans="1:40" x14ac:dyDescent="0.25">
      <c r="A312" t="str">
        <f>"20190304164342185"</f>
        <v>20190304164342185</v>
      </c>
      <c r="B312" t="str">
        <f>"1551689022179973"</f>
        <v>1551689022179973</v>
      </c>
      <c r="C312" t="s">
        <v>40</v>
      </c>
      <c r="D312">
        <v>5.1568769999999997</v>
      </c>
      <c r="E312">
        <v>0.5367016</v>
      </c>
      <c r="F312" t="s">
        <v>43</v>
      </c>
      <c r="G312">
        <v>-414.11099999999999</v>
      </c>
      <c r="H312">
        <v>-0.05</v>
      </c>
      <c r="I312">
        <v>367.40879999999999</v>
      </c>
      <c r="J312">
        <v>-428.98430000000002</v>
      </c>
      <c r="K312">
        <v>1.0600989999999999</v>
      </c>
      <c r="L312">
        <v>366.98079999999999</v>
      </c>
      <c r="M312">
        <v>0.99997990000000003</v>
      </c>
      <c r="N312">
        <v>-6.3392169999999899E-3</v>
      </c>
      <c r="O312">
        <v>2.201417E-4</v>
      </c>
      <c r="P312">
        <v>0.95578689999999999</v>
      </c>
      <c r="Q312">
        <v>0.27905930000000001</v>
      </c>
      <c r="R312">
        <v>9.2721880000000007E-2</v>
      </c>
      <c r="S312">
        <v>3.1996150000000001</v>
      </c>
      <c r="T312">
        <v>-0.23592879999999999</v>
      </c>
      <c r="U312">
        <v>9.0972899999999995E-2</v>
      </c>
      <c r="V312">
        <v>-9.2500520000000003E-2</v>
      </c>
      <c r="W312">
        <v>0.28511629999999999</v>
      </c>
      <c r="X312">
        <v>0.95401910000000001</v>
      </c>
      <c r="Y312">
        <v>-2.8118549999999999E-2</v>
      </c>
      <c r="Z312">
        <v>1.109531E-3</v>
      </c>
      <c r="AA312">
        <v>0.99960400000000005</v>
      </c>
      <c r="AB312">
        <v>34</v>
      </c>
      <c r="AC312">
        <v>14.8733</v>
      </c>
      <c r="AD312">
        <v>-1.1100989999999999</v>
      </c>
      <c r="AE312">
        <v>0.42799999999999699</v>
      </c>
      <c r="AF312">
        <v>-0.42237471983761898</v>
      </c>
      <c r="AG312">
        <v>-1.1100989999999999</v>
      </c>
      <c r="AH312">
        <v>14.7910656414589</v>
      </c>
      <c r="AI312">
        <v>94.290373407253597</v>
      </c>
      <c r="AJ312">
        <v>91.635697831883803</v>
      </c>
      <c r="AK312">
        <v>14.838677265973001</v>
      </c>
      <c r="AL312">
        <v>73.434200280303003</v>
      </c>
      <c r="AM312">
        <v>95.538017384750603</v>
      </c>
      <c r="AN312">
        <v>1.00000004694538</v>
      </c>
    </row>
    <row r="313" spans="1:40" x14ac:dyDescent="0.25">
      <c r="A313" t="str">
        <f>"20190304164342199"</f>
        <v>20190304164342199</v>
      </c>
      <c r="B313" t="str">
        <f>"1551689022190710"</f>
        <v>1551689022190710</v>
      </c>
      <c r="C313" t="s">
        <v>40</v>
      </c>
      <c r="D313">
        <v>5.1575980000000001</v>
      </c>
      <c r="E313">
        <v>0.53672109999999995</v>
      </c>
      <c r="F313" t="s">
        <v>43</v>
      </c>
      <c r="G313">
        <v>-414.12299999999999</v>
      </c>
      <c r="H313">
        <v>-0.05</v>
      </c>
      <c r="I313">
        <v>367.40690000000001</v>
      </c>
      <c r="J313">
        <v>-428.76690000000002</v>
      </c>
      <c r="K313">
        <v>1.0601879999999999</v>
      </c>
      <c r="L313">
        <v>366.98079999999999</v>
      </c>
      <c r="M313">
        <v>0.999977</v>
      </c>
      <c r="N313">
        <v>-6.7755469999999998E-3</v>
      </c>
      <c r="O313">
        <v>2.2647330000000001E-4</v>
      </c>
      <c r="P313">
        <v>0.95594489999999999</v>
      </c>
      <c r="Q313">
        <v>0.27846569999999998</v>
      </c>
      <c r="R313">
        <v>9.2876E-2</v>
      </c>
      <c r="S313">
        <v>3.1995849999999999</v>
      </c>
      <c r="T313">
        <v>-0.23899999999999999</v>
      </c>
      <c r="U313">
        <v>9.1735839999999999E-2</v>
      </c>
      <c r="V313">
        <v>-9.2650700000000002E-2</v>
      </c>
      <c r="W313">
        <v>0.28493980000000002</v>
      </c>
      <c r="X313">
        <v>0.95405720000000005</v>
      </c>
      <c r="Y313">
        <v>-2.834743E-2</v>
      </c>
      <c r="Z313">
        <v>1.137891E-3</v>
      </c>
      <c r="AA313">
        <v>0.99959750000000003</v>
      </c>
      <c r="AB313">
        <v>34</v>
      </c>
      <c r="AC313">
        <v>14.643899999999901</v>
      </c>
      <c r="AD313">
        <v>-1.110188</v>
      </c>
      <c r="AE313">
        <v>0.42610000000001902</v>
      </c>
      <c r="AF313">
        <v>-0.42036942793665</v>
      </c>
      <c r="AG313">
        <v>-1.110188</v>
      </c>
      <c r="AH313">
        <v>14.5603810211124</v>
      </c>
      <c r="AI313">
        <v>94.358396130861493</v>
      </c>
      <c r="AJ313">
        <v>91.653713970092497</v>
      </c>
      <c r="AK313">
        <v>14.6086934162935</v>
      </c>
      <c r="AL313">
        <v>73.4447496749045</v>
      </c>
      <c r="AM313">
        <v>95.546732513665305</v>
      </c>
      <c r="AN313">
        <v>0.99999999135318496</v>
      </c>
    </row>
    <row r="314" spans="1:40" x14ac:dyDescent="0.25">
      <c r="A314" t="str">
        <f>"20190304164342210"</f>
        <v>20190304164342210</v>
      </c>
      <c r="B314" t="str">
        <f>"1551689022200471"</f>
        <v>1551689022200471</v>
      </c>
      <c r="C314" t="s">
        <v>40</v>
      </c>
      <c r="D314">
        <v>5.1554630000000001</v>
      </c>
      <c r="E314">
        <v>0.53672679999999995</v>
      </c>
      <c r="F314" t="s">
        <v>43</v>
      </c>
      <c r="G314">
        <v>-414.0471</v>
      </c>
      <c r="H314">
        <v>-0.05</v>
      </c>
      <c r="I314">
        <v>367.40260000000001</v>
      </c>
      <c r="J314">
        <v>-428.60070000000002</v>
      </c>
      <c r="K314">
        <v>1.0602560000000001</v>
      </c>
      <c r="L314">
        <v>366.98090000000002</v>
      </c>
      <c r="M314">
        <v>0.99997469999999999</v>
      </c>
      <c r="N314">
        <v>-7.1232099999999996E-3</v>
      </c>
      <c r="O314">
        <v>2.359052E-4</v>
      </c>
      <c r="P314">
        <v>0.95620039999999995</v>
      </c>
      <c r="Q314">
        <v>0.27756389999999997</v>
      </c>
      <c r="R314">
        <v>9.2948119999999995E-2</v>
      </c>
      <c r="S314">
        <v>3.1996769999999999</v>
      </c>
      <c r="T314">
        <v>-0.24132500000000001</v>
      </c>
      <c r="U314">
        <v>9.1674800000000001E-2</v>
      </c>
      <c r="V314">
        <v>-9.2716170000000001E-2</v>
      </c>
      <c r="W314">
        <v>0.28437020000000002</v>
      </c>
      <c r="X314">
        <v>0.95422079999999998</v>
      </c>
      <c r="Y314">
        <v>-2.8316279999999999E-2</v>
      </c>
      <c r="Z314">
        <v>1.151043E-3</v>
      </c>
      <c r="AA314">
        <v>0.99959830000000005</v>
      </c>
      <c r="AB314">
        <v>34</v>
      </c>
      <c r="AC314">
        <v>14.553599999999999</v>
      </c>
      <c r="AD314">
        <v>-1.1102559999999999</v>
      </c>
      <c r="AE314">
        <v>0.42169999999998697</v>
      </c>
      <c r="AF314">
        <v>-0.41584852145510098</v>
      </c>
      <c r="AG314">
        <v>-1.1102559999999999</v>
      </c>
      <c r="AH314">
        <v>14.4695602916397</v>
      </c>
      <c r="AI314">
        <v>94.3859300478656</v>
      </c>
      <c r="AJ314">
        <v>91.646201272222996</v>
      </c>
      <c r="AK314">
        <v>14.518049917662101</v>
      </c>
      <c r="AL314">
        <v>73.478794190134593</v>
      </c>
      <c r="AM314">
        <v>95.549681839809395</v>
      </c>
      <c r="AN314">
        <v>1.00000001699007</v>
      </c>
    </row>
    <row r="315" spans="1:40" x14ac:dyDescent="0.25">
      <c r="A315" t="str">
        <f>"20190304164342230"</f>
        <v>20190304164342230</v>
      </c>
      <c r="B315" t="str">
        <f>"1551689022219990"</f>
        <v>1551689022219990</v>
      </c>
      <c r="C315" t="s">
        <v>40</v>
      </c>
      <c r="D315">
        <v>5.1594249999999997</v>
      </c>
      <c r="E315">
        <v>0.53670719999999905</v>
      </c>
      <c r="F315" t="s">
        <v>43</v>
      </c>
      <c r="G315">
        <v>-414.08</v>
      </c>
      <c r="H315">
        <v>-0.05</v>
      </c>
      <c r="I315">
        <v>367.39749999999998</v>
      </c>
      <c r="J315">
        <v>-428.30020000000002</v>
      </c>
      <c r="K315">
        <v>1.060354</v>
      </c>
      <c r="L315">
        <v>366.98099999999999</v>
      </c>
      <c r="M315">
        <v>0.99997000000000003</v>
      </c>
      <c r="N315">
        <v>-7.755184E-3</v>
      </c>
      <c r="O315">
        <v>2.6991610000000002E-4</v>
      </c>
      <c r="P315">
        <v>0.95647369999999998</v>
      </c>
      <c r="Q315">
        <v>0.27661920000000001</v>
      </c>
      <c r="R315">
        <v>9.2953030000000006E-2</v>
      </c>
      <c r="S315">
        <v>3.1995239999999998</v>
      </c>
      <c r="T315">
        <v>-0.2446353</v>
      </c>
      <c r="U315">
        <v>9.1796879999999997E-2</v>
      </c>
      <c r="V315">
        <v>-9.2698249999999996E-2</v>
      </c>
      <c r="W315">
        <v>0.2840278</v>
      </c>
      <c r="X315">
        <v>0.95432450000000002</v>
      </c>
      <c r="Y315">
        <v>-2.8318820000000001E-2</v>
      </c>
      <c r="Z315">
        <v>1.172324E-3</v>
      </c>
      <c r="AA315">
        <v>0.99959830000000005</v>
      </c>
      <c r="AB315">
        <v>34</v>
      </c>
      <c r="AC315">
        <v>14.2202</v>
      </c>
      <c r="AD315">
        <v>-1.1103540000000001</v>
      </c>
      <c r="AE315">
        <v>0.41649999999998399</v>
      </c>
      <c r="AF315">
        <v>-0.41016301539555999</v>
      </c>
      <c r="AG315">
        <v>-1.1103540000000001</v>
      </c>
      <c r="AH315">
        <v>14.1342104167695</v>
      </c>
      <c r="AI315">
        <v>94.489929173616503</v>
      </c>
      <c r="AJ315">
        <v>91.662209321724504</v>
      </c>
      <c r="AK315">
        <v>14.1836886531689</v>
      </c>
      <c r="AL315">
        <v>73.499255780896505</v>
      </c>
      <c r="AM315">
        <v>95.548016733879805</v>
      </c>
      <c r="AN315">
        <v>1.0000000040130701</v>
      </c>
    </row>
    <row r="316" spans="1:40" x14ac:dyDescent="0.25">
      <c r="A316" t="str">
        <f>"20190304164342252"</f>
        <v>20190304164342252</v>
      </c>
      <c r="B316" t="str">
        <f>"1551689022240486"</f>
        <v>1551689022240486</v>
      </c>
      <c r="C316" t="s">
        <v>40</v>
      </c>
      <c r="D316">
        <v>5.1544759999999998</v>
      </c>
      <c r="E316">
        <v>0.53670589999999996</v>
      </c>
      <c r="F316" t="s">
        <v>43</v>
      </c>
      <c r="G316">
        <v>-413.98860000000002</v>
      </c>
      <c r="H316">
        <v>-0.05</v>
      </c>
      <c r="I316">
        <v>367.3852</v>
      </c>
      <c r="J316">
        <v>-427.97899999999998</v>
      </c>
      <c r="K316">
        <v>1.0604420000000001</v>
      </c>
      <c r="L316">
        <v>366.98110000000003</v>
      </c>
      <c r="M316">
        <v>0.99996450000000003</v>
      </c>
      <c r="N316">
        <v>-8.4276419999999904E-3</v>
      </c>
      <c r="O316">
        <v>3.345515E-4</v>
      </c>
      <c r="P316">
        <v>0.95663399999999998</v>
      </c>
      <c r="Q316">
        <v>0.27613720000000003</v>
      </c>
      <c r="R316">
        <v>9.2734330000000004E-2</v>
      </c>
      <c r="S316">
        <v>3.1995239999999998</v>
      </c>
      <c r="T316">
        <v>-0.2482316</v>
      </c>
      <c r="U316">
        <v>9.036255E-2</v>
      </c>
      <c r="V316">
        <v>-9.2433950000000001E-2</v>
      </c>
      <c r="W316">
        <v>0.28418320000000002</v>
      </c>
      <c r="X316">
        <v>0.95430389999999998</v>
      </c>
      <c r="Y316">
        <v>-2.780502E-2</v>
      </c>
      <c r="Z316">
        <v>1.1710689999999901E-3</v>
      </c>
      <c r="AA316">
        <v>0.99961270000000002</v>
      </c>
      <c r="AB316">
        <v>34</v>
      </c>
      <c r="AC316">
        <v>13.990399999999999</v>
      </c>
      <c r="AD316">
        <v>-1.1104419999999999</v>
      </c>
      <c r="AE316">
        <v>0.40409999999997098</v>
      </c>
      <c r="AF316">
        <v>-0.396920837473629</v>
      </c>
      <c r="AG316">
        <v>-1.1104419999999999</v>
      </c>
      <c r="AH316">
        <v>13.903020224799</v>
      </c>
      <c r="AI316">
        <v>94.564699927941405</v>
      </c>
      <c r="AJ316">
        <v>91.635307492443502</v>
      </c>
      <c r="AK316">
        <v>13.952942304680899</v>
      </c>
      <c r="AL316">
        <v>73.489969790991907</v>
      </c>
      <c r="AM316">
        <v>95.532415259759304</v>
      </c>
      <c r="AN316">
        <v>1.00000002991502</v>
      </c>
    </row>
    <row r="317" spans="1:40" x14ac:dyDescent="0.25">
      <c r="A317" t="str">
        <f>"20190304164342273"</f>
        <v>20190304164342273</v>
      </c>
      <c r="B317" t="str">
        <f>"1551689022260005"</f>
        <v>1551689022260005</v>
      </c>
      <c r="C317" t="s">
        <v>40</v>
      </c>
      <c r="D317">
        <v>5.1738720000000002</v>
      </c>
      <c r="E317">
        <v>0.53672399999999998</v>
      </c>
      <c r="F317" t="s">
        <v>43</v>
      </c>
      <c r="G317">
        <v>-413.78750000000002</v>
      </c>
      <c r="H317">
        <v>-0.05</v>
      </c>
      <c r="I317">
        <v>367.37450000000001</v>
      </c>
      <c r="J317">
        <v>-427.6574</v>
      </c>
      <c r="K317">
        <v>1.0605340000000001</v>
      </c>
      <c r="L317">
        <v>366.98129999999998</v>
      </c>
      <c r="M317">
        <v>0.99995880000000004</v>
      </c>
      <c r="N317">
        <v>-9.0830119999999997E-3</v>
      </c>
      <c r="O317">
        <v>4.3515509999999998E-4</v>
      </c>
      <c r="P317">
        <v>0.95659079999999996</v>
      </c>
      <c r="Q317">
        <v>0.27657199999999998</v>
      </c>
      <c r="R317">
        <v>9.188122E-2</v>
      </c>
      <c r="S317">
        <v>3.1997070000000001</v>
      </c>
      <c r="T317">
        <v>-0.25036799999999998</v>
      </c>
      <c r="U317">
        <v>8.8684079999999998E-2</v>
      </c>
      <c r="V317">
        <v>-9.1506240000000003E-2</v>
      </c>
      <c r="W317">
        <v>0.28523680000000001</v>
      </c>
      <c r="X317">
        <v>0.95407889999999995</v>
      </c>
      <c r="Y317">
        <v>-2.7179020000000002E-2</v>
      </c>
      <c r="Z317">
        <v>1.15514E-3</v>
      </c>
      <c r="AA317">
        <v>0.99962989999999996</v>
      </c>
      <c r="AB317">
        <v>34</v>
      </c>
      <c r="AC317">
        <v>13.8698999999999</v>
      </c>
      <c r="AD317">
        <v>-1.1105339999999999</v>
      </c>
      <c r="AE317">
        <v>0.39320000000003502</v>
      </c>
      <c r="AF317">
        <v>-0.38469987602607603</v>
      </c>
      <c r="AG317">
        <v>-1.1105339999999999</v>
      </c>
      <c r="AH317">
        <v>13.7817874810248</v>
      </c>
      <c r="AI317">
        <v>94.605143868765893</v>
      </c>
      <c r="AJ317">
        <v>91.598918662190201</v>
      </c>
      <c r="AK317">
        <v>13.831809206748799</v>
      </c>
      <c r="AL317">
        <v>73.426995980228</v>
      </c>
      <c r="AM317">
        <v>95.478512568982197</v>
      </c>
      <c r="AN317">
        <v>0.99999998572919302</v>
      </c>
    </row>
    <row r="318" spans="1:40" x14ac:dyDescent="0.25">
      <c r="A318" t="str">
        <f>"20190304164342286"</f>
        <v>20190304164342286</v>
      </c>
      <c r="B318" t="str">
        <f>"1551689022280502"</f>
        <v>1551689022280502</v>
      </c>
      <c r="C318" t="s">
        <v>40</v>
      </c>
      <c r="D318">
        <v>5.1646539999999996</v>
      </c>
      <c r="E318">
        <v>0.53674730000000004</v>
      </c>
      <c r="F318" t="s">
        <v>43</v>
      </c>
      <c r="G318">
        <v>-413.42529999999999</v>
      </c>
      <c r="H318">
        <v>-0.05</v>
      </c>
      <c r="I318">
        <v>367.36189999999999</v>
      </c>
      <c r="J318">
        <v>-427.47269999999997</v>
      </c>
      <c r="K318">
        <v>1.060573</v>
      </c>
      <c r="L318">
        <v>366.98149999999998</v>
      </c>
      <c r="M318">
        <v>0.99995540000000005</v>
      </c>
      <c r="N318">
        <v>-9.4390110000000006E-3</v>
      </c>
      <c r="O318">
        <v>5.1451399999999999E-4</v>
      </c>
      <c r="P318">
        <v>0.95659740000000004</v>
      </c>
      <c r="Q318">
        <v>0.27658650000000001</v>
      </c>
      <c r="R318">
        <v>9.1768790000000003E-2</v>
      </c>
      <c r="S318">
        <v>3.2000730000000002</v>
      </c>
      <c r="T318">
        <v>-0.24970339999999999</v>
      </c>
      <c r="U318">
        <v>8.5571289999999994E-2</v>
      </c>
      <c r="V318">
        <v>-9.1331190000000007E-2</v>
      </c>
      <c r="W318">
        <v>0.28558650000000002</v>
      </c>
      <c r="X318">
        <v>0.95399109999999998</v>
      </c>
      <c r="Y318">
        <v>-2.6128709999999999E-2</v>
      </c>
      <c r="Z318">
        <v>1.106009E-3</v>
      </c>
      <c r="AA318">
        <v>0.99965800000000005</v>
      </c>
      <c r="AB318">
        <v>34</v>
      </c>
      <c r="AC318">
        <v>14.0473999999999</v>
      </c>
      <c r="AD318">
        <v>-1.110573</v>
      </c>
      <c r="AE318">
        <v>0.38040000000000801</v>
      </c>
      <c r="AF318">
        <v>-0.37085577517685198</v>
      </c>
      <c r="AG318">
        <v>-1.110573</v>
      </c>
      <c r="AH318">
        <v>13.9604008234025</v>
      </c>
      <c r="AI318">
        <v>94.546798171917104</v>
      </c>
      <c r="AJ318">
        <v>91.521695173931207</v>
      </c>
      <c r="AK318">
        <v>14.009414603914299</v>
      </c>
      <c r="AL318">
        <v>73.406090770374604</v>
      </c>
      <c r="AM318">
        <v>95.468596044244904</v>
      </c>
      <c r="AN318">
        <v>1.00000002706413</v>
      </c>
    </row>
    <row r="319" spans="1:40" x14ac:dyDescent="0.25">
      <c r="A319" t="str">
        <f>"20190304164342299"</f>
        <v>20190304164342299</v>
      </c>
      <c r="B319" t="str">
        <f>"1551689022290262"</f>
        <v>1551689022290262</v>
      </c>
      <c r="C319" t="s">
        <v>40</v>
      </c>
      <c r="D319">
        <v>5.1631559999999999</v>
      </c>
      <c r="E319">
        <v>0.53675169999999905</v>
      </c>
      <c r="F319" t="s">
        <v>43</v>
      </c>
      <c r="G319">
        <v>-413.28750000000002</v>
      </c>
      <c r="H319">
        <v>-0.05</v>
      </c>
      <c r="I319">
        <v>367.3571</v>
      </c>
      <c r="J319">
        <v>-427.27510000000001</v>
      </c>
      <c r="K319">
        <v>1.0606089999999999</v>
      </c>
      <c r="L319">
        <v>366.98169999999999</v>
      </c>
      <c r="M319">
        <v>0.9999519</v>
      </c>
      <c r="N319">
        <v>-9.8083609999999998E-3</v>
      </c>
      <c r="O319">
        <v>6.0807669999999995E-4</v>
      </c>
      <c r="P319">
        <v>0.95662469999999999</v>
      </c>
      <c r="Q319">
        <v>0.27643430000000002</v>
      </c>
      <c r="R319">
        <v>9.1942679999999999E-2</v>
      </c>
      <c r="S319">
        <v>3.2004389999999998</v>
      </c>
      <c r="T319">
        <v>-0.25056489999999998</v>
      </c>
      <c r="U319">
        <v>8.4747310000000006E-2</v>
      </c>
      <c r="V319">
        <v>-9.1429759999999999E-2</v>
      </c>
      <c r="W319">
        <v>0.28578249999999999</v>
      </c>
      <c r="X319">
        <v>0.95392290000000002</v>
      </c>
      <c r="Y319">
        <v>-2.577542E-2</v>
      </c>
      <c r="Z319">
        <v>1.0923510000000001E-3</v>
      </c>
      <c r="AA319">
        <v>0.99966719999999998</v>
      </c>
      <c r="AB319">
        <v>33</v>
      </c>
      <c r="AC319">
        <v>13.987599999999899</v>
      </c>
      <c r="AD319">
        <v>-1.110609</v>
      </c>
      <c r="AE319">
        <v>0.375400000000013</v>
      </c>
      <c r="AF319">
        <v>-0.36459711893454499</v>
      </c>
      <c r="AG319">
        <v>-1.110609</v>
      </c>
      <c r="AH319">
        <v>13.9002575589043</v>
      </c>
      <c r="AI319">
        <v>94.566575732384294</v>
      </c>
      <c r="AJ319">
        <v>91.502496436868995</v>
      </c>
      <c r="AK319">
        <v>13.949320543090799</v>
      </c>
      <c r="AL319">
        <v>73.394371424059699</v>
      </c>
      <c r="AM319">
        <v>95.474851253487401</v>
      </c>
      <c r="AN319">
        <v>0.99999996873215802</v>
      </c>
    </row>
    <row r="320" spans="1:40" x14ac:dyDescent="0.25">
      <c r="A320" t="str">
        <f>"20190304164342310"</f>
        <v>20190304164342310</v>
      </c>
      <c r="B320" t="str">
        <f>"1551689022300021"</f>
        <v>1551689022300021</v>
      </c>
      <c r="C320" t="s">
        <v>40</v>
      </c>
      <c r="D320">
        <v>5.1901659999999996</v>
      </c>
      <c r="E320">
        <v>0.53674270000000002</v>
      </c>
      <c r="F320" t="s">
        <v>43</v>
      </c>
      <c r="G320">
        <v>-413.15390000000002</v>
      </c>
      <c r="H320">
        <v>-0.05</v>
      </c>
      <c r="I320">
        <v>367.35449999999997</v>
      </c>
      <c r="J320">
        <v>-427.09589999999997</v>
      </c>
      <c r="K320">
        <v>1.0606420000000001</v>
      </c>
      <c r="L320">
        <v>366.98180000000002</v>
      </c>
      <c r="M320">
        <v>0.99994859999999997</v>
      </c>
      <c r="N320">
        <v>-1.01276E-2</v>
      </c>
      <c r="O320">
        <v>7.0460429999999897E-4</v>
      </c>
      <c r="P320">
        <v>0.95668129999999996</v>
      </c>
      <c r="Q320">
        <v>0.27627479999999999</v>
      </c>
      <c r="R320">
        <v>9.1832819999999996E-2</v>
      </c>
      <c r="S320">
        <v>3.200653</v>
      </c>
      <c r="T320">
        <v>-0.25172650000000002</v>
      </c>
      <c r="U320">
        <v>8.4503170000000002E-2</v>
      </c>
      <c r="V320">
        <v>-9.1239710000000002E-2</v>
      </c>
      <c r="W320">
        <v>0.28592410000000001</v>
      </c>
      <c r="X320">
        <v>0.95389869999999999</v>
      </c>
      <c r="Y320">
        <v>-2.5600700000000001E-2</v>
      </c>
      <c r="Z320">
        <v>1.0866949999999999E-3</v>
      </c>
      <c r="AA320">
        <v>0.99967159999999999</v>
      </c>
      <c r="AB320">
        <v>33</v>
      </c>
      <c r="AC320">
        <v>13.941999999999901</v>
      </c>
      <c r="AD320">
        <v>-1.1106419999999999</v>
      </c>
      <c r="AE320">
        <v>0.37269999999995201</v>
      </c>
      <c r="AF320">
        <v>-0.36058915781626899</v>
      </c>
      <c r="AG320">
        <v>-1.1106419999999999</v>
      </c>
      <c r="AH320">
        <v>13.8544023172433</v>
      </c>
      <c r="AI320">
        <v>94.581785597915299</v>
      </c>
      <c r="AJ320">
        <v>91.490903264748994</v>
      </c>
      <c r="AK320">
        <v>13.9035252278311</v>
      </c>
      <c r="AL320">
        <v>73.385905650704402</v>
      </c>
      <c r="AM320">
        <v>95.463677683243006</v>
      </c>
      <c r="AN320">
        <v>1.00000000275169</v>
      </c>
    </row>
    <row r="321" spans="1:40" x14ac:dyDescent="0.25">
      <c r="A321" t="str">
        <f>"20190304164342330"</f>
        <v>20190304164342330</v>
      </c>
      <c r="B321" t="str">
        <f>"1551689022320517"</f>
        <v>1551689022320517</v>
      </c>
      <c r="C321" t="s">
        <v>40</v>
      </c>
      <c r="D321">
        <v>5.1859729999999997</v>
      </c>
      <c r="E321">
        <v>0.53672030000000004</v>
      </c>
      <c r="F321" t="s">
        <v>43</v>
      </c>
      <c r="G321">
        <v>-413.02980000000002</v>
      </c>
      <c r="H321">
        <v>-0.05</v>
      </c>
      <c r="I321">
        <v>367.35230000000001</v>
      </c>
      <c r="J321">
        <v>-426.81040000000002</v>
      </c>
      <c r="K321">
        <v>1.0606709999999999</v>
      </c>
      <c r="L321">
        <v>366.98219999999998</v>
      </c>
      <c r="M321">
        <v>0.99994340000000004</v>
      </c>
      <c r="N321">
        <v>-1.059978E-2</v>
      </c>
      <c r="O321">
        <v>8.7847360000000005E-4</v>
      </c>
      <c r="P321">
        <v>0.95642289999999996</v>
      </c>
      <c r="Q321">
        <v>0.27710309999999999</v>
      </c>
      <c r="R321">
        <v>9.2027460000000005E-2</v>
      </c>
      <c r="S321">
        <v>3.2007140000000001</v>
      </c>
      <c r="T321">
        <v>-0.25272359999999999</v>
      </c>
      <c r="U321">
        <v>8.4289550000000005E-2</v>
      </c>
      <c r="V321">
        <v>-9.1285350000000001E-2</v>
      </c>
      <c r="W321">
        <v>0.28719509999999998</v>
      </c>
      <c r="X321">
        <v>0.95351240000000004</v>
      </c>
      <c r="Y321">
        <v>-2.535979E-2</v>
      </c>
      <c r="Z321">
        <v>1.0741800000000001E-3</v>
      </c>
      <c r="AA321">
        <v>0.99967779999999995</v>
      </c>
      <c r="AB321">
        <v>33</v>
      </c>
      <c r="AC321">
        <v>13.7805999999999</v>
      </c>
      <c r="AD321">
        <v>-1.110671</v>
      </c>
      <c r="AE321">
        <v>0.37010000000003601</v>
      </c>
      <c r="AF321">
        <v>-0.35568448288565602</v>
      </c>
      <c r="AG321">
        <v>-1.110671</v>
      </c>
      <c r="AH321">
        <v>13.6920427543921</v>
      </c>
      <c r="AI321">
        <v>94.6360072172956</v>
      </c>
      <c r="AJ321">
        <v>91.488064109181195</v>
      </c>
      <c r="AK321">
        <v>13.7416205852769</v>
      </c>
      <c r="AL321">
        <v>73.309894421941493</v>
      </c>
      <c r="AM321">
        <v>95.468595375693695</v>
      </c>
      <c r="AN321">
        <v>0.99999996877119501</v>
      </c>
    </row>
    <row r="322" spans="1:40" x14ac:dyDescent="0.25">
      <c r="A322" t="str">
        <f>"20190304164342342"</f>
        <v>20190304164342342</v>
      </c>
      <c r="B322" t="str">
        <f>"1551689022330278"</f>
        <v>1551689022330278</v>
      </c>
      <c r="C322" t="s">
        <v>40</v>
      </c>
      <c r="D322">
        <v>5.1884059999999996</v>
      </c>
      <c r="E322">
        <v>0.53672149999999996</v>
      </c>
      <c r="F322" t="s">
        <v>43</v>
      </c>
      <c r="G322">
        <v>-412.65929999999997</v>
      </c>
      <c r="H322">
        <v>-0.05</v>
      </c>
      <c r="I322">
        <v>367.35939999999999</v>
      </c>
      <c r="J322">
        <v>-426.62240000000003</v>
      </c>
      <c r="K322">
        <v>1.0606880000000001</v>
      </c>
      <c r="L322">
        <v>366.98250000000002</v>
      </c>
      <c r="M322">
        <v>0.9999403</v>
      </c>
      <c r="N322">
        <v>-1.0886420000000001E-2</v>
      </c>
      <c r="O322">
        <v>1.0038569999999999E-3</v>
      </c>
      <c r="P322">
        <v>0.95636659999999996</v>
      </c>
      <c r="Q322">
        <v>0.27715299999999998</v>
      </c>
      <c r="R322">
        <v>9.2460840000000002E-2</v>
      </c>
      <c r="S322">
        <v>3.2012939999999999</v>
      </c>
      <c r="T322">
        <v>-0.2512585</v>
      </c>
      <c r="U322">
        <v>8.5327150000000004E-2</v>
      </c>
      <c r="V322">
        <v>-9.1608079999999995E-2</v>
      </c>
      <c r="W322">
        <v>0.28751480000000001</v>
      </c>
      <c r="X322">
        <v>0.95338509999999999</v>
      </c>
      <c r="Y322">
        <v>-2.555375E-2</v>
      </c>
      <c r="Z322">
        <v>1.072721E-3</v>
      </c>
      <c r="AA322">
        <v>0.99967289999999998</v>
      </c>
      <c r="AB322">
        <v>33</v>
      </c>
      <c r="AC322">
        <v>13.963100000000001</v>
      </c>
      <c r="AD322">
        <v>-1.1106879999999999</v>
      </c>
      <c r="AE322">
        <v>0.37689999999997698</v>
      </c>
      <c r="AF322">
        <v>-0.36060203781966799</v>
      </c>
      <c r="AG322">
        <v>-1.1106879999999999</v>
      </c>
      <c r="AH322">
        <v>13.875738887203999</v>
      </c>
      <c r="AI322">
        <v>94.574963465096403</v>
      </c>
      <c r="AJ322">
        <v>91.4886648999382</v>
      </c>
      <c r="AK322">
        <v>13.924790530880101</v>
      </c>
      <c r="AL322">
        <v>73.290770490771607</v>
      </c>
      <c r="AM322">
        <v>95.488539495303797</v>
      </c>
      <c r="AN322">
        <v>0.99999997472116797</v>
      </c>
    </row>
    <row r="323" spans="1:40" x14ac:dyDescent="0.25">
      <c r="A323" t="str">
        <f>"20190304164342355"</f>
        <v>20190304164342355</v>
      </c>
      <c r="B323" t="str">
        <f>"1551689022350774"</f>
        <v>1551689022350774</v>
      </c>
      <c r="C323" t="s">
        <v>40</v>
      </c>
      <c r="D323">
        <v>5.1549440000000004</v>
      </c>
      <c r="E323">
        <v>0.53664080000000003</v>
      </c>
      <c r="F323" t="s">
        <v>43</v>
      </c>
      <c r="G323">
        <v>-412.50830000000002</v>
      </c>
      <c r="H323">
        <v>-0.05</v>
      </c>
      <c r="I323">
        <v>367.3664</v>
      </c>
      <c r="J323">
        <v>-426.43130000000002</v>
      </c>
      <c r="K323">
        <v>1.0606979999999999</v>
      </c>
      <c r="L323">
        <v>366.9828</v>
      </c>
      <c r="M323">
        <v>0.99993710000000002</v>
      </c>
      <c r="N323">
        <v>-1.1165120000000001E-2</v>
      </c>
      <c r="O323">
        <v>1.136143E-3</v>
      </c>
      <c r="P323">
        <v>0.95624640000000005</v>
      </c>
      <c r="Q323">
        <v>0.27746670000000001</v>
      </c>
      <c r="R323">
        <v>9.2764150000000004E-2</v>
      </c>
      <c r="S323">
        <v>3.2014770000000001</v>
      </c>
      <c r="T323">
        <v>-0.25193719999999997</v>
      </c>
      <c r="U323">
        <v>8.7066649999999995E-2</v>
      </c>
      <c r="V323">
        <v>-9.1792869999999999E-2</v>
      </c>
      <c r="W323">
        <v>0.28809069999999998</v>
      </c>
      <c r="X323">
        <v>0.95319350000000003</v>
      </c>
      <c r="Y323">
        <v>-2.596087E-2</v>
      </c>
      <c r="Z323">
        <v>1.0883469999999999E-3</v>
      </c>
      <c r="AA323">
        <v>0.9996623</v>
      </c>
      <c r="AB323">
        <v>33</v>
      </c>
      <c r="AC323">
        <v>13.923</v>
      </c>
      <c r="AD323">
        <v>-1.110698</v>
      </c>
      <c r="AE323">
        <v>0.383600000000001</v>
      </c>
      <c r="AF323">
        <v>-0.36545626951867299</v>
      </c>
      <c r="AG323">
        <v>-1.110698</v>
      </c>
      <c r="AH323">
        <v>13.8354456517058</v>
      </c>
      <c r="AI323">
        <v>94.588220522950607</v>
      </c>
      <c r="AJ323">
        <v>91.513087072897605</v>
      </c>
      <c r="AK323">
        <v>13.884767362597</v>
      </c>
      <c r="AL323">
        <v>73.256316774985095</v>
      </c>
      <c r="AM323">
        <v>95.500641735175194</v>
      </c>
      <c r="AN323">
        <v>1.00000001542578</v>
      </c>
    </row>
    <row r="324" spans="1:40" x14ac:dyDescent="0.25">
      <c r="A324" t="str">
        <f>"20190304164342373"</f>
        <v>20190304164342373</v>
      </c>
      <c r="B324" t="str">
        <f>"1551689022360534"</f>
        <v>1551689022360534</v>
      </c>
      <c r="C324" t="s">
        <v>40</v>
      </c>
      <c r="D324">
        <v>5.2106180000000002</v>
      </c>
      <c r="E324">
        <v>0.53664140000000005</v>
      </c>
      <c r="F324" t="s">
        <v>43</v>
      </c>
      <c r="G324">
        <v>-412.31380000000001</v>
      </c>
      <c r="H324">
        <v>-0.05</v>
      </c>
      <c r="I324">
        <v>367.37670000000003</v>
      </c>
      <c r="J324">
        <v>-426.17</v>
      </c>
      <c r="K324">
        <v>1.0606960000000001</v>
      </c>
      <c r="L324">
        <v>366.98329999999999</v>
      </c>
      <c r="M324">
        <v>0.99993290000000001</v>
      </c>
      <c r="N324">
        <v>-1.15123E-2</v>
      </c>
      <c r="O324">
        <v>1.3262479999999999E-3</v>
      </c>
      <c r="P324">
        <v>0.95609100000000002</v>
      </c>
      <c r="Q324">
        <v>0.27772659999999899</v>
      </c>
      <c r="R324">
        <v>9.3583959999999994E-2</v>
      </c>
      <c r="S324">
        <v>3.201721</v>
      </c>
      <c r="T324">
        <v>-0.2518957</v>
      </c>
      <c r="U324">
        <v>8.932495E-2</v>
      </c>
      <c r="V324">
        <v>-9.2438930000000002E-2</v>
      </c>
      <c r="W324">
        <v>0.28867739999999997</v>
      </c>
      <c r="X324">
        <v>0.95295350000000001</v>
      </c>
      <c r="Y324">
        <v>-2.647159E-2</v>
      </c>
      <c r="Z324">
        <v>1.1032819999999999E-3</v>
      </c>
      <c r="AA324">
        <v>0.99964889999999995</v>
      </c>
      <c r="AB324">
        <v>33</v>
      </c>
      <c r="AC324">
        <v>13.856199999999999</v>
      </c>
      <c r="AD324">
        <v>-1.1106959999999999</v>
      </c>
      <c r="AE324">
        <v>0.39340000000004199</v>
      </c>
      <c r="AF324">
        <v>-0.37262930475071498</v>
      </c>
      <c r="AG324">
        <v>-1.1106959999999999</v>
      </c>
      <c r="AH324">
        <v>13.7683135264957</v>
      </c>
      <c r="AI324">
        <v>94.610407779257997</v>
      </c>
      <c r="AJ324">
        <v>91.550289796619296</v>
      </c>
      <c r="AK324">
        <v>13.8180662745212</v>
      </c>
      <c r="AL324">
        <v>73.2212092919425</v>
      </c>
      <c r="AM324">
        <v>95.540502955445604</v>
      </c>
      <c r="AN324">
        <v>0.99999998510627697</v>
      </c>
    </row>
    <row r="325" spans="1:40" x14ac:dyDescent="0.25">
      <c r="A325" t="str">
        <f>"20190304164342397"</f>
        <v>20190304164342397</v>
      </c>
      <c r="B325" t="str">
        <f>"1551689022390790"</f>
        <v>1551689022390790</v>
      </c>
      <c r="C325" t="s">
        <v>40</v>
      </c>
      <c r="D325">
        <v>5.2024119999999998</v>
      </c>
      <c r="E325">
        <v>0.53664299999999998</v>
      </c>
      <c r="F325" t="s">
        <v>43</v>
      </c>
      <c r="G325">
        <v>-412.04320000000001</v>
      </c>
      <c r="H325">
        <v>-0.05</v>
      </c>
      <c r="I325">
        <v>367.39</v>
      </c>
      <c r="J325">
        <v>-425.8177</v>
      </c>
      <c r="K325">
        <v>1.0606960000000001</v>
      </c>
      <c r="L325">
        <v>366.98399999999998</v>
      </c>
      <c r="M325">
        <v>0.99992780000000003</v>
      </c>
      <c r="N325">
        <v>-1.1927790000000001E-2</v>
      </c>
      <c r="O325">
        <v>1.589022E-3</v>
      </c>
      <c r="P325">
        <v>0.95587610000000001</v>
      </c>
      <c r="Q325">
        <v>0.27818349999999997</v>
      </c>
      <c r="R325">
        <v>9.442043E-2</v>
      </c>
      <c r="S325">
        <v>3.2018740000000001</v>
      </c>
      <c r="T325">
        <v>-0.251741399999999</v>
      </c>
      <c r="U325">
        <v>9.2193600000000001E-2</v>
      </c>
      <c r="V325">
        <v>-9.303111E-2</v>
      </c>
      <c r="W325">
        <v>0.28952499999999998</v>
      </c>
      <c r="X325">
        <v>0.95263869999999895</v>
      </c>
      <c r="Y325">
        <v>-2.7100429999999998E-2</v>
      </c>
      <c r="Z325">
        <v>1.1196610000000001E-3</v>
      </c>
      <c r="AA325">
        <v>0.99963210000000002</v>
      </c>
      <c r="AB325">
        <v>33</v>
      </c>
      <c r="AC325">
        <v>13.7744999999999</v>
      </c>
      <c r="AD325">
        <v>-1.1106959999999999</v>
      </c>
      <c r="AE325">
        <v>0.40599999999994901</v>
      </c>
      <c r="AF325">
        <v>-0.381630788498655</v>
      </c>
      <c r="AG325">
        <v>-1.1106959999999999</v>
      </c>
      <c r="AH325">
        <v>13.686218928679899</v>
      </c>
      <c r="AI325">
        <v>94.637838326256599</v>
      </c>
      <c r="AJ325">
        <v>91.597239465522307</v>
      </c>
      <c r="AK325">
        <v>13.736516160471799</v>
      </c>
      <c r="AL325">
        <v>73.170479442973203</v>
      </c>
      <c r="AM325">
        <v>95.577604329375205</v>
      </c>
      <c r="AN325">
        <v>1.00000000289526</v>
      </c>
    </row>
    <row r="326" spans="1:40" x14ac:dyDescent="0.25">
      <c r="A326" t="str">
        <f>"20190304164342411"</f>
        <v>20190304164342411</v>
      </c>
      <c r="B326" t="str">
        <f>"1551689022400549"</f>
        <v>1551689022400549</v>
      </c>
      <c r="C326" t="s">
        <v>40</v>
      </c>
      <c r="D326">
        <v>5.2529940000000002</v>
      </c>
      <c r="E326">
        <v>0.53663899999999998</v>
      </c>
      <c r="F326" t="s">
        <v>43</v>
      </c>
      <c r="G326">
        <v>-411.72879999999998</v>
      </c>
      <c r="H326">
        <v>-0.05</v>
      </c>
      <c r="I326">
        <v>367.40469999999999</v>
      </c>
      <c r="J326">
        <v>-425.60410000000002</v>
      </c>
      <c r="K326">
        <v>1.060697</v>
      </c>
      <c r="L326">
        <v>366.9846</v>
      </c>
      <c r="M326">
        <v>0.9999247</v>
      </c>
      <c r="N326">
        <v>-1.215451E-2</v>
      </c>
      <c r="O326">
        <v>1.747593E-3</v>
      </c>
      <c r="P326">
        <v>0.95586990000000005</v>
      </c>
      <c r="Q326">
        <v>0.27812979999999998</v>
      </c>
      <c r="R326">
        <v>9.4639559999999998E-2</v>
      </c>
      <c r="S326">
        <v>3.202515</v>
      </c>
      <c r="T326">
        <v>-0.2524689</v>
      </c>
      <c r="U326">
        <v>9.5611570000000007E-2</v>
      </c>
      <c r="V326">
        <v>-9.3100379999999996E-2</v>
      </c>
      <c r="W326">
        <v>0.28968759999999999</v>
      </c>
      <c r="X326">
        <v>0.9525825</v>
      </c>
      <c r="Y326">
        <v>-2.7998530000000001E-2</v>
      </c>
      <c r="Z326">
        <v>1.155859E-3</v>
      </c>
      <c r="AA326">
        <v>0.99960729999999998</v>
      </c>
      <c r="AB326">
        <v>33</v>
      </c>
      <c r="AC326">
        <v>13.875299999999999</v>
      </c>
      <c r="AD326">
        <v>-1.110697</v>
      </c>
      <c r="AE326">
        <v>0.42009999999998998</v>
      </c>
      <c r="AF326">
        <v>-0.39333112790177699</v>
      </c>
      <c r="AG326">
        <v>-1.110697</v>
      </c>
      <c r="AH326">
        <v>13.7877453373269</v>
      </c>
      <c r="AI326">
        <v>94.603755853978996</v>
      </c>
      <c r="AJ326">
        <v>91.634067246923706</v>
      </c>
      <c r="AK326">
        <v>13.838001253395101</v>
      </c>
      <c r="AL326">
        <v>73.160746031097105</v>
      </c>
      <c r="AM326">
        <v>95.582058367297293</v>
      </c>
      <c r="AN326">
        <v>1.00000000282807</v>
      </c>
    </row>
    <row r="327" spans="1:40" x14ac:dyDescent="0.25">
      <c r="A327" t="str">
        <f>"20190304164342424"</f>
        <v>20190304164342424</v>
      </c>
      <c r="B327" t="str">
        <f>"1551689022410310"</f>
        <v>1551689022410310</v>
      </c>
      <c r="C327" t="s">
        <v>40</v>
      </c>
      <c r="D327">
        <v>5.2265370000000004</v>
      </c>
      <c r="E327">
        <v>0.53663499999999997</v>
      </c>
      <c r="F327" t="s">
        <v>43</v>
      </c>
      <c r="G327">
        <v>-411.56869999999998</v>
      </c>
      <c r="H327">
        <v>-0.05</v>
      </c>
      <c r="I327">
        <v>367.40879999999999</v>
      </c>
      <c r="J327">
        <v>-425.41059999999999</v>
      </c>
      <c r="K327">
        <v>1.060692</v>
      </c>
      <c r="L327">
        <v>366.98500000000001</v>
      </c>
      <c r="M327">
        <v>0.99992210000000004</v>
      </c>
      <c r="N327">
        <v>-1.2341599999999999E-2</v>
      </c>
      <c r="O327">
        <v>1.888172E-3</v>
      </c>
      <c r="P327">
        <v>0.95586439999999995</v>
      </c>
      <c r="Q327">
        <v>0.27810040000000003</v>
      </c>
      <c r="R327">
        <v>9.4781199999999996E-2</v>
      </c>
      <c r="S327">
        <v>3.2026370000000002</v>
      </c>
      <c r="T327">
        <v>-0.253442</v>
      </c>
      <c r="U327">
        <v>9.6801760000000001E-2</v>
      </c>
      <c r="V327">
        <v>-9.3108259999999998E-2</v>
      </c>
      <c r="W327">
        <v>0.28983629999999999</v>
      </c>
      <c r="X327">
        <v>0.95253650000000001</v>
      </c>
      <c r="Y327">
        <v>-2.8226569999999999E-2</v>
      </c>
      <c r="Z327">
        <v>1.163521E-3</v>
      </c>
      <c r="AA327">
        <v>0.99960090000000001</v>
      </c>
      <c r="AB327">
        <v>33</v>
      </c>
      <c r="AC327">
        <v>13.841900000000001</v>
      </c>
      <c r="AD327">
        <v>-1.110692</v>
      </c>
      <c r="AE327">
        <v>0.42379999999997098</v>
      </c>
      <c r="AF327">
        <v>-0.39511970577919803</v>
      </c>
      <c r="AG327">
        <v>-1.110692</v>
      </c>
      <c r="AH327">
        <v>13.754199834248601</v>
      </c>
      <c r="AI327">
        <v>94.614888720018897</v>
      </c>
      <c r="AJ327">
        <v>91.645495001843301</v>
      </c>
      <c r="AK327">
        <v>13.804628549193399</v>
      </c>
      <c r="AL327">
        <v>73.151844312388505</v>
      </c>
      <c r="AM327">
        <v>95.5827957363541</v>
      </c>
      <c r="AN327">
        <v>1.00000000635508</v>
      </c>
    </row>
    <row r="328" spans="1:40" x14ac:dyDescent="0.25">
      <c r="A328" t="str">
        <f>"20190304164342442"</f>
        <v>20190304164342442</v>
      </c>
      <c r="B328" t="str">
        <f>"1551689022430806"</f>
        <v>1551689022430806</v>
      </c>
      <c r="C328" t="s">
        <v>40</v>
      </c>
      <c r="D328">
        <v>5.193219</v>
      </c>
      <c r="E328">
        <v>0.53662259999999995</v>
      </c>
      <c r="F328" t="s">
        <v>43</v>
      </c>
      <c r="G328">
        <v>-411.42439999999999</v>
      </c>
      <c r="H328">
        <v>-0.05</v>
      </c>
      <c r="I328">
        <v>367.4128</v>
      </c>
      <c r="J328">
        <v>-425.14330000000001</v>
      </c>
      <c r="K328">
        <v>1.0606850000000001</v>
      </c>
      <c r="L328">
        <v>366.98570000000001</v>
      </c>
      <c r="M328">
        <v>0.9999188</v>
      </c>
      <c r="N328">
        <v>-1.2579709999999999E-2</v>
      </c>
      <c r="O328">
        <v>2.0725980000000001E-3</v>
      </c>
      <c r="P328">
        <v>0.95570370000000004</v>
      </c>
      <c r="Q328">
        <v>0.27852769999999999</v>
      </c>
      <c r="R328">
        <v>9.5147850000000006E-2</v>
      </c>
      <c r="S328">
        <v>3.20282</v>
      </c>
      <c r="T328">
        <v>-0.25434790000000002</v>
      </c>
      <c r="U328">
        <v>9.7961430000000002E-2</v>
      </c>
      <c r="V328">
        <v>-9.3297439999999995E-2</v>
      </c>
      <c r="W328">
        <v>0.29048879999999999</v>
      </c>
      <c r="X328">
        <v>0.95231920000000003</v>
      </c>
      <c r="Y328">
        <v>-2.840092E-2</v>
      </c>
      <c r="Z328">
        <v>1.166428E-3</v>
      </c>
      <c r="AA328">
        <v>0.99959589999999998</v>
      </c>
      <c r="AB328">
        <v>33</v>
      </c>
      <c r="AC328">
        <v>13.7189</v>
      </c>
      <c r="AD328">
        <v>-1.1106849999999999</v>
      </c>
      <c r="AE328">
        <v>0.42709999999999498</v>
      </c>
      <c r="AF328">
        <v>-0.396069523994516</v>
      </c>
      <c r="AG328">
        <v>-1.1106849999999999</v>
      </c>
      <c r="AH328">
        <v>13.6305004446897</v>
      </c>
      <c r="AI328">
        <v>94.656512921363799</v>
      </c>
      <c r="AJ328">
        <v>91.664409059367003</v>
      </c>
      <c r="AK328">
        <v>13.6814120108178</v>
      </c>
      <c r="AL328">
        <v>73.112778094419198</v>
      </c>
      <c r="AM328">
        <v>95.595335495157698</v>
      </c>
      <c r="AN328">
        <v>1.0000000069623101</v>
      </c>
    </row>
    <row r="329" spans="1:40" x14ac:dyDescent="0.25">
      <c r="A329" t="str">
        <f>"20190304164342458"</f>
        <v>20190304164342458</v>
      </c>
      <c r="B329" t="str">
        <f>"1551689022450327"</f>
        <v>1551689022450327</v>
      </c>
      <c r="C329" t="s">
        <v>40</v>
      </c>
      <c r="D329">
        <v>5.228599</v>
      </c>
      <c r="E329">
        <v>0.53829609999999894</v>
      </c>
      <c r="F329" t="s">
        <v>43</v>
      </c>
      <c r="G329">
        <v>-411.1628</v>
      </c>
      <c r="H329">
        <v>-0.05</v>
      </c>
      <c r="I329">
        <v>367.4178</v>
      </c>
      <c r="J329">
        <v>-424.91410000000002</v>
      </c>
      <c r="K329">
        <v>1.06067</v>
      </c>
      <c r="L329">
        <v>366.98630000000003</v>
      </c>
      <c r="M329">
        <v>0.99991609999999997</v>
      </c>
      <c r="N329">
        <v>-1.276508E-2</v>
      </c>
      <c r="O329">
        <v>2.2178570000000002E-3</v>
      </c>
      <c r="P329">
        <v>0.95550599999999997</v>
      </c>
      <c r="Q329">
        <v>0.2791439</v>
      </c>
      <c r="R329">
        <v>9.5326709999999995E-2</v>
      </c>
      <c r="S329">
        <v>3.2032780000000001</v>
      </c>
      <c r="T329">
        <v>-0.2544864</v>
      </c>
      <c r="U329">
        <v>9.9029539999999999E-2</v>
      </c>
      <c r="V329">
        <v>-9.3332999999999999E-2</v>
      </c>
      <c r="W329">
        <v>0.29128029999999999</v>
      </c>
      <c r="X329">
        <v>0.95207390000000003</v>
      </c>
      <c r="Y329">
        <v>-2.858368E-2</v>
      </c>
      <c r="Z329">
        <v>1.16858E-3</v>
      </c>
      <c r="AA329">
        <v>0.99959070000000005</v>
      </c>
      <c r="AB329">
        <v>33</v>
      </c>
      <c r="AC329">
        <v>13.751300000000001</v>
      </c>
      <c r="AD329">
        <v>-1.11067</v>
      </c>
      <c r="AE329">
        <v>0.43149999999997102</v>
      </c>
      <c r="AF329">
        <v>-0.39840160984656903</v>
      </c>
      <c r="AG329">
        <v>-1.11067</v>
      </c>
      <c r="AH329">
        <v>13.6631787958428</v>
      </c>
      <c r="AI329">
        <v>94.645348623820396</v>
      </c>
      <c r="AJ329">
        <v>91.670201720809203</v>
      </c>
      <c r="AK329">
        <v>13.7140353834602</v>
      </c>
      <c r="AL329">
        <v>73.065378497325796</v>
      </c>
      <c r="AM329">
        <v>95.598887608260199</v>
      </c>
      <c r="AN329">
        <v>0.99999998655914901</v>
      </c>
    </row>
    <row r="330" spans="1:40" x14ac:dyDescent="0.25">
      <c r="A330" t="str">
        <f>"20190304164342476"</f>
        <v>20190304164342476</v>
      </c>
      <c r="B330" t="str">
        <f>"1551689022470822"</f>
        <v>1551689022470822</v>
      </c>
      <c r="C330" t="s">
        <v>40</v>
      </c>
      <c r="D330">
        <v>5.2330610000000002</v>
      </c>
      <c r="E330">
        <v>0.53770620000000002</v>
      </c>
      <c r="F330" t="s">
        <v>41</v>
      </c>
      <c r="G330">
        <v>-423.95549999999997</v>
      </c>
      <c r="H330">
        <v>0.96403030000000001</v>
      </c>
      <c r="I330">
        <v>367.01350000000002</v>
      </c>
      <c r="J330">
        <v>-424.6465</v>
      </c>
      <c r="K330">
        <v>1.060651</v>
      </c>
      <c r="L330">
        <v>366.9871</v>
      </c>
      <c r="M330">
        <v>0.99991319999999995</v>
      </c>
      <c r="N330">
        <v>-1.295923E-2</v>
      </c>
      <c r="O330">
        <v>2.3682830000000001E-3</v>
      </c>
      <c r="P330">
        <v>0.95539019999999997</v>
      </c>
      <c r="Q330">
        <v>0.27943600000000002</v>
      </c>
      <c r="R330">
        <v>9.5630499999999993E-2</v>
      </c>
      <c r="S330">
        <v>3.2254939999999999</v>
      </c>
      <c r="T330">
        <v>-0.32547619999999999</v>
      </c>
      <c r="U330">
        <v>9.32312E-2</v>
      </c>
      <c r="V330">
        <v>-9.3483079999999996E-2</v>
      </c>
      <c r="W330">
        <v>0.2917593</v>
      </c>
      <c r="X330">
        <v>0.95191250000000005</v>
      </c>
      <c r="Y330">
        <v>-2.6382800000000001E-2</v>
      </c>
      <c r="Z330">
        <v>1.2912430000000001E-3</v>
      </c>
      <c r="AA330">
        <v>0.99965110000000001</v>
      </c>
      <c r="AB330">
        <v>33</v>
      </c>
      <c r="AC330">
        <v>0.69100000000003003</v>
      </c>
      <c r="AD330">
        <v>-9.6620700000000004E-2</v>
      </c>
      <c r="AE330">
        <v>2.64000000000237E-2</v>
      </c>
      <c r="AF330">
        <v>-2.4289104110236801E-2</v>
      </c>
      <c r="AG330">
        <v>-9.6620700000000004E-2</v>
      </c>
      <c r="AH330">
        <v>0.67782723908014098</v>
      </c>
      <c r="AI330">
        <v>98.107425294044504</v>
      </c>
      <c r="AJ330">
        <v>92.052245576445699</v>
      </c>
      <c r="AK330">
        <v>0.68510968923667603</v>
      </c>
      <c r="AL330">
        <v>73.036687710893204</v>
      </c>
      <c r="AM330">
        <v>95.608778075594699</v>
      </c>
      <c r="AN330">
        <v>0.99999999151951302</v>
      </c>
    </row>
    <row r="331" spans="1:40" x14ac:dyDescent="0.25">
      <c r="A331" t="str">
        <f>"20190304164342499"</f>
        <v>20190304164342499</v>
      </c>
      <c r="B331" t="str">
        <f>"1551689022490341"</f>
        <v>1551689022490341</v>
      </c>
      <c r="C331" t="s">
        <v>40</v>
      </c>
      <c r="D331">
        <v>5.2263469999999996</v>
      </c>
      <c r="E331">
        <v>0.53748549999999995</v>
      </c>
      <c r="F331" t="s">
        <v>41</v>
      </c>
      <c r="G331">
        <v>-423.66050000000001</v>
      </c>
      <c r="H331">
        <v>0.96260040000000002</v>
      </c>
      <c r="I331">
        <v>367.01729999999998</v>
      </c>
      <c r="J331">
        <v>-424.3073</v>
      </c>
      <c r="K331">
        <v>1.060613</v>
      </c>
      <c r="L331">
        <v>366.988</v>
      </c>
      <c r="M331">
        <v>0.99991010000000002</v>
      </c>
      <c r="N331">
        <v>-1.3173030000000001E-2</v>
      </c>
      <c r="O331">
        <v>2.5195460000000001E-3</v>
      </c>
      <c r="P331">
        <v>0.95534350000000001</v>
      </c>
      <c r="Q331">
        <v>0.27953640000000002</v>
      </c>
      <c r="R331">
        <v>9.5804150000000005E-2</v>
      </c>
      <c r="S331">
        <v>3.223938</v>
      </c>
      <c r="T331">
        <v>-0.32051859999999999</v>
      </c>
      <c r="U331">
        <v>9.8907469999999997E-2</v>
      </c>
      <c r="V331">
        <v>-9.3492420000000007E-2</v>
      </c>
      <c r="W331">
        <v>0.29206989999999999</v>
      </c>
      <c r="X331">
        <v>0.95181629999999995</v>
      </c>
      <c r="Y331">
        <v>-2.7999039999999999E-2</v>
      </c>
      <c r="Z331">
        <v>1.356344E-3</v>
      </c>
      <c r="AA331">
        <v>0.99960700000000002</v>
      </c>
      <c r="AB331">
        <v>33</v>
      </c>
      <c r="AC331">
        <v>0.64679999999998405</v>
      </c>
      <c r="AD331">
        <v>-9.8012599999999894E-2</v>
      </c>
      <c r="AE331">
        <v>2.9299999999921E-2</v>
      </c>
      <c r="AF331">
        <v>-2.70502473993024E-2</v>
      </c>
      <c r="AG331">
        <v>-9.8012599999999894E-2</v>
      </c>
      <c r="AH331">
        <v>0.63238032547007705</v>
      </c>
      <c r="AI331">
        <v>98.802248168613005</v>
      </c>
      <c r="AJ331">
        <v>92.449350033959007</v>
      </c>
      <c r="AK331">
        <v>0.64050219491018401</v>
      </c>
      <c r="AL331">
        <v>73.0180807433415</v>
      </c>
      <c r="AM331">
        <v>95.609898200116604</v>
      </c>
      <c r="AN331">
        <v>0.99999996401457703</v>
      </c>
    </row>
    <row r="332" spans="1:40" x14ac:dyDescent="0.25">
      <c r="A332" t="str">
        <f>"20190304164342511"</f>
        <v>20190304164342511</v>
      </c>
      <c r="B332" t="str">
        <f>"1551689022500102"</f>
        <v>1551689022500102</v>
      </c>
      <c r="C332" t="s">
        <v>40</v>
      </c>
      <c r="D332">
        <v>5.2329720000000002</v>
      </c>
      <c r="E332">
        <v>0.537516199999999</v>
      </c>
      <c r="F332" t="s">
        <v>41</v>
      </c>
      <c r="G332">
        <v>-423.36309999999997</v>
      </c>
      <c r="H332">
        <v>0.96694599999999997</v>
      </c>
      <c r="I332">
        <v>367.01749999999998</v>
      </c>
      <c r="J332">
        <v>-424.1053</v>
      </c>
      <c r="K332">
        <v>1.0605899999999999</v>
      </c>
      <c r="L332">
        <v>366.98860000000002</v>
      </c>
      <c r="M332">
        <v>0.99990840000000003</v>
      </c>
      <c r="N332">
        <v>-1.328784E-2</v>
      </c>
      <c r="O332">
        <v>2.5917449999999999E-3</v>
      </c>
      <c r="P332">
        <v>0.95541140000000002</v>
      </c>
      <c r="Q332">
        <v>0.27923769999999998</v>
      </c>
      <c r="R332">
        <v>9.5998050000000001E-2</v>
      </c>
      <c r="S332">
        <v>3.2236020000000001</v>
      </c>
      <c r="T332">
        <v>-0.32003969999999998</v>
      </c>
      <c r="U332">
        <v>0.10214230000000001</v>
      </c>
      <c r="V332">
        <v>-9.3602770000000002E-2</v>
      </c>
      <c r="W332">
        <v>0.29188560000000002</v>
      </c>
      <c r="X332">
        <v>0.95186199999999999</v>
      </c>
      <c r="Y332">
        <v>-2.8927459999999999E-2</v>
      </c>
      <c r="Z332">
        <v>1.4026139999999999E-3</v>
      </c>
      <c r="AA332">
        <v>0.99958049999999998</v>
      </c>
      <c r="AB332">
        <v>33</v>
      </c>
      <c r="AC332">
        <v>0.74220000000002495</v>
      </c>
      <c r="AD332">
        <v>-9.3644000000000005E-2</v>
      </c>
      <c r="AE332">
        <v>2.88999999999646E-2</v>
      </c>
      <c r="AF332">
        <v>-2.65540636643096E-2</v>
      </c>
      <c r="AG332">
        <v>-9.3644000000000005E-2</v>
      </c>
      <c r="AH332">
        <v>0.73065860948286498</v>
      </c>
      <c r="AI332">
        <v>97.298664728710506</v>
      </c>
      <c r="AJ332">
        <v>92.0813639315529</v>
      </c>
      <c r="AK332">
        <v>0.737113505943638</v>
      </c>
      <c r="AL332">
        <v>73.029121637731805</v>
      </c>
      <c r="AM332">
        <v>95.616209376051501</v>
      </c>
      <c r="AN332">
        <v>0.99999997454151601</v>
      </c>
    </row>
    <row r="333" spans="1:40" x14ac:dyDescent="0.25">
      <c r="A333" t="str">
        <f>"20190304164342531"</f>
        <v>20190304164342531</v>
      </c>
      <c r="B333" t="str">
        <f>"1551689022520598"</f>
        <v>1551689022520598</v>
      </c>
      <c r="C333" t="s">
        <v>40</v>
      </c>
      <c r="D333">
        <v>5.502783</v>
      </c>
      <c r="E333">
        <v>0.53744950000000002</v>
      </c>
      <c r="F333" t="s">
        <v>43</v>
      </c>
      <c r="G333">
        <v>-412.95859999999999</v>
      </c>
      <c r="H333">
        <v>-0.05</v>
      </c>
      <c r="I333">
        <v>367.3451</v>
      </c>
      <c r="J333">
        <v>-423.83460000000002</v>
      </c>
      <c r="K333">
        <v>1.0605579999999999</v>
      </c>
      <c r="L333">
        <v>366.98930000000001</v>
      </c>
      <c r="M333">
        <v>0.99990639999999997</v>
      </c>
      <c r="N333">
        <v>-1.342437E-2</v>
      </c>
      <c r="O333">
        <v>2.660436E-3</v>
      </c>
      <c r="P333">
        <v>0.95535669999999995</v>
      </c>
      <c r="Q333">
        <v>0.27933970000000002</v>
      </c>
      <c r="R333">
        <v>9.6244560000000007E-2</v>
      </c>
      <c r="S333">
        <v>3.2235109999999998</v>
      </c>
      <c r="T333">
        <v>-0.32117250000000003</v>
      </c>
      <c r="U333">
        <v>0.1030884</v>
      </c>
      <c r="V333">
        <v>-9.3764050000000002E-2</v>
      </c>
      <c r="W333">
        <v>0.29212320000000003</v>
      </c>
      <c r="X333">
        <v>0.95177330000000004</v>
      </c>
      <c r="Y333">
        <v>-2.9150510000000001E-2</v>
      </c>
      <c r="Z333">
        <v>1.4157989999999999E-3</v>
      </c>
      <c r="AA333">
        <v>0.99957399999999996</v>
      </c>
      <c r="AB333">
        <v>33</v>
      </c>
      <c r="AC333">
        <v>10.875999999999999</v>
      </c>
      <c r="AD333">
        <v>-1.1105579999999999</v>
      </c>
      <c r="AE333">
        <v>0.35579999999998702</v>
      </c>
      <c r="AF333">
        <v>-0.32349190703399799</v>
      </c>
      <c r="AG333">
        <v>-1.1105579999999999</v>
      </c>
      <c r="AH333">
        <v>10.7647876737686</v>
      </c>
      <c r="AI333">
        <v>95.887488608866505</v>
      </c>
      <c r="AJ333">
        <v>91.721273586590698</v>
      </c>
      <c r="AK333">
        <v>10.8267557350575</v>
      </c>
      <c r="AL333">
        <v>73.014888914138695</v>
      </c>
      <c r="AM333">
        <v>95.626345157720195</v>
      </c>
      <c r="AN333">
        <v>1.0000000378217599</v>
      </c>
    </row>
    <row r="334" spans="1:40" x14ac:dyDescent="0.25">
      <c r="A334" t="str">
        <f>"20190304164342544"</f>
        <v>20190304164342544</v>
      </c>
      <c r="B334" t="str">
        <f>"1551689022530358"</f>
        <v>1551689022530358</v>
      </c>
      <c r="C334" t="s">
        <v>40</v>
      </c>
      <c r="D334">
        <v>5.6065969999999998</v>
      </c>
      <c r="E334">
        <v>0.53859199999999996</v>
      </c>
      <c r="F334" t="s">
        <v>43</v>
      </c>
      <c r="G334">
        <v>-412.65440000000001</v>
      </c>
      <c r="H334">
        <v>-0.05</v>
      </c>
      <c r="I334">
        <v>367.35320000000002</v>
      </c>
      <c r="J334">
        <v>-423.64150000000001</v>
      </c>
      <c r="K334">
        <v>1.0605370000000001</v>
      </c>
      <c r="L334">
        <v>366.98989999999998</v>
      </c>
      <c r="M334">
        <v>0.99990509999999999</v>
      </c>
      <c r="N334">
        <v>-1.3511550000000001E-2</v>
      </c>
      <c r="O334">
        <v>2.6937100000000002E-3</v>
      </c>
      <c r="P334">
        <v>0.95527329999999999</v>
      </c>
      <c r="Q334">
        <v>0.27961609999999998</v>
      </c>
      <c r="R334">
        <v>9.6271410000000002E-2</v>
      </c>
      <c r="S334">
        <v>3.223236</v>
      </c>
      <c r="T334">
        <v>-0.32017410000000002</v>
      </c>
      <c r="U334">
        <v>0.1049194</v>
      </c>
      <c r="V334">
        <v>-9.3746830000000003E-2</v>
      </c>
      <c r="W334">
        <v>0.29248580000000002</v>
      </c>
      <c r="X334">
        <v>0.95166360000000005</v>
      </c>
      <c r="Y334">
        <v>-2.9685050000000001E-2</v>
      </c>
      <c r="Z334">
        <v>1.4409829999999901E-3</v>
      </c>
      <c r="AA334">
        <v>0.99955830000000001</v>
      </c>
      <c r="AB334">
        <v>33</v>
      </c>
      <c r="AC334">
        <v>10.9870999999999</v>
      </c>
      <c r="AD334">
        <v>-1.1105370000000001</v>
      </c>
      <c r="AE334">
        <v>0.36330000000003698</v>
      </c>
      <c r="AF334">
        <v>-0.33032881781433598</v>
      </c>
      <c r="AG334">
        <v>-1.1105370000000001</v>
      </c>
      <c r="AH334">
        <v>10.877035548781</v>
      </c>
      <c r="AI334">
        <v>95.826986621469203</v>
      </c>
      <c r="AJ334">
        <v>91.739502608921299</v>
      </c>
      <c r="AK334">
        <v>10.938569919587</v>
      </c>
      <c r="AL334">
        <v>72.993164167939099</v>
      </c>
      <c r="AM334">
        <v>95.6259627745046</v>
      </c>
      <c r="AN334">
        <v>1.0000000094508199</v>
      </c>
    </row>
    <row r="335" spans="1:40" x14ac:dyDescent="0.25">
      <c r="A335" t="str">
        <f>"20190304164342556"</f>
        <v>20190304164342556</v>
      </c>
      <c r="B335" t="str">
        <f>"1551689022550129"</f>
        <v>1551689022550129</v>
      </c>
      <c r="C335" t="s">
        <v>40</v>
      </c>
      <c r="D335">
        <v>5.5270409999999996</v>
      </c>
      <c r="E335">
        <v>0.55749300000000002</v>
      </c>
      <c r="F335" t="s">
        <v>41</v>
      </c>
      <c r="G335">
        <v>-422.76659999999998</v>
      </c>
      <c r="H335">
        <v>0.97629109999999997</v>
      </c>
      <c r="I335">
        <v>367.0154</v>
      </c>
      <c r="J335">
        <v>-423.45</v>
      </c>
      <c r="K335">
        <v>1.060522</v>
      </c>
      <c r="L335">
        <v>366.9905</v>
      </c>
      <c r="M335">
        <v>0.99990400000000002</v>
      </c>
      <c r="N335">
        <v>-1.359285E-2</v>
      </c>
      <c r="O335">
        <v>2.7191720000000002E-3</v>
      </c>
      <c r="P335">
        <v>0.95522240000000003</v>
      </c>
      <c r="Q335">
        <v>0.27977249999999998</v>
      </c>
      <c r="R335">
        <v>9.6322459999999999E-2</v>
      </c>
      <c r="S335">
        <v>3.2217410000000002</v>
      </c>
      <c r="T335">
        <v>-0.31053209999999998</v>
      </c>
      <c r="U335">
        <v>9.5397949999999995E-2</v>
      </c>
      <c r="V335">
        <v>-9.3761490000000003E-2</v>
      </c>
      <c r="W335">
        <v>0.29272290000000001</v>
      </c>
      <c r="X335">
        <v>0.95158920000000002</v>
      </c>
      <c r="Y335">
        <v>-2.674725E-2</v>
      </c>
      <c r="Z335">
        <v>1.2435460000000001E-3</v>
      </c>
      <c r="AA335">
        <v>0.99964149999999996</v>
      </c>
      <c r="AB335">
        <v>33</v>
      </c>
      <c r="AC335">
        <v>0.683400000000006</v>
      </c>
      <c r="AD335">
        <v>-8.4230899999999997E-2</v>
      </c>
      <c r="AE335">
        <v>2.4900000000002299E-2</v>
      </c>
      <c r="AF335">
        <v>-2.2697114291077E-2</v>
      </c>
      <c r="AG335">
        <v>-8.4230899999999997E-2</v>
      </c>
      <c r="AH335">
        <v>0.67325123196104497</v>
      </c>
      <c r="AI335">
        <v>97.127251172191293</v>
      </c>
      <c r="AJ335">
        <v>91.930863928233805</v>
      </c>
      <c r="AK335">
        <v>0.67887938902946299</v>
      </c>
      <c r="AL335">
        <v>72.978956688552103</v>
      </c>
      <c r="AM335">
        <v>95.627274020103997</v>
      </c>
      <c r="AN335">
        <v>0.99999995937403396</v>
      </c>
    </row>
    <row r="336" spans="1:40" x14ac:dyDescent="0.25">
      <c r="A336" t="str">
        <f>"20190304164342575"</f>
        <v>20190304164342575</v>
      </c>
      <c r="B336" t="str">
        <f>"1551689022570625"</f>
        <v>1551689022570625</v>
      </c>
      <c r="C336" t="s">
        <v>40</v>
      </c>
      <c r="D336">
        <v>5.439298</v>
      </c>
      <c r="E336">
        <v>0.55454369999999997</v>
      </c>
      <c r="F336" t="s">
        <v>41</v>
      </c>
      <c r="G336">
        <v>-422.55720000000002</v>
      </c>
      <c r="H336">
        <v>0.79770050000000003</v>
      </c>
      <c r="I336">
        <v>366.99459999999999</v>
      </c>
      <c r="J336">
        <v>-423.1909</v>
      </c>
      <c r="K336">
        <v>1.0605009999999999</v>
      </c>
      <c r="L336">
        <v>366.99119999999999</v>
      </c>
      <c r="M336">
        <v>0.99990270000000003</v>
      </c>
      <c r="N336">
        <v>-1.3691500000000001E-2</v>
      </c>
      <c r="O336">
        <v>2.7383989999999999E-3</v>
      </c>
      <c r="P336">
        <v>0.95506670000000005</v>
      </c>
      <c r="Q336">
        <v>0.28041529999999998</v>
      </c>
      <c r="R336">
        <v>9.5995650000000002E-2</v>
      </c>
      <c r="S336">
        <v>3.435181</v>
      </c>
      <c r="T336">
        <v>-1.0112350000000001</v>
      </c>
      <c r="U336">
        <v>1.5991209999999999E-2</v>
      </c>
      <c r="V336">
        <v>-9.3403130000000001E-2</v>
      </c>
      <c r="W336">
        <v>0.29346139999999998</v>
      </c>
      <c r="X336">
        <v>0.95139700000000005</v>
      </c>
      <c r="Y336">
        <v>-1.935934E-3</v>
      </c>
      <c r="Z336">
        <v>-4.6004740000000002E-4</v>
      </c>
      <c r="AA336">
        <v>0.99999800000000005</v>
      </c>
      <c r="AB336">
        <v>33</v>
      </c>
      <c r="AC336">
        <v>0.63369999999997595</v>
      </c>
      <c r="AD336">
        <v>-0.26280049999999899</v>
      </c>
      <c r="AE336">
        <v>3.3999999999991802E-3</v>
      </c>
      <c r="AF336">
        <v>-1.4202499476991301E-3</v>
      </c>
      <c r="AG336">
        <v>-0.26280049999999899</v>
      </c>
      <c r="AH336">
        <v>0.54071580546456499</v>
      </c>
      <c r="AI336">
        <v>115.92075581166399</v>
      </c>
      <c r="AJ336">
        <v>90.150493364349799</v>
      </c>
      <c r="AK336">
        <v>0.60119855471329697</v>
      </c>
      <c r="AL336">
        <v>72.934700815617404</v>
      </c>
      <c r="AM336">
        <v>95.607028903943899</v>
      </c>
      <c r="AN336">
        <v>0.99999999479637802</v>
      </c>
    </row>
    <row r="337" spans="1:40" x14ac:dyDescent="0.25">
      <c r="A337" t="str">
        <f>"20190304164342587"</f>
        <v>20190304164342587</v>
      </c>
      <c r="B337" t="str">
        <f>"1551689022580386"</f>
        <v>1551689022580386</v>
      </c>
      <c r="C337" t="s">
        <v>40</v>
      </c>
      <c r="D337">
        <v>5.4186969999999999</v>
      </c>
      <c r="E337">
        <v>0.5535291</v>
      </c>
      <c r="F337" t="s">
        <v>41</v>
      </c>
      <c r="G337">
        <v>-422.2783</v>
      </c>
      <c r="H337">
        <v>0.76126159999999998</v>
      </c>
      <c r="I337">
        <v>367.00529999999998</v>
      </c>
      <c r="J337">
        <v>-422.98989999999998</v>
      </c>
      <c r="K337">
        <v>1.060495</v>
      </c>
      <c r="L337">
        <v>366.99169999999998</v>
      </c>
      <c r="M337">
        <v>0.99990159999999995</v>
      </c>
      <c r="N337">
        <v>-1.375845E-2</v>
      </c>
      <c r="O337">
        <v>2.7428359999999998E-3</v>
      </c>
      <c r="P337">
        <v>0.95510890000000004</v>
      </c>
      <c r="Q337">
        <v>0.28042879999999998</v>
      </c>
      <c r="R337">
        <v>9.5534339999999995E-2</v>
      </c>
      <c r="S337">
        <v>3.4696660000000001</v>
      </c>
      <c r="T337">
        <v>-1.1376809999999999</v>
      </c>
      <c r="U337">
        <v>5.5236819999999999E-2</v>
      </c>
      <c r="V337">
        <v>-9.2930289999999999E-2</v>
      </c>
      <c r="W337">
        <v>0.29354170000000002</v>
      </c>
      <c r="X337">
        <v>0.9514186</v>
      </c>
      <c r="Y337">
        <v>-1.261695E-2</v>
      </c>
      <c r="Z337">
        <v>1.265179E-3</v>
      </c>
      <c r="AA337">
        <v>0.99991960000000002</v>
      </c>
      <c r="AB337">
        <v>33</v>
      </c>
      <c r="AC337">
        <v>0.71159999999997503</v>
      </c>
      <c r="AD337">
        <v>-0.29923339999999998</v>
      </c>
      <c r="AE337">
        <v>1.35999999999967E-2</v>
      </c>
      <c r="AF337">
        <v>-9.8983133357716108E-3</v>
      </c>
      <c r="AG337">
        <v>-0.29923339999999998</v>
      </c>
      <c r="AH337">
        <v>0.60473948448471204</v>
      </c>
      <c r="AI337">
        <v>116.323787048775</v>
      </c>
      <c r="AJ337">
        <v>90.937727657539995</v>
      </c>
      <c r="AK337">
        <v>0.67479511585168495</v>
      </c>
      <c r="AL337">
        <v>72.929889156187798</v>
      </c>
      <c r="AM337">
        <v>95.578697780512201</v>
      </c>
      <c r="AN337">
        <v>1.0000000604321599</v>
      </c>
    </row>
    <row r="338" spans="1:40" x14ac:dyDescent="0.25">
      <c r="A338" t="str">
        <f>"20190304164342599"</f>
        <v>20190304164342599</v>
      </c>
      <c r="B338" t="str">
        <f>"1551689022590146"</f>
        <v>1551689022590146</v>
      </c>
      <c r="C338" t="s">
        <v>40</v>
      </c>
      <c r="D338">
        <v>5.4316449999999996</v>
      </c>
      <c r="E338">
        <v>0.55276099999999995</v>
      </c>
      <c r="F338" t="s">
        <v>41</v>
      </c>
      <c r="G338">
        <v>-422.25599999999997</v>
      </c>
      <c r="H338">
        <v>0.81332740000000003</v>
      </c>
      <c r="I338">
        <v>367.00510000000003</v>
      </c>
      <c r="J338">
        <v>-422.8152</v>
      </c>
      <c r="K338">
        <v>1.060489</v>
      </c>
      <c r="L338">
        <v>366.99220000000003</v>
      </c>
      <c r="M338">
        <v>0.99990100000000004</v>
      </c>
      <c r="N338">
        <v>-1.3812909999999999E-2</v>
      </c>
      <c r="O338">
        <v>2.7433510000000002E-3</v>
      </c>
      <c r="P338">
        <v>0.95493300000000003</v>
      </c>
      <c r="Q338">
        <v>0.28117160000000002</v>
      </c>
      <c r="R338">
        <v>9.5108509999999993E-2</v>
      </c>
      <c r="S338">
        <v>3.4784549999999999</v>
      </c>
      <c r="T338">
        <v>-1.1714990000000001</v>
      </c>
      <c r="U338">
        <v>6.5338129999999994E-2</v>
      </c>
      <c r="V338">
        <v>-9.2498810000000001E-2</v>
      </c>
      <c r="W338">
        <v>0.29433520000000002</v>
      </c>
      <c r="X338">
        <v>0.95121540000000004</v>
      </c>
      <c r="Y338">
        <v>-1.5295889999999999E-2</v>
      </c>
      <c r="Z338">
        <v>1.7528540000000001E-3</v>
      </c>
      <c r="AA338">
        <v>0.99988140000000003</v>
      </c>
      <c r="AB338">
        <v>33</v>
      </c>
      <c r="AC338">
        <v>0.559200000000032</v>
      </c>
      <c r="AD338">
        <v>-0.24716160000000001</v>
      </c>
      <c r="AE338">
        <v>1.29000000000019E-2</v>
      </c>
      <c r="AF338">
        <v>-9.5090563698853898E-3</v>
      </c>
      <c r="AG338">
        <v>-0.24716160000000001</v>
      </c>
      <c r="AH338">
        <v>0.46787878310477199</v>
      </c>
      <c r="AI338">
        <v>117.84081167852599</v>
      </c>
      <c r="AJ338">
        <v>91.164305415432295</v>
      </c>
      <c r="AK338">
        <v>0.52923514088466195</v>
      </c>
      <c r="AL338">
        <v>72.882322453278604</v>
      </c>
      <c r="AM338">
        <v>95.554136689494996</v>
      </c>
      <c r="AN338">
        <v>0.999999988503808</v>
      </c>
    </row>
    <row r="339" spans="1:40" x14ac:dyDescent="0.25">
      <c r="A339" t="str">
        <f>"20190304164342612"</f>
        <v>20190304164342612</v>
      </c>
      <c r="B339" t="str">
        <f>"1551689022600882"</f>
        <v>1551689022600882</v>
      </c>
      <c r="C339" t="s">
        <v>40</v>
      </c>
      <c r="D339">
        <v>5.5469429999999997</v>
      </c>
      <c r="E339">
        <v>0.55197750000000001</v>
      </c>
      <c r="F339" t="s">
        <v>41</v>
      </c>
      <c r="G339">
        <v>-421.97919999999999</v>
      </c>
      <c r="H339">
        <v>0.77437199999999995</v>
      </c>
      <c r="I339">
        <v>367.00970000000001</v>
      </c>
      <c r="J339">
        <v>-422.62759999999997</v>
      </c>
      <c r="K339">
        <v>1.0604929999999999</v>
      </c>
      <c r="L339">
        <v>366.99270000000001</v>
      </c>
      <c r="M339">
        <v>0.99990020000000002</v>
      </c>
      <c r="N339">
        <v>-1.3867539999999999E-2</v>
      </c>
      <c r="O339">
        <v>2.741135E-3</v>
      </c>
      <c r="P339">
        <v>0.9549223</v>
      </c>
      <c r="Q339">
        <v>0.28141630000000001</v>
      </c>
      <c r="R339">
        <v>9.4491320000000004E-2</v>
      </c>
      <c r="S339">
        <v>3.4854129999999999</v>
      </c>
      <c r="T339">
        <v>-1.192912</v>
      </c>
      <c r="U339">
        <v>7.3913569999999998E-2</v>
      </c>
      <c r="V339">
        <v>-9.1879429999999998E-2</v>
      </c>
      <c r="W339">
        <v>0.2946336</v>
      </c>
      <c r="X339">
        <v>0.95118309999999995</v>
      </c>
      <c r="Y339">
        <v>-1.7562000000000001E-2</v>
      </c>
      <c r="Z339">
        <v>2.172069E-3</v>
      </c>
      <c r="AA339">
        <v>0.99984340000000005</v>
      </c>
      <c r="AB339">
        <v>33</v>
      </c>
      <c r="AC339">
        <v>0.64839999999997999</v>
      </c>
      <c r="AD339">
        <v>-0.28612100000000001</v>
      </c>
      <c r="AE339">
        <v>1.69999999999959E-2</v>
      </c>
      <c r="AF339">
        <v>-1.27428195796629E-2</v>
      </c>
      <c r="AG339">
        <v>-0.28612100000000001</v>
      </c>
      <c r="AH339">
        <v>0.54281845969926801</v>
      </c>
      <c r="AI339">
        <v>117.78731936715</v>
      </c>
      <c r="AJ339">
        <v>91.344787919006393</v>
      </c>
      <c r="AK339">
        <v>0.61374219855092704</v>
      </c>
      <c r="AL339">
        <v>72.864432954952704</v>
      </c>
      <c r="AM339">
        <v>95.517362143983206</v>
      </c>
      <c r="AN339">
        <v>1.0000000388158401</v>
      </c>
    </row>
    <row r="340" spans="1:40" x14ac:dyDescent="0.25">
      <c r="A340" t="str">
        <f>"20190304164342631"</f>
        <v>20190304164342631</v>
      </c>
      <c r="B340" t="str">
        <f>"1551689022620401"</f>
        <v>1551689022620401</v>
      </c>
      <c r="C340" t="s">
        <v>40</v>
      </c>
      <c r="D340">
        <v>5.5575340000000004</v>
      </c>
      <c r="E340">
        <v>0.5510391</v>
      </c>
      <c r="F340" t="s">
        <v>41</v>
      </c>
      <c r="G340">
        <v>-421.95639999999997</v>
      </c>
      <c r="H340">
        <v>0.82725479999999996</v>
      </c>
      <c r="I340">
        <v>367.00779999999997</v>
      </c>
      <c r="J340">
        <v>-422.35969999999998</v>
      </c>
      <c r="K340">
        <v>1.060492</v>
      </c>
      <c r="L340">
        <v>366.99340000000001</v>
      </c>
      <c r="M340">
        <v>0.99989919999999999</v>
      </c>
      <c r="N340">
        <v>-1.3936230000000001E-2</v>
      </c>
      <c r="O340">
        <v>2.7343490000000001E-3</v>
      </c>
      <c r="P340">
        <v>0.95483530000000005</v>
      </c>
      <c r="Q340">
        <v>0.28214660000000003</v>
      </c>
      <c r="R340">
        <v>9.3183100000000005E-2</v>
      </c>
      <c r="S340">
        <v>3.491333</v>
      </c>
      <c r="T340">
        <v>-1.213163</v>
      </c>
      <c r="U340">
        <v>7.9528810000000005E-2</v>
      </c>
      <c r="V340">
        <v>-9.0573390000000004E-2</v>
      </c>
      <c r="W340">
        <v>0.2954292</v>
      </c>
      <c r="X340">
        <v>0.9510615</v>
      </c>
      <c r="Y340">
        <v>-1.902409E-2</v>
      </c>
      <c r="Z340">
        <v>2.461324E-3</v>
      </c>
      <c r="AA340">
        <v>0.99981600000000004</v>
      </c>
      <c r="AB340">
        <v>33</v>
      </c>
      <c r="AC340">
        <v>0.40330000000000099</v>
      </c>
      <c r="AD340">
        <v>-0.23323719999999901</v>
      </c>
      <c r="AE340">
        <v>1.43999999999664E-2</v>
      </c>
      <c r="AF340">
        <v>-9.9675967454177401E-3</v>
      </c>
      <c r="AG340">
        <v>-0.23323719999999901</v>
      </c>
      <c r="AH340">
        <v>0.30234535749306302</v>
      </c>
      <c r="AI340">
        <v>127.632494735601</v>
      </c>
      <c r="AJ340">
        <v>91.888219691082597</v>
      </c>
      <c r="AK340">
        <v>0.38198384736311403</v>
      </c>
      <c r="AL340">
        <v>72.816723501939705</v>
      </c>
      <c r="AM340">
        <v>95.440099446983993</v>
      </c>
      <c r="AN340">
        <v>0.99999996398548996</v>
      </c>
    </row>
    <row r="341" spans="1:40" x14ac:dyDescent="0.25">
      <c r="A341" t="str">
        <f>"20190304164342655"</f>
        <v>20190304164342655</v>
      </c>
      <c r="B341" t="str">
        <f>"1551689022639922"</f>
        <v>1551689022639922</v>
      </c>
      <c r="C341" t="s">
        <v>40</v>
      </c>
      <c r="D341">
        <v>5.5510760000000001</v>
      </c>
      <c r="E341">
        <v>0.55050969999999999</v>
      </c>
      <c r="F341" t="s">
        <v>41</v>
      </c>
      <c r="G341">
        <v>-421.66789999999997</v>
      </c>
      <c r="H341">
        <v>0.81618259999999998</v>
      </c>
      <c r="I341">
        <v>367.00979999999998</v>
      </c>
      <c r="J341">
        <v>-422.01069999999999</v>
      </c>
      <c r="K341">
        <v>1.060489</v>
      </c>
      <c r="L341">
        <v>366.99439999999998</v>
      </c>
      <c r="M341">
        <v>0.99989819999999996</v>
      </c>
      <c r="N341">
        <v>-1.4014479999999999E-2</v>
      </c>
      <c r="O341">
        <v>2.724757E-3</v>
      </c>
      <c r="P341">
        <v>0.95474820000000005</v>
      </c>
      <c r="Q341">
        <v>0.28280840000000002</v>
      </c>
      <c r="R341">
        <v>9.2062290000000005E-2</v>
      </c>
      <c r="S341">
        <v>3.498688</v>
      </c>
      <c r="T341">
        <v>-1.235465</v>
      </c>
      <c r="U341">
        <v>8.4655759999999997E-2</v>
      </c>
      <c r="V341">
        <v>-8.9457229999999999E-2</v>
      </c>
      <c r="W341">
        <v>0.29616520000000002</v>
      </c>
      <c r="X341">
        <v>0.95093830000000001</v>
      </c>
      <c r="Y341">
        <v>-2.0335249999999999E-2</v>
      </c>
      <c r="Z341">
        <v>2.7347080000000002E-3</v>
      </c>
      <c r="AA341">
        <v>0.9997895</v>
      </c>
      <c r="AB341">
        <v>33</v>
      </c>
      <c r="AC341">
        <v>0.34280000000001098</v>
      </c>
      <c r="AD341">
        <v>-0.24430640000000001</v>
      </c>
      <c r="AE341">
        <v>1.53999999999996E-2</v>
      </c>
      <c r="AF341">
        <v>-9.5997840864835704E-3</v>
      </c>
      <c r="AG341">
        <v>-0.24430640000000001</v>
      </c>
      <c r="AH341">
        <v>0.227515630133069</v>
      </c>
      <c r="AI341">
        <v>137.01271455673901</v>
      </c>
      <c r="AJ341">
        <v>92.416102359283101</v>
      </c>
      <c r="AK341">
        <v>0.33397774610041697</v>
      </c>
      <c r="AL341">
        <v>72.772579623219301</v>
      </c>
      <c r="AM341">
        <v>95.374146576167604</v>
      </c>
      <c r="AN341">
        <v>1.0000000360486001</v>
      </c>
    </row>
    <row r="342" spans="1:40" x14ac:dyDescent="0.25">
      <c r="A342" t="str">
        <f>"20190304164342676"</f>
        <v>20190304164342676</v>
      </c>
      <c r="B342" t="str">
        <f>"1551689022670178"</f>
        <v>1551689022670178</v>
      </c>
      <c r="C342" t="s">
        <v>40</v>
      </c>
      <c r="D342">
        <v>5.4549909999999997</v>
      </c>
      <c r="E342">
        <v>0.55041640000000003</v>
      </c>
      <c r="F342" t="s">
        <v>41</v>
      </c>
      <c r="G342">
        <v>-421.11419999999998</v>
      </c>
      <c r="H342">
        <v>0.74146099999999904</v>
      </c>
      <c r="I342">
        <v>367.01560000000001</v>
      </c>
      <c r="J342">
        <v>-421.70710000000003</v>
      </c>
      <c r="K342">
        <v>1.0604960000000001</v>
      </c>
      <c r="L342">
        <v>366.99520000000001</v>
      </c>
      <c r="M342">
        <v>0.99989740000000005</v>
      </c>
      <c r="N342">
        <v>-1.407223E-2</v>
      </c>
      <c r="O342">
        <v>2.718921E-3</v>
      </c>
      <c r="P342">
        <v>0.9546753</v>
      </c>
      <c r="Q342">
        <v>0.28333779999999997</v>
      </c>
      <c r="R342">
        <v>9.1185920000000004E-2</v>
      </c>
      <c r="S342">
        <v>3.5032649999999999</v>
      </c>
      <c r="T342">
        <v>-1.2465440000000001</v>
      </c>
      <c r="U342">
        <v>8.4838869999999997E-2</v>
      </c>
      <c r="V342">
        <v>-8.8584289999999996E-2</v>
      </c>
      <c r="W342">
        <v>0.29674909999999999</v>
      </c>
      <c r="X342">
        <v>0.95083799999999996</v>
      </c>
      <c r="Y342">
        <v>-2.0344149999999998E-2</v>
      </c>
      <c r="Z342">
        <v>2.7574349999999999E-3</v>
      </c>
      <c r="AA342">
        <v>0.99978920000000004</v>
      </c>
      <c r="AB342">
        <v>33</v>
      </c>
      <c r="AC342">
        <v>0.59290000000004195</v>
      </c>
      <c r="AD342">
        <v>-0.31903500000000001</v>
      </c>
      <c r="AE342">
        <v>2.0399999999994999E-2</v>
      </c>
      <c r="AF342">
        <v>-1.4573146913571099E-2</v>
      </c>
      <c r="AG342">
        <v>-0.31903500000000001</v>
      </c>
      <c r="AH342">
        <v>0.45993855008083701</v>
      </c>
      <c r="AI342">
        <v>124.733534187104</v>
      </c>
      <c r="AJ342">
        <v>91.814808864477499</v>
      </c>
      <c r="AK342">
        <v>0.55994569172949904</v>
      </c>
      <c r="AL342">
        <v>72.737550208321807</v>
      </c>
      <c r="AM342">
        <v>95.322565436908604</v>
      </c>
      <c r="AN342">
        <v>1.0000000535147999</v>
      </c>
    </row>
    <row r="343" spans="1:40" x14ac:dyDescent="0.25">
      <c r="A343" t="str">
        <f>"20190304164342687"</f>
        <v>20190304164342687</v>
      </c>
      <c r="B343" t="str">
        <f>"1551689022670178"</f>
        <v>1551689022670178</v>
      </c>
      <c r="C343" t="s">
        <v>40</v>
      </c>
      <c r="D343">
        <v>5.4549909999999997</v>
      </c>
      <c r="E343">
        <v>0.55041640000000003</v>
      </c>
      <c r="F343" t="s">
        <v>41</v>
      </c>
      <c r="G343">
        <v>-420.82080000000002</v>
      </c>
      <c r="H343">
        <v>0.74438349999999998</v>
      </c>
      <c r="I343">
        <v>367.01659999999998</v>
      </c>
      <c r="J343">
        <v>-421.52710000000002</v>
      </c>
      <c r="K343">
        <v>1.060497</v>
      </c>
      <c r="L343">
        <v>366.9957</v>
      </c>
      <c r="M343">
        <v>0.99989689999999998</v>
      </c>
      <c r="N343">
        <v>-1.410227E-2</v>
      </c>
      <c r="O343">
        <v>2.716652E-3</v>
      </c>
      <c r="P343">
        <v>0.95468399999999998</v>
      </c>
      <c r="Q343">
        <v>0.28340710000000002</v>
      </c>
      <c r="R343">
        <v>9.0877609999999998E-2</v>
      </c>
      <c r="S343">
        <v>3.5054630000000002</v>
      </c>
      <c r="T343">
        <v>-1.2503329999999999</v>
      </c>
      <c r="U343">
        <v>8.4259029999999999E-2</v>
      </c>
      <c r="V343">
        <v>-8.8276759999999996E-2</v>
      </c>
      <c r="W343">
        <v>0.2968478</v>
      </c>
      <c r="X343">
        <v>0.95083569999999995</v>
      </c>
      <c r="Y343">
        <v>-2.0171560000000002E-2</v>
      </c>
      <c r="Z343">
        <v>2.733334E-3</v>
      </c>
      <c r="AA343">
        <v>0.99979280000000004</v>
      </c>
      <c r="AB343">
        <v>33</v>
      </c>
      <c r="AC343">
        <v>0.70629999999999804</v>
      </c>
      <c r="AD343">
        <v>-0.31611349999999999</v>
      </c>
      <c r="AE343">
        <v>2.0899999999983199E-2</v>
      </c>
      <c r="AF343">
        <v>-1.5815660615179802E-2</v>
      </c>
      <c r="AG343">
        <v>-0.31611349999999999</v>
      </c>
      <c r="AH343">
        <v>0.58856124608527105</v>
      </c>
      <c r="AI343">
        <v>118.231418951386</v>
      </c>
      <c r="AJ343">
        <v>91.539266459834593</v>
      </c>
      <c r="AK343">
        <v>0.66826807524854204</v>
      </c>
      <c r="AL343">
        <v>72.731626707095401</v>
      </c>
      <c r="AM343">
        <v>95.304205903551605</v>
      </c>
      <c r="AN343">
        <v>0.99999996555771298</v>
      </c>
    </row>
    <row r="344" spans="1:40" x14ac:dyDescent="0.25">
      <c r="A344" t="str">
        <f>"20190304164342709"</f>
        <v>20190304164342709</v>
      </c>
      <c r="B344" t="str">
        <f>"1551689022700433"</f>
        <v>1551689022700433</v>
      </c>
      <c r="C344" t="s">
        <v>40</v>
      </c>
      <c r="D344">
        <v>5.454523</v>
      </c>
      <c r="E344">
        <v>0.55031229999999998</v>
      </c>
      <c r="F344" t="s">
        <v>41</v>
      </c>
      <c r="G344">
        <v>-420.79739999999998</v>
      </c>
      <c r="H344">
        <v>0.80022939999999998</v>
      </c>
      <c r="I344">
        <v>367.01319999999998</v>
      </c>
      <c r="J344">
        <v>-421.21179999999998</v>
      </c>
      <c r="K344">
        <v>1.0605089999999999</v>
      </c>
      <c r="L344">
        <v>366.9966</v>
      </c>
      <c r="M344">
        <v>0.99989620000000001</v>
      </c>
      <c r="N344">
        <v>-1.4149790000000001E-2</v>
      </c>
      <c r="O344">
        <v>2.7140670000000001E-3</v>
      </c>
      <c r="P344">
        <v>0.95470770000000005</v>
      </c>
      <c r="Q344">
        <v>0.283302</v>
      </c>
      <c r="R344">
        <v>9.0957239999999995E-2</v>
      </c>
      <c r="S344">
        <v>3.5055540000000001</v>
      </c>
      <c r="T344">
        <v>-1.2501770000000001</v>
      </c>
      <c r="U344">
        <v>8.3923339999999999E-2</v>
      </c>
      <c r="V344">
        <v>-8.8356900000000002E-2</v>
      </c>
      <c r="W344">
        <v>0.29678870000000002</v>
      </c>
      <c r="X344">
        <v>0.95084679999999999</v>
      </c>
      <c r="Y344">
        <v>-2.0083440000000001E-2</v>
      </c>
      <c r="Z344">
        <v>2.7185680000000002E-3</v>
      </c>
      <c r="AA344">
        <v>0.99979459999999998</v>
      </c>
      <c r="AB344">
        <v>33</v>
      </c>
      <c r="AC344">
        <v>0.41439999999999999</v>
      </c>
      <c r="AD344">
        <v>-0.260279599999999</v>
      </c>
      <c r="AE344">
        <v>1.6599999999982601E-2</v>
      </c>
      <c r="AF344">
        <v>-1.1102328099455199E-2</v>
      </c>
      <c r="AG344">
        <v>-0.260279599999999</v>
      </c>
      <c r="AH344">
        <v>0.29733462456841298</v>
      </c>
      <c r="AI344">
        <v>131.17834428707999</v>
      </c>
      <c r="AJ344">
        <v>92.138402677052298</v>
      </c>
      <c r="AK344">
        <v>0.39531836642461599</v>
      </c>
      <c r="AL344">
        <v>72.735174295383501</v>
      </c>
      <c r="AM344">
        <v>95.308932078903098</v>
      </c>
      <c r="AN344">
        <v>1.00000005564776</v>
      </c>
    </row>
    <row r="345" spans="1:40" x14ac:dyDescent="0.25">
      <c r="A345" t="str">
        <f>"20190304164342731"</f>
        <v>20190304164342731</v>
      </c>
      <c r="B345" t="str">
        <f>"1551689022719972"</f>
        <v>1551689022719972</v>
      </c>
      <c r="C345" t="s">
        <v>40</v>
      </c>
      <c r="D345">
        <v>5.5931259999999998</v>
      </c>
      <c r="E345">
        <v>0.55012569999999905</v>
      </c>
      <c r="F345" t="s">
        <v>41</v>
      </c>
      <c r="G345">
        <v>-420.50279999999998</v>
      </c>
      <c r="H345">
        <v>0.80668139999999999</v>
      </c>
      <c r="I345">
        <v>367.0136</v>
      </c>
      <c r="J345">
        <v>-420.89670000000001</v>
      </c>
      <c r="K345">
        <v>1.060516</v>
      </c>
      <c r="L345">
        <v>366.99740000000003</v>
      </c>
      <c r="M345">
        <v>0.9998958</v>
      </c>
      <c r="N345">
        <v>-1.419054E-2</v>
      </c>
      <c r="O345">
        <v>2.7127369999999998E-3</v>
      </c>
      <c r="P345">
        <v>0.95473549999999996</v>
      </c>
      <c r="Q345">
        <v>0.28309869999999998</v>
      </c>
      <c r="R345">
        <v>9.1299190000000002E-2</v>
      </c>
      <c r="S345">
        <v>3.5065919999999999</v>
      </c>
      <c r="T345">
        <v>-1.255412</v>
      </c>
      <c r="U345">
        <v>8.6761469999999993E-2</v>
      </c>
      <c r="V345">
        <v>-8.8698949999999999E-2</v>
      </c>
      <c r="W345">
        <v>0.29662519999999998</v>
      </c>
      <c r="X345">
        <v>0.95086590000000004</v>
      </c>
      <c r="Y345">
        <v>-2.0829509999999999E-2</v>
      </c>
      <c r="Z345">
        <v>2.8637990000000002E-3</v>
      </c>
      <c r="AA345">
        <v>0.99977890000000003</v>
      </c>
      <c r="AB345">
        <v>33</v>
      </c>
      <c r="AC345">
        <v>0.39390000000003</v>
      </c>
      <c r="AD345">
        <v>-0.25383460000000002</v>
      </c>
      <c r="AE345">
        <v>1.6199999999969301E-2</v>
      </c>
      <c r="AF345">
        <v>-1.0696754412074299E-2</v>
      </c>
      <c r="AG345">
        <v>-0.25383460000000002</v>
      </c>
      <c r="AH345">
        <v>0.278489629195035</v>
      </c>
      <c r="AI345">
        <v>132.32716881648901</v>
      </c>
      <c r="AJ345">
        <v>92.199642957102</v>
      </c>
      <c r="AK345">
        <v>0.37696538074642899</v>
      </c>
      <c r="AL345">
        <v>72.744982662539002</v>
      </c>
      <c r="AM345">
        <v>95.329259638165595</v>
      </c>
      <c r="AN345">
        <v>0.99999998639447596</v>
      </c>
    </row>
    <row r="346" spans="1:40" x14ac:dyDescent="0.25">
      <c r="A346" t="str">
        <f>"20190304164342743"</f>
        <v>20190304164342743</v>
      </c>
      <c r="B346" t="str">
        <f>"1551689022730689"</f>
        <v>1551689022730689</v>
      </c>
      <c r="C346" t="s">
        <v>40</v>
      </c>
      <c r="D346">
        <v>5.4714919999999996</v>
      </c>
      <c r="E346">
        <v>0.55010059999999905</v>
      </c>
      <c r="F346" t="s">
        <v>41</v>
      </c>
      <c r="G346">
        <v>-420.20850000000002</v>
      </c>
      <c r="H346">
        <v>0.8130522</v>
      </c>
      <c r="I346">
        <v>367.01530000000002</v>
      </c>
      <c r="J346">
        <v>-420.72239999999999</v>
      </c>
      <c r="K346">
        <v>1.060511</v>
      </c>
      <c r="L346">
        <v>366.99790000000002</v>
      </c>
      <c r="M346">
        <v>0.99989550000000005</v>
      </c>
      <c r="N346">
        <v>-1.42101E-2</v>
      </c>
      <c r="O346">
        <v>2.7124100000000002E-3</v>
      </c>
      <c r="P346">
        <v>0.95473770000000002</v>
      </c>
      <c r="Q346">
        <v>0.28310580000000002</v>
      </c>
      <c r="R346">
        <v>9.1254489999999994E-2</v>
      </c>
      <c r="S346">
        <v>3.507355</v>
      </c>
      <c r="T346">
        <v>-1.2610980000000001</v>
      </c>
      <c r="U346">
        <v>9.2254639999999999E-2</v>
      </c>
      <c r="V346">
        <v>-8.8654239999999995E-2</v>
      </c>
      <c r="W346">
        <v>0.29665069999999999</v>
      </c>
      <c r="X346">
        <v>0.95086210000000004</v>
      </c>
      <c r="Y346">
        <v>-2.2284499999999999E-2</v>
      </c>
      <c r="Z346">
        <v>3.1392540000000002E-3</v>
      </c>
      <c r="AA346">
        <v>0.99974669999999999</v>
      </c>
      <c r="AB346">
        <v>33</v>
      </c>
      <c r="AC346">
        <v>0.51389999999997804</v>
      </c>
      <c r="AD346">
        <v>-0.24745880000000001</v>
      </c>
      <c r="AE346">
        <v>1.7400000000009099E-2</v>
      </c>
      <c r="AF346">
        <v>-1.29959417518179E-2</v>
      </c>
      <c r="AG346">
        <v>-0.24745880000000001</v>
      </c>
      <c r="AH346">
        <v>0.417296643557586</v>
      </c>
      <c r="AI346">
        <v>120.655950009946</v>
      </c>
      <c r="AJ346">
        <v>91.783795849038199</v>
      </c>
      <c r="AK346">
        <v>0.48532591206722497</v>
      </c>
      <c r="AL346">
        <v>72.743452514560204</v>
      </c>
      <c r="AM346">
        <v>95.326609966808704</v>
      </c>
      <c r="AN346">
        <v>0.99999997264843798</v>
      </c>
    </row>
    <row r="347" spans="1:40" x14ac:dyDescent="0.25">
      <c r="A347" t="str">
        <f>"20190304164342756"</f>
        <v>20190304164342756</v>
      </c>
      <c r="B347" t="str">
        <f>"1551689022750210"</f>
        <v>1551689022750210</v>
      </c>
      <c r="C347" t="s">
        <v>40</v>
      </c>
      <c r="D347">
        <v>5.4987309999999896</v>
      </c>
      <c r="E347">
        <v>0.55004469999999905</v>
      </c>
      <c r="F347" t="s">
        <v>41</v>
      </c>
      <c r="G347">
        <v>-419.9332</v>
      </c>
      <c r="H347">
        <v>0.77653459999999996</v>
      </c>
      <c r="I347">
        <v>367.0181</v>
      </c>
      <c r="J347">
        <v>-420.54050000000001</v>
      </c>
      <c r="K347">
        <v>1.0605169999999999</v>
      </c>
      <c r="L347">
        <v>366.9984</v>
      </c>
      <c r="M347">
        <v>0.99989519999999998</v>
      </c>
      <c r="N347">
        <v>-1.422943E-2</v>
      </c>
      <c r="O347">
        <v>2.7122639999999998E-3</v>
      </c>
      <c r="P347">
        <v>0.95478490000000005</v>
      </c>
      <c r="Q347">
        <v>0.28289249999999999</v>
      </c>
      <c r="R347">
        <v>9.1421139999999998E-2</v>
      </c>
      <c r="S347">
        <v>3.50766</v>
      </c>
      <c r="T347">
        <v>-1.262146</v>
      </c>
      <c r="U347">
        <v>9.2132569999999997E-2</v>
      </c>
      <c r="V347">
        <v>-8.8820789999999997E-2</v>
      </c>
      <c r="W347">
        <v>0.29645670000000002</v>
      </c>
      <c r="X347">
        <v>0.95090710000000001</v>
      </c>
      <c r="Y347">
        <v>-2.224804E-2</v>
      </c>
      <c r="Z347">
        <v>3.1350140000000002E-3</v>
      </c>
      <c r="AA347">
        <v>0.99974759999999996</v>
      </c>
      <c r="AB347">
        <v>33</v>
      </c>
      <c r="AC347">
        <v>0.60730000000000905</v>
      </c>
      <c r="AD347">
        <v>-0.28398240000000002</v>
      </c>
      <c r="AE347">
        <v>1.97000000000002E-2</v>
      </c>
      <c r="AF347">
        <v>-1.4816238109014199E-2</v>
      </c>
      <c r="AG347">
        <v>-0.28398240000000002</v>
      </c>
      <c r="AH347">
        <v>0.498468837282875</v>
      </c>
      <c r="AI347">
        <v>119.659693004489</v>
      </c>
      <c r="AJ347">
        <v>91.702529789903707</v>
      </c>
      <c r="AK347">
        <v>0.57387865107843505</v>
      </c>
      <c r="AL347">
        <v>72.7550921295162</v>
      </c>
      <c r="AM347">
        <v>95.336307980194604</v>
      </c>
      <c r="AN347">
        <v>1.00000001027076</v>
      </c>
    </row>
    <row r="348" spans="1:40" x14ac:dyDescent="0.25">
      <c r="A348" t="str">
        <f>"20190304164342768"</f>
        <v>20190304164342768</v>
      </c>
      <c r="B348" t="str">
        <f>"1551689022759970"</f>
        <v>1551689022759970</v>
      </c>
      <c r="C348" t="s">
        <v>40</v>
      </c>
      <c r="D348">
        <v>5.4955089999999904</v>
      </c>
      <c r="E348">
        <v>0.55000490000000002</v>
      </c>
      <c r="F348" t="s">
        <v>41</v>
      </c>
      <c r="G348">
        <v>-419.65660000000003</v>
      </c>
      <c r="H348">
        <v>0.74182669999999995</v>
      </c>
      <c r="I348">
        <v>367.02179999999998</v>
      </c>
      <c r="J348">
        <v>-420.34469999999999</v>
      </c>
      <c r="K348">
        <v>1.0605230000000001</v>
      </c>
      <c r="L348">
        <v>366.99889999999999</v>
      </c>
      <c r="M348">
        <v>0.99989490000000003</v>
      </c>
      <c r="N348">
        <v>-1.424773E-2</v>
      </c>
      <c r="O348">
        <v>2.7123070000000002E-3</v>
      </c>
      <c r="P348">
        <v>0.95476070000000002</v>
      </c>
      <c r="Q348">
        <v>0.28292070000000002</v>
      </c>
      <c r="R348">
        <v>9.1586020000000004E-2</v>
      </c>
      <c r="S348">
        <v>3.5078429999999998</v>
      </c>
      <c r="T348">
        <v>-1.2647060000000001</v>
      </c>
      <c r="U348">
        <v>9.3475340000000004E-2</v>
      </c>
      <c r="V348">
        <v>-8.8985439999999999E-2</v>
      </c>
      <c r="W348">
        <v>0.29650179999999998</v>
      </c>
      <c r="X348">
        <v>0.95087770000000005</v>
      </c>
      <c r="Y348">
        <v>-2.260096E-2</v>
      </c>
      <c r="Z348">
        <v>3.204976E-3</v>
      </c>
      <c r="AA348">
        <v>0.99973939999999994</v>
      </c>
      <c r="AB348">
        <v>33</v>
      </c>
      <c r="AC348">
        <v>0.68809999999996296</v>
      </c>
      <c r="AD348">
        <v>-0.31869629999999899</v>
      </c>
      <c r="AE348">
        <v>2.2899999999992801E-2</v>
      </c>
      <c r="AF348">
        <v>-1.7321775762128601E-2</v>
      </c>
      <c r="AG348">
        <v>-0.31869629999999899</v>
      </c>
      <c r="AH348">
        <v>0.566724963602669</v>
      </c>
      <c r="AI348">
        <v>119.339683101807</v>
      </c>
      <c r="AJ348">
        <v>91.750683008498797</v>
      </c>
      <c r="AK348">
        <v>0.65041875735535903</v>
      </c>
      <c r="AL348">
        <v>72.752387380747905</v>
      </c>
      <c r="AM348">
        <v>95.346307143641596</v>
      </c>
      <c r="AN348">
        <v>1.00000006314625</v>
      </c>
    </row>
    <row r="349" spans="1:40" x14ac:dyDescent="0.25">
      <c r="A349" t="str">
        <f>"20190304164342788"</f>
        <v>20190304164342788</v>
      </c>
      <c r="B349" t="str">
        <f>"1551689022780465"</f>
        <v>1551689022780465</v>
      </c>
      <c r="C349" t="s">
        <v>40</v>
      </c>
      <c r="D349">
        <v>5.4725440000000001</v>
      </c>
      <c r="E349">
        <v>0.54994419999999899</v>
      </c>
      <c r="F349" t="s">
        <v>41</v>
      </c>
      <c r="G349">
        <v>-419.6309</v>
      </c>
      <c r="H349">
        <v>0.80294639999999995</v>
      </c>
      <c r="I349">
        <v>367.0181</v>
      </c>
      <c r="J349">
        <v>-420.07499999999999</v>
      </c>
      <c r="K349">
        <v>1.0605309999999999</v>
      </c>
      <c r="L349">
        <v>366.99970000000002</v>
      </c>
      <c r="M349">
        <v>0.99989459999999997</v>
      </c>
      <c r="N349">
        <v>-1.42703E-2</v>
      </c>
      <c r="O349">
        <v>2.7123199999999998E-3</v>
      </c>
      <c r="P349">
        <v>0.95457429999999999</v>
      </c>
      <c r="Q349">
        <v>0.28348810000000002</v>
      </c>
      <c r="R349">
        <v>9.1774579999999994E-2</v>
      </c>
      <c r="S349">
        <v>3.5082089999999901</v>
      </c>
      <c r="T349">
        <v>-1.2659229999999999</v>
      </c>
      <c r="U349">
        <v>9.4635010000000006E-2</v>
      </c>
      <c r="V349">
        <v>-8.9174279999999995E-2</v>
      </c>
      <c r="W349">
        <v>0.29708780000000001</v>
      </c>
      <c r="X349">
        <v>0.95067699999999999</v>
      </c>
      <c r="Y349">
        <v>-2.2906099999999999E-2</v>
      </c>
      <c r="Z349">
        <v>3.2633200000000001E-3</v>
      </c>
      <c r="AA349">
        <v>0.99973230000000002</v>
      </c>
      <c r="AB349">
        <v>33</v>
      </c>
      <c r="AC349">
        <v>0.444099999999991</v>
      </c>
      <c r="AD349">
        <v>-0.257584599999999</v>
      </c>
      <c r="AE349">
        <v>1.8399999999985501E-2</v>
      </c>
      <c r="AF349">
        <v>-1.2872244484298599E-2</v>
      </c>
      <c r="AG349">
        <v>-0.257584599999999</v>
      </c>
      <c r="AH349">
        <v>0.33248595309044798</v>
      </c>
      <c r="AI349">
        <v>127.74500544582401</v>
      </c>
      <c r="AJ349">
        <v>92.217107588621502</v>
      </c>
      <c r="AK349">
        <v>0.42078786797825701</v>
      </c>
      <c r="AL349">
        <v>72.717226430173994</v>
      </c>
      <c r="AM349">
        <v>95.3587113032075</v>
      </c>
      <c r="AN349">
        <v>0.99999998572567905</v>
      </c>
    </row>
    <row r="350" spans="1:40" x14ac:dyDescent="0.25">
      <c r="A350" t="str">
        <f>"20190304164342799"</f>
        <v>20190304164342799</v>
      </c>
      <c r="B350" t="str">
        <f>"1551689022790226"</f>
        <v>1551689022790226</v>
      </c>
      <c r="C350" t="s">
        <v>40</v>
      </c>
      <c r="D350">
        <v>5.478809</v>
      </c>
      <c r="E350">
        <v>0.54993769999999997</v>
      </c>
      <c r="F350" t="s">
        <v>41</v>
      </c>
      <c r="G350">
        <v>-419.34320000000002</v>
      </c>
      <c r="H350">
        <v>0.796604599999999</v>
      </c>
      <c r="I350">
        <v>367.01900000000001</v>
      </c>
      <c r="J350">
        <v>-419.89139999999998</v>
      </c>
      <c r="K350">
        <v>1.0605370000000001</v>
      </c>
      <c r="L350">
        <v>367.00020000000001</v>
      </c>
      <c r="M350">
        <v>0.99989430000000001</v>
      </c>
      <c r="N350">
        <v>-1.428404E-2</v>
      </c>
      <c r="O350">
        <v>2.7122190000000001E-3</v>
      </c>
      <c r="P350">
        <v>0.95464070000000001</v>
      </c>
      <c r="Q350">
        <v>0.28338940000000001</v>
      </c>
      <c r="R350">
        <v>9.1388109999999995E-2</v>
      </c>
      <c r="S350">
        <v>3.5095209999999999</v>
      </c>
      <c r="T350">
        <v>-1.26584599999999</v>
      </c>
      <c r="U350">
        <v>9.5153810000000005E-2</v>
      </c>
      <c r="V350">
        <v>-8.8787759999999993E-2</v>
      </c>
      <c r="W350">
        <v>0.29700359999999998</v>
      </c>
      <c r="X350">
        <v>0.95073949999999996</v>
      </c>
      <c r="Y350">
        <v>-2.3036279999999999E-2</v>
      </c>
      <c r="Z350">
        <v>3.286012E-3</v>
      </c>
      <c r="AA350">
        <v>0.99972919999999998</v>
      </c>
      <c r="AB350">
        <v>33</v>
      </c>
      <c r="AC350">
        <v>0.54819999999995095</v>
      </c>
      <c r="AD350">
        <v>-0.26393240000000001</v>
      </c>
      <c r="AE350">
        <v>1.87999999999988E-2</v>
      </c>
      <c r="AF350">
        <v>-1.40581378586149E-2</v>
      </c>
      <c r="AG350">
        <v>-0.26393240000000001</v>
      </c>
      <c r="AH350">
        <v>0.44517912120722303</v>
      </c>
      <c r="AI350">
        <v>120.649815520533</v>
      </c>
      <c r="AJ350">
        <v>91.808720013231095</v>
      </c>
      <c r="AK350">
        <v>0.51772810718430895</v>
      </c>
      <c r="AL350">
        <v>72.722279050172403</v>
      </c>
      <c r="AM350">
        <v>95.335269935071807</v>
      </c>
      <c r="AN350">
        <v>1.00000000079951</v>
      </c>
    </row>
    <row r="351" spans="1:40" x14ac:dyDescent="0.25">
      <c r="A351" t="str">
        <f>"20190304164342821"</f>
        <v>20190304164342821</v>
      </c>
      <c r="B351" t="str">
        <f>"1551689022810721"</f>
        <v>1551689022810721</v>
      </c>
      <c r="C351" t="s">
        <v>40</v>
      </c>
      <c r="D351">
        <v>5.4706609999999998</v>
      </c>
      <c r="E351">
        <v>0.55039539999999998</v>
      </c>
      <c r="F351" t="s">
        <v>41</v>
      </c>
      <c r="G351">
        <v>-419.06740000000002</v>
      </c>
      <c r="H351">
        <v>0.76318350000000001</v>
      </c>
      <c r="I351">
        <v>367.02199999999999</v>
      </c>
      <c r="J351">
        <v>-419.589</v>
      </c>
      <c r="K351">
        <v>1.060549</v>
      </c>
      <c r="L351">
        <v>367.00099999999998</v>
      </c>
      <c r="M351">
        <v>0.99989419999999996</v>
      </c>
      <c r="N351">
        <v>-1.4303919999999999E-2</v>
      </c>
      <c r="O351">
        <v>2.7120730000000002E-3</v>
      </c>
      <c r="P351">
        <v>0.95448460000000002</v>
      </c>
      <c r="Q351">
        <v>0.28398699999999999</v>
      </c>
      <c r="R351">
        <v>9.1165330000000003E-2</v>
      </c>
      <c r="S351">
        <v>3.5096129999999999</v>
      </c>
      <c r="T351">
        <v>-1.266562</v>
      </c>
      <c r="U351">
        <v>9.3261720000000006E-2</v>
      </c>
      <c r="V351">
        <v>-8.8565560000000002E-2</v>
      </c>
      <c r="W351">
        <v>0.29761779999999999</v>
      </c>
      <c r="X351">
        <v>0.95056810000000003</v>
      </c>
      <c r="Y351">
        <v>-2.2528969999999999E-2</v>
      </c>
      <c r="Z351">
        <v>3.195467E-3</v>
      </c>
      <c r="AA351">
        <v>0.99974110000000005</v>
      </c>
      <c r="AB351">
        <v>32</v>
      </c>
      <c r="AC351">
        <v>0.52159999999997797</v>
      </c>
      <c r="AD351">
        <v>-0.29736549999999901</v>
      </c>
      <c r="AE351">
        <v>2.1000000000015E-2</v>
      </c>
      <c r="AF351">
        <v>-1.4786934410255701E-2</v>
      </c>
      <c r="AG351">
        <v>-0.29736549999999901</v>
      </c>
      <c r="AH351">
        <v>0.393853227559749</v>
      </c>
      <c r="AI351">
        <v>127.033986220157</v>
      </c>
      <c r="AJ351">
        <v>92.150118708694094</v>
      </c>
      <c r="AK351">
        <v>0.49372589447864101</v>
      </c>
      <c r="AL351">
        <v>72.685420628395704</v>
      </c>
      <c r="AM351">
        <v>95.322948780425406</v>
      </c>
      <c r="AN351">
        <v>0.99999996301628102</v>
      </c>
    </row>
    <row r="352" spans="1:40" x14ac:dyDescent="0.25">
      <c r="A352" t="str">
        <f>"20190304164342836"</f>
        <v>20190304164342836</v>
      </c>
      <c r="B352" t="str">
        <f>"1551689022830242"</f>
        <v>1551689022830242</v>
      </c>
      <c r="C352" t="s">
        <v>40</v>
      </c>
      <c r="D352">
        <v>5.4467270000000001</v>
      </c>
      <c r="E352">
        <v>0.55033900000000002</v>
      </c>
      <c r="F352" t="s">
        <v>41</v>
      </c>
      <c r="G352">
        <v>-418.77519999999998</v>
      </c>
      <c r="H352">
        <v>0.76930010000000004</v>
      </c>
      <c r="I352">
        <v>367.02100000000002</v>
      </c>
      <c r="J352">
        <v>-419.38319999999999</v>
      </c>
      <c r="K352">
        <v>1.060554</v>
      </c>
      <c r="L352">
        <v>367.0016</v>
      </c>
      <c r="M352">
        <v>0.99989399999999995</v>
      </c>
      <c r="N352">
        <v>-1.431578E-2</v>
      </c>
      <c r="O352">
        <v>2.7123429999999999E-3</v>
      </c>
      <c r="P352">
        <v>0.95444059999999997</v>
      </c>
      <c r="Q352">
        <v>0.28414800000000001</v>
      </c>
      <c r="R352">
        <v>9.1123309999999999E-2</v>
      </c>
      <c r="S352">
        <v>3.5082399999999998</v>
      </c>
      <c r="T352">
        <v>-1.2554419999999999</v>
      </c>
      <c r="U352">
        <v>8.7677000000000005E-2</v>
      </c>
      <c r="V352">
        <v>-8.8522970000000006E-2</v>
      </c>
      <c r="W352">
        <v>0.29778929999999998</v>
      </c>
      <c r="X352">
        <v>0.95051839999999999</v>
      </c>
      <c r="Y352">
        <v>-2.106425E-2</v>
      </c>
      <c r="Z352">
        <v>2.9069389999999999E-3</v>
      </c>
      <c r="AA352">
        <v>0.99977389999999999</v>
      </c>
      <c r="AB352">
        <v>32</v>
      </c>
      <c r="AC352">
        <v>0.60800000000000398</v>
      </c>
      <c r="AD352">
        <v>-0.29125389999999901</v>
      </c>
      <c r="AE352">
        <v>1.9399999999961798E-2</v>
      </c>
      <c r="AF352">
        <v>-1.44403247556734E-2</v>
      </c>
      <c r="AG352">
        <v>-0.29125389999999901</v>
      </c>
      <c r="AH352">
        <v>0.49465469914538901</v>
      </c>
      <c r="AI352">
        <v>120.479012262103</v>
      </c>
      <c r="AJ352">
        <v>91.672145745912502</v>
      </c>
      <c r="AK352">
        <v>0.57421305160269098</v>
      </c>
      <c r="AL352">
        <v>72.675128473367096</v>
      </c>
      <c r="AM352">
        <v>95.320680330650902</v>
      </c>
      <c r="AN352">
        <v>1.00000000607533</v>
      </c>
    </row>
    <row r="353" spans="1:40" x14ac:dyDescent="0.25">
      <c r="A353" t="str">
        <f>"20190304164342854"</f>
        <v>20190304164342854</v>
      </c>
      <c r="B353" t="str">
        <f>"1551689022840002"</f>
        <v>1551689022840002</v>
      </c>
      <c r="C353" t="s">
        <v>40</v>
      </c>
      <c r="D353">
        <v>5.5809959999999998</v>
      </c>
      <c r="E353">
        <v>0.55024469999999903</v>
      </c>
      <c r="F353" t="s">
        <v>41</v>
      </c>
      <c r="G353">
        <v>-418.4966</v>
      </c>
      <c r="H353">
        <v>0.74304389999999998</v>
      </c>
      <c r="I353">
        <v>367.02370000000002</v>
      </c>
      <c r="J353">
        <v>-419.11149999999998</v>
      </c>
      <c r="K353">
        <v>1.0605549999999999</v>
      </c>
      <c r="L353">
        <v>367.00229999999999</v>
      </c>
      <c r="M353">
        <v>0.9998937</v>
      </c>
      <c r="N353">
        <v>-1.4329400000000001E-2</v>
      </c>
      <c r="O353">
        <v>2.7125410000000002E-3</v>
      </c>
      <c r="P353">
        <v>0.95430309999999896</v>
      </c>
      <c r="Q353">
        <v>0.28447909999999998</v>
      </c>
      <c r="R353">
        <v>9.1529799999999994E-2</v>
      </c>
      <c r="S353">
        <v>3.5088810000000001</v>
      </c>
      <c r="T353">
        <v>-1.256537</v>
      </c>
      <c r="U353">
        <v>8.7951660000000001E-2</v>
      </c>
      <c r="V353">
        <v>-8.8929530000000007E-2</v>
      </c>
      <c r="W353">
        <v>0.29813119999999999</v>
      </c>
      <c r="X353">
        <v>0.95037329999999998</v>
      </c>
      <c r="Y353">
        <v>-2.1131690000000002E-2</v>
      </c>
      <c r="Z353">
        <v>2.9210299999999998E-3</v>
      </c>
      <c r="AA353">
        <v>0.99977240000000001</v>
      </c>
      <c r="AB353">
        <v>32</v>
      </c>
      <c r="AC353">
        <v>0.61489999999997702</v>
      </c>
      <c r="AD353">
        <v>-0.31751109999999899</v>
      </c>
      <c r="AE353">
        <v>2.1400000000028199E-2</v>
      </c>
      <c r="AF353">
        <v>-1.55821639724621E-2</v>
      </c>
      <c r="AG353">
        <v>-0.31751109999999899</v>
      </c>
      <c r="AH353">
        <v>0.48562917728145599</v>
      </c>
      <c r="AI353">
        <v>123.163715838383</v>
      </c>
      <c r="AJ353">
        <v>91.837793262407203</v>
      </c>
      <c r="AK353">
        <v>0.58042381092124296</v>
      </c>
      <c r="AL353">
        <v>72.654607556747195</v>
      </c>
      <c r="AM353">
        <v>95.345786774259096</v>
      </c>
      <c r="AN353">
        <v>1.0000000415361701</v>
      </c>
    </row>
    <row r="354" spans="1:40" x14ac:dyDescent="0.25">
      <c r="A354" t="str">
        <f>"20190304164342868"</f>
        <v>20190304164342868</v>
      </c>
      <c r="B354" t="str">
        <f>"1551689022860498"</f>
        <v>1551689022860498</v>
      </c>
      <c r="C354" t="s">
        <v>40</v>
      </c>
      <c r="D354">
        <v>5.4344989999999997</v>
      </c>
      <c r="E354">
        <v>0.55020139999999995</v>
      </c>
      <c r="F354" t="s">
        <v>41</v>
      </c>
      <c r="G354">
        <v>-418.2097</v>
      </c>
      <c r="H354">
        <v>0.73750780000000005</v>
      </c>
      <c r="I354">
        <v>367.02510000000001</v>
      </c>
      <c r="J354">
        <v>-418.9058</v>
      </c>
      <c r="K354">
        <v>1.060559</v>
      </c>
      <c r="L354">
        <v>367.00279999999998</v>
      </c>
      <c r="M354">
        <v>0.99989349999999999</v>
      </c>
      <c r="N354">
        <v>-1.4338200000000001E-2</v>
      </c>
      <c r="O354">
        <v>2.7128339999999999E-3</v>
      </c>
      <c r="P354">
        <v>0.95427779999999995</v>
      </c>
      <c r="Q354">
        <v>0.28460000000000002</v>
      </c>
      <c r="R354">
        <v>9.1416159999999996E-2</v>
      </c>
      <c r="S354">
        <v>3.5098569999999998</v>
      </c>
      <c r="T354">
        <v>-1.257312</v>
      </c>
      <c r="U354">
        <v>9.0087890000000004E-2</v>
      </c>
      <c r="V354">
        <v>-8.8815669999999999E-2</v>
      </c>
      <c r="W354">
        <v>0.29826039999999998</v>
      </c>
      <c r="X354">
        <v>0.95034339999999995</v>
      </c>
      <c r="Y354">
        <v>-2.1695220000000001E-2</v>
      </c>
      <c r="Z354">
        <v>3.0239469999999999E-3</v>
      </c>
      <c r="AA354">
        <v>0.99975999999999998</v>
      </c>
      <c r="AB354">
        <v>32</v>
      </c>
      <c r="AC354">
        <v>0.69610000000000105</v>
      </c>
      <c r="AD354">
        <v>-0.32305119999999998</v>
      </c>
      <c r="AE354">
        <v>2.2300000000029699E-2</v>
      </c>
      <c r="AF354">
        <v>-1.6797280153927799E-2</v>
      </c>
      <c r="AG354">
        <v>-0.32305119999999998</v>
      </c>
      <c r="AH354">
        <v>0.57289582257343896</v>
      </c>
      <c r="AI354">
        <v>119.407759378008</v>
      </c>
      <c r="AJ354">
        <v>91.679428583180197</v>
      </c>
      <c r="AK354">
        <v>0.65791629404059204</v>
      </c>
      <c r="AL354">
        <v>72.646851965403897</v>
      </c>
      <c r="AM354">
        <v>95.339148934297498</v>
      </c>
      <c r="AN354">
        <v>1.00000003368463</v>
      </c>
    </row>
    <row r="355" spans="1:40" x14ac:dyDescent="0.25">
      <c r="A355" t="str">
        <f>"20190304164342882"</f>
        <v>20190304164342882</v>
      </c>
      <c r="B355" t="str">
        <f>"1551689022870258"</f>
        <v>1551689022870258</v>
      </c>
      <c r="C355" t="s">
        <v>40</v>
      </c>
      <c r="D355">
        <v>5.4359529999999996</v>
      </c>
      <c r="E355">
        <v>0.55018599999999995</v>
      </c>
      <c r="F355" t="s">
        <v>41</v>
      </c>
      <c r="G355">
        <v>-418.18290000000002</v>
      </c>
      <c r="H355">
        <v>0.80142380000000002</v>
      </c>
      <c r="I355">
        <v>367.02120000000002</v>
      </c>
      <c r="J355">
        <v>-418.70600000000002</v>
      </c>
      <c r="K355">
        <v>1.060562</v>
      </c>
      <c r="L355">
        <v>367.0034</v>
      </c>
      <c r="M355">
        <v>0.99989360000000005</v>
      </c>
      <c r="N355">
        <v>-1.434595E-2</v>
      </c>
      <c r="O355">
        <v>2.712955E-3</v>
      </c>
      <c r="P355">
        <v>0.9542815</v>
      </c>
      <c r="Q355">
        <v>0.28442869999999998</v>
      </c>
      <c r="R355">
        <v>9.1908779999999995E-2</v>
      </c>
      <c r="S355">
        <v>3.510345</v>
      </c>
      <c r="T355">
        <v>-1.2583009999999999</v>
      </c>
      <c r="U355">
        <v>9.0515139999999994E-2</v>
      </c>
      <c r="V355">
        <v>-8.9308070000000003E-2</v>
      </c>
      <c r="W355">
        <v>0.29809619999999998</v>
      </c>
      <c r="X355">
        <v>0.95034870000000005</v>
      </c>
      <c r="Y355">
        <v>-2.1804480000000001E-2</v>
      </c>
      <c r="Z355">
        <v>3.0455320000000001E-3</v>
      </c>
      <c r="AA355">
        <v>0.99975760000000002</v>
      </c>
      <c r="AB355">
        <v>32</v>
      </c>
      <c r="AC355">
        <v>0.52309999999994194</v>
      </c>
      <c r="AD355">
        <v>-0.25913819999999999</v>
      </c>
      <c r="AE355">
        <v>1.7800000000022399E-2</v>
      </c>
      <c r="AF355">
        <v>-1.31558018620877E-2</v>
      </c>
      <c r="AG355">
        <v>-0.25913819999999999</v>
      </c>
      <c r="AH355">
        <v>0.42015508420562098</v>
      </c>
      <c r="AI355">
        <v>121.652414297863</v>
      </c>
      <c r="AJ355">
        <v>91.793446649622197</v>
      </c>
      <c r="AK355">
        <v>0.49381775647065101</v>
      </c>
      <c r="AL355">
        <v>72.656707042490595</v>
      </c>
      <c r="AM355">
        <v>95.368547289801</v>
      </c>
      <c r="AN355">
        <v>0.99999996370662603</v>
      </c>
    </row>
    <row r="356" spans="1:40" x14ac:dyDescent="0.25">
      <c r="A356" t="str">
        <f>"20190304164342899"</f>
        <v>20190304164342899</v>
      </c>
      <c r="B356" t="str">
        <f>"1551689022890753"</f>
        <v>1551689022890753</v>
      </c>
      <c r="C356" t="s">
        <v>40</v>
      </c>
      <c r="D356">
        <v>5.4087949999999996</v>
      </c>
      <c r="E356">
        <v>0.55014469999999904</v>
      </c>
      <c r="F356" t="s">
        <v>41</v>
      </c>
      <c r="G356">
        <v>-417.90620000000001</v>
      </c>
      <c r="H356">
        <v>0.7735609</v>
      </c>
      <c r="I356">
        <v>367.02449999999999</v>
      </c>
      <c r="J356">
        <v>-418.4599</v>
      </c>
      <c r="K356">
        <v>1.060565</v>
      </c>
      <c r="L356">
        <v>367.00409999999999</v>
      </c>
      <c r="M356">
        <v>0.99989340000000004</v>
      </c>
      <c r="N356">
        <v>-1.4354399999999899E-2</v>
      </c>
      <c r="O356">
        <v>2.7131910000000002E-3</v>
      </c>
      <c r="P356">
        <v>0.95410349999999999</v>
      </c>
      <c r="Q356">
        <v>0.28487119999999999</v>
      </c>
      <c r="R356">
        <v>9.2387010000000006E-2</v>
      </c>
      <c r="S356">
        <v>3.5101619999999998</v>
      </c>
      <c r="T356">
        <v>-1.2594209999999999</v>
      </c>
      <c r="U356">
        <v>9.2742920000000006E-2</v>
      </c>
      <c r="V356">
        <v>-8.9786550000000007E-2</v>
      </c>
      <c r="W356">
        <v>0.29854399999999998</v>
      </c>
      <c r="X356">
        <v>0.95016310000000004</v>
      </c>
      <c r="Y356">
        <v>-2.2398769999999998E-2</v>
      </c>
      <c r="Z356">
        <v>3.1558530000000001E-3</v>
      </c>
      <c r="AA356">
        <v>0.99974410000000002</v>
      </c>
      <c r="AB356">
        <v>32</v>
      </c>
      <c r="AC356">
        <v>0.55369999999999198</v>
      </c>
      <c r="AD356">
        <v>-0.28700409999999998</v>
      </c>
      <c r="AE356">
        <v>2.0399999999994999E-2</v>
      </c>
      <c r="AF356">
        <v>-1.4899721326708699E-2</v>
      </c>
      <c r="AG356">
        <v>-0.28700409999999998</v>
      </c>
      <c r="AH356">
        <v>0.43660697958469302</v>
      </c>
      <c r="AI356">
        <v>123.303661658973</v>
      </c>
      <c r="AJ356">
        <v>91.954526651479696</v>
      </c>
      <c r="AK356">
        <v>0.52270355818043901</v>
      </c>
      <c r="AL356">
        <v>72.629827183863796</v>
      </c>
      <c r="AM356">
        <v>95.398188631207603</v>
      </c>
      <c r="AN356">
        <v>1.00000003054925</v>
      </c>
    </row>
    <row r="357" spans="1:40" x14ac:dyDescent="0.25">
      <c r="A357" t="str">
        <f>"20190304164342911"</f>
        <v>20190304164342911</v>
      </c>
      <c r="B357" t="str">
        <f>"1551689022900514"</f>
        <v>1551689022900514</v>
      </c>
      <c r="C357" t="s">
        <v>40</v>
      </c>
      <c r="D357">
        <v>5.5106000000000002</v>
      </c>
      <c r="E357">
        <v>0.55007299999999903</v>
      </c>
      <c r="F357" t="s">
        <v>41</v>
      </c>
      <c r="G357">
        <v>-417.6232</v>
      </c>
      <c r="H357">
        <v>0.76042989999999999</v>
      </c>
      <c r="I357">
        <v>367.02670000000001</v>
      </c>
      <c r="J357">
        <v>-418.28219999999999</v>
      </c>
      <c r="K357">
        <v>1.060575</v>
      </c>
      <c r="L357">
        <v>367.00459999999998</v>
      </c>
      <c r="M357">
        <v>0.99989329999999998</v>
      </c>
      <c r="N357">
        <v>-1.4359830000000001E-2</v>
      </c>
      <c r="O357">
        <v>2.7133299999999999E-3</v>
      </c>
      <c r="P357">
        <v>0.95410099999999998</v>
      </c>
      <c r="Q357">
        <v>0.2848542</v>
      </c>
      <c r="R357">
        <v>9.2463039999999996E-2</v>
      </c>
      <c r="S357">
        <v>3.5109859999999999</v>
      </c>
      <c r="T357">
        <v>-1.259361</v>
      </c>
      <c r="U357">
        <v>9.6405030000000003E-2</v>
      </c>
      <c r="V357">
        <v>-8.9862559999999994E-2</v>
      </c>
      <c r="W357">
        <v>0.29853259999999998</v>
      </c>
      <c r="X357">
        <v>0.95015950000000005</v>
      </c>
      <c r="Y357">
        <v>-2.3371920000000001E-2</v>
      </c>
      <c r="Z357">
        <v>3.3314899999999999E-3</v>
      </c>
      <c r="AA357">
        <v>0.99972130000000003</v>
      </c>
      <c r="AB357">
        <v>32</v>
      </c>
      <c r="AC357">
        <v>0.65899999999999104</v>
      </c>
      <c r="AD357">
        <v>-0.3001451</v>
      </c>
      <c r="AE357">
        <v>2.2100000000023101E-2</v>
      </c>
      <c r="AF357">
        <v>-1.6825330751367801E-2</v>
      </c>
      <c r="AG357">
        <v>-0.3001451</v>
      </c>
      <c r="AH357">
        <v>0.545936012289155</v>
      </c>
      <c r="AI357">
        <v>118.78966674665401</v>
      </c>
      <c r="AJ357">
        <v>91.765253392509905</v>
      </c>
      <c r="AK357">
        <v>0.62323053705918996</v>
      </c>
      <c r="AL357">
        <v>72.630511630482104</v>
      </c>
      <c r="AM357">
        <v>95.402751858814199</v>
      </c>
      <c r="AN357">
        <v>1.0000000341963799</v>
      </c>
    </row>
    <row r="358" spans="1:40" x14ac:dyDescent="0.25">
      <c r="A358" t="str">
        <f>"20190304164342922"</f>
        <v>20190304164342922</v>
      </c>
      <c r="B358" t="str">
        <f>"1551689022910274"</f>
        <v>1551689022910274</v>
      </c>
      <c r="C358" t="s">
        <v>40</v>
      </c>
      <c r="D358">
        <v>5.5044019999999998</v>
      </c>
      <c r="E358">
        <v>0.55000680000000002</v>
      </c>
      <c r="F358" t="s">
        <v>41</v>
      </c>
      <c r="G358">
        <v>-417.59969999999998</v>
      </c>
      <c r="H358">
        <v>0.81545419999999902</v>
      </c>
      <c r="I358">
        <v>367.02319999999997</v>
      </c>
      <c r="J358">
        <v>-418.12029999999999</v>
      </c>
      <c r="K358">
        <v>1.060581</v>
      </c>
      <c r="L358">
        <v>367.005</v>
      </c>
      <c r="M358">
        <v>0.99989320000000004</v>
      </c>
      <c r="N358">
        <v>-1.4364119999999999E-2</v>
      </c>
      <c r="O358">
        <v>2.7134780000000001E-3</v>
      </c>
      <c r="P358">
        <v>0.95413369999999997</v>
      </c>
      <c r="Q358">
        <v>0.28460220000000003</v>
      </c>
      <c r="R358">
        <v>9.2902059999999995E-2</v>
      </c>
      <c r="S358">
        <v>3.5113219999999998</v>
      </c>
      <c r="T358">
        <v>-1.2610600000000001</v>
      </c>
      <c r="U358">
        <v>9.7747799999999996E-2</v>
      </c>
      <c r="V358">
        <v>-9.0300740000000004E-2</v>
      </c>
      <c r="W358">
        <v>0.29828549999999998</v>
      </c>
      <c r="X358">
        <v>0.95019560000000003</v>
      </c>
      <c r="Y358">
        <v>-2.3724930000000002E-2</v>
      </c>
      <c r="Z358">
        <v>3.399254E-3</v>
      </c>
      <c r="AA358">
        <v>0.99971279999999996</v>
      </c>
      <c r="AB358">
        <v>32</v>
      </c>
      <c r="AC358">
        <v>0.52060000000000095</v>
      </c>
      <c r="AD358">
        <v>-0.24512680000000001</v>
      </c>
      <c r="AE358">
        <v>1.81999999999789E-2</v>
      </c>
      <c r="AF358">
        <v>-1.3743813566875899E-2</v>
      </c>
      <c r="AG358">
        <v>-0.24512680000000001</v>
      </c>
      <c r="AH358">
        <v>0.42625946217275601</v>
      </c>
      <c r="AI358">
        <v>119.888828607843</v>
      </c>
      <c r="AJ358">
        <v>91.846738593794498</v>
      </c>
      <c r="AK358">
        <v>0.49190768400321699</v>
      </c>
      <c r="AL358">
        <v>72.645345919861299</v>
      </c>
      <c r="AM358">
        <v>95.428734241704802</v>
      </c>
      <c r="AN358">
        <v>1.00000007070707</v>
      </c>
    </row>
    <row r="359" spans="1:40" x14ac:dyDescent="0.25">
      <c r="A359" t="str">
        <f>"20190304164342936"</f>
        <v>20190304164342936</v>
      </c>
      <c r="B359" t="str">
        <f>"1551689022930770"</f>
        <v>1551689022930770</v>
      </c>
      <c r="C359" t="s">
        <v>40</v>
      </c>
      <c r="D359">
        <v>5.3735540000000004</v>
      </c>
      <c r="E359">
        <v>0.54993549999999902</v>
      </c>
      <c r="F359" t="s">
        <v>41</v>
      </c>
      <c r="G359">
        <v>-417.32870000000003</v>
      </c>
      <c r="H359">
        <v>0.77574009999999904</v>
      </c>
      <c r="I359">
        <v>367.02769999999998</v>
      </c>
      <c r="J359">
        <v>-417.92950000000002</v>
      </c>
      <c r="K359">
        <v>1.060584</v>
      </c>
      <c r="L359">
        <v>367.00560000000002</v>
      </c>
      <c r="M359">
        <v>0.99989309999999998</v>
      </c>
      <c r="N359">
        <v>-1.4368840000000001E-2</v>
      </c>
      <c r="O359">
        <v>2.713264E-3</v>
      </c>
      <c r="P359">
        <v>0.95408820000000005</v>
      </c>
      <c r="Q359">
        <v>0.28473500000000002</v>
      </c>
      <c r="R359">
        <v>9.2963459999999998E-2</v>
      </c>
      <c r="S359">
        <v>3.5112920000000001</v>
      </c>
      <c r="T359">
        <v>-1.263477</v>
      </c>
      <c r="U359">
        <v>0.10073849999999999</v>
      </c>
      <c r="V359">
        <v>-9.0363310000000002E-2</v>
      </c>
      <c r="W359">
        <v>0.29842160000000001</v>
      </c>
      <c r="X359">
        <v>0.95014690000000002</v>
      </c>
      <c r="Y359">
        <v>-2.4519200000000001E-2</v>
      </c>
      <c r="Z359">
        <v>3.549567E-3</v>
      </c>
      <c r="AA359">
        <v>0.99969300000000005</v>
      </c>
      <c r="AB359">
        <v>32</v>
      </c>
      <c r="AC359">
        <v>0.60079999999999201</v>
      </c>
      <c r="AD359">
        <v>-0.28484389999999998</v>
      </c>
      <c r="AE359">
        <v>2.2099999999966199E-2</v>
      </c>
      <c r="AF359">
        <v>-1.67170680478094E-2</v>
      </c>
      <c r="AG359">
        <v>-0.28484389999999998</v>
      </c>
      <c r="AH359">
        <v>0.49070668416427199</v>
      </c>
      <c r="AI359">
        <v>120.119750366684</v>
      </c>
      <c r="AJ359">
        <v>91.951159809741895</v>
      </c>
      <c r="AK359">
        <v>0.56763417586929998</v>
      </c>
      <c r="AL359">
        <v>72.637175588173804</v>
      </c>
      <c r="AM359">
        <v>95.432750129716894</v>
      </c>
      <c r="AN359">
        <v>1.00000005536016</v>
      </c>
    </row>
    <row r="360" spans="1:40" x14ac:dyDescent="0.25">
      <c r="A360" t="str">
        <f>"20190304164342954"</f>
        <v>20190304164342954</v>
      </c>
      <c r="B360" t="str">
        <f>"1551689022940530"</f>
        <v>1551689022940530</v>
      </c>
      <c r="C360" t="s">
        <v>40</v>
      </c>
      <c r="D360">
        <v>5.3653890000000004</v>
      </c>
      <c r="E360">
        <v>0.54992810000000003</v>
      </c>
      <c r="F360" t="s">
        <v>41</v>
      </c>
      <c r="G360">
        <v>-417.05360000000002</v>
      </c>
      <c r="H360">
        <v>0.74517180000000005</v>
      </c>
      <c r="I360">
        <v>367.03070000000002</v>
      </c>
      <c r="J360">
        <v>-417.66840000000002</v>
      </c>
      <c r="K360">
        <v>1.0605830000000001</v>
      </c>
      <c r="L360">
        <v>367.00630000000001</v>
      </c>
      <c r="M360">
        <v>0.99989309999999998</v>
      </c>
      <c r="N360">
        <v>-1.43743E-2</v>
      </c>
      <c r="O360">
        <v>2.7134030000000001E-3</v>
      </c>
      <c r="P360">
        <v>0.95398159999999999</v>
      </c>
      <c r="Q360">
        <v>0.28507349999999998</v>
      </c>
      <c r="R360">
        <v>9.3019649999999995E-2</v>
      </c>
      <c r="S360">
        <v>3.5117799999999999</v>
      </c>
      <c r="T360">
        <v>-1.2645360000000001</v>
      </c>
      <c r="U360">
        <v>0.10229489999999999</v>
      </c>
      <c r="V360">
        <v>-9.0419280000000005E-2</v>
      </c>
      <c r="W360">
        <v>0.29876419999999998</v>
      </c>
      <c r="X360">
        <v>0.95003380000000004</v>
      </c>
      <c r="Y360">
        <v>-2.4929010000000001E-2</v>
      </c>
      <c r="Z360">
        <v>3.6263430000000002E-3</v>
      </c>
      <c r="AA360">
        <v>0.99968270000000004</v>
      </c>
      <c r="AB360">
        <v>32</v>
      </c>
      <c r="AC360">
        <v>0.61480000000000201</v>
      </c>
      <c r="AD360">
        <v>-0.3154112</v>
      </c>
      <c r="AE360">
        <v>2.4400000000014101E-2</v>
      </c>
      <c r="AF360">
        <v>-1.80010940651722E-2</v>
      </c>
      <c r="AG360">
        <v>-0.3154112</v>
      </c>
      <c r="AH360">
        <v>0.48691047246927999</v>
      </c>
      <c r="AI360">
        <v>122.916534696743</v>
      </c>
      <c r="AJ360">
        <v>92.117262342596803</v>
      </c>
      <c r="AK360">
        <v>0.58042232268688698</v>
      </c>
      <c r="AL360">
        <v>72.616606003319305</v>
      </c>
      <c r="AM360">
        <v>95.436738242523901</v>
      </c>
      <c r="AN360">
        <v>0.99999995726989799</v>
      </c>
    </row>
    <row r="361" spans="1:40" x14ac:dyDescent="0.25">
      <c r="A361" t="str">
        <f>"20190304164342967"</f>
        <v>20190304164342967</v>
      </c>
      <c r="B361" t="str">
        <f>"1551689022960050"</f>
        <v>1551689022960050</v>
      </c>
      <c r="C361" t="s">
        <v>40</v>
      </c>
      <c r="D361">
        <v>5.3601769999999904</v>
      </c>
      <c r="E361">
        <v>0.54984880000000003</v>
      </c>
      <c r="F361" t="s">
        <v>41</v>
      </c>
      <c r="G361">
        <v>-416.76949999999999</v>
      </c>
      <c r="H361">
        <v>0.73724019999999901</v>
      </c>
      <c r="I361">
        <v>367.0317</v>
      </c>
      <c r="J361">
        <v>-417.47239999999999</v>
      </c>
      <c r="K361">
        <v>1.0605830000000001</v>
      </c>
      <c r="L361">
        <v>367.0068</v>
      </c>
      <c r="M361">
        <v>0.99989300000000003</v>
      </c>
      <c r="N361">
        <v>-1.4377630000000001E-2</v>
      </c>
      <c r="O361">
        <v>2.713558E-3</v>
      </c>
      <c r="P361">
        <v>0.95392920000000003</v>
      </c>
      <c r="Q361">
        <v>0.28521170000000001</v>
      </c>
      <c r="R361">
        <v>9.3130560000000001E-2</v>
      </c>
      <c r="S361">
        <v>3.5126040000000001</v>
      </c>
      <c r="T361">
        <v>-1.2635110000000001</v>
      </c>
      <c r="U361">
        <v>9.9731449999999999E-2</v>
      </c>
      <c r="V361">
        <v>-9.053021E-2</v>
      </c>
      <c r="W361">
        <v>0.29890440000000001</v>
      </c>
      <c r="X361">
        <v>0.94997920000000002</v>
      </c>
      <c r="Y361">
        <v>-2.4240899999999999E-2</v>
      </c>
      <c r="Z361">
        <v>3.4979400000000002E-3</v>
      </c>
      <c r="AA361">
        <v>0.99970000000000003</v>
      </c>
      <c r="AB361">
        <v>32</v>
      </c>
      <c r="AC361">
        <v>0.70289999999999897</v>
      </c>
      <c r="AD361">
        <v>-0.32334279999999999</v>
      </c>
      <c r="AE361">
        <v>2.4900000000002299E-2</v>
      </c>
      <c r="AF361">
        <v>-1.8980824342653298E-2</v>
      </c>
      <c r="AG361">
        <v>-0.32334279999999999</v>
      </c>
      <c r="AH361">
        <v>0.58031711265025099</v>
      </c>
      <c r="AI361">
        <v>119.112784488367</v>
      </c>
      <c r="AJ361">
        <v>91.873343977594203</v>
      </c>
      <c r="AK361">
        <v>0.66458918832560798</v>
      </c>
      <c r="AL361">
        <v>72.608189619849895</v>
      </c>
      <c r="AM361">
        <v>95.4436791905799</v>
      </c>
      <c r="AN361">
        <v>1.00000001984732</v>
      </c>
    </row>
    <row r="362" spans="1:40" x14ac:dyDescent="0.25">
      <c r="A362" t="str">
        <f>"20190304164342979"</f>
        <v>20190304164342979</v>
      </c>
      <c r="B362" t="str">
        <f>"1551689022970786"</f>
        <v>1551689022970786</v>
      </c>
      <c r="C362" t="s">
        <v>40</v>
      </c>
      <c r="D362">
        <v>5.4521670000000002</v>
      </c>
      <c r="E362">
        <v>0.54979999999999996</v>
      </c>
      <c r="F362" t="s">
        <v>41</v>
      </c>
      <c r="G362">
        <v>-416.7439</v>
      </c>
      <c r="H362">
        <v>0.79825590000000002</v>
      </c>
      <c r="I362">
        <v>367.02760000000001</v>
      </c>
      <c r="J362">
        <v>-417.29860000000002</v>
      </c>
      <c r="K362">
        <v>1.0605850000000001</v>
      </c>
      <c r="L362">
        <v>367.00729999999999</v>
      </c>
      <c r="M362">
        <v>0.99989309999999998</v>
      </c>
      <c r="N362">
        <v>-1.43803E-2</v>
      </c>
      <c r="O362">
        <v>2.7133589999999998E-3</v>
      </c>
      <c r="P362">
        <v>0.95411060000000003</v>
      </c>
      <c r="Q362">
        <v>0.28457690000000002</v>
      </c>
      <c r="R362">
        <v>9.3216350000000003E-2</v>
      </c>
      <c r="S362">
        <v>3.513306</v>
      </c>
      <c r="T362">
        <v>-1.264985</v>
      </c>
      <c r="U362">
        <v>0.1005249</v>
      </c>
      <c r="V362">
        <v>-9.0615479999999998E-2</v>
      </c>
      <c r="W362">
        <v>0.29827500000000001</v>
      </c>
      <c r="X362">
        <v>0.95016880000000004</v>
      </c>
      <c r="Y362">
        <v>-2.444503E-2</v>
      </c>
      <c r="Z362">
        <v>3.538167E-3</v>
      </c>
      <c r="AA362">
        <v>0.99969490000000005</v>
      </c>
      <c r="AB362">
        <v>32</v>
      </c>
      <c r="AC362">
        <v>0.55470000000002495</v>
      </c>
      <c r="AD362">
        <v>-0.26232909999999998</v>
      </c>
      <c r="AE362">
        <v>2.0300000000020101E-2</v>
      </c>
      <c r="AF362">
        <v>-1.53632202126031E-2</v>
      </c>
      <c r="AG362">
        <v>-0.26232909999999998</v>
      </c>
      <c r="AH362">
        <v>0.453468634744084</v>
      </c>
      <c r="AI362">
        <v>120.034901943007</v>
      </c>
      <c r="AJ362">
        <v>91.9404012902951</v>
      </c>
      <c r="AK362">
        <v>0.52410532141810395</v>
      </c>
      <c r="AL362">
        <v>72.645973960968405</v>
      </c>
      <c r="AM362">
        <v>95.447694997672002</v>
      </c>
      <c r="AN362">
        <v>0.99999994466703301</v>
      </c>
    </row>
    <row r="363" spans="1:40" x14ac:dyDescent="0.25">
      <c r="A363" t="str">
        <f>"20190304164342991"</f>
        <v>20190304164342991</v>
      </c>
      <c r="B363" t="str">
        <f>"1551689022980546"</f>
        <v>1551689022980546</v>
      </c>
      <c r="C363" t="s">
        <v>40</v>
      </c>
      <c r="D363">
        <v>5.4593800000000003</v>
      </c>
      <c r="E363">
        <v>0.54975299999999905</v>
      </c>
      <c r="F363" t="s">
        <v>41</v>
      </c>
      <c r="G363">
        <v>-416.47230000000002</v>
      </c>
      <c r="H363">
        <v>0.76217060000000003</v>
      </c>
      <c r="I363">
        <v>367.03050000000002</v>
      </c>
      <c r="J363">
        <v>-417.13409999999999</v>
      </c>
      <c r="K363">
        <v>1.0605880000000001</v>
      </c>
      <c r="L363">
        <v>367.00779999999997</v>
      </c>
      <c r="M363">
        <v>0.99989300000000003</v>
      </c>
      <c r="N363">
        <v>-1.4382570000000001E-2</v>
      </c>
      <c r="O363">
        <v>2.713521E-3</v>
      </c>
      <c r="P363">
        <v>0.95412280000000005</v>
      </c>
      <c r="Q363">
        <v>0.28462480000000001</v>
      </c>
      <c r="R363">
        <v>9.2943799999999993E-2</v>
      </c>
      <c r="S363">
        <v>3.5127869999999999</v>
      </c>
      <c r="T363">
        <v>-1.268418</v>
      </c>
      <c r="U363">
        <v>0.10058590000000001</v>
      </c>
      <c r="V363">
        <v>-9.0342599999999995E-2</v>
      </c>
      <c r="W363">
        <v>0.29832509999999901</v>
      </c>
      <c r="X363">
        <v>0.9501792</v>
      </c>
      <c r="Y363">
        <v>-2.445779E-2</v>
      </c>
      <c r="Z363">
        <v>3.5494319999999999E-3</v>
      </c>
      <c r="AA363">
        <v>0.99969459999999999</v>
      </c>
      <c r="AB363">
        <v>32</v>
      </c>
      <c r="AC363">
        <v>0.66179999999997097</v>
      </c>
      <c r="AD363">
        <v>-0.298417399999999</v>
      </c>
      <c r="AE363">
        <v>2.2700000000042998E-2</v>
      </c>
      <c r="AF363">
        <v>-1.7375224373674E-2</v>
      </c>
      <c r="AG363">
        <v>-0.298417399999999</v>
      </c>
      <c r="AH363">
        <v>0.55013366192531399</v>
      </c>
      <c r="AI363">
        <v>118.465438481595</v>
      </c>
      <c r="AJ363">
        <v>91.809008010347</v>
      </c>
      <c r="AK363">
        <v>0.62610054226789402</v>
      </c>
      <c r="AL363">
        <v>72.642968968350004</v>
      </c>
      <c r="AM363">
        <v>95.431328934316099</v>
      </c>
      <c r="AN363">
        <v>1.0000000813887</v>
      </c>
    </row>
    <row r="364" spans="1:40" x14ac:dyDescent="0.25">
      <c r="A364" t="str">
        <f>"20190304164343010"</f>
        <v>20190304164343010</v>
      </c>
      <c r="B364" t="str">
        <f>"1551689023000066"</f>
        <v>1551689023000066</v>
      </c>
      <c r="C364" t="s">
        <v>40</v>
      </c>
      <c r="D364">
        <v>5.4819180000000003</v>
      </c>
      <c r="E364">
        <v>0.54968609999999996</v>
      </c>
      <c r="F364" t="s">
        <v>41</v>
      </c>
      <c r="G364">
        <v>-416.45030000000003</v>
      </c>
      <c r="H364">
        <v>0.813496</v>
      </c>
      <c r="I364">
        <v>367.02670000000001</v>
      </c>
      <c r="J364">
        <v>-416.85719999999998</v>
      </c>
      <c r="K364">
        <v>1.0605960000000001</v>
      </c>
      <c r="L364">
        <v>367.00850000000003</v>
      </c>
      <c r="M364">
        <v>0.99989300000000003</v>
      </c>
      <c r="N364">
        <v>-1.438568E-2</v>
      </c>
      <c r="O364">
        <v>2.713498E-3</v>
      </c>
      <c r="P364">
        <v>0.95413110000000001</v>
      </c>
      <c r="Q364">
        <v>0.28460540000000001</v>
      </c>
      <c r="R364">
        <v>9.2919470000000004E-2</v>
      </c>
      <c r="S364">
        <v>3.5132140000000001</v>
      </c>
      <c r="T364">
        <v>-1.2693680000000001</v>
      </c>
      <c r="U364">
        <v>9.9578860000000005E-2</v>
      </c>
      <c r="V364">
        <v>-9.0318609999999994E-2</v>
      </c>
      <c r="W364">
        <v>0.29830869999999998</v>
      </c>
      <c r="X364">
        <v>0.95018659999999999</v>
      </c>
      <c r="Y364">
        <v>-2.4184270000000001E-2</v>
      </c>
      <c r="Z364">
        <v>3.5015480000000002E-3</v>
      </c>
      <c r="AA364">
        <v>0.99970139999999996</v>
      </c>
      <c r="AB364">
        <v>32</v>
      </c>
      <c r="AC364">
        <v>0.40689999999995002</v>
      </c>
      <c r="AD364">
        <v>-0.24709999999999899</v>
      </c>
      <c r="AE364">
        <v>1.81999999999789E-2</v>
      </c>
      <c r="AF364">
        <v>-1.24964339055137E-2</v>
      </c>
      <c r="AG364">
        <v>-0.24709999999999899</v>
      </c>
      <c r="AH364">
        <v>0.29746652460143502</v>
      </c>
      <c r="AI364">
        <v>129.690966004936</v>
      </c>
      <c r="AJ364">
        <v>92.405555290262697</v>
      </c>
      <c r="AK364">
        <v>0.38691201082262999</v>
      </c>
      <c r="AL364">
        <v>72.643952942617105</v>
      </c>
      <c r="AM364">
        <v>95.4298532598294</v>
      </c>
      <c r="AN364">
        <v>1.0000000533137801</v>
      </c>
    </row>
    <row r="365" spans="1:40" x14ac:dyDescent="0.25">
      <c r="A365" t="str">
        <f>"20190304164343023"</f>
        <v>20190304164343023</v>
      </c>
      <c r="B365" t="str">
        <f>"1551689023010802"</f>
        <v>1551689023010802</v>
      </c>
      <c r="C365" t="s">
        <v>40</v>
      </c>
      <c r="D365">
        <v>5.4803110000000004</v>
      </c>
      <c r="E365">
        <v>0.54962429999999995</v>
      </c>
      <c r="F365" t="s">
        <v>41</v>
      </c>
      <c r="G365">
        <v>-416.16500000000002</v>
      </c>
      <c r="H365">
        <v>0.81014169999999996</v>
      </c>
      <c r="I365">
        <v>367.02820000000003</v>
      </c>
      <c r="J365">
        <v>-416.67770000000002</v>
      </c>
      <c r="K365">
        <v>1.0605979999999999</v>
      </c>
      <c r="L365">
        <v>367.00900000000001</v>
      </c>
      <c r="M365">
        <v>0.99989289999999997</v>
      </c>
      <c r="N365">
        <v>-1.4387260000000001E-2</v>
      </c>
      <c r="O365">
        <v>2.7134860000000002E-3</v>
      </c>
      <c r="P365">
        <v>0.95415079999999997</v>
      </c>
      <c r="Q365">
        <v>0.28446660000000001</v>
      </c>
      <c r="R365">
        <v>9.3139600000000003E-2</v>
      </c>
      <c r="S365">
        <v>3.5135800000000001</v>
      </c>
      <c r="T365">
        <v>-1.271334</v>
      </c>
      <c r="U365">
        <v>0.1011963</v>
      </c>
      <c r="V365">
        <v>-9.0538789999999994E-2</v>
      </c>
      <c r="W365">
        <v>0.298172099999999</v>
      </c>
      <c r="X365">
        <v>0.95020850000000001</v>
      </c>
      <c r="Y365">
        <v>-2.4609160000000001E-2</v>
      </c>
      <c r="Z365">
        <v>3.5836790000000002E-3</v>
      </c>
      <c r="AA365">
        <v>0.99969070000000004</v>
      </c>
      <c r="AB365">
        <v>32</v>
      </c>
      <c r="AC365">
        <v>0.51269999999999505</v>
      </c>
      <c r="AD365">
        <v>-0.25045630000000002</v>
      </c>
      <c r="AE365">
        <v>1.9200000000011999E-2</v>
      </c>
      <c r="AF365">
        <v>-1.4381446141461E-2</v>
      </c>
      <c r="AG365">
        <v>-0.25045630000000002</v>
      </c>
      <c r="AH365">
        <v>0.41407507787825798</v>
      </c>
      <c r="AI365">
        <v>121.152657024519</v>
      </c>
      <c r="AJ365">
        <v>91.989168458433497</v>
      </c>
      <c r="AK365">
        <v>0.48414187416778398</v>
      </c>
      <c r="AL365">
        <v>72.652152357660995</v>
      </c>
      <c r="AM365">
        <v>95.442886138471195</v>
      </c>
      <c r="AN365">
        <v>1.00000003359266</v>
      </c>
    </row>
    <row r="366" spans="1:40" x14ac:dyDescent="0.25">
      <c r="A366" t="str">
        <f>"20190304164343038"</f>
        <v>20190304164343038</v>
      </c>
      <c r="B366" t="str">
        <f>"1551689023030322"</f>
        <v>1551689023030322</v>
      </c>
      <c r="C366" t="s">
        <v>40</v>
      </c>
      <c r="D366">
        <v>5.4793989999999999</v>
      </c>
      <c r="E366">
        <v>0.54951549999999905</v>
      </c>
      <c r="F366" t="s">
        <v>41</v>
      </c>
      <c r="G366">
        <v>-415.89319999999998</v>
      </c>
      <c r="H366">
        <v>0.77633769999999902</v>
      </c>
      <c r="I366">
        <v>367.03149999999999</v>
      </c>
      <c r="J366">
        <v>-416.46589999999998</v>
      </c>
      <c r="K366">
        <v>1.060602</v>
      </c>
      <c r="L366">
        <v>367.00959999999998</v>
      </c>
      <c r="M366">
        <v>0.99989289999999997</v>
      </c>
      <c r="N366">
        <v>-1.438883E-2</v>
      </c>
      <c r="O366">
        <v>2.713474E-3</v>
      </c>
      <c r="P366">
        <v>0.95420369999999999</v>
      </c>
      <c r="Q366">
        <v>0.28425899999999998</v>
      </c>
      <c r="R366">
        <v>9.3232110000000007E-2</v>
      </c>
      <c r="S366">
        <v>3.5137019999999999</v>
      </c>
      <c r="T366">
        <v>-1.2732209999999999</v>
      </c>
      <c r="U366">
        <v>0.10305789999999999</v>
      </c>
      <c r="V366">
        <v>-9.0630500000000003E-2</v>
      </c>
      <c r="W366">
        <v>0.29796640000000002</v>
      </c>
      <c r="X366">
        <v>0.9502642</v>
      </c>
      <c r="Y366">
        <v>-2.510078E-2</v>
      </c>
      <c r="Z366">
        <v>3.6782360000000001E-3</v>
      </c>
      <c r="AA366">
        <v>0.99967810000000001</v>
      </c>
      <c r="AB366">
        <v>32</v>
      </c>
      <c r="AC366">
        <v>0.57269999999999699</v>
      </c>
      <c r="AD366">
        <v>-0.28426430000000003</v>
      </c>
      <c r="AE366">
        <v>2.1900000000016399E-2</v>
      </c>
      <c r="AF366">
        <v>-1.63287013072782E-2</v>
      </c>
      <c r="AG366">
        <v>-0.28426430000000003</v>
      </c>
      <c r="AH366">
        <v>0.459672525593953</v>
      </c>
      <c r="AI366">
        <v>121.716741691379</v>
      </c>
      <c r="AJ366">
        <v>92.034431910348502</v>
      </c>
      <c r="AK366">
        <v>0.54071401824513099</v>
      </c>
      <c r="AL366">
        <v>72.664497960469902</v>
      </c>
      <c r="AM366">
        <v>95.448048838625496</v>
      </c>
      <c r="AN366">
        <v>0.99999995643042405</v>
      </c>
    </row>
    <row r="367" spans="1:40" x14ac:dyDescent="0.25">
      <c r="A367" t="str">
        <f>"20190304164343056"</f>
        <v>20190304164343056</v>
      </c>
      <c r="B367" t="str">
        <f>"1551689023050818"</f>
        <v>1551689023050818</v>
      </c>
      <c r="C367" t="s">
        <v>40</v>
      </c>
      <c r="D367">
        <v>5.476737</v>
      </c>
      <c r="E367">
        <v>0.54942279999999999</v>
      </c>
      <c r="F367" t="s">
        <v>41</v>
      </c>
      <c r="G367">
        <v>-415.61709999999999</v>
      </c>
      <c r="H367">
        <v>0.75230489999999905</v>
      </c>
      <c r="I367">
        <v>367.03469999999999</v>
      </c>
      <c r="J367">
        <v>-416.21339999999998</v>
      </c>
      <c r="K367">
        <v>1.0606070000000001</v>
      </c>
      <c r="L367">
        <v>367.0102</v>
      </c>
      <c r="M367">
        <v>0.99989280000000003</v>
      </c>
      <c r="N367">
        <v>-1.439024E-2</v>
      </c>
      <c r="O367">
        <v>2.7134640000000001E-3</v>
      </c>
      <c r="P367">
        <v>0.9541423</v>
      </c>
      <c r="Q367">
        <v>0.28437190000000001</v>
      </c>
      <c r="R367">
        <v>9.3515810000000005E-2</v>
      </c>
      <c r="S367">
        <v>3.5139770000000001</v>
      </c>
      <c r="T367">
        <v>-1.276332</v>
      </c>
      <c r="U367">
        <v>0.1045532</v>
      </c>
      <c r="V367">
        <v>-9.0914869999999995E-2</v>
      </c>
      <c r="W367">
        <v>0.29807979999999901</v>
      </c>
      <c r="X367">
        <v>0.95020150000000003</v>
      </c>
      <c r="Y367">
        <v>-2.5490840000000001E-2</v>
      </c>
      <c r="Z367">
        <v>3.757472E-3</v>
      </c>
      <c r="AA367">
        <v>0.999668</v>
      </c>
      <c r="AB367">
        <v>32</v>
      </c>
      <c r="AC367">
        <v>0.59629999999998495</v>
      </c>
      <c r="AD367">
        <v>-0.30830210000000002</v>
      </c>
      <c r="AE367">
        <v>2.4499999999988999E-2</v>
      </c>
      <c r="AF367">
        <v>-1.8061681784455299E-2</v>
      </c>
      <c r="AG367">
        <v>-0.30830210000000002</v>
      </c>
      <c r="AH367">
        <v>0.47074038712231397</v>
      </c>
      <c r="AI367">
        <v>123.202687657222</v>
      </c>
      <c r="AJ367">
        <v>92.197284936196993</v>
      </c>
      <c r="AK367">
        <v>0.56300348247711496</v>
      </c>
      <c r="AL367">
        <v>72.657691838997394</v>
      </c>
      <c r="AM367">
        <v>95.465398202257802</v>
      </c>
      <c r="AN367">
        <v>0.99999998567870296</v>
      </c>
    </row>
    <row r="368" spans="1:40" x14ac:dyDescent="0.25">
      <c r="A368" t="str">
        <f>"20190304164343079"</f>
        <v>20190304164343079</v>
      </c>
      <c r="B368" t="str">
        <f>"1551689023070340"</f>
        <v>1551689023070340</v>
      </c>
      <c r="C368" t="s">
        <v>40</v>
      </c>
      <c r="D368">
        <v>5.4340310000000001</v>
      </c>
      <c r="E368">
        <v>0.54941209999999996</v>
      </c>
      <c r="F368" t="s">
        <v>41</v>
      </c>
      <c r="G368">
        <v>-415.33580000000001</v>
      </c>
      <c r="H368">
        <v>0.74154580000000003</v>
      </c>
      <c r="I368">
        <v>367.03579999999999</v>
      </c>
      <c r="J368">
        <v>-415.88350000000003</v>
      </c>
      <c r="K368">
        <v>1.0606070000000001</v>
      </c>
      <c r="L368">
        <v>367.0111</v>
      </c>
      <c r="M368">
        <v>0.99989289999999997</v>
      </c>
      <c r="N368">
        <v>-1.43914E-2</v>
      </c>
      <c r="O368">
        <v>2.713633E-3</v>
      </c>
      <c r="P368">
        <v>0.95398620000000001</v>
      </c>
      <c r="Q368">
        <v>0.2847905</v>
      </c>
      <c r="R368">
        <v>9.3835680000000005E-2</v>
      </c>
      <c r="S368">
        <v>3.5147710000000001</v>
      </c>
      <c r="T368">
        <v>-1.277771</v>
      </c>
      <c r="U368">
        <v>0.104522699999999</v>
      </c>
      <c r="V368">
        <v>-9.1234979999999993E-2</v>
      </c>
      <c r="W368">
        <v>0.29849759999999997</v>
      </c>
      <c r="X368">
        <v>0.95003970000000004</v>
      </c>
      <c r="Y368">
        <v>-2.547381E-2</v>
      </c>
      <c r="Z368">
        <v>3.7573070000000001E-3</v>
      </c>
      <c r="AA368">
        <v>0.99966840000000001</v>
      </c>
      <c r="AB368">
        <v>32</v>
      </c>
      <c r="AC368">
        <v>0.54770000000001995</v>
      </c>
      <c r="AD368">
        <v>-0.31906119999999999</v>
      </c>
      <c r="AE368">
        <v>2.4699999999995701E-2</v>
      </c>
      <c r="AF368">
        <v>-1.7340683249750601E-2</v>
      </c>
      <c r="AG368">
        <v>-0.31906119999999999</v>
      </c>
      <c r="AH368">
        <v>0.40918518335514198</v>
      </c>
      <c r="AI368">
        <v>127.920317841632</v>
      </c>
      <c r="AJ368">
        <v>92.426661226549797</v>
      </c>
      <c r="AK368">
        <v>0.51916593004393996</v>
      </c>
      <c r="AL368">
        <v>72.632612802620102</v>
      </c>
      <c r="AM368">
        <v>95.485453026792698</v>
      </c>
      <c r="AN368">
        <v>1.0000000351787199</v>
      </c>
    </row>
    <row r="369" spans="1:40" x14ac:dyDescent="0.25">
      <c r="A369" t="str">
        <f>"20190304164343090"</f>
        <v>20190304164343090</v>
      </c>
      <c r="B369" t="str">
        <f>"1551689023080098"</f>
        <v>1551689023080098</v>
      </c>
      <c r="C369" t="s">
        <v>40</v>
      </c>
      <c r="D369">
        <v>5.5430599999999997</v>
      </c>
      <c r="E369">
        <v>0.54949979999999998</v>
      </c>
      <c r="F369" t="s">
        <v>41</v>
      </c>
      <c r="G369">
        <v>-415.0446</v>
      </c>
      <c r="H369">
        <v>0.75592519999999996</v>
      </c>
      <c r="I369">
        <v>367.036</v>
      </c>
      <c r="J369">
        <v>-415.7097</v>
      </c>
      <c r="K369">
        <v>1.060608</v>
      </c>
      <c r="L369">
        <v>367.01159999999999</v>
      </c>
      <c r="M369">
        <v>0.99989269999999997</v>
      </c>
      <c r="N369">
        <v>-1.439175E-2</v>
      </c>
      <c r="O369">
        <v>2.7138100000000001E-3</v>
      </c>
      <c r="P369">
        <v>0.95389829999999998</v>
      </c>
      <c r="Q369">
        <v>0.28502329999999998</v>
      </c>
      <c r="R369">
        <v>9.4020229999999996E-2</v>
      </c>
      <c r="S369">
        <v>3.5155029999999998</v>
      </c>
      <c r="T369">
        <v>-1.2766999999999999</v>
      </c>
      <c r="U369">
        <v>0.10476679999999999</v>
      </c>
      <c r="V369">
        <v>-9.1419609999999998E-2</v>
      </c>
      <c r="W369">
        <v>0.29872919999999997</v>
      </c>
      <c r="X369">
        <v>0.94994909999999999</v>
      </c>
      <c r="Y369">
        <v>-2.5535740000000001E-2</v>
      </c>
      <c r="Z369">
        <v>3.765123E-3</v>
      </c>
      <c r="AA369">
        <v>0.99966679999999997</v>
      </c>
      <c r="AB369">
        <v>32</v>
      </c>
      <c r="AC369">
        <v>0.66509999999999503</v>
      </c>
      <c r="AD369">
        <v>-0.30468279999999998</v>
      </c>
      <c r="AE369">
        <v>2.4400000000014101E-2</v>
      </c>
      <c r="AF369">
        <v>-1.8679935150014398E-2</v>
      </c>
      <c r="AG369">
        <v>-0.30468279999999998</v>
      </c>
      <c r="AH369">
        <v>0.54991563243864705</v>
      </c>
      <c r="AI369">
        <v>118.974804803818</v>
      </c>
      <c r="AJ369">
        <v>91.945516749272898</v>
      </c>
      <c r="AK369">
        <v>0.62895767058956098</v>
      </c>
      <c r="AL369">
        <v>72.618707838382903</v>
      </c>
      <c r="AM369">
        <v>95.497006899514801</v>
      </c>
      <c r="AN369">
        <v>0.99999998630800002</v>
      </c>
    </row>
    <row r="370" spans="1:40" x14ac:dyDescent="0.25">
      <c r="A370" t="str">
        <f>"20190304164343104"</f>
        <v>20190304164343104</v>
      </c>
      <c r="B370" t="str">
        <f>"1551689023100594"</f>
        <v>1551689023100594</v>
      </c>
      <c r="C370" t="s">
        <v>40</v>
      </c>
      <c r="D370">
        <v>5.1221569999999996</v>
      </c>
      <c r="E370">
        <v>0.5404217</v>
      </c>
      <c r="F370" t="s">
        <v>41</v>
      </c>
      <c r="G370">
        <v>-415.0206</v>
      </c>
      <c r="H370">
        <v>0.81205959999999999</v>
      </c>
      <c r="I370">
        <v>367.03179999999998</v>
      </c>
      <c r="J370">
        <v>-415.52769999999998</v>
      </c>
      <c r="K370">
        <v>1.0606100000000001</v>
      </c>
      <c r="L370">
        <v>367.01209999999998</v>
      </c>
      <c r="M370">
        <v>0.99989289999999997</v>
      </c>
      <c r="N370">
        <v>-1.4391920000000001E-2</v>
      </c>
      <c r="O370">
        <v>2.7136299999999999E-3</v>
      </c>
      <c r="P370">
        <v>0.95389009999999996</v>
      </c>
      <c r="Q370">
        <v>0.2850065</v>
      </c>
      <c r="R370">
        <v>9.4156009999999998E-2</v>
      </c>
      <c r="S370">
        <v>3.5133670000000001</v>
      </c>
      <c r="T370">
        <v>-1.2672270000000001</v>
      </c>
      <c r="U370">
        <v>0.1035156</v>
      </c>
      <c r="V370">
        <v>-9.1555120000000004E-2</v>
      </c>
      <c r="W370">
        <v>0.29871239999999999</v>
      </c>
      <c r="X370">
        <v>0.94994129999999999</v>
      </c>
      <c r="Y370">
        <v>-2.5237659999999999E-2</v>
      </c>
      <c r="Z370">
        <v>3.6881470000000001E-3</v>
      </c>
      <c r="AA370">
        <v>0.99967470000000003</v>
      </c>
      <c r="AB370">
        <v>32</v>
      </c>
      <c r="AC370">
        <v>0.50709999999997901</v>
      </c>
      <c r="AD370">
        <v>-0.2485504</v>
      </c>
      <c r="AE370">
        <v>1.97000000000002E-2</v>
      </c>
      <c r="AF370">
        <v>-1.47786581687053E-2</v>
      </c>
      <c r="AG370">
        <v>-0.2485504</v>
      </c>
      <c r="AH370">
        <v>0.40903413142418699</v>
      </c>
      <c r="AI370">
        <v>121.268457466063</v>
      </c>
      <c r="AJ370">
        <v>92.069232139394799</v>
      </c>
      <c r="AK370">
        <v>0.47885763097957101</v>
      </c>
      <c r="AL370">
        <v>72.619715911335106</v>
      </c>
      <c r="AM370">
        <v>95.505149941579305</v>
      </c>
      <c r="AN370">
        <v>0.99999995567883104</v>
      </c>
    </row>
    <row r="371" spans="1:40" x14ac:dyDescent="0.25">
      <c r="A371" t="str">
        <f>"20190304164343121"</f>
        <v>20190304164343121</v>
      </c>
      <c r="B371" t="str">
        <f>"1551689023110354"</f>
        <v>1551689023110354</v>
      </c>
      <c r="C371" t="s">
        <v>40</v>
      </c>
      <c r="D371">
        <v>5.1803480000000004</v>
      </c>
      <c r="E371">
        <v>0.53741669999999997</v>
      </c>
      <c r="F371" t="s">
        <v>41</v>
      </c>
      <c r="G371">
        <v>-414.68329999999997</v>
      </c>
      <c r="H371">
        <v>0.92849090000000001</v>
      </c>
      <c r="I371">
        <v>367.03730000000002</v>
      </c>
      <c r="J371">
        <v>-415.2835</v>
      </c>
      <c r="K371">
        <v>1.060613</v>
      </c>
      <c r="L371">
        <v>367.0127</v>
      </c>
      <c r="M371">
        <v>0.99989280000000003</v>
      </c>
      <c r="N371">
        <v>-1.4391910000000001E-2</v>
      </c>
      <c r="O371">
        <v>2.7136299999999999E-3</v>
      </c>
      <c r="P371">
        <v>0.95390459999999999</v>
      </c>
      <c r="Q371">
        <v>0.28494740000000002</v>
      </c>
      <c r="R371">
        <v>9.4187069999999998E-2</v>
      </c>
      <c r="S371">
        <v>3.2889400000000002</v>
      </c>
      <c r="T371">
        <v>-0.51475309999999996</v>
      </c>
      <c r="U371">
        <v>9.9945069999999997E-2</v>
      </c>
      <c r="V371">
        <v>-9.1586329999999994E-2</v>
      </c>
      <c r="W371">
        <v>0.29865409999999998</v>
      </c>
      <c r="X371">
        <v>0.94995669999999999</v>
      </c>
      <c r="Y371">
        <v>-2.732534E-2</v>
      </c>
      <c r="Z371">
        <v>1.939709E-3</v>
      </c>
      <c r="AA371">
        <v>0.99962470000000003</v>
      </c>
      <c r="AB371">
        <v>32</v>
      </c>
      <c r="AC371">
        <v>0.60020000000002904</v>
      </c>
      <c r="AD371">
        <v>-0.13212209999999999</v>
      </c>
      <c r="AE371">
        <v>2.46000000000208E-2</v>
      </c>
      <c r="AF371">
        <v>-2.19110509449169E-2</v>
      </c>
      <c r="AG371">
        <v>-0.13212209999999999</v>
      </c>
      <c r="AH371">
        <v>0.57256609159210903</v>
      </c>
      <c r="AI371">
        <v>102.984623971671</v>
      </c>
      <c r="AJ371">
        <v>92.191534690144195</v>
      </c>
      <c r="AK371">
        <v>0.58802063969131602</v>
      </c>
      <c r="AL371">
        <v>72.623217352781694</v>
      </c>
      <c r="AM371">
        <v>95.506926317196402</v>
      </c>
      <c r="AN371">
        <v>1.00000002958228</v>
      </c>
    </row>
    <row r="372" spans="1:40" x14ac:dyDescent="0.25">
      <c r="A372" t="str">
        <f>"20190304164343134"</f>
        <v>20190304164343134</v>
      </c>
      <c r="B372" t="str">
        <f>"1551689023120114"</f>
        <v>1551689023120114</v>
      </c>
      <c r="C372" t="s">
        <v>40</v>
      </c>
      <c r="D372">
        <v>5.1916549999999999</v>
      </c>
      <c r="E372">
        <v>0.53585459999999996</v>
      </c>
      <c r="F372" t="s">
        <v>41</v>
      </c>
      <c r="G372">
        <v>-414.39330000000001</v>
      </c>
      <c r="H372">
        <v>0.93895510000000004</v>
      </c>
      <c r="I372">
        <v>367.0444</v>
      </c>
      <c r="J372">
        <v>-415.09629999999999</v>
      </c>
      <c r="K372">
        <v>1.0606120000000001</v>
      </c>
      <c r="L372">
        <v>367.01319999999998</v>
      </c>
      <c r="M372">
        <v>0.99989269999999997</v>
      </c>
      <c r="N372">
        <v>-1.439176E-2</v>
      </c>
      <c r="O372">
        <v>2.7136310000000002E-3</v>
      </c>
      <c r="P372">
        <v>0.95390589999999997</v>
      </c>
      <c r="Q372">
        <v>0.28488590000000003</v>
      </c>
      <c r="R372">
        <v>9.4360529999999998E-2</v>
      </c>
      <c r="S372">
        <v>3.2668149999999998</v>
      </c>
      <c r="T372">
        <v>-0.44664779999999998</v>
      </c>
      <c r="U372">
        <v>0.117157</v>
      </c>
      <c r="V372">
        <v>-9.1760330000000001E-2</v>
      </c>
      <c r="W372">
        <v>0.29859180000000002</v>
      </c>
      <c r="X372">
        <v>0.94995949999999996</v>
      </c>
      <c r="Y372">
        <v>-3.2810310000000002E-2</v>
      </c>
      <c r="Z372">
        <v>2.1389669999999999E-3</v>
      </c>
      <c r="AA372">
        <v>0.99945930000000005</v>
      </c>
      <c r="AB372">
        <v>32</v>
      </c>
      <c r="AC372">
        <v>0.70299999999997398</v>
      </c>
      <c r="AD372">
        <v>-0.1216569</v>
      </c>
      <c r="AE372">
        <v>3.1200000000012499E-2</v>
      </c>
      <c r="AF372">
        <v>-2.84419106741047E-2</v>
      </c>
      <c r="AG372">
        <v>-0.1216569</v>
      </c>
      <c r="AH372">
        <v>0.68267767900494403</v>
      </c>
      <c r="AI372">
        <v>100.09577305456</v>
      </c>
      <c r="AJ372">
        <v>92.385693301180893</v>
      </c>
      <c r="AK372">
        <v>0.69401596308152902</v>
      </c>
      <c r="AL372">
        <v>72.626957662568998</v>
      </c>
      <c r="AM372">
        <v>95.517307975520197</v>
      </c>
      <c r="AN372">
        <v>1.00000003641459</v>
      </c>
    </row>
    <row r="373" spans="1:40" x14ac:dyDescent="0.25">
      <c r="A373" t="str">
        <f>"20190304164343146"</f>
        <v>20190304164343146</v>
      </c>
      <c r="B373" t="str">
        <f>"1551689023140610"</f>
        <v>1551689023140610</v>
      </c>
      <c r="C373" t="s">
        <v>40</v>
      </c>
      <c r="D373">
        <v>5.189889</v>
      </c>
      <c r="E373">
        <v>0.53409110000000004</v>
      </c>
      <c r="F373" t="s">
        <v>41</v>
      </c>
      <c r="G373">
        <v>-414.11040000000003</v>
      </c>
      <c r="H373">
        <v>0.93561459999999996</v>
      </c>
      <c r="I373">
        <v>367.0514</v>
      </c>
      <c r="J373">
        <v>-414.92250000000001</v>
      </c>
      <c r="K373">
        <v>1.0606180000000001</v>
      </c>
      <c r="L373">
        <v>367.01369999999997</v>
      </c>
      <c r="M373">
        <v>0.99989280000000003</v>
      </c>
      <c r="N373">
        <v>-1.43914E-2</v>
      </c>
      <c r="O373">
        <v>2.713633E-3</v>
      </c>
      <c r="P373">
        <v>0.95408539999999997</v>
      </c>
      <c r="Q373">
        <v>0.2843715</v>
      </c>
      <c r="R373">
        <v>9.4095490000000004E-2</v>
      </c>
      <c r="S373">
        <v>3.2556759999999998</v>
      </c>
      <c r="T373">
        <v>-0.41295769999999998</v>
      </c>
      <c r="U373">
        <v>0.12725829999999999</v>
      </c>
      <c r="V373">
        <v>-9.1494350000000002E-2</v>
      </c>
      <c r="W373">
        <v>0.29807979999999901</v>
      </c>
      <c r="X373">
        <v>0.95014589999999999</v>
      </c>
      <c r="Y373">
        <v>-3.6042009999999999E-2</v>
      </c>
      <c r="Z373">
        <v>2.2326659999999999E-3</v>
      </c>
      <c r="AA373">
        <v>0.99934780000000001</v>
      </c>
      <c r="AB373">
        <v>32</v>
      </c>
      <c r="AC373">
        <v>0.81209999999998606</v>
      </c>
      <c r="AD373">
        <v>-0.12500339999999999</v>
      </c>
      <c r="AE373">
        <v>3.77000000000293E-2</v>
      </c>
      <c r="AF373">
        <v>-3.4676069662223197E-2</v>
      </c>
      <c r="AG373">
        <v>-0.12500339999999999</v>
      </c>
      <c r="AH373">
        <v>0.79344056512593597</v>
      </c>
      <c r="AI373">
        <v>98.944731493657599</v>
      </c>
      <c r="AJ373">
        <v>92.502429367993301</v>
      </c>
      <c r="AK373">
        <v>0.80397525472252196</v>
      </c>
      <c r="AL373">
        <v>72.657692225281494</v>
      </c>
      <c r="AM373">
        <v>95.500340901115393</v>
      </c>
      <c r="AN373">
        <v>1.0000000072683799</v>
      </c>
    </row>
    <row r="374" spans="1:40" x14ac:dyDescent="0.25">
      <c r="A374" t="str">
        <f>"20190304164343159"</f>
        <v>20190304164343159</v>
      </c>
      <c r="B374" t="str">
        <f>"1551689023150370"</f>
        <v>1551689023150370</v>
      </c>
      <c r="C374" t="s">
        <v>40</v>
      </c>
      <c r="D374">
        <v>5.2187429999999999</v>
      </c>
      <c r="E374">
        <v>0.53375209999999995</v>
      </c>
      <c r="F374" t="s">
        <v>41</v>
      </c>
      <c r="G374">
        <v>-414.0967</v>
      </c>
      <c r="H374">
        <v>0.96371879999999999</v>
      </c>
      <c r="I374">
        <v>367.04809999999998</v>
      </c>
      <c r="J374">
        <v>-414.74439999999998</v>
      </c>
      <c r="K374">
        <v>1.0606180000000001</v>
      </c>
      <c r="L374">
        <v>367.01420000000002</v>
      </c>
      <c r="M374">
        <v>0.99989280000000003</v>
      </c>
      <c r="N374">
        <v>-1.439095E-2</v>
      </c>
      <c r="O374">
        <v>2.7141169999999998E-3</v>
      </c>
      <c r="P374">
        <v>0.95412730000000001</v>
      </c>
      <c r="Q374">
        <v>0.28419609999999901</v>
      </c>
      <c r="R374">
        <v>9.4201370000000006E-2</v>
      </c>
      <c r="S374">
        <v>3.2444459999999999</v>
      </c>
      <c r="T374">
        <v>-0.38093129999999997</v>
      </c>
      <c r="U374">
        <v>0.1366272</v>
      </c>
      <c r="V374">
        <v>-9.1599739999999999E-2</v>
      </c>
      <c r="W374">
        <v>0.29790450000000002</v>
      </c>
      <c r="X374">
        <v>0.95019070000000005</v>
      </c>
      <c r="Y374">
        <v>-3.9074940000000002E-2</v>
      </c>
      <c r="Z374">
        <v>2.2889239999999999E-3</v>
      </c>
      <c r="AA374">
        <v>0.9992337</v>
      </c>
      <c r="AB374">
        <v>32</v>
      </c>
      <c r="AC374">
        <v>0.64769999999998595</v>
      </c>
      <c r="AD374">
        <v>-9.6899200000000005E-2</v>
      </c>
      <c r="AE374">
        <v>3.3899999999959997E-2</v>
      </c>
      <c r="AF374">
        <v>-3.14400020027399E-2</v>
      </c>
      <c r="AG374">
        <v>-9.6899200000000005E-2</v>
      </c>
      <c r="AH374">
        <v>0.63364630994897597</v>
      </c>
      <c r="AI374">
        <v>98.683974709943598</v>
      </c>
      <c r="AJ374">
        <v>92.840548897865503</v>
      </c>
      <c r="AK374">
        <v>0.64178312131009296</v>
      </c>
      <c r="AL374">
        <v>72.668213807184998</v>
      </c>
      <c r="AM374">
        <v>95.506379648650693</v>
      </c>
      <c r="AN374">
        <v>0.99999998492740305</v>
      </c>
    </row>
    <row r="375" spans="1:40" x14ac:dyDescent="0.25">
      <c r="A375" t="str">
        <f>"20190304164343170"</f>
        <v>20190304164343170</v>
      </c>
      <c r="B375" t="str">
        <f>"1551689023160131"</f>
        <v>1551689023160131</v>
      </c>
      <c r="C375" t="s">
        <v>40</v>
      </c>
      <c r="D375">
        <v>5.1906949999999998</v>
      </c>
      <c r="E375">
        <v>0.53373359999999903</v>
      </c>
      <c r="F375" t="s">
        <v>41</v>
      </c>
      <c r="G375">
        <v>-413.81760000000003</v>
      </c>
      <c r="H375">
        <v>0.95367800000000003</v>
      </c>
      <c r="I375">
        <v>367.05380000000002</v>
      </c>
      <c r="J375">
        <v>-414.56869999999998</v>
      </c>
      <c r="K375">
        <v>1.0606180000000001</v>
      </c>
      <c r="L375">
        <v>367.01459999999997</v>
      </c>
      <c r="M375">
        <v>0.99989269999999997</v>
      </c>
      <c r="N375">
        <v>-1.4390409999999999E-2</v>
      </c>
      <c r="O375">
        <v>2.7156810000000002E-3</v>
      </c>
      <c r="P375">
        <v>0.95413020000000004</v>
      </c>
      <c r="Q375">
        <v>0.28422770000000003</v>
      </c>
      <c r="R375">
        <v>9.4075130000000007E-2</v>
      </c>
      <c r="S375">
        <v>3.2419739999999999</v>
      </c>
      <c r="T375">
        <v>-0.37394509999999997</v>
      </c>
      <c r="U375">
        <v>0.13818359999999999</v>
      </c>
      <c r="V375">
        <v>-9.1472390000000001E-2</v>
      </c>
      <c r="W375">
        <v>0.29793550000000002</v>
      </c>
      <c r="X375">
        <v>0.95019330000000002</v>
      </c>
      <c r="Y375">
        <v>-3.9589770000000003E-2</v>
      </c>
      <c r="Z375">
        <v>2.287622E-3</v>
      </c>
      <c r="AA375">
        <v>0.99921340000000003</v>
      </c>
      <c r="AB375">
        <v>32</v>
      </c>
      <c r="AC375">
        <v>0.75109999999995103</v>
      </c>
      <c r="AD375">
        <v>-0.10693999999999999</v>
      </c>
      <c r="AE375">
        <v>3.9200000000050701E-2</v>
      </c>
      <c r="AF375">
        <v>-3.6423543660838699E-2</v>
      </c>
      <c r="AG375">
        <v>-0.10693999999999999</v>
      </c>
      <c r="AH375">
        <v>0.73631800687986204</v>
      </c>
      <c r="AI375">
        <v>98.2536862225449</v>
      </c>
      <c r="AJ375">
        <v>92.831949750536594</v>
      </c>
      <c r="AK375">
        <v>0.74493425574901895</v>
      </c>
      <c r="AL375">
        <v>72.6663540214562</v>
      </c>
      <c r="AM375">
        <v>95.498756195435107</v>
      </c>
      <c r="AN375">
        <v>1.00000003382872</v>
      </c>
    </row>
    <row r="376" spans="1:40" x14ac:dyDescent="0.25">
      <c r="A376" t="str">
        <f>"20190304164343189"</f>
        <v>20190304164343189</v>
      </c>
      <c r="B376" t="str">
        <f>"1551689023180056"</f>
        <v>1551689023180056</v>
      </c>
      <c r="C376" t="s">
        <v>40</v>
      </c>
      <c r="D376">
        <v>5.187532</v>
      </c>
      <c r="E376">
        <v>0.53388849999999999</v>
      </c>
      <c r="F376" t="s">
        <v>41</v>
      </c>
      <c r="G376">
        <v>-413.8048</v>
      </c>
      <c r="H376">
        <v>0.9738116</v>
      </c>
      <c r="I376">
        <v>367.0471</v>
      </c>
      <c r="J376">
        <v>-414.31259999999997</v>
      </c>
      <c r="K376">
        <v>1.0606230000000001</v>
      </c>
      <c r="L376">
        <v>367.0154</v>
      </c>
      <c r="M376">
        <v>0.99989280000000003</v>
      </c>
      <c r="N376">
        <v>-1.438943E-2</v>
      </c>
      <c r="O376">
        <v>2.722295E-3</v>
      </c>
      <c r="P376">
        <v>0.95418389999999997</v>
      </c>
      <c r="Q376">
        <v>0.28411160000000002</v>
      </c>
      <c r="R376">
        <v>9.3882930000000003E-2</v>
      </c>
      <c r="S376">
        <v>3.240326</v>
      </c>
      <c r="T376">
        <v>-0.36805769999999999</v>
      </c>
      <c r="U376">
        <v>0.13732910000000001</v>
      </c>
      <c r="V376">
        <v>-9.1276079999999996E-2</v>
      </c>
      <c r="W376">
        <v>0.29781849999999999</v>
      </c>
      <c r="X376">
        <v>0.9502488</v>
      </c>
      <c r="Y376">
        <v>-3.9351440000000001E-2</v>
      </c>
      <c r="Z376">
        <v>2.241996E-3</v>
      </c>
      <c r="AA376">
        <v>0.99922290000000002</v>
      </c>
      <c r="AB376">
        <v>32</v>
      </c>
      <c r="AC376">
        <v>0.50779999999997405</v>
      </c>
      <c r="AD376">
        <v>-8.6811399999999803E-2</v>
      </c>
      <c r="AE376">
        <v>3.17000000000007E-2</v>
      </c>
      <c r="AF376">
        <v>-2.9459713197326199E-2</v>
      </c>
      <c r="AG376">
        <v>-8.6811399999999803E-2</v>
      </c>
      <c r="AH376">
        <v>0.49351692995288798</v>
      </c>
      <c r="AI376">
        <v>99.959099290767398</v>
      </c>
      <c r="AJ376">
        <v>93.416127291169502</v>
      </c>
      <c r="AK376">
        <v>0.501959215496391</v>
      </c>
      <c r="AL376">
        <v>72.673375484336106</v>
      </c>
      <c r="AM376">
        <v>95.486708827591301</v>
      </c>
      <c r="AN376">
        <v>0.99999998181192795</v>
      </c>
    </row>
    <row r="377" spans="1:40" x14ac:dyDescent="0.25">
      <c r="A377" t="str">
        <f>"20190304164343202"</f>
        <v>20190304164343202</v>
      </c>
      <c r="B377" t="str">
        <f>"1551689023190792"</f>
        <v>1551689023190792</v>
      </c>
      <c r="C377" t="s">
        <v>40</v>
      </c>
      <c r="D377">
        <v>5.1882789999999996</v>
      </c>
      <c r="E377">
        <v>0.53386650000000002</v>
      </c>
      <c r="F377" t="s">
        <v>41</v>
      </c>
      <c r="G377">
        <v>-413.5222</v>
      </c>
      <c r="H377">
        <v>0.97250590000000003</v>
      </c>
      <c r="I377">
        <v>367.04750000000001</v>
      </c>
      <c r="J377">
        <v>-414.13589999999999</v>
      </c>
      <c r="K377">
        <v>1.06063</v>
      </c>
      <c r="L377">
        <v>367.01580000000001</v>
      </c>
      <c r="M377">
        <v>0.99989280000000003</v>
      </c>
      <c r="N377">
        <v>-1.4388659999999999E-2</v>
      </c>
      <c r="O377">
        <v>2.7305849999999998E-3</v>
      </c>
      <c r="P377">
        <v>0.9541193</v>
      </c>
      <c r="Q377">
        <v>0.2845065</v>
      </c>
      <c r="R377">
        <v>9.334017E-2</v>
      </c>
      <c r="S377">
        <v>3.2384949999999999</v>
      </c>
      <c r="T377">
        <v>-0.3613343</v>
      </c>
      <c r="U377">
        <v>0.1334534</v>
      </c>
      <c r="V377">
        <v>-9.0727929999999998E-2</v>
      </c>
      <c r="W377">
        <v>0.29821130000000001</v>
      </c>
      <c r="X377">
        <v>0.95017810000000003</v>
      </c>
      <c r="Y377">
        <v>-3.819032E-2</v>
      </c>
      <c r="Z377">
        <v>2.134478E-3</v>
      </c>
      <c r="AA377">
        <v>0.99926820000000005</v>
      </c>
      <c r="AB377">
        <v>32</v>
      </c>
      <c r="AC377">
        <v>0.61369999999999403</v>
      </c>
      <c r="AD377">
        <v>-8.8124099999999803E-2</v>
      </c>
      <c r="AE377">
        <v>3.17000000000007E-2</v>
      </c>
      <c r="AF377">
        <v>-2.9418959695549401E-2</v>
      </c>
      <c r="AG377">
        <v>-8.8124099999999803E-2</v>
      </c>
      <c r="AH377">
        <v>0.60141640186577205</v>
      </c>
      <c r="AI377">
        <v>98.326275368100497</v>
      </c>
      <c r="AJ377">
        <v>92.800455286247995</v>
      </c>
      <c r="AK377">
        <v>0.60854993272824398</v>
      </c>
      <c r="AL377">
        <v>72.649798340590905</v>
      </c>
      <c r="AM377">
        <v>95.454361549045501</v>
      </c>
      <c r="AN377">
        <v>0.99999997922469197</v>
      </c>
    </row>
    <row r="378" spans="1:40" x14ac:dyDescent="0.25">
      <c r="A378" t="str">
        <f>"20190304164343215"</f>
        <v>20190304164343215</v>
      </c>
      <c r="B378" t="str">
        <f>"1551689023210314"</f>
        <v>1551689023210314</v>
      </c>
      <c r="C378" t="s">
        <v>40</v>
      </c>
      <c r="D378">
        <v>5.1728050000000003</v>
      </c>
      <c r="E378">
        <v>0.5338908</v>
      </c>
      <c r="F378" t="s">
        <v>41</v>
      </c>
      <c r="G378">
        <v>-413.24650000000003</v>
      </c>
      <c r="H378">
        <v>0.96187670000000003</v>
      </c>
      <c r="I378">
        <v>367.05200000000002</v>
      </c>
      <c r="J378">
        <v>-413.94970000000001</v>
      </c>
      <c r="K378">
        <v>1.0606329999999999</v>
      </c>
      <c r="L378">
        <v>367.01639999999998</v>
      </c>
      <c r="M378">
        <v>0.99989280000000003</v>
      </c>
      <c r="N378">
        <v>-1.4387769999999999E-2</v>
      </c>
      <c r="O378">
        <v>2.7419329999999998E-3</v>
      </c>
      <c r="P378">
        <v>0.95409480000000002</v>
      </c>
      <c r="Q378">
        <v>0.28458889999999998</v>
      </c>
      <c r="R378">
        <v>9.3342240000000007E-2</v>
      </c>
      <c r="S378">
        <v>3.2386170000000001</v>
      </c>
      <c r="T378">
        <v>-0.35954950000000002</v>
      </c>
      <c r="U378">
        <v>0.13134770000000001</v>
      </c>
      <c r="V378">
        <v>-9.0722369999999997E-2</v>
      </c>
      <c r="W378">
        <v>0.29829149999999999</v>
      </c>
      <c r="X378">
        <v>0.95015349999999998</v>
      </c>
      <c r="Y378">
        <v>-3.7535730000000003E-2</v>
      </c>
      <c r="Z378">
        <v>2.083442E-3</v>
      </c>
      <c r="AA378">
        <v>0.99929310000000005</v>
      </c>
      <c r="AB378">
        <v>32</v>
      </c>
      <c r="AC378">
        <v>0.70319999999998095</v>
      </c>
      <c r="AD378">
        <v>-9.8756299999999894E-2</v>
      </c>
      <c r="AE378">
        <v>3.5599999999988002E-2</v>
      </c>
      <c r="AF378">
        <v>-3.30219147514801E-2</v>
      </c>
      <c r="AG378">
        <v>-9.8756299999999894E-2</v>
      </c>
      <c r="AH378">
        <v>0.68972631656988703</v>
      </c>
      <c r="AI378">
        <v>98.139136836836201</v>
      </c>
      <c r="AJ378">
        <v>92.741047666172904</v>
      </c>
      <c r="AK378">
        <v>0.69754257605726699</v>
      </c>
      <c r="AL378">
        <v>72.644984849260695</v>
      </c>
      <c r="AM378">
        <v>95.454169666123406</v>
      </c>
      <c r="AN378">
        <v>1.0000000204764501</v>
      </c>
    </row>
    <row r="379" spans="1:40" x14ac:dyDescent="0.25">
      <c r="A379" t="str">
        <f>"20190304164343232"</f>
        <v>20190304164343232</v>
      </c>
      <c r="B379" t="str">
        <f>"1551689023220073"</f>
        <v>1551689023220073</v>
      </c>
      <c r="C379" t="s">
        <v>40</v>
      </c>
      <c r="D379">
        <v>5.1852710000000002</v>
      </c>
      <c r="E379">
        <v>0.53384069999999995</v>
      </c>
      <c r="F379" t="s">
        <v>41</v>
      </c>
      <c r="G379">
        <v>-412.96850000000001</v>
      </c>
      <c r="H379">
        <v>0.95158980000000004</v>
      </c>
      <c r="I379">
        <v>367.05549999999999</v>
      </c>
      <c r="J379">
        <v>-413.6884</v>
      </c>
      <c r="K379">
        <v>1.0606450000000001</v>
      </c>
      <c r="L379">
        <v>367.01710000000003</v>
      </c>
      <c r="M379">
        <v>0.99989269999999997</v>
      </c>
      <c r="N379">
        <v>-1.4386339999999999E-2</v>
      </c>
      <c r="O379">
        <v>2.7648389999999998E-3</v>
      </c>
      <c r="P379">
        <v>0.9538972</v>
      </c>
      <c r="Q379">
        <v>0.28535369999999999</v>
      </c>
      <c r="R379">
        <v>9.3023720000000004E-2</v>
      </c>
      <c r="S379">
        <v>3.238953</v>
      </c>
      <c r="T379">
        <v>-0.36021530000000002</v>
      </c>
      <c r="U379">
        <v>0.130889899999999</v>
      </c>
      <c r="V379">
        <v>-9.038815E-2</v>
      </c>
      <c r="W379">
        <v>0.2990505</v>
      </c>
      <c r="X379">
        <v>0.94994679999999998</v>
      </c>
      <c r="Y379">
        <v>-3.7368110000000003E-2</v>
      </c>
      <c r="Z379">
        <v>2.0737889999999999E-3</v>
      </c>
      <c r="AA379">
        <v>0.99929939999999995</v>
      </c>
      <c r="AB379">
        <v>32</v>
      </c>
      <c r="AC379">
        <v>0.71989999999999499</v>
      </c>
      <c r="AD379">
        <v>-0.10905519999999901</v>
      </c>
      <c r="AE379">
        <v>3.8399999999967301E-2</v>
      </c>
      <c r="AF379">
        <v>-3.5594722701437799E-2</v>
      </c>
      <c r="AG379">
        <v>-0.10905519999999901</v>
      </c>
      <c r="AH379">
        <v>0.70389611690742804</v>
      </c>
      <c r="AI379">
        <v>98.795799236050399</v>
      </c>
      <c r="AJ379">
        <v>92.8948755812428</v>
      </c>
      <c r="AK379">
        <v>0.71318284074183003</v>
      </c>
      <c r="AL379">
        <v>72.599418388918195</v>
      </c>
      <c r="AM379">
        <v>95.435372432322396</v>
      </c>
      <c r="AN379">
        <v>1.00000007102045</v>
      </c>
    </row>
    <row r="380" spans="1:40" x14ac:dyDescent="0.25">
      <c r="A380" t="str">
        <f>"20190304164343247"</f>
        <v>20190304164343247</v>
      </c>
      <c r="B380" t="str">
        <f>"1551689023240569"</f>
        <v>1551689023240569</v>
      </c>
      <c r="C380" t="s">
        <v>40</v>
      </c>
      <c r="D380">
        <v>5.2546780000000002</v>
      </c>
      <c r="E380">
        <v>0.53389629999999999</v>
      </c>
      <c r="F380" t="s">
        <v>43</v>
      </c>
      <c r="G380">
        <v>-403.64010000000002</v>
      </c>
      <c r="H380">
        <v>-0.05</v>
      </c>
      <c r="I380">
        <v>367.42520000000002</v>
      </c>
      <c r="J380">
        <v>-413.50200000000001</v>
      </c>
      <c r="K380">
        <v>1.0606530000000001</v>
      </c>
      <c r="L380">
        <v>367.01760000000002</v>
      </c>
      <c r="M380">
        <v>0.99989280000000003</v>
      </c>
      <c r="N380">
        <v>-1.4385210000000001E-2</v>
      </c>
      <c r="O380">
        <v>2.7864529999999999E-3</v>
      </c>
      <c r="P380">
        <v>0.95386309999999996</v>
      </c>
      <c r="Q380">
        <v>0.28555560000000002</v>
      </c>
      <c r="R380">
        <v>9.2755610000000002E-2</v>
      </c>
      <c r="S380">
        <v>3.239258</v>
      </c>
      <c r="T380">
        <v>-0.35803639999999998</v>
      </c>
      <c r="U380">
        <v>0.13156129999999999</v>
      </c>
      <c r="V380">
        <v>-9.0102760000000004E-2</v>
      </c>
      <c r="W380">
        <v>0.29924970000000001</v>
      </c>
      <c r="X380">
        <v>0.94991110000000001</v>
      </c>
      <c r="Y380">
        <v>-3.7551149999999998E-2</v>
      </c>
      <c r="Z380">
        <v>2.07231E-3</v>
      </c>
      <c r="AA380">
        <v>0.99929259999999998</v>
      </c>
      <c r="AB380">
        <v>32</v>
      </c>
      <c r="AC380">
        <v>9.8618999999999293</v>
      </c>
      <c r="AD380">
        <v>-1.1106529999999999</v>
      </c>
      <c r="AE380">
        <v>0.40760000000000202</v>
      </c>
      <c r="AF380">
        <v>-0.37536309654448402</v>
      </c>
      <c r="AG380">
        <v>-1.1106529999999999</v>
      </c>
      <c r="AH380">
        <v>9.7396760622859393</v>
      </c>
      <c r="AI380">
        <v>96.500773387661397</v>
      </c>
      <c r="AJ380">
        <v>92.207063415918199</v>
      </c>
      <c r="AK380">
        <v>9.8099815157278591</v>
      </c>
      <c r="AL380">
        <v>72.587455944321505</v>
      </c>
      <c r="AM380">
        <v>95.418515596363605</v>
      </c>
      <c r="AN380">
        <v>0.99999999410645801</v>
      </c>
    </row>
    <row r="381" spans="1:40" x14ac:dyDescent="0.25">
      <c r="A381" t="str">
        <f>"20190304164343268"</f>
        <v>20190304164343268</v>
      </c>
      <c r="B381" t="str">
        <f>"1551689023261065"</f>
        <v>1551689023261065</v>
      </c>
      <c r="C381" t="s">
        <v>40</v>
      </c>
      <c r="D381">
        <v>5.2391259999999997</v>
      </c>
      <c r="E381">
        <v>0.53369869999999997</v>
      </c>
      <c r="F381" t="s">
        <v>41</v>
      </c>
      <c r="G381">
        <v>-412.67590000000001</v>
      </c>
      <c r="H381">
        <v>0.96899550000000001</v>
      </c>
      <c r="I381">
        <v>367.05070000000001</v>
      </c>
      <c r="J381">
        <v>-413.19040000000001</v>
      </c>
      <c r="K381">
        <v>1.0606629999999999</v>
      </c>
      <c r="L381">
        <v>367.01859999999999</v>
      </c>
      <c r="M381">
        <v>0.99989269999999997</v>
      </c>
      <c r="N381">
        <v>-1.438321E-2</v>
      </c>
      <c r="O381">
        <v>2.828213E-3</v>
      </c>
      <c r="P381">
        <v>0.95363989999999998</v>
      </c>
      <c r="Q381">
        <v>0.28612910000000003</v>
      </c>
      <c r="R381">
        <v>9.3281180000000005E-2</v>
      </c>
      <c r="S381">
        <v>3.2401119999999999</v>
      </c>
      <c r="T381">
        <v>-0.35957349999999999</v>
      </c>
      <c r="U381">
        <v>0.1298523</v>
      </c>
      <c r="V381">
        <v>-9.0595439999999999E-2</v>
      </c>
      <c r="W381">
        <v>0.29981619999999998</v>
      </c>
      <c r="X381">
        <v>0.94968560000000002</v>
      </c>
      <c r="Y381">
        <v>-3.6974849999999997E-2</v>
      </c>
      <c r="Z381">
        <v>2.0392940000000001E-3</v>
      </c>
      <c r="AA381">
        <v>0.99931409999999998</v>
      </c>
      <c r="AB381">
        <v>32</v>
      </c>
      <c r="AC381">
        <v>0.51449999999999796</v>
      </c>
      <c r="AD381">
        <v>-9.1667499999999902E-2</v>
      </c>
      <c r="AE381">
        <v>3.2100000000013999E-2</v>
      </c>
      <c r="AF381">
        <v>-2.9705300499539702E-2</v>
      </c>
      <c r="AG381">
        <v>-9.1667499999999902E-2</v>
      </c>
      <c r="AH381">
        <v>0.49881578589733799</v>
      </c>
      <c r="AI381">
        <v>100.39506150240101</v>
      </c>
      <c r="AJ381">
        <v>93.408032965175906</v>
      </c>
      <c r="AK381">
        <v>0.50803791560709</v>
      </c>
      <c r="AL381">
        <v>72.553436229566302</v>
      </c>
      <c r="AM381">
        <v>95.449251963344693</v>
      </c>
      <c r="AN381">
        <v>1.0000000131892901</v>
      </c>
    </row>
    <row r="382" spans="1:40" x14ac:dyDescent="0.25">
      <c r="A382" t="str">
        <f>"20190304164343283"</f>
        <v>20190304164343283</v>
      </c>
      <c r="B382" t="str">
        <f>"1551689023270825"</f>
        <v>1551689023270825</v>
      </c>
      <c r="C382" t="s">
        <v>40</v>
      </c>
      <c r="D382">
        <v>5.2426769999999996</v>
      </c>
      <c r="E382">
        <v>0.53360299999999905</v>
      </c>
      <c r="F382" t="s">
        <v>41</v>
      </c>
      <c r="G382">
        <v>-412.39109999999999</v>
      </c>
      <c r="H382">
        <v>0.97221570000000002</v>
      </c>
      <c r="I382">
        <v>367.05070000000001</v>
      </c>
      <c r="J382">
        <v>-412.9948</v>
      </c>
      <c r="K382">
        <v>1.0606690000000001</v>
      </c>
      <c r="L382">
        <v>367.01909999999998</v>
      </c>
      <c r="M382">
        <v>0.99989260000000002</v>
      </c>
      <c r="N382">
        <v>-1.438187E-2</v>
      </c>
      <c r="O382">
        <v>2.859112E-3</v>
      </c>
      <c r="P382">
        <v>0.95349899999999999</v>
      </c>
      <c r="Q382">
        <v>0.2865086</v>
      </c>
      <c r="R382">
        <v>9.3554869999999998E-2</v>
      </c>
      <c r="S382">
        <v>3.24057</v>
      </c>
      <c r="T382">
        <v>-0.35896400000000001</v>
      </c>
      <c r="U382">
        <v>0.13235469999999999</v>
      </c>
      <c r="V382">
        <v>-9.0843220000000002E-2</v>
      </c>
      <c r="W382">
        <v>0.3001914</v>
      </c>
      <c r="X382">
        <v>0.94954340000000004</v>
      </c>
      <c r="Y382">
        <v>-3.7704689999999999E-2</v>
      </c>
      <c r="Z382">
        <v>2.0786630000000001E-3</v>
      </c>
      <c r="AA382">
        <v>0.99928680000000003</v>
      </c>
      <c r="AB382">
        <v>32</v>
      </c>
      <c r="AC382">
        <v>0.60370000000000301</v>
      </c>
      <c r="AD382">
        <v>-8.8453300000000096E-2</v>
      </c>
      <c r="AE382">
        <v>3.1600000000025802E-2</v>
      </c>
      <c r="AF382">
        <v>-2.92474856160246E-2</v>
      </c>
      <c r="AG382">
        <v>-8.8453300000000096E-2</v>
      </c>
      <c r="AH382">
        <v>0.59113230689046603</v>
      </c>
      <c r="AI382">
        <v>98.4999921562042</v>
      </c>
      <c r="AJ382">
        <v>92.832516623123595</v>
      </c>
      <c r="AK382">
        <v>0.59842861390929003</v>
      </c>
      <c r="AL382">
        <v>72.530900912063601</v>
      </c>
      <c r="AM382">
        <v>95.464879002978705</v>
      </c>
      <c r="AN382">
        <v>1.00000001786874</v>
      </c>
    </row>
    <row r="383" spans="1:40" x14ac:dyDescent="0.25">
      <c r="A383" t="str">
        <f>"20190304164343300"</f>
        <v>20190304164343300</v>
      </c>
      <c r="B383" t="str">
        <f>"1551689023290853"</f>
        <v>1551689023290853</v>
      </c>
      <c r="C383" t="s">
        <v>40</v>
      </c>
      <c r="D383">
        <v>5.243017</v>
      </c>
      <c r="E383">
        <v>0.53346610000000005</v>
      </c>
      <c r="F383" t="s">
        <v>41</v>
      </c>
      <c r="G383">
        <v>-412.11529999999999</v>
      </c>
      <c r="H383">
        <v>0.96335579999999998</v>
      </c>
      <c r="I383">
        <v>367.05549999999999</v>
      </c>
      <c r="J383">
        <v>-412.738</v>
      </c>
      <c r="K383">
        <v>1.060673</v>
      </c>
      <c r="L383">
        <v>367.01990000000001</v>
      </c>
      <c r="M383">
        <v>0.99989260000000002</v>
      </c>
      <c r="N383">
        <v>-1.438E-2</v>
      </c>
      <c r="O383">
        <v>2.903311E-3</v>
      </c>
      <c r="P383">
        <v>0.95344169999999995</v>
      </c>
      <c r="Q383">
        <v>0.28648790000000002</v>
      </c>
      <c r="R383">
        <v>9.4200339999999994E-2</v>
      </c>
      <c r="S383">
        <v>3.240875</v>
      </c>
      <c r="T383">
        <v>-0.35862300000000003</v>
      </c>
      <c r="U383">
        <v>0.13415529999999901</v>
      </c>
      <c r="V383">
        <v>-9.1449740000000002E-2</v>
      </c>
      <c r="W383">
        <v>0.30016739999999997</v>
      </c>
      <c r="X383">
        <v>0.94949280000000003</v>
      </c>
      <c r="Y383">
        <v>-3.820813E-2</v>
      </c>
      <c r="Z383">
        <v>2.1039240000000001E-3</v>
      </c>
      <c r="AA383">
        <v>0.99926760000000003</v>
      </c>
      <c r="AB383">
        <v>32</v>
      </c>
      <c r="AC383">
        <v>0.62270000000006498</v>
      </c>
      <c r="AD383">
        <v>-9.7317199999999798E-2</v>
      </c>
      <c r="AE383">
        <v>3.5599999999988002E-2</v>
      </c>
      <c r="AF383">
        <v>-3.2988672462343202E-2</v>
      </c>
      <c r="AG383">
        <v>-9.7317199999999798E-2</v>
      </c>
      <c r="AH383">
        <v>0.60799918927295404</v>
      </c>
      <c r="AI383">
        <v>99.080573573589504</v>
      </c>
      <c r="AJ383">
        <v>93.105695265966602</v>
      </c>
      <c r="AK383">
        <v>0.61662136200689399</v>
      </c>
      <c r="AL383">
        <v>72.532343073754802</v>
      </c>
      <c r="AM383">
        <v>95.501433862750204</v>
      </c>
      <c r="AN383">
        <v>1.0000000501103301</v>
      </c>
    </row>
    <row r="384" spans="1:40" x14ac:dyDescent="0.25">
      <c r="A384" t="str">
        <f>"20190304164343312"</f>
        <v>20190304164343312</v>
      </c>
      <c r="B384" t="str">
        <f>"1551689023300613"</f>
        <v>1551689023300613</v>
      </c>
      <c r="C384" t="s">
        <v>40</v>
      </c>
      <c r="D384">
        <v>5.2621060000000002</v>
      </c>
      <c r="E384">
        <v>0.53341719999999904</v>
      </c>
      <c r="F384" t="s">
        <v>41</v>
      </c>
      <c r="G384">
        <v>-411.83530000000002</v>
      </c>
      <c r="H384">
        <v>0.96059170000000005</v>
      </c>
      <c r="I384">
        <v>367.05790000000002</v>
      </c>
      <c r="J384">
        <v>-412.56650000000002</v>
      </c>
      <c r="K384">
        <v>1.060675</v>
      </c>
      <c r="L384">
        <v>367.0204</v>
      </c>
      <c r="M384">
        <v>0.99989240000000001</v>
      </c>
      <c r="N384">
        <v>-1.4378699999999999E-2</v>
      </c>
      <c r="O384">
        <v>2.9346540000000001E-3</v>
      </c>
      <c r="P384">
        <v>0.95331350000000004</v>
      </c>
      <c r="Q384">
        <v>0.28678290000000001</v>
      </c>
      <c r="R384">
        <v>9.4600630000000005E-2</v>
      </c>
      <c r="S384">
        <v>3.2409669999999999</v>
      </c>
      <c r="T384">
        <v>-0.35954520000000001</v>
      </c>
      <c r="U384">
        <v>0.13757320000000001</v>
      </c>
      <c r="V384">
        <v>-9.1822139999999997E-2</v>
      </c>
      <c r="W384">
        <v>0.30045850000000002</v>
      </c>
      <c r="X384">
        <v>0.94936469999999995</v>
      </c>
      <c r="Y384">
        <v>-3.9219589999999999E-2</v>
      </c>
      <c r="Z384">
        <v>2.168573E-3</v>
      </c>
      <c r="AA384">
        <v>0.99922820000000001</v>
      </c>
      <c r="AB384">
        <v>32</v>
      </c>
      <c r="AC384">
        <v>0.73120000000000096</v>
      </c>
      <c r="AD384">
        <v>-0.1000833</v>
      </c>
      <c r="AE384">
        <v>3.7500000000022703E-2</v>
      </c>
      <c r="AF384">
        <v>-3.4705303853632401E-2</v>
      </c>
      <c r="AG384">
        <v>-0.1000833</v>
      </c>
      <c r="AH384">
        <v>0.71789256457537098</v>
      </c>
      <c r="AI384">
        <v>97.927461368181895</v>
      </c>
      <c r="AJ384">
        <v>92.767712938923097</v>
      </c>
      <c r="AK384">
        <v>0.72566580415992199</v>
      </c>
      <c r="AL384">
        <v>72.514855772266699</v>
      </c>
      <c r="AM384">
        <v>95.524439142801398</v>
      </c>
      <c r="AN384">
        <v>0.999999974611259</v>
      </c>
    </row>
    <row r="385" spans="1:40" x14ac:dyDescent="0.25">
      <c r="A385" t="str">
        <f>"20190304164343325"</f>
        <v>20190304164343325</v>
      </c>
      <c r="B385" t="str">
        <f>"1551689023320133"</f>
        <v>1551689023320133</v>
      </c>
      <c r="C385" t="s">
        <v>40</v>
      </c>
      <c r="D385">
        <v>5.270607</v>
      </c>
      <c r="E385">
        <v>0.53330369999999905</v>
      </c>
      <c r="F385" t="s">
        <v>43</v>
      </c>
      <c r="G385">
        <v>-402.53050000000002</v>
      </c>
      <c r="H385">
        <v>-0.05</v>
      </c>
      <c r="I385">
        <v>367.45389999999998</v>
      </c>
      <c r="J385">
        <v>-412.39839999999998</v>
      </c>
      <c r="K385">
        <v>1.0606799999999901</v>
      </c>
      <c r="L385">
        <v>367.02089999999998</v>
      </c>
      <c r="M385">
        <v>0.99989229999999996</v>
      </c>
      <c r="N385">
        <v>-1.437736E-2</v>
      </c>
      <c r="O385">
        <v>2.9668189999999999E-3</v>
      </c>
      <c r="P385">
        <v>0.95335899999999996</v>
      </c>
      <c r="Q385">
        <v>0.28636909999999999</v>
      </c>
      <c r="R385">
        <v>9.5391749999999997E-2</v>
      </c>
      <c r="S385">
        <v>3.240936</v>
      </c>
      <c r="T385">
        <v>-0.35867130000000003</v>
      </c>
      <c r="U385">
        <v>0.13995360000000001</v>
      </c>
      <c r="V385">
        <v>-9.2583979999999996E-2</v>
      </c>
      <c r="W385">
        <v>0.30004360000000002</v>
      </c>
      <c r="X385">
        <v>0.94942190000000004</v>
      </c>
      <c r="Y385">
        <v>-3.991691E-2</v>
      </c>
      <c r="Z385">
        <v>2.204475E-3</v>
      </c>
      <c r="AA385">
        <v>0.99920059999999999</v>
      </c>
      <c r="AB385">
        <v>32</v>
      </c>
      <c r="AC385">
        <v>9.8678999999999597</v>
      </c>
      <c r="AD385">
        <v>-1.1106799999999999</v>
      </c>
      <c r="AE385">
        <v>0.432999999999992</v>
      </c>
      <c r="AF385">
        <v>-0.39867781483563203</v>
      </c>
      <c r="AG385">
        <v>-1.1106799999999999</v>
      </c>
      <c r="AH385">
        <v>9.7459115982532705</v>
      </c>
      <c r="AI385">
        <v>96.496201466666903</v>
      </c>
      <c r="AJ385">
        <v>92.342503024146495</v>
      </c>
      <c r="AK385">
        <v>9.8170946284229004</v>
      </c>
      <c r="AL385">
        <v>72.539777235307398</v>
      </c>
      <c r="AM385">
        <v>95.569654382456207</v>
      </c>
      <c r="AN385">
        <v>0.999999949726604</v>
      </c>
    </row>
    <row r="386" spans="1:40" x14ac:dyDescent="0.25">
      <c r="A386" t="str">
        <f>"20190304164343338"</f>
        <v>20190304164343338</v>
      </c>
      <c r="B386" t="str">
        <f>"1551689023330869"</f>
        <v>1551689023330869</v>
      </c>
      <c r="C386" t="s">
        <v>40</v>
      </c>
      <c r="D386">
        <v>5.2646269999999999</v>
      </c>
      <c r="E386">
        <v>0.53323169999999898</v>
      </c>
      <c r="F386" t="s">
        <v>41</v>
      </c>
      <c r="G386">
        <v>-411.54969999999997</v>
      </c>
      <c r="H386">
        <v>0.96626820000000002</v>
      </c>
      <c r="I386">
        <v>367.05829999999997</v>
      </c>
      <c r="J386">
        <v>-412.20609999999999</v>
      </c>
      <c r="K386">
        <v>1.0606799999999901</v>
      </c>
      <c r="L386">
        <v>367.02159999999998</v>
      </c>
      <c r="M386">
        <v>0.99989240000000001</v>
      </c>
      <c r="N386">
        <v>-1.4375819999999999E-2</v>
      </c>
      <c r="O386">
        <v>3.0035750000000001E-3</v>
      </c>
      <c r="P386">
        <v>0.95322410000000002</v>
      </c>
      <c r="Q386">
        <v>0.2866744</v>
      </c>
      <c r="R386">
        <v>9.5823249999999999E-2</v>
      </c>
      <c r="S386">
        <v>3.2407530000000002</v>
      </c>
      <c r="T386">
        <v>-0.36049409999999998</v>
      </c>
      <c r="U386">
        <v>0.1432495</v>
      </c>
      <c r="V386">
        <v>-9.2982170000000003E-2</v>
      </c>
      <c r="W386">
        <v>0.30034519999999998</v>
      </c>
      <c r="X386">
        <v>0.94928769999999996</v>
      </c>
      <c r="Y386">
        <v>-4.0887800000000002E-2</v>
      </c>
      <c r="Z386">
        <v>2.2712499999999998E-3</v>
      </c>
      <c r="AA386">
        <v>0.99916119999999997</v>
      </c>
      <c r="AB386">
        <v>32</v>
      </c>
      <c r="AC386">
        <v>0.65640000000001897</v>
      </c>
      <c r="AD386">
        <v>-9.4411799999999907E-2</v>
      </c>
      <c r="AE386">
        <v>3.6699999999996097E-2</v>
      </c>
      <c r="AF386">
        <v>-3.4026346161049999E-2</v>
      </c>
      <c r="AG386">
        <v>-9.4411799999999907E-2</v>
      </c>
      <c r="AH386">
        <v>0.64324146605976595</v>
      </c>
      <c r="AI386">
        <v>98.338476715643793</v>
      </c>
      <c r="AJ386">
        <v>93.028024056004</v>
      </c>
      <c r="AK386">
        <v>0.65102301331905998</v>
      </c>
      <c r="AL386">
        <v>72.521662736555896</v>
      </c>
      <c r="AM386">
        <v>95.594242783177705</v>
      </c>
      <c r="AN386">
        <v>1.0000000302361101</v>
      </c>
    </row>
    <row r="387" spans="1:40" x14ac:dyDescent="0.25">
      <c r="A387" t="str">
        <f>"20190304164343357"</f>
        <v>20190304164343357</v>
      </c>
      <c r="B387" t="str">
        <f>"1551689023350389"</f>
        <v>1551689023350389</v>
      </c>
      <c r="C387" t="s">
        <v>40</v>
      </c>
      <c r="D387">
        <v>5.2607720000000002</v>
      </c>
      <c r="E387">
        <v>0.53313520000000003</v>
      </c>
      <c r="F387" t="s">
        <v>41</v>
      </c>
      <c r="G387">
        <v>-411.27440000000001</v>
      </c>
      <c r="H387">
        <v>0.95732620000000002</v>
      </c>
      <c r="I387">
        <v>367.06330000000003</v>
      </c>
      <c r="J387">
        <v>-411.9479</v>
      </c>
      <c r="K387">
        <v>1.060683</v>
      </c>
      <c r="L387">
        <v>367.0224</v>
      </c>
      <c r="M387">
        <v>0.999892</v>
      </c>
      <c r="N387">
        <v>-1.437369E-2</v>
      </c>
      <c r="O387">
        <v>3.0541040000000002E-3</v>
      </c>
      <c r="P387">
        <v>0.9531868</v>
      </c>
      <c r="Q387">
        <v>0.28660920000000001</v>
      </c>
      <c r="R387">
        <v>9.6386639999999996E-2</v>
      </c>
      <c r="S387">
        <v>3.2407530000000002</v>
      </c>
      <c r="T387">
        <v>-0.35977979999999998</v>
      </c>
      <c r="U387">
        <v>0.14602660000000001</v>
      </c>
      <c r="V387">
        <v>-9.3498919999999999E-2</v>
      </c>
      <c r="W387">
        <v>0.30027690000000001</v>
      </c>
      <c r="X387">
        <v>0.94925850000000001</v>
      </c>
      <c r="Y387">
        <v>-4.1687509999999997E-2</v>
      </c>
      <c r="Z387">
        <v>2.3124959999999998E-3</v>
      </c>
      <c r="AA387">
        <v>0.99912800000000002</v>
      </c>
      <c r="AB387">
        <v>31</v>
      </c>
      <c r="AC387">
        <v>0.67349999999999</v>
      </c>
      <c r="AD387">
        <v>-0.1033568</v>
      </c>
      <c r="AE387">
        <v>4.0900000000021898E-2</v>
      </c>
      <c r="AF387">
        <v>-3.7952143974547298E-2</v>
      </c>
      <c r="AG387">
        <v>-0.1033568</v>
      </c>
      <c r="AH387">
        <v>0.65817821227213602</v>
      </c>
      <c r="AI387">
        <v>98.909978550228601</v>
      </c>
      <c r="AJ387">
        <v>93.300158520061601</v>
      </c>
      <c r="AK387">
        <v>0.66732417343315997</v>
      </c>
      <c r="AL387">
        <v>72.525764547051097</v>
      </c>
      <c r="AM387">
        <v>95.625305957710395</v>
      </c>
      <c r="AN387">
        <v>0.99999998226851305</v>
      </c>
    </row>
    <row r="388" spans="1:40" x14ac:dyDescent="0.25">
      <c r="A388" t="str">
        <f>"20190304164343379"</f>
        <v>20190304164343379</v>
      </c>
      <c r="B388" t="str">
        <f>"1551689023370885"</f>
        <v>1551689023370885</v>
      </c>
      <c r="C388" t="s">
        <v>40</v>
      </c>
      <c r="D388">
        <v>5.2507080000000004</v>
      </c>
      <c r="E388">
        <v>0.5331825</v>
      </c>
      <c r="F388" t="s">
        <v>41</v>
      </c>
      <c r="G388">
        <v>-410.99489999999997</v>
      </c>
      <c r="H388">
        <v>0.95470500000000003</v>
      </c>
      <c r="I388">
        <v>367.0659</v>
      </c>
      <c r="J388">
        <v>-411.63049999999998</v>
      </c>
      <c r="K388">
        <v>1.060692</v>
      </c>
      <c r="L388">
        <v>367.02339999999998</v>
      </c>
      <c r="M388">
        <v>0.999892</v>
      </c>
      <c r="N388">
        <v>-1.437097E-2</v>
      </c>
      <c r="O388">
        <v>3.1159529999999999E-3</v>
      </c>
      <c r="P388">
        <v>0.95310430000000002</v>
      </c>
      <c r="Q388">
        <v>0.28681889999999999</v>
      </c>
      <c r="R388">
        <v>9.6577919999999998E-2</v>
      </c>
      <c r="S388">
        <v>3.240723</v>
      </c>
      <c r="T388">
        <v>-0.36054209999999998</v>
      </c>
      <c r="U388">
        <v>0.14855960000000001</v>
      </c>
      <c r="V388">
        <v>-9.3631980000000004E-2</v>
      </c>
      <c r="W388">
        <v>0.300483</v>
      </c>
      <c r="X388">
        <v>0.94918020000000003</v>
      </c>
      <c r="Y388">
        <v>-4.2399689999999997E-2</v>
      </c>
      <c r="Z388">
        <v>2.3552080000000001E-3</v>
      </c>
      <c r="AA388">
        <v>0.99909789999999998</v>
      </c>
      <c r="AB388">
        <v>31</v>
      </c>
      <c r="AC388">
        <v>0.63560000000001005</v>
      </c>
      <c r="AD388">
        <v>-0.105987</v>
      </c>
      <c r="AE388">
        <v>4.25000000000181E-2</v>
      </c>
      <c r="AF388">
        <v>-3.94276471233155E-2</v>
      </c>
      <c r="AG388">
        <v>-0.105987</v>
      </c>
      <c r="AH388">
        <v>0.61860503118891796</v>
      </c>
      <c r="AI388">
        <v>99.702905113894701</v>
      </c>
      <c r="AJ388">
        <v>93.646892789308595</v>
      </c>
      <c r="AK388">
        <v>0.62885607903472096</v>
      </c>
      <c r="AL388">
        <v>72.513384773824896</v>
      </c>
      <c r="AM388">
        <v>95.633721688354299</v>
      </c>
      <c r="AN388">
        <v>1.0000000165198799</v>
      </c>
    </row>
    <row r="389" spans="1:40" x14ac:dyDescent="0.25">
      <c r="A389" t="str">
        <f>"20190304164343389"</f>
        <v>20190304164343389</v>
      </c>
      <c r="B389" t="str">
        <f>"1551689023380175"</f>
        <v>1551689023380175</v>
      </c>
      <c r="C389" t="s">
        <v>40</v>
      </c>
      <c r="D389">
        <v>5.5208449999999996</v>
      </c>
      <c r="E389">
        <v>0.54026470000000004</v>
      </c>
      <c r="F389" t="s">
        <v>41</v>
      </c>
      <c r="G389">
        <v>-410.71210000000002</v>
      </c>
      <c r="H389">
        <v>0.95895490000000005</v>
      </c>
      <c r="I389">
        <v>367.06529999999998</v>
      </c>
      <c r="J389">
        <v>-411.47680000000003</v>
      </c>
      <c r="K389">
        <v>1.0606910000000001</v>
      </c>
      <c r="L389">
        <v>367.024</v>
      </c>
      <c r="M389">
        <v>0.99989189999999994</v>
      </c>
      <c r="N389">
        <v>-1.436962E-2</v>
      </c>
      <c r="O389">
        <v>3.1454170000000002E-3</v>
      </c>
      <c r="P389">
        <v>0.95304999999999995</v>
      </c>
      <c r="Q389">
        <v>0.28702800000000001</v>
      </c>
      <c r="R389">
        <v>9.649199E-2</v>
      </c>
      <c r="S389">
        <v>3.2405400000000002</v>
      </c>
      <c r="T389">
        <v>-0.35927389999999998</v>
      </c>
      <c r="U389">
        <v>0.14941409999999999</v>
      </c>
      <c r="V389">
        <v>-9.3519229999999995E-2</v>
      </c>
      <c r="W389">
        <v>0.3006894</v>
      </c>
      <c r="X389">
        <v>0.94912589999999997</v>
      </c>
      <c r="Y389">
        <v>-4.263604E-2</v>
      </c>
      <c r="Z389">
        <v>2.3601899999999999E-3</v>
      </c>
      <c r="AA389">
        <v>0.99908790000000003</v>
      </c>
      <c r="AB389">
        <v>31</v>
      </c>
      <c r="AC389">
        <v>0.76470000000000404</v>
      </c>
      <c r="AD389">
        <v>-0.1017361</v>
      </c>
      <c r="AE389">
        <v>4.1299999999978299E-2</v>
      </c>
      <c r="AF389">
        <v>-3.8219733542363001E-2</v>
      </c>
      <c r="AG389">
        <v>-0.1017361</v>
      </c>
      <c r="AH389">
        <v>0.75156233269099704</v>
      </c>
      <c r="AI389">
        <v>97.699220677631502</v>
      </c>
      <c r="AJ389">
        <v>92.911195184629506</v>
      </c>
      <c r="AK389">
        <v>0.75937930047848401</v>
      </c>
      <c r="AL389">
        <v>72.500984638024804</v>
      </c>
      <c r="AM389">
        <v>95.627301078790396</v>
      </c>
      <c r="AN389">
        <v>0.99999996785148004</v>
      </c>
    </row>
    <row r="390" spans="1:40" x14ac:dyDescent="0.25">
      <c r="A390" t="str">
        <f>"20190304164343403"</f>
        <v>20190304164343403</v>
      </c>
      <c r="B390" t="str">
        <f>"1551689023390912"</f>
        <v>1551689023390912</v>
      </c>
      <c r="C390" t="s">
        <v>40</v>
      </c>
      <c r="D390">
        <v>5.209327</v>
      </c>
      <c r="E390">
        <v>0.54164540000000005</v>
      </c>
      <c r="F390" t="s">
        <v>42</v>
      </c>
      <c r="G390">
        <v>-396.6703</v>
      </c>
      <c r="H390" s="1">
        <v>-1.8058430000000001E-6</v>
      </c>
      <c r="I390">
        <v>367.38889999999998</v>
      </c>
      <c r="J390">
        <v>-411.29899999999998</v>
      </c>
      <c r="K390">
        <v>1.0606930000000001</v>
      </c>
      <c r="L390">
        <v>367.02449999999999</v>
      </c>
      <c r="M390">
        <v>0.99989189999999994</v>
      </c>
      <c r="N390">
        <v>-1.4368010000000001E-2</v>
      </c>
      <c r="O390">
        <v>3.179585E-3</v>
      </c>
      <c r="P390">
        <v>0.95309080000000002</v>
      </c>
      <c r="Q390">
        <v>0.28696909999999998</v>
      </c>
      <c r="R390">
        <v>9.6264840000000004E-2</v>
      </c>
      <c r="S390">
        <v>3.2090450000000001</v>
      </c>
      <c r="T390">
        <v>-0.22988510000000001</v>
      </c>
      <c r="U390">
        <v>7.9101560000000001E-2</v>
      </c>
      <c r="V390">
        <v>-9.3259010000000003E-2</v>
      </c>
      <c r="W390">
        <v>0.30063030000000002</v>
      </c>
      <c r="X390">
        <v>0.94917019999999996</v>
      </c>
      <c r="Y390">
        <v>-2.140237E-2</v>
      </c>
      <c r="Z390">
        <v>7.3770909999999995E-4</v>
      </c>
      <c r="AA390">
        <v>0.99977059999999995</v>
      </c>
      <c r="AB390">
        <v>31</v>
      </c>
      <c r="AC390">
        <v>14.6287</v>
      </c>
      <c r="AD390">
        <v>-1.0606948058429999</v>
      </c>
      <c r="AE390">
        <v>0.36439999999998901</v>
      </c>
      <c r="AF390">
        <v>-0.31621871789161698</v>
      </c>
      <c r="AG390">
        <v>-1.0606948058429999</v>
      </c>
      <c r="AH390">
        <v>14.553319903761</v>
      </c>
      <c r="AI390">
        <v>94.167557886579502</v>
      </c>
      <c r="AJ390">
        <v>91.244743301522703</v>
      </c>
      <c r="AK390">
        <v>14.595348161996499</v>
      </c>
      <c r="AL390">
        <v>72.5045346695604</v>
      </c>
      <c r="AM390">
        <v>95.611482791050705</v>
      </c>
      <c r="AN390">
        <v>0.99999994439615303</v>
      </c>
    </row>
    <row r="391" spans="1:40" x14ac:dyDescent="0.25">
      <c r="A391" t="str">
        <f>"20190304164343418"</f>
        <v>20190304164343418</v>
      </c>
      <c r="B391" t="str">
        <f>"1551689023410432"</f>
        <v>1551689023410432</v>
      </c>
      <c r="C391" t="s">
        <v>40</v>
      </c>
      <c r="D391">
        <v>5.2215410000000002</v>
      </c>
      <c r="E391">
        <v>0.54202939999999999</v>
      </c>
      <c r="F391" t="s">
        <v>42</v>
      </c>
      <c r="G391">
        <v>-394.98320000000001</v>
      </c>
      <c r="H391" s="1">
        <v>-2.5347940000000001E-6</v>
      </c>
      <c r="I391">
        <v>367.35969999999998</v>
      </c>
      <c r="J391">
        <v>-411.08920000000001</v>
      </c>
      <c r="K391">
        <v>1.0606960000000001</v>
      </c>
      <c r="L391">
        <v>367.02519999999998</v>
      </c>
      <c r="M391">
        <v>0.99989170000000005</v>
      </c>
      <c r="N391">
        <v>-1.436609E-2</v>
      </c>
      <c r="O391">
        <v>3.220012E-3</v>
      </c>
      <c r="P391">
        <v>0.95311049999999997</v>
      </c>
      <c r="Q391">
        <v>0.28691919999999999</v>
      </c>
      <c r="R391">
        <v>9.6218079999999997E-2</v>
      </c>
      <c r="S391">
        <v>3.2037049999999998</v>
      </c>
      <c r="T391">
        <v>-0.20827290000000001</v>
      </c>
      <c r="U391">
        <v>6.5826419999999997E-2</v>
      </c>
      <c r="V391">
        <v>-9.3174149999999997E-2</v>
      </c>
      <c r="W391">
        <v>0.30057850000000003</v>
      </c>
      <c r="X391">
        <v>0.94919500000000001</v>
      </c>
      <c r="Y391">
        <v>-1.728244E-2</v>
      </c>
      <c r="Z391">
        <v>5.2256489999999997E-4</v>
      </c>
      <c r="AA391">
        <v>0.99985049999999998</v>
      </c>
      <c r="AB391">
        <v>31</v>
      </c>
      <c r="AC391">
        <v>16.105999999999899</v>
      </c>
      <c r="AD391">
        <v>-1.0606985347939999</v>
      </c>
      <c r="AE391">
        <v>0.33449999999999103</v>
      </c>
      <c r="AF391">
        <v>-0.28141139523858399</v>
      </c>
      <c r="AG391">
        <v>-1.0606985347939999</v>
      </c>
      <c r="AH391">
        <v>16.037466126306601</v>
      </c>
      <c r="AI391">
        <v>93.783381539976602</v>
      </c>
      <c r="AJ391">
        <v>91.0052729400592</v>
      </c>
      <c r="AK391">
        <v>16.074967916220402</v>
      </c>
      <c r="AL391">
        <v>72.507647565870997</v>
      </c>
      <c r="AM391">
        <v>95.606263682100604</v>
      </c>
      <c r="AN391">
        <v>1.00000000245773</v>
      </c>
    </row>
    <row r="392" spans="1:40" x14ac:dyDescent="0.25">
      <c r="A392" t="str">
        <f>"20190304164343435"</f>
        <v>20190304164343435</v>
      </c>
      <c r="B392" t="str">
        <f>"1551689023420191"</f>
        <v>1551689023420191</v>
      </c>
      <c r="C392" t="s">
        <v>40</v>
      </c>
      <c r="D392">
        <v>5.4089299999999998</v>
      </c>
      <c r="E392">
        <v>0.54212660000000001</v>
      </c>
      <c r="F392" t="s">
        <v>42</v>
      </c>
      <c r="G392">
        <v>-393.07319999999999</v>
      </c>
      <c r="H392" s="1">
        <v>-3.3531620000000002E-6</v>
      </c>
      <c r="I392">
        <v>367.36520000000002</v>
      </c>
      <c r="J392">
        <v>-410.85059999999999</v>
      </c>
      <c r="K392">
        <v>1.060702</v>
      </c>
      <c r="L392">
        <v>367.02600000000001</v>
      </c>
      <c r="M392">
        <v>0.99989150000000004</v>
      </c>
      <c r="N392">
        <v>-1.4363860000000001E-2</v>
      </c>
      <c r="O392">
        <v>3.265628E-3</v>
      </c>
      <c r="P392">
        <v>0.95339050000000003</v>
      </c>
      <c r="Q392">
        <v>0.28610010000000002</v>
      </c>
      <c r="R392">
        <v>9.5883060000000006E-2</v>
      </c>
      <c r="S392">
        <v>3.1981809999999999</v>
      </c>
      <c r="T392">
        <v>-0.18829360000000001</v>
      </c>
      <c r="U392">
        <v>6.0363769999999997E-2</v>
      </c>
      <c r="V392">
        <v>-9.2794520000000005E-2</v>
      </c>
      <c r="W392">
        <v>0.29976160000000002</v>
      </c>
      <c r="X392">
        <v>0.94949050000000002</v>
      </c>
      <c r="Y392">
        <v>-1.5575240000000001E-2</v>
      </c>
      <c r="Z392">
        <v>4.2485240000000001E-4</v>
      </c>
      <c r="AA392">
        <v>0.99987859999999995</v>
      </c>
      <c r="AB392">
        <v>31</v>
      </c>
      <c r="AC392">
        <v>17.7774</v>
      </c>
      <c r="AD392">
        <v>-1.0607053531620001</v>
      </c>
      <c r="AE392">
        <v>0.339200000000005</v>
      </c>
      <c r="AF392">
        <v>-0.28014088026300299</v>
      </c>
      <c r="AG392">
        <v>-1.0607053531620001</v>
      </c>
      <c r="AH392">
        <v>17.715368801875002</v>
      </c>
      <c r="AI392">
        <v>93.426059120473496</v>
      </c>
      <c r="AJ392">
        <v>90.905967725956799</v>
      </c>
      <c r="AK392">
        <v>17.749306086308501</v>
      </c>
      <c r="AL392">
        <v>72.556715609736202</v>
      </c>
      <c r="AM392">
        <v>95.581839344387106</v>
      </c>
      <c r="AN392">
        <v>1.00000002468342</v>
      </c>
    </row>
    <row r="393" spans="1:40" x14ac:dyDescent="0.25">
      <c r="A393" t="str">
        <f>"20190304164343449"</f>
        <v>20190304164343449</v>
      </c>
      <c r="B393" t="str">
        <f>"1551689023440688"</f>
        <v>1551689023440688</v>
      </c>
      <c r="C393" t="s">
        <v>40</v>
      </c>
      <c r="D393">
        <v>5.1716790000000001</v>
      </c>
      <c r="E393">
        <v>0.54231589999999996</v>
      </c>
      <c r="F393" t="s">
        <v>42</v>
      </c>
      <c r="G393">
        <v>-392.65929999999997</v>
      </c>
      <c r="H393" s="1">
        <v>-3.5326569999999999E-6</v>
      </c>
      <c r="I393">
        <v>367.3544</v>
      </c>
      <c r="J393">
        <v>-410.65530000000001</v>
      </c>
      <c r="K393">
        <v>1.060702</v>
      </c>
      <c r="L393">
        <v>367.02670000000001</v>
      </c>
      <c r="M393">
        <v>0.99989150000000004</v>
      </c>
      <c r="N393">
        <v>-1.436198E-2</v>
      </c>
      <c r="O393">
        <v>3.3026560000000002E-3</v>
      </c>
      <c r="P393">
        <v>0.95340460000000005</v>
      </c>
      <c r="Q393">
        <v>0.2861012</v>
      </c>
      <c r="R393">
        <v>9.5738439999999994E-2</v>
      </c>
      <c r="S393">
        <v>3.196777</v>
      </c>
      <c r="T393">
        <v>-0.18639900000000001</v>
      </c>
      <c r="U393">
        <v>5.7708740000000001E-2</v>
      </c>
      <c r="V393">
        <v>-9.2614799999999997E-2</v>
      </c>
      <c r="W393">
        <v>0.29976069999999999</v>
      </c>
      <c r="X393">
        <v>0.94950829999999997</v>
      </c>
      <c r="Y393">
        <v>-1.471869E-2</v>
      </c>
      <c r="Z393">
        <v>3.8954279999999999E-4</v>
      </c>
      <c r="AA393">
        <v>0.99989159999999999</v>
      </c>
      <c r="AB393">
        <v>31</v>
      </c>
      <c r="AC393">
        <v>17.995999999999999</v>
      </c>
      <c r="AD393">
        <v>-1.0607055326570001</v>
      </c>
      <c r="AE393">
        <v>0.327699999999993</v>
      </c>
      <c r="AF393">
        <v>-0.26732907970901099</v>
      </c>
      <c r="AG393">
        <v>-1.0607055326570001</v>
      </c>
      <c r="AH393">
        <v>17.934698604464501</v>
      </c>
      <c r="AI393">
        <v>93.384306246427698</v>
      </c>
      <c r="AJ393">
        <v>90.853969957065601</v>
      </c>
      <c r="AK393">
        <v>17.9680264663888</v>
      </c>
      <c r="AL393">
        <v>72.556769129072194</v>
      </c>
      <c r="AM393">
        <v>95.570992998077202</v>
      </c>
      <c r="AN393">
        <v>0.99999999510620996</v>
      </c>
    </row>
    <row r="394" spans="1:40" x14ac:dyDescent="0.25">
      <c r="A394" t="str">
        <f>"20190304164343469"</f>
        <v>20190304164343469</v>
      </c>
      <c r="B394" t="str">
        <f>"1551689023460208"</f>
        <v>1551689023460208</v>
      </c>
      <c r="C394" t="s">
        <v>40</v>
      </c>
      <c r="D394">
        <v>5.1583800000000002</v>
      </c>
      <c r="E394">
        <v>0.54265140000000001</v>
      </c>
      <c r="F394" t="s">
        <v>42</v>
      </c>
      <c r="G394">
        <v>-391.9008</v>
      </c>
      <c r="H394" s="1">
        <v>-3.858732E-6</v>
      </c>
      <c r="I394">
        <v>367.35070000000002</v>
      </c>
      <c r="J394">
        <v>-410.36430000000001</v>
      </c>
      <c r="K394">
        <v>1.060703</v>
      </c>
      <c r="L394">
        <v>367.02769999999998</v>
      </c>
      <c r="M394">
        <v>0.99989130000000004</v>
      </c>
      <c r="N394">
        <v>-1.4359159999999999E-2</v>
      </c>
      <c r="O394">
        <v>3.3577500000000001E-3</v>
      </c>
      <c r="P394">
        <v>0.95334859999999999</v>
      </c>
      <c r="Q394">
        <v>0.2864235</v>
      </c>
      <c r="R394">
        <v>9.5330700000000004E-2</v>
      </c>
      <c r="S394">
        <v>3.1953429999999998</v>
      </c>
      <c r="T394">
        <v>-0.18071950000000001</v>
      </c>
      <c r="U394">
        <v>5.52063E-2</v>
      </c>
      <c r="V394">
        <v>-9.2155050000000002E-2</v>
      </c>
      <c r="W394">
        <v>0.30007990000000001</v>
      </c>
      <c r="X394">
        <v>0.94945219999999997</v>
      </c>
      <c r="Y394">
        <v>-1.389199E-2</v>
      </c>
      <c r="Z394">
        <v>3.5080149999999999E-4</v>
      </c>
      <c r="AA394">
        <v>0.9999034</v>
      </c>
      <c r="AB394">
        <v>31</v>
      </c>
      <c r="AC394">
        <v>18.4635</v>
      </c>
      <c r="AD394">
        <v>-1.0607068587320001</v>
      </c>
      <c r="AE394">
        <v>0.32300000000003498</v>
      </c>
      <c r="AF394">
        <v>-0.260137683524507</v>
      </c>
      <c r="AG394">
        <v>-1.0607068587320001</v>
      </c>
      <c r="AH394">
        <v>18.4037599171746</v>
      </c>
      <c r="AI394">
        <v>93.298283415814495</v>
      </c>
      <c r="AJ394">
        <v>90.809823584416193</v>
      </c>
      <c r="AK394">
        <v>18.4361370613139</v>
      </c>
      <c r="AL394">
        <v>72.537597652687495</v>
      </c>
      <c r="AM394">
        <v>95.543836175836006</v>
      </c>
      <c r="AN394">
        <v>0.99999998985467597</v>
      </c>
    </row>
    <row r="395" spans="1:40" x14ac:dyDescent="0.25">
      <c r="A395" t="str">
        <f>"20190304164343492"</f>
        <v>20190304164343492</v>
      </c>
      <c r="B395" t="str">
        <f>"1551689023480235"</f>
        <v>1551689023480235</v>
      </c>
      <c r="C395" t="s">
        <v>40</v>
      </c>
      <c r="D395">
        <v>5.1718529999999996</v>
      </c>
      <c r="E395">
        <v>0.54261329999999997</v>
      </c>
      <c r="F395" t="s">
        <v>42</v>
      </c>
      <c r="G395">
        <v>-391.38729999999998</v>
      </c>
      <c r="H395" s="1">
        <v>-4.0824729999999998E-6</v>
      </c>
      <c r="I395">
        <v>367.33109999999999</v>
      </c>
      <c r="J395">
        <v>-410.05619999999999</v>
      </c>
      <c r="K395">
        <v>1.060703</v>
      </c>
      <c r="L395">
        <v>367.02879999999999</v>
      </c>
      <c r="M395">
        <v>0.99989119999999998</v>
      </c>
      <c r="N395">
        <v>-1.435613E-2</v>
      </c>
      <c r="O395">
        <v>3.415824E-3</v>
      </c>
      <c r="P395">
        <v>0.95337099999999997</v>
      </c>
      <c r="Q395">
        <v>0.28654849999999998</v>
      </c>
      <c r="R395">
        <v>9.4729649999999999E-2</v>
      </c>
      <c r="S395">
        <v>3.1953130000000001</v>
      </c>
      <c r="T395">
        <v>-0.17859920000000001</v>
      </c>
      <c r="U395">
        <v>5.1086430000000002E-2</v>
      </c>
      <c r="V395">
        <v>-9.1498490000000002E-2</v>
      </c>
      <c r="W395">
        <v>0.30020239999999998</v>
      </c>
      <c r="X395">
        <v>0.94947700000000002</v>
      </c>
      <c r="Y395">
        <v>-1.254837E-2</v>
      </c>
      <c r="Z395">
        <v>2.9881370000000001E-4</v>
      </c>
      <c r="AA395">
        <v>0.99992119999999995</v>
      </c>
      <c r="AB395">
        <v>31</v>
      </c>
      <c r="AC395">
        <v>18.668900000000001</v>
      </c>
      <c r="AD395">
        <v>-1.0607070824730001</v>
      </c>
      <c r="AE395">
        <v>0.30230000000000201</v>
      </c>
      <c r="AF395">
        <v>-0.23775468641447201</v>
      </c>
      <c r="AG395">
        <v>-1.0607070824730001</v>
      </c>
      <c r="AH395">
        <v>18.609764442412999</v>
      </c>
      <c r="AI395">
        <v>93.261911885881304</v>
      </c>
      <c r="AJ395">
        <v>90.731959775977501</v>
      </c>
      <c r="AK395">
        <v>18.641484903510701</v>
      </c>
      <c r="AL395">
        <v>72.530240115650898</v>
      </c>
      <c r="AM395">
        <v>95.504439592937601</v>
      </c>
      <c r="AN395">
        <v>1.0000000140835199</v>
      </c>
    </row>
    <row r="396" spans="1:40" x14ac:dyDescent="0.25">
      <c r="A396" t="str">
        <f>"20190304164343512"</f>
        <v>20190304164343512</v>
      </c>
      <c r="B396" t="str">
        <f>"1551689023500731"</f>
        <v>1551689023500731</v>
      </c>
      <c r="C396" t="s">
        <v>40</v>
      </c>
      <c r="D396">
        <v>5.1670379999999998</v>
      </c>
      <c r="E396">
        <v>0.54256400000000005</v>
      </c>
      <c r="F396" t="s">
        <v>42</v>
      </c>
      <c r="G396">
        <v>-390.702</v>
      </c>
      <c r="H396" s="1">
        <v>-4.3772519999999999E-6</v>
      </c>
      <c r="I396">
        <v>367.32659999999998</v>
      </c>
      <c r="J396">
        <v>-409.77659999999997</v>
      </c>
      <c r="K396">
        <v>1.0607009999999999</v>
      </c>
      <c r="L396">
        <v>367.02980000000002</v>
      </c>
      <c r="M396">
        <v>0.99989119999999998</v>
      </c>
      <c r="N396">
        <v>-1.43474E-2</v>
      </c>
      <c r="O396">
        <v>3.4683959999999999E-3</v>
      </c>
      <c r="P396">
        <v>0.95349589999999995</v>
      </c>
      <c r="Q396">
        <v>0.28617480000000001</v>
      </c>
      <c r="R396">
        <v>9.4604450000000007E-2</v>
      </c>
      <c r="S396">
        <v>3.1944270000000001</v>
      </c>
      <c r="T396">
        <v>-0.17507039999999999</v>
      </c>
      <c r="U396">
        <v>4.9163819999999997E-2</v>
      </c>
      <c r="V396">
        <v>-9.1322500000000001E-2</v>
      </c>
      <c r="W396">
        <v>0.29982249999999999</v>
      </c>
      <c r="X396">
        <v>0.94961390000000001</v>
      </c>
      <c r="Y396">
        <v>-1.1900539999999999E-2</v>
      </c>
      <c r="Z396">
        <v>2.7110650000000002E-4</v>
      </c>
      <c r="AA396">
        <v>0.99992910000000002</v>
      </c>
      <c r="AB396">
        <v>31</v>
      </c>
      <c r="AC396">
        <v>19.074599999999901</v>
      </c>
      <c r="AD396">
        <v>-1.0607053772519901</v>
      </c>
      <c r="AE396">
        <v>0.29679999999996198</v>
      </c>
      <c r="AF396">
        <v>-0.229922335427583</v>
      </c>
      <c r="AG396">
        <v>-1.0607053772519901</v>
      </c>
      <c r="AH396">
        <v>19.016723989230101</v>
      </c>
      <c r="AI396">
        <v>93.192274647353699</v>
      </c>
      <c r="AJ396">
        <v>90.692702780487195</v>
      </c>
      <c r="AK396">
        <v>19.047670499570799</v>
      </c>
      <c r="AL396">
        <v>72.553056628014801</v>
      </c>
      <c r="AM396">
        <v>95.493129903913797</v>
      </c>
      <c r="AN396">
        <v>0.99999994479285303</v>
      </c>
    </row>
    <row r="397" spans="1:40" x14ac:dyDescent="0.25">
      <c r="A397" t="str">
        <f>"20190304164343524"</f>
        <v>20190304164343524</v>
      </c>
      <c r="B397" t="str">
        <f>"1551689023510491"</f>
        <v>1551689023510491</v>
      </c>
      <c r="C397" t="s">
        <v>40</v>
      </c>
      <c r="D397">
        <v>5.1719269999999904</v>
      </c>
      <c r="E397">
        <v>0.54258249999999997</v>
      </c>
      <c r="F397" t="s">
        <v>42</v>
      </c>
      <c r="G397">
        <v>-390.44189999999998</v>
      </c>
      <c r="H397" s="1">
        <v>-4.4884400000000003E-6</v>
      </c>
      <c r="I397">
        <v>367.32889999999998</v>
      </c>
      <c r="J397">
        <v>-409.61290000000002</v>
      </c>
      <c r="K397">
        <v>1.060697</v>
      </c>
      <c r="L397">
        <v>367.03050000000002</v>
      </c>
      <c r="M397">
        <v>0.99989119999999998</v>
      </c>
      <c r="N397">
        <v>-1.433718E-2</v>
      </c>
      <c r="O397">
        <v>3.499224E-3</v>
      </c>
      <c r="P397">
        <v>0.95351680000000005</v>
      </c>
      <c r="Q397">
        <v>0.28608139999999999</v>
      </c>
      <c r="R397">
        <v>9.4673229999999997E-2</v>
      </c>
      <c r="S397">
        <v>3.1939700000000002</v>
      </c>
      <c r="T397">
        <v>-0.17522119999999999</v>
      </c>
      <c r="U397">
        <v>4.9407960000000001E-2</v>
      </c>
      <c r="V397">
        <v>-9.1362260000000001E-2</v>
      </c>
      <c r="W397">
        <v>0.29971969999999998</v>
      </c>
      <c r="X397">
        <v>0.9496426</v>
      </c>
      <c r="Y397">
        <v>-1.1948230000000001E-2</v>
      </c>
      <c r="Z397">
        <v>2.715479E-4</v>
      </c>
      <c r="AA397">
        <v>0.99992859999999995</v>
      </c>
      <c r="AB397">
        <v>31</v>
      </c>
      <c r="AC397">
        <v>19.170999999999999</v>
      </c>
      <c r="AD397">
        <v>-1.0607014884399999</v>
      </c>
      <c r="AE397">
        <v>0.29839999999995798</v>
      </c>
      <c r="AF397">
        <v>-0.230601904885743</v>
      </c>
      <c r="AG397">
        <v>-1.0607014884399999</v>
      </c>
      <c r="AH397">
        <v>19.113430330734801</v>
      </c>
      <c r="AI397">
        <v>93.176145521970099</v>
      </c>
      <c r="AJ397">
        <v>90.691235149535899</v>
      </c>
      <c r="AK397">
        <v>19.144228474764098</v>
      </c>
      <c r="AL397">
        <v>72.559231820250403</v>
      </c>
      <c r="AM397">
        <v>95.495341797700902</v>
      </c>
      <c r="AN397">
        <v>1.00000001442757</v>
      </c>
    </row>
    <row r="398" spans="1:40" x14ac:dyDescent="0.25">
      <c r="A398" t="str">
        <f>"20190304164343535"</f>
        <v>20190304164343535</v>
      </c>
      <c r="B398" t="str">
        <f>"1551689023530987"</f>
        <v>1551689023530987</v>
      </c>
      <c r="C398" t="s">
        <v>40</v>
      </c>
      <c r="D398">
        <v>5.1589929999999997</v>
      </c>
      <c r="E398">
        <v>0.54259709999999906</v>
      </c>
      <c r="F398" t="s">
        <v>42</v>
      </c>
      <c r="G398">
        <v>-390.23970000000003</v>
      </c>
      <c r="H398" s="1">
        <v>-4.5748379999999996E-6</v>
      </c>
      <c r="I398">
        <v>367.33080000000001</v>
      </c>
      <c r="J398">
        <v>-409.44729999999998</v>
      </c>
      <c r="K398">
        <v>1.060694</v>
      </c>
      <c r="L398">
        <v>367.03109999999998</v>
      </c>
      <c r="M398">
        <v>0.99989119999999998</v>
      </c>
      <c r="N398">
        <v>-1.4324659999999999E-2</v>
      </c>
      <c r="O398">
        <v>3.5304849999999999E-3</v>
      </c>
      <c r="P398">
        <v>0.9535846</v>
      </c>
      <c r="Q398">
        <v>0.28589179999999997</v>
      </c>
      <c r="R398">
        <v>9.4565510000000005E-2</v>
      </c>
      <c r="S398">
        <v>3.193848</v>
      </c>
      <c r="T398">
        <v>-0.17486550000000001</v>
      </c>
      <c r="U398">
        <v>4.9530030000000003E-2</v>
      </c>
      <c r="V398">
        <v>-9.1223819999999997E-2</v>
      </c>
      <c r="W398">
        <v>0.29951909999999998</v>
      </c>
      <c r="X398">
        <v>0.94971919999999999</v>
      </c>
      <c r="Y398">
        <v>-1.1955850000000001E-2</v>
      </c>
      <c r="Z398">
        <v>2.7015980000000002E-4</v>
      </c>
      <c r="AA398">
        <v>0.9999285</v>
      </c>
      <c r="AB398">
        <v>31</v>
      </c>
      <c r="AC398">
        <v>19.2075999999999</v>
      </c>
      <c r="AD398">
        <v>-1.060698574838</v>
      </c>
      <c r="AE398">
        <v>0.299700000000029</v>
      </c>
      <c r="AF398">
        <v>-0.231174223115827</v>
      </c>
      <c r="AG398">
        <v>-1.060698574838</v>
      </c>
      <c r="AH398">
        <v>19.150153060508899</v>
      </c>
      <c r="AI398">
        <v>93.170058366014402</v>
      </c>
      <c r="AJ398">
        <v>90.6916218340385</v>
      </c>
      <c r="AK398">
        <v>19.180898968218798</v>
      </c>
      <c r="AL398">
        <v>72.571278865628599</v>
      </c>
      <c r="AM398">
        <v>95.486625777900002</v>
      </c>
      <c r="AN398">
        <v>1.0000000177244199</v>
      </c>
    </row>
    <row r="399" spans="1:40" x14ac:dyDescent="0.25">
      <c r="A399" t="str">
        <f>"20190304164343548"</f>
        <v>20190304164343548</v>
      </c>
      <c r="B399" t="str">
        <f>"1551689023540749"</f>
        <v>1551689023540749</v>
      </c>
      <c r="C399" t="s">
        <v>40</v>
      </c>
      <c r="D399">
        <v>5.1619159999999997</v>
      </c>
      <c r="E399">
        <v>0.54264979999999996</v>
      </c>
      <c r="F399" t="s">
        <v>42</v>
      </c>
      <c r="G399">
        <v>-390.06229999999999</v>
      </c>
      <c r="H399" s="1">
        <v>-4.651803E-6</v>
      </c>
      <c r="I399">
        <v>367.3261</v>
      </c>
      <c r="J399">
        <v>-409.27010000000001</v>
      </c>
      <c r="K399">
        <v>1.060689</v>
      </c>
      <c r="L399">
        <v>367.0317</v>
      </c>
      <c r="M399">
        <v>0.99989130000000004</v>
      </c>
      <c r="N399">
        <v>-1.4303929999999999E-2</v>
      </c>
      <c r="O399">
        <v>3.5639510000000001E-3</v>
      </c>
      <c r="P399">
        <v>0.95365060000000001</v>
      </c>
      <c r="Q399">
        <v>0.28575440000000002</v>
      </c>
      <c r="R399">
        <v>9.4313030000000006E-2</v>
      </c>
      <c r="S399">
        <v>3.1935730000000002</v>
      </c>
      <c r="T399">
        <v>-0.17474329999999999</v>
      </c>
      <c r="U399">
        <v>4.8614499999999998E-2</v>
      </c>
      <c r="V399">
        <v>-9.0939110000000004E-2</v>
      </c>
      <c r="W399">
        <v>0.29936309999999999</v>
      </c>
      <c r="X399">
        <v>0.94979570000000002</v>
      </c>
      <c r="Y399">
        <v>-1.163779E-2</v>
      </c>
      <c r="Z399">
        <v>2.5755750000000001E-4</v>
      </c>
      <c r="AA399">
        <v>0.99993220000000005</v>
      </c>
      <c r="AB399">
        <v>31</v>
      </c>
      <c r="AC399">
        <v>19.207799999999999</v>
      </c>
      <c r="AD399">
        <v>-1.0606936518029999</v>
      </c>
      <c r="AE399">
        <v>0.294399999999996</v>
      </c>
      <c r="AF399">
        <v>-0.225248736397995</v>
      </c>
      <c r="AG399">
        <v>-1.0606936518029999</v>
      </c>
      <c r="AH399">
        <v>19.150342599838201</v>
      </c>
      <c r="AI399">
        <v>93.170024039338401</v>
      </c>
      <c r="AJ399">
        <v>90.673889083505202</v>
      </c>
      <c r="AK399">
        <v>19.181017431497299</v>
      </c>
      <c r="AL399">
        <v>72.580647072113194</v>
      </c>
      <c r="AM399">
        <v>95.469168126177394</v>
      </c>
      <c r="AN399">
        <v>1.00000002955384</v>
      </c>
    </row>
    <row r="400" spans="1:40" x14ac:dyDescent="0.25">
      <c r="A400" t="str">
        <f>"20190304164343561"</f>
        <v>20190304164343561</v>
      </c>
      <c r="B400" t="str">
        <f>"1551689023550508"</f>
        <v>1551689023550508</v>
      </c>
      <c r="C400" t="s">
        <v>40</v>
      </c>
      <c r="D400">
        <v>5.1794149999999997</v>
      </c>
      <c r="E400">
        <v>0.54275479999999998</v>
      </c>
      <c r="F400" t="s">
        <v>42</v>
      </c>
      <c r="G400">
        <v>-389.93939999999998</v>
      </c>
      <c r="H400" s="1">
        <v>-6.1757359999999997E-7</v>
      </c>
      <c r="I400">
        <v>367.32040000000001</v>
      </c>
      <c r="J400">
        <v>-409.10120000000001</v>
      </c>
      <c r="K400">
        <v>1.0606850000000001</v>
      </c>
      <c r="L400">
        <v>367.03230000000002</v>
      </c>
      <c r="M400">
        <v>0.99989159999999999</v>
      </c>
      <c r="N400">
        <v>-1.4278590000000001E-2</v>
      </c>
      <c r="O400">
        <v>3.595722E-3</v>
      </c>
      <c r="P400">
        <v>0.95364890000000002</v>
      </c>
      <c r="Q400">
        <v>0.28582619999999997</v>
      </c>
      <c r="R400">
        <v>9.4112660000000001E-2</v>
      </c>
      <c r="S400">
        <v>3.1936040000000001</v>
      </c>
      <c r="T400">
        <v>-0.1752348</v>
      </c>
      <c r="U400">
        <v>4.769897E-2</v>
      </c>
      <c r="V400">
        <v>-9.0708510000000006E-2</v>
      </c>
      <c r="W400">
        <v>0.29941079999999998</v>
      </c>
      <c r="X400">
        <v>0.9498027</v>
      </c>
      <c r="Y400">
        <v>-1.1319829999999999E-2</v>
      </c>
      <c r="Z400">
        <v>2.4538799999999998E-4</v>
      </c>
      <c r="AA400">
        <v>0.99993589999999999</v>
      </c>
      <c r="AB400">
        <v>31</v>
      </c>
      <c r="AC400">
        <v>19.161799999999999</v>
      </c>
      <c r="AD400">
        <v>-1.0606856175735999</v>
      </c>
      <c r="AE400">
        <v>0.28809999999998498</v>
      </c>
      <c r="AF400">
        <v>-0.21852119117655999</v>
      </c>
      <c r="AG400">
        <v>-1.0606856175735999</v>
      </c>
      <c r="AH400">
        <v>19.104188513366999</v>
      </c>
      <c r="AI400">
        <v>93.177654757803296</v>
      </c>
      <c r="AJ400">
        <v>90.655342988380596</v>
      </c>
      <c r="AK400">
        <v>19.134858877049101</v>
      </c>
      <c r="AL400">
        <v>72.5777824160607</v>
      </c>
      <c r="AM400">
        <v>95.455343423226495</v>
      </c>
      <c r="AN400">
        <v>1.00000001493517</v>
      </c>
    </row>
    <row r="401" spans="1:40" x14ac:dyDescent="0.25">
      <c r="A401" t="str">
        <f>"20190304164343572"</f>
        <v>20190304164343572</v>
      </c>
      <c r="B401" t="str">
        <f>"1551689023560267"</f>
        <v>1551689023560267</v>
      </c>
      <c r="C401" t="s">
        <v>40</v>
      </c>
      <c r="D401">
        <v>5.1557449999999996</v>
      </c>
      <c r="E401">
        <v>0.54287280000000004</v>
      </c>
      <c r="F401" t="s">
        <v>42</v>
      </c>
      <c r="G401">
        <v>-389.61790000000002</v>
      </c>
      <c r="H401" s="1">
        <v>-7.2830500000000001E-7</v>
      </c>
      <c r="I401">
        <v>367.31529999999998</v>
      </c>
      <c r="J401">
        <v>-408.93349999999998</v>
      </c>
      <c r="K401">
        <v>1.0606799999999901</v>
      </c>
      <c r="L401">
        <v>367.03300000000002</v>
      </c>
      <c r="M401">
        <v>0.99989189999999994</v>
      </c>
      <c r="N401">
        <v>-1.424916E-2</v>
      </c>
      <c r="O401">
        <v>3.6275830000000002E-3</v>
      </c>
      <c r="P401">
        <v>0.95363929999999997</v>
      </c>
      <c r="Q401">
        <v>0.28590189999999999</v>
      </c>
      <c r="R401">
        <v>9.398252E-2</v>
      </c>
      <c r="S401">
        <v>3.1933289999999999</v>
      </c>
      <c r="T401">
        <v>-0.17384669999999999</v>
      </c>
      <c r="U401">
        <v>4.6386719999999999E-2</v>
      </c>
      <c r="V401">
        <v>-9.0549050000000006E-2</v>
      </c>
      <c r="W401">
        <v>0.29945809999999901</v>
      </c>
      <c r="X401">
        <v>0.94980299999999995</v>
      </c>
      <c r="Y401">
        <v>-1.087953E-2</v>
      </c>
      <c r="Z401">
        <v>2.278344E-4</v>
      </c>
      <c r="AA401">
        <v>0.99994079999999996</v>
      </c>
      <c r="AB401">
        <v>31</v>
      </c>
      <c r="AC401">
        <v>19.3155999999999</v>
      </c>
      <c r="AD401">
        <v>-1.0606807283049999</v>
      </c>
      <c r="AE401">
        <v>0.28229999999996302</v>
      </c>
      <c r="AF401">
        <v>-0.21158419936082601</v>
      </c>
      <c r="AG401">
        <v>-1.0606807283049999</v>
      </c>
      <c r="AH401">
        <v>19.2584364940877</v>
      </c>
      <c r="AI401">
        <v>93.152256706833597</v>
      </c>
      <c r="AJ401">
        <v>90.629458882131004</v>
      </c>
      <c r="AK401">
        <v>19.288783986494</v>
      </c>
      <c r="AL401">
        <v>72.574941936008997</v>
      </c>
      <c r="AM401">
        <v>95.445809258476004</v>
      </c>
      <c r="AN401">
        <v>1.0000000114602501</v>
      </c>
    </row>
    <row r="402" spans="1:40" x14ac:dyDescent="0.25">
      <c r="A402" t="str">
        <f>"20190304164343590"</f>
        <v>20190304164343590</v>
      </c>
      <c r="B402" t="str">
        <f>"1551689023580298"</f>
        <v>1551689023580298</v>
      </c>
      <c r="C402" t="s">
        <v>40</v>
      </c>
      <c r="D402">
        <v>5.1695960000000003</v>
      </c>
      <c r="E402">
        <v>0.54288099999999995</v>
      </c>
      <c r="F402" t="s">
        <v>42</v>
      </c>
      <c r="G402">
        <v>-389.31889999999999</v>
      </c>
      <c r="H402" s="1">
        <v>-8.3013199999999898E-7</v>
      </c>
      <c r="I402">
        <v>367.315</v>
      </c>
      <c r="J402">
        <v>-408.69290000000001</v>
      </c>
      <c r="K402">
        <v>1.0606640000000001</v>
      </c>
      <c r="L402">
        <v>367.03390000000002</v>
      </c>
      <c r="M402">
        <v>0.99989260000000002</v>
      </c>
      <c r="N402">
        <v>-1.419724E-2</v>
      </c>
      <c r="O402">
        <v>3.6732560000000002E-3</v>
      </c>
      <c r="P402">
        <v>0.95367009999999997</v>
      </c>
      <c r="Q402">
        <v>0.2859083</v>
      </c>
      <c r="R402">
        <v>9.3649319999999994E-2</v>
      </c>
      <c r="S402">
        <v>3.193085</v>
      </c>
      <c r="T402">
        <v>-0.1726694</v>
      </c>
      <c r="U402">
        <v>4.5928959999999998E-2</v>
      </c>
      <c r="V402">
        <v>-9.0172130000000003E-2</v>
      </c>
      <c r="W402">
        <v>0.29941580000000001</v>
      </c>
      <c r="X402">
        <v>0.94985220000000004</v>
      </c>
      <c r="Y402">
        <v>-1.069224E-2</v>
      </c>
      <c r="Z402">
        <v>2.1849320000000001E-4</v>
      </c>
      <c r="AA402">
        <v>0.99994280000000002</v>
      </c>
      <c r="AB402">
        <v>31</v>
      </c>
      <c r="AC402">
        <v>19.373999999999999</v>
      </c>
      <c r="AD402">
        <v>-1.0606648301320001</v>
      </c>
      <c r="AE402">
        <v>0.28109999999997998</v>
      </c>
      <c r="AF402">
        <v>-0.20929809855085099</v>
      </c>
      <c r="AG402">
        <v>-1.0606648301320001</v>
      </c>
      <c r="AH402">
        <v>19.317016877658801</v>
      </c>
      <c r="AI402">
        <v>93.142674608697405</v>
      </c>
      <c r="AJ402">
        <v>90.620770202366799</v>
      </c>
      <c r="AK402">
        <v>19.347246745407698</v>
      </c>
      <c r="AL402">
        <v>72.577482219166498</v>
      </c>
      <c r="AM402">
        <v>95.422996699832098</v>
      </c>
      <c r="AN402">
        <v>1.0000000180816</v>
      </c>
    </row>
    <row r="403" spans="1:40" x14ac:dyDescent="0.25">
      <c r="A403" t="str">
        <f>"20190304164343602"</f>
        <v>20190304164343602</v>
      </c>
      <c r="B403" t="str">
        <f>"1551689023591031"</f>
        <v>1551689023591031</v>
      </c>
      <c r="C403" t="s">
        <v>40</v>
      </c>
      <c r="D403">
        <v>5.1681970000000002</v>
      </c>
      <c r="E403">
        <v>0.54299019999999898</v>
      </c>
      <c r="F403" t="s">
        <v>42</v>
      </c>
      <c r="G403">
        <v>-388.84480000000002</v>
      </c>
      <c r="H403" s="1">
        <v>-9.9199750000000003E-7</v>
      </c>
      <c r="I403">
        <v>367.31310000000002</v>
      </c>
      <c r="J403">
        <v>-408.52659999999997</v>
      </c>
      <c r="K403">
        <v>1.060656</v>
      </c>
      <c r="L403">
        <v>367.03449999999998</v>
      </c>
      <c r="M403">
        <v>0.99989300000000003</v>
      </c>
      <c r="N403">
        <v>-1.4153809999999999E-2</v>
      </c>
      <c r="O403">
        <v>3.7055230000000001E-3</v>
      </c>
      <c r="P403">
        <v>0.9536519</v>
      </c>
      <c r="Q403">
        <v>0.28593679999999999</v>
      </c>
      <c r="R403">
        <v>9.374586E-2</v>
      </c>
      <c r="S403">
        <v>3.1924739999999998</v>
      </c>
      <c r="T403">
        <v>-0.170602</v>
      </c>
      <c r="U403">
        <v>4.4921879999999997E-2</v>
      </c>
      <c r="V403">
        <v>-9.023863E-2</v>
      </c>
      <c r="W403">
        <v>0.29940260000000002</v>
      </c>
      <c r="X403">
        <v>0.94984999999999997</v>
      </c>
      <c r="Y403">
        <v>-1.0348339999999999E-2</v>
      </c>
      <c r="Z403">
        <v>2.041523E-4</v>
      </c>
      <c r="AA403">
        <v>0.99994640000000001</v>
      </c>
      <c r="AB403">
        <v>31</v>
      </c>
      <c r="AC403">
        <v>19.6817999999999</v>
      </c>
      <c r="AD403">
        <v>-1.0606569919975</v>
      </c>
      <c r="AE403">
        <v>0.27860000000003898</v>
      </c>
      <c r="AF403">
        <v>-0.20506400166119901</v>
      </c>
      <c r="AG403">
        <v>-1.0606569919975</v>
      </c>
      <c r="AH403">
        <v>19.625712551573301</v>
      </c>
      <c r="AI403">
        <v>93.093329660262597</v>
      </c>
      <c r="AJ403">
        <v>90.598647016814894</v>
      </c>
      <c r="AK403">
        <v>19.6554226018275</v>
      </c>
      <c r="AL403">
        <v>72.578274110255293</v>
      </c>
      <c r="AM403">
        <v>95.426984668795996</v>
      </c>
      <c r="AN403">
        <v>0.99999997486551795</v>
      </c>
    </row>
    <row r="404" spans="1:40" x14ac:dyDescent="0.25">
      <c r="A404" t="str">
        <f>"20190304164343615"</f>
        <v>20190304164343615</v>
      </c>
      <c r="B404" t="str">
        <f>"1551689023610551"</f>
        <v>1551689023610551</v>
      </c>
      <c r="C404" t="s">
        <v>40</v>
      </c>
      <c r="D404">
        <v>5.1637510000000004</v>
      </c>
      <c r="E404">
        <v>0.54309750000000001</v>
      </c>
      <c r="F404" t="s">
        <v>42</v>
      </c>
      <c r="G404">
        <v>-388.49180000000001</v>
      </c>
      <c r="H404" s="1">
        <v>-1.113317E-6</v>
      </c>
      <c r="I404">
        <v>367.30860000000001</v>
      </c>
      <c r="J404">
        <v>-408.34800000000001</v>
      </c>
      <c r="K404">
        <v>1.060649</v>
      </c>
      <c r="L404">
        <v>367.03519999999997</v>
      </c>
      <c r="M404">
        <v>0.9998937</v>
      </c>
      <c r="N404">
        <v>-1.4102770000000001E-2</v>
      </c>
      <c r="O404">
        <v>3.74041E-3</v>
      </c>
      <c r="P404">
        <v>0.95364450000000001</v>
      </c>
      <c r="Q404">
        <v>0.28594849999999999</v>
      </c>
      <c r="R404">
        <v>9.3787129999999996E-2</v>
      </c>
      <c r="S404">
        <v>3.1921080000000002</v>
      </c>
      <c r="T404">
        <v>-0.16899239999999999</v>
      </c>
      <c r="U404">
        <v>4.3670649999999998E-2</v>
      </c>
      <c r="V404">
        <v>-9.0247010000000003E-2</v>
      </c>
      <c r="W404">
        <v>0.2993654</v>
      </c>
      <c r="X404">
        <v>0.94986099999999996</v>
      </c>
      <c r="Y404">
        <v>-9.9242270000000007E-3</v>
      </c>
      <c r="Z404">
        <v>1.8740320000000001E-4</v>
      </c>
      <c r="AA404">
        <v>0.99995069999999997</v>
      </c>
      <c r="AB404">
        <v>31</v>
      </c>
      <c r="AC404">
        <v>19.856200000000001</v>
      </c>
      <c r="AD404">
        <v>-1.0606501133170001</v>
      </c>
      <c r="AE404">
        <v>0.273400000000037</v>
      </c>
      <c r="AF404">
        <v>-0.198553949417408</v>
      </c>
      <c r="AG404">
        <v>-1.0606501133170001</v>
      </c>
      <c r="AH404">
        <v>19.800596872123101</v>
      </c>
      <c r="AI404">
        <v>93.066054226112399</v>
      </c>
      <c r="AJ404">
        <v>90.574524197013005</v>
      </c>
      <c r="AK404">
        <v>19.829978286070801</v>
      </c>
      <c r="AL404">
        <v>72.580509189149495</v>
      </c>
      <c r="AM404">
        <v>95.427423157317307</v>
      </c>
      <c r="AN404">
        <v>1.00000004242604</v>
      </c>
    </row>
    <row r="405" spans="1:40" x14ac:dyDescent="0.25">
      <c r="A405" t="str">
        <f>"20190304164343628"</f>
        <v>20190304164343628</v>
      </c>
      <c r="B405" t="str">
        <f>"1551689023620311"</f>
        <v>1551689023620311</v>
      </c>
      <c r="C405" t="s">
        <v>40</v>
      </c>
      <c r="D405">
        <v>5.1812760000000004</v>
      </c>
      <c r="E405">
        <v>0.54317219999999999</v>
      </c>
      <c r="F405" t="s">
        <v>42</v>
      </c>
      <c r="G405">
        <v>-388.17099999999999</v>
      </c>
      <c r="H405" s="1">
        <v>-1.2238560000000001E-6</v>
      </c>
      <c r="I405">
        <v>367.30349999999999</v>
      </c>
      <c r="J405">
        <v>-408.16480000000001</v>
      </c>
      <c r="K405">
        <v>1.0606370000000001</v>
      </c>
      <c r="L405">
        <v>367.03590000000003</v>
      </c>
      <c r="M405">
        <v>0.99989430000000001</v>
      </c>
      <c r="N405">
        <v>-1.4039889999999999E-2</v>
      </c>
      <c r="O405">
        <v>3.7777129999999998E-3</v>
      </c>
      <c r="P405">
        <v>0.95370109999999997</v>
      </c>
      <c r="Q405">
        <v>0.28576859999999998</v>
      </c>
      <c r="R405">
        <v>9.3758430000000004E-2</v>
      </c>
      <c r="S405">
        <v>3.1919559999999998</v>
      </c>
      <c r="T405">
        <v>-0.16779150000000001</v>
      </c>
      <c r="U405">
        <v>4.244995E-2</v>
      </c>
      <c r="V405">
        <v>-9.0183879999999994E-2</v>
      </c>
      <c r="W405">
        <v>0.29912650000000002</v>
      </c>
      <c r="X405">
        <v>0.94994219999999896</v>
      </c>
      <c r="Y405">
        <v>-9.5061859999999998E-3</v>
      </c>
      <c r="Z405">
        <v>1.710468E-4</v>
      </c>
      <c r="AA405">
        <v>0.99995480000000003</v>
      </c>
      <c r="AB405">
        <v>31</v>
      </c>
      <c r="AC405">
        <v>19.9938</v>
      </c>
      <c r="AD405">
        <v>-1.0606382238559999</v>
      </c>
      <c r="AE405">
        <v>0.26759999999995898</v>
      </c>
      <c r="AF405">
        <v>-0.19152093870449299</v>
      </c>
      <c r="AG405">
        <v>-1.0606382238559999</v>
      </c>
      <c r="AH405">
        <v>19.938568683249599</v>
      </c>
      <c r="AI405">
        <v>93.044856192561696</v>
      </c>
      <c r="AJ405">
        <v>90.550340607600603</v>
      </c>
      <c r="AK405">
        <v>19.967677753021999</v>
      </c>
      <c r="AL405">
        <v>72.594853555497593</v>
      </c>
      <c r="AM405">
        <v>95.423188345447102</v>
      </c>
      <c r="AN405">
        <v>0.99999998927747202</v>
      </c>
    </row>
    <row r="406" spans="1:40" x14ac:dyDescent="0.25">
      <c r="A406" t="str">
        <f>"20190304164343639"</f>
        <v>20190304164343639</v>
      </c>
      <c r="B406" t="str">
        <f>"1551689023631047"</f>
        <v>1551689023631047</v>
      </c>
      <c r="C406" t="s">
        <v>40</v>
      </c>
      <c r="D406">
        <v>5.1696010000000001</v>
      </c>
      <c r="E406">
        <v>0.54315159999999996</v>
      </c>
      <c r="F406" t="s">
        <v>42</v>
      </c>
      <c r="G406">
        <v>-388.00319999999999</v>
      </c>
      <c r="H406" s="1">
        <v>-1.282392E-6</v>
      </c>
      <c r="I406">
        <v>367.298</v>
      </c>
      <c r="J406">
        <v>-408.00639999999999</v>
      </c>
      <c r="K406">
        <v>1.060629</v>
      </c>
      <c r="L406">
        <v>367.03660000000002</v>
      </c>
      <c r="M406">
        <v>0.99989499999999998</v>
      </c>
      <c r="N406">
        <v>-1.3982639999999999E-2</v>
      </c>
      <c r="O406">
        <v>3.8092600000000001E-3</v>
      </c>
      <c r="P406">
        <v>0.95382549999999999</v>
      </c>
      <c r="Q406">
        <v>0.28538039999999998</v>
      </c>
      <c r="R406">
        <v>9.3674660000000007E-2</v>
      </c>
      <c r="S406">
        <v>3.1918329999999999</v>
      </c>
      <c r="T406">
        <v>-0.1679118</v>
      </c>
      <c r="U406">
        <v>4.1503909999999998E-2</v>
      </c>
      <c r="V406">
        <v>-9.007097E-2</v>
      </c>
      <c r="W406">
        <v>0.29868549999999999</v>
      </c>
      <c r="X406">
        <v>0.95009169999999998</v>
      </c>
      <c r="Y406">
        <v>-9.1794200000000006E-3</v>
      </c>
      <c r="Z406">
        <v>1.5850390000000001E-4</v>
      </c>
      <c r="AA406">
        <v>0.99995789999999996</v>
      </c>
      <c r="AB406">
        <v>31</v>
      </c>
      <c r="AC406">
        <v>20.0032</v>
      </c>
      <c r="AD406">
        <v>-1.060630282392</v>
      </c>
      <c r="AE406">
        <v>0.26139999999997998</v>
      </c>
      <c r="AF406">
        <v>-0.184674152928677</v>
      </c>
      <c r="AG406">
        <v>-1.060630282392</v>
      </c>
      <c r="AH406">
        <v>19.947977679360701</v>
      </c>
      <c r="AI406">
        <v>93.043409923505493</v>
      </c>
      <c r="AJ406">
        <v>90.530417040004593</v>
      </c>
      <c r="AK406">
        <v>19.977008150245101</v>
      </c>
      <c r="AL406">
        <v>72.621332102960807</v>
      </c>
      <c r="AM406">
        <v>95.4155917058619</v>
      </c>
      <c r="AN406">
        <v>1.00000002297794</v>
      </c>
    </row>
    <row r="407" spans="1:40" x14ac:dyDescent="0.25">
      <c r="A407" t="str">
        <f>"20190304164343652"</f>
        <v>20190304164343652</v>
      </c>
      <c r="B407" t="str">
        <f>"1551689023640808"</f>
        <v>1551689023640808</v>
      </c>
      <c r="C407" t="s">
        <v>40</v>
      </c>
      <c r="D407">
        <v>5.1546390000000004</v>
      </c>
      <c r="E407">
        <v>0.54315159999999996</v>
      </c>
      <c r="F407" t="s">
        <v>42</v>
      </c>
      <c r="G407">
        <v>-388.0043</v>
      </c>
      <c r="H407" s="1">
        <v>-1.282646E-6</v>
      </c>
      <c r="I407">
        <v>367.29570000000001</v>
      </c>
      <c r="J407">
        <v>-407.82119999999998</v>
      </c>
      <c r="K407">
        <v>1.060616</v>
      </c>
      <c r="L407">
        <v>367.03730000000002</v>
      </c>
      <c r="M407">
        <v>0.99989589999999995</v>
      </c>
      <c r="N407">
        <v>-1.391245E-2</v>
      </c>
      <c r="O407">
        <v>3.8449679999999998E-3</v>
      </c>
      <c r="P407">
        <v>0.95387359999999999</v>
      </c>
      <c r="Q407">
        <v>0.28533170000000002</v>
      </c>
      <c r="R407">
        <v>9.3333050000000001E-2</v>
      </c>
      <c r="S407">
        <v>3.1918329999999999</v>
      </c>
      <c r="T407">
        <v>-0.16924979999999901</v>
      </c>
      <c r="U407">
        <v>4.1351319999999997E-2</v>
      </c>
      <c r="V407">
        <v>-8.9697440000000003E-2</v>
      </c>
      <c r="W407">
        <v>0.29857</v>
      </c>
      <c r="X407">
        <v>0.95016330000000004</v>
      </c>
      <c r="Y407">
        <v>-9.0959530000000004E-3</v>
      </c>
      <c r="Z407">
        <v>1.5405289999999999E-4</v>
      </c>
      <c r="AA407">
        <v>0.99995860000000003</v>
      </c>
      <c r="AB407">
        <v>31</v>
      </c>
      <c r="AC407">
        <v>19.816899999999901</v>
      </c>
      <c r="AD407">
        <v>-1.0606172826459901</v>
      </c>
      <c r="AE407">
        <v>0.25839999999999402</v>
      </c>
      <c r="AF407">
        <v>-0.18167505753127899</v>
      </c>
      <c r="AG407">
        <v>-1.0606172826459901</v>
      </c>
      <c r="AH407">
        <v>19.761151300599</v>
      </c>
      <c r="AI407">
        <v>93.072092383431794</v>
      </c>
      <c r="AJ407">
        <v>90.526736556445201</v>
      </c>
      <c r="AK407">
        <v>19.790427372139799</v>
      </c>
      <c r="AL407">
        <v>72.628265509024303</v>
      </c>
      <c r="AM407">
        <v>95.392861591610796</v>
      </c>
      <c r="AN407">
        <v>0.99999998615472097</v>
      </c>
    </row>
    <row r="408" spans="1:40" x14ac:dyDescent="0.25">
      <c r="A408" t="str">
        <f>"20190304164343672"</f>
        <v>20190304164343672</v>
      </c>
      <c r="B408" t="str">
        <f>"1551689023660327"</f>
        <v>1551689023660327</v>
      </c>
      <c r="C408" t="s">
        <v>40</v>
      </c>
      <c r="D408">
        <v>5.1581650000000003</v>
      </c>
      <c r="E408">
        <v>0.54601199999999905</v>
      </c>
      <c r="F408" t="s">
        <v>42</v>
      </c>
      <c r="G408">
        <v>-387.85430000000002</v>
      </c>
      <c r="H408" s="1">
        <v>-1.3339240000000001E-6</v>
      </c>
      <c r="I408">
        <v>367.29480000000001</v>
      </c>
      <c r="J408">
        <v>-407.56700000000001</v>
      </c>
      <c r="K408">
        <v>1.060603</v>
      </c>
      <c r="L408">
        <v>367.03840000000002</v>
      </c>
      <c r="M408">
        <v>0.99989720000000004</v>
      </c>
      <c r="N408">
        <v>-1.379963E-2</v>
      </c>
      <c r="O408">
        <v>3.9024060000000002E-3</v>
      </c>
      <c r="P408">
        <v>0.95394659999999998</v>
      </c>
      <c r="Q408">
        <v>0.28522710000000001</v>
      </c>
      <c r="R408">
        <v>9.2905420000000002E-2</v>
      </c>
      <c r="S408">
        <v>3.1917420000000001</v>
      </c>
      <c r="T408">
        <v>-0.1695412</v>
      </c>
      <c r="U408">
        <v>4.1168209999999997E-2</v>
      </c>
      <c r="V408">
        <v>-8.9218829999999999E-2</v>
      </c>
      <c r="W408">
        <v>0.29835830000000002</v>
      </c>
      <c r="X408">
        <v>0.95027490000000003</v>
      </c>
      <c r="Y408">
        <v>-8.9817850000000008E-3</v>
      </c>
      <c r="Z408">
        <v>1.4709559999999999E-4</v>
      </c>
      <c r="AA408">
        <v>0.99995959999999995</v>
      </c>
      <c r="AB408">
        <v>31</v>
      </c>
      <c r="AC408">
        <v>19.712699999999899</v>
      </c>
      <c r="AD408">
        <v>-1.0606043339240001</v>
      </c>
      <c r="AE408">
        <v>0.25639999999998497</v>
      </c>
      <c r="AF408">
        <v>-0.178945845508479</v>
      </c>
      <c r="AG408">
        <v>-1.0606043339240001</v>
      </c>
      <c r="AH408">
        <v>19.656658595781899</v>
      </c>
      <c r="AI408">
        <v>93.088356673155403</v>
      </c>
      <c r="AJ408">
        <v>90.521581958510694</v>
      </c>
      <c r="AK408">
        <v>19.6860643684787</v>
      </c>
      <c r="AL408">
        <v>72.640975069481698</v>
      </c>
      <c r="AM408">
        <v>95.363628218197903</v>
      </c>
      <c r="AN408">
        <v>1.0000000301877301</v>
      </c>
    </row>
    <row r="409" spans="1:40" x14ac:dyDescent="0.25">
      <c r="A409" t="str">
        <f>"20190304164343688"</f>
        <v>20190304164343688</v>
      </c>
      <c r="B409" t="str">
        <f>"1551689023680357"</f>
        <v>1551689023680357</v>
      </c>
      <c r="C409" t="s">
        <v>40</v>
      </c>
      <c r="D409">
        <v>5.1670699999999998</v>
      </c>
      <c r="E409">
        <v>0.54586679999999999</v>
      </c>
      <c r="F409" t="s">
        <v>42</v>
      </c>
      <c r="G409">
        <v>-393.96379999999999</v>
      </c>
      <c r="H409" s="1">
        <v>-3.0094150000000001E-6</v>
      </c>
      <c r="I409">
        <v>367.14929999999998</v>
      </c>
      <c r="J409">
        <v>-407.3451</v>
      </c>
      <c r="K409">
        <v>1.0605880000000001</v>
      </c>
      <c r="L409">
        <v>367.03930000000003</v>
      </c>
      <c r="M409">
        <v>0.99989859999999997</v>
      </c>
      <c r="N409">
        <v>-1.3685579999999999E-2</v>
      </c>
      <c r="O409">
        <v>3.9545070000000003E-3</v>
      </c>
      <c r="P409">
        <v>0.95399990000000001</v>
      </c>
      <c r="Q409">
        <v>0.28505370000000002</v>
      </c>
      <c r="R409">
        <v>9.2891039999999994E-2</v>
      </c>
      <c r="S409">
        <v>3.217285</v>
      </c>
      <c r="T409">
        <v>-0.2508417</v>
      </c>
      <c r="U409">
        <v>2.624512E-2</v>
      </c>
      <c r="V409">
        <v>-8.9154990000000003E-2</v>
      </c>
      <c r="W409">
        <v>0.29807699999999998</v>
      </c>
      <c r="X409">
        <v>0.95036909999999997</v>
      </c>
      <c r="Y409">
        <v>-4.1956370000000003E-3</v>
      </c>
      <c r="Z409" s="1">
        <v>-6.1719769999999996E-5</v>
      </c>
      <c r="AA409">
        <v>0.99999119999999997</v>
      </c>
      <c r="AB409">
        <v>31</v>
      </c>
      <c r="AC409">
        <v>13.3813</v>
      </c>
      <c r="AD409">
        <v>-1.060591009415</v>
      </c>
      <c r="AE409">
        <v>0.10999999999995599</v>
      </c>
      <c r="AF409">
        <v>-5.6721441710461999E-2</v>
      </c>
      <c r="AG409">
        <v>-1.060591009415</v>
      </c>
      <c r="AH409">
        <v>13.2980971289584</v>
      </c>
      <c r="AI409">
        <v>94.559936935288704</v>
      </c>
      <c r="AJ409">
        <v>90.244386807948899</v>
      </c>
      <c r="AK409">
        <v>13.340444440213099</v>
      </c>
      <c r="AL409">
        <v>72.657859594659399</v>
      </c>
      <c r="AM409">
        <v>95.359284497222205</v>
      </c>
      <c r="AN409">
        <v>0.99999996820285397</v>
      </c>
    </row>
    <row r="410" spans="1:40" x14ac:dyDescent="0.25">
      <c r="A410" t="str">
        <f>"20190304164343702"</f>
        <v>20190304164343702</v>
      </c>
      <c r="B410" t="str">
        <f>"1551689023690114"</f>
        <v>1551689023690114</v>
      </c>
      <c r="C410" t="s">
        <v>40</v>
      </c>
      <c r="D410">
        <v>5.1510109999999996</v>
      </c>
      <c r="E410">
        <v>0.54555980000000004</v>
      </c>
      <c r="F410" t="s">
        <v>42</v>
      </c>
      <c r="G410">
        <v>-393.7045</v>
      </c>
      <c r="H410" s="1">
        <v>-3.1195369999999999E-6</v>
      </c>
      <c r="I410">
        <v>367.15559999999999</v>
      </c>
      <c r="J410">
        <v>-407.1354</v>
      </c>
      <c r="K410">
        <v>1.0605659999999999</v>
      </c>
      <c r="L410">
        <v>367.04020000000003</v>
      </c>
      <c r="M410">
        <v>0.99990000000000001</v>
      </c>
      <c r="N410">
        <v>-1.3568530000000001E-2</v>
      </c>
      <c r="O410">
        <v>4.005214E-3</v>
      </c>
      <c r="P410">
        <v>0.95403510000000002</v>
      </c>
      <c r="Q410">
        <v>0.28490090000000001</v>
      </c>
      <c r="R410">
        <v>9.2998159999999996E-2</v>
      </c>
      <c r="S410">
        <v>3.2167050000000001</v>
      </c>
      <c r="T410">
        <v>-0.25010490000000002</v>
      </c>
      <c r="U410">
        <v>2.7435299999999999E-2</v>
      </c>
      <c r="V410">
        <v>-8.921163E-2</v>
      </c>
      <c r="W410">
        <v>0.29781350000000001</v>
      </c>
      <c r="X410">
        <v>0.95044640000000002</v>
      </c>
      <c r="Y410">
        <v>-4.5154150000000001E-3</v>
      </c>
      <c r="Z410" s="1">
        <v>-5.069371E-5</v>
      </c>
      <c r="AA410">
        <v>0.99998980000000004</v>
      </c>
      <c r="AB410">
        <v>31</v>
      </c>
      <c r="AC410">
        <v>13.430899999999999</v>
      </c>
      <c r="AD410">
        <v>-1.0605691195369999</v>
      </c>
      <c r="AE410">
        <v>0.115399999999965</v>
      </c>
      <c r="AF410">
        <v>-6.1218798688182502E-2</v>
      </c>
      <c r="AG410">
        <v>-1.0605691195369999</v>
      </c>
      <c r="AH410">
        <v>13.3480296835553</v>
      </c>
      <c r="AI410">
        <v>94.542850778671195</v>
      </c>
      <c r="AJ410">
        <v>90.262776925253704</v>
      </c>
      <c r="AK410">
        <v>13.390237153676599</v>
      </c>
      <c r="AL410">
        <v>72.673675503390399</v>
      </c>
      <c r="AM410">
        <v>95.3622357929126</v>
      </c>
      <c r="AN410">
        <v>0.99999997749123304</v>
      </c>
    </row>
    <row r="411" spans="1:40" x14ac:dyDescent="0.25">
      <c r="A411" t="str">
        <f>"20190304164343726"</f>
        <v>20190304164343726</v>
      </c>
      <c r="B411" t="str">
        <f>"1551689023720371"</f>
        <v>1551689023720371</v>
      </c>
      <c r="C411" t="s">
        <v>40</v>
      </c>
      <c r="D411">
        <v>5.1478970000000004</v>
      </c>
      <c r="E411">
        <v>0.54550609999999999</v>
      </c>
      <c r="F411" t="s">
        <v>41</v>
      </c>
      <c r="G411">
        <v>-406.23430000000002</v>
      </c>
      <c r="H411">
        <v>0.99026020000000003</v>
      </c>
      <c r="I411">
        <v>367.04809999999998</v>
      </c>
      <c r="J411">
        <v>-406.81889999999999</v>
      </c>
      <c r="K411">
        <v>1.0605290000000001</v>
      </c>
      <c r="L411">
        <v>367.04160000000002</v>
      </c>
      <c r="M411">
        <v>0.99990219999999996</v>
      </c>
      <c r="N411">
        <v>-1.337904E-2</v>
      </c>
      <c r="O411">
        <v>4.0839530000000004E-3</v>
      </c>
      <c r="P411">
        <v>0.95394500000000004</v>
      </c>
      <c r="Q411">
        <v>0.28517169999999997</v>
      </c>
      <c r="R411">
        <v>9.3093049999999997E-2</v>
      </c>
      <c r="S411">
        <v>3.2166440000000001</v>
      </c>
      <c r="T411">
        <v>-0.25134630000000002</v>
      </c>
      <c r="U411">
        <v>2.9815669999999999E-2</v>
      </c>
      <c r="V411">
        <v>-8.9228909999999995E-2</v>
      </c>
      <c r="W411">
        <v>0.29790450000000002</v>
      </c>
      <c r="X411">
        <v>0.95041629999999999</v>
      </c>
      <c r="Y411">
        <v>-5.1746350000000003E-3</v>
      </c>
      <c r="Z411" s="1">
        <v>-2.751141E-5</v>
      </c>
      <c r="AA411">
        <v>0.99998659999999995</v>
      </c>
      <c r="AB411">
        <v>31</v>
      </c>
      <c r="AC411">
        <v>0.58459999999996604</v>
      </c>
      <c r="AD411">
        <v>-7.0268800000000103E-2</v>
      </c>
      <c r="AE411">
        <v>6.4999999999599796E-3</v>
      </c>
      <c r="AF411">
        <v>-4.0536927820143398E-3</v>
      </c>
      <c r="AG411">
        <v>-7.0268800000000103E-2</v>
      </c>
      <c r="AH411">
        <v>0.57629637655995802</v>
      </c>
      <c r="AI411">
        <v>96.951685480953699</v>
      </c>
      <c r="AJ411">
        <v>90.403014259422704</v>
      </c>
      <c r="AK411">
        <v>0.58057872017044099</v>
      </c>
      <c r="AL411">
        <v>72.668214369982707</v>
      </c>
      <c r="AM411">
        <v>95.363437250331501</v>
      </c>
      <c r="AN411">
        <v>1.00000001640286</v>
      </c>
    </row>
    <row r="412" spans="1:40" x14ac:dyDescent="0.25">
      <c r="A412" t="str">
        <f>"20190304164343739"</f>
        <v>20190304164343739</v>
      </c>
      <c r="B412" t="str">
        <f>"1551689023730131"</f>
        <v>1551689023730131</v>
      </c>
      <c r="C412" t="s">
        <v>40</v>
      </c>
      <c r="D412">
        <v>5.1460229999999996</v>
      </c>
      <c r="E412">
        <v>0.54507450000000002</v>
      </c>
      <c r="F412" t="s">
        <v>42</v>
      </c>
      <c r="G412">
        <v>-392.8449</v>
      </c>
      <c r="H412" s="1">
        <v>-3.4855720000000002E-6</v>
      </c>
      <c r="I412">
        <v>367.17099999999999</v>
      </c>
      <c r="J412">
        <v>-406.62459999999999</v>
      </c>
      <c r="K412">
        <v>1.0605089999999999</v>
      </c>
      <c r="L412">
        <v>367.04239999999999</v>
      </c>
      <c r="M412">
        <v>0.9999036</v>
      </c>
      <c r="N412">
        <v>-1.325873E-2</v>
      </c>
      <c r="O412">
        <v>4.1326920000000003E-3</v>
      </c>
      <c r="P412">
        <v>0.95403119999999997</v>
      </c>
      <c r="Q412">
        <v>0.28489560000000003</v>
      </c>
      <c r="R412">
        <v>9.305426E-2</v>
      </c>
      <c r="S412">
        <v>3.214874</v>
      </c>
      <c r="T412">
        <v>-0.24398600000000001</v>
      </c>
      <c r="U412">
        <v>2.9785160000000001E-2</v>
      </c>
      <c r="V412">
        <v>-8.9141429999999994E-2</v>
      </c>
      <c r="W412">
        <v>0.29751569999999999</v>
      </c>
      <c r="X412">
        <v>0.95054629999999996</v>
      </c>
      <c r="Y412">
        <v>-5.1222250000000002E-3</v>
      </c>
      <c r="Z412" s="1">
        <v>-3.0348149999999998E-5</v>
      </c>
      <c r="AA412">
        <v>0.99998690000000001</v>
      </c>
      <c r="AB412">
        <v>31</v>
      </c>
      <c r="AC412">
        <v>13.779699999999901</v>
      </c>
      <c r="AD412">
        <v>-1.0605124855719901</v>
      </c>
      <c r="AE412">
        <v>0.12860000000000499</v>
      </c>
      <c r="AF412">
        <v>-7.1224804063243302E-2</v>
      </c>
      <c r="AG412">
        <v>-1.0605124855719901</v>
      </c>
      <c r="AH412">
        <v>13.698979898559999</v>
      </c>
      <c r="AI412">
        <v>94.426688791632898</v>
      </c>
      <c r="AJ412">
        <v>90.297893998543003</v>
      </c>
      <c r="AK412">
        <v>13.740153200234699</v>
      </c>
      <c r="AL412">
        <v>72.691549244738397</v>
      </c>
      <c r="AM412">
        <v>95.357481014530194</v>
      </c>
      <c r="AN412">
        <v>1.0000000273663101</v>
      </c>
    </row>
    <row r="413" spans="1:40" x14ac:dyDescent="0.25">
      <c r="A413" t="str">
        <f>"20190304164343751"</f>
        <v>20190304164343751</v>
      </c>
      <c r="B413" t="str">
        <f>"1551689023740866"</f>
        <v>1551689023740866</v>
      </c>
      <c r="C413" t="s">
        <v>40</v>
      </c>
      <c r="D413">
        <v>5.1351849999999999</v>
      </c>
      <c r="E413">
        <v>0.54468300000000003</v>
      </c>
      <c r="F413" t="s">
        <v>41</v>
      </c>
      <c r="G413">
        <v>-405.68310000000002</v>
      </c>
      <c r="H413">
        <v>0.98999870000000001</v>
      </c>
      <c r="I413">
        <v>367.05149999999998</v>
      </c>
      <c r="J413">
        <v>-406.45170000000002</v>
      </c>
      <c r="K413">
        <v>1.0604899999999999</v>
      </c>
      <c r="L413">
        <v>367.04320000000001</v>
      </c>
      <c r="M413">
        <v>0.99990489999999999</v>
      </c>
      <c r="N413">
        <v>-1.315068E-2</v>
      </c>
      <c r="O413">
        <v>4.1757560000000001E-3</v>
      </c>
      <c r="P413">
        <v>0.95392860000000002</v>
      </c>
      <c r="Q413">
        <v>0.28519559999999999</v>
      </c>
      <c r="R413">
        <v>9.3186569999999996E-2</v>
      </c>
      <c r="S413">
        <v>3.2133479999999999</v>
      </c>
      <c r="T413">
        <v>-0.24089440000000001</v>
      </c>
      <c r="U413">
        <v>3.2562260000000003E-2</v>
      </c>
      <c r="V413">
        <v>-8.9231809999999995E-2</v>
      </c>
      <c r="W413">
        <v>0.29771199999999998</v>
      </c>
      <c r="X413">
        <v>0.95047630000000005</v>
      </c>
      <c r="Y413">
        <v>-5.9452719999999997E-3</v>
      </c>
      <c r="Z413" s="1">
        <v>3.9482109999999998E-6</v>
      </c>
      <c r="AA413">
        <v>0.99998229999999999</v>
      </c>
      <c r="AB413">
        <v>31</v>
      </c>
      <c r="AC413">
        <v>0.76859999999999196</v>
      </c>
      <c r="AD413">
        <v>-7.0491300000000007E-2</v>
      </c>
      <c r="AE413">
        <v>8.2999999999628891E-3</v>
      </c>
      <c r="AF413">
        <v>-5.0477107422325501E-3</v>
      </c>
      <c r="AG413">
        <v>-7.0491300000000007E-2</v>
      </c>
      <c r="AH413">
        <v>0.76221736258835804</v>
      </c>
      <c r="AI413">
        <v>95.283676892917796</v>
      </c>
      <c r="AJ413">
        <v>90.3794302099584</v>
      </c>
      <c r="AK413">
        <v>0.76548664951818701</v>
      </c>
      <c r="AL413">
        <v>72.679767287132705</v>
      </c>
      <c r="AM413">
        <v>95.363273938926696</v>
      </c>
      <c r="AN413">
        <v>0.99999997386078199</v>
      </c>
    </row>
    <row r="414" spans="1:40" x14ac:dyDescent="0.25">
      <c r="A414" t="str">
        <f>"20190304164343770"</f>
        <v>20190304164343770</v>
      </c>
      <c r="B414" t="str">
        <f>"1551689023760386"</f>
        <v>1551689023760386</v>
      </c>
      <c r="C414" t="s">
        <v>40</v>
      </c>
      <c r="D414">
        <v>5.137302</v>
      </c>
      <c r="E414">
        <v>0.54434259999999901</v>
      </c>
      <c r="F414" t="s">
        <v>42</v>
      </c>
      <c r="G414">
        <v>-392.01459999999997</v>
      </c>
      <c r="H414" s="1">
        <v>-3.8362860000000001E-6</v>
      </c>
      <c r="I414">
        <v>367.20179999999999</v>
      </c>
      <c r="J414">
        <v>-406.2054</v>
      </c>
      <c r="K414">
        <v>1.060467</v>
      </c>
      <c r="L414">
        <v>367.04430000000002</v>
      </c>
      <c r="M414">
        <v>0.99990670000000004</v>
      </c>
      <c r="N414">
        <v>-1.2990679999999999E-2</v>
      </c>
      <c r="O414">
        <v>4.2344870000000003E-3</v>
      </c>
      <c r="P414">
        <v>0.95389049999999997</v>
      </c>
      <c r="Q414">
        <v>0.28531410000000001</v>
      </c>
      <c r="R414">
        <v>9.3215010000000001E-2</v>
      </c>
      <c r="S414">
        <v>3.2119140000000002</v>
      </c>
      <c r="T414">
        <v>-0.2359349</v>
      </c>
      <c r="U414">
        <v>3.5308840000000001E-2</v>
      </c>
      <c r="V414">
        <v>-8.9204259999999994E-2</v>
      </c>
      <c r="W414">
        <v>0.29767779999999999</v>
      </c>
      <c r="X414">
        <v>0.95048960000000005</v>
      </c>
      <c r="Y414">
        <v>-6.7440699999999996E-3</v>
      </c>
      <c r="Z414" s="1">
        <v>3.5563820000000001E-5</v>
      </c>
      <c r="AA414">
        <v>0.99997720000000001</v>
      </c>
      <c r="AB414">
        <v>31</v>
      </c>
      <c r="AC414">
        <v>14.190799999999999</v>
      </c>
      <c r="AD414">
        <v>-1.060470836286</v>
      </c>
      <c r="AE414">
        <v>0.15749999999997</v>
      </c>
      <c r="AF414">
        <v>-9.6861903536189495E-2</v>
      </c>
      <c r="AG414">
        <v>-1.060470836286</v>
      </c>
      <c r="AH414">
        <v>14.1125380850798</v>
      </c>
      <c r="AI414">
        <v>94.297249879212899</v>
      </c>
      <c r="AJ414">
        <v>90.393245431168907</v>
      </c>
      <c r="AK414">
        <v>14.152657412153999</v>
      </c>
      <c r="AL414">
        <v>72.681819905628998</v>
      </c>
      <c r="AM414">
        <v>95.361553111989295</v>
      </c>
      <c r="AN414">
        <v>0.99999997616157299</v>
      </c>
    </row>
    <row r="415" spans="1:40" x14ac:dyDescent="0.25">
      <c r="A415" t="str">
        <f>"20190304164343783"</f>
        <v>20190304164343783</v>
      </c>
      <c r="B415" t="str">
        <f>"1551689023770146"</f>
        <v>1551689023770146</v>
      </c>
      <c r="C415" t="s">
        <v>40</v>
      </c>
      <c r="D415">
        <v>5.1237760000000003</v>
      </c>
      <c r="E415">
        <v>0.54404259999999904</v>
      </c>
      <c r="F415" t="s">
        <v>42</v>
      </c>
      <c r="G415">
        <v>-391.50740000000002</v>
      </c>
      <c r="H415" s="1">
        <v>-4.0510319999999999E-6</v>
      </c>
      <c r="I415">
        <v>367.21789999999999</v>
      </c>
      <c r="J415">
        <v>-406.02800000000002</v>
      </c>
      <c r="K415">
        <v>1.060451</v>
      </c>
      <c r="L415">
        <v>367.04500000000002</v>
      </c>
      <c r="M415">
        <v>0.99990809999999997</v>
      </c>
      <c r="N415">
        <v>-1.286955E-2</v>
      </c>
      <c r="O415">
        <v>4.2753269999999998E-3</v>
      </c>
      <c r="P415">
        <v>0.95381210000000005</v>
      </c>
      <c r="Q415">
        <v>0.28551710000000002</v>
      </c>
      <c r="R415">
        <v>9.3394909999999998E-2</v>
      </c>
      <c r="S415">
        <v>3.2105709999999998</v>
      </c>
      <c r="T415">
        <v>-0.2316445</v>
      </c>
      <c r="U415">
        <v>3.7933349999999998E-2</v>
      </c>
      <c r="V415">
        <v>-8.9345839999999996E-2</v>
      </c>
      <c r="W415">
        <v>0.297764799999999</v>
      </c>
      <c r="X415">
        <v>0.95044910000000005</v>
      </c>
      <c r="Y415">
        <v>-7.5232750000000003E-3</v>
      </c>
      <c r="Z415" s="1">
        <v>6.644106E-5</v>
      </c>
      <c r="AA415">
        <v>0.99997170000000002</v>
      </c>
      <c r="AB415">
        <v>31</v>
      </c>
      <c r="AC415">
        <v>14.5206</v>
      </c>
      <c r="AD415">
        <v>-1.0604550510320001</v>
      </c>
      <c r="AE415">
        <v>0.17289999999996999</v>
      </c>
      <c r="AF415">
        <v>-0.110225161371062</v>
      </c>
      <c r="AG415">
        <v>-1.0604550510320001</v>
      </c>
      <c r="AH415">
        <v>14.444178877851099</v>
      </c>
      <c r="AI415">
        <v>94.198855757582905</v>
      </c>
      <c r="AJ415">
        <v>90.437222081614706</v>
      </c>
      <c r="AK415">
        <v>14.4834739602355</v>
      </c>
      <c r="AL415">
        <v>72.676599237229397</v>
      </c>
      <c r="AM415">
        <v>95.370240447731504</v>
      </c>
      <c r="AN415">
        <v>1.0000000234675701</v>
      </c>
    </row>
    <row r="416" spans="1:40" x14ac:dyDescent="0.25">
      <c r="A416" t="str">
        <f>"20190304164343802"</f>
        <v>20190304164343802</v>
      </c>
      <c r="B416" t="str">
        <f>"1551689023790173"</f>
        <v>1551689023790173</v>
      </c>
      <c r="C416" t="s">
        <v>40</v>
      </c>
      <c r="D416">
        <v>5.3173089999999998</v>
      </c>
      <c r="E416">
        <v>0.54378689999999996</v>
      </c>
      <c r="F416" t="s">
        <v>42</v>
      </c>
      <c r="G416">
        <v>-391.0403</v>
      </c>
      <c r="H416" s="1">
        <v>-4.2487499999999998E-6</v>
      </c>
      <c r="I416">
        <v>367.23289999999997</v>
      </c>
      <c r="J416">
        <v>-405.74810000000002</v>
      </c>
      <c r="K416">
        <v>1.0604260000000001</v>
      </c>
      <c r="L416">
        <v>367.04629999999997</v>
      </c>
      <c r="M416">
        <v>0.99991039999999998</v>
      </c>
      <c r="N416">
        <v>-1.267243E-2</v>
      </c>
      <c r="O416">
        <v>4.3381690000000002E-3</v>
      </c>
      <c r="P416">
        <v>0.95370239999999995</v>
      </c>
      <c r="Q416">
        <v>0.28566940000000002</v>
      </c>
      <c r="R416">
        <v>9.4046290000000005E-2</v>
      </c>
      <c r="S416">
        <v>3.2092900000000002</v>
      </c>
      <c r="T416">
        <v>-0.22707179999999999</v>
      </c>
      <c r="U416">
        <v>4.0252690000000001E-2</v>
      </c>
      <c r="V416">
        <v>-8.9938779999999996E-2</v>
      </c>
      <c r="W416">
        <v>0.2977284</v>
      </c>
      <c r="X416">
        <v>0.95040460000000004</v>
      </c>
      <c r="Y416">
        <v>-8.1864420000000004E-3</v>
      </c>
      <c r="Z416" s="1">
        <v>8.9564779999999999E-5</v>
      </c>
      <c r="AA416">
        <v>0.99996649999999998</v>
      </c>
      <c r="AB416">
        <v>31</v>
      </c>
      <c r="AC416">
        <v>14.707800000000001</v>
      </c>
      <c r="AD416">
        <v>-1.0604302487499999</v>
      </c>
      <c r="AE416">
        <v>0.18659999999999799</v>
      </c>
      <c r="AF416">
        <v>-0.122153306704526</v>
      </c>
      <c r="AG416">
        <v>-1.0604302487499999</v>
      </c>
      <c r="AH416">
        <v>14.632418383569201</v>
      </c>
      <c r="AI416">
        <v>94.144908585230397</v>
      </c>
      <c r="AJ416">
        <v>90.478301410227502</v>
      </c>
      <c r="AK416">
        <v>14.6713019699895</v>
      </c>
      <c r="AL416">
        <v>72.678784255572296</v>
      </c>
      <c r="AM416">
        <v>95.4059210079932</v>
      </c>
      <c r="AN416">
        <v>1.0000000440078001</v>
      </c>
    </row>
    <row r="417" spans="1:40" x14ac:dyDescent="0.25">
      <c r="A417" t="str">
        <f>"20190304164343817"</f>
        <v>20190304164343817</v>
      </c>
      <c r="B417" t="str">
        <f>"1551689023810669"</f>
        <v>1551689023810669</v>
      </c>
      <c r="C417" t="s">
        <v>40</v>
      </c>
      <c r="D417">
        <v>5.048413</v>
      </c>
      <c r="E417">
        <v>0.54278579999999998</v>
      </c>
      <c r="F417" t="s">
        <v>42</v>
      </c>
      <c r="G417">
        <v>-390.553</v>
      </c>
      <c r="H417" s="1">
        <v>-4.4541149999999996E-6</v>
      </c>
      <c r="I417">
        <v>367.25369999999998</v>
      </c>
      <c r="J417">
        <v>-405.54129999999998</v>
      </c>
      <c r="K417">
        <v>1.0604039999999999</v>
      </c>
      <c r="L417">
        <v>367.04719999999998</v>
      </c>
      <c r="M417">
        <v>0.99991200000000002</v>
      </c>
      <c r="N417">
        <v>-1.2525919999999999E-2</v>
      </c>
      <c r="O417">
        <v>4.3843420000000003E-3</v>
      </c>
      <c r="P417">
        <v>0.95363929999999997</v>
      </c>
      <c r="Q417">
        <v>0.28582980000000002</v>
      </c>
      <c r="R417">
        <v>9.4198959999999998E-2</v>
      </c>
      <c r="S417">
        <v>3.2083740000000001</v>
      </c>
      <c r="T417">
        <v>-0.22390409999999999</v>
      </c>
      <c r="U417">
        <v>4.379272E-2</v>
      </c>
      <c r="V417">
        <v>-9.0047859999999993E-2</v>
      </c>
      <c r="W417">
        <v>0.29774840000000002</v>
      </c>
      <c r="X417">
        <v>0.95038800000000001</v>
      </c>
      <c r="Y417">
        <v>-9.2444780000000004E-3</v>
      </c>
      <c r="Z417">
        <v>1.2943340000000001E-4</v>
      </c>
      <c r="AA417">
        <v>0.99995730000000005</v>
      </c>
      <c r="AB417">
        <v>31</v>
      </c>
      <c r="AC417">
        <v>14.988299999999899</v>
      </c>
      <c r="AD417">
        <v>-1.0604084541150001</v>
      </c>
      <c r="AE417">
        <v>0.20650000000000501</v>
      </c>
      <c r="AF417">
        <v>-0.14007801221537</v>
      </c>
      <c r="AG417">
        <v>-1.0604084541150001</v>
      </c>
      <c r="AH417">
        <v>14.9144223916425</v>
      </c>
      <c r="AI417">
        <v>94.066680718526698</v>
      </c>
      <c r="AJ417">
        <v>90.538112889098201</v>
      </c>
      <c r="AK417">
        <v>14.952728286683699</v>
      </c>
      <c r="AL417">
        <v>72.677583805538504</v>
      </c>
      <c r="AM417">
        <v>95.412532507485494</v>
      </c>
      <c r="AN417">
        <v>1.0000000386685599</v>
      </c>
    </row>
    <row r="418" spans="1:40" x14ac:dyDescent="0.25">
      <c r="A418" t="str">
        <f>"20190304164343829"</f>
        <v>20190304164343829</v>
      </c>
      <c r="B418" t="str">
        <f>"1551689023820430"</f>
        <v>1551689023820430</v>
      </c>
      <c r="C418" t="s">
        <v>40</v>
      </c>
      <c r="D418">
        <v>5.1026600000000002</v>
      </c>
      <c r="E418">
        <v>0.54263669999999997</v>
      </c>
      <c r="F418" t="s">
        <v>42</v>
      </c>
      <c r="G418">
        <v>-389.18270000000001</v>
      </c>
      <c r="H418" s="1">
        <v>-8.7929809999999998E-7</v>
      </c>
      <c r="I418">
        <v>367.30450000000002</v>
      </c>
      <c r="J418">
        <v>-405.36919999999998</v>
      </c>
      <c r="K418">
        <v>1.060389</v>
      </c>
      <c r="L418">
        <v>367.04809999999998</v>
      </c>
      <c r="M418">
        <v>0.99991319999999995</v>
      </c>
      <c r="N418">
        <v>-1.240585E-2</v>
      </c>
      <c r="O418">
        <v>4.4227650000000004E-3</v>
      </c>
      <c r="P418">
        <v>0.95351010000000003</v>
      </c>
      <c r="Q418">
        <v>0.28622609999999998</v>
      </c>
      <c r="R418">
        <v>9.4303559999999995E-2</v>
      </c>
      <c r="S418">
        <v>3.2030639999999999</v>
      </c>
      <c r="T418">
        <v>-0.20762990000000001</v>
      </c>
      <c r="U418">
        <v>5.0384520000000002E-2</v>
      </c>
      <c r="V418">
        <v>-9.0117100000000006E-2</v>
      </c>
      <c r="W418">
        <v>0.29802869999999998</v>
      </c>
      <c r="X418">
        <v>0.95029350000000001</v>
      </c>
      <c r="Y418">
        <v>-1.128329E-2</v>
      </c>
      <c r="Z418">
        <v>2.038311E-4</v>
      </c>
      <c r="AA418">
        <v>0.9999363</v>
      </c>
      <c r="AB418">
        <v>31</v>
      </c>
      <c r="AC418">
        <v>16.186499999999899</v>
      </c>
      <c r="AD418">
        <v>-1.0603898792980999</v>
      </c>
      <c r="AE418">
        <v>0.25640000000004098</v>
      </c>
      <c r="AF418">
        <v>-0.18401336751144901</v>
      </c>
      <c r="AG418">
        <v>-1.0603898792980999</v>
      </c>
      <c r="AH418">
        <v>16.1183187671325</v>
      </c>
      <c r="AI418">
        <v>93.763698889170797</v>
      </c>
      <c r="AJ418">
        <v>90.654083808215603</v>
      </c>
      <c r="AK418">
        <v>16.154209590519699</v>
      </c>
      <c r="AL418">
        <v>72.660758726708593</v>
      </c>
      <c r="AM418">
        <v>95.417205037391696</v>
      </c>
      <c r="AN418">
        <v>0.99999996693917403</v>
      </c>
    </row>
    <row r="419" spans="1:40" x14ac:dyDescent="0.25">
      <c r="A419" t="str">
        <f>"20190304164343848"</f>
        <v>20190304164343848</v>
      </c>
      <c r="B419" t="str">
        <f>"1551689023840924"</f>
        <v>1551689023840924</v>
      </c>
      <c r="C419" t="s">
        <v>40</v>
      </c>
      <c r="D419">
        <v>5.1058949999999896</v>
      </c>
      <c r="E419">
        <v>0.54213849999999997</v>
      </c>
      <c r="F419" t="s">
        <v>42</v>
      </c>
      <c r="G419">
        <v>-388.45139999999998</v>
      </c>
      <c r="H419" s="1">
        <v>-1.1245589999999999E-6</v>
      </c>
      <c r="I419">
        <v>367.31799999999998</v>
      </c>
      <c r="J419">
        <v>-405.10930000000002</v>
      </c>
      <c r="K419">
        <v>1.06037</v>
      </c>
      <c r="L419">
        <v>367.04930000000002</v>
      </c>
      <c r="M419">
        <v>0.9999152</v>
      </c>
      <c r="N419">
        <v>-1.222557E-2</v>
      </c>
      <c r="O419">
        <v>4.481217E-3</v>
      </c>
      <c r="P419">
        <v>0.95356010000000002</v>
      </c>
      <c r="Q419">
        <v>0.28591519999999998</v>
      </c>
      <c r="R419">
        <v>9.4741510000000001E-2</v>
      </c>
      <c r="S419">
        <v>3.2014469999999999</v>
      </c>
      <c r="T419">
        <v>-0.2006636</v>
      </c>
      <c r="U419">
        <v>5.1086430000000002E-2</v>
      </c>
      <c r="V419">
        <v>-9.0499270000000007E-2</v>
      </c>
      <c r="W419">
        <v>0.29754720000000001</v>
      </c>
      <c r="X419">
        <v>0.95040809999999998</v>
      </c>
      <c r="Y419">
        <v>-1.145295E-2</v>
      </c>
      <c r="Z419">
        <v>2.0281340000000001E-4</v>
      </c>
      <c r="AA419">
        <v>0.9999344</v>
      </c>
      <c r="AB419">
        <v>31</v>
      </c>
      <c r="AC419">
        <v>16.657900000000001</v>
      </c>
      <c r="AD419">
        <v>-1.060371124559</v>
      </c>
      <c r="AE419">
        <v>0.26870000000002298</v>
      </c>
      <c r="AF419">
        <v>-0.193261154988116</v>
      </c>
      <c r="AG419">
        <v>-1.060371124559</v>
      </c>
      <c r="AH419">
        <v>16.5917238291517</v>
      </c>
      <c r="AI419">
        <v>93.656532141654793</v>
      </c>
      <c r="AJ419">
        <v>90.667353669428707</v>
      </c>
      <c r="AK419">
        <v>16.6266964974605</v>
      </c>
      <c r="AL419">
        <v>72.689658420295601</v>
      </c>
      <c r="AM419">
        <v>95.439388849444796</v>
      </c>
      <c r="AN419">
        <v>1.00000000532199</v>
      </c>
    </row>
    <row r="420" spans="1:40" x14ac:dyDescent="0.25">
      <c r="A420" t="str">
        <f>"20190304164343862"</f>
        <v>20190304164343862</v>
      </c>
      <c r="B420" t="str">
        <f>"1551689023850684"</f>
        <v>1551689023850684</v>
      </c>
      <c r="C420" t="s">
        <v>40</v>
      </c>
      <c r="D420">
        <v>5.0693299999999999</v>
      </c>
      <c r="E420">
        <v>0.5420857</v>
      </c>
      <c r="F420" t="s">
        <v>42</v>
      </c>
      <c r="G420">
        <v>-387.40179999999998</v>
      </c>
      <c r="H420" s="1">
        <v>-1.498356E-6</v>
      </c>
      <c r="I420">
        <v>367.35329999999999</v>
      </c>
      <c r="J420">
        <v>-404.92250000000001</v>
      </c>
      <c r="K420">
        <v>1.0603530000000001</v>
      </c>
      <c r="L420">
        <v>367.05009999999999</v>
      </c>
      <c r="M420">
        <v>0.99991660000000004</v>
      </c>
      <c r="N420">
        <v>-1.2097409999999999E-2</v>
      </c>
      <c r="O420">
        <v>4.5237189999999998E-3</v>
      </c>
      <c r="P420">
        <v>0.95341339999999997</v>
      </c>
      <c r="Q420">
        <v>0.28631790000000001</v>
      </c>
      <c r="R420">
        <v>9.5001240000000001E-2</v>
      </c>
      <c r="S420">
        <v>3.1980900000000001</v>
      </c>
      <c r="T420">
        <v>-0.19150880000000001</v>
      </c>
      <c r="U420">
        <v>5.4931639999999997E-2</v>
      </c>
      <c r="V420">
        <v>-9.0719400000000006E-2</v>
      </c>
      <c r="W420">
        <v>0.29782619999999999</v>
      </c>
      <c r="X420">
        <v>0.95029969999999997</v>
      </c>
      <c r="Y420">
        <v>-1.262827E-2</v>
      </c>
      <c r="Z420">
        <v>2.3827359999999999E-4</v>
      </c>
      <c r="AA420">
        <v>0.99992020000000004</v>
      </c>
      <c r="AB420">
        <v>31</v>
      </c>
      <c r="AC420">
        <v>17.520700000000001</v>
      </c>
      <c r="AD420">
        <v>-1.060354498356</v>
      </c>
      <c r="AE420">
        <v>0.30320000000000302</v>
      </c>
      <c r="AF420">
        <v>-0.223115417882469</v>
      </c>
      <c r="AG420">
        <v>-1.060354498356</v>
      </c>
      <c r="AH420">
        <v>17.457968542284899</v>
      </c>
      <c r="AI420">
        <v>93.475453150062805</v>
      </c>
      <c r="AJ420">
        <v>90.732208666584697</v>
      </c>
      <c r="AK420">
        <v>17.491563617221001</v>
      </c>
      <c r="AL420">
        <v>72.672913434655797</v>
      </c>
      <c r="AM420">
        <v>95.453158170677895</v>
      </c>
      <c r="AN420">
        <v>0.99999998738144402</v>
      </c>
    </row>
    <row r="421" spans="1:40" x14ac:dyDescent="0.25">
      <c r="A421" t="str">
        <f>"20190304164343882"</f>
        <v>20190304164343882</v>
      </c>
      <c r="B421" t="str">
        <f>"1551689023870205"</f>
        <v>1551689023870205</v>
      </c>
      <c r="C421" t="s">
        <v>40</v>
      </c>
      <c r="D421">
        <v>5.0437149999999997</v>
      </c>
      <c r="E421">
        <v>0.54194339999999996</v>
      </c>
      <c r="F421" t="s">
        <v>42</v>
      </c>
      <c r="G421">
        <v>-386.74459999999999</v>
      </c>
      <c r="H421" s="1">
        <v>-1.77824E-6</v>
      </c>
      <c r="I421">
        <v>367.3648</v>
      </c>
      <c r="J421">
        <v>-404.64569999999998</v>
      </c>
      <c r="K421">
        <v>1.0603260000000001</v>
      </c>
      <c r="L421">
        <v>367.05149999999998</v>
      </c>
      <c r="M421">
        <v>0.99991859999999999</v>
      </c>
      <c r="N421">
        <v>-1.1912600000000001E-2</v>
      </c>
      <c r="O421">
        <v>4.5872309999999998E-3</v>
      </c>
      <c r="P421">
        <v>0.95336259999999995</v>
      </c>
      <c r="Q421">
        <v>0.28650819999999999</v>
      </c>
      <c r="R421">
        <v>9.4935199999999997E-2</v>
      </c>
      <c r="S421">
        <v>3.1970519999999998</v>
      </c>
      <c r="T421">
        <v>-0.18648970000000001</v>
      </c>
      <c r="U421">
        <v>5.5358890000000001E-2</v>
      </c>
      <c r="V421">
        <v>-9.0593480000000004E-2</v>
      </c>
      <c r="W421">
        <v>0.29783989999999999</v>
      </c>
      <c r="X421">
        <v>0.95030740000000002</v>
      </c>
      <c r="Y421">
        <v>-1.270488E-2</v>
      </c>
      <c r="Z421">
        <v>2.3324350000000001E-4</v>
      </c>
      <c r="AA421">
        <v>0.99991920000000001</v>
      </c>
      <c r="AB421">
        <v>31</v>
      </c>
      <c r="AC421">
        <v>17.9010999999999</v>
      </c>
      <c r="AD421">
        <v>-1.06032777824</v>
      </c>
      <c r="AE421">
        <v>0.313300000000026</v>
      </c>
      <c r="AF421">
        <v>-0.23036640980980999</v>
      </c>
      <c r="AG421">
        <v>-1.06032777824</v>
      </c>
      <c r="AH421">
        <v>17.839777309869199</v>
      </c>
      <c r="AI421">
        <v>93.401156364847196</v>
      </c>
      <c r="AJ421">
        <v>90.739823666681801</v>
      </c>
      <c r="AK421">
        <v>17.872745120596299</v>
      </c>
      <c r="AL421">
        <v>72.672090847904002</v>
      </c>
      <c r="AM421">
        <v>95.445590771883303</v>
      </c>
      <c r="AN421">
        <v>0.99999996957263904</v>
      </c>
    </row>
    <row r="422" spans="1:40" x14ac:dyDescent="0.25">
      <c r="A422" t="str">
        <f>"20190304164343897"</f>
        <v>20190304164343897</v>
      </c>
      <c r="B422" t="str">
        <f>"1551689023890234"</f>
        <v>1551689023890234</v>
      </c>
      <c r="C422" t="s">
        <v>40</v>
      </c>
      <c r="D422">
        <v>5.0166259999999996</v>
      </c>
      <c r="E422">
        <v>0.54182149999999996</v>
      </c>
      <c r="F422" t="s">
        <v>42</v>
      </c>
      <c r="G422">
        <v>-385.6755</v>
      </c>
      <c r="H422" s="1">
        <v>-2.2332480000000001E-6</v>
      </c>
      <c r="I422">
        <v>367.3852</v>
      </c>
      <c r="J422">
        <v>-404.4359</v>
      </c>
      <c r="K422">
        <v>1.0603119999999999</v>
      </c>
      <c r="L422">
        <v>367.05239999999998</v>
      </c>
      <c r="M422">
        <v>0.99992000000000003</v>
      </c>
      <c r="N422">
        <v>-1.1778729999999999E-2</v>
      </c>
      <c r="O422">
        <v>4.6354660000000004E-3</v>
      </c>
      <c r="P422">
        <v>0.95334799999999997</v>
      </c>
      <c r="Q422">
        <v>0.28653210000000001</v>
      </c>
      <c r="R422">
        <v>9.5010999999999998E-2</v>
      </c>
      <c r="S422">
        <v>3.1948240000000001</v>
      </c>
      <c r="T422">
        <v>-0.17857310000000001</v>
      </c>
      <c r="U422">
        <v>5.621338E-2</v>
      </c>
      <c r="V422">
        <v>-9.0623270000000006E-2</v>
      </c>
      <c r="W422">
        <v>0.29773699999999997</v>
      </c>
      <c r="X422">
        <v>0.95033679999999998</v>
      </c>
      <c r="Y422">
        <v>-1.2937219999999999E-2</v>
      </c>
      <c r="Z422">
        <v>2.3321529999999999E-4</v>
      </c>
      <c r="AA422">
        <v>0.99991629999999998</v>
      </c>
      <c r="AB422">
        <v>31</v>
      </c>
      <c r="AC422">
        <v>18.760400000000001</v>
      </c>
      <c r="AD422">
        <v>-1.060314233248</v>
      </c>
      <c r="AE422">
        <v>0.33280000000002002</v>
      </c>
      <c r="AF422">
        <v>-0.24504468777553901</v>
      </c>
      <c r="AG422">
        <v>-1.060314233248</v>
      </c>
      <c r="AH422">
        <v>18.702018860277601</v>
      </c>
      <c r="AI422">
        <v>93.244642553336405</v>
      </c>
      <c r="AJ422">
        <v>90.750679546238004</v>
      </c>
      <c r="AK422">
        <v>18.733654812193301</v>
      </c>
      <c r="AL422">
        <v>72.678266707127193</v>
      </c>
      <c r="AM422">
        <v>95.447203176269795</v>
      </c>
      <c r="AN422">
        <v>0.99999996583436501</v>
      </c>
    </row>
    <row r="423" spans="1:40" x14ac:dyDescent="0.25">
      <c r="A423" t="str">
        <f>"20190304164343914"</f>
        <v>20190304164343914</v>
      </c>
      <c r="B423" t="str">
        <f>"1551689023910730"</f>
        <v>1551689023910730</v>
      </c>
      <c r="C423" t="s">
        <v>40</v>
      </c>
      <c r="D423">
        <v>4.9931320000000001</v>
      </c>
      <c r="E423">
        <v>0.5417343</v>
      </c>
      <c r="F423" t="s">
        <v>42</v>
      </c>
      <c r="G423">
        <v>-384.82310000000001</v>
      </c>
      <c r="H423" s="1">
        <v>-2.596121E-6</v>
      </c>
      <c r="I423">
        <v>367.40100000000001</v>
      </c>
      <c r="J423">
        <v>-404.18880000000001</v>
      </c>
      <c r="K423">
        <v>1.060303</v>
      </c>
      <c r="L423">
        <v>367.05360000000002</v>
      </c>
      <c r="M423">
        <v>0.99992139999999996</v>
      </c>
      <c r="N423">
        <v>-1.162857E-2</v>
      </c>
      <c r="O423">
        <v>4.6921949999999997E-3</v>
      </c>
      <c r="P423">
        <v>0.95327260000000003</v>
      </c>
      <c r="Q423">
        <v>0.28680660000000002</v>
      </c>
      <c r="R423">
        <v>9.4938460000000002E-2</v>
      </c>
      <c r="S423">
        <v>3.1930540000000001</v>
      </c>
      <c r="T423">
        <v>-0.17262379999999999</v>
      </c>
      <c r="U423">
        <v>5.6762699999999902E-2</v>
      </c>
      <c r="V423">
        <v>-9.0497510000000003E-2</v>
      </c>
      <c r="W423">
        <v>0.29786760000000001</v>
      </c>
      <c r="X423">
        <v>0.95030789999999998</v>
      </c>
      <c r="Y423">
        <v>-1.3063200000000001E-2</v>
      </c>
      <c r="Z423">
        <v>2.299248E-4</v>
      </c>
      <c r="AA423">
        <v>0.99991459999999999</v>
      </c>
      <c r="AB423">
        <v>31</v>
      </c>
      <c r="AC423">
        <v>19.3657</v>
      </c>
      <c r="AD423">
        <v>-1.0603055961209999</v>
      </c>
      <c r="AE423">
        <v>0.34739999999999299</v>
      </c>
      <c r="AF423">
        <v>-0.25575594595175999</v>
      </c>
      <c r="AG423">
        <v>-1.0603055961209999</v>
      </c>
      <c r="AH423">
        <v>19.309251238549901</v>
      </c>
      <c r="AI423">
        <v>93.142782281106307</v>
      </c>
      <c r="AJ423">
        <v>90.758852803916596</v>
      </c>
      <c r="AK423">
        <v>19.340032121340801</v>
      </c>
      <c r="AL423">
        <v>72.670428938485401</v>
      </c>
      <c r="AM423">
        <v>95.439853775697301</v>
      </c>
      <c r="AN423">
        <v>1.00000000562418</v>
      </c>
    </row>
    <row r="424" spans="1:40" x14ac:dyDescent="0.25">
      <c r="A424" t="str">
        <f>"20190304164343926"</f>
        <v>20190304164343926</v>
      </c>
      <c r="B424" t="str">
        <f>"1551689023910730"</f>
        <v>1551689023910730</v>
      </c>
      <c r="C424" t="s">
        <v>40</v>
      </c>
      <c r="D424">
        <v>4.9931320000000001</v>
      </c>
      <c r="E424">
        <v>0.5417343</v>
      </c>
      <c r="F424" t="s">
        <v>42</v>
      </c>
      <c r="G424">
        <v>-383.90390000000002</v>
      </c>
      <c r="H424" s="1">
        <v>-2.9887400000000001E-6</v>
      </c>
      <c r="I424">
        <v>367.41090000000003</v>
      </c>
      <c r="J424">
        <v>-404.02269999999999</v>
      </c>
      <c r="K424">
        <v>1.060297</v>
      </c>
      <c r="L424">
        <v>367.05450000000002</v>
      </c>
      <c r="M424">
        <v>0.99992239999999999</v>
      </c>
      <c r="N424">
        <v>-1.153441E-2</v>
      </c>
      <c r="O424">
        <v>4.7302300000000002E-3</v>
      </c>
      <c r="P424">
        <v>0.95324359999999997</v>
      </c>
      <c r="Q424">
        <v>0.28688999999999998</v>
      </c>
      <c r="R424">
        <v>9.4978789999999993E-2</v>
      </c>
      <c r="S424">
        <v>3.191681</v>
      </c>
      <c r="T424">
        <v>-0.1668308</v>
      </c>
      <c r="U424">
        <v>5.621338E-2</v>
      </c>
      <c r="V424">
        <v>-9.0501780000000004E-2</v>
      </c>
      <c r="W424">
        <v>0.29786089999999998</v>
      </c>
      <c r="X424">
        <v>0.95030959999999998</v>
      </c>
      <c r="Y424">
        <v>-1.2862220000000001E-2</v>
      </c>
      <c r="Z424">
        <v>2.1762020000000001E-4</v>
      </c>
      <c r="AA424">
        <v>0.99991730000000001</v>
      </c>
      <c r="AB424">
        <v>31</v>
      </c>
      <c r="AC424">
        <v>20.118799999999901</v>
      </c>
      <c r="AD424">
        <v>-1.06029998874</v>
      </c>
      <c r="AE424">
        <v>0.35640000000000699</v>
      </c>
      <c r="AF424">
        <v>-0.26049983017087103</v>
      </c>
      <c r="AG424">
        <v>-1.06029998874</v>
      </c>
      <c r="AH424">
        <v>20.064549142691</v>
      </c>
      <c r="AI424">
        <v>93.024695636433904</v>
      </c>
      <c r="AJ424">
        <v>90.743834421194293</v>
      </c>
      <c r="AK424">
        <v>20.094233713359198</v>
      </c>
      <c r="AL424">
        <v>72.670831185892894</v>
      </c>
      <c r="AM424">
        <v>95.4400992345075</v>
      </c>
      <c r="AN424">
        <v>1.00000001189206</v>
      </c>
    </row>
    <row r="425" spans="1:40" x14ac:dyDescent="0.25">
      <c r="A425" t="str">
        <f>"20190304164343938"</f>
        <v>20190304164343938</v>
      </c>
      <c r="B425" t="str">
        <f>"1551689023930250"</f>
        <v>1551689023930250</v>
      </c>
      <c r="C425" t="s">
        <v>40</v>
      </c>
      <c r="D425">
        <v>4.9514719999999999</v>
      </c>
      <c r="E425">
        <v>0.54148609999999997</v>
      </c>
      <c r="F425" t="s">
        <v>42</v>
      </c>
      <c r="G425">
        <v>-383.70030000000003</v>
      </c>
      <c r="H425" s="1">
        <v>-3.0755430000000002E-6</v>
      </c>
      <c r="I425">
        <v>367.41370000000001</v>
      </c>
      <c r="J425">
        <v>-403.86130000000003</v>
      </c>
      <c r="K425">
        <v>1.0602959999999999</v>
      </c>
      <c r="L425">
        <v>367.05529999999999</v>
      </c>
      <c r="M425">
        <v>0.99992309999999995</v>
      </c>
      <c r="N425">
        <v>-1.1445729999999999E-2</v>
      </c>
      <c r="O425">
        <v>4.7675740000000001E-3</v>
      </c>
      <c r="P425">
        <v>0.95319050000000005</v>
      </c>
      <c r="Q425">
        <v>0.28709380000000001</v>
      </c>
      <c r="R425">
        <v>9.4895309999999997E-2</v>
      </c>
      <c r="S425">
        <v>3.1916199999999999</v>
      </c>
      <c r="T425">
        <v>-0.16651930000000001</v>
      </c>
      <c r="U425">
        <v>5.6426999999999998E-2</v>
      </c>
      <c r="V425">
        <v>-9.0383169999999999E-2</v>
      </c>
      <c r="W425">
        <v>0.29797960000000001</v>
      </c>
      <c r="X425">
        <v>0.95028360000000001</v>
      </c>
      <c r="Y425">
        <v>-1.2892199999999999E-2</v>
      </c>
      <c r="Z425">
        <v>2.1589950000000001E-4</v>
      </c>
      <c r="AA425">
        <v>0.9999169</v>
      </c>
      <c r="AB425">
        <v>31</v>
      </c>
      <c r="AC425">
        <v>20.160999999999898</v>
      </c>
      <c r="AD425">
        <v>-1.060299075543</v>
      </c>
      <c r="AE425">
        <v>0.35840000000001698</v>
      </c>
      <c r="AF425">
        <v>-0.26154738837244901</v>
      </c>
      <c r="AG425">
        <v>-1.060299075543</v>
      </c>
      <c r="AH425">
        <v>20.1068840830842</v>
      </c>
      <c r="AI425">
        <v>93.018335379551004</v>
      </c>
      <c r="AJ425">
        <v>90.7452530344069</v>
      </c>
      <c r="AK425">
        <v>20.136519776181501</v>
      </c>
      <c r="AL425">
        <v>72.663705370514705</v>
      </c>
      <c r="AM425">
        <v>95.433159986797406</v>
      </c>
      <c r="AN425">
        <v>0.99999993993218195</v>
      </c>
    </row>
    <row r="426" spans="1:40" x14ac:dyDescent="0.25">
      <c r="A426" t="str">
        <f>"20190304164343949"</f>
        <v>20190304164343949</v>
      </c>
      <c r="B426" t="str">
        <f>"1551689023940987"</f>
        <v>1551689023940987</v>
      </c>
      <c r="C426" t="s">
        <v>40</v>
      </c>
      <c r="D426">
        <v>4.9695229999999997</v>
      </c>
      <c r="E426">
        <v>0.5414717</v>
      </c>
      <c r="F426" t="s">
        <v>42</v>
      </c>
      <c r="G426">
        <v>-382.91489999999999</v>
      </c>
      <c r="H426" s="1">
        <v>-3.409356E-6</v>
      </c>
      <c r="I426">
        <v>367.43150000000003</v>
      </c>
      <c r="J426">
        <v>-403.68920000000003</v>
      </c>
      <c r="K426">
        <v>1.060287</v>
      </c>
      <c r="L426">
        <v>367.05610000000001</v>
      </c>
      <c r="M426">
        <v>0.99992400000000004</v>
      </c>
      <c r="N426">
        <v>-1.135677E-2</v>
      </c>
      <c r="O426">
        <v>4.8071219999999996E-3</v>
      </c>
      <c r="P426">
        <v>0.95310899999999998</v>
      </c>
      <c r="Q426">
        <v>0.28736129999999999</v>
      </c>
      <c r="R426">
        <v>9.4905379999999998E-2</v>
      </c>
      <c r="S426">
        <v>3.1902159999999999</v>
      </c>
      <c r="T426">
        <v>-0.16148689999999999</v>
      </c>
      <c r="U426">
        <v>5.7312009999999997E-2</v>
      </c>
      <c r="V426">
        <v>-9.0356039999999999E-2</v>
      </c>
      <c r="W426">
        <v>0.29816169999999997</v>
      </c>
      <c r="X426">
        <v>0.95022910000000005</v>
      </c>
      <c r="Y426">
        <v>-1.313828E-2</v>
      </c>
      <c r="Z426">
        <v>2.183667E-4</v>
      </c>
      <c r="AA426">
        <v>0.99991370000000002</v>
      </c>
      <c r="AB426">
        <v>31</v>
      </c>
      <c r="AC426">
        <v>20.7743</v>
      </c>
      <c r="AD426">
        <v>-1.0602904093559999</v>
      </c>
      <c r="AE426">
        <v>0.375400000000013</v>
      </c>
      <c r="AF426">
        <v>-0.27480900533526498</v>
      </c>
      <c r="AG426">
        <v>-1.0602904093559999</v>
      </c>
      <c r="AH426">
        <v>20.721903059790399</v>
      </c>
      <c r="AI426">
        <v>92.928876934791006</v>
      </c>
      <c r="AJ426">
        <v>90.759798613048602</v>
      </c>
      <c r="AK426">
        <v>20.750831360717498</v>
      </c>
      <c r="AL426">
        <v>72.652775632758207</v>
      </c>
      <c r="AM426">
        <v>95.431848549228803</v>
      </c>
      <c r="AN426">
        <v>0.99999997789909001</v>
      </c>
    </row>
    <row r="427" spans="1:40" x14ac:dyDescent="0.25">
      <c r="A427" t="str">
        <f>"20190304164343961"</f>
        <v>20190304164343961</v>
      </c>
      <c r="B427" t="str">
        <f>"1551689023950747"</f>
        <v>1551689023950747</v>
      </c>
      <c r="C427" t="s">
        <v>40</v>
      </c>
      <c r="D427">
        <v>4.9624379999999997</v>
      </c>
      <c r="E427">
        <v>0.54146240000000001</v>
      </c>
      <c r="F427" t="s">
        <v>42</v>
      </c>
      <c r="G427">
        <v>-382.41410000000002</v>
      </c>
      <c r="H427" s="1">
        <v>-3.6230549999999999E-6</v>
      </c>
      <c r="I427">
        <v>367.43790000000001</v>
      </c>
      <c r="J427">
        <v>-403.53809999999999</v>
      </c>
      <c r="K427">
        <v>1.060281</v>
      </c>
      <c r="L427">
        <v>367.05689999999998</v>
      </c>
      <c r="M427">
        <v>0.9999247</v>
      </c>
      <c r="N427">
        <v>-1.1283670000000001E-2</v>
      </c>
      <c r="O427">
        <v>4.8418070000000001E-3</v>
      </c>
      <c r="P427">
        <v>0.95331379999999999</v>
      </c>
      <c r="Q427">
        <v>0.2867265</v>
      </c>
      <c r="R427">
        <v>9.4766589999999998E-2</v>
      </c>
      <c r="S427">
        <v>3.189819</v>
      </c>
      <c r="T427">
        <v>-0.1589708</v>
      </c>
      <c r="U427">
        <v>5.725098E-2</v>
      </c>
      <c r="V427">
        <v>-9.0183239999999998E-2</v>
      </c>
      <c r="W427">
        <v>0.29746020000000001</v>
      </c>
      <c r="X427">
        <v>0.95046540000000002</v>
      </c>
      <c r="Y427">
        <v>-1.308727E-2</v>
      </c>
      <c r="Z427">
        <v>2.132638E-4</v>
      </c>
      <c r="AA427">
        <v>0.99991430000000003</v>
      </c>
      <c r="AB427">
        <v>31</v>
      </c>
      <c r="AC427">
        <v>21.123999999999899</v>
      </c>
      <c r="AD427">
        <v>-1.060284623055</v>
      </c>
      <c r="AE427">
        <v>0.38100000000002798</v>
      </c>
      <c r="AF427">
        <v>-0.27801051477060701</v>
      </c>
      <c r="AG427">
        <v>-1.060284623055</v>
      </c>
      <c r="AH427">
        <v>21.072524904690098</v>
      </c>
      <c r="AI427">
        <v>92.880213565348896</v>
      </c>
      <c r="AJ427">
        <v>90.755861253224495</v>
      </c>
      <c r="AK427">
        <v>21.1010141743707</v>
      </c>
      <c r="AL427">
        <v>72.6948800388151</v>
      </c>
      <c r="AM427">
        <v>95.420182605977004</v>
      </c>
      <c r="AN427">
        <v>1.0000000319790401</v>
      </c>
    </row>
    <row r="428" spans="1:40" x14ac:dyDescent="0.25">
      <c r="A428" t="str">
        <f>"20190304164343980"</f>
        <v>20190304164343980</v>
      </c>
      <c r="B428" t="str">
        <f>"1551689023970270"</f>
        <v>1551689023970270</v>
      </c>
      <c r="C428" t="s">
        <v>40</v>
      </c>
      <c r="D428">
        <v>4.9353870000000004</v>
      </c>
      <c r="E428">
        <v>0.54147290000000003</v>
      </c>
      <c r="F428" t="s">
        <v>42</v>
      </c>
      <c r="G428">
        <v>-382.33870000000002</v>
      </c>
      <c r="H428" s="1">
        <v>-3.6562970000000002E-6</v>
      </c>
      <c r="I428">
        <v>367.43290000000002</v>
      </c>
      <c r="J428">
        <v>-403.26209999999998</v>
      </c>
      <c r="K428">
        <v>1.060265</v>
      </c>
      <c r="L428">
        <v>367.05829999999997</v>
      </c>
      <c r="M428">
        <v>0.99992590000000003</v>
      </c>
      <c r="N428">
        <v>-1.115945E-2</v>
      </c>
      <c r="O428">
        <v>4.9050869999999998E-3</v>
      </c>
      <c r="P428">
        <v>0.95344629999999997</v>
      </c>
      <c r="Q428">
        <v>0.28648099999999999</v>
      </c>
      <c r="R428">
        <v>9.4175490000000001E-2</v>
      </c>
      <c r="S428">
        <v>3.18927</v>
      </c>
      <c r="T428">
        <v>-0.15951029999999999</v>
      </c>
      <c r="U428">
        <v>5.6579589999999999E-2</v>
      </c>
      <c r="V428">
        <v>-8.9531169999999993E-2</v>
      </c>
      <c r="W428">
        <v>0.29709819999999998</v>
      </c>
      <c r="X428">
        <v>0.95064020000000005</v>
      </c>
      <c r="Y428">
        <v>-1.281709E-2</v>
      </c>
      <c r="Z428">
        <v>2.0143339999999999E-4</v>
      </c>
      <c r="AA428">
        <v>0.99991790000000003</v>
      </c>
      <c r="AB428">
        <v>31</v>
      </c>
      <c r="AC428">
        <v>20.923399999999901</v>
      </c>
      <c r="AD428">
        <v>-1.0602686562970001</v>
      </c>
      <c r="AE428">
        <v>0.37460000000004301</v>
      </c>
      <c r="AF428">
        <v>-0.27126169261359201</v>
      </c>
      <c r="AG428">
        <v>-1.0602686562970001</v>
      </c>
      <c r="AH428">
        <v>20.871408632539101</v>
      </c>
      <c r="AI428">
        <v>92.9078835521765</v>
      </c>
      <c r="AJ428">
        <v>90.744620326371006</v>
      </c>
      <c r="AK428">
        <v>20.9000825557182</v>
      </c>
      <c r="AL428">
        <v>72.716602281330793</v>
      </c>
      <c r="AM428">
        <v>95.380239189457797</v>
      </c>
      <c r="AN428">
        <v>0.99999998035042403</v>
      </c>
    </row>
    <row r="429" spans="1:40" x14ac:dyDescent="0.25">
      <c r="A429" t="str">
        <f>"20190304164343993"</f>
        <v>20190304164343993</v>
      </c>
      <c r="B429" t="str">
        <f>"1551689023980533"</f>
        <v>1551689023980533</v>
      </c>
      <c r="C429" t="s">
        <v>40</v>
      </c>
      <c r="D429">
        <v>5.3673919999999997</v>
      </c>
      <c r="E429">
        <v>0.54146090000000002</v>
      </c>
      <c r="F429" t="s">
        <v>42</v>
      </c>
      <c r="G429">
        <v>-381.74779999999998</v>
      </c>
      <c r="H429" s="1">
        <v>-3.9109720000000004E-6</v>
      </c>
      <c r="I429">
        <v>367.42610000000002</v>
      </c>
      <c r="J429">
        <v>-403.07920000000001</v>
      </c>
      <c r="K429">
        <v>1.060257</v>
      </c>
      <c r="L429">
        <v>367.05919999999998</v>
      </c>
      <c r="M429">
        <v>0.99992650000000005</v>
      </c>
      <c r="N429">
        <v>-1.108285E-2</v>
      </c>
      <c r="O429">
        <v>4.947056E-3</v>
      </c>
      <c r="P429">
        <v>0.95352150000000002</v>
      </c>
      <c r="Q429">
        <v>0.2863966</v>
      </c>
      <c r="R429">
        <v>9.3669870000000002E-2</v>
      </c>
      <c r="S429">
        <v>3.1882929999999998</v>
      </c>
      <c r="T429">
        <v>-0.1571256</v>
      </c>
      <c r="U429">
        <v>5.450439E-2</v>
      </c>
      <c r="V429">
        <v>-8.8985399999999895E-2</v>
      </c>
      <c r="W429">
        <v>0.29694160000000003</v>
      </c>
      <c r="X429">
        <v>0.95074040000000004</v>
      </c>
      <c r="Y429">
        <v>-1.2131390000000001E-2</v>
      </c>
      <c r="Z429">
        <v>1.77176899999999E-4</v>
      </c>
      <c r="AA429">
        <v>0.99992639999999999</v>
      </c>
      <c r="AB429">
        <v>31</v>
      </c>
      <c r="AC429">
        <v>21.331399999999999</v>
      </c>
      <c r="AD429">
        <v>-1.060260910972</v>
      </c>
      <c r="AE429">
        <v>0.36690000000004303</v>
      </c>
      <c r="AF429">
        <v>-0.26071749920484799</v>
      </c>
      <c r="AG429">
        <v>-1.060260910972</v>
      </c>
      <c r="AH429">
        <v>21.280396223921201</v>
      </c>
      <c r="AI429">
        <v>92.852096146262298</v>
      </c>
      <c r="AJ429">
        <v>90.701926076036699</v>
      </c>
      <c r="AK429">
        <v>21.3083877912151</v>
      </c>
      <c r="AL429">
        <v>72.725999414605994</v>
      </c>
      <c r="AM429">
        <v>95.347072359567804</v>
      </c>
      <c r="AN429">
        <v>1.00000001170794</v>
      </c>
    </row>
    <row r="430" spans="1:40" x14ac:dyDescent="0.25">
      <c r="A430" t="str">
        <f>"20190304164344005"</f>
        <v>20190304164344005</v>
      </c>
      <c r="B430" t="str">
        <f>"1551689024001028"</f>
        <v>1551689024001028</v>
      </c>
      <c r="C430" t="s">
        <v>40</v>
      </c>
      <c r="D430">
        <v>4.9224059999999996</v>
      </c>
      <c r="E430">
        <v>0.54138640000000005</v>
      </c>
      <c r="F430" t="s">
        <v>42</v>
      </c>
      <c r="G430">
        <v>-381.42790000000002</v>
      </c>
      <c r="H430" s="1">
        <v>-4.0493840000000001E-6</v>
      </c>
      <c r="I430">
        <v>367.4194</v>
      </c>
      <c r="J430">
        <v>-402.91609999999997</v>
      </c>
      <c r="K430">
        <v>1.0602529999999999</v>
      </c>
      <c r="L430">
        <v>367.06009999999998</v>
      </c>
      <c r="M430">
        <v>0.99992669999999995</v>
      </c>
      <c r="N430">
        <v>-1.102201E-2</v>
      </c>
      <c r="O430">
        <v>4.9847030000000001E-3</v>
      </c>
      <c r="P430">
        <v>0.95363489999999995</v>
      </c>
      <c r="Q430">
        <v>0.28617819999999999</v>
      </c>
      <c r="R430">
        <v>9.3179940000000003E-2</v>
      </c>
      <c r="S430">
        <v>3.1879580000000001</v>
      </c>
      <c r="T430">
        <v>-0.15611369999999999</v>
      </c>
      <c r="U430">
        <v>5.3039549999999998E-2</v>
      </c>
      <c r="V430">
        <v>-8.8458809999999999E-2</v>
      </c>
      <c r="W430">
        <v>0.29666670000000001</v>
      </c>
      <c r="X430">
        <v>0.95087529999999998</v>
      </c>
      <c r="Y430">
        <v>-1.1637150000000001E-2</v>
      </c>
      <c r="Z430">
        <v>1.5991089999999999E-4</v>
      </c>
      <c r="AA430">
        <v>0.9999323</v>
      </c>
      <c r="AB430">
        <v>31</v>
      </c>
      <c r="AC430">
        <v>21.4881999999999</v>
      </c>
      <c r="AD430">
        <v>-1.060257049384</v>
      </c>
      <c r="AE430">
        <v>0.35930000000001799</v>
      </c>
      <c r="AF430">
        <v>-0.25156443965007902</v>
      </c>
      <c r="AG430">
        <v>-1.060257049384</v>
      </c>
      <c r="AH430">
        <v>21.437547495440199</v>
      </c>
      <c r="AI430">
        <v>92.8312297769004</v>
      </c>
      <c r="AJ430">
        <v>90.672321268093498</v>
      </c>
      <c r="AK430">
        <v>21.4652247204011</v>
      </c>
      <c r="AL430">
        <v>72.742492415730098</v>
      </c>
      <c r="AM430">
        <v>95.314861910789105</v>
      </c>
      <c r="AN430">
        <v>0.99999996405279701</v>
      </c>
    </row>
    <row r="431" spans="1:40" x14ac:dyDescent="0.25">
      <c r="A431" t="str">
        <f>"20190304164344018"</f>
        <v>20190304164344018</v>
      </c>
      <c r="B431" t="str">
        <f>"1551689024010789"</f>
        <v>1551689024010789</v>
      </c>
      <c r="C431" t="s">
        <v>40</v>
      </c>
      <c r="D431">
        <v>4.9177679999999997</v>
      </c>
      <c r="E431">
        <v>0.54132599999999997</v>
      </c>
      <c r="F431" t="s">
        <v>42</v>
      </c>
      <c r="G431">
        <v>-380.96409999999997</v>
      </c>
      <c r="H431" s="1">
        <v>-4.2487779999999997E-6</v>
      </c>
      <c r="I431">
        <v>367.41719999999998</v>
      </c>
      <c r="J431">
        <v>-402.73739999999998</v>
      </c>
      <c r="K431">
        <v>1.0602499999999999</v>
      </c>
      <c r="L431">
        <v>367.06099999999998</v>
      </c>
      <c r="M431">
        <v>0.99992729999999996</v>
      </c>
      <c r="N431">
        <v>-1.095783E-2</v>
      </c>
      <c r="O431">
        <v>5.0257640000000003E-3</v>
      </c>
      <c r="P431">
        <v>0.95360370000000005</v>
      </c>
      <c r="Q431">
        <v>0.28635759999999899</v>
      </c>
      <c r="R431">
        <v>9.2948500000000003E-2</v>
      </c>
      <c r="S431">
        <v>3.1870120000000002</v>
      </c>
      <c r="T431">
        <v>-0.1539285</v>
      </c>
      <c r="U431">
        <v>5.1849369999999999E-2</v>
      </c>
      <c r="V431">
        <v>-8.8188799999999998E-2</v>
      </c>
      <c r="W431">
        <v>0.29678459999999901</v>
      </c>
      <c r="X431">
        <v>0.95086369999999998</v>
      </c>
      <c r="Y431">
        <v>-1.122864E-2</v>
      </c>
      <c r="Z431">
        <v>1.4502739999999999E-4</v>
      </c>
      <c r="AA431">
        <v>0.99993690000000002</v>
      </c>
      <c r="AB431">
        <v>31</v>
      </c>
      <c r="AC431">
        <v>21.773299999999999</v>
      </c>
      <c r="AD431">
        <v>-1.060254248778</v>
      </c>
      <c r="AE431">
        <v>0.35620000000000102</v>
      </c>
      <c r="AF431">
        <v>-0.24617787463794599</v>
      </c>
      <c r="AG431">
        <v>-1.060254248778</v>
      </c>
      <c r="AH431">
        <v>21.7233183248578</v>
      </c>
      <c r="AI431">
        <v>92.794049859621893</v>
      </c>
      <c r="AJ431">
        <v>90.649272328366095</v>
      </c>
      <c r="AK431">
        <v>21.750570145656301</v>
      </c>
      <c r="AL431">
        <v>72.735420540347604</v>
      </c>
      <c r="AM431">
        <v>95.298795681504203</v>
      </c>
      <c r="AN431">
        <v>1.0000000696101401</v>
      </c>
    </row>
    <row r="432" spans="1:40" x14ac:dyDescent="0.25">
      <c r="A432" t="str">
        <f>"20190304164344030"</f>
        <v>20190304164344030</v>
      </c>
      <c r="B432" t="str">
        <f>"1551689024020549"</f>
        <v>1551689024020549</v>
      </c>
      <c r="C432" t="s">
        <v>40</v>
      </c>
      <c r="D432">
        <v>5.2508850000000002</v>
      </c>
      <c r="E432">
        <v>0.54132440000000004</v>
      </c>
      <c r="F432" t="s">
        <v>42</v>
      </c>
      <c r="G432">
        <v>-380.51299999999998</v>
      </c>
      <c r="H432" s="1">
        <v>-4.4417820000000003E-6</v>
      </c>
      <c r="I432">
        <v>367.42</v>
      </c>
      <c r="J432">
        <v>-402.5607</v>
      </c>
      <c r="K432">
        <v>1.060243</v>
      </c>
      <c r="L432">
        <v>367.06189999999998</v>
      </c>
      <c r="M432">
        <v>0.99992789999999998</v>
      </c>
      <c r="N432">
        <v>-1.0899229999999999E-2</v>
      </c>
      <c r="O432">
        <v>5.0662570000000002E-3</v>
      </c>
      <c r="P432">
        <v>0.95374289999999995</v>
      </c>
      <c r="Q432">
        <v>0.2861457</v>
      </c>
      <c r="R432">
        <v>9.2168819999999999E-2</v>
      </c>
      <c r="S432">
        <v>3.1866150000000002</v>
      </c>
      <c r="T432">
        <v>-0.15202309999999999</v>
      </c>
      <c r="U432">
        <v>5.1483149999999998E-2</v>
      </c>
      <c r="V432">
        <v>-8.736932E-2</v>
      </c>
      <c r="W432">
        <v>0.29651860000000002</v>
      </c>
      <c r="X432">
        <v>0.95102229999999999</v>
      </c>
      <c r="Y432">
        <v>-1.10758E-2</v>
      </c>
      <c r="Z432">
        <v>1.380892E-4</v>
      </c>
      <c r="AA432">
        <v>0.99993869999999896</v>
      </c>
      <c r="AB432">
        <v>31</v>
      </c>
      <c r="AC432">
        <v>22.047699999999899</v>
      </c>
      <c r="AD432">
        <v>-1.060247441782</v>
      </c>
      <c r="AE432">
        <v>0.358100000000035</v>
      </c>
      <c r="AF432">
        <v>-0.24582114944569899</v>
      </c>
      <c r="AG432">
        <v>-1.060247441782</v>
      </c>
      <c r="AH432">
        <v>21.9983728100649</v>
      </c>
      <c r="AI432">
        <v>92.759156267616206</v>
      </c>
      <c r="AJ432">
        <v>90.6402259067237</v>
      </c>
      <c r="AK432">
        <v>22.025279997446599</v>
      </c>
      <c r="AL432">
        <v>72.751379193118694</v>
      </c>
      <c r="AM432">
        <v>95.248963278207995</v>
      </c>
      <c r="AN432">
        <v>1.0000000466602501</v>
      </c>
    </row>
    <row r="433" spans="1:40" x14ac:dyDescent="0.25">
      <c r="A433" t="str">
        <f>"20190304164344042"</f>
        <v>20190304164344042</v>
      </c>
      <c r="B433" t="str">
        <f>"1551689024030310"</f>
        <v>1551689024030310</v>
      </c>
      <c r="C433" t="s">
        <v>40</v>
      </c>
      <c r="D433">
        <v>4.9013159999999996</v>
      </c>
      <c r="E433">
        <v>0.54133959999999903</v>
      </c>
      <c r="F433" t="s">
        <v>42</v>
      </c>
      <c r="G433">
        <v>-380.29590000000002</v>
      </c>
      <c r="H433" s="1">
        <v>-4.5378930000000002E-6</v>
      </c>
      <c r="I433">
        <v>367.4033</v>
      </c>
      <c r="J433">
        <v>-402.404</v>
      </c>
      <c r="K433">
        <v>1.060235</v>
      </c>
      <c r="L433">
        <v>367.06270000000001</v>
      </c>
      <c r="M433">
        <v>0.99992809999999999</v>
      </c>
      <c r="N433">
        <v>-1.085153E-2</v>
      </c>
      <c r="O433">
        <v>5.1023379999999997E-3</v>
      </c>
      <c r="P433">
        <v>0.95379100000000006</v>
      </c>
      <c r="Q433">
        <v>0.28615239999999997</v>
      </c>
      <c r="R433">
        <v>9.1650380000000004E-2</v>
      </c>
      <c r="S433">
        <v>3.1863100000000002</v>
      </c>
      <c r="T433">
        <v>-0.15173110000000001</v>
      </c>
      <c r="U433">
        <v>4.8858640000000002E-2</v>
      </c>
      <c r="V433">
        <v>-8.6816679999999993E-2</v>
      </c>
      <c r="W433">
        <v>0.29648039999999998</v>
      </c>
      <c r="X433">
        <v>0.95108479999999995</v>
      </c>
      <c r="Y433">
        <v>-1.021911E-2</v>
      </c>
      <c r="Z433">
        <v>1.111797E-4</v>
      </c>
      <c r="AA433">
        <v>0.99994780000000005</v>
      </c>
      <c r="AB433">
        <v>31</v>
      </c>
      <c r="AC433">
        <v>22.108099999999901</v>
      </c>
      <c r="AD433">
        <v>-1.0602395378929901</v>
      </c>
      <c r="AE433">
        <v>0.34059999999999402</v>
      </c>
      <c r="AF433">
        <v>-0.22726337024233401</v>
      </c>
      <c r="AG433">
        <v>-1.0602395378929901</v>
      </c>
      <c r="AH433">
        <v>22.058829524018201</v>
      </c>
      <c r="AI433">
        <v>92.751611115613898</v>
      </c>
      <c r="AJ433">
        <v>90.590274804064293</v>
      </c>
      <c r="AK433">
        <v>22.0854639183075</v>
      </c>
      <c r="AL433">
        <v>72.753670651319695</v>
      </c>
      <c r="AM433">
        <v>95.215604678372301</v>
      </c>
      <c r="AN433">
        <v>1.0000000301507099</v>
      </c>
    </row>
    <row r="434" spans="1:40" x14ac:dyDescent="0.25">
      <c r="A434" t="str">
        <f>"20190304164344061"</f>
        <v>20190304164344061</v>
      </c>
      <c r="B434" t="str">
        <f>"1551689024050804"</f>
        <v>1551689024050804</v>
      </c>
      <c r="C434" t="s">
        <v>40</v>
      </c>
      <c r="D434">
        <v>4.8530449999999998</v>
      </c>
      <c r="E434">
        <v>0.54137109999999899</v>
      </c>
      <c r="F434" t="s">
        <v>42</v>
      </c>
      <c r="G434">
        <v>-379.9828</v>
      </c>
      <c r="H434" s="1">
        <v>-4.6743679999999996E-6</v>
      </c>
      <c r="I434">
        <v>367.39109999999999</v>
      </c>
      <c r="J434">
        <v>-402.13310000000001</v>
      </c>
      <c r="K434">
        <v>1.0602279999999999</v>
      </c>
      <c r="L434">
        <v>367.06420000000003</v>
      </c>
      <c r="M434">
        <v>0.99992859999999995</v>
      </c>
      <c r="N434">
        <v>-1.0775730000000001E-2</v>
      </c>
      <c r="O434">
        <v>5.1643180000000002E-3</v>
      </c>
      <c r="P434">
        <v>0.95407489999999995</v>
      </c>
      <c r="Q434">
        <v>0.28551749999999998</v>
      </c>
      <c r="R434">
        <v>9.0669520000000003E-2</v>
      </c>
      <c r="S434">
        <v>3.186035</v>
      </c>
      <c r="T434">
        <v>-0.15065919999999999</v>
      </c>
      <c r="U434">
        <v>4.6661380000000002E-2</v>
      </c>
      <c r="V434">
        <v>-8.577543E-2</v>
      </c>
      <c r="W434">
        <v>0.29577710000000002</v>
      </c>
      <c r="X434">
        <v>0.95139810000000002</v>
      </c>
      <c r="Y434">
        <v>-9.4702090000000003E-3</v>
      </c>
      <c r="Z434" s="1">
        <v>8.6407209999999894E-5</v>
      </c>
      <c r="AA434">
        <v>0.99995520000000004</v>
      </c>
      <c r="AB434">
        <v>31</v>
      </c>
      <c r="AC434">
        <v>22.150300000000001</v>
      </c>
      <c r="AD434">
        <v>-1.0602326743679999</v>
      </c>
      <c r="AE434">
        <v>0.326899999999966</v>
      </c>
      <c r="AF434">
        <v>-0.21201217052629501</v>
      </c>
      <c r="AG434">
        <v>-1.0602326743679999</v>
      </c>
      <c r="AH434">
        <v>22.1010682750799</v>
      </c>
      <c r="AI434">
        <v>92.746362003713998</v>
      </c>
      <c r="AJ434">
        <v>90.549612798513607</v>
      </c>
      <c r="AK434">
        <v>22.127500116009301</v>
      </c>
      <c r="AL434">
        <v>72.7958572441607</v>
      </c>
      <c r="AM434">
        <v>95.151701421582004</v>
      </c>
      <c r="AN434">
        <v>0.99999993097984996</v>
      </c>
    </row>
    <row r="435" spans="1:40" x14ac:dyDescent="0.25">
      <c r="A435" t="str">
        <f>"20190304164344083"</f>
        <v>20190304164344083</v>
      </c>
      <c r="B435" t="str">
        <f>"1551689024070324"</f>
        <v>1551689024070324</v>
      </c>
      <c r="C435" t="s">
        <v>40</v>
      </c>
      <c r="D435">
        <v>5.0354460000000003</v>
      </c>
      <c r="E435">
        <v>0.54133089999999995</v>
      </c>
      <c r="F435" t="s">
        <v>42</v>
      </c>
      <c r="G435">
        <v>-379.70299999999997</v>
      </c>
      <c r="H435" s="1">
        <v>-6.8508359999999897E-7</v>
      </c>
      <c r="I435">
        <v>367.36900000000003</v>
      </c>
      <c r="J435">
        <v>-401.8279</v>
      </c>
      <c r="K435">
        <v>1.060225</v>
      </c>
      <c r="L435">
        <v>367.06580000000002</v>
      </c>
      <c r="M435">
        <v>0.99992919999999996</v>
      </c>
      <c r="N435">
        <v>-1.0700970000000001E-2</v>
      </c>
      <c r="O435">
        <v>5.2341569999999997E-3</v>
      </c>
      <c r="P435">
        <v>0.95432189999999995</v>
      </c>
      <c r="Q435">
        <v>0.28515679999999999</v>
      </c>
      <c r="R435">
        <v>8.9194889999999999E-2</v>
      </c>
      <c r="S435">
        <v>3.185333</v>
      </c>
      <c r="T435">
        <v>-0.15056459999999999</v>
      </c>
      <c r="U435">
        <v>4.330444E-2</v>
      </c>
      <c r="V435">
        <v>-8.4232790000000002E-2</v>
      </c>
      <c r="W435">
        <v>0.29534759999999999</v>
      </c>
      <c r="X435">
        <v>0.9516694</v>
      </c>
      <c r="Y435">
        <v>-8.3515959999999993E-3</v>
      </c>
      <c r="Z435" s="1">
        <v>5.0711850000000001E-5</v>
      </c>
      <c r="AA435">
        <v>0.99996510000000005</v>
      </c>
      <c r="AB435">
        <v>31</v>
      </c>
      <c r="AC435">
        <v>22.124899999999901</v>
      </c>
      <c r="AD435">
        <v>-1.0602256850836</v>
      </c>
      <c r="AE435">
        <v>0.30320000000000302</v>
      </c>
      <c r="AF435">
        <v>-0.18695480400300801</v>
      </c>
      <c r="AG435">
        <v>-1.0602256850836</v>
      </c>
      <c r="AH435">
        <v>22.0755008962002</v>
      </c>
      <c r="AI435">
        <v>92.749547669880201</v>
      </c>
      <c r="AJ435">
        <v>90.485219574492106</v>
      </c>
      <c r="AK435">
        <v>22.101736819087002</v>
      </c>
      <c r="AL435">
        <v>72.821617975859496</v>
      </c>
      <c r="AM435">
        <v>95.058100333115604</v>
      </c>
      <c r="AN435">
        <v>1.00000000731665</v>
      </c>
    </row>
    <row r="436" spans="1:40" x14ac:dyDescent="0.25">
      <c r="A436" t="str">
        <f>"20190304164344105"</f>
        <v>20190304164344105</v>
      </c>
      <c r="B436" t="str">
        <f>"1551689024100111"</f>
        <v>1551689024100111</v>
      </c>
      <c r="C436" t="s">
        <v>40</v>
      </c>
      <c r="D436">
        <v>4.8502199999999904</v>
      </c>
      <c r="E436">
        <v>0.49608279999999899</v>
      </c>
      <c r="F436" t="s">
        <v>42</v>
      </c>
      <c r="G436">
        <v>-379.74869999999999</v>
      </c>
      <c r="H436" s="1">
        <v>-6.781185E-7</v>
      </c>
      <c r="I436">
        <v>367.33670000000001</v>
      </c>
      <c r="J436">
        <v>-401.51190000000003</v>
      </c>
      <c r="K436">
        <v>1.0602180000000001</v>
      </c>
      <c r="L436">
        <v>367.06760000000003</v>
      </c>
      <c r="M436">
        <v>0.99992950000000003</v>
      </c>
      <c r="N436">
        <v>-1.063133E-2</v>
      </c>
      <c r="O436">
        <v>5.3066479999999997E-3</v>
      </c>
      <c r="P436">
        <v>0.95450539999999995</v>
      </c>
      <c r="Q436">
        <v>0.28479520000000003</v>
      </c>
      <c r="R436">
        <v>8.8382710000000003E-2</v>
      </c>
      <c r="S436">
        <v>3.1856689999999999</v>
      </c>
      <c r="T436">
        <v>-0.15297330000000001</v>
      </c>
      <c r="U436">
        <v>3.9093019999999999E-2</v>
      </c>
      <c r="V436">
        <v>-8.3350709999999995E-2</v>
      </c>
      <c r="W436">
        <v>0.29492210000000002</v>
      </c>
      <c r="X436">
        <v>0.95187900000000003</v>
      </c>
      <c r="Y436">
        <v>-6.9577939999999998E-3</v>
      </c>
      <c r="Z436" s="1">
        <v>5.6949500000000004E-6</v>
      </c>
      <c r="AA436">
        <v>0.99997579999999997</v>
      </c>
      <c r="AB436">
        <v>32</v>
      </c>
      <c r="AC436">
        <v>21.763200000000001</v>
      </c>
      <c r="AD436">
        <v>-1.0602186781184999</v>
      </c>
      <c r="AE436">
        <v>0.26909999999998002</v>
      </c>
      <c r="AF436">
        <v>-0.153236438254783</v>
      </c>
      <c r="AG436">
        <v>-1.0602186781184999</v>
      </c>
      <c r="AH436">
        <v>21.712799381357001</v>
      </c>
      <c r="AI436">
        <v>92.795417375705497</v>
      </c>
      <c r="AJ436">
        <v>90.404353914199902</v>
      </c>
      <c r="AK436">
        <v>21.739208863859201</v>
      </c>
      <c r="AL436">
        <v>72.847133939509405</v>
      </c>
      <c r="AM436">
        <v>95.004306180001095</v>
      </c>
      <c r="AN436">
        <v>1.0000000082834499</v>
      </c>
    </row>
    <row r="437" spans="1:40" x14ac:dyDescent="0.25">
      <c r="A437" t="str">
        <f>"20190304164344118"</f>
        <v>20190304164344118</v>
      </c>
      <c r="B437" t="str">
        <f>"1551689024110847"</f>
        <v>1551689024110847</v>
      </c>
      <c r="C437" t="s">
        <v>40</v>
      </c>
      <c r="D437">
        <v>4.8553610000000003</v>
      </c>
      <c r="E437">
        <v>0.4922745</v>
      </c>
      <c r="F437" t="s">
        <v>42</v>
      </c>
      <c r="G437">
        <v>-378.60680000000002</v>
      </c>
      <c r="H437" s="1">
        <v>-6.6745919999999998E-7</v>
      </c>
      <c r="I437">
        <v>369.94490000000002</v>
      </c>
      <c r="J437">
        <v>-401.32249999999999</v>
      </c>
      <c r="K437">
        <v>1.0602119999999999</v>
      </c>
      <c r="L437">
        <v>367.06869999999998</v>
      </c>
      <c r="M437">
        <v>0.99992979999999998</v>
      </c>
      <c r="N437">
        <v>-1.0590530000000001E-2</v>
      </c>
      <c r="O437">
        <v>5.3500750000000001E-3</v>
      </c>
      <c r="P437">
        <v>0.95458670000000001</v>
      </c>
      <c r="Q437">
        <v>0.28459380000000001</v>
      </c>
      <c r="R437">
        <v>8.815315E-2</v>
      </c>
      <c r="S437">
        <v>3.1498719999999998</v>
      </c>
      <c r="T437">
        <v>-0.14579890000000001</v>
      </c>
      <c r="U437">
        <v>0.39569090000000001</v>
      </c>
      <c r="V437">
        <v>-8.3078899999999997E-2</v>
      </c>
      <c r="W437">
        <v>0.29468240000000001</v>
      </c>
      <c r="X437">
        <v>0.95197699999999996</v>
      </c>
      <c r="Y437">
        <v>-0.1191798</v>
      </c>
      <c r="Z437">
        <v>3.189894E-3</v>
      </c>
      <c r="AA437">
        <v>0.99286750000000001</v>
      </c>
      <c r="AB437">
        <v>32</v>
      </c>
      <c r="AC437">
        <v>22.715699999999899</v>
      </c>
      <c r="AD437">
        <v>-1.0602126674592001</v>
      </c>
      <c r="AE437">
        <v>2.8762000000000398</v>
      </c>
      <c r="AF437">
        <v>-2.7487280463305299</v>
      </c>
      <c r="AG437">
        <v>-1.0602126674592001</v>
      </c>
      <c r="AH437">
        <v>22.682132936871799</v>
      </c>
      <c r="AI437">
        <v>92.6567735141562</v>
      </c>
      <c r="AJ437">
        <v>96.909680165001404</v>
      </c>
      <c r="AK437">
        <v>22.872662969992099</v>
      </c>
      <c r="AL437">
        <v>72.861506588111993</v>
      </c>
      <c r="AM437">
        <v>94.987558503279899</v>
      </c>
      <c r="AN437">
        <v>1.0000000145119801</v>
      </c>
    </row>
    <row r="438" spans="1:40" x14ac:dyDescent="0.25">
      <c r="A438" t="str">
        <f>"20190304164344130"</f>
        <v>20190304164344130</v>
      </c>
      <c r="B438" t="str">
        <f>"1551689024120607"</f>
        <v>1551689024120607</v>
      </c>
      <c r="C438" t="s">
        <v>40</v>
      </c>
      <c r="D438">
        <v>4.9866349999999997</v>
      </c>
      <c r="E438">
        <v>0.49019449999999998</v>
      </c>
      <c r="F438" t="s">
        <v>42</v>
      </c>
      <c r="G438">
        <v>-378.80079999999998</v>
      </c>
      <c r="H438" s="1">
        <v>-6.2874910000000003E-7</v>
      </c>
      <c r="I438">
        <v>370.1123</v>
      </c>
      <c r="J438">
        <v>-401.15230000000003</v>
      </c>
      <c r="K438">
        <v>1.0602039999999999</v>
      </c>
      <c r="L438">
        <v>367.06950000000001</v>
      </c>
      <c r="M438">
        <v>0.99992979999999998</v>
      </c>
      <c r="N438">
        <v>-1.055351E-2</v>
      </c>
      <c r="O438">
        <v>5.3896059999999999E-3</v>
      </c>
      <c r="P438">
        <v>0.95463759999999998</v>
      </c>
      <c r="Q438">
        <v>0.2844487</v>
      </c>
      <c r="R438">
        <v>8.806783E-2</v>
      </c>
      <c r="S438">
        <v>3.147583</v>
      </c>
      <c r="T438">
        <v>-0.14817249999999901</v>
      </c>
      <c r="U438">
        <v>0.4253845</v>
      </c>
      <c r="V438">
        <v>-8.2955249999999994E-2</v>
      </c>
      <c r="W438">
        <v>0.29450290000000001</v>
      </c>
      <c r="X438">
        <v>0.95204330000000004</v>
      </c>
      <c r="Y438">
        <v>-0.1284177</v>
      </c>
      <c r="Z438">
        <v>3.492677E-3</v>
      </c>
      <c r="AA438">
        <v>0.99171399999999998</v>
      </c>
      <c r="AB438">
        <v>32</v>
      </c>
      <c r="AC438">
        <v>22.351500000000001</v>
      </c>
      <c r="AD438">
        <v>-1.0602046287491</v>
      </c>
      <c r="AE438">
        <v>3.0428000000000002</v>
      </c>
      <c r="AF438">
        <v>-2.9158422874321901</v>
      </c>
      <c r="AG438">
        <v>-1.0602046287491</v>
      </c>
      <c r="AH438">
        <v>22.318275183145701</v>
      </c>
      <c r="AI438">
        <v>92.696842689572705</v>
      </c>
      <c r="AJ438">
        <v>97.443430515975905</v>
      </c>
      <c r="AK438">
        <v>22.5328998855144</v>
      </c>
      <c r="AL438">
        <v>72.872268312716301</v>
      </c>
      <c r="AM438">
        <v>94.979827585918699</v>
      </c>
      <c r="AN438">
        <v>0.99999998834293102</v>
      </c>
    </row>
    <row r="439" spans="1:40" x14ac:dyDescent="0.25">
      <c r="A439" t="str">
        <f>"20190304164344143"</f>
        <v>20190304164344143</v>
      </c>
      <c r="B439" t="str">
        <f>"1551689024130367"</f>
        <v>1551689024130367</v>
      </c>
      <c r="C439" t="s">
        <v>40</v>
      </c>
      <c r="D439">
        <v>4.8505449999999897</v>
      </c>
      <c r="E439">
        <v>0.48883100000000002</v>
      </c>
      <c r="F439" t="s">
        <v>42</v>
      </c>
      <c r="G439">
        <v>-378.33069999999998</v>
      </c>
      <c r="H439" s="1">
        <v>-8.7356980000000002E-7</v>
      </c>
      <c r="I439">
        <v>370.27440000000001</v>
      </c>
      <c r="J439">
        <v>-400.98779999999999</v>
      </c>
      <c r="K439">
        <v>1.0603279999999999</v>
      </c>
      <c r="L439">
        <v>367.07049999999998</v>
      </c>
      <c r="M439">
        <v>0.99992510000000001</v>
      </c>
      <c r="N439">
        <v>-1.097534E-2</v>
      </c>
      <c r="O439">
        <v>5.4236279999999998E-3</v>
      </c>
      <c r="P439">
        <v>0.95485580000000003</v>
      </c>
      <c r="Q439">
        <v>0.28373609999999999</v>
      </c>
      <c r="R439">
        <v>8.8001910000000003E-2</v>
      </c>
      <c r="S439">
        <v>3.1453549999999999</v>
      </c>
      <c r="T439">
        <v>-0.146121</v>
      </c>
      <c r="U439">
        <v>0.44171139999999998</v>
      </c>
      <c r="V439">
        <v>-8.2854960000000005E-2</v>
      </c>
      <c r="W439">
        <v>0.29419479999999998</v>
      </c>
      <c r="X439">
        <v>0.95214730000000003</v>
      </c>
      <c r="Y439">
        <v>-0.13352329999999901</v>
      </c>
      <c r="Z439">
        <v>3.630164E-3</v>
      </c>
      <c r="AA439">
        <v>0.991039</v>
      </c>
      <c r="AB439">
        <v>32</v>
      </c>
      <c r="AC439">
        <v>22.6571</v>
      </c>
      <c r="AD439">
        <v>-1.0603288735698</v>
      </c>
      <c r="AE439">
        <v>3.2039000000000302</v>
      </c>
      <c r="AF439">
        <v>-3.07436050368216</v>
      </c>
      <c r="AG439">
        <v>-1.0603288735698</v>
      </c>
      <c r="AH439">
        <v>22.6255627574672</v>
      </c>
      <c r="AI439">
        <v>92.658760632430202</v>
      </c>
      <c r="AJ439">
        <v>97.737957408028095</v>
      </c>
      <c r="AK439">
        <v>22.858085657351399</v>
      </c>
      <c r="AL439">
        <v>72.890739705531601</v>
      </c>
      <c r="AM439">
        <v>94.973296815858703</v>
      </c>
      <c r="AN439">
        <v>1.0000000028204601</v>
      </c>
    </row>
    <row r="440" spans="1:40" x14ac:dyDescent="0.25">
      <c r="A440" t="str">
        <f>"20190304164344160"</f>
        <v>20190304164344160</v>
      </c>
      <c r="B440" t="str">
        <f>"1551689024150862"</f>
        <v>1551689024150862</v>
      </c>
      <c r="C440" t="s">
        <v>40</v>
      </c>
      <c r="D440">
        <v>4.7920249999999998</v>
      </c>
      <c r="E440">
        <v>0.48698330000000001</v>
      </c>
      <c r="F440" t="s">
        <v>42</v>
      </c>
      <c r="G440">
        <v>-378.0052</v>
      </c>
      <c r="H440" s="1">
        <v>-1.0397950000000001E-6</v>
      </c>
      <c r="I440">
        <v>370.37439999999998</v>
      </c>
      <c r="J440">
        <v>-400.73770000000002</v>
      </c>
      <c r="K440">
        <v>1.0606930000000001</v>
      </c>
      <c r="L440">
        <v>367.07190000000003</v>
      </c>
      <c r="M440">
        <v>0.99991359999999996</v>
      </c>
      <c r="N440">
        <v>-1.1963629999999999E-2</v>
      </c>
      <c r="O440">
        <v>5.4728939999999998E-3</v>
      </c>
      <c r="P440">
        <v>0.95510450000000002</v>
      </c>
      <c r="Q440">
        <v>0.2827691</v>
      </c>
      <c r="R440">
        <v>8.8415460000000001E-2</v>
      </c>
      <c r="S440">
        <v>3.1432799999999999</v>
      </c>
      <c r="T440">
        <v>-0.14501849999999999</v>
      </c>
      <c r="U440">
        <v>0.45187379999999999</v>
      </c>
      <c r="V440">
        <v>-8.3217860000000005E-2</v>
      </c>
      <c r="W440">
        <v>0.2941724</v>
      </c>
      <c r="X440">
        <v>0.95212260000000004</v>
      </c>
      <c r="Y440">
        <v>-0.13669919999999999</v>
      </c>
      <c r="Z440">
        <v>3.7721450000000002E-3</v>
      </c>
      <c r="AA440">
        <v>0.99060539999999997</v>
      </c>
      <c r="AB440">
        <v>32</v>
      </c>
      <c r="AC440">
        <v>22.732500000000002</v>
      </c>
      <c r="AD440">
        <v>-1.060694039795</v>
      </c>
      <c r="AE440">
        <v>3.30249999999995</v>
      </c>
      <c r="AF440">
        <v>-3.1712675037334401</v>
      </c>
      <c r="AG440">
        <v>-1.060694039795</v>
      </c>
      <c r="AH440">
        <v>22.701831583582599</v>
      </c>
      <c r="AI440">
        <v>92.649388213434307</v>
      </c>
      <c r="AJ440">
        <v>97.952309832903197</v>
      </c>
      <c r="AK440">
        <v>22.946789899148001</v>
      </c>
      <c r="AL440">
        <v>72.892083020206002</v>
      </c>
      <c r="AM440">
        <v>94.995098534706202</v>
      </c>
      <c r="AN440">
        <v>1.00000002928774</v>
      </c>
    </row>
    <row r="441" spans="1:40" x14ac:dyDescent="0.25">
      <c r="A441" t="str">
        <f>"20190304164344172"</f>
        <v>20190304164344172</v>
      </c>
      <c r="B441" t="str">
        <f>"1551689024160623"</f>
        <v>1551689024160623</v>
      </c>
      <c r="C441" t="s">
        <v>40</v>
      </c>
      <c r="D441">
        <v>4.7777599999999998</v>
      </c>
      <c r="E441">
        <v>0.48638619999999999</v>
      </c>
      <c r="F441" t="s">
        <v>42</v>
      </c>
      <c r="G441">
        <v>-377.91640000000001</v>
      </c>
      <c r="H441" s="1">
        <v>-1.103904E-6</v>
      </c>
      <c r="I441">
        <v>370.47210000000001</v>
      </c>
      <c r="J441">
        <v>-400.56709999999998</v>
      </c>
      <c r="K441">
        <v>1.06108</v>
      </c>
      <c r="L441">
        <v>367.07279999999997</v>
      </c>
      <c r="M441">
        <v>0.99990400000000002</v>
      </c>
      <c r="N441">
        <v>-1.2727169999999999E-2</v>
      </c>
      <c r="O441">
        <v>5.5063660000000004E-3</v>
      </c>
      <c r="P441">
        <v>0.95533380000000001</v>
      </c>
      <c r="Q441">
        <v>0.28184629999999999</v>
      </c>
      <c r="R441">
        <v>8.8884119999999997E-2</v>
      </c>
      <c r="S441">
        <v>3.1408999999999998</v>
      </c>
      <c r="T441">
        <v>-0.14598349999999999</v>
      </c>
      <c r="U441">
        <v>0.46798709999999999</v>
      </c>
      <c r="V441">
        <v>-8.3651619999999996E-2</v>
      </c>
      <c r="W441">
        <v>0.29398010000000002</v>
      </c>
      <c r="X441">
        <v>0.95214399999999999</v>
      </c>
      <c r="Y441">
        <v>-0.14173359999999999</v>
      </c>
      <c r="Z441">
        <v>3.9967969999999998E-3</v>
      </c>
      <c r="AA441">
        <v>0.98989680000000002</v>
      </c>
      <c r="AB441">
        <v>31</v>
      </c>
      <c r="AC441">
        <v>22.650699999999901</v>
      </c>
      <c r="AD441">
        <v>-1.061081103904</v>
      </c>
      <c r="AE441">
        <v>3.39930000000003</v>
      </c>
      <c r="AF441">
        <v>-3.2675027633146798</v>
      </c>
      <c r="AG441">
        <v>-1.061081103904</v>
      </c>
      <c r="AH441">
        <v>22.620528702675301</v>
      </c>
      <c r="AI441">
        <v>92.658107192454693</v>
      </c>
      <c r="AJ441">
        <v>98.219440148500695</v>
      </c>
      <c r="AK441">
        <v>22.879921027090301</v>
      </c>
      <c r="AL441">
        <v>72.903611003167597</v>
      </c>
      <c r="AM441">
        <v>95.020889676212306</v>
      </c>
      <c r="AN441">
        <v>1.0000000447303099</v>
      </c>
    </row>
    <row r="442" spans="1:40" x14ac:dyDescent="0.25">
      <c r="A442" t="str">
        <f>"20190304164344184"</f>
        <v>20190304164344184</v>
      </c>
      <c r="B442" t="str">
        <f>"1551689024170383"</f>
        <v>1551689024170383</v>
      </c>
      <c r="C442" t="s">
        <v>40</v>
      </c>
      <c r="D442">
        <v>4.789784</v>
      </c>
      <c r="E442">
        <v>0.48596440000000002</v>
      </c>
      <c r="F442" t="s">
        <v>42</v>
      </c>
      <c r="G442">
        <v>-378.16559999999998</v>
      </c>
      <c r="H442" s="1">
        <v>-9.925558E-7</v>
      </c>
      <c r="I442">
        <v>370.45549999999997</v>
      </c>
      <c r="J442">
        <v>-400.40190000000001</v>
      </c>
      <c r="K442">
        <v>1.0613840000000001</v>
      </c>
      <c r="L442">
        <v>367.07380000000001</v>
      </c>
      <c r="M442">
        <v>0.99990639999999997</v>
      </c>
      <c r="N442">
        <v>-1.2512580000000001E-2</v>
      </c>
      <c r="O442">
        <v>5.5411690000000003E-3</v>
      </c>
      <c r="P442">
        <v>0.95527759999999995</v>
      </c>
      <c r="Q442">
        <v>0.28190739999999997</v>
      </c>
      <c r="R442">
        <v>8.9293579999999997E-2</v>
      </c>
      <c r="S442">
        <v>3.1399539999999999</v>
      </c>
      <c r="T442">
        <v>-0.14872839999999901</v>
      </c>
      <c r="U442">
        <v>0.47415160000000001</v>
      </c>
      <c r="V442">
        <v>-8.402917E-2</v>
      </c>
      <c r="W442">
        <v>0.29383569999999998</v>
      </c>
      <c r="X442">
        <v>0.95215530000000004</v>
      </c>
      <c r="Y442">
        <v>-0.14363480000000001</v>
      </c>
      <c r="Z442">
        <v>4.0931550000000002E-3</v>
      </c>
      <c r="AA442">
        <v>0.98962229999999995</v>
      </c>
      <c r="AB442">
        <v>31</v>
      </c>
      <c r="AC442">
        <v>22.2363</v>
      </c>
      <c r="AD442">
        <v>-1.0613849925558001</v>
      </c>
      <c r="AE442">
        <v>3.38169999999996</v>
      </c>
      <c r="AF442">
        <v>-3.2511834429906599</v>
      </c>
      <c r="AG442">
        <v>-1.0613849925558001</v>
      </c>
      <c r="AH442">
        <v>22.205250870042399</v>
      </c>
      <c r="AI442">
        <v>92.707762226296495</v>
      </c>
      <c r="AJ442">
        <v>98.329779417657406</v>
      </c>
      <c r="AK442">
        <v>22.467084770479602</v>
      </c>
      <c r="AL442">
        <v>72.912266331057296</v>
      </c>
      <c r="AM442">
        <v>95.043374605260794</v>
      </c>
      <c r="AN442">
        <v>1.0000000176617301</v>
      </c>
    </row>
    <row r="443" spans="1:40" x14ac:dyDescent="0.25">
      <c r="A443" t="str">
        <f>"20190304164344197"</f>
        <v>20190304164344197</v>
      </c>
      <c r="B443" t="str">
        <f>"1551689024180650"</f>
        <v>1551689024180650</v>
      </c>
      <c r="C443" t="s">
        <v>40</v>
      </c>
      <c r="D443">
        <v>4.777882</v>
      </c>
      <c r="E443">
        <v>0.48564740000000001</v>
      </c>
      <c r="F443" t="s">
        <v>42</v>
      </c>
      <c r="G443">
        <v>-377.93259999999998</v>
      </c>
      <c r="H443" s="1">
        <v>-1.104093E-6</v>
      </c>
      <c r="I443">
        <v>370.49889999999999</v>
      </c>
      <c r="J443">
        <v>-400.23439999999999</v>
      </c>
      <c r="K443">
        <v>1.0616939999999999</v>
      </c>
      <c r="L443">
        <v>367.07479999999998</v>
      </c>
      <c r="M443">
        <v>0.99991209999999997</v>
      </c>
      <c r="N443">
        <v>-1.203138E-2</v>
      </c>
      <c r="O443">
        <v>5.5757300000000001E-3</v>
      </c>
      <c r="P443">
        <v>0.95509279999999996</v>
      </c>
      <c r="Q443">
        <v>0.28238829999999998</v>
      </c>
      <c r="R443">
        <v>8.9746939999999997E-2</v>
      </c>
      <c r="S443">
        <v>3.1394350000000002</v>
      </c>
      <c r="T443">
        <v>-0.1482974</v>
      </c>
      <c r="U443">
        <v>0.47857670000000002</v>
      </c>
      <c r="V443">
        <v>-8.4451310000000002E-2</v>
      </c>
      <c r="W443">
        <v>0.2938557</v>
      </c>
      <c r="X443">
        <v>0.95211179999999995</v>
      </c>
      <c r="Y443">
        <v>-0.14498900000000001</v>
      </c>
      <c r="Z443">
        <v>4.0857239999999998E-3</v>
      </c>
      <c r="AA443">
        <v>0.98942479999999999</v>
      </c>
      <c r="AB443">
        <v>31</v>
      </c>
      <c r="AC443">
        <v>22.3018</v>
      </c>
      <c r="AD443">
        <v>-1.0616951040930001</v>
      </c>
      <c r="AE443">
        <v>3.4241000000000001</v>
      </c>
      <c r="AF443">
        <v>-3.29239918865827</v>
      </c>
      <c r="AG443">
        <v>-1.0616951040930001</v>
      </c>
      <c r="AH443">
        <v>22.271235346168002</v>
      </c>
      <c r="AI443">
        <v>92.699989153645703</v>
      </c>
      <c r="AJ443">
        <v>98.409238055454907</v>
      </c>
      <c r="AK443">
        <v>22.5383010175109</v>
      </c>
      <c r="AL443">
        <v>72.911067847308999</v>
      </c>
      <c r="AM443">
        <v>95.0688098807084</v>
      </c>
      <c r="AN443">
        <v>1.0000000379412199</v>
      </c>
    </row>
    <row r="444" spans="1:40" x14ac:dyDescent="0.25">
      <c r="A444" t="str">
        <f>"20190304164344208"</f>
        <v>20190304164344208</v>
      </c>
      <c r="B444" t="str">
        <f>"1551689024200170"</f>
        <v>1551689024200170</v>
      </c>
      <c r="C444" t="s">
        <v>40</v>
      </c>
      <c r="D444">
        <v>4.7574750000000003</v>
      </c>
      <c r="E444">
        <v>0.4848886</v>
      </c>
      <c r="F444" t="s">
        <v>42</v>
      </c>
      <c r="G444">
        <v>-377.4128</v>
      </c>
      <c r="H444" s="1">
        <v>-1.3489089999999999E-6</v>
      </c>
      <c r="I444">
        <v>370.58100000000002</v>
      </c>
      <c r="J444">
        <v>-400.06040000000002</v>
      </c>
      <c r="K444">
        <v>1.062055</v>
      </c>
      <c r="L444">
        <v>367.07580000000002</v>
      </c>
      <c r="M444">
        <v>0.99992420000000004</v>
      </c>
      <c r="N444">
        <v>-1.0976639999999999E-2</v>
      </c>
      <c r="O444">
        <v>5.6085830000000003E-3</v>
      </c>
      <c r="P444">
        <v>0.95483370000000001</v>
      </c>
      <c r="Q444">
        <v>0.28305249999999998</v>
      </c>
      <c r="R444">
        <v>9.0412699999999999E-2</v>
      </c>
      <c r="S444">
        <v>3.1389469999999999</v>
      </c>
      <c r="T444">
        <v>-0.146028399999999</v>
      </c>
      <c r="U444">
        <v>0.48226930000000001</v>
      </c>
      <c r="V444">
        <v>-8.5090410000000005E-2</v>
      </c>
      <c r="W444">
        <v>0.293512</v>
      </c>
      <c r="X444">
        <v>0.95216080000000003</v>
      </c>
      <c r="Y444">
        <v>-0.14612429999999901</v>
      </c>
      <c r="Z444">
        <v>3.9865009999999999E-3</v>
      </c>
      <c r="AA444">
        <v>0.98925819999999998</v>
      </c>
      <c r="AB444">
        <v>31</v>
      </c>
      <c r="AC444">
        <v>22.647600000000001</v>
      </c>
      <c r="AD444">
        <v>-1.062056348909</v>
      </c>
      <c r="AE444">
        <v>3.5051999999999399</v>
      </c>
      <c r="AF444">
        <v>-3.3708767123596499</v>
      </c>
      <c r="AG444">
        <v>-1.062056348909</v>
      </c>
      <c r="AH444">
        <v>22.618327134963799</v>
      </c>
      <c r="AI444">
        <v>92.659056207197295</v>
      </c>
      <c r="AJ444">
        <v>98.476571021535193</v>
      </c>
      <c r="AK444">
        <v>22.892782615541201</v>
      </c>
      <c r="AL444">
        <v>72.931666967404993</v>
      </c>
      <c r="AM444">
        <v>95.106705466669993</v>
      </c>
      <c r="AN444">
        <v>0.99999993053730096</v>
      </c>
    </row>
    <row r="445" spans="1:40" x14ac:dyDescent="0.25">
      <c r="A445" t="str">
        <f>"20190304164344220"</f>
        <v>20190304164344220</v>
      </c>
      <c r="B445" t="str">
        <f>"1551689024210907"</f>
        <v>1551689024210907</v>
      </c>
      <c r="C445" t="s">
        <v>40</v>
      </c>
      <c r="D445">
        <v>4.7462410000000004</v>
      </c>
      <c r="E445">
        <v>0.48462240000000001</v>
      </c>
      <c r="F445" t="s">
        <v>42</v>
      </c>
      <c r="G445">
        <v>-376.75979999999998</v>
      </c>
      <c r="H445" s="1">
        <v>-1.6647510000000001E-6</v>
      </c>
      <c r="I445">
        <v>370.71510000000001</v>
      </c>
      <c r="J445">
        <v>-399.8947</v>
      </c>
      <c r="K445">
        <v>1.0625</v>
      </c>
      <c r="L445">
        <v>367.07679999999999</v>
      </c>
      <c r="M445">
        <v>0.99993500000000002</v>
      </c>
      <c r="N445">
        <v>-9.9088800000000001E-3</v>
      </c>
      <c r="O445">
        <v>5.6415010000000002E-3</v>
      </c>
      <c r="P445">
        <v>0.9545517</v>
      </c>
      <c r="Q445">
        <v>0.28386289999999997</v>
      </c>
      <c r="R445">
        <v>9.0845759999999998E-2</v>
      </c>
      <c r="S445">
        <v>3.1378780000000002</v>
      </c>
      <c r="T445">
        <v>-0.14302609999999999</v>
      </c>
      <c r="U445">
        <v>0.4901123</v>
      </c>
      <c r="V445">
        <v>-8.5493860000000005E-2</v>
      </c>
      <c r="W445">
        <v>0.29330230000000002</v>
      </c>
      <c r="X445">
        <v>0.95218930000000002</v>
      </c>
      <c r="Y445">
        <v>-0.1485641</v>
      </c>
      <c r="Z445">
        <v>3.9047740000000002E-3</v>
      </c>
      <c r="AA445">
        <v>0.98889510000000003</v>
      </c>
      <c r="AB445">
        <v>31</v>
      </c>
      <c r="AC445">
        <v>23.134899999999998</v>
      </c>
      <c r="AD445">
        <v>-1.0625016647509999</v>
      </c>
      <c r="AE445">
        <v>3.6383000000000099</v>
      </c>
      <c r="AF445">
        <v>-3.5005149363068102</v>
      </c>
      <c r="AG445">
        <v>-1.0625016647509999</v>
      </c>
      <c r="AH445">
        <v>23.1074955892615</v>
      </c>
      <c r="AI445">
        <v>92.602996067592599</v>
      </c>
      <c r="AJ445">
        <v>98.614143528167205</v>
      </c>
      <c r="AK445">
        <v>23.395274459057799</v>
      </c>
      <c r="AL445">
        <v>72.944235407360097</v>
      </c>
      <c r="AM445">
        <v>95.130636855491304</v>
      </c>
      <c r="AN445">
        <v>0.99999995115873797</v>
      </c>
    </row>
    <row r="446" spans="1:40" x14ac:dyDescent="0.25">
      <c r="A446" t="str">
        <f>"20190304164344232"</f>
        <v>20190304164344232</v>
      </c>
      <c r="B446" t="str">
        <f>"1551689024220666"</f>
        <v>1551689024220666</v>
      </c>
      <c r="C446" t="s">
        <v>40</v>
      </c>
      <c r="D446">
        <v>4.7538210000000003</v>
      </c>
      <c r="E446">
        <v>0.48442239999999998</v>
      </c>
      <c r="F446" t="s">
        <v>42</v>
      </c>
      <c r="G446">
        <v>-376.31580000000002</v>
      </c>
      <c r="H446" s="1">
        <v>-1.8740829999999999E-6</v>
      </c>
      <c r="I446">
        <v>370.78609999999998</v>
      </c>
      <c r="J446">
        <v>-399.72609999999997</v>
      </c>
      <c r="K446">
        <v>1.063024</v>
      </c>
      <c r="L446">
        <v>367.07780000000002</v>
      </c>
      <c r="M446">
        <v>0.99994550000000004</v>
      </c>
      <c r="N446">
        <v>-8.7782869999999992E-3</v>
      </c>
      <c r="O446">
        <v>5.6760100000000004E-3</v>
      </c>
      <c r="P446">
        <v>0.95414359999999998</v>
      </c>
      <c r="Q446">
        <v>0.28511890000000001</v>
      </c>
      <c r="R446">
        <v>9.1199699999999995E-2</v>
      </c>
      <c r="S446">
        <v>3.1379090000000001</v>
      </c>
      <c r="T446">
        <v>-0.1413991</v>
      </c>
      <c r="U446">
        <v>0.49365229999999999</v>
      </c>
      <c r="V446">
        <v>-8.5817279999999996E-2</v>
      </c>
      <c r="W446">
        <v>0.29347780000000001</v>
      </c>
      <c r="X446">
        <v>0.95210620000000001</v>
      </c>
      <c r="Y446">
        <v>-0.149623799999999</v>
      </c>
      <c r="Z446">
        <v>3.805466E-3</v>
      </c>
      <c r="AA446">
        <v>0.9887357</v>
      </c>
      <c r="AB446">
        <v>32</v>
      </c>
      <c r="AC446">
        <v>23.4102999999999</v>
      </c>
      <c r="AD446">
        <v>-1.0630258740830001</v>
      </c>
      <c r="AE446">
        <v>3.7082999999999502</v>
      </c>
      <c r="AF446">
        <v>-3.5681808172779999</v>
      </c>
      <c r="AG446">
        <v>-1.0630258740830001</v>
      </c>
      <c r="AH446">
        <v>23.383936224697901</v>
      </c>
      <c r="AI446">
        <v>92.573111718833403</v>
      </c>
      <c r="AJ446">
        <v>98.675903037292102</v>
      </c>
      <c r="AK446">
        <v>23.678479928291399</v>
      </c>
      <c r="AL446">
        <v>72.933718334453204</v>
      </c>
      <c r="AM446">
        <v>95.150388755267301</v>
      </c>
      <c r="AN446">
        <v>1.0000000203589301</v>
      </c>
    </row>
    <row r="447" spans="1:40" x14ac:dyDescent="0.25">
      <c r="A447" t="str">
        <f>"20190304164344249"</f>
        <v>20190304164344249</v>
      </c>
      <c r="B447" t="str">
        <f>"1551689024240186"</f>
        <v>1551689024240186</v>
      </c>
      <c r="C447" t="s">
        <v>40</v>
      </c>
      <c r="D447">
        <v>4.7408049999999999</v>
      </c>
      <c r="E447">
        <v>0.48398239999999998</v>
      </c>
      <c r="F447" t="s">
        <v>42</v>
      </c>
      <c r="G447">
        <v>-375.52370000000002</v>
      </c>
      <c r="H447" s="1">
        <v>-2.246928E-6</v>
      </c>
      <c r="I447">
        <v>370.91019999999997</v>
      </c>
      <c r="J447">
        <v>-399.48219999999998</v>
      </c>
      <c r="K447">
        <v>1.0640099999999999</v>
      </c>
      <c r="L447">
        <v>367.07920000000001</v>
      </c>
      <c r="M447">
        <v>0.9999574</v>
      </c>
      <c r="N447">
        <v>-7.2480039999999997E-3</v>
      </c>
      <c r="O447">
        <v>5.7304590000000002E-3</v>
      </c>
      <c r="P447">
        <v>0.95369879999999996</v>
      </c>
      <c r="Q447">
        <v>0.28650409999999998</v>
      </c>
      <c r="R447">
        <v>9.1510359999999999E-2</v>
      </c>
      <c r="S447">
        <v>3.137848</v>
      </c>
      <c r="T447">
        <v>-0.1378211</v>
      </c>
      <c r="U447">
        <v>0.49688719999999997</v>
      </c>
      <c r="V447">
        <v>-8.6076319999999998E-2</v>
      </c>
      <c r="W447">
        <v>0.29340309999999997</v>
      </c>
      <c r="X447">
        <v>0.9521058</v>
      </c>
      <c r="Y447">
        <v>-0.15057970000000001</v>
      </c>
      <c r="Z447">
        <v>3.6255300000000001E-3</v>
      </c>
      <c r="AA447">
        <v>0.98859129999999995</v>
      </c>
      <c r="AB447">
        <v>32</v>
      </c>
      <c r="AC447">
        <v>23.958499999999901</v>
      </c>
      <c r="AD447">
        <v>-1.064012246928</v>
      </c>
      <c r="AE447">
        <v>3.83099999999996</v>
      </c>
      <c r="AF447">
        <v>-3.6865505709308</v>
      </c>
      <c r="AG447">
        <v>-1.064012246928</v>
      </c>
      <c r="AH447">
        <v>23.934032233844398</v>
      </c>
      <c r="AI447">
        <v>92.515836795011793</v>
      </c>
      <c r="AJ447">
        <v>98.756432359569004</v>
      </c>
      <c r="AK447">
        <v>24.2396509080545</v>
      </c>
      <c r="AL447">
        <v>72.938194768456498</v>
      </c>
      <c r="AM447">
        <v>95.165853405209305</v>
      </c>
      <c r="AN447">
        <v>0.99999998317399597</v>
      </c>
    </row>
    <row r="448" spans="1:40" x14ac:dyDescent="0.25">
      <c r="A448" t="str">
        <f>"20190304164344264"</f>
        <v>20190304164344264</v>
      </c>
      <c r="B448" t="str">
        <f>"1551689024250922"</f>
        <v>1551689024250922</v>
      </c>
      <c r="C448" t="s">
        <v>40</v>
      </c>
      <c r="D448">
        <v>4.737825</v>
      </c>
      <c r="E448">
        <v>0.48378949999999998</v>
      </c>
      <c r="F448" t="s">
        <v>42</v>
      </c>
      <c r="G448">
        <v>-374.71010000000001</v>
      </c>
      <c r="H448" s="1">
        <v>-2.631135E-6</v>
      </c>
      <c r="I448">
        <v>371.04250000000002</v>
      </c>
      <c r="J448">
        <v>-399.28949999999998</v>
      </c>
      <c r="K448">
        <v>1.0648949999999999</v>
      </c>
      <c r="L448">
        <v>367.0804</v>
      </c>
      <c r="M448">
        <v>0.99996490000000005</v>
      </c>
      <c r="N448">
        <v>-6.0951989999999999E-3</v>
      </c>
      <c r="O448">
        <v>5.7761440000000004E-3</v>
      </c>
      <c r="P448">
        <v>0.9532737</v>
      </c>
      <c r="Q448">
        <v>0.28787239999999997</v>
      </c>
      <c r="R448">
        <v>9.1647729999999997E-2</v>
      </c>
      <c r="S448">
        <v>3.1379389999999998</v>
      </c>
      <c r="T448">
        <v>-0.1347806</v>
      </c>
      <c r="U448">
        <v>0.50204470000000001</v>
      </c>
      <c r="V448">
        <v>-8.6171049999999999E-2</v>
      </c>
      <c r="W448">
        <v>0.29367149999999997</v>
      </c>
      <c r="X448">
        <v>0.95201449999999999</v>
      </c>
      <c r="Y448">
        <v>-0.1521236</v>
      </c>
      <c r="Z448">
        <v>3.500263E-3</v>
      </c>
      <c r="AA448">
        <v>0.98835530000000005</v>
      </c>
      <c r="AB448">
        <v>32</v>
      </c>
      <c r="AC448">
        <v>24.5793999999999</v>
      </c>
      <c r="AD448">
        <v>-1.064897631135</v>
      </c>
      <c r="AE448">
        <v>3.9621000000000199</v>
      </c>
      <c r="AF448">
        <v>-3.8130810992778499</v>
      </c>
      <c r="AG448">
        <v>-1.064897631135</v>
      </c>
      <c r="AH448">
        <v>24.5569490821178</v>
      </c>
      <c r="AI448">
        <v>92.4536753667537</v>
      </c>
      <c r="AJ448">
        <v>98.826120911888495</v>
      </c>
      <c r="AK448">
        <v>24.874029481694201</v>
      </c>
      <c r="AL448">
        <v>72.922108283210605</v>
      </c>
      <c r="AM448">
        <v>95.172001064741707</v>
      </c>
      <c r="AN448">
        <v>1.0000000039903001</v>
      </c>
    </row>
    <row r="449" spans="1:40" x14ac:dyDescent="0.25">
      <c r="A449" t="str">
        <f>"20190304164344284"</f>
        <v>20190304164344284</v>
      </c>
      <c r="B449" t="str">
        <f>"1551689024270442"</f>
        <v>1551689024270442</v>
      </c>
      <c r="C449" t="s">
        <v>40</v>
      </c>
      <c r="D449">
        <v>4.7360980000000001</v>
      </c>
      <c r="E449">
        <v>0.48344949999999998</v>
      </c>
      <c r="F449" t="s">
        <v>42</v>
      </c>
      <c r="G449">
        <v>-373.83530000000002</v>
      </c>
      <c r="H449" s="1">
        <v>-3.0392040000000002E-6</v>
      </c>
      <c r="I449">
        <v>371.16559999999998</v>
      </c>
      <c r="J449">
        <v>-399.00450000000001</v>
      </c>
      <c r="K449">
        <v>1.0662879999999999</v>
      </c>
      <c r="L449">
        <v>367.08210000000003</v>
      </c>
      <c r="M449">
        <v>0.99997309999999995</v>
      </c>
      <c r="N449">
        <v>-4.4517920000000004E-3</v>
      </c>
      <c r="O449">
        <v>5.8457819999999999E-3</v>
      </c>
      <c r="P449">
        <v>0.95262349999999996</v>
      </c>
      <c r="Q449">
        <v>0.29000559999999997</v>
      </c>
      <c r="R449">
        <v>9.1680600000000001E-2</v>
      </c>
      <c r="S449">
        <v>3.1382750000000001</v>
      </c>
      <c r="T449">
        <v>-0.13129250000000001</v>
      </c>
      <c r="U449">
        <v>0.50369259999999905</v>
      </c>
      <c r="V449">
        <v>-8.6138549999999994E-2</v>
      </c>
      <c r="W449">
        <v>0.29423759999999999</v>
      </c>
      <c r="X449">
        <v>0.95184259999999998</v>
      </c>
      <c r="Y449">
        <v>-0.15255679999999999</v>
      </c>
      <c r="Z449">
        <v>3.2943970000000001E-3</v>
      </c>
      <c r="AA449">
        <v>0.98828919999999998</v>
      </c>
      <c r="AB449">
        <v>32</v>
      </c>
      <c r="AC449">
        <v>25.169199999999901</v>
      </c>
      <c r="AD449">
        <v>-1.0662910392039999</v>
      </c>
      <c r="AE449">
        <v>4.0834999999999502</v>
      </c>
      <c r="AF449">
        <v>-3.9294235273806701</v>
      </c>
      <c r="AG449">
        <v>-1.0662910392039999</v>
      </c>
      <c r="AH449">
        <v>25.148662578219099</v>
      </c>
      <c r="AI449">
        <v>92.398788873337196</v>
      </c>
      <c r="AJ449">
        <v>98.880536830168396</v>
      </c>
      <c r="AK449">
        <v>25.476117744093902</v>
      </c>
      <c r="AL449">
        <v>72.888173391131104</v>
      </c>
      <c r="AM449">
        <v>95.170989619035794</v>
      </c>
      <c r="AN449">
        <v>0.99999997511231098</v>
      </c>
    </row>
    <row r="450" spans="1:40" x14ac:dyDescent="0.25">
      <c r="A450" t="str">
        <f>"20190304164344300"</f>
        <v>20190304164344300</v>
      </c>
      <c r="B450" t="str">
        <f>"1551689024290470"</f>
        <v>1551689024290470</v>
      </c>
      <c r="C450" t="s">
        <v>40</v>
      </c>
      <c r="D450">
        <v>4.7346069999999996</v>
      </c>
      <c r="E450">
        <v>0.48309039999999998</v>
      </c>
      <c r="F450" t="s">
        <v>42</v>
      </c>
      <c r="G450">
        <v>-372.2278</v>
      </c>
      <c r="H450" s="1">
        <v>-3.7915870000000001E-6</v>
      </c>
      <c r="I450">
        <v>371.4015</v>
      </c>
      <c r="J450">
        <v>-398.77780000000001</v>
      </c>
      <c r="K450">
        <v>1.0674360000000001</v>
      </c>
      <c r="L450">
        <v>367.08339999999998</v>
      </c>
      <c r="M450">
        <v>0.99997760000000002</v>
      </c>
      <c r="N450">
        <v>-3.1937039999999999E-3</v>
      </c>
      <c r="O450">
        <v>5.9014200000000001E-3</v>
      </c>
      <c r="P450">
        <v>0.95232099999999997</v>
      </c>
      <c r="Q450">
        <v>0.29094490000000001</v>
      </c>
      <c r="R450">
        <v>9.1848120000000005E-2</v>
      </c>
      <c r="S450">
        <v>3.1385190000000001</v>
      </c>
      <c r="T450">
        <v>-0.1249803</v>
      </c>
      <c r="U450">
        <v>0.50628660000000003</v>
      </c>
      <c r="V450">
        <v>-8.6253759999999999E-2</v>
      </c>
      <c r="W450">
        <v>0.29397879999999998</v>
      </c>
      <c r="X450">
        <v>0.95191219999999999</v>
      </c>
      <c r="Y450">
        <v>-0.15330189999999999</v>
      </c>
      <c r="Z450">
        <v>3.0633930000000002E-3</v>
      </c>
      <c r="AA450">
        <v>0.98817460000000001</v>
      </c>
      <c r="AB450">
        <v>32</v>
      </c>
      <c r="AC450">
        <v>26.55</v>
      </c>
      <c r="AD450">
        <v>-1.067439791587</v>
      </c>
      <c r="AE450">
        <v>4.31810000000001</v>
      </c>
      <c r="AF450">
        <v>-4.1547984414720203</v>
      </c>
      <c r="AG450">
        <v>-1.067439791587</v>
      </c>
      <c r="AH450">
        <v>26.533236776869099</v>
      </c>
      <c r="AI450">
        <v>92.276077497751402</v>
      </c>
      <c r="AJ450">
        <v>98.899587825104007</v>
      </c>
      <c r="AK450">
        <v>26.877768353331</v>
      </c>
      <c r="AL450">
        <v>72.903688869605901</v>
      </c>
      <c r="AM450">
        <v>95.177491702270203</v>
      </c>
      <c r="AN450">
        <v>1.0000000412362</v>
      </c>
    </row>
    <row r="451" spans="1:40" x14ac:dyDescent="0.25">
      <c r="A451" t="str">
        <f>"20190304164344317"</f>
        <v>20190304164344317</v>
      </c>
      <c r="B451" t="str">
        <f>"1551689024310964"</f>
        <v>1551689024310964</v>
      </c>
      <c r="C451" t="s">
        <v>40</v>
      </c>
      <c r="D451">
        <v>4.710629</v>
      </c>
      <c r="E451">
        <v>0.48279620000000001</v>
      </c>
      <c r="F451" t="s">
        <v>42</v>
      </c>
      <c r="G451">
        <v>-371.32650000000001</v>
      </c>
      <c r="H451" s="1">
        <v>-4.1654010000000002E-6</v>
      </c>
      <c r="I451">
        <v>371.53750000000002</v>
      </c>
      <c r="J451">
        <v>-398.52190000000002</v>
      </c>
      <c r="K451">
        <v>1.0687690000000001</v>
      </c>
      <c r="L451">
        <v>367.08510000000001</v>
      </c>
      <c r="M451">
        <v>0.99998030000000004</v>
      </c>
      <c r="N451">
        <v>-1.9666649999999998E-3</v>
      </c>
      <c r="O451">
        <v>5.9638089999999996E-3</v>
      </c>
      <c r="P451">
        <v>0.95200810000000002</v>
      </c>
      <c r="Q451">
        <v>0.291960099999999</v>
      </c>
      <c r="R451">
        <v>9.1869279999999998E-2</v>
      </c>
      <c r="S451">
        <v>3.1383670000000001</v>
      </c>
      <c r="T451">
        <v>-0.1220347</v>
      </c>
      <c r="U451">
        <v>0.50921629999999996</v>
      </c>
      <c r="V451">
        <v>-8.6216260000000003E-2</v>
      </c>
      <c r="W451">
        <v>0.29382520000000001</v>
      </c>
      <c r="X451">
        <v>0.951963</v>
      </c>
      <c r="Y451">
        <v>-0.1541556</v>
      </c>
      <c r="Z451">
        <v>2.9105770000000001E-3</v>
      </c>
      <c r="AA451">
        <v>0.98804230000000004</v>
      </c>
      <c r="AB451">
        <v>32</v>
      </c>
      <c r="AC451">
        <v>27.195399999999999</v>
      </c>
      <c r="AD451">
        <v>-1.068773165401</v>
      </c>
      <c r="AE451">
        <v>4.4524000000000097</v>
      </c>
      <c r="AF451">
        <v>-4.2836890040014799</v>
      </c>
      <c r="AG451">
        <v>-1.068773165401</v>
      </c>
      <c r="AH451">
        <v>27.180585855397698</v>
      </c>
      <c r="AI451">
        <v>92.224351764284293</v>
      </c>
      <c r="AJ451">
        <v>98.956208436520697</v>
      </c>
      <c r="AK451">
        <v>27.536821076600901</v>
      </c>
      <c r="AL451">
        <v>72.912895804796406</v>
      </c>
      <c r="AM451">
        <v>95.174978273399702</v>
      </c>
      <c r="AN451">
        <v>1.00000002250621</v>
      </c>
    </row>
    <row r="452" spans="1:40" x14ac:dyDescent="0.25">
      <c r="A452" t="str">
        <f>"20190304164344330"</f>
        <v>20190304164344330</v>
      </c>
      <c r="B452" t="str">
        <f>"1551689024320724"</f>
        <v>1551689024320724</v>
      </c>
      <c r="C452" t="s">
        <v>40</v>
      </c>
      <c r="D452">
        <v>4.7026120000000002</v>
      </c>
      <c r="E452">
        <v>0.4826937</v>
      </c>
      <c r="F452" t="s">
        <v>42</v>
      </c>
      <c r="G452">
        <v>-370.37029999999999</v>
      </c>
      <c r="H452" s="1">
        <v>-4.51448E-6</v>
      </c>
      <c r="I452">
        <v>371.67099999999999</v>
      </c>
      <c r="J452">
        <v>-398.33679999999998</v>
      </c>
      <c r="K452">
        <v>1.0698289999999999</v>
      </c>
      <c r="L452">
        <v>367.08620000000002</v>
      </c>
      <c r="M452">
        <v>0.99998100000000001</v>
      </c>
      <c r="N452">
        <v>-1.478926E-3</v>
      </c>
      <c r="O452">
        <v>6.0093880000000001E-3</v>
      </c>
      <c r="P452">
        <v>0.95188430000000002</v>
      </c>
      <c r="Q452">
        <v>0.29233599999999998</v>
      </c>
      <c r="R452">
        <v>9.1959089999999993E-2</v>
      </c>
      <c r="S452">
        <v>3.138458</v>
      </c>
      <c r="T452">
        <v>-0.1191511</v>
      </c>
      <c r="U452">
        <v>0.51126099999999997</v>
      </c>
      <c r="V452">
        <v>-8.6262729999999996E-2</v>
      </c>
      <c r="W452">
        <v>0.29373719999999998</v>
      </c>
      <c r="X452">
        <v>0.951986</v>
      </c>
      <c r="Y452">
        <v>-0.1547395</v>
      </c>
      <c r="Z452">
        <v>2.814567E-3</v>
      </c>
      <c r="AA452">
        <v>0.98795129999999998</v>
      </c>
      <c r="AB452">
        <v>32</v>
      </c>
      <c r="AC452">
        <v>27.9665</v>
      </c>
      <c r="AD452">
        <v>-1.06983351448</v>
      </c>
      <c r="AE452">
        <v>4.5847999999999702</v>
      </c>
      <c r="AF452">
        <v>-4.4103703912469596</v>
      </c>
      <c r="AG452">
        <v>-1.06983351448</v>
      </c>
      <c r="AH452">
        <v>27.9537107145111</v>
      </c>
      <c r="AI452">
        <v>92.164977630502804</v>
      </c>
      <c r="AJ452">
        <v>98.965880320320295</v>
      </c>
      <c r="AK452">
        <v>28.319707863028299</v>
      </c>
      <c r="AL452">
        <v>72.918171479734696</v>
      </c>
      <c r="AM452">
        <v>95.177627981171995</v>
      </c>
      <c r="AN452">
        <v>1.0000000727234399</v>
      </c>
    </row>
    <row r="453" spans="1:40" x14ac:dyDescent="0.25">
      <c r="A453" t="str">
        <f>"20190304164344343"</f>
        <v>20190304164344343</v>
      </c>
      <c r="B453" t="str">
        <f>"1551689024330485"</f>
        <v>1551689024330485</v>
      </c>
      <c r="C453" t="s">
        <v>40</v>
      </c>
      <c r="D453">
        <v>4.6971400000000001</v>
      </c>
      <c r="E453">
        <v>0.4825911</v>
      </c>
      <c r="F453" t="s">
        <v>42</v>
      </c>
      <c r="G453">
        <v>-369.80650000000003</v>
      </c>
      <c r="H453" s="1">
        <v>-6.3086269999999902E-7</v>
      </c>
      <c r="I453">
        <v>371.74169999999998</v>
      </c>
      <c r="J453">
        <v>-398.16910000000001</v>
      </c>
      <c r="K453">
        <v>1.0709869999999999</v>
      </c>
      <c r="L453">
        <v>367.0872</v>
      </c>
      <c r="M453">
        <v>0.99998069999999895</v>
      </c>
      <c r="N453">
        <v>-1.3837159999999999E-3</v>
      </c>
      <c r="O453">
        <v>6.0506369999999898E-3</v>
      </c>
      <c r="P453">
        <v>0.95182540000000004</v>
      </c>
      <c r="Q453">
        <v>0.2924928</v>
      </c>
      <c r="R453">
        <v>9.2066880000000004E-2</v>
      </c>
      <c r="S453">
        <v>3.138306</v>
      </c>
      <c r="T453">
        <v>-0.11768000000000001</v>
      </c>
      <c r="U453">
        <v>0.51211549999999995</v>
      </c>
      <c r="V453">
        <v>-8.6330359999999995E-2</v>
      </c>
      <c r="W453">
        <v>0.29380329999999999</v>
      </c>
      <c r="X453">
        <v>0.95195940000000001</v>
      </c>
      <c r="Y453">
        <v>-0.1549711</v>
      </c>
      <c r="Z453">
        <v>2.776452E-3</v>
      </c>
      <c r="AA453">
        <v>0.98791510000000005</v>
      </c>
      <c r="AB453">
        <v>32</v>
      </c>
      <c r="AC453">
        <v>28.362599999999901</v>
      </c>
      <c r="AD453">
        <v>-1.0709876308627</v>
      </c>
      <c r="AE453">
        <v>4.6544999999999801</v>
      </c>
      <c r="AF453">
        <v>-4.47658723712766</v>
      </c>
      <c r="AG453">
        <v>-1.0709876308627</v>
      </c>
      <c r="AH453">
        <v>28.3508792747723</v>
      </c>
      <c r="AI453">
        <v>92.136936133229796</v>
      </c>
      <c r="AJ453">
        <v>98.972888103787596</v>
      </c>
      <c r="AK453">
        <v>28.722103047127099</v>
      </c>
      <c r="AL453">
        <v>72.914208208751404</v>
      </c>
      <c r="AM453">
        <v>95.181809153777905</v>
      </c>
      <c r="AN453">
        <v>1.00000000469848</v>
      </c>
    </row>
    <row r="454" spans="1:40" x14ac:dyDescent="0.25">
      <c r="A454" t="str">
        <f>"20190304164344354"</f>
        <v>20190304164344354</v>
      </c>
      <c r="B454" t="str">
        <f>"1551689024340244"</f>
        <v>1551689024340244</v>
      </c>
      <c r="C454" t="s">
        <v>40</v>
      </c>
      <c r="D454">
        <v>4.6898099999999996</v>
      </c>
      <c r="E454">
        <v>0.48248940000000001</v>
      </c>
      <c r="F454" t="s">
        <v>42</v>
      </c>
      <c r="G454">
        <v>-369.50549999999998</v>
      </c>
      <c r="H454" s="1">
        <v>-7.7105429999999899E-7</v>
      </c>
      <c r="I454">
        <v>371.78320000000002</v>
      </c>
      <c r="J454">
        <v>-398.00080000000003</v>
      </c>
      <c r="K454">
        <v>1.0722240000000001</v>
      </c>
      <c r="L454">
        <v>367.0883</v>
      </c>
      <c r="M454">
        <v>0.9999806</v>
      </c>
      <c r="N454">
        <v>-1.4163509999999999E-3</v>
      </c>
      <c r="O454">
        <v>6.0912630000000004E-3</v>
      </c>
      <c r="P454">
        <v>0.95187999999999995</v>
      </c>
      <c r="Q454">
        <v>0.29229339999999998</v>
      </c>
      <c r="R454">
        <v>9.2137540000000004E-2</v>
      </c>
      <c r="S454">
        <v>3.1381230000000002</v>
      </c>
      <c r="T454">
        <v>-0.1172525</v>
      </c>
      <c r="U454">
        <v>0.51412959999999996</v>
      </c>
      <c r="V454">
        <v>-8.6360899999999893E-2</v>
      </c>
      <c r="W454">
        <v>0.29363509999999998</v>
      </c>
      <c r="X454">
        <v>0.95200850000000004</v>
      </c>
      <c r="Y454">
        <v>-0.155558</v>
      </c>
      <c r="Z454">
        <v>2.779414E-3</v>
      </c>
      <c r="AA454">
        <v>0.9878228</v>
      </c>
      <c r="AB454">
        <v>32</v>
      </c>
      <c r="AC454">
        <v>28.4953</v>
      </c>
      <c r="AD454">
        <v>-1.0722247710543</v>
      </c>
      <c r="AE454">
        <v>4.6949000000000103</v>
      </c>
      <c r="AF454">
        <v>-4.5150166333872299</v>
      </c>
      <c r="AG454">
        <v>-1.0722247710543</v>
      </c>
      <c r="AH454">
        <v>28.4841051562241</v>
      </c>
      <c r="AI454">
        <v>92.129204627772296</v>
      </c>
      <c r="AJ454">
        <v>99.0070200602417</v>
      </c>
      <c r="AK454">
        <v>28.8596480870827</v>
      </c>
      <c r="AL454">
        <v>72.924289626047894</v>
      </c>
      <c r="AM454">
        <v>95.183366381891602</v>
      </c>
      <c r="AN454">
        <v>0.99999998053653405</v>
      </c>
    </row>
    <row r="455" spans="1:40" x14ac:dyDescent="0.25">
      <c r="A455" t="str">
        <f>"20190304164344371"</f>
        <v>20190304164344371</v>
      </c>
      <c r="B455" t="str">
        <f>"1551689024360740"</f>
        <v>1551689024360740</v>
      </c>
      <c r="C455" t="s">
        <v>40</v>
      </c>
      <c r="D455">
        <v>4.6752609999999999</v>
      </c>
      <c r="E455">
        <v>0.48233819999999999</v>
      </c>
      <c r="F455" t="s">
        <v>42</v>
      </c>
      <c r="G455">
        <v>-369.43889999999999</v>
      </c>
      <c r="H455" s="1">
        <v>-7.9884999999999998E-7</v>
      </c>
      <c r="I455">
        <v>371.78039999999999</v>
      </c>
      <c r="J455">
        <v>-397.75290000000001</v>
      </c>
      <c r="K455">
        <v>1.074257</v>
      </c>
      <c r="L455">
        <v>367.08980000000003</v>
      </c>
      <c r="M455">
        <v>0.99998010000000004</v>
      </c>
      <c r="N455">
        <v>-1.5264129999999999E-3</v>
      </c>
      <c r="O455">
        <v>6.145663E-3</v>
      </c>
      <c r="P455">
        <v>0.95188159999999999</v>
      </c>
      <c r="Q455">
        <v>0.29226869999999999</v>
      </c>
      <c r="R455">
        <v>9.2199439999999994E-2</v>
      </c>
      <c r="S455">
        <v>3.1379389999999998</v>
      </c>
      <c r="T455">
        <v>-0.11779920000000001</v>
      </c>
      <c r="U455">
        <v>0.51550289999999999</v>
      </c>
      <c r="V455">
        <v>-8.6370020000000006E-2</v>
      </c>
      <c r="W455">
        <v>0.29371580000000003</v>
      </c>
      <c r="X455">
        <v>0.95198280000000002</v>
      </c>
      <c r="Y455">
        <v>-0.15593280000000001</v>
      </c>
      <c r="Z455">
        <v>2.8064880000000002E-3</v>
      </c>
      <c r="AA455">
        <v>0.98776359999999996</v>
      </c>
      <c r="AB455">
        <v>31</v>
      </c>
      <c r="AC455">
        <v>28.314</v>
      </c>
      <c r="AD455">
        <v>-1.0742577988499999</v>
      </c>
      <c r="AE455">
        <v>4.6905999999999599</v>
      </c>
      <c r="AF455">
        <v>-4.5101839091780001</v>
      </c>
      <c r="AG455">
        <v>-1.0742577988499999</v>
      </c>
      <c r="AH455">
        <v>28.302638523158699</v>
      </c>
      <c r="AI455">
        <v>92.146621744319603</v>
      </c>
      <c r="AJ455">
        <v>99.054273433174799</v>
      </c>
      <c r="AK455">
        <v>28.679873362439899</v>
      </c>
      <c r="AL455">
        <v>72.919452936595505</v>
      </c>
      <c r="AM455">
        <v>95.184049964368398</v>
      </c>
      <c r="AN455">
        <v>1.00000000151014</v>
      </c>
    </row>
    <row r="456" spans="1:40" x14ac:dyDescent="0.25">
      <c r="A456" t="str">
        <f>"20190304164344386"</f>
        <v>20190304164344386</v>
      </c>
      <c r="B456" t="str">
        <f>"1551689024380767"</f>
        <v>1551689024380767</v>
      </c>
      <c r="C456" t="s">
        <v>40</v>
      </c>
      <c r="D456">
        <v>4.6538639999999996</v>
      </c>
      <c r="E456">
        <v>0.48222340000000002</v>
      </c>
      <c r="F456" t="s">
        <v>42</v>
      </c>
      <c r="G456">
        <v>-369.23669999999998</v>
      </c>
      <c r="H456" s="1">
        <v>-8.8737809999999898E-7</v>
      </c>
      <c r="I456">
        <v>371.78699999999998</v>
      </c>
      <c r="J456">
        <v>-397.54950000000002</v>
      </c>
      <c r="K456">
        <v>1.0759860000000001</v>
      </c>
      <c r="L456">
        <v>367.09109999999998</v>
      </c>
      <c r="M456">
        <v>0.99997999999999998</v>
      </c>
      <c r="N456">
        <v>-1.421645E-3</v>
      </c>
      <c r="O456">
        <v>6.1845379999999998E-3</v>
      </c>
      <c r="P456">
        <v>0.95192980000000005</v>
      </c>
      <c r="Q456">
        <v>0.29197469999999998</v>
      </c>
      <c r="R456">
        <v>9.2633019999999996E-2</v>
      </c>
      <c r="S456">
        <v>3.1378780000000002</v>
      </c>
      <c r="T456">
        <v>-0.11820899999999999</v>
      </c>
      <c r="U456">
        <v>0.51687620000000001</v>
      </c>
      <c r="V456">
        <v>-8.6765930000000005E-2</v>
      </c>
      <c r="W456">
        <v>0.29332190000000002</v>
      </c>
      <c r="X456">
        <v>0.95206820000000003</v>
      </c>
      <c r="Y456">
        <v>-0.15631779999999901</v>
      </c>
      <c r="Z456">
        <v>2.8129679999999999E-3</v>
      </c>
      <c r="AA456">
        <v>0.98770279999999999</v>
      </c>
      <c r="AB456">
        <v>31</v>
      </c>
      <c r="AC456">
        <v>28.312799999999999</v>
      </c>
      <c r="AD456">
        <v>-1.0759868873781</v>
      </c>
      <c r="AE456">
        <v>4.6958999999999902</v>
      </c>
      <c r="AF456">
        <v>-4.5143630491934701</v>
      </c>
      <c r="AG456">
        <v>-1.0759868873781</v>
      </c>
      <c r="AH456">
        <v>28.301519821647702</v>
      </c>
      <c r="AI456">
        <v>92.150107118853597</v>
      </c>
      <c r="AJ456">
        <v>99.062876240213797</v>
      </c>
      <c r="AK456">
        <v>28.6794917273102</v>
      </c>
      <c r="AL456">
        <v>72.943060909436795</v>
      </c>
      <c r="AM456">
        <v>95.207218117702396</v>
      </c>
      <c r="AN456">
        <v>0.999999960539806</v>
      </c>
    </row>
    <row r="457" spans="1:40" x14ac:dyDescent="0.25">
      <c r="A457" t="str">
        <f>"20190304164344399"</f>
        <v>20190304164344399</v>
      </c>
      <c r="B457" t="str">
        <f>"1551689024390528"</f>
        <v>1551689024390528</v>
      </c>
      <c r="C457" t="s">
        <v>40</v>
      </c>
      <c r="D457">
        <v>4.6390909999999996</v>
      </c>
      <c r="E457">
        <v>0.48214940000000001</v>
      </c>
      <c r="F457" t="s">
        <v>42</v>
      </c>
      <c r="G457">
        <v>-369.29730000000001</v>
      </c>
      <c r="H457" s="1">
        <v>-8.5439419999999995E-7</v>
      </c>
      <c r="I457">
        <v>371.76080000000002</v>
      </c>
      <c r="J457">
        <v>-397.36989999999997</v>
      </c>
      <c r="K457">
        <v>1.0775459999999999</v>
      </c>
      <c r="L457">
        <v>367.09230000000002</v>
      </c>
      <c r="M457">
        <v>0.99997999999999998</v>
      </c>
      <c r="N457">
        <v>-1.306693E-3</v>
      </c>
      <c r="O457">
        <v>6.2153669999999899E-3</v>
      </c>
      <c r="P457">
        <v>0.95186939999999998</v>
      </c>
      <c r="Q457">
        <v>0.2921667</v>
      </c>
      <c r="R457">
        <v>9.2648729999999999E-2</v>
      </c>
      <c r="S457">
        <v>3.1376650000000001</v>
      </c>
      <c r="T457">
        <v>-0.119497699999999</v>
      </c>
      <c r="U457">
        <v>0.51861570000000001</v>
      </c>
      <c r="V457">
        <v>-8.6751819999999993E-2</v>
      </c>
      <c r="W457">
        <v>0.29340450000000001</v>
      </c>
      <c r="X457">
        <v>0.95204409999999895</v>
      </c>
      <c r="Y457">
        <v>-0.15682889999999999</v>
      </c>
      <c r="Z457">
        <v>2.841484E-3</v>
      </c>
      <c r="AA457">
        <v>0.98762169999999905</v>
      </c>
      <c r="AB457">
        <v>32</v>
      </c>
      <c r="AC457">
        <v>28.072599999999898</v>
      </c>
      <c r="AD457">
        <v>-1.0775468543941999</v>
      </c>
      <c r="AE457">
        <v>4.6684999999999901</v>
      </c>
      <c r="AF457">
        <v>-4.4874944583812901</v>
      </c>
      <c r="AG457">
        <v>-1.0775468543941999</v>
      </c>
      <c r="AH457">
        <v>28.0608432975454</v>
      </c>
      <c r="AI457">
        <v>92.171533151007907</v>
      </c>
      <c r="AJ457">
        <v>99.085816372038394</v>
      </c>
      <c r="AK457">
        <v>28.437820596994001</v>
      </c>
      <c r="AL457">
        <v>72.938111572720899</v>
      </c>
      <c r="AM457">
        <v>95.206507036164993</v>
      </c>
      <c r="AN457">
        <v>1.0000000236191799</v>
      </c>
    </row>
    <row r="458" spans="1:40" x14ac:dyDescent="0.25">
      <c r="A458" t="str">
        <f>"20190304164344412"</f>
        <v>20190304164344412</v>
      </c>
      <c r="B458" t="str">
        <f>"1551689024400288"</f>
        <v>1551689024400288</v>
      </c>
      <c r="C458" t="s">
        <v>40</v>
      </c>
      <c r="D458">
        <v>4.6737469999999997</v>
      </c>
      <c r="E458">
        <v>0.48209750000000001</v>
      </c>
      <c r="F458" t="s">
        <v>42</v>
      </c>
      <c r="G458">
        <v>-368.96460000000002</v>
      </c>
      <c r="H458" s="1">
        <v>-1.0051440000000001E-6</v>
      </c>
      <c r="I458">
        <v>371.791</v>
      </c>
      <c r="J458">
        <v>-397.18209999999999</v>
      </c>
      <c r="K458">
        <v>1.0792200000000001</v>
      </c>
      <c r="L458">
        <v>367.09339999999997</v>
      </c>
      <c r="M458">
        <v>0.99997970000000003</v>
      </c>
      <c r="N458">
        <v>-1.188108E-3</v>
      </c>
      <c r="O458">
        <v>6.2436879999999998E-3</v>
      </c>
      <c r="P458">
        <v>0.95194440000000002</v>
      </c>
      <c r="Q458">
        <v>0.29190739999999998</v>
      </c>
      <c r="R458">
        <v>9.2693540000000005E-2</v>
      </c>
      <c r="S458">
        <v>3.1377259999999998</v>
      </c>
      <c r="T458">
        <v>-0.1190286</v>
      </c>
      <c r="U458">
        <v>0.51904300000000003</v>
      </c>
      <c r="V458">
        <v>-8.6768059999999994E-2</v>
      </c>
      <c r="W458">
        <v>0.29303289999999999</v>
      </c>
      <c r="X458">
        <v>0.95215700000000003</v>
      </c>
      <c r="Y458">
        <v>-0.15692990000000001</v>
      </c>
      <c r="Z458">
        <v>2.821526E-3</v>
      </c>
      <c r="AA458">
        <v>0.98760570000000003</v>
      </c>
      <c r="AB458">
        <v>32</v>
      </c>
      <c r="AC458">
        <v>28.217499999999902</v>
      </c>
      <c r="AD458">
        <v>-1.0792210051440001</v>
      </c>
      <c r="AE458">
        <v>4.69760000000002</v>
      </c>
      <c r="AF458">
        <v>-4.5149007519587601</v>
      </c>
      <c r="AG458">
        <v>-1.0792210051440001</v>
      </c>
      <c r="AH458">
        <v>28.206133220071301</v>
      </c>
      <c r="AI458">
        <v>92.163661620675001</v>
      </c>
      <c r="AJ458">
        <v>99.094078554456303</v>
      </c>
      <c r="AK458">
        <v>28.585573249567499</v>
      </c>
      <c r="AL458">
        <v>72.960380517270096</v>
      </c>
      <c r="AM458">
        <v>95.206862268412607</v>
      </c>
      <c r="AN458">
        <v>0.99999996468378605</v>
      </c>
    </row>
    <row r="459" spans="1:40" x14ac:dyDescent="0.25">
      <c r="A459" t="str">
        <f>"20190304164344430"</f>
        <v>20190304164344430</v>
      </c>
      <c r="B459" t="str">
        <f>"1551689024420784"</f>
        <v>1551689024420784</v>
      </c>
      <c r="C459" t="s">
        <v>40</v>
      </c>
      <c r="D459">
        <v>4.8892350000000002</v>
      </c>
      <c r="E459">
        <v>0.51117970000000001</v>
      </c>
      <c r="F459" t="s">
        <v>42</v>
      </c>
      <c r="G459">
        <v>-369.01150000000001</v>
      </c>
      <c r="H459" s="1">
        <v>-9.7528280000000008E-7</v>
      </c>
      <c r="I459">
        <v>371.75439999999998</v>
      </c>
      <c r="J459">
        <v>-396.91849999999999</v>
      </c>
      <c r="K459">
        <v>1.081645</v>
      </c>
      <c r="L459">
        <v>367.0951</v>
      </c>
      <c r="M459">
        <v>0.99997970000000003</v>
      </c>
      <c r="N459">
        <v>-1.1834289999999999E-3</v>
      </c>
      <c r="O459">
        <v>6.275096E-3</v>
      </c>
      <c r="P459">
        <v>0.95211639999999997</v>
      </c>
      <c r="Q459">
        <v>0.29132170000000002</v>
      </c>
      <c r="R459">
        <v>9.2770370000000005E-2</v>
      </c>
      <c r="S459">
        <v>3.1377869999999999</v>
      </c>
      <c r="T459">
        <v>-0.12020889999999999</v>
      </c>
      <c r="U459">
        <v>0.51916499999999999</v>
      </c>
      <c r="V459">
        <v>-8.6810750000000006E-2</v>
      </c>
      <c r="W459">
        <v>0.29244429999999999</v>
      </c>
      <c r="X459">
        <v>0.95233409999999996</v>
      </c>
      <c r="Y459">
        <v>-0.15693099999999999</v>
      </c>
      <c r="Z459">
        <v>2.8468870000000002E-3</v>
      </c>
      <c r="AA459">
        <v>0.98760550000000003</v>
      </c>
      <c r="AB459">
        <v>32</v>
      </c>
      <c r="AC459">
        <v>27.906999999999901</v>
      </c>
      <c r="AD459">
        <v>-1.0816459752828</v>
      </c>
      <c r="AE459">
        <v>4.6592999999999698</v>
      </c>
      <c r="AF459">
        <v>-4.4775450485236297</v>
      </c>
      <c r="AG459">
        <v>-1.0816459752828</v>
      </c>
      <c r="AH459">
        <v>27.894919242701999</v>
      </c>
      <c r="AI459">
        <v>92.192535679568394</v>
      </c>
      <c r="AJ459">
        <v>99.119029554785499</v>
      </c>
      <c r="AK459">
        <v>28.2726880086466</v>
      </c>
      <c r="AL459">
        <v>72.995650609467106</v>
      </c>
      <c r="AM459">
        <v>95.2084465251571</v>
      </c>
      <c r="AN459">
        <v>1.00000000647043</v>
      </c>
    </row>
    <row r="460" spans="1:40" x14ac:dyDescent="0.25">
      <c r="A460" t="str">
        <f>"20190304164344452"</f>
        <v>20190304164344452</v>
      </c>
      <c r="B460" t="str">
        <f>"1551689024440304"</f>
        <v>1551689024440304</v>
      </c>
      <c r="C460" t="s">
        <v>40</v>
      </c>
      <c r="D460">
        <v>4.576549</v>
      </c>
      <c r="E460">
        <v>0.52944740000000001</v>
      </c>
      <c r="F460" t="s">
        <v>42</v>
      </c>
      <c r="G460">
        <v>-375.51350000000002</v>
      </c>
      <c r="H460" s="1">
        <v>-2.004399E-6</v>
      </c>
      <c r="I460">
        <v>369.06720000000001</v>
      </c>
      <c r="J460">
        <v>-396.62110000000001</v>
      </c>
      <c r="K460">
        <v>1.0844049999999901</v>
      </c>
      <c r="L460">
        <v>367.09699999999998</v>
      </c>
      <c r="M460">
        <v>0.99997930000000002</v>
      </c>
      <c r="N460">
        <v>-1.3610009999999999E-3</v>
      </c>
      <c r="O460">
        <v>6.303052E-3</v>
      </c>
      <c r="P460">
        <v>0.95221440000000002</v>
      </c>
      <c r="Q460">
        <v>0.29098560000000001</v>
      </c>
      <c r="R460">
        <v>9.2819090000000007E-2</v>
      </c>
      <c r="S460">
        <v>3.1714169999999999</v>
      </c>
      <c r="T460">
        <v>-0.1602594</v>
      </c>
      <c r="U460">
        <v>0.29220580000000002</v>
      </c>
      <c r="V460">
        <v>-8.6828539999999996E-2</v>
      </c>
      <c r="W460">
        <v>0.29227789999999998</v>
      </c>
      <c r="X460">
        <v>0.9523836</v>
      </c>
      <c r="Y460">
        <v>-8.5367009999999993E-2</v>
      </c>
      <c r="Z460">
        <v>1.9001770000000001E-3</v>
      </c>
      <c r="AA460">
        <v>0.99634780000000001</v>
      </c>
      <c r="AB460">
        <v>32</v>
      </c>
      <c r="AC460">
        <v>21.107599999999898</v>
      </c>
      <c r="AD460">
        <v>-1.084407004399</v>
      </c>
      <c r="AE460">
        <v>1.9702000000000299</v>
      </c>
      <c r="AF460">
        <v>-1.83232396855271</v>
      </c>
      <c r="AG460">
        <v>-1.084407004399</v>
      </c>
      <c r="AH460">
        <v>21.064481394056799</v>
      </c>
      <c r="AI460">
        <v>92.935938408609999</v>
      </c>
      <c r="AJ460">
        <v>94.971441297864004</v>
      </c>
      <c r="AK460">
        <v>21.171814425728599</v>
      </c>
      <c r="AL460">
        <v>73.005620874204993</v>
      </c>
      <c r="AM460">
        <v>95.209238738484203</v>
      </c>
      <c r="AN460">
        <v>1.0000000438679499</v>
      </c>
    </row>
    <row r="461" spans="1:40" x14ac:dyDescent="0.25">
      <c r="A461" t="str">
        <f>"20190304164344467"</f>
        <v>20190304164344467</v>
      </c>
      <c r="B461" t="str">
        <f>"1551689024460800"</f>
        <v>1551689024460800</v>
      </c>
      <c r="C461" t="s">
        <v>40</v>
      </c>
      <c r="D461">
        <v>4.539034</v>
      </c>
      <c r="E461">
        <v>0.53636139999999999</v>
      </c>
      <c r="F461" t="s">
        <v>42</v>
      </c>
      <c r="G461">
        <v>-377.48950000000002</v>
      </c>
      <c r="H461" s="1">
        <v>-1.3476410000000001E-6</v>
      </c>
      <c r="I461">
        <v>367.99079999999998</v>
      </c>
      <c r="J461">
        <v>-396.3972</v>
      </c>
      <c r="K461">
        <v>1.0864279999999999</v>
      </c>
      <c r="L461">
        <v>367.09840000000003</v>
      </c>
      <c r="M461">
        <v>0.99997879999999995</v>
      </c>
      <c r="N461">
        <v>-1.5938370000000001E-3</v>
      </c>
      <c r="O461">
        <v>6.3192079999999998E-3</v>
      </c>
      <c r="P461">
        <v>0.95226200000000005</v>
      </c>
      <c r="Q461">
        <v>0.29089789999999999</v>
      </c>
      <c r="R461">
        <v>9.2604560000000002E-2</v>
      </c>
      <c r="S461">
        <v>3.1912539999999998</v>
      </c>
      <c r="T461">
        <v>-0.18088470000000001</v>
      </c>
      <c r="U461">
        <v>0.14910889999999999</v>
      </c>
      <c r="V461">
        <v>-8.6594980000000002E-2</v>
      </c>
      <c r="W461">
        <v>0.2924137</v>
      </c>
      <c r="X461">
        <v>0.95236310000000002</v>
      </c>
      <c r="Y461">
        <v>-4.0303249999999999E-2</v>
      </c>
      <c r="Z461">
        <v>8.2522209999999995E-4</v>
      </c>
      <c r="AA461">
        <v>0.99918720000000005</v>
      </c>
      <c r="AB461">
        <v>32</v>
      </c>
      <c r="AC461">
        <v>18.907699999999899</v>
      </c>
      <c r="AD461">
        <v>-1.0864293476410001</v>
      </c>
      <c r="AE461">
        <v>0.89239999999995201</v>
      </c>
      <c r="AF461">
        <v>-0.77036256310451301</v>
      </c>
      <c r="AG461">
        <v>-1.0864293476410001</v>
      </c>
      <c r="AH461">
        <v>18.8508619180881</v>
      </c>
      <c r="AI461">
        <v>93.295726868412601</v>
      </c>
      <c r="AJ461">
        <v>92.340157031111204</v>
      </c>
      <c r="AK461">
        <v>18.897851260417799</v>
      </c>
      <c r="AL461">
        <v>72.997483335583695</v>
      </c>
      <c r="AM461">
        <v>95.195414413953202</v>
      </c>
      <c r="AN461">
        <v>0.99999996837524896</v>
      </c>
    </row>
    <row r="462" spans="1:40" x14ac:dyDescent="0.25">
      <c r="A462" t="str">
        <f>"20190304164344485"</f>
        <v>20190304164344485</v>
      </c>
      <c r="B462" t="str">
        <f>"1551689024470560"</f>
        <v>1551689024470560</v>
      </c>
      <c r="C462" t="s">
        <v>40</v>
      </c>
      <c r="D462">
        <v>4.5763069999999999</v>
      </c>
      <c r="E462">
        <v>0.53846879999999997</v>
      </c>
      <c r="F462" t="s">
        <v>42</v>
      </c>
      <c r="G462">
        <v>-377.37540000000001</v>
      </c>
      <c r="H462" s="1">
        <v>-1.4556610000000001E-6</v>
      </c>
      <c r="I462">
        <v>367.65769999999998</v>
      </c>
      <c r="J462">
        <v>-396.13209999999998</v>
      </c>
      <c r="K462">
        <v>1.0887389999999999</v>
      </c>
      <c r="L462">
        <v>367.1001</v>
      </c>
      <c r="M462">
        <v>0.99997820000000004</v>
      </c>
      <c r="N462">
        <v>-1.921762E-3</v>
      </c>
      <c r="O462">
        <v>6.3336959999999998E-3</v>
      </c>
      <c r="P462">
        <v>0.95246330000000001</v>
      </c>
      <c r="Q462">
        <v>0.29016330000000001</v>
      </c>
      <c r="R462">
        <v>9.2839459999999999E-2</v>
      </c>
      <c r="S462">
        <v>3.1970209999999999</v>
      </c>
      <c r="T462">
        <v>-0.18259739999999999</v>
      </c>
      <c r="U462">
        <v>9.4024659999999996E-2</v>
      </c>
      <c r="V462">
        <v>-8.6811940000000004E-2</v>
      </c>
      <c r="W462">
        <v>0.29199229999999998</v>
      </c>
      <c r="X462">
        <v>0.9524726</v>
      </c>
      <c r="Y462">
        <v>-2.3036669999999999E-2</v>
      </c>
      <c r="Z462">
        <v>3.3014399999999999E-4</v>
      </c>
      <c r="AA462">
        <v>0.99973460000000003</v>
      </c>
      <c r="AB462">
        <v>32</v>
      </c>
      <c r="AC462">
        <v>18.756699999999899</v>
      </c>
      <c r="AD462">
        <v>-1.0887404556610001</v>
      </c>
      <c r="AE462">
        <v>0.557599999999979</v>
      </c>
      <c r="AF462">
        <v>-0.43731723392171001</v>
      </c>
      <c r="AG462">
        <v>-1.0887404556610001</v>
      </c>
      <c r="AH462">
        <v>18.6969161092379</v>
      </c>
      <c r="AI462">
        <v>93.331718958620698</v>
      </c>
      <c r="AJ462">
        <v>91.339892838420198</v>
      </c>
      <c r="AK462">
        <v>18.733693553027798</v>
      </c>
      <c r="AL462">
        <v>73.0227290345575</v>
      </c>
      <c r="AM462">
        <v>95.207764318736395</v>
      </c>
      <c r="AN462">
        <v>0.99999993496830397</v>
      </c>
    </row>
    <row r="463" spans="1:40" x14ac:dyDescent="0.25">
      <c r="A463" t="str">
        <f>"20190304164344508"</f>
        <v>20190304164344508</v>
      </c>
      <c r="B463" t="str">
        <f>"1551689024500350"</f>
        <v>1551689024500350</v>
      </c>
      <c r="C463" t="s">
        <v>40</v>
      </c>
      <c r="D463">
        <v>4.5485680000000004</v>
      </c>
      <c r="E463">
        <v>0.54200569999999904</v>
      </c>
      <c r="F463" t="s">
        <v>42</v>
      </c>
      <c r="G463">
        <v>-377.61450000000002</v>
      </c>
      <c r="H463" s="1">
        <v>-1.3719120000000001E-6</v>
      </c>
      <c r="I463">
        <v>367.55160000000001</v>
      </c>
      <c r="J463">
        <v>-395.7962</v>
      </c>
      <c r="K463">
        <v>1.091488</v>
      </c>
      <c r="L463">
        <v>367.10219999999998</v>
      </c>
      <c r="M463">
        <v>0.999977</v>
      </c>
      <c r="N463">
        <v>-2.3871550000000002E-3</v>
      </c>
      <c r="O463">
        <v>6.3479670000000004E-3</v>
      </c>
      <c r="P463">
        <v>0.95284449999999998</v>
      </c>
      <c r="Q463">
        <v>0.28894540000000002</v>
      </c>
      <c r="R463">
        <v>9.2725109999999999E-2</v>
      </c>
      <c r="S463">
        <v>3.1994020000000001</v>
      </c>
      <c r="T463">
        <v>-0.18810779999999999</v>
      </c>
      <c r="U463">
        <v>7.8033450000000004E-2</v>
      </c>
      <c r="V463">
        <v>-8.6678420000000006E-2</v>
      </c>
      <c r="W463">
        <v>0.29121920000000001</v>
      </c>
      <c r="X463">
        <v>0.9527215</v>
      </c>
      <c r="Y463">
        <v>-1.8013899999999999E-2</v>
      </c>
      <c r="Z463">
        <v>1.9284789999999999E-4</v>
      </c>
      <c r="AA463">
        <v>0.99983770000000005</v>
      </c>
      <c r="AB463">
        <v>32</v>
      </c>
      <c r="AC463">
        <v>18.1816999999999</v>
      </c>
      <c r="AD463">
        <v>-1.091489371912</v>
      </c>
      <c r="AE463">
        <v>0.449400000000025</v>
      </c>
      <c r="AF463">
        <v>-0.33277523546913501</v>
      </c>
      <c r="AG463">
        <v>-1.091489371912</v>
      </c>
      <c r="AH463">
        <v>18.118927915835101</v>
      </c>
      <c r="AI463">
        <v>93.446768192237698</v>
      </c>
      <c r="AJ463">
        <v>91.052185494414701</v>
      </c>
      <c r="AK463">
        <v>18.1548240758639</v>
      </c>
      <c r="AL463">
        <v>73.069038390388201</v>
      </c>
      <c r="AM463">
        <v>95.198447512402794</v>
      </c>
      <c r="AN463">
        <v>1.00000001375229</v>
      </c>
    </row>
    <row r="464" spans="1:40" x14ac:dyDescent="0.25">
      <c r="A464" t="str">
        <f>"20190304164344520"</f>
        <v>20190304164344520</v>
      </c>
      <c r="B464" t="str">
        <f>"1551689024510109"</f>
        <v>1551689024510109</v>
      </c>
      <c r="C464" t="s">
        <v>40</v>
      </c>
      <c r="D464">
        <v>4.5091330000000003</v>
      </c>
      <c r="E464">
        <v>0.54258209999999996</v>
      </c>
      <c r="F464" t="s">
        <v>42</v>
      </c>
      <c r="G464">
        <v>-377.92809999999997</v>
      </c>
      <c r="H464" s="1">
        <v>-1.2856700000000001E-6</v>
      </c>
      <c r="I464">
        <v>367.38189999999997</v>
      </c>
      <c r="J464">
        <v>-395.60700000000003</v>
      </c>
      <c r="K464">
        <v>1.0929279999999999</v>
      </c>
      <c r="L464">
        <v>367.1035</v>
      </c>
      <c r="M464">
        <v>0.99997630000000004</v>
      </c>
      <c r="N464">
        <v>-2.6605069999999999E-3</v>
      </c>
      <c r="O464">
        <v>6.3548270000000004E-3</v>
      </c>
      <c r="P464">
        <v>0.95299140000000004</v>
      </c>
      <c r="Q464">
        <v>0.28858420000000001</v>
      </c>
      <c r="R464">
        <v>9.2341210000000007E-2</v>
      </c>
      <c r="S464">
        <v>3.2029719999999999</v>
      </c>
      <c r="T464">
        <v>-0.1956561</v>
      </c>
      <c r="U464">
        <v>5.0140379999999998E-2</v>
      </c>
      <c r="V464">
        <v>-8.6285929999999997E-2</v>
      </c>
      <c r="W464">
        <v>0.29111939999999997</v>
      </c>
      <c r="X464">
        <v>0.95278759999999996</v>
      </c>
      <c r="Y464">
        <v>-9.290787E-3</v>
      </c>
      <c r="Z464" s="1">
        <v>-7.5048509999999999E-5</v>
      </c>
      <c r="AA464">
        <v>0.99995679999999998</v>
      </c>
      <c r="AB464">
        <v>32</v>
      </c>
      <c r="AC464">
        <v>17.678899999999999</v>
      </c>
      <c r="AD464">
        <v>-1.0929292856699999</v>
      </c>
      <c r="AE464">
        <v>0.278399999999976</v>
      </c>
      <c r="AF464">
        <v>-0.165415596457995</v>
      </c>
      <c r="AG464">
        <v>-1.0929292856699999</v>
      </c>
      <c r="AH464">
        <v>17.613014600584901</v>
      </c>
      <c r="AI464">
        <v>93.550629922500804</v>
      </c>
      <c r="AJ464">
        <v>90.538087154276795</v>
      </c>
      <c r="AK464">
        <v>17.6476667030926</v>
      </c>
      <c r="AL464">
        <v>73.075015051465698</v>
      </c>
      <c r="AM464">
        <v>95.174679365109697</v>
      </c>
      <c r="AN464">
        <v>0.99999998874304197</v>
      </c>
    </row>
    <row r="465" spans="1:40" x14ac:dyDescent="0.25">
      <c r="A465" t="str">
        <f>"20190304164344532"</f>
        <v>20190304164344532</v>
      </c>
      <c r="B465" t="str">
        <f>"1551689024520845"</f>
        <v>1551689024520845</v>
      </c>
      <c r="C465" t="s">
        <v>40</v>
      </c>
      <c r="D465">
        <v>4.516953</v>
      </c>
      <c r="E465">
        <v>0.54292209999999996</v>
      </c>
      <c r="F465" t="s">
        <v>42</v>
      </c>
      <c r="G465">
        <v>-377.75490000000002</v>
      </c>
      <c r="H465" s="1">
        <v>-1.353422E-6</v>
      </c>
      <c r="I465">
        <v>367.34879999999998</v>
      </c>
      <c r="J465">
        <v>-395.43310000000002</v>
      </c>
      <c r="K465">
        <v>1.0941970000000001</v>
      </c>
      <c r="L465">
        <v>367.1046</v>
      </c>
      <c r="M465">
        <v>0.99997559999999996</v>
      </c>
      <c r="N465">
        <v>-2.9141039999999998E-3</v>
      </c>
      <c r="O465">
        <v>6.3605469999999898E-3</v>
      </c>
      <c r="P465">
        <v>0.9530343</v>
      </c>
      <c r="Q465">
        <v>0.28834470000000001</v>
      </c>
      <c r="R465">
        <v>9.2645439999999996E-2</v>
      </c>
      <c r="S465">
        <v>3.2030940000000001</v>
      </c>
      <c r="T465">
        <v>-0.19609679999999999</v>
      </c>
      <c r="U465">
        <v>4.4036869999999999E-2</v>
      </c>
      <c r="V465">
        <v>-8.658341E-2</v>
      </c>
      <c r="W465">
        <v>0.291122099999999</v>
      </c>
      <c r="X465">
        <v>0.95275980000000005</v>
      </c>
      <c r="Y465">
        <v>-7.3829960000000002E-3</v>
      </c>
      <c r="Z465">
        <v>-1.3394850000000001E-4</v>
      </c>
      <c r="AA465">
        <v>0.9999728</v>
      </c>
      <c r="AB465">
        <v>33</v>
      </c>
      <c r="AC465">
        <v>17.6782</v>
      </c>
      <c r="AD465">
        <v>-1.0941983534219999</v>
      </c>
      <c r="AE465">
        <v>0.24419999999997799</v>
      </c>
      <c r="AF465">
        <v>-0.131248846247458</v>
      </c>
      <c r="AG465">
        <v>-1.0941983534219999</v>
      </c>
      <c r="AH465">
        <v>17.611936586941201</v>
      </c>
      <c r="AI465">
        <v>93.555017150614702</v>
      </c>
      <c r="AJ465">
        <v>90.426975518134</v>
      </c>
      <c r="AK465">
        <v>17.646382253558599</v>
      </c>
      <c r="AL465">
        <v>73.074853549480807</v>
      </c>
      <c r="AM465">
        <v>95.192572952262594</v>
      </c>
      <c r="AN465">
        <v>1.00000000024583</v>
      </c>
    </row>
    <row r="466" spans="1:40" x14ac:dyDescent="0.25">
      <c r="A466" t="str">
        <f>"20190304164344551"</f>
        <v>20190304164344551</v>
      </c>
      <c r="B466" t="str">
        <f>"1551689024540365"</f>
        <v>1551689024540365</v>
      </c>
      <c r="C466" t="s">
        <v>40</v>
      </c>
      <c r="D466">
        <v>4.5356019999999999</v>
      </c>
      <c r="E466">
        <v>0.54366300000000001</v>
      </c>
      <c r="F466" t="s">
        <v>42</v>
      </c>
      <c r="G466">
        <v>-377.52550000000002</v>
      </c>
      <c r="H466" s="1">
        <v>-1.4482E-6</v>
      </c>
      <c r="I466">
        <v>367.33690000000001</v>
      </c>
      <c r="J466">
        <v>-395.1721</v>
      </c>
      <c r="K466">
        <v>1.0959410000000001</v>
      </c>
      <c r="L466">
        <v>367.1062</v>
      </c>
      <c r="M466">
        <v>0.99997440000000004</v>
      </c>
      <c r="N466">
        <v>-3.2836470000000002E-3</v>
      </c>
      <c r="O466">
        <v>6.3684880000000003E-3</v>
      </c>
      <c r="P466">
        <v>0.9530438</v>
      </c>
      <c r="Q466">
        <v>0.28844209999999998</v>
      </c>
      <c r="R466">
        <v>9.2244329999999999E-2</v>
      </c>
      <c r="S466">
        <v>3.2030029999999998</v>
      </c>
      <c r="T466">
        <v>-0.19571089999999999</v>
      </c>
      <c r="U466">
        <v>4.1564940000000002E-2</v>
      </c>
      <c r="V466">
        <v>-8.6173089999999994E-2</v>
      </c>
      <c r="W466">
        <v>0.29157189999999999</v>
      </c>
      <c r="X466">
        <v>0.95265949999999999</v>
      </c>
      <c r="Y466">
        <v>-6.6051790000000001E-3</v>
      </c>
      <c r="Z466">
        <v>-1.5539650000000001E-4</v>
      </c>
      <c r="AA466">
        <v>0.99997820000000004</v>
      </c>
      <c r="AB466">
        <v>33</v>
      </c>
      <c r="AC466">
        <v>17.6465999999999</v>
      </c>
      <c r="AD466">
        <v>-1.0959424482</v>
      </c>
      <c r="AE466">
        <v>0.23070000000001301</v>
      </c>
      <c r="AF466">
        <v>-0.117858058462323</v>
      </c>
      <c r="AG466">
        <v>-1.0959424482</v>
      </c>
      <c r="AH466">
        <v>17.5799166175285</v>
      </c>
      <c r="AI466">
        <v>93.567156588479193</v>
      </c>
      <c r="AJ466">
        <v>90.384112639016905</v>
      </c>
      <c r="AK466">
        <v>17.614438641380701</v>
      </c>
      <c r="AL466">
        <v>73.047914009614004</v>
      </c>
      <c r="AM466">
        <v>95.168640019238694</v>
      </c>
      <c r="AN466">
        <v>1.000000048625</v>
      </c>
    </row>
    <row r="467" spans="1:40" x14ac:dyDescent="0.25">
      <c r="A467" t="str">
        <f>"20190304164344564"</f>
        <v>20190304164344564</v>
      </c>
      <c r="B467" t="str">
        <f>"1551689024550125"</f>
        <v>1551689024550125</v>
      </c>
      <c r="C467" t="s">
        <v>40</v>
      </c>
      <c r="D467">
        <v>4.555631</v>
      </c>
      <c r="E467">
        <v>0.54394869999999995</v>
      </c>
      <c r="F467" t="s">
        <v>42</v>
      </c>
      <c r="G467">
        <v>-377.25319999999999</v>
      </c>
      <c r="H467" s="1">
        <v>-1.5718370000000001E-6</v>
      </c>
      <c r="I467">
        <v>367.29829999999998</v>
      </c>
      <c r="J467">
        <v>-394.97820000000002</v>
      </c>
      <c r="K467">
        <v>1.0971280000000001</v>
      </c>
      <c r="L467">
        <v>367.10750000000002</v>
      </c>
      <c r="M467">
        <v>0.99997349999999996</v>
      </c>
      <c r="N467">
        <v>-3.5446039999999998E-3</v>
      </c>
      <c r="O467">
        <v>6.3741149999999996E-3</v>
      </c>
      <c r="P467">
        <v>0.9532157</v>
      </c>
      <c r="Q467">
        <v>0.28790860000000001</v>
      </c>
      <c r="R467">
        <v>9.2133129999999994E-2</v>
      </c>
      <c r="S467">
        <v>3.2037960000000001</v>
      </c>
      <c r="T467">
        <v>-0.1959485</v>
      </c>
      <c r="U467">
        <v>3.4362789999999997E-2</v>
      </c>
      <c r="V467">
        <v>-8.605459E-2</v>
      </c>
      <c r="W467">
        <v>0.29128769999999998</v>
      </c>
      <c r="X467">
        <v>0.95275710000000002</v>
      </c>
      <c r="Y467">
        <v>-4.3529900000000002E-3</v>
      </c>
      <c r="Z467">
        <v>-2.2618350000000001E-4</v>
      </c>
      <c r="AA467">
        <v>0.9999905</v>
      </c>
      <c r="AB467">
        <v>33</v>
      </c>
      <c r="AC467">
        <v>17.725000000000001</v>
      </c>
      <c r="AD467">
        <v>-1.097129571837</v>
      </c>
      <c r="AE467">
        <v>0.190799999999967</v>
      </c>
      <c r="AF467">
        <v>-7.7517281074365701E-2</v>
      </c>
      <c r="AG467">
        <v>-1.097129571837</v>
      </c>
      <c r="AH467">
        <v>17.658210476521798</v>
      </c>
      <c r="AI467">
        <v>93.555263430672895</v>
      </c>
      <c r="AJ467">
        <v>90.251519513883096</v>
      </c>
      <c r="AK467">
        <v>17.692430569580001</v>
      </c>
      <c r="AL467">
        <v>73.064935595863204</v>
      </c>
      <c r="AM467">
        <v>95.161044944694794</v>
      </c>
      <c r="AN467">
        <v>1.0000000041158801</v>
      </c>
    </row>
    <row r="468" spans="1:40" x14ac:dyDescent="0.25">
      <c r="A468" t="str">
        <f>"20190304164344576"</f>
        <v>20190304164344576</v>
      </c>
      <c r="B468" t="str">
        <f>"1551689024570622"</f>
        <v>1551689024570622</v>
      </c>
      <c r="C468" t="s">
        <v>40</v>
      </c>
      <c r="D468">
        <v>4.5462899999999999</v>
      </c>
      <c r="E468">
        <v>0.54453439999999997</v>
      </c>
      <c r="F468" t="s">
        <v>42</v>
      </c>
      <c r="G468">
        <v>-377.19799999999998</v>
      </c>
      <c r="H468" s="1">
        <v>-1.5979120000000001E-6</v>
      </c>
      <c r="I468">
        <v>367.28489999999999</v>
      </c>
      <c r="J468">
        <v>-394.8021</v>
      </c>
      <c r="K468">
        <v>1.09815</v>
      </c>
      <c r="L468">
        <v>367.10860000000002</v>
      </c>
      <c r="M468">
        <v>0.99997259999999999</v>
      </c>
      <c r="N468">
        <v>-3.7751159999999998E-3</v>
      </c>
      <c r="O468">
        <v>6.3790499999999998E-3</v>
      </c>
      <c r="P468">
        <v>0.9532195</v>
      </c>
      <c r="Q468">
        <v>0.28796860000000002</v>
      </c>
      <c r="R468">
        <v>9.1906440000000006E-2</v>
      </c>
      <c r="S468">
        <v>3.203827</v>
      </c>
      <c r="T468">
        <v>-0.1976926</v>
      </c>
      <c r="U468">
        <v>3.1982419999999998E-2</v>
      </c>
      <c r="V468">
        <v>-8.5822490000000001E-2</v>
      </c>
      <c r="W468">
        <v>0.29156769999999999</v>
      </c>
      <c r="X468">
        <v>0.95269239999999999</v>
      </c>
      <c r="Y468">
        <v>-3.606504E-3</v>
      </c>
      <c r="Z468">
        <v>-2.5119539999999998E-4</v>
      </c>
      <c r="AA468">
        <v>0.99999340000000003</v>
      </c>
      <c r="AB468">
        <v>33</v>
      </c>
      <c r="AC468">
        <v>17.604099999999899</v>
      </c>
      <c r="AD468">
        <v>-1.098151597912</v>
      </c>
      <c r="AE468">
        <v>0.17629999999996901</v>
      </c>
      <c r="AF468">
        <v>-6.3750139374695106E-2</v>
      </c>
      <c r="AG468">
        <v>-1.098151597912</v>
      </c>
      <c r="AH468">
        <v>17.536632645080299</v>
      </c>
      <c r="AI468">
        <v>93.583184384668797</v>
      </c>
      <c r="AJ468">
        <v>90.208283877168796</v>
      </c>
      <c r="AK468">
        <v>17.571098017504902</v>
      </c>
      <c r="AL468">
        <v>73.048165017353298</v>
      </c>
      <c r="AM468">
        <v>95.147547516297607</v>
      </c>
      <c r="AN468">
        <v>1.0000000162454199</v>
      </c>
    </row>
    <row r="469" spans="1:40" x14ac:dyDescent="0.25">
      <c r="A469" t="str">
        <f>"20190304164344588"</f>
        <v>20190304164344588</v>
      </c>
      <c r="B469" t="str">
        <f>"1551689024580891"</f>
        <v>1551689024580891</v>
      </c>
      <c r="C469" t="s">
        <v>40</v>
      </c>
      <c r="D469">
        <v>4.5433529999999998</v>
      </c>
      <c r="E469">
        <v>0.54487229999999998</v>
      </c>
      <c r="F469" t="s">
        <v>41</v>
      </c>
      <c r="G469">
        <v>-393.80450000000002</v>
      </c>
      <c r="H469">
        <v>1.0363929999999999</v>
      </c>
      <c r="I469">
        <v>367.11649999999997</v>
      </c>
      <c r="J469">
        <v>-394.60070000000002</v>
      </c>
      <c r="K469">
        <v>1.099216</v>
      </c>
      <c r="L469">
        <v>367.10989999999998</v>
      </c>
      <c r="M469">
        <v>0.99997139999999995</v>
      </c>
      <c r="N469">
        <v>-4.0231650000000004E-3</v>
      </c>
      <c r="O469">
        <v>6.3849369999999898E-3</v>
      </c>
      <c r="P469">
        <v>0.9532967</v>
      </c>
      <c r="Q469">
        <v>0.28771750000000001</v>
      </c>
      <c r="R469">
        <v>9.1889890000000002E-2</v>
      </c>
      <c r="S469">
        <v>3.204742</v>
      </c>
      <c r="T469">
        <v>-0.19861690000000001</v>
      </c>
      <c r="U469">
        <v>2.6397710000000001E-2</v>
      </c>
      <c r="V469">
        <v>-8.5799280000000006E-2</v>
      </c>
      <c r="W469">
        <v>0.29155310000000001</v>
      </c>
      <c r="X469">
        <v>0.95269890000000002</v>
      </c>
      <c r="Y469">
        <v>-1.858768E-3</v>
      </c>
      <c r="Z469">
        <v>-3.0837099999999999E-4</v>
      </c>
      <c r="AA469">
        <v>0.99999819999999995</v>
      </c>
      <c r="AB469">
        <v>33</v>
      </c>
      <c r="AC469">
        <v>0.79619999999999802</v>
      </c>
      <c r="AD469">
        <v>-6.2822999999999796E-2</v>
      </c>
      <c r="AE469">
        <v>6.5999999999917201E-3</v>
      </c>
      <c r="AF469">
        <v>-1.5067567820503799E-3</v>
      </c>
      <c r="AG469">
        <v>-6.2822999999999796E-2</v>
      </c>
      <c r="AH469">
        <v>0.79129979978586895</v>
      </c>
      <c r="AI469">
        <v>94.539306181188905</v>
      </c>
      <c r="AJ469">
        <v>90.109099863349201</v>
      </c>
      <c r="AK469">
        <v>0.79379113927163303</v>
      </c>
      <c r="AL469">
        <v>73.049038554485506</v>
      </c>
      <c r="AM469">
        <v>95.146127957168204</v>
      </c>
      <c r="AN469">
        <v>0.99999996031466798</v>
      </c>
    </row>
    <row r="470" spans="1:40" x14ac:dyDescent="0.25">
      <c r="A470" t="str">
        <f>"20190304164344608"</f>
        <v>20190304164344608</v>
      </c>
      <c r="B470" t="str">
        <f>"1551689024600408"</f>
        <v>1551689024600408</v>
      </c>
      <c r="C470" t="s">
        <v>40</v>
      </c>
      <c r="D470">
        <v>4.5438429999999999</v>
      </c>
      <c r="E470">
        <v>0.545328699999999</v>
      </c>
      <c r="F470" t="s">
        <v>42</v>
      </c>
      <c r="G470">
        <v>-376.95580000000001</v>
      </c>
      <c r="H470" s="1">
        <v>-1.709198E-6</v>
      </c>
      <c r="I470">
        <v>367.2432</v>
      </c>
      <c r="J470">
        <v>-394.33080000000001</v>
      </c>
      <c r="K470">
        <v>1.1005229999999999</v>
      </c>
      <c r="L470">
        <v>367.11160000000001</v>
      </c>
      <c r="M470">
        <v>0.99997009999999997</v>
      </c>
      <c r="N470">
        <v>-4.3370309999999999E-3</v>
      </c>
      <c r="O470">
        <v>6.3928539999999999E-3</v>
      </c>
      <c r="P470">
        <v>0.95335049999999999</v>
      </c>
      <c r="Q470">
        <v>0.28756720000000002</v>
      </c>
      <c r="R470">
        <v>9.1803629999999997E-2</v>
      </c>
      <c r="S470">
        <v>3.204895</v>
      </c>
      <c r="T470">
        <v>-0.199654</v>
      </c>
      <c r="U470">
        <v>2.4230959999999999E-2</v>
      </c>
      <c r="V470">
        <v>-8.5704820000000001E-2</v>
      </c>
      <c r="W470">
        <v>0.29170230000000003</v>
      </c>
      <c r="X470">
        <v>0.9526618</v>
      </c>
      <c r="Y470">
        <v>-1.175794E-3</v>
      </c>
      <c r="Z470">
        <v>-3.3101570000000001E-4</v>
      </c>
      <c r="AA470">
        <v>0.99999919999999998</v>
      </c>
      <c r="AB470">
        <v>33</v>
      </c>
      <c r="AC470">
        <v>17.375</v>
      </c>
      <c r="AD470">
        <v>-1.1005247091979999</v>
      </c>
      <c r="AE470">
        <v>0.131599999999991</v>
      </c>
      <c r="AF470">
        <v>-2.0438428937231801E-2</v>
      </c>
      <c r="AG470">
        <v>-1.1005247091979999</v>
      </c>
      <c r="AH470">
        <v>17.306060072561099</v>
      </c>
      <c r="AI470">
        <v>93.638643661078106</v>
      </c>
      <c r="AJ470">
        <v>90.067666191417004</v>
      </c>
      <c r="AK470">
        <v>17.3410290236775</v>
      </c>
      <c r="AL470">
        <v>73.040102707209897</v>
      </c>
      <c r="AM470">
        <v>95.140691857651106</v>
      </c>
      <c r="AN470">
        <v>1.0000000265878799</v>
      </c>
    </row>
    <row r="471" spans="1:40" x14ac:dyDescent="0.25">
      <c r="A471" t="str">
        <f>"20190304164344619"</f>
        <v>20190304164344619</v>
      </c>
      <c r="B471" t="str">
        <f>"1551689024610169"</f>
        <v>1551689024610169</v>
      </c>
      <c r="C471" t="s">
        <v>40</v>
      </c>
      <c r="D471">
        <v>4.5502789999999997</v>
      </c>
      <c r="E471">
        <v>0.54553249999999998</v>
      </c>
      <c r="F471" t="s">
        <v>42</v>
      </c>
      <c r="G471">
        <v>-376.7242</v>
      </c>
      <c r="H471" s="1">
        <v>-1.8115839999999999E-6</v>
      </c>
      <c r="I471">
        <v>367.22620000000001</v>
      </c>
      <c r="J471">
        <v>-394.15609999999998</v>
      </c>
      <c r="K471">
        <v>1.1012900000000001</v>
      </c>
      <c r="L471">
        <v>367.11279999999999</v>
      </c>
      <c r="M471">
        <v>0.99996940000000001</v>
      </c>
      <c r="N471">
        <v>-4.5265970000000003E-3</v>
      </c>
      <c r="O471">
        <v>6.3977929999999997E-3</v>
      </c>
      <c r="P471">
        <v>0.95327229999999996</v>
      </c>
      <c r="Q471">
        <v>0.28781109999999999</v>
      </c>
      <c r="R471">
        <v>9.1852409999999995E-2</v>
      </c>
      <c r="S471">
        <v>3.2052610000000001</v>
      </c>
      <c r="T471">
        <v>-0.200349</v>
      </c>
      <c r="U471">
        <v>2.087402E-2</v>
      </c>
      <c r="V471">
        <v>-8.5749060000000002E-2</v>
      </c>
      <c r="W471">
        <v>0.29212690000000002</v>
      </c>
      <c r="X471">
        <v>0.95252769999999998</v>
      </c>
      <c r="Y471">
        <v>-1.24912E-4</v>
      </c>
      <c r="Z471">
        <v>-3.6638680000000001E-4</v>
      </c>
      <c r="AA471">
        <v>0.99999990000000005</v>
      </c>
      <c r="AB471">
        <v>33</v>
      </c>
      <c r="AC471">
        <v>17.431899999999899</v>
      </c>
      <c r="AD471">
        <v>-1.10129181158399</v>
      </c>
      <c r="AE471">
        <v>0.11340000000001201</v>
      </c>
      <c r="AF471">
        <v>-1.8634239357844999E-3</v>
      </c>
      <c r="AG471">
        <v>-1.10129181158399</v>
      </c>
      <c r="AH471">
        <v>17.362970695756601</v>
      </c>
      <c r="AI471">
        <v>93.629272873714697</v>
      </c>
      <c r="AJ471">
        <v>90.006149081768598</v>
      </c>
      <c r="AK471">
        <v>17.397861894736199</v>
      </c>
      <c r="AL471">
        <v>73.014666993733599</v>
      </c>
      <c r="AM471">
        <v>95.144051414809297</v>
      </c>
      <c r="AN471">
        <v>1.0000000231308901</v>
      </c>
    </row>
    <row r="472" spans="1:40" x14ac:dyDescent="0.25">
      <c r="A472" t="str">
        <f>"20190304164344630"</f>
        <v>20190304164344630</v>
      </c>
      <c r="B472" t="str">
        <f>"1551689024620905"</f>
        <v>1551689024620905</v>
      </c>
      <c r="C472" t="s">
        <v>40</v>
      </c>
      <c r="D472">
        <v>4.5542569999999998</v>
      </c>
      <c r="E472">
        <v>0.54576550000000001</v>
      </c>
      <c r="F472" t="s">
        <v>42</v>
      </c>
      <c r="G472">
        <v>-376.41340000000002</v>
      </c>
      <c r="H472" s="1">
        <v>-1.9462870000000002E-6</v>
      </c>
      <c r="I472">
        <v>367.21859999999998</v>
      </c>
      <c r="J472">
        <v>-393.98739999999998</v>
      </c>
      <c r="K472">
        <v>1.1019859999999999</v>
      </c>
      <c r="L472">
        <v>367.11380000000003</v>
      </c>
      <c r="M472">
        <v>0.99996859999999999</v>
      </c>
      <c r="N472">
        <v>-4.700175E-3</v>
      </c>
      <c r="O472">
        <v>6.4029300000000003E-3</v>
      </c>
      <c r="P472">
        <v>0.95326509999999998</v>
      </c>
      <c r="Q472">
        <v>0.2877902</v>
      </c>
      <c r="R472">
        <v>9.1994660000000006E-2</v>
      </c>
      <c r="S472">
        <v>3.2053219999999998</v>
      </c>
      <c r="T472">
        <v>-0.19895360000000001</v>
      </c>
      <c r="U472">
        <v>1.9134519999999999E-2</v>
      </c>
      <c r="V472">
        <v>-8.5885909999999996E-2</v>
      </c>
      <c r="W472">
        <v>0.292271</v>
      </c>
      <c r="X472">
        <v>0.95247110000000001</v>
      </c>
      <c r="Y472">
        <v>4.221052E-4</v>
      </c>
      <c r="Z472">
        <v>-3.8105080000000002E-4</v>
      </c>
      <c r="AA472">
        <v>0.99999979999999999</v>
      </c>
      <c r="AB472">
        <v>33</v>
      </c>
      <c r="AC472">
        <v>17.573999999999899</v>
      </c>
      <c r="AD472">
        <v>-1.1019879462869999</v>
      </c>
      <c r="AE472">
        <v>0.104799999999954</v>
      </c>
      <c r="AF472">
        <v>7.6981986202294397E-3</v>
      </c>
      <c r="AG472">
        <v>-1.1019879462869999</v>
      </c>
      <c r="AH472">
        <v>17.5054818395501</v>
      </c>
      <c r="AI472">
        <v>93.602074323848896</v>
      </c>
      <c r="AJ472">
        <v>89.974803649142402</v>
      </c>
      <c r="AK472">
        <v>17.540134866381202</v>
      </c>
      <c r="AL472">
        <v>73.006032826467703</v>
      </c>
      <c r="AM472">
        <v>95.152521360630203</v>
      </c>
      <c r="AN472">
        <v>0.99999996165636795</v>
      </c>
    </row>
    <row r="473" spans="1:40" x14ac:dyDescent="0.25">
      <c r="A473" t="str">
        <f>"20190304164344643"</f>
        <v>20190304164344643</v>
      </c>
      <c r="B473" t="str">
        <f>"1551689024630665"</f>
        <v>1551689024630665</v>
      </c>
      <c r="C473" t="s">
        <v>40</v>
      </c>
      <c r="D473">
        <v>4.557029</v>
      </c>
      <c r="E473">
        <v>0.54598310000000005</v>
      </c>
      <c r="F473" t="s">
        <v>42</v>
      </c>
      <c r="G473">
        <v>-376.26659999999998</v>
      </c>
      <c r="H473" s="1">
        <v>-2.010422E-6</v>
      </c>
      <c r="I473">
        <v>367.21190000000001</v>
      </c>
      <c r="J473">
        <v>-393.82299999999998</v>
      </c>
      <c r="K473">
        <v>1.1026</v>
      </c>
      <c r="L473">
        <v>367.11489999999998</v>
      </c>
      <c r="M473">
        <v>0.99996770000000001</v>
      </c>
      <c r="N473">
        <v>-4.855547E-3</v>
      </c>
      <c r="O473">
        <v>6.4080969999999998E-3</v>
      </c>
      <c r="P473">
        <v>0.95334989999999997</v>
      </c>
      <c r="Q473">
        <v>0.28744710000000001</v>
      </c>
      <c r="R473">
        <v>9.2185619999999996E-2</v>
      </c>
      <c r="S473">
        <v>3.2055359999999999</v>
      </c>
      <c r="T473">
        <v>-0.1993393</v>
      </c>
      <c r="U473">
        <v>1.7761229999999999E-2</v>
      </c>
      <c r="V473">
        <v>-8.607157E-2</v>
      </c>
      <c r="W473">
        <v>0.29207620000000001</v>
      </c>
      <c r="X473">
        <v>0.95251410000000003</v>
      </c>
      <c r="Y473">
        <v>8.5517280000000002E-4</v>
      </c>
      <c r="Z473">
        <v>-3.9565720000000001E-4</v>
      </c>
      <c r="AA473">
        <v>0.99999959999999999</v>
      </c>
      <c r="AB473">
        <v>33</v>
      </c>
      <c r="AC473">
        <v>17.5564</v>
      </c>
      <c r="AD473">
        <v>-1.102602010422</v>
      </c>
      <c r="AE473">
        <v>9.7000000000036807E-2</v>
      </c>
      <c r="AF473">
        <v>1.54455103437237E-2</v>
      </c>
      <c r="AG473">
        <v>-1.102602010422</v>
      </c>
      <c r="AH473">
        <v>17.487687062850899</v>
      </c>
      <c r="AI473">
        <v>93.607732858217304</v>
      </c>
      <c r="AJ473">
        <v>89.949395118872701</v>
      </c>
      <c r="AK473">
        <v>17.522419027217101</v>
      </c>
      <c r="AL473">
        <v>73.017703361710005</v>
      </c>
      <c r="AM473">
        <v>95.163367600764801</v>
      </c>
      <c r="AN473">
        <v>0.99999996623375598</v>
      </c>
    </row>
    <row r="474" spans="1:40" x14ac:dyDescent="0.25">
      <c r="A474" t="str">
        <f>"20190304164344655"</f>
        <v>20190304164344655</v>
      </c>
      <c r="B474" t="str">
        <f>"1551689024650185"</f>
        <v>1551689024650185</v>
      </c>
      <c r="C474" t="s">
        <v>40</v>
      </c>
      <c r="D474">
        <v>4.5569110000000004</v>
      </c>
      <c r="E474">
        <v>0.54625880000000004</v>
      </c>
      <c r="F474" t="s">
        <v>42</v>
      </c>
      <c r="G474">
        <v>-376.2319</v>
      </c>
      <c r="H474" s="1">
        <v>-2.0260019999999998E-6</v>
      </c>
      <c r="I474">
        <v>367.2081</v>
      </c>
      <c r="J474">
        <v>-393.64620000000002</v>
      </c>
      <c r="K474">
        <v>1.103232</v>
      </c>
      <c r="L474">
        <v>367.11599999999999</v>
      </c>
      <c r="M474">
        <v>0.99996689999999999</v>
      </c>
      <c r="N474">
        <v>-5.0174649999999996E-3</v>
      </c>
      <c r="O474">
        <v>6.4134140000000001E-3</v>
      </c>
      <c r="P474">
        <v>0.9534376</v>
      </c>
      <c r="Q474">
        <v>0.28703220000000002</v>
      </c>
      <c r="R474">
        <v>9.2571039999999993E-2</v>
      </c>
      <c r="S474">
        <v>3.2057500000000001</v>
      </c>
      <c r="T474">
        <v>-0.2009339</v>
      </c>
      <c r="U474">
        <v>1.6998289999999999E-2</v>
      </c>
      <c r="V474">
        <v>-8.6451169999999994E-2</v>
      </c>
      <c r="W474">
        <v>0.29181629999999997</v>
      </c>
      <c r="X474">
        <v>0.95255939999999995</v>
      </c>
      <c r="Y474">
        <v>1.0981700000000001E-3</v>
      </c>
      <c r="Z474">
        <v>-4.0657710000000001E-4</v>
      </c>
      <c r="AA474">
        <v>0.99999930000000004</v>
      </c>
      <c r="AB474">
        <v>33</v>
      </c>
      <c r="AC474">
        <v>17.414300000000001</v>
      </c>
      <c r="AD474">
        <v>-1.1032340260019999</v>
      </c>
      <c r="AE474">
        <v>9.2100000000016197E-2</v>
      </c>
      <c r="AF474">
        <v>1.951010781849E-2</v>
      </c>
      <c r="AG474">
        <v>-1.1032340260019999</v>
      </c>
      <c r="AH474">
        <v>17.344920639299499</v>
      </c>
      <c r="AI474">
        <v>93.639427249356501</v>
      </c>
      <c r="AJ474">
        <v>89.935551947014204</v>
      </c>
      <c r="AK474">
        <v>17.3799821042495</v>
      </c>
      <c r="AL474">
        <v>73.033273136168106</v>
      </c>
      <c r="AM474">
        <v>95.185770331868198</v>
      </c>
      <c r="AN474">
        <v>0.99999998413420899</v>
      </c>
    </row>
    <row r="475" spans="1:40" x14ac:dyDescent="0.25">
      <c r="A475" t="str">
        <f>"20190304164344667"</f>
        <v>20190304164344667</v>
      </c>
      <c r="B475" t="str">
        <f>"1551689024660920"</f>
        <v>1551689024660920</v>
      </c>
      <c r="C475" t="s">
        <v>40</v>
      </c>
      <c r="D475">
        <v>4.5794459999999999</v>
      </c>
      <c r="E475">
        <v>0.54643920000000001</v>
      </c>
      <c r="F475" t="s">
        <v>41</v>
      </c>
      <c r="G475">
        <v>-392.62400000000002</v>
      </c>
      <c r="H475">
        <v>1.0389679999999999</v>
      </c>
      <c r="I475">
        <v>367.12079999999997</v>
      </c>
      <c r="J475">
        <v>-393.45030000000003</v>
      </c>
      <c r="K475">
        <v>1.103842</v>
      </c>
      <c r="L475">
        <v>367.1173</v>
      </c>
      <c r="M475">
        <v>0.99996600000000002</v>
      </c>
      <c r="N475">
        <v>-5.1773380000000001E-3</v>
      </c>
      <c r="O475">
        <v>6.4195579999999997E-3</v>
      </c>
      <c r="P475">
        <v>0.95346520000000001</v>
      </c>
      <c r="Q475">
        <v>0.28694789999999998</v>
      </c>
      <c r="R475">
        <v>9.2548530000000004E-2</v>
      </c>
      <c r="S475">
        <v>3.2057190000000002</v>
      </c>
      <c r="T475">
        <v>-0.20168269999999999</v>
      </c>
      <c r="U475">
        <v>1.5594480000000001E-2</v>
      </c>
      <c r="V475">
        <v>-8.6422479999999996E-2</v>
      </c>
      <c r="W475">
        <v>0.2918847</v>
      </c>
      <c r="X475">
        <v>0.95254110000000003</v>
      </c>
      <c r="Y475">
        <v>1.541157E-3</v>
      </c>
      <c r="Z475">
        <v>-4.2269040000000001E-4</v>
      </c>
      <c r="AA475">
        <v>0.99999870000000002</v>
      </c>
      <c r="AB475">
        <v>33</v>
      </c>
      <c r="AC475">
        <v>0.82630000000000303</v>
      </c>
      <c r="AD475">
        <v>-6.4873999999999807E-2</v>
      </c>
      <c r="AE475">
        <v>3.4999999999740798E-3</v>
      </c>
      <c r="AF475">
        <v>1.79356850699978E-3</v>
      </c>
      <c r="AG475">
        <v>-6.4873999999999807E-2</v>
      </c>
      <c r="AH475">
        <v>0.82124335121424896</v>
      </c>
      <c r="AI475">
        <v>94.516681686904505</v>
      </c>
      <c r="AJ475">
        <v>89.874868098253103</v>
      </c>
      <c r="AK475">
        <v>0.82380367483861106</v>
      </c>
      <c r="AL475">
        <v>73.029176611742102</v>
      </c>
      <c r="AM475">
        <v>95.184157794080704</v>
      </c>
      <c r="AN475">
        <v>1.0000000351663201</v>
      </c>
    </row>
    <row r="476" spans="1:40" x14ac:dyDescent="0.25">
      <c r="A476" t="str">
        <f>"20190304164344681"</f>
        <v>20190304164344681</v>
      </c>
      <c r="B476" t="str">
        <f>"1551689024670680"</f>
        <v>1551689024670680</v>
      </c>
      <c r="C476" t="s">
        <v>40</v>
      </c>
      <c r="D476">
        <v>4.5574009999999996</v>
      </c>
      <c r="E476">
        <v>0.54657630000000001</v>
      </c>
      <c r="F476" t="s">
        <v>42</v>
      </c>
      <c r="G476">
        <v>-375.98099999999999</v>
      </c>
      <c r="H476" s="1">
        <v>-2.1353469999999999E-6</v>
      </c>
      <c r="I476">
        <v>367.19830000000002</v>
      </c>
      <c r="J476">
        <v>-393.24740000000003</v>
      </c>
      <c r="K476">
        <v>1.1044290000000001</v>
      </c>
      <c r="L476">
        <v>367.11860000000001</v>
      </c>
      <c r="M476">
        <v>0.9999652</v>
      </c>
      <c r="N476">
        <v>-5.3331100000000003E-3</v>
      </c>
      <c r="O476">
        <v>6.4262360000000001E-3</v>
      </c>
      <c r="P476">
        <v>0.95353849999999996</v>
      </c>
      <c r="Q476">
        <v>0.28661449999999999</v>
      </c>
      <c r="R476">
        <v>9.2825309999999994E-2</v>
      </c>
      <c r="S476">
        <v>3.205902</v>
      </c>
      <c r="T476">
        <v>-0.2025738</v>
      </c>
      <c r="U476">
        <v>1.4892580000000001E-2</v>
      </c>
      <c r="V476">
        <v>-8.669193E-2</v>
      </c>
      <c r="W476">
        <v>0.29170000000000001</v>
      </c>
      <c r="X476">
        <v>0.95257309999999995</v>
      </c>
      <c r="Y476">
        <v>1.7664759999999999E-3</v>
      </c>
      <c r="Z476">
        <v>-4.3187770000000002E-4</v>
      </c>
      <c r="AA476">
        <v>0.99999830000000001</v>
      </c>
      <c r="AB476">
        <v>33</v>
      </c>
      <c r="AC476">
        <v>17.266400000000001</v>
      </c>
      <c r="AD476">
        <v>-1.104431135347</v>
      </c>
      <c r="AE476">
        <v>7.9700000000002505E-2</v>
      </c>
      <c r="AF476">
        <v>3.1133798592951598E-2</v>
      </c>
      <c r="AG476">
        <v>-1.104431135347</v>
      </c>
      <c r="AH476">
        <v>17.1962003255178</v>
      </c>
      <c r="AI476">
        <v>93.674785500084397</v>
      </c>
      <c r="AJ476">
        <v>89.896265844969804</v>
      </c>
      <c r="AK476">
        <v>17.2316581640153</v>
      </c>
      <c r="AL476">
        <v>73.040239067404499</v>
      </c>
      <c r="AM476">
        <v>95.2000588641707</v>
      </c>
      <c r="AN476">
        <v>0.999999945785366</v>
      </c>
    </row>
    <row r="477" spans="1:40" x14ac:dyDescent="0.25">
      <c r="A477" t="str">
        <f>"20190304164344698"</f>
        <v>20190304164344698</v>
      </c>
      <c r="B477" t="str">
        <f>"1551689024690707"</f>
        <v>1551689024690707</v>
      </c>
      <c r="C477" t="s">
        <v>40</v>
      </c>
      <c r="D477">
        <v>4.6140109999999996</v>
      </c>
      <c r="E477">
        <v>0.54688190000000003</v>
      </c>
      <c r="F477" t="s">
        <v>42</v>
      </c>
      <c r="G477">
        <v>-375.79090000000002</v>
      </c>
      <c r="H477" s="1">
        <v>-2.2168769999999999E-6</v>
      </c>
      <c r="I477">
        <v>367.1986</v>
      </c>
      <c r="J477">
        <v>-392.9984</v>
      </c>
      <c r="K477">
        <v>1.105075</v>
      </c>
      <c r="L477">
        <v>367.12020000000001</v>
      </c>
      <c r="M477">
        <v>0.99996419999999997</v>
      </c>
      <c r="N477">
        <v>-5.5088300000000002E-3</v>
      </c>
      <c r="O477">
        <v>6.4341569999999898E-3</v>
      </c>
      <c r="P477">
        <v>0.9535768</v>
      </c>
      <c r="Q477">
        <v>0.28643489999999999</v>
      </c>
      <c r="R477">
        <v>9.2985999999999999E-2</v>
      </c>
      <c r="S477">
        <v>3.2057190000000002</v>
      </c>
      <c r="T477">
        <v>-0.20281730000000001</v>
      </c>
      <c r="U477">
        <v>1.4709470000000001E-2</v>
      </c>
      <c r="V477">
        <v>-8.6844439999999995E-2</v>
      </c>
      <c r="W477">
        <v>0.29168810000000001</v>
      </c>
      <c r="X477">
        <v>0.95256289999999999</v>
      </c>
      <c r="Y477">
        <v>1.831119E-3</v>
      </c>
      <c r="Z477">
        <v>-4.34163E-4</v>
      </c>
      <c r="AA477">
        <v>0.99999819999999995</v>
      </c>
      <c r="AB477">
        <v>33</v>
      </c>
      <c r="AC477">
        <v>17.2074999999999</v>
      </c>
      <c r="AD477">
        <v>-1.105077216877</v>
      </c>
      <c r="AE477">
        <v>7.8399999999987799E-2</v>
      </c>
      <c r="AF477">
        <v>3.2186308258172001E-2</v>
      </c>
      <c r="AG477">
        <v>-1.105077216877</v>
      </c>
      <c r="AH477">
        <v>17.136971794348401</v>
      </c>
      <c r="AI477">
        <v>93.689601961347506</v>
      </c>
      <c r="AJ477">
        <v>89.892388370886096</v>
      </c>
      <c r="AK477">
        <v>17.172595432665101</v>
      </c>
      <c r="AL477">
        <v>73.040952684371902</v>
      </c>
      <c r="AM477">
        <v>95.209212089610702</v>
      </c>
      <c r="AN477">
        <v>0.99999999144846596</v>
      </c>
    </row>
    <row r="478" spans="1:40" x14ac:dyDescent="0.25">
      <c r="A478" t="str">
        <f>"20190304164344719"</f>
        <v>20190304164344719</v>
      </c>
      <c r="B478" t="str">
        <f>"1551689024710227"</f>
        <v>1551689024710227</v>
      </c>
      <c r="C478" t="s">
        <v>40</v>
      </c>
      <c r="D478">
        <v>4.5643260000000003</v>
      </c>
      <c r="E478">
        <v>0.54715959999999997</v>
      </c>
      <c r="F478" t="s">
        <v>41</v>
      </c>
      <c r="G478">
        <v>-392.02199999999999</v>
      </c>
      <c r="H478">
        <v>1.0429389999999901</v>
      </c>
      <c r="I478">
        <v>367.12400000000002</v>
      </c>
      <c r="J478">
        <v>-392.68689999999998</v>
      </c>
      <c r="K478">
        <v>1.105772</v>
      </c>
      <c r="L478">
        <v>367.12220000000002</v>
      </c>
      <c r="M478">
        <v>0.99996309999999999</v>
      </c>
      <c r="N478">
        <v>-5.70251E-3</v>
      </c>
      <c r="O478">
        <v>6.4433249999999997E-3</v>
      </c>
      <c r="P478">
        <v>0.95368609999999998</v>
      </c>
      <c r="Q478">
        <v>0.28621580000000002</v>
      </c>
      <c r="R478">
        <v>9.2539179999999999E-2</v>
      </c>
      <c r="S478">
        <v>3.2060550000000001</v>
      </c>
      <c r="T478">
        <v>-0.20416019999999999</v>
      </c>
      <c r="U478">
        <v>1.324463E-2</v>
      </c>
      <c r="V478">
        <v>-8.6388430000000002E-2</v>
      </c>
      <c r="W478">
        <v>0.29165390000000002</v>
      </c>
      <c r="X478">
        <v>0.95261479999999998</v>
      </c>
      <c r="Y478">
        <v>2.2964790000000001E-3</v>
      </c>
      <c r="Z478">
        <v>-4.5277840000000001E-4</v>
      </c>
      <c r="AA478">
        <v>0.99999729999999998</v>
      </c>
      <c r="AB478">
        <v>33</v>
      </c>
      <c r="AC478">
        <v>0.66489999999998795</v>
      </c>
      <c r="AD478">
        <v>-6.2833000000000097E-2</v>
      </c>
      <c r="AE478">
        <v>1.8000000000029099E-3</v>
      </c>
      <c r="AF478">
        <v>2.4622846900188302E-3</v>
      </c>
      <c r="AG478">
        <v>-6.2833000000000097E-2</v>
      </c>
      <c r="AH478">
        <v>0.65901269977861499</v>
      </c>
      <c r="AI478">
        <v>95.4463155628804</v>
      </c>
      <c r="AJ478">
        <v>89.785925424108001</v>
      </c>
      <c r="AK478">
        <v>0.66200588154818796</v>
      </c>
      <c r="AL478">
        <v>73.043000685878695</v>
      </c>
      <c r="AM478">
        <v>95.181727648547394</v>
      </c>
      <c r="AN478">
        <v>0.99999995770105599</v>
      </c>
    </row>
    <row r="479" spans="1:40" x14ac:dyDescent="0.25">
      <c r="A479" t="str">
        <f>"20190304164344730"</f>
        <v>20190304164344730</v>
      </c>
      <c r="B479" t="str">
        <f>"1551689024720963"</f>
        <v>1551689024720963</v>
      </c>
      <c r="C479" t="s">
        <v>40</v>
      </c>
      <c r="D479">
        <v>4.5587999999999997</v>
      </c>
      <c r="E479">
        <v>0.54726180000000002</v>
      </c>
      <c r="F479" t="s">
        <v>41</v>
      </c>
      <c r="G479">
        <v>-391.72089999999997</v>
      </c>
      <c r="H479">
        <v>1.043828</v>
      </c>
      <c r="I479">
        <v>367.12509999999997</v>
      </c>
      <c r="J479">
        <v>-392.50330000000002</v>
      </c>
      <c r="K479">
        <v>1.106136</v>
      </c>
      <c r="L479">
        <v>367.1234</v>
      </c>
      <c r="M479">
        <v>0.99996249999999998</v>
      </c>
      <c r="N479">
        <v>-5.8062410000000002E-3</v>
      </c>
      <c r="O479">
        <v>6.4489250000000003E-3</v>
      </c>
      <c r="P479">
        <v>0.95369389999999998</v>
      </c>
      <c r="Q479">
        <v>0.28618449999999901</v>
      </c>
      <c r="R479">
        <v>9.2556330000000006E-2</v>
      </c>
      <c r="S479">
        <v>3.2064210000000002</v>
      </c>
      <c r="T479">
        <v>-0.20575589999999999</v>
      </c>
      <c r="U479">
        <v>1.019287E-2</v>
      </c>
      <c r="V479">
        <v>-8.6399719999999999E-2</v>
      </c>
      <c r="W479">
        <v>0.29172189999999998</v>
      </c>
      <c r="X479">
        <v>0.95259300000000002</v>
      </c>
      <c r="Y479">
        <v>3.251922E-3</v>
      </c>
      <c r="Z479">
        <v>-4.8967029999999999E-4</v>
      </c>
      <c r="AA479">
        <v>0.99999459999999996</v>
      </c>
      <c r="AB479">
        <v>33</v>
      </c>
      <c r="AC479">
        <v>0.78240000000005205</v>
      </c>
      <c r="AD479">
        <v>-6.2308000000000002E-2</v>
      </c>
      <c r="AE479">
        <v>1.6999999999711599E-3</v>
      </c>
      <c r="AF479">
        <v>3.3246734024568198E-3</v>
      </c>
      <c r="AG479">
        <v>-6.2308000000000002E-2</v>
      </c>
      <c r="AH479">
        <v>0.77746399775270603</v>
      </c>
      <c r="AI479">
        <v>94.581998883173299</v>
      </c>
      <c r="AJ479">
        <v>89.754987248753594</v>
      </c>
      <c r="AK479">
        <v>0.77996385052055595</v>
      </c>
      <c r="AL479">
        <v>73.038928200175604</v>
      </c>
      <c r="AM479">
        <v>95.182519108014006</v>
      </c>
      <c r="AN479">
        <v>1.00000000110234</v>
      </c>
    </row>
    <row r="480" spans="1:40" x14ac:dyDescent="0.25">
      <c r="A480" t="str">
        <f>"20190304164344743"</f>
        <v>20190304164344743</v>
      </c>
      <c r="B480" t="str">
        <f>"1551689024730724"</f>
        <v>1551689024730724</v>
      </c>
      <c r="C480" t="s">
        <v>40</v>
      </c>
      <c r="D480">
        <v>4.5657889999999997</v>
      </c>
      <c r="E480">
        <v>0.54734659999999902</v>
      </c>
      <c r="F480" t="s">
        <v>42</v>
      </c>
      <c r="G480">
        <v>-375.32929999999999</v>
      </c>
      <c r="H480" s="1">
        <v>-2.4194379999999999E-6</v>
      </c>
      <c r="I480">
        <v>367.17290000000003</v>
      </c>
      <c r="J480">
        <v>-392.31990000000002</v>
      </c>
      <c r="K480">
        <v>1.1064609999999999</v>
      </c>
      <c r="L480">
        <v>367.12459999999999</v>
      </c>
      <c r="M480">
        <v>0.99996180000000001</v>
      </c>
      <c r="N480">
        <v>-5.8993240000000001E-3</v>
      </c>
      <c r="O480">
        <v>6.45467E-3</v>
      </c>
      <c r="P480">
        <v>0.95381700000000003</v>
      </c>
      <c r="Q480">
        <v>0.28574739999999998</v>
      </c>
      <c r="R480">
        <v>9.2639139999999995E-2</v>
      </c>
      <c r="S480">
        <v>3.2067570000000001</v>
      </c>
      <c r="T480">
        <v>-0.20653920000000001</v>
      </c>
      <c r="U480">
        <v>9.2773439999999999E-3</v>
      </c>
      <c r="V480">
        <v>-8.6476529999999996E-2</v>
      </c>
      <c r="W480">
        <v>0.29137390000000002</v>
      </c>
      <c r="X480">
        <v>0.95269250000000005</v>
      </c>
      <c r="Y480">
        <v>3.542716E-3</v>
      </c>
      <c r="Z480">
        <v>-5.0168420000000003E-4</v>
      </c>
      <c r="AA480">
        <v>0.99999360000000004</v>
      </c>
      <c r="AB480">
        <v>33</v>
      </c>
      <c r="AC480">
        <v>16.990600000000001</v>
      </c>
      <c r="AD480">
        <v>-1.1064634194380001</v>
      </c>
      <c r="AE480">
        <v>4.83000000000402E-2</v>
      </c>
      <c r="AF480">
        <v>6.1112458138610201E-2</v>
      </c>
      <c r="AG480">
        <v>-1.1064634194380001</v>
      </c>
      <c r="AH480">
        <v>16.918807642607</v>
      </c>
      <c r="AI480">
        <v>93.741701231383502</v>
      </c>
      <c r="AJ480">
        <v>89.793042702960705</v>
      </c>
      <c r="AK480">
        <v>16.955059660131901</v>
      </c>
      <c r="AL480">
        <v>73.059772146951602</v>
      </c>
      <c r="AM480">
        <v>95.1865624939296</v>
      </c>
      <c r="AN480">
        <v>0.99999996969914995</v>
      </c>
    </row>
    <row r="481" spans="1:40" x14ac:dyDescent="0.25">
      <c r="A481" t="str">
        <f>"20190304164344756"</f>
        <v>20190304164344756</v>
      </c>
      <c r="B481" t="str">
        <f>"1551689024750243"</f>
        <v>1551689024750243</v>
      </c>
      <c r="C481" t="s">
        <v>40</v>
      </c>
      <c r="D481">
        <v>4.5714329999999999</v>
      </c>
      <c r="E481">
        <v>0.54753069999999904</v>
      </c>
      <c r="F481" t="s">
        <v>42</v>
      </c>
      <c r="G481">
        <v>-375.23099999999999</v>
      </c>
      <c r="H481" s="1">
        <v>-2.46225E-6</v>
      </c>
      <c r="I481">
        <v>367.1694</v>
      </c>
      <c r="J481">
        <v>-392.14449999999999</v>
      </c>
      <c r="K481">
        <v>1.1067560000000001</v>
      </c>
      <c r="L481">
        <v>367.12569999999999</v>
      </c>
      <c r="M481">
        <v>0.99996130000000005</v>
      </c>
      <c r="N481">
        <v>-5.9843810000000004E-3</v>
      </c>
      <c r="O481">
        <v>6.4601370000000003E-3</v>
      </c>
      <c r="P481">
        <v>0.95381090000000002</v>
      </c>
      <c r="Q481">
        <v>0.28583979999999998</v>
      </c>
      <c r="R481">
        <v>9.2415869999999997E-2</v>
      </c>
      <c r="S481">
        <v>3.2066349999999999</v>
      </c>
      <c r="T481">
        <v>-0.20762030000000001</v>
      </c>
      <c r="U481">
        <v>8.4228519999999998E-3</v>
      </c>
      <c r="V481">
        <v>-8.6247799999999999E-2</v>
      </c>
      <c r="W481">
        <v>0.29154760000000002</v>
      </c>
      <c r="X481">
        <v>0.95266010000000001</v>
      </c>
      <c r="Y481">
        <v>3.8137319999999998E-3</v>
      </c>
      <c r="Z481">
        <v>-5.139694E-4</v>
      </c>
      <c r="AA481">
        <v>0.99999260000000001</v>
      </c>
      <c r="AB481">
        <v>33</v>
      </c>
      <c r="AC481">
        <v>16.913499999999999</v>
      </c>
      <c r="AD481">
        <v>-1.10675846224999</v>
      </c>
      <c r="AE481">
        <v>4.3700000000001099E-2</v>
      </c>
      <c r="AF481">
        <v>6.52868363083495E-2</v>
      </c>
      <c r="AG481">
        <v>-1.10675846224999</v>
      </c>
      <c r="AH481">
        <v>16.841316649329698</v>
      </c>
      <c r="AI481">
        <v>93.759864193852295</v>
      </c>
      <c r="AJ481">
        <v>89.777889014370999</v>
      </c>
      <c r="AK481">
        <v>16.8777700881291</v>
      </c>
      <c r="AL481">
        <v>73.049368269293694</v>
      </c>
      <c r="AM481">
        <v>95.1730935629773</v>
      </c>
      <c r="AN481">
        <v>0.99999997610130398</v>
      </c>
    </row>
    <row r="482" spans="1:40" x14ac:dyDescent="0.25">
      <c r="A482" t="str">
        <f>"20190304164344765"</f>
        <v>20190304164344765</v>
      </c>
      <c r="B482" t="str">
        <f>"1551689024760979"</f>
        <v>1551689024760979</v>
      </c>
      <c r="C482" t="s">
        <v>40</v>
      </c>
      <c r="D482">
        <v>4.5663239999999998</v>
      </c>
      <c r="E482">
        <v>0.54760529999999996</v>
      </c>
      <c r="F482" t="s">
        <v>41</v>
      </c>
      <c r="G482">
        <v>-391.13130000000001</v>
      </c>
      <c r="H482">
        <v>1.041085</v>
      </c>
      <c r="I482">
        <v>367.1277</v>
      </c>
      <c r="J482">
        <v>-391.97410000000002</v>
      </c>
      <c r="K482">
        <v>1.1070070000000001</v>
      </c>
      <c r="L482">
        <v>367.1268</v>
      </c>
      <c r="M482">
        <v>0.99996079999999998</v>
      </c>
      <c r="N482">
        <v>-6.0575799999999999E-3</v>
      </c>
      <c r="O482">
        <v>6.465635E-3</v>
      </c>
      <c r="P482">
        <v>0.95383300000000004</v>
      </c>
      <c r="Q482">
        <v>0.28588200000000002</v>
      </c>
      <c r="R482">
        <v>9.2055079999999997E-2</v>
      </c>
      <c r="S482">
        <v>3.2069700000000001</v>
      </c>
      <c r="T482">
        <v>-0.20798829999999999</v>
      </c>
      <c r="U482">
        <v>6.5307619999999999E-3</v>
      </c>
      <c r="V482">
        <v>-8.5881330000000006E-2</v>
      </c>
      <c r="W482">
        <v>0.29165940000000001</v>
      </c>
      <c r="X482">
        <v>0.95265900000000003</v>
      </c>
      <c r="Y482">
        <v>4.4080680000000002E-3</v>
      </c>
      <c r="Z482">
        <v>-5.3591559999999997E-4</v>
      </c>
      <c r="AA482">
        <v>0.99999020000000005</v>
      </c>
      <c r="AB482">
        <v>33</v>
      </c>
      <c r="AC482">
        <v>0.84280000000001098</v>
      </c>
      <c r="AD482">
        <v>-6.5921999999999994E-2</v>
      </c>
      <c r="AE482">
        <v>9.0000000000145497E-4</v>
      </c>
      <c r="AF482">
        <v>4.5216918774051802E-3</v>
      </c>
      <c r="AG482">
        <v>-6.5921999999999994E-2</v>
      </c>
      <c r="AH482">
        <v>0.83766335714940099</v>
      </c>
      <c r="AI482">
        <v>94.499694344473895</v>
      </c>
      <c r="AJ482">
        <v>89.6907214069346</v>
      </c>
      <c r="AK482">
        <v>0.84026546739244201</v>
      </c>
      <c r="AL482">
        <v>73.042671788791907</v>
      </c>
      <c r="AM482">
        <v>95.151237324972499</v>
      </c>
      <c r="AN482">
        <v>0.99999998936596401</v>
      </c>
    </row>
    <row r="483" spans="1:40" x14ac:dyDescent="0.25">
      <c r="A483" t="str">
        <f>"20190304164344786"</f>
        <v>20190304164344786</v>
      </c>
      <c r="B483" t="str">
        <f>"1551689024780499"</f>
        <v>1551689024780499</v>
      </c>
      <c r="C483" t="s">
        <v>40</v>
      </c>
      <c r="D483">
        <v>4.5715579999999996</v>
      </c>
      <c r="E483">
        <v>0.54778019999999905</v>
      </c>
      <c r="F483" t="s">
        <v>42</v>
      </c>
      <c r="G483">
        <v>-374.90890000000002</v>
      </c>
      <c r="H483" s="1">
        <v>-2.6037850000000002E-6</v>
      </c>
      <c r="I483">
        <v>367.15050000000002</v>
      </c>
      <c r="J483">
        <v>-391.67970000000003</v>
      </c>
      <c r="K483">
        <v>1.1074029999999999</v>
      </c>
      <c r="L483">
        <v>367.12869999999998</v>
      </c>
      <c r="M483">
        <v>0.99995990000000001</v>
      </c>
      <c r="N483">
        <v>-6.1751710000000001E-3</v>
      </c>
      <c r="O483">
        <v>6.4749859999999899E-3</v>
      </c>
      <c r="P483">
        <v>0.95382979999999995</v>
      </c>
      <c r="Q483">
        <v>0.28591369999999999</v>
      </c>
      <c r="R483">
        <v>9.199069E-2</v>
      </c>
      <c r="S483">
        <v>3.2071230000000002</v>
      </c>
      <c r="T483">
        <v>-0.20804329999999999</v>
      </c>
      <c r="U483">
        <v>4.4555659999999898E-3</v>
      </c>
      <c r="V483">
        <v>-8.5808339999999997E-2</v>
      </c>
      <c r="W483">
        <v>0.29180309999999998</v>
      </c>
      <c r="X483">
        <v>0.95262159999999996</v>
      </c>
      <c r="Y483">
        <v>5.0630639999999999E-3</v>
      </c>
      <c r="Z483">
        <v>-5.5933299999999997E-4</v>
      </c>
      <c r="AA483">
        <v>0.99998699999999996</v>
      </c>
      <c r="AB483">
        <v>33</v>
      </c>
      <c r="AC483">
        <v>16.770800000000001</v>
      </c>
      <c r="AD483">
        <v>-1.107405603785</v>
      </c>
      <c r="AE483">
        <v>2.1800000000041501E-2</v>
      </c>
      <c r="AF483">
        <v>8.64164384681778E-2</v>
      </c>
      <c r="AG483">
        <v>-1.107405603785</v>
      </c>
      <c r="AH483">
        <v>16.697784113306898</v>
      </c>
      <c r="AI483">
        <v>93.794278314746094</v>
      </c>
      <c r="AJ483">
        <v>89.7034784396091</v>
      </c>
      <c r="AK483">
        <v>16.734688801012499</v>
      </c>
      <c r="AL483">
        <v>73.034064422653401</v>
      </c>
      <c r="AM483">
        <v>95.147083826533205</v>
      </c>
      <c r="AN483">
        <v>1.0000000165848599</v>
      </c>
    </row>
    <row r="484" spans="1:40" x14ac:dyDescent="0.25">
      <c r="A484" t="str">
        <f>"20190304164344799"</f>
        <v>20190304164344799</v>
      </c>
      <c r="B484" t="str">
        <f>"1551689024790259"</f>
        <v>1551689024790259</v>
      </c>
      <c r="C484" t="s">
        <v>40</v>
      </c>
      <c r="D484">
        <v>4.5903280000000004</v>
      </c>
      <c r="E484">
        <v>0.54785550000000005</v>
      </c>
      <c r="F484" t="s">
        <v>42</v>
      </c>
      <c r="G484">
        <v>-374.63069999999999</v>
      </c>
      <c r="H484" s="1">
        <v>-2.7246970000000001E-6</v>
      </c>
      <c r="I484">
        <v>367.14159999999998</v>
      </c>
      <c r="J484">
        <v>-391.49349999999998</v>
      </c>
      <c r="K484">
        <v>1.107623</v>
      </c>
      <c r="L484">
        <v>367.12990000000002</v>
      </c>
      <c r="M484">
        <v>0.9999595</v>
      </c>
      <c r="N484">
        <v>-6.2434419999999897E-3</v>
      </c>
      <c r="O484">
        <v>6.4808519999999996E-3</v>
      </c>
      <c r="P484">
        <v>0.95388989999999996</v>
      </c>
      <c r="Q484">
        <v>0.28580139999999998</v>
      </c>
      <c r="R484">
        <v>9.1714809999999994E-2</v>
      </c>
      <c r="S484">
        <v>3.2074579999999999</v>
      </c>
      <c r="T484">
        <v>-0.20833689999999999</v>
      </c>
      <c r="U484">
        <v>2.4414060000000001E-3</v>
      </c>
      <c r="V484">
        <v>-8.5526160000000004E-2</v>
      </c>
      <c r="W484">
        <v>0.29175659999999998</v>
      </c>
      <c r="X484">
        <v>0.95266119999999999</v>
      </c>
      <c r="Y484">
        <v>5.6955119999999998E-3</v>
      </c>
      <c r="Z484">
        <v>-5.8266470000000001E-4</v>
      </c>
      <c r="AA484">
        <v>0.99998359999999997</v>
      </c>
      <c r="AB484">
        <v>34</v>
      </c>
      <c r="AC484">
        <v>16.862799999999901</v>
      </c>
      <c r="AD484">
        <v>-1.107625724697</v>
      </c>
      <c r="AE484">
        <v>1.1699999999961999E-2</v>
      </c>
      <c r="AF484">
        <v>9.7168458324948595E-2</v>
      </c>
      <c r="AG484">
        <v>-1.107625724697</v>
      </c>
      <c r="AH484">
        <v>16.790081538227401</v>
      </c>
      <c r="AI484">
        <v>93.774216334630495</v>
      </c>
      <c r="AJ484">
        <v>89.668418500648102</v>
      </c>
      <c r="AK484">
        <v>16.826856941081701</v>
      </c>
      <c r="AL484">
        <v>73.0368495916087</v>
      </c>
      <c r="AM484">
        <v>95.130036041320807</v>
      </c>
      <c r="AN484">
        <v>0.99999999983667198</v>
      </c>
    </row>
    <row r="485" spans="1:40" x14ac:dyDescent="0.25">
      <c r="A485" t="str">
        <f>"20190304164344809"</f>
        <v>20190304164344809</v>
      </c>
      <c r="B485" t="str">
        <f>"1551689024800996"</f>
        <v>1551689024800996</v>
      </c>
      <c r="C485" t="s">
        <v>40</v>
      </c>
      <c r="D485">
        <v>4.5367259999999998</v>
      </c>
      <c r="E485">
        <v>0.54788680000000001</v>
      </c>
      <c r="F485" t="s">
        <v>41</v>
      </c>
      <c r="G485">
        <v>-390.5265</v>
      </c>
      <c r="H485">
        <v>1.044602</v>
      </c>
      <c r="I485">
        <v>367.1302</v>
      </c>
      <c r="J485">
        <v>-391.3159</v>
      </c>
      <c r="K485">
        <v>1.107807</v>
      </c>
      <c r="L485">
        <v>367.1311</v>
      </c>
      <c r="M485">
        <v>0.99995919999999905</v>
      </c>
      <c r="N485">
        <v>-6.3040719999999904E-3</v>
      </c>
      <c r="O485">
        <v>6.4862030000000003E-3</v>
      </c>
      <c r="P485">
        <v>0.95393790000000001</v>
      </c>
      <c r="Q485">
        <v>0.28566710000000001</v>
      </c>
      <c r="R485">
        <v>9.1636110000000007E-2</v>
      </c>
      <c r="S485">
        <v>3.207611</v>
      </c>
      <c r="T485">
        <v>-0.20910139999999999</v>
      </c>
      <c r="U485">
        <v>8.5449219999999995E-4</v>
      </c>
      <c r="V485">
        <v>-8.5442389999999993E-2</v>
      </c>
      <c r="W485">
        <v>0.29167989999999999</v>
      </c>
      <c r="X485">
        <v>0.95269219999999999</v>
      </c>
      <c r="Y485">
        <v>6.1942880000000001E-3</v>
      </c>
      <c r="Z485">
        <v>-6.0276229999999995E-4</v>
      </c>
      <c r="AA485">
        <v>0.9999806</v>
      </c>
      <c r="AB485">
        <v>34</v>
      </c>
      <c r="AC485">
        <v>0.78939999999999999</v>
      </c>
      <c r="AD485">
        <v>-6.32049999999999E-2</v>
      </c>
      <c r="AE485">
        <v>-9.0000000000145497E-4</v>
      </c>
      <c r="AF485">
        <v>5.9819422453983402E-3</v>
      </c>
      <c r="AG485">
        <v>-6.32049999999999E-2</v>
      </c>
      <c r="AH485">
        <v>0.78434929786483198</v>
      </c>
      <c r="AI485">
        <v>94.6069614020643</v>
      </c>
      <c r="AJ485">
        <v>89.563034734775897</v>
      </c>
      <c r="AK485">
        <v>0.78691452948784901</v>
      </c>
      <c r="AL485">
        <v>73.041443966178605</v>
      </c>
      <c r="AM485">
        <v>95.124872238147404</v>
      </c>
      <c r="AN485">
        <v>0.99999999700688103</v>
      </c>
    </row>
    <row r="486" spans="1:40" x14ac:dyDescent="0.25">
      <c r="A486" t="str">
        <f>"20190304164344823"</f>
        <v>20190304164344823</v>
      </c>
      <c r="B486" t="str">
        <f>"1551689024810756"</f>
        <v>1551689024810756</v>
      </c>
      <c r="C486" t="s">
        <v>40</v>
      </c>
      <c r="D486">
        <v>4.5719329999999996</v>
      </c>
      <c r="E486">
        <v>0.54796350000000005</v>
      </c>
      <c r="F486" t="s">
        <v>42</v>
      </c>
      <c r="G486">
        <v>-374.31330000000003</v>
      </c>
      <c r="H486" s="1">
        <v>-2.8623679999999999E-6</v>
      </c>
      <c r="I486">
        <v>367.13310000000001</v>
      </c>
      <c r="J486">
        <v>-391.12529999999998</v>
      </c>
      <c r="K486">
        <v>1.107988</v>
      </c>
      <c r="L486">
        <v>367.13229999999999</v>
      </c>
      <c r="M486">
        <v>0.99995880000000004</v>
      </c>
      <c r="N486">
        <v>-6.3646980000000002E-3</v>
      </c>
      <c r="O486">
        <v>6.4917330000000004E-3</v>
      </c>
      <c r="P486">
        <v>0.95394749999999995</v>
      </c>
      <c r="Q486">
        <v>0.28565819999999997</v>
      </c>
      <c r="R486">
        <v>9.1564069999999997E-2</v>
      </c>
      <c r="S486">
        <v>3.2073969999999998</v>
      </c>
      <c r="T486">
        <v>-0.2089782</v>
      </c>
      <c r="U486">
        <v>3.9672850000000001E-4</v>
      </c>
      <c r="V486">
        <v>-8.5365209999999997E-2</v>
      </c>
      <c r="W486">
        <v>0.29172870000000001</v>
      </c>
      <c r="X486">
        <v>0.95268419999999998</v>
      </c>
      <c r="Y486">
        <v>6.3422039999999997E-3</v>
      </c>
      <c r="Z486">
        <v>-6.0784119999999998E-4</v>
      </c>
      <c r="AA486">
        <v>0.99997970000000003</v>
      </c>
      <c r="AB486">
        <v>34</v>
      </c>
      <c r="AC486">
        <v>16.811999999999902</v>
      </c>
      <c r="AD486">
        <v>-1.1079908623679999</v>
      </c>
      <c r="AE486">
        <v>8.0000000002655703E-4</v>
      </c>
      <c r="AF486">
        <v>0.107872690546214</v>
      </c>
      <c r="AG486">
        <v>-1.1079908623679999</v>
      </c>
      <c r="AH486">
        <v>16.738946354623199</v>
      </c>
      <c r="AI486">
        <v>93.786941755443195</v>
      </c>
      <c r="AJ486">
        <v>89.630767420932003</v>
      </c>
      <c r="AK486">
        <v>16.775923382377801</v>
      </c>
      <c r="AL486">
        <v>73.038521187283806</v>
      </c>
      <c r="AM486">
        <v>95.120310334350194</v>
      </c>
      <c r="AN486">
        <v>1.00000001920583</v>
      </c>
    </row>
    <row r="487" spans="1:40" x14ac:dyDescent="0.25">
      <c r="A487" t="str">
        <f>"20190304164344837"</f>
        <v>20190304164344837</v>
      </c>
      <c r="B487" t="str">
        <f>"1551689024830275"</f>
        <v>1551689024830275</v>
      </c>
      <c r="C487" t="s">
        <v>40</v>
      </c>
      <c r="D487">
        <v>4.5983199999999904</v>
      </c>
      <c r="E487">
        <v>0.54807600000000001</v>
      </c>
      <c r="F487" t="s">
        <v>42</v>
      </c>
      <c r="G487">
        <v>-374.13979999999998</v>
      </c>
      <c r="H487" s="1">
        <v>-2.937359E-6</v>
      </c>
      <c r="I487">
        <v>367.13</v>
      </c>
      <c r="J487">
        <v>-390.90890000000002</v>
      </c>
      <c r="K487">
        <v>1.108176</v>
      </c>
      <c r="L487">
        <v>367.13380000000001</v>
      </c>
      <c r="M487">
        <v>0.99995829999999997</v>
      </c>
      <c r="N487">
        <v>-6.4299400000000003E-3</v>
      </c>
      <c r="O487">
        <v>6.4982590000000002E-3</v>
      </c>
      <c r="P487">
        <v>0.95395209999999997</v>
      </c>
      <c r="Q487">
        <v>0.28564319999999999</v>
      </c>
      <c r="R487">
        <v>9.156193E-2</v>
      </c>
      <c r="S487">
        <v>3.2075499999999999</v>
      </c>
      <c r="T487">
        <v>-0.20923269999999999</v>
      </c>
      <c r="U487">
        <v>-4.2724609999999998E-4</v>
      </c>
      <c r="V487">
        <v>-8.5356650000000006E-2</v>
      </c>
      <c r="W487">
        <v>0.29177619999999999</v>
      </c>
      <c r="X487">
        <v>0.95267040000000003</v>
      </c>
      <c r="Y487">
        <v>6.6049450000000001E-3</v>
      </c>
      <c r="Z487">
        <v>-6.1814930000000001E-4</v>
      </c>
      <c r="AA487">
        <v>0.99997800000000003</v>
      </c>
      <c r="AB487">
        <v>34</v>
      </c>
      <c r="AC487">
        <v>16.769100000000002</v>
      </c>
      <c r="AD487">
        <v>-1.1081789373590001</v>
      </c>
      <c r="AE487">
        <v>-3.8000000000124601E-3</v>
      </c>
      <c r="AF487">
        <v>0.112281764299171</v>
      </c>
      <c r="AG487">
        <v>-1.1081789373590001</v>
      </c>
      <c r="AH487">
        <v>16.695807773687299</v>
      </c>
      <c r="AI487">
        <v>93.797333446550098</v>
      </c>
      <c r="AJ487">
        <v>89.614683259815195</v>
      </c>
      <c r="AK487">
        <v>16.7329215909152</v>
      </c>
      <c r="AL487">
        <v>73.035675509108103</v>
      </c>
      <c r="AM487">
        <v>95.119873393105706</v>
      </c>
      <c r="AN487">
        <v>0.99999999981091103</v>
      </c>
    </row>
    <row r="488" spans="1:40" x14ac:dyDescent="0.25">
      <c r="A488" t="str">
        <f>"20190304164344851"</f>
        <v>20190304164344851</v>
      </c>
      <c r="B488" t="str">
        <f>"1551689024841012"</f>
        <v>1551689024841012</v>
      </c>
      <c r="C488" t="s">
        <v>40</v>
      </c>
      <c r="D488">
        <v>4.6089149999999997</v>
      </c>
      <c r="E488">
        <v>0.54816379999999998</v>
      </c>
      <c r="F488" t="s">
        <v>41</v>
      </c>
      <c r="G488">
        <v>-389.92239999999998</v>
      </c>
      <c r="H488">
        <v>1.0437620000000001</v>
      </c>
      <c r="I488">
        <v>367.13310000000001</v>
      </c>
      <c r="J488">
        <v>-390.6825</v>
      </c>
      <c r="K488">
        <v>1.1083559999999999</v>
      </c>
      <c r="L488">
        <v>367.1352</v>
      </c>
      <c r="M488">
        <v>0.99995769999999995</v>
      </c>
      <c r="N488">
        <v>-6.4928759999999999E-3</v>
      </c>
      <c r="O488">
        <v>6.5050869999999997E-3</v>
      </c>
      <c r="P488">
        <v>0.95393220000000001</v>
      </c>
      <c r="Q488">
        <v>0.28564509999999899</v>
      </c>
      <c r="R488">
        <v>9.1761659999999995E-2</v>
      </c>
      <c r="S488">
        <v>3.2077330000000002</v>
      </c>
      <c r="T488">
        <v>-0.20954900000000001</v>
      </c>
      <c r="U488">
        <v>-1.708984E-3</v>
      </c>
      <c r="V488">
        <v>-8.5549829999999993E-2</v>
      </c>
      <c r="W488">
        <v>0.29183769999999998</v>
      </c>
      <c r="X488">
        <v>0.95263419999999999</v>
      </c>
      <c r="Y488">
        <v>7.010306E-3</v>
      </c>
      <c r="Z488">
        <v>-6.3382100000000002E-4</v>
      </c>
      <c r="AA488">
        <v>0.99997519999999995</v>
      </c>
      <c r="AB488">
        <v>34</v>
      </c>
      <c r="AC488">
        <v>0.76010000000002198</v>
      </c>
      <c r="AD488">
        <v>-6.4593999999999804E-2</v>
      </c>
      <c r="AE488">
        <v>-2.0999999999844398E-3</v>
      </c>
      <c r="AF488">
        <v>6.9940676557464204E-3</v>
      </c>
      <c r="AG488">
        <v>-6.4593999999999804E-2</v>
      </c>
      <c r="AH488">
        <v>0.754620610564667</v>
      </c>
      <c r="AI488">
        <v>94.892268065712699</v>
      </c>
      <c r="AJ488">
        <v>89.468979406617507</v>
      </c>
      <c r="AK488">
        <v>0.75741241586560004</v>
      </c>
      <c r="AL488">
        <v>73.031990919584899</v>
      </c>
      <c r="AM488">
        <v>95.131592899368798</v>
      </c>
      <c r="AN488">
        <v>0.99999996778197797</v>
      </c>
    </row>
    <row r="489" spans="1:40" x14ac:dyDescent="0.25">
      <c r="A489" t="str">
        <f>"20190304164344863"</f>
        <v>20190304164344863</v>
      </c>
      <c r="B489" t="str">
        <f>"1551689024850771"</f>
        <v>1551689024850771</v>
      </c>
      <c r="C489" t="s">
        <v>40</v>
      </c>
      <c r="D489">
        <v>4.6058070000000004</v>
      </c>
      <c r="E489">
        <v>0.54820999999999998</v>
      </c>
      <c r="F489" t="s">
        <v>42</v>
      </c>
      <c r="G489">
        <v>-373.74720000000002</v>
      </c>
      <c r="H489" s="1">
        <v>-3.1059729999999999E-6</v>
      </c>
      <c r="I489">
        <v>367.12880000000001</v>
      </c>
      <c r="J489">
        <v>-390.51249999999999</v>
      </c>
      <c r="K489">
        <v>1.1084639999999999</v>
      </c>
      <c r="L489">
        <v>367.13639999999998</v>
      </c>
      <c r="M489">
        <v>0.9999574</v>
      </c>
      <c r="N489">
        <v>-6.5364069999999897E-3</v>
      </c>
      <c r="O489">
        <v>6.5103080000000002E-3</v>
      </c>
      <c r="P489">
        <v>0.95390220000000003</v>
      </c>
      <c r="Q489">
        <v>0.28559950000000001</v>
      </c>
      <c r="R489">
        <v>9.2213180000000006E-2</v>
      </c>
      <c r="S489">
        <v>3.2078250000000001</v>
      </c>
      <c r="T489">
        <v>-0.20994109999999999</v>
      </c>
      <c r="U489">
        <v>-1.190186E-3</v>
      </c>
      <c r="V489">
        <v>-8.5996459999999997E-2</v>
      </c>
      <c r="W489">
        <v>0.29183360000000003</v>
      </c>
      <c r="X489">
        <v>0.95259530000000003</v>
      </c>
      <c r="Y489">
        <v>6.8540500000000004E-3</v>
      </c>
      <c r="Z489">
        <v>-6.2958070000000005E-4</v>
      </c>
      <c r="AA489">
        <v>0.99997630000000004</v>
      </c>
      <c r="AB489">
        <v>34</v>
      </c>
      <c r="AC489">
        <v>16.7652999999999</v>
      </c>
      <c r="AD489">
        <v>-1.10846710597299</v>
      </c>
      <c r="AE489">
        <v>-7.5999999999680698E-3</v>
      </c>
      <c r="AF489">
        <v>0.11624130229054799</v>
      </c>
      <c r="AG489">
        <v>-1.10846710597299</v>
      </c>
      <c r="AH489">
        <v>16.6919277270928</v>
      </c>
      <c r="AI489">
        <v>93.799192152095401</v>
      </c>
      <c r="AJ489">
        <v>89.601003043234201</v>
      </c>
      <c r="AK489">
        <v>16.729096287960999</v>
      </c>
      <c r="AL489">
        <v>73.032237496150799</v>
      </c>
      <c r="AM489">
        <v>95.158448758003203</v>
      </c>
      <c r="AN489">
        <v>1.0000000234017901</v>
      </c>
    </row>
    <row r="490" spans="1:40" x14ac:dyDescent="0.25">
      <c r="A490" t="str">
        <f>"20190304164344888"</f>
        <v>20190304164344888</v>
      </c>
      <c r="B490" t="str">
        <f>"1551689024881027"</f>
        <v>1551689024881027</v>
      </c>
      <c r="C490" t="s">
        <v>40</v>
      </c>
      <c r="D490">
        <v>4.6245390000000004</v>
      </c>
      <c r="E490">
        <v>0.54837389999999997</v>
      </c>
      <c r="F490" t="s">
        <v>42</v>
      </c>
      <c r="G490">
        <v>-373.59559999999999</v>
      </c>
      <c r="H490" s="1">
        <v>-3.1702690000000002E-6</v>
      </c>
      <c r="I490">
        <v>367.13319999999999</v>
      </c>
      <c r="J490">
        <v>-390.13200000000001</v>
      </c>
      <c r="K490">
        <v>1.1086860000000001</v>
      </c>
      <c r="L490">
        <v>367.1388</v>
      </c>
      <c r="M490">
        <v>0.99995699999999998</v>
      </c>
      <c r="N490">
        <v>-6.627015E-3</v>
      </c>
      <c r="O490">
        <v>6.5216299999999996E-3</v>
      </c>
      <c r="P490">
        <v>0.95388050000000002</v>
      </c>
      <c r="Q490">
        <v>0.28558210000000001</v>
      </c>
      <c r="R490">
        <v>9.2493099999999995E-2</v>
      </c>
      <c r="S490">
        <v>3.2079469999999999</v>
      </c>
      <c r="T490">
        <v>-0.2101972</v>
      </c>
      <c r="U490">
        <v>-5.7983399999999999E-4</v>
      </c>
      <c r="V490">
        <v>-8.6266199999999904E-2</v>
      </c>
      <c r="W490">
        <v>0.2919021</v>
      </c>
      <c r="X490">
        <v>0.95254989999999995</v>
      </c>
      <c r="Y490">
        <v>6.6754529999999996E-3</v>
      </c>
      <c r="Z490">
        <v>-6.2429689999999997E-4</v>
      </c>
      <c r="AA490">
        <v>0.99997749999999996</v>
      </c>
      <c r="AB490">
        <v>34</v>
      </c>
      <c r="AC490">
        <v>16.536399999999901</v>
      </c>
      <c r="AD490">
        <v>-1.1086891702689901</v>
      </c>
      <c r="AE490">
        <v>-5.6000000000153696E-3</v>
      </c>
      <c r="AF490">
        <v>0.11293883777776</v>
      </c>
      <c r="AG490">
        <v>-1.1086891702689901</v>
      </c>
      <c r="AH490">
        <v>16.462013696594902</v>
      </c>
      <c r="AI490">
        <v>93.852866423417495</v>
      </c>
      <c r="AJ490">
        <v>89.606924320032604</v>
      </c>
      <c r="AK490">
        <v>16.499692173014299</v>
      </c>
      <c r="AL490">
        <v>73.028133703082005</v>
      </c>
      <c r="AM490">
        <v>95.174786544309498</v>
      </c>
      <c r="AN490">
        <v>1.0000000026184299</v>
      </c>
    </row>
    <row r="491" spans="1:40" x14ac:dyDescent="0.25">
      <c r="A491" t="str">
        <f>"20190304164344904"</f>
        <v>20190304164344904</v>
      </c>
      <c r="B491" t="str">
        <f>"1551689024890787"</f>
        <v>1551689024890787</v>
      </c>
      <c r="C491" t="s">
        <v>40</v>
      </c>
      <c r="D491">
        <v>4.614859</v>
      </c>
      <c r="E491">
        <v>0.54841300000000004</v>
      </c>
      <c r="F491" t="s">
        <v>42</v>
      </c>
      <c r="G491">
        <v>-373.2756</v>
      </c>
      <c r="H491" s="1">
        <v>-3.307321E-6</v>
      </c>
      <c r="I491">
        <v>367.13440000000003</v>
      </c>
      <c r="J491">
        <v>-389.90300000000002</v>
      </c>
      <c r="K491">
        <v>1.1087959999999999</v>
      </c>
      <c r="L491">
        <v>367.14030000000002</v>
      </c>
      <c r="M491">
        <v>0.99995639999999997</v>
      </c>
      <c r="N491">
        <v>-6.6764199999999998E-3</v>
      </c>
      <c r="O491">
        <v>6.5288550000000001E-3</v>
      </c>
      <c r="P491">
        <v>0.95385569999999997</v>
      </c>
      <c r="Q491">
        <v>0.28558929999999999</v>
      </c>
      <c r="R491">
        <v>9.2725810000000006E-2</v>
      </c>
      <c r="S491">
        <v>3.208313</v>
      </c>
      <c r="T491">
        <v>-0.21101829999999999</v>
      </c>
      <c r="U491">
        <v>-8.2397459999999998E-4</v>
      </c>
      <c r="V491">
        <v>-8.6491810000000002E-2</v>
      </c>
      <c r="W491">
        <v>0.29195680000000002</v>
      </c>
      <c r="X491">
        <v>0.95251269999999999</v>
      </c>
      <c r="Y491">
        <v>6.7583440000000003E-3</v>
      </c>
      <c r="Z491">
        <v>-6.3000899999999995E-4</v>
      </c>
      <c r="AA491">
        <v>0.999977</v>
      </c>
      <c r="AB491">
        <v>34</v>
      </c>
      <c r="AC491">
        <v>16.627400000000002</v>
      </c>
      <c r="AD491">
        <v>-1.1087993073209901</v>
      </c>
      <c r="AE491">
        <v>-5.8999999999968999E-3</v>
      </c>
      <c r="AF491">
        <v>0.11395343799138399</v>
      </c>
      <c r="AG491">
        <v>-1.1087993073209901</v>
      </c>
      <c r="AH491">
        <v>16.553395820597601</v>
      </c>
      <c r="AI491">
        <v>93.832039304887402</v>
      </c>
      <c r="AJ491">
        <v>89.605582564701706</v>
      </c>
      <c r="AK491">
        <v>16.590881064106402</v>
      </c>
      <c r="AL491">
        <v>73.0248572760851</v>
      </c>
      <c r="AM491">
        <v>95.188447799642702</v>
      </c>
      <c r="AN491">
        <v>1.0000000249623</v>
      </c>
    </row>
    <row r="492" spans="1:40" x14ac:dyDescent="0.25">
      <c r="A492" t="str">
        <f>"20190304164344920"</f>
        <v>20190304164344920</v>
      </c>
      <c r="B492" t="str">
        <f>"1551689024910308"</f>
        <v>1551689024910308</v>
      </c>
      <c r="C492" t="s">
        <v>40</v>
      </c>
      <c r="D492">
        <v>4.6035199999999996</v>
      </c>
      <c r="E492">
        <v>0.54846200000000001</v>
      </c>
      <c r="F492" t="s">
        <v>42</v>
      </c>
      <c r="G492">
        <v>-373.03190000000001</v>
      </c>
      <c r="H492" s="1">
        <v>-3.411389E-6</v>
      </c>
      <c r="I492">
        <v>367.137</v>
      </c>
      <c r="J492">
        <v>-389.6533</v>
      </c>
      <c r="K492">
        <v>1.1088979999999999</v>
      </c>
      <c r="L492">
        <v>367.14190000000002</v>
      </c>
      <c r="M492">
        <v>0.99995610000000001</v>
      </c>
      <c r="N492">
        <v>-6.7269290000000004E-3</v>
      </c>
      <c r="O492">
        <v>6.5365509999999998E-3</v>
      </c>
      <c r="P492">
        <v>0.95401449999999999</v>
      </c>
      <c r="Q492">
        <v>0.28507949999999999</v>
      </c>
      <c r="R492">
        <v>9.2661170000000001E-2</v>
      </c>
      <c r="S492">
        <v>3.208313</v>
      </c>
      <c r="T492">
        <v>-0.21085580000000001</v>
      </c>
      <c r="U492">
        <v>-6.1035159999999996E-4</v>
      </c>
      <c r="V492">
        <v>-8.6418659999999994E-2</v>
      </c>
      <c r="W492">
        <v>0.29149609999999998</v>
      </c>
      <c r="X492">
        <v>0.95266039999999996</v>
      </c>
      <c r="Y492">
        <v>6.6996379999999999E-3</v>
      </c>
      <c r="Z492">
        <v>-6.2767889999999998E-4</v>
      </c>
      <c r="AA492">
        <v>0.99997740000000002</v>
      </c>
      <c r="AB492">
        <v>34</v>
      </c>
      <c r="AC492">
        <v>16.621399999999898</v>
      </c>
      <c r="AD492">
        <v>-1.1089014113889999</v>
      </c>
      <c r="AE492">
        <v>-4.9000000000773902E-3</v>
      </c>
      <c r="AF492">
        <v>0.113045813774313</v>
      </c>
      <c r="AG492">
        <v>-1.1089014113889999</v>
      </c>
      <c r="AH492">
        <v>16.547361736805499</v>
      </c>
      <c r="AI492">
        <v>93.833785834688001</v>
      </c>
      <c r="AJ492">
        <v>89.608581273420597</v>
      </c>
      <c r="AK492">
        <v>16.5848612338146</v>
      </c>
      <c r="AL492">
        <v>73.052453396529103</v>
      </c>
      <c r="AM492">
        <v>95.183284257061899</v>
      </c>
      <c r="AN492">
        <v>0.99999999941978202</v>
      </c>
    </row>
    <row r="493" spans="1:40" x14ac:dyDescent="0.25">
      <c r="A493" t="str">
        <f>"20190304164344931"</f>
        <v>20190304164344931</v>
      </c>
      <c r="B493" t="str">
        <f>"1551689024921043"</f>
        <v>1551689024921043</v>
      </c>
      <c r="C493" t="s">
        <v>40</v>
      </c>
      <c r="D493">
        <v>4.6558909999999996</v>
      </c>
      <c r="E493">
        <v>0.54850279999999996</v>
      </c>
      <c r="F493" t="s">
        <v>41</v>
      </c>
      <c r="G493">
        <v>-388.70159999999998</v>
      </c>
      <c r="H493">
        <v>1.045812</v>
      </c>
      <c r="I493">
        <v>367.14170000000001</v>
      </c>
      <c r="J493">
        <v>-389.46910000000003</v>
      </c>
      <c r="K493">
        <v>1.1089659999999999</v>
      </c>
      <c r="L493">
        <v>367.14319999999998</v>
      </c>
      <c r="M493">
        <v>0.99995579999999995</v>
      </c>
      <c r="N493">
        <v>-6.7621399999999998E-3</v>
      </c>
      <c r="O493">
        <v>6.5425090000000002E-3</v>
      </c>
      <c r="P493">
        <v>0.95401590000000003</v>
      </c>
      <c r="Q493">
        <v>0.28506389999999998</v>
      </c>
      <c r="R493">
        <v>9.2696700000000007E-2</v>
      </c>
      <c r="S493">
        <v>3.2081909999999998</v>
      </c>
      <c r="T493">
        <v>-0.21265539999999999</v>
      </c>
      <c r="U493">
        <v>-8.5449219999999995E-4</v>
      </c>
      <c r="V493">
        <v>-8.6448609999999995E-2</v>
      </c>
      <c r="W493">
        <v>0.291514</v>
      </c>
      <c r="X493">
        <v>0.95265219999999995</v>
      </c>
      <c r="Y493">
        <v>6.7810199999999996E-3</v>
      </c>
      <c r="Z493">
        <v>-6.364443E-4</v>
      </c>
      <c r="AA493">
        <v>0.9999768</v>
      </c>
      <c r="AB493">
        <v>34</v>
      </c>
      <c r="AC493">
        <v>0.76750000000004004</v>
      </c>
      <c r="AD493">
        <v>-6.3153999999999696E-2</v>
      </c>
      <c r="AE493">
        <v>-1.4999999999645199E-3</v>
      </c>
      <c r="AF493">
        <v>6.4775991646222096E-3</v>
      </c>
      <c r="AG493">
        <v>-6.3153999999999696E-2</v>
      </c>
      <c r="AH493">
        <v>0.76231225569690197</v>
      </c>
      <c r="AI493">
        <v>94.735701907940495</v>
      </c>
      <c r="AJ493">
        <v>89.513152046912694</v>
      </c>
      <c r="AK493">
        <v>0.76495121556386603</v>
      </c>
      <c r="AL493">
        <v>73.051381147452702</v>
      </c>
      <c r="AM493">
        <v>95.185115218493806</v>
      </c>
      <c r="AN493">
        <v>0.99999999426588604</v>
      </c>
    </row>
    <row r="494" spans="1:40" x14ac:dyDescent="0.25">
      <c r="A494" t="str">
        <f>"20190304164344943"</f>
        <v>20190304164344943</v>
      </c>
      <c r="B494" t="str">
        <f>"1551689024930804"</f>
        <v>1551689024930804</v>
      </c>
      <c r="C494" t="s">
        <v>40</v>
      </c>
      <c r="D494">
        <v>4.6124739999999997</v>
      </c>
      <c r="E494">
        <v>0.54851909999999904</v>
      </c>
      <c r="F494" t="s">
        <v>42</v>
      </c>
      <c r="G494">
        <v>-372.76900000000001</v>
      </c>
      <c r="H494" s="1">
        <v>-3.523989E-6</v>
      </c>
      <c r="I494">
        <v>367.13799999999998</v>
      </c>
      <c r="J494">
        <v>-389.29219999999998</v>
      </c>
      <c r="K494">
        <v>1.1090249999999999</v>
      </c>
      <c r="L494">
        <v>367.14429999999999</v>
      </c>
      <c r="M494">
        <v>0.9999555</v>
      </c>
      <c r="N494">
        <v>-6.7935290000000004E-3</v>
      </c>
      <c r="O494">
        <v>6.5479459999999998E-3</v>
      </c>
      <c r="P494">
        <v>0.95389619999999997</v>
      </c>
      <c r="Q494">
        <v>0.28546880000000002</v>
      </c>
      <c r="R494">
        <v>9.2681159999999999E-2</v>
      </c>
      <c r="S494">
        <v>3.2083740000000001</v>
      </c>
      <c r="T494">
        <v>-0.21305160000000001</v>
      </c>
      <c r="U494">
        <v>-9.765625E-4</v>
      </c>
      <c r="V494">
        <v>-8.6428459999999999E-2</v>
      </c>
      <c r="W494">
        <v>0.29194809999999999</v>
      </c>
      <c r="X494">
        <v>0.95252110000000001</v>
      </c>
      <c r="Y494">
        <v>6.8242789999999999E-3</v>
      </c>
      <c r="Z494">
        <v>-6.3943660000000005E-4</v>
      </c>
      <c r="AA494">
        <v>0.99997650000000005</v>
      </c>
      <c r="AB494">
        <v>34</v>
      </c>
      <c r="AC494">
        <v>16.5231999999999</v>
      </c>
      <c r="AD494">
        <v>-1.1090285239890001</v>
      </c>
      <c r="AE494">
        <v>-6.2999999999533403E-3</v>
      </c>
      <c r="AF494">
        <v>0.113981890347916</v>
      </c>
      <c r="AG494">
        <v>-1.1090285239890001</v>
      </c>
      <c r="AH494">
        <v>16.448702715378801</v>
      </c>
      <c r="AI494">
        <v>93.857149790140994</v>
      </c>
      <c r="AJ494">
        <v>89.602973143673196</v>
      </c>
      <c r="AK494">
        <v>16.486441615984301</v>
      </c>
      <c r="AL494">
        <v>73.025378174198806</v>
      </c>
      <c r="AM494">
        <v>95.184622822377506</v>
      </c>
      <c r="AN494">
        <v>1.00000000886839</v>
      </c>
    </row>
    <row r="495" spans="1:40" x14ac:dyDescent="0.25">
      <c r="A495" t="str">
        <f>"20190304164344957"</f>
        <v>20190304164344957</v>
      </c>
      <c r="B495" t="str">
        <f>"1551689024950324"</f>
        <v>1551689024950324</v>
      </c>
      <c r="C495" t="s">
        <v>40</v>
      </c>
      <c r="D495">
        <v>4.6771589999999996</v>
      </c>
      <c r="E495">
        <v>0.5485894</v>
      </c>
      <c r="F495" t="s">
        <v>42</v>
      </c>
      <c r="G495">
        <v>-372.48579999999998</v>
      </c>
      <c r="H495" s="1">
        <v>-3.6452580000000002E-6</v>
      </c>
      <c r="I495">
        <v>367.13929999999999</v>
      </c>
      <c r="J495">
        <v>-389.07670000000002</v>
      </c>
      <c r="K495">
        <v>1.1090899999999999</v>
      </c>
      <c r="L495">
        <v>367.14569999999998</v>
      </c>
      <c r="M495">
        <v>0.99995509999999999</v>
      </c>
      <c r="N495">
        <v>-6.8296980000000004E-3</v>
      </c>
      <c r="O495">
        <v>6.5546780000000004E-3</v>
      </c>
      <c r="P495">
        <v>0.95386510000000002</v>
      </c>
      <c r="Q495">
        <v>0.28555520000000001</v>
      </c>
      <c r="R495">
        <v>9.2733159999999995E-2</v>
      </c>
      <c r="S495">
        <v>3.2084350000000001</v>
      </c>
      <c r="T495">
        <v>-0.21171960000000001</v>
      </c>
      <c r="U495">
        <v>-9.4604490000000003E-4</v>
      </c>
      <c r="V495">
        <v>-8.6474640000000005E-2</v>
      </c>
      <c r="W495">
        <v>0.29206850000000001</v>
      </c>
      <c r="X495">
        <v>0.95247999999999999</v>
      </c>
      <c r="Y495">
        <v>6.8218549999999999E-3</v>
      </c>
      <c r="Z495">
        <v>-6.3549839999999999E-4</v>
      </c>
      <c r="AA495">
        <v>0.99997650000000005</v>
      </c>
      <c r="AB495">
        <v>34</v>
      </c>
      <c r="AC495">
        <v>16.590900000000001</v>
      </c>
      <c r="AD495">
        <v>-1.10909364525799</v>
      </c>
      <c r="AE495">
        <v>-6.39999999998508E-3</v>
      </c>
      <c r="AF495">
        <v>0.114638115022914</v>
      </c>
      <c r="AG495">
        <v>-1.10909364525799</v>
      </c>
      <c r="AH495">
        <v>16.5166908913451</v>
      </c>
      <c r="AI495">
        <v>93.841544701449607</v>
      </c>
      <c r="AJ495">
        <v>89.602331076173996</v>
      </c>
      <c r="AK495">
        <v>16.554283693703301</v>
      </c>
      <c r="AL495">
        <v>73.018165440550305</v>
      </c>
      <c r="AM495">
        <v>95.187600550139194</v>
      </c>
      <c r="AN495">
        <v>1.0000000112276799</v>
      </c>
    </row>
    <row r="496" spans="1:40" x14ac:dyDescent="0.25">
      <c r="A496" t="str">
        <f>"20190304164344969"</f>
        <v>20190304164344969</v>
      </c>
      <c r="B496" t="str">
        <f>"1551689024961059"</f>
        <v>1551689024961059</v>
      </c>
      <c r="C496" t="s">
        <v>40</v>
      </c>
      <c r="D496">
        <v>4.6683199999999996</v>
      </c>
      <c r="E496">
        <v>0.54861369999999998</v>
      </c>
      <c r="F496" t="s">
        <v>41</v>
      </c>
      <c r="G496">
        <v>-388.08940000000001</v>
      </c>
      <c r="H496">
        <v>1.043949</v>
      </c>
      <c r="I496">
        <v>367.1454</v>
      </c>
      <c r="J496">
        <v>-388.88260000000002</v>
      </c>
      <c r="K496">
        <v>1.1091409999999999</v>
      </c>
      <c r="L496">
        <v>367.14699999999999</v>
      </c>
      <c r="M496">
        <v>0.99995489999999998</v>
      </c>
      <c r="N496">
        <v>-6.8585130000000001E-3</v>
      </c>
      <c r="O496">
        <v>6.5606579999999996E-3</v>
      </c>
      <c r="P496">
        <v>0.95393570000000005</v>
      </c>
      <c r="Q496">
        <v>0.28526469999999998</v>
      </c>
      <c r="R496">
        <v>9.2900510000000006E-2</v>
      </c>
      <c r="S496">
        <v>3.2086489999999999</v>
      </c>
      <c r="T496">
        <v>-0.21162320000000001</v>
      </c>
      <c r="U496">
        <v>-1.617432E-3</v>
      </c>
      <c r="V496">
        <v>-8.6635429999999999E-2</v>
      </c>
      <c r="W496">
        <v>0.2918058</v>
      </c>
      <c r="X496">
        <v>0.95254589999999995</v>
      </c>
      <c r="Y496">
        <v>7.0365619999999997E-3</v>
      </c>
      <c r="Z496">
        <v>-6.4322879999999998E-4</v>
      </c>
      <c r="AA496">
        <v>0.99997499999999995</v>
      </c>
      <c r="AB496">
        <v>34</v>
      </c>
      <c r="AC496">
        <v>0.79320000000001301</v>
      </c>
      <c r="AD496">
        <v>-6.5191999999999903E-2</v>
      </c>
      <c r="AE496">
        <v>-1.59999999999627E-3</v>
      </c>
      <c r="AF496">
        <v>6.75834994969827E-3</v>
      </c>
      <c r="AG496">
        <v>-6.5191999999999903E-2</v>
      </c>
      <c r="AH496">
        <v>0.787850548764083</v>
      </c>
      <c r="AI496">
        <v>94.730084639660404</v>
      </c>
      <c r="AJ496">
        <v>89.508516645016996</v>
      </c>
      <c r="AK496">
        <v>0.79057204563904804</v>
      </c>
      <c r="AL496">
        <v>73.0339025195576</v>
      </c>
      <c r="AM496">
        <v>95.196835954734198</v>
      </c>
      <c r="AN496">
        <v>1.0000000071258599</v>
      </c>
    </row>
    <row r="497" spans="1:40" x14ac:dyDescent="0.25">
      <c r="A497" t="str">
        <f>"20190304164344987"</f>
        <v>20190304164344987</v>
      </c>
      <c r="B497" t="str">
        <f>"1551689024980579"</f>
        <v>1551689024980579</v>
      </c>
      <c r="C497" t="s">
        <v>40</v>
      </c>
      <c r="D497">
        <v>4.6975639999999999</v>
      </c>
      <c r="E497">
        <v>0.54871519999999996</v>
      </c>
      <c r="F497" t="s">
        <v>42</v>
      </c>
      <c r="G497">
        <v>-372.15179999999998</v>
      </c>
      <c r="H497" s="1">
        <v>-3.7889970000000002E-6</v>
      </c>
      <c r="I497">
        <v>367.13670000000002</v>
      </c>
      <c r="J497">
        <v>-388.61630000000002</v>
      </c>
      <c r="K497">
        <v>1.109202</v>
      </c>
      <c r="L497">
        <v>367.14879999999999</v>
      </c>
      <c r="M497">
        <v>0.99995480000000003</v>
      </c>
      <c r="N497">
        <v>-6.8933479999999997E-3</v>
      </c>
      <c r="O497">
        <v>6.568763E-3</v>
      </c>
      <c r="P497">
        <v>0.95399929999999999</v>
      </c>
      <c r="Q497">
        <v>0.28507450000000001</v>
      </c>
      <c r="R497">
        <v>9.2834029999999998E-2</v>
      </c>
      <c r="S497">
        <v>3.2086790000000001</v>
      </c>
      <c r="T497">
        <v>-0.21271480000000001</v>
      </c>
      <c r="U497">
        <v>-1.953125E-3</v>
      </c>
      <c r="V497">
        <v>-8.6561159999999998E-2</v>
      </c>
      <c r="W497">
        <v>0.2916494</v>
      </c>
      <c r="X497">
        <v>0.95260049999999996</v>
      </c>
      <c r="Y497">
        <v>7.1487019999999998E-3</v>
      </c>
      <c r="Z497">
        <v>-6.5111620000000005E-4</v>
      </c>
      <c r="AA497">
        <v>0.99997429999999998</v>
      </c>
      <c r="AB497">
        <v>34</v>
      </c>
      <c r="AC497">
        <v>16.464500000000001</v>
      </c>
      <c r="AD497">
        <v>-1.109205788997</v>
      </c>
      <c r="AE497">
        <v>-1.2099999999975301E-2</v>
      </c>
      <c r="AF497">
        <v>0.119710368720795</v>
      </c>
      <c r="AG497">
        <v>-1.109205788997</v>
      </c>
      <c r="AH497">
        <v>16.389678231769899</v>
      </c>
      <c r="AI497">
        <v>93.8716050314207</v>
      </c>
      <c r="AJ497">
        <v>89.581518512579507</v>
      </c>
      <c r="AK497">
        <v>16.4276054431459</v>
      </c>
      <c r="AL497">
        <v>73.0432702718374</v>
      </c>
      <c r="AM497">
        <v>95.192109238059501</v>
      </c>
      <c r="AN497">
        <v>0.99999995977057698</v>
      </c>
    </row>
    <row r="498" spans="1:40" x14ac:dyDescent="0.25">
      <c r="A498" t="str">
        <f>"20190304164345000"</f>
        <v>20190304164345000</v>
      </c>
      <c r="B498" t="str">
        <f>"1551689024990340"</f>
        <v>1551689024990340</v>
      </c>
      <c r="C498" t="s">
        <v>40</v>
      </c>
      <c r="D498">
        <v>4.6891319999999999</v>
      </c>
      <c r="E498">
        <v>0.55856380000000005</v>
      </c>
      <c r="F498" t="s">
        <v>42</v>
      </c>
      <c r="G498">
        <v>-371.95409999999998</v>
      </c>
      <c r="H498" s="1">
        <v>-3.8744079999999999E-6</v>
      </c>
      <c r="I498">
        <v>367.13330000000002</v>
      </c>
      <c r="J498">
        <v>-388.42750000000001</v>
      </c>
      <c r="K498">
        <v>1.109245</v>
      </c>
      <c r="L498">
        <v>367.15</v>
      </c>
      <c r="M498">
        <v>0.99995460000000003</v>
      </c>
      <c r="N498">
        <v>-6.9157589999999996E-3</v>
      </c>
      <c r="O498">
        <v>6.5747050000000001E-3</v>
      </c>
      <c r="P498">
        <v>0.95398839999999996</v>
      </c>
      <c r="Q498">
        <v>0.28515600000000002</v>
      </c>
      <c r="R498">
        <v>9.2694490000000004E-2</v>
      </c>
      <c r="S498">
        <v>3.2088009999999998</v>
      </c>
      <c r="T498">
        <v>-0.21361050000000001</v>
      </c>
      <c r="U498">
        <v>-2.960205E-3</v>
      </c>
      <c r="V498">
        <v>-8.6415690000000003E-2</v>
      </c>
      <c r="W498">
        <v>0.29175240000000002</v>
      </c>
      <c r="X498">
        <v>0.95258220000000005</v>
      </c>
      <c r="Y498">
        <v>7.4674310000000001E-3</v>
      </c>
      <c r="Z498">
        <v>-6.6590119999999995E-4</v>
      </c>
      <c r="AA498">
        <v>0.99997190000000002</v>
      </c>
      <c r="AB498">
        <v>34</v>
      </c>
      <c r="AC498">
        <v>16.473400000000002</v>
      </c>
      <c r="AD498">
        <v>-1.109248874408</v>
      </c>
      <c r="AE498">
        <v>-1.6699999999957499E-2</v>
      </c>
      <c r="AF498">
        <v>0.12444571138435501</v>
      </c>
      <c r="AG498">
        <v>-1.109248874408</v>
      </c>
      <c r="AH498">
        <v>16.398581331675899</v>
      </c>
      <c r="AI498">
        <v>93.869651118641002</v>
      </c>
      <c r="AJ498">
        <v>89.565201585129302</v>
      </c>
      <c r="AK498">
        <v>16.4365260773695</v>
      </c>
      <c r="AL498">
        <v>73.037101026460604</v>
      </c>
      <c r="AM498">
        <v>95.183530267599195</v>
      </c>
      <c r="AN498">
        <v>0.99999999107038795</v>
      </c>
    </row>
    <row r="499" spans="1:40" x14ac:dyDescent="0.25">
      <c r="A499" t="str">
        <f>"20190304164345010"</f>
        <v>20190304164345010</v>
      </c>
      <c r="B499" t="str">
        <f>"1551689025000101"</f>
        <v>1551689025000101</v>
      </c>
      <c r="C499" t="s">
        <v>40</v>
      </c>
      <c r="D499">
        <v>4.7141129999999896</v>
      </c>
      <c r="E499">
        <v>0.55912359999999905</v>
      </c>
      <c r="F499" t="s">
        <v>41</v>
      </c>
      <c r="G499">
        <v>-387.47430000000003</v>
      </c>
      <c r="H499">
        <v>1.045156</v>
      </c>
      <c r="I499">
        <v>367.12599999999998</v>
      </c>
      <c r="J499">
        <v>-388.25139999999999</v>
      </c>
      <c r="K499">
        <v>1.1092820000000001</v>
      </c>
      <c r="L499">
        <v>367.15120000000002</v>
      </c>
      <c r="M499">
        <v>0.99995429999999996</v>
      </c>
      <c r="N499">
        <v>-6.9352340000000002E-3</v>
      </c>
      <c r="O499">
        <v>6.5805359999999997E-3</v>
      </c>
      <c r="P499">
        <v>0.9540286</v>
      </c>
      <c r="Q499">
        <v>0.28506239999999999</v>
      </c>
      <c r="R499">
        <v>9.2569429999999994E-2</v>
      </c>
      <c r="S499">
        <v>3.2172239999999999</v>
      </c>
      <c r="T499">
        <v>-0.2164383</v>
      </c>
      <c r="U499">
        <v>-8.0688480000000007E-2</v>
      </c>
      <c r="V499">
        <v>-8.6285100000000003E-2</v>
      </c>
      <c r="W499">
        <v>0.29167769999999998</v>
      </c>
      <c r="X499">
        <v>0.95261689999999999</v>
      </c>
      <c r="Y499">
        <v>3.1559730000000001E-2</v>
      </c>
      <c r="Z499">
        <v>-1.5663739999999999E-3</v>
      </c>
      <c r="AA499">
        <v>0.99950059999999996</v>
      </c>
      <c r="AB499">
        <v>34</v>
      </c>
      <c r="AC499">
        <v>0.77709999999996104</v>
      </c>
      <c r="AD499">
        <v>-6.4125999999999905E-2</v>
      </c>
      <c r="AE499">
        <v>-2.52000000000407E-2</v>
      </c>
      <c r="AF499">
        <v>3.0108503713796898E-2</v>
      </c>
      <c r="AG499">
        <v>-6.4125999999999905E-2</v>
      </c>
      <c r="AH499">
        <v>0.77166819430931499</v>
      </c>
      <c r="AI499">
        <v>94.746796860279701</v>
      </c>
      <c r="AJ499">
        <v>87.7655997754201</v>
      </c>
      <c r="AK499">
        <v>0.77491320028792998</v>
      </c>
      <c r="AL499">
        <v>73.041575426711105</v>
      </c>
      <c r="AM499">
        <v>95.175552068940902</v>
      </c>
      <c r="AN499">
        <v>0.99999997866245405</v>
      </c>
    </row>
    <row r="500" spans="1:40" x14ac:dyDescent="0.25">
      <c r="A500" t="str">
        <f>"20190304164345023"</f>
        <v>20190304164345023</v>
      </c>
      <c r="B500" t="str">
        <f>"1551689025010837"</f>
        <v>1551689025010837</v>
      </c>
      <c r="C500" t="s">
        <v>40</v>
      </c>
      <c r="D500">
        <v>4.6854170000000002</v>
      </c>
      <c r="E500">
        <v>0.55951669999999998</v>
      </c>
      <c r="F500" t="s">
        <v>42</v>
      </c>
      <c r="G500">
        <v>-371.83280000000002</v>
      </c>
      <c r="H500" s="1">
        <v>-4.0002950000000001E-6</v>
      </c>
      <c r="I500">
        <v>366.71710000000002</v>
      </c>
      <c r="J500">
        <v>-388.06229999999999</v>
      </c>
      <c r="K500">
        <v>1.109313</v>
      </c>
      <c r="L500">
        <v>367.1524</v>
      </c>
      <c r="M500">
        <v>0.99995409999999996</v>
      </c>
      <c r="N500">
        <v>-6.954656E-3</v>
      </c>
      <c r="O500">
        <v>6.5865469999999999E-3</v>
      </c>
      <c r="P500">
        <v>0.95406679999999999</v>
      </c>
      <c r="Q500">
        <v>0.2850029</v>
      </c>
      <c r="R500">
        <v>9.2356380000000002E-2</v>
      </c>
      <c r="S500">
        <v>3.2177730000000002</v>
      </c>
      <c r="T500">
        <v>-0.21740090000000001</v>
      </c>
      <c r="U500">
        <v>-8.5052489999999994E-2</v>
      </c>
      <c r="V500">
        <v>-8.6065929999999999E-2</v>
      </c>
      <c r="W500">
        <v>0.29163660000000002</v>
      </c>
      <c r="X500">
        <v>0.95264939999999998</v>
      </c>
      <c r="Y500">
        <v>3.2911900000000001E-2</v>
      </c>
      <c r="Z500">
        <v>-1.6236320000000001E-3</v>
      </c>
      <c r="AA500">
        <v>0.99945689999999998</v>
      </c>
      <c r="AB500">
        <v>34</v>
      </c>
      <c r="AC500">
        <v>16.229499999999899</v>
      </c>
      <c r="AD500">
        <v>-1.1093170002949999</v>
      </c>
      <c r="AE500">
        <v>-0.43529999999998298</v>
      </c>
      <c r="AF500">
        <v>0.53966999418815198</v>
      </c>
      <c r="AG500">
        <v>-1.1093170002949999</v>
      </c>
      <c r="AH500">
        <v>16.150878395829999</v>
      </c>
      <c r="AI500">
        <v>93.926983282323903</v>
      </c>
      <c r="AJ500">
        <v>88.086214749431093</v>
      </c>
      <c r="AK500">
        <v>16.197922733074702</v>
      </c>
      <c r="AL500">
        <v>73.044038828168993</v>
      </c>
      <c r="AM500">
        <v>95.162301773104303</v>
      </c>
      <c r="AN500">
        <v>1.00000006504334</v>
      </c>
    </row>
    <row r="501" spans="1:40" x14ac:dyDescent="0.25">
      <c r="A501" t="str">
        <f>"20190304164345036"</f>
        <v>20190304164345036</v>
      </c>
      <c r="B501" t="str">
        <f>"1551689025030355"</f>
        <v>1551689025030355</v>
      </c>
      <c r="C501" t="s">
        <v>40</v>
      </c>
      <c r="D501">
        <v>4.6848830000000001</v>
      </c>
      <c r="E501">
        <v>0.55979330000000005</v>
      </c>
      <c r="F501" t="s">
        <v>41</v>
      </c>
      <c r="G501">
        <v>-387.16269999999997</v>
      </c>
      <c r="H501">
        <v>1.0476719999999999</v>
      </c>
      <c r="I501">
        <v>367.12740000000002</v>
      </c>
      <c r="J501">
        <v>-387.86189999999999</v>
      </c>
      <c r="K501">
        <v>1.1093420000000001</v>
      </c>
      <c r="L501">
        <v>367.15370000000001</v>
      </c>
      <c r="M501">
        <v>0.99995400000000001</v>
      </c>
      <c r="N501">
        <v>-6.9744350000000002E-3</v>
      </c>
      <c r="O501">
        <v>6.5928559999999898E-3</v>
      </c>
      <c r="P501">
        <v>0.95404699999999998</v>
      </c>
      <c r="Q501">
        <v>0.28516799999999998</v>
      </c>
      <c r="R501">
        <v>9.205265E-2</v>
      </c>
      <c r="S501">
        <v>3.2189640000000002</v>
      </c>
      <c r="T501">
        <v>-0.2208859</v>
      </c>
      <c r="U501">
        <v>-8.8165279999999999E-2</v>
      </c>
      <c r="V501">
        <v>-8.5756540000000006E-2</v>
      </c>
      <c r="W501">
        <v>0.29182039999999998</v>
      </c>
      <c r="X501">
        <v>0.95262100000000005</v>
      </c>
      <c r="Y501">
        <v>3.3868820000000001E-2</v>
      </c>
      <c r="Z501">
        <v>-1.6846160000000001E-3</v>
      </c>
      <c r="AA501">
        <v>0.99942489999999995</v>
      </c>
      <c r="AB501">
        <v>35</v>
      </c>
      <c r="AC501">
        <v>0.69920000000001803</v>
      </c>
      <c r="AD501">
        <v>-6.16700000000001E-2</v>
      </c>
      <c r="AE501">
        <v>-2.6299999999992E-2</v>
      </c>
      <c r="AF501">
        <v>3.06710008674346E-2</v>
      </c>
      <c r="AG501">
        <v>-6.16700000000001E-2</v>
      </c>
      <c r="AH501">
        <v>0.69362307245863297</v>
      </c>
      <c r="AI501">
        <v>95.075871707852102</v>
      </c>
      <c r="AJ501">
        <v>87.468113497303705</v>
      </c>
      <c r="AK501">
        <v>0.69703433619956201</v>
      </c>
      <c r="AL501">
        <v>73.033028681636196</v>
      </c>
      <c r="AM501">
        <v>95.143996578803495</v>
      </c>
      <c r="AN501">
        <v>1.0000000498249599</v>
      </c>
    </row>
    <row r="502" spans="1:40" x14ac:dyDescent="0.25">
      <c r="A502" t="str">
        <f>"20190304164345047"</f>
        <v>20190304164345047</v>
      </c>
      <c r="B502" t="str">
        <f>"1551689025040115"</f>
        <v>1551689025040115</v>
      </c>
      <c r="C502" t="s">
        <v>40</v>
      </c>
      <c r="D502">
        <v>4.7366780000000004</v>
      </c>
      <c r="E502">
        <v>0.55967480000000003</v>
      </c>
      <c r="F502" t="s">
        <v>41</v>
      </c>
      <c r="G502">
        <v>-386.85719999999998</v>
      </c>
      <c r="H502">
        <v>1.0403230000000001</v>
      </c>
      <c r="I502">
        <v>367.12509999999997</v>
      </c>
      <c r="J502">
        <v>-387.66520000000003</v>
      </c>
      <c r="K502">
        <v>1.109364</v>
      </c>
      <c r="L502">
        <v>367.1551</v>
      </c>
      <c r="M502">
        <v>0.99995389999999995</v>
      </c>
      <c r="N502">
        <v>-6.9923659999999999E-3</v>
      </c>
      <c r="O502">
        <v>6.5989909999999898E-3</v>
      </c>
      <c r="P502">
        <v>0.95409449999999996</v>
      </c>
      <c r="Q502">
        <v>0.28498220000000002</v>
      </c>
      <c r="R502">
        <v>9.2137010000000005E-2</v>
      </c>
      <c r="S502">
        <v>3.2194210000000001</v>
      </c>
      <c r="T502">
        <v>-0.22127569999999999</v>
      </c>
      <c r="U502">
        <v>-9.1033939999999994E-2</v>
      </c>
      <c r="V502">
        <v>-8.5834729999999998E-2</v>
      </c>
      <c r="W502">
        <v>0.29165210000000003</v>
      </c>
      <c r="X502">
        <v>0.9526654</v>
      </c>
      <c r="Y502">
        <v>3.4758240000000003E-2</v>
      </c>
      <c r="Z502">
        <v>-1.7214109999999999E-3</v>
      </c>
      <c r="AA502">
        <v>0.99939420000000001</v>
      </c>
      <c r="AB502">
        <v>35</v>
      </c>
      <c r="AC502">
        <v>0.80800000000004901</v>
      </c>
      <c r="AD502">
        <v>-6.9041000000000102E-2</v>
      </c>
      <c r="AE502">
        <v>-3.00000000000295E-2</v>
      </c>
      <c r="AF502">
        <v>3.5075720558569098E-2</v>
      </c>
      <c r="AG502">
        <v>-6.9041000000000102E-2</v>
      </c>
      <c r="AH502">
        <v>0.80193742438920701</v>
      </c>
      <c r="AI502">
        <v>94.915941169208494</v>
      </c>
      <c r="AJ502">
        <v>87.495551902716102</v>
      </c>
      <c r="AK502">
        <v>0.80566779660707399</v>
      </c>
      <c r="AL502">
        <v>73.043108481944799</v>
      </c>
      <c r="AM502">
        <v>95.148422840373499</v>
      </c>
      <c r="AN502">
        <v>0.99999995633286998</v>
      </c>
    </row>
    <row r="503" spans="1:40" x14ac:dyDescent="0.25">
      <c r="A503" t="str">
        <f>"20190304164345066"</f>
        <v>20190304164345066</v>
      </c>
      <c r="B503" t="str">
        <f>"1551689025060611"</f>
        <v>1551689025060611</v>
      </c>
      <c r="C503" t="s">
        <v>40</v>
      </c>
      <c r="D503">
        <v>4.6975049999999996</v>
      </c>
      <c r="E503">
        <v>0.55965830000000005</v>
      </c>
      <c r="F503" t="s">
        <v>41</v>
      </c>
      <c r="G503">
        <v>-386.84739999999999</v>
      </c>
      <c r="H503">
        <v>1.0530999999999999</v>
      </c>
      <c r="I503">
        <v>367.13170000000002</v>
      </c>
      <c r="J503">
        <v>-387.39949999999999</v>
      </c>
      <c r="K503">
        <v>1.1093959999999901</v>
      </c>
      <c r="L503">
        <v>367.15679999999998</v>
      </c>
      <c r="M503">
        <v>0.99995369999999995</v>
      </c>
      <c r="N503">
        <v>-7.015388E-3</v>
      </c>
      <c r="O503">
        <v>6.6073149999999999E-3</v>
      </c>
      <c r="P503">
        <v>0.95407149999999996</v>
      </c>
      <c r="Q503">
        <v>0.28506019999999999</v>
      </c>
      <c r="R503">
        <v>9.2132660000000005E-2</v>
      </c>
      <c r="S503">
        <v>3.2193299999999998</v>
      </c>
      <c r="T503">
        <v>-0.2215906</v>
      </c>
      <c r="U503">
        <v>-9.0942380000000003E-2</v>
      </c>
      <c r="V503">
        <v>-8.5821999999999996E-2</v>
      </c>
      <c r="W503">
        <v>0.29175200000000001</v>
      </c>
      <c r="X503">
        <v>0.95263600000000004</v>
      </c>
      <c r="Y503">
        <v>3.4738690000000003E-2</v>
      </c>
      <c r="Z503">
        <v>-1.72381799999999E-3</v>
      </c>
      <c r="AA503">
        <v>0.99939500000000003</v>
      </c>
      <c r="AB503">
        <v>35</v>
      </c>
      <c r="AC503">
        <v>0.55209999999999504</v>
      </c>
      <c r="AD503">
        <v>-5.6295999999999902E-2</v>
      </c>
      <c r="AE503">
        <v>-2.5099999999952102E-2</v>
      </c>
      <c r="AF503">
        <v>2.8452224491045001E-2</v>
      </c>
      <c r="AG503">
        <v>-5.6295999999999902E-2</v>
      </c>
      <c r="AH503">
        <v>0.54625425845499698</v>
      </c>
      <c r="AI503">
        <v>95.876119607022801</v>
      </c>
      <c r="AJ503">
        <v>87.018383770152496</v>
      </c>
      <c r="AK503">
        <v>0.54988406375772303</v>
      </c>
      <c r="AL503">
        <v>73.037125088078099</v>
      </c>
      <c r="AM503">
        <v>95.147821401526201</v>
      </c>
      <c r="AN503">
        <v>0.99999999684199903</v>
      </c>
    </row>
    <row r="504" spans="1:40" x14ac:dyDescent="0.25">
      <c r="A504" t="str">
        <f>"20190304164345080"</f>
        <v>20190304164345080</v>
      </c>
      <c r="B504" t="str">
        <f>"1551689025070371"</f>
        <v>1551689025070371</v>
      </c>
      <c r="C504" t="s">
        <v>40</v>
      </c>
      <c r="D504">
        <v>4.8532169999999999</v>
      </c>
      <c r="E504">
        <v>0.55946859999999998</v>
      </c>
      <c r="F504" t="s">
        <v>41</v>
      </c>
      <c r="G504">
        <v>-386.53890000000001</v>
      </c>
      <c r="H504">
        <v>1.050324</v>
      </c>
      <c r="I504">
        <v>367.13220000000001</v>
      </c>
      <c r="J504">
        <v>-387.18779999999998</v>
      </c>
      <c r="K504">
        <v>1.1094189999999999</v>
      </c>
      <c r="L504">
        <v>367.15820000000002</v>
      </c>
      <c r="M504">
        <v>0.99995339999999999</v>
      </c>
      <c r="N504">
        <v>-7.0328029999999998E-3</v>
      </c>
      <c r="O504">
        <v>6.6141680000000001E-3</v>
      </c>
      <c r="P504">
        <v>0.95407940000000002</v>
      </c>
      <c r="Q504">
        <v>0.28510390000000002</v>
      </c>
      <c r="R504">
        <v>9.1915120000000003E-2</v>
      </c>
      <c r="S504">
        <v>3.21936</v>
      </c>
      <c r="T504">
        <v>-0.22116459999999999</v>
      </c>
      <c r="U504">
        <v>-9.1613769999999997E-2</v>
      </c>
      <c r="V504">
        <v>-8.5598679999999996E-2</v>
      </c>
      <c r="W504">
        <v>0.29181269999999998</v>
      </c>
      <c r="X504">
        <v>0.95263750000000003</v>
      </c>
      <c r="Y504">
        <v>3.4953329999999998E-2</v>
      </c>
      <c r="Z504">
        <v>-1.7293639999999999E-3</v>
      </c>
      <c r="AA504">
        <v>0.99938740000000004</v>
      </c>
      <c r="AB504">
        <v>35</v>
      </c>
      <c r="AC504">
        <v>0.64889999999996895</v>
      </c>
      <c r="AD504">
        <v>-5.9095000000000099E-2</v>
      </c>
      <c r="AE504">
        <v>-2.60000000000104E-2</v>
      </c>
      <c r="AF504">
        <v>3.00427065436039E-2</v>
      </c>
      <c r="AG504">
        <v>-5.9095000000000099E-2</v>
      </c>
      <c r="AH504">
        <v>0.64338636159121398</v>
      </c>
      <c r="AI504">
        <v>95.242209248850003</v>
      </c>
      <c r="AJ504">
        <v>87.326535070684599</v>
      </c>
      <c r="AK504">
        <v>0.64679269748741397</v>
      </c>
      <c r="AL504">
        <v>73.033488997291499</v>
      </c>
      <c r="AM504">
        <v>95.134489752445305</v>
      </c>
      <c r="AN504">
        <v>0.99999999615264101</v>
      </c>
    </row>
    <row r="505" spans="1:40" x14ac:dyDescent="0.25">
      <c r="A505" t="str">
        <f>"20190304164345094"</f>
        <v>20190304164345094</v>
      </c>
      <c r="B505" t="str">
        <f>"1551689025081107"</f>
        <v>1551689025081107</v>
      </c>
      <c r="C505" t="s">
        <v>40</v>
      </c>
      <c r="D505">
        <v>4.7867790000000001</v>
      </c>
      <c r="E505">
        <v>0.55965520000000002</v>
      </c>
      <c r="F505" t="s">
        <v>41</v>
      </c>
      <c r="G505">
        <v>-386.2328</v>
      </c>
      <c r="H505">
        <v>1.0437989999999999</v>
      </c>
      <c r="I505">
        <v>367.1311</v>
      </c>
      <c r="J505">
        <v>-386.9554</v>
      </c>
      <c r="K505">
        <v>1.1094389999999901</v>
      </c>
      <c r="L505">
        <v>367.15980000000002</v>
      </c>
      <c r="M505">
        <v>0.99995330000000004</v>
      </c>
      <c r="N505">
        <v>-7.0510829999999997E-3</v>
      </c>
      <c r="O505">
        <v>6.6211369999999896E-3</v>
      </c>
      <c r="P505">
        <v>0.95404840000000002</v>
      </c>
      <c r="Q505">
        <v>0.28518690000000002</v>
      </c>
      <c r="R505">
        <v>9.1980930000000002E-2</v>
      </c>
      <c r="S505">
        <v>3.2192379999999998</v>
      </c>
      <c r="T505">
        <v>-0.221244</v>
      </c>
      <c r="U505">
        <v>-9.088135E-2</v>
      </c>
      <c r="V505">
        <v>-8.5657750000000005E-2</v>
      </c>
      <c r="W505">
        <v>0.29191209999999901</v>
      </c>
      <c r="X505">
        <v>0.9526017</v>
      </c>
      <c r="Y505">
        <v>3.4734639999999997E-2</v>
      </c>
      <c r="Z505">
        <v>-1.7223749999999999E-3</v>
      </c>
      <c r="AA505">
        <v>0.99939509999999998</v>
      </c>
      <c r="AB505">
        <v>35</v>
      </c>
      <c r="AC505">
        <v>0.72259999999999902</v>
      </c>
      <c r="AD505">
        <v>-6.5639999999999907E-2</v>
      </c>
      <c r="AE505">
        <v>-2.87000000000148E-2</v>
      </c>
      <c r="AF505">
        <v>3.32103144729997E-2</v>
      </c>
      <c r="AG505">
        <v>-6.5639999999999907E-2</v>
      </c>
      <c r="AH505">
        <v>0.71649119985944798</v>
      </c>
      <c r="AI505">
        <v>95.228851305339603</v>
      </c>
      <c r="AJ505">
        <v>87.346164314336704</v>
      </c>
      <c r="AK505">
        <v>0.72025771364382296</v>
      </c>
      <c r="AL505">
        <v>73.0275339366179</v>
      </c>
      <c r="AM505">
        <v>95.138206065999697</v>
      </c>
      <c r="AN505">
        <v>0.99999996155217996</v>
      </c>
    </row>
    <row r="506" spans="1:40" x14ac:dyDescent="0.25">
      <c r="A506" t="str">
        <f>"20190304164345110"</f>
        <v>20190304164345110</v>
      </c>
      <c r="B506" t="str">
        <f>"1551689025100627"</f>
        <v>1551689025100627</v>
      </c>
      <c r="C506" t="s">
        <v>40</v>
      </c>
      <c r="D506">
        <v>4.9489049999999999</v>
      </c>
      <c r="E506">
        <v>0.55963030000000002</v>
      </c>
      <c r="F506" t="s">
        <v>41</v>
      </c>
      <c r="G506">
        <v>-385.9228</v>
      </c>
      <c r="H506">
        <v>1.038537</v>
      </c>
      <c r="I506">
        <v>367.13</v>
      </c>
      <c r="J506">
        <v>-386.69540000000001</v>
      </c>
      <c r="K506">
        <v>1.1094550000000001</v>
      </c>
      <c r="L506">
        <v>367.16149999999999</v>
      </c>
      <c r="M506">
        <v>0.99995310000000004</v>
      </c>
      <c r="N506">
        <v>-7.0702889999999996E-3</v>
      </c>
      <c r="O506">
        <v>6.629116E-3</v>
      </c>
      <c r="P506">
        <v>0.95406590000000002</v>
      </c>
      <c r="Q506">
        <v>0.28509329999999999</v>
      </c>
      <c r="R506">
        <v>9.208943E-2</v>
      </c>
      <c r="S506">
        <v>3.2194820000000002</v>
      </c>
      <c r="T506">
        <v>-0.22118950000000001</v>
      </c>
      <c r="U506">
        <v>-9.1949459999999997E-2</v>
      </c>
      <c r="V506">
        <v>-8.5758360000000006E-2</v>
      </c>
      <c r="W506">
        <v>0.29183730000000002</v>
      </c>
      <c r="X506">
        <v>0.95261560000000001</v>
      </c>
      <c r="Y506">
        <v>3.507093E-2</v>
      </c>
      <c r="Z506">
        <v>-1.7352649999999999E-3</v>
      </c>
      <c r="AA506">
        <v>0.99938329999999997</v>
      </c>
      <c r="AB506">
        <v>35</v>
      </c>
      <c r="AC506">
        <v>0.77260000000001094</v>
      </c>
      <c r="AD506">
        <v>-7.0917999999999801E-2</v>
      </c>
      <c r="AE506">
        <v>-3.1499999999993998E-2</v>
      </c>
      <c r="AF506">
        <v>3.6315615543208599E-2</v>
      </c>
      <c r="AG506">
        <v>-7.0917999999999801E-2</v>
      </c>
      <c r="AH506">
        <v>0.76593143819743303</v>
      </c>
      <c r="AI506">
        <v>95.284061755013099</v>
      </c>
      <c r="AJ506">
        <v>87.285430134964898</v>
      </c>
      <c r="AK506">
        <v>0.77006438346119499</v>
      </c>
      <c r="AL506">
        <v>73.032015333603297</v>
      </c>
      <c r="AM506">
        <v>95.144134166912295</v>
      </c>
      <c r="AN506">
        <v>0.99999999367226899</v>
      </c>
    </row>
    <row r="507" spans="1:40" x14ac:dyDescent="0.25">
      <c r="A507" t="str">
        <f>"20190304164345125"</f>
        <v>20190304164345125</v>
      </c>
      <c r="B507" t="str">
        <f>"1551689025110388"</f>
        <v>1551689025110388</v>
      </c>
      <c r="C507" t="s">
        <v>40</v>
      </c>
      <c r="D507">
        <v>4.9043519999999896</v>
      </c>
      <c r="E507">
        <v>0.56731799999999999</v>
      </c>
      <c r="F507" t="s">
        <v>42</v>
      </c>
      <c r="G507">
        <v>-370.56369999999998</v>
      </c>
      <c r="H507" s="1">
        <v>-4.5475549999999997E-6</v>
      </c>
      <c r="I507">
        <v>366.70119999999997</v>
      </c>
      <c r="J507">
        <v>-386.49220000000003</v>
      </c>
      <c r="K507">
        <v>1.1094660000000001</v>
      </c>
      <c r="L507">
        <v>367.16289999999998</v>
      </c>
      <c r="M507">
        <v>0.99995299999999998</v>
      </c>
      <c r="N507">
        <v>-7.084613E-3</v>
      </c>
      <c r="O507">
        <v>6.6354430000000004E-3</v>
      </c>
      <c r="P507">
        <v>0.95401979999999997</v>
      </c>
      <c r="Q507">
        <v>0.285188</v>
      </c>
      <c r="R507">
        <v>9.2272000000000007E-2</v>
      </c>
      <c r="S507">
        <v>3.2195130000000001</v>
      </c>
      <c r="T507">
        <v>-0.22142200000000001</v>
      </c>
      <c r="U507">
        <v>-9.1857910000000001E-2</v>
      </c>
      <c r="V507">
        <v>-8.5935730000000002E-2</v>
      </c>
      <c r="W507">
        <v>0.29194490000000001</v>
      </c>
      <c r="X507">
        <v>0.95256660000000004</v>
      </c>
      <c r="Y507">
        <v>3.5048410000000002E-2</v>
      </c>
      <c r="Z507">
        <v>-1.736682E-3</v>
      </c>
      <c r="AA507">
        <v>0.9993841</v>
      </c>
      <c r="AB507">
        <v>35</v>
      </c>
      <c r="AC507">
        <v>15.9285</v>
      </c>
      <c r="AD507">
        <v>-1.109470547555</v>
      </c>
      <c r="AE507">
        <v>-0.46170000000000699</v>
      </c>
      <c r="AF507">
        <v>0.56464800339250798</v>
      </c>
      <c r="AG507">
        <v>-1.109470547555</v>
      </c>
      <c r="AH507">
        <v>15.848261345454199</v>
      </c>
      <c r="AI507">
        <v>94.001973882494994</v>
      </c>
      <c r="AJ507">
        <v>87.959506836560394</v>
      </c>
      <c r="AK507">
        <v>15.8970796040482</v>
      </c>
      <c r="AL507">
        <v>73.025568857929599</v>
      </c>
      <c r="AM507">
        <v>95.154980009901806</v>
      </c>
      <c r="AN507">
        <v>0.99999995088110005</v>
      </c>
    </row>
    <row r="508" spans="1:40" x14ac:dyDescent="0.25">
      <c r="A508" t="str">
        <f>"20190304164345142"</f>
        <v>20190304164345142</v>
      </c>
      <c r="B508" t="str">
        <f>"1551689025130883"</f>
        <v>1551689025130883</v>
      </c>
      <c r="C508" t="s">
        <v>40</v>
      </c>
      <c r="D508">
        <v>4.868773</v>
      </c>
      <c r="E508">
        <v>0.56916080000000002</v>
      </c>
      <c r="F508" t="s">
        <v>41</v>
      </c>
      <c r="G508">
        <v>-385.61079999999998</v>
      </c>
      <c r="H508">
        <v>1.0359910000000001</v>
      </c>
      <c r="I508">
        <v>367.1225</v>
      </c>
      <c r="J508">
        <v>-386.19630000000001</v>
      </c>
      <c r="K508">
        <v>1.109478</v>
      </c>
      <c r="L508">
        <v>367.16480000000001</v>
      </c>
      <c r="M508">
        <v>0.99995270000000003</v>
      </c>
      <c r="N508">
        <v>-7.1047069999999896E-3</v>
      </c>
      <c r="O508">
        <v>6.6447889999999999E-3</v>
      </c>
      <c r="P508">
        <v>0.95394100000000004</v>
      </c>
      <c r="Q508">
        <v>0.28526059999999998</v>
      </c>
      <c r="R508">
        <v>9.2858960000000004E-2</v>
      </c>
      <c r="S508">
        <v>3.239655</v>
      </c>
      <c r="T508">
        <v>-0.27017449999999998</v>
      </c>
      <c r="U508">
        <v>-0.14782709999999999</v>
      </c>
      <c r="V508">
        <v>-8.6514129999999995E-2</v>
      </c>
      <c r="W508">
        <v>0.29203659999999998</v>
      </c>
      <c r="X508">
        <v>0.95248619999999995</v>
      </c>
      <c r="Y508">
        <v>5.2005280000000001E-2</v>
      </c>
      <c r="Z508">
        <v>-2.854639E-3</v>
      </c>
      <c r="AA508">
        <v>0.99864269999999999</v>
      </c>
      <c r="AB508">
        <v>35</v>
      </c>
      <c r="AC508">
        <v>0.585500000000024</v>
      </c>
      <c r="AD508">
        <v>-7.3486999999999997E-2</v>
      </c>
      <c r="AE508">
        <v>-4.2300000000011502E-2</v>
      </c>
      <c r="AF508">
        <v>4.5477002283127302E-2</v>
      </c>
      <c r="AG508">
        <v>-7.3486999999999997E-2</v>
      </c>
      <c r="AH508">
        <v>0.57617652902876604</v>
      </c>
      <c r="AI508">
        <v>97.246109896835407</v>
      </c>
      <c r="AJ508">
        <v>85.487060914238498</v>
      </c>
      <c r="AK508">
        <v>0.58262156629264605</v>
      </c>
      <c r="AL508">
        <v>73.020076573622205</v>
      </c>
      <c r="AM508">
        <v>95.189923016502803</v>
      </c>
      <c r="AN508">
        <v>1.0000000158098199</v>
      </c>
    </row>
    <row r="509" spans="1:40" x14ac:dyDescent="0.25">
      <c r="A509" t="str">
        <f>"20190304164345153"</f>
        <v>20190304164345153</v>
      </c>
      <c r="B509" t="str">
        <f>"1551689025140644"</f>
        <v>1551689025140644</v>
      </c>
      <c r="C509" t="s">
        <v>40</v>
      </c>
      <c r="D509">
        <v>4.8941359999999996</v>
      </c>
      <c r="E509">
        <v>0.56969959999999997</v>
      </c>
      <c r="F509" t="s">
        <v>41</v>
      </c>
      <c r="G509">
        <v>-385.29820000000001</v>
      </c>
      <c r="H509">
        <v>1.033199</v>
      </c>
      <c r="I509">
        <v>367.12020000000001</v>
      </c>
      <c r="J509">
        <v>-386.02760000000001</v>
      </c>
      <c r="K509">
        <v>1.109486</v>
      </c>
      <c r="L509">
        <v>367.166</v>
      </c>
      <c r="M509">
        <v>0.99995270000000003</v>
      </c>
      <c r="N509">
        <v>-7.11585E-3</v>
      </c>
      <c r="O509">
        <v>6.6498149999999999E-3</v>
      </c>
      <c r="P509">
        <v>0.95394619999999997</v>
      </c>
      <c r="Q509">
        <v>0.28520859999999998</v>
      </c>
      <c r="R509">
        <v>9.2966869999999993E-2</v>
      </c>
      <c r="S509">
        <v>3.2428279999999998</v>
      </c>
      <c r="T509">
        <v>-0.2756729</v>
      </c>
      <c r="U509">
        <v>-0.15972900000000001</v>
      </c>
      <c r="V509">
        <v>-8.6617020000000003E-2</v>
      </c>
      <c r="W509">
        <v>0.2919947</v>
      </c>
      <c r="X509">
        <v>0.95248969999999999</v>
      </c>
      <c r="Y509">
        <v>5.560027E-2</v>
      </c>
      <c r="Z509">
        <v>-3.0726949999999999E-3</v>
      </c>
      <c r="AA509">
        <v>0.99844840000000001</v>
      </c>
      <c r="AB509">
        <v>35</v>
      </c>
      <c r="AC509">
        <v>0.72939999999999805</v>
      </c>
      <c r="AD509">
        <v>-7.6286999999999994E-2</v>
      </c>
      <c r="AE509">
        <v>-4.5799999999985602E-2</v>
      </c>
      <c r="AF509">
        <v>5.0103564259467201E-2</v>
      </c>
      <c r="AG509">
        <v>-7.6286999999999994E-2</v>
      </c>
      <c r="AH509">
        <v>0.72122099618598901</v>
      </c>
      <c r="AI509">
        <v>96.023586822224402</v>
      </c>
      <c r="AJ509">
        <v>86.026019852123397</v>
      </c>
      <c r="AK509">
        <v>0.72697303860598095</v>
      </c>
      <c r="AL509">
        <v>73.022586760275601</v>
      </c>
      <c r="AM509">
        <v>95.196042561115405</v>
      </c>
      <c r="AN509">
        <v>1.0000000207939299</v>
      </c>
    </row>
    <row r="510" spans="1:40" x14ac:dyDescent="0.25">
      <c r="A510" t="str">
        <f>"20190304164345166"</f>
        <v>20190304164345166</v>
      </c>
      <c r="B510" t="str">
        <f>"1551689025160164"</f>
        <v>1551689025160164</v>
      </c>
      <c r="C510" t="s">
        <v>40</v>
      </c>
      <c r="D510">
        <v>4.848687</v>
      </c>
      <c r="E510">
        <v>0.57036069999999905</v>
      </c>
      <c r="F510" t="s">
        <v>41</v>
      </c>
      <c r="G510">
        <v>-385.29109999999997</v>
      </c>
      <c r="H510">
        <v>1.046999</v>
      </c>
      <c r="I510">
        <v>367.1284</v>
      </c>
      <c r="J510">
        <v>-385.82530000000003</v>
      </c>
      <c r="K510">
        <v>1.1094930000000001</v>
      </c>
      <c r="L510">
        <v>367.16730000000001</v>
      </c>
      <c r="M510">
        <v>0.99995250000000002</v>
      </c>
      <c r="N510">
        <v>-7.128578E-3</v>
      </c>
      <c r="O510">
        <v>6.6563269999999897E-3</v>
      </c>
      <c r="P510">
        <v>0.95388669999999998</v>
      </c>
      <c r="Q510">
        <v>0.28534900000000002</v>
      </c>
      <c r="R510">
        <v>9.3146279999999998E-2</v>
      </c>
      <c r="S510">
        <v>3.2431030000000001</v>
      </c>
      <c r="T510">
        <v>-0.27546579999999998</v>
      </c>
      <c r="U510">
        <v>-0.1636658</v>
      </c>
      <c r="V510">
        <v>-8.6790839999999994E-2</v>
      </c>
      <c r="W510">
        <v>0.29214689999999999</v>
      </c>
      <c r="X510">
        <v>0.95242709999999997</v>
      </c>
      <c r="Y510">
        <v>5.6807240000000002E-2</v>
      </c>
      <c r="Z510">
        <v>-3.1264069999999999E-3</v>
      </c>
      <c r="AA510">
        <v>0.99838020000000005</v>
      </c>
      <c r="AB510">
        <v>35</v>
      </c>
      <c r="AC510">
        <v>0.53420000000005496</v>
      </c>
      <c r="AD510">
        <v>-6.2494000000000001E-2</v>
      </c>
      <c r="AE510">
        <v>-3.89000000000123E-2</v>
      </c>
      <c r="AF510">
        <v>4.1884836005228E-2</v>
      </c>
      <c r="AG510">
        <v>-6.2494000000000001E-2</v>
      </c>
      <c r="AH510">
        <v>0.52675816757543703</v>
      </c>
      <c r="AI510">
        <v>96.744790378830501</v>
      </c>
      <c r="AJ510">
        <v>85.453728256545205</v>
      </c>
      <c r="AK510">
        <v>0.53210337964592702</v>
      </c>
      <c r="AL510">
        <v>73.013467020793001</v>
      </c>
      <c r="AM510">
        <v>95.206752869183006</v>
      </c>
      <c r="AN510">
        <v>0.99999992095095902</v>
      </c>
    </row>
    <row r="511" spans="1:40" x14ac:dyDescent="0.25">
      <c r="A511" t="str">
        <f>"20190304164345178"</f>
        <v>20190304164345178</v>
      </c>
      <c r="B511" t="str">
        <f>"1551689025170900"</f>
        <v>1551689025170900</v>
      </c>
      <c r="C511" t="s">
        <v>40</v>
      </c>
      <c r="D511">
        <v>4.8551089999999997</v>
      </c>
      <c r="E511">
        <v>0.57059530000000003</v>
      </c>
      <c r="F511" t="s">
        <v>41</v>
      </c>
      <c r="G511">
        <v>-384.98099999999999</v>
      </c>
      <c r="H511">
        <v>1.0381739999999999</v>
      </c>
      <c r="I511">
        <v>367.12329999999997</v>
      </c>
      <c r="J511">
        <v>-385.63099999999997</v>
      </c>
      <c r="K511">
        <v>1.1094980000000001</v>
      </c>
      <c r="L511">
        <v>367.16860000000003</v>
      </c>
      <c r="M511">
        <v>0.99995230000000002</v>
      </c>
      <c r="N511">
        <v>-7.1405820000000004E-3</v>
      </c>
      <c r="O511">
        <v>6.6624830000000003E-3</v>
      </c>
      <c r="P511">
        <v>0.95394029999999996</v>
      </c>
      <c r="Q511">
        <v>0.28514830000000002</v>
      </c>
      <c r="R511">
        <v>9.3211000000000002E-2</v>
      </c>
      <c r="S511">
        <v>3.2435</v>
      </c>
      <c r="T511">
        <v>-0.27414359999999999</v>
      </c>
      <c r="U511">
        <v>-0.16864009999999999</v>
      </c>
      <c r="V511">
        <v>-8.6849670000000004E-2</v>
      </c>
      <c r="W511">
        <v>0.2919582</v>
      </c>
      <c r="X511">
        <v>0.95247969999999904</v>
      </c>
      <c r="Y511">
        <v>5.8330729999999997E-2</v>
      </c>
      <c r="Z511">
        <v>-3.182144E-3</v>
      </c>
      <c r="AA511">
        <v>0.99829230000000002</v>
      </c>
      <c r="AB511">
        <v>35</v>
      </c>
      <c r="AC511">
        <v>0.64999999999997704</v>
      </c>
      <c r="AD511">
        <v>-7.1323999999999901E-2</v>
      </c>
      <c r="AE511">
        <v>-4.5300000000054297E-2</v>
      </c>
      <c r="AF511">
        <v>4.9042081717624003E-2</v>
      </c>
      <c r="AG511">
        <v>-7.1323999999999901E-2</v>
      </c>
      <c r="AH511">
        <v>0.64199121948408899</v>
      </c>
      <c r="AI511">
        <v>96.321187783518795</v>
      </c>
      <c r="AJ511">
        <v>85.631626224579307</v>
      </c>
      <c r="AK511">
        <v>0.64780009621014001</v>
      </c>
      <c r="AL511">
        <v>73.024773274293196</v>
      </c>
      <c r="AM511">
        <v>95.209976628622698</v>
      </c>
      <c r="AN511">
        <v>1.0000000173192101</v>
      </c>
    </row>
    <row r="512" spans="1:40" x14ac:dyDescent="0.25">
      <c r="A512" t="str">
        <f>"20190304164345190"</f>
        <v>20190304164345190</v>
      </c>
      <c r="B512" t="str">
        <f>"1551689025180660"</f>
        <v>1551689025180660</v>
      </c>
      <c r="C512" t="s">
        <v>40</v>
      </c>
      <c r="D512">
        <v>4.8635169999999999</v>
      </c>
      <c r="E512">
        <v>0.5707468</v>
      </c>
      <c r="F512" t="s">
        <v>41</v>
      </c>
      <c r="G512">
        <v>-384.67039999999997</v>
      </c>
      <c r="H512">
        <v>1.0282519999999999</v>
      </c>
      <c r="I512">
        <v>367.11799999999999</v>
      </c>
      <c r="J512">
        <v>-385.44330000000002</v>
      </c>
      <c r="K512">
        <v>1.109502</v>
      </c>
      <c r="L512">
        <v>367.16989999999998</v>
      </c>
      <c r="M512">
        <v>0.99995219999999996</v>
      </c>
      <c r="N512">
        <v>-7.1518930000000003E-3</v>
      </c>
      <c r="O512">
        <v>6.6683430000000002E-3</v>
      </c>
      <c r="P512">
        <v>0.95388810000000002</v>
      </c>
      <c r="Q512">
        <v>0.28525899999999998</v>
      </c>
      <c r="R512">
        <v>9.3408199999999997E-2</v>
      </c>
      <c r="S512">
        <v>3.2435</v>
      </c>
      <c r="T512">
        <v>-0.27452799999999999</v>
      </c>
      <c r="U512">
        <v>-0.16998289999999999</v>
      </c>
      <c r="V512">
        <v>-8.7041579999999993E-2</v>
      </c>
      <c r="W512">
        <v>0.29207949999999999</v>
      </c>
      <c r="X512">
        <v>0.95242490000000002</v>
      </c>
      <c r="Y512">
        <v>5.8746409999999999E-2</v>
      </c>
      <c r="Z512">
        <v>-3.2060840000000001E-3</v>
      </c>
      <c r="AA512">
        <v>0.99826780000000004</v>
      </c>
      <c r="AB512">
        <v>35</v>
      </c>
      <c r="AC512">
        <v>0.77290000000004899</v>
      </c>
      <c r="AD512">
        <v>-8.1250000000000003E-2</v>
      </c>
      <c r="AE512">
        <v>-5.1899999999932299E-2</v>
      </c>
      <c r="AF512">
        <v>5.6432110297356598E-2</v>
      </c>
      <c r="AG512">
        <v>-8.1250000000000003E-2</v>
      </c>
      <c r="AH512">
        <v>0.764130249235494</v>
      </c>
      <c r="AI512">
        <v>96.053095603496303</v>
      </c>
      <c r="AJ512">
        <v>85.776292459760199</v>
      </c>
      <c r="AK512">
        <v>0.77050709495066405</v>
      </c>
      <c r="AL512">
        <v>73.017505040662797</v>
      </c>
      <c r="AM512">
        <v>95.221724213370095</v>
      </c>
      <c r="AN512">
        <v>0.99999993055457503</v>
      </c>
    </row>
    <row r="513" spans="1:40" x14ac:dyDescent="0.25">
      <c r="A513" t="str">
        <f>"20190304164345202"</f>
        <v>20190304164345202</v>
      </c>
      <c r="B513" t="str">
        <f>"1551689025190421"</f>
        <v>1551689025190421</v>
      </c>
      <c r="C513" t="s">
        <v>40</v>
      </c>
      <c r="D513">
        <v>4.846692</v>
      </c>
      <c r="E513">
        <v>0.57091610000000004</v>
      </c>
      <c r="F513" t="s">
        <v>41</v>
      </c>
      <c r="G513">
        <v>-384.6628</v>
      </c>
      <c r="H513">
        <v>1.043909</v>
      </c>
      <c r="I513">
        <v>367.1284</v>
      </c>
      <c r="J513">
        <v>-385.26679999999999</v>
      </c>
      <c r="K513">
        <v>1.109507</v>
      </c>
      <c r="L513">
        <v>367.17110000000002</v>
      </c>
      <c r="M513">
        <v>0.99995210000000001</v>
      </c>
      <c r="N513">
        <v>-7.1622250000000004E-3</v>
      </c>
      <c r="O513">
        <v>6.6736709999999999E-3</v>
      </c>
      <c r="P513">
        <v>0.95384029999999997</v>
      </c>
      <c r="Q513">
        <v>0.28535949999999999</v>
      </c>
      <c r="R513">
        <v>9.3587359999999994E-2</v>
      </c>
      <c r="S513">
        <v>3.243347</v>
      </c>
      <c r="T513">
        <v>-0.2728274</v>
      </c>
      <c r="U513">
        <v>-0.170929</v>
      </c>
      <c r="V513">
        <v>-8.7216089999999996E-2</v>
      </c>
      <c r="W513">
        <v>0.29218939999999999</v>
      </c>
      <c r="X513">
        <v>0.95237530000000004</v>
      </c>
      <c r="Y513">
        <v>5.9046340000000003E-2</v>
      </c>
      <c r="Z513">
        <v>-3.2017209999999998E-3</v>
      </c>
      <c r="AA513">
        <v>0.99825010000000003</v>
      </c>
      <c r="AB513">
        <v>35</v>
      </c>
      <c r="AC513">
        <v>0.60399999999998499</v>
      </c>
      <c r="AD513">
        <v>-6.5598000000000004E-2</v>
      </c>
      <c r="AE513">
        <v>-4.2700000000024801E-2</v>
      </c>
      <c r="AF513">
        <v>4.6187960179854499E-2</v>
      </c>
      <c r="AG513">
        <v>-6.5598000000000004E-2</v>
      </c>
      <c r="AH513">
        <v>0.59669836737448501</v>
      </c>
      <c r="AI513">
        <v>96.255053295678394</v>
      </c>
      <c r="AJ513">
        <v>85.573795999630704</v>
      </c>
      <c r="AK513">
        <v>0.60206757668633104</v>
      </c>
      <c r="AL513">
        <v>73.010922270622601</v>
      </c>
      <c r="AM513">
        <v>95.232406200995101</v>
      </c>
      <c r="AN513">
        <v>1.0000000019386599</v>
      </c>
    </row>
    <row r="514" spans="1:40" x14ac:dyDescent="0.25">
      <c r="A514" t="str">
        <f>"20190304164345214"</f>
        <v>20190304164345214</v>
      </c>
      <c r="B514" t="str">
        <f>"1551689025210916"</f>
        <v>1551689025210916</v>
      </c>
      <c r="C514" t="s">
        <v>40</v>
      </c>
      <c r="D514">
        <v>4.8538779999999999</v>
      </c>
      <c r="E514">
        <v>0.57119109999999995</v>
      </c>
      <c r="F514" t="s">
        <v>41</v>
      </c>
      <c r="G514">
        <v>-384.35210000000001</v>
      </c>
      <c r="H514">
        <v>1.032802</v>
      </c>
      <c r="I514">
        <v>367.12220000000002</v>
      </c>
      <c r="J514">
        <v>-385.07389999999998</v>
      </c>
      <c r="K514">
        <v>1.1095159999999999</v>
      </c>
      <c r="L514">
        <v>367.17230000000001</v>
      </c>
      <c r="M514">
        <v>0.99995199999999995</v>
      </c>
      <c r="N514">
        <v>-7.1733789999999997E-3</v>
      </c>
      <c r="O514">
        <v>6.679534E-3</v>
      </c>
      <c r="P514">
        <v>0.95386170000000003</v>
      </c>
      <c r="Q514">
        <v>0.2852615</v>
      </c>
      <c r="R514">
        <v>9.3669820000000001E-2</v>
      </c>
      <c r="S514">
        <v>3.2435</v>
      </c>
      <c r="T514">
        <v>-0.27220759999999899</v>
      </c>
      <c r="U514">
        <v>-0.17218020000000001</v>
      </c>
      <c r="V514">
        <v>-8.7293019999999999E-2</v>
      </c>
      <c r="W514">
        <v>0.29210180000000002</v>
      </c>
      <c r="X514">
        <v>0.95239510000000005</v>
      </c>
      <c r="Y514">
        <v>5.9433329999999999E-2</v>
      </c>
      <c r="Z514">
        <v>-3.2129680000000001E-3</v>
      </c>
      <c r="AA514">
        <v>0.99822710000000003</v>
      </c>
      <c r="AB514">
        <v>35</v>
      </c>
      <c r="AC514">
        <v>0.72179999999997302</v>
      </c>
      <c r="AD514">
        <v>-7.6713999999999893E-2</v>
      </c>
      <c r="AE514">
        <v>-5.0099999999986197E-2</v>
      </c>
      <c r="AF514">
        <v>5.4309765026748301E-2</v>
      </c>
      <c r="AG514">
        <v>-7.6713999999999893E-2</v>
      </c>
      <c r="AH514">
        <v>0.71342915694900999</v>
      </c>
      <c r="AI514">
        <v>96.119778689991193</v>
      </c>
      <c r="AJ514">
        <v>85.646757229419094</v>
      </c>
      <c r="AK514">
        <v>0.71959415670100801</v>
      </c>
      <c r="AL514">
        <v>73.016169944571004</v>
      </c>
      <c r="AM514">
        <v>95.236887586067695</v>
      </c>
      <c r="AN514">
        <v>0.99999997970398502</v>
      </c>
    </row>
    <row r="515" spans="1:40" x14ac:dyDescent="0.25">
      <c r="A515" t="str">
        <f>"20190304164345226"</f>
        <v>20190304164345226</v>
      </c>
      <c r="B515" t="str">
        <f>"1551689025220676"</f>
        <v>1551689025220676</v>
      </c>
      <c r="C515" t="s">
        <v>40</v>
      </c>
      <c r="D515">
        <v>4.860703</v>
      </c>
      <c r="E515">
        <v>0.57133330000000004</v>
      </c>
      <c r="F515" t="s">
        <v>41</v>
      </c>
      <c r="G515">
        <v>-384.04</v>
      </c>
      <c r="H515">
        <v>1.0228010000000001</v>
      </c>
      <c r="I515">
        <v>367.11669999999998</v>
      </c>
      <c r="J515">
        <v>-384.88220000000001</v>
      </c>
      <c r="K515">
        <v>1.109521</v>
      </c>
      <c r="L515">
        <v>367.17360000000002</v>
      </c>
      <c r="M515">
        <v>0.99995199999999995</v>
      </c>
      <c r="N515">
        <v>-7.1840089999999999E-3</v>
      </c>
      <c r="O515">
        <v>6.6852169999999898E-3</v>
      </c>
      <c r="P515">
        <v>0.95382149999999999</v>
      </c>
      <c r="Q515">
        <v>0.28554170000000001</v>
      </c>
      <c r="R515">
        <v>9.3223959999999995E-2</v>
      </c>
      <c r="S515">
        <v>3.2435909999999999</v>
      </c>
      <c r="T515">
        <v>-0.27223799999999998</v>
      </c>
      <c r="U515">
        <v>-0.17388919999999999</v>
      </c>
      <c r="V515">
        <v>-8.6841260000000003E-2</v>
      </c>
      <c r="W515">
        <v>0.29239229999999999</v>
      </c>
      <c r="X515">
        <v>0.95234730000000001</v>
      </c>
      <c r="Y515">
        <v>5.9959859999999997E-2</v>
      </c>
      <c r="Z515">
        <v>-3.2378020000000001E-3</v>
      </c>
      <c r="AA515">
        <v>0.99819550000000001</v>
      </c>
      <c r="AB515">
        <v>35</v>
      </c>
      <c r="AC515">
        <v>0.84219999999999096</v>
      </c>
      <c r="AD515">
        <v>-8.6719999999999894E-2</v>
      </c>
      <c r="AE515">
        <v>-5.6900000000041397E-2</v>
      </c>
      <c r="AF515">
        <v>6.1876102475211303E-2</v>
      </c>
      <c r="AG515">
        <v>-8.6719999999999894E-2</v>
      </c>
      <c r="AH515">
        <v>0.83300893795347897</v>
      </c>
      <c r="AI515">
        <v>95.9271284011147</v>
      </c>
      <c r="AJ515">
        <v>85.751857495777202</v>
      </c>
      <c r="AK515">
        <v>0.83979336813760697</v>
      </c>
      <c r="AL515">
        <v>72.998766418410298</v>
      </c>
      <c r="AM515">
        <v>95.210195162835504</v>
      </c>
      <c r="AN515">
        <v>1.00000002067748</v>
      </c>
    </row>
    <row r="516" spans="1:40" x14ac:dyDescent="0.25">
      <c r="A516" t="str">
        <f>"20190304164345244"</f>
        <v>20190304164345244</v>
      </c>
      <c r="B516" t="str">
        <f>"1551689025230435"</f>
        <v>1551689025230435</v>
      </c>
      <c r="C516" t="s">
        <v>40</v>
      </c>
      <c r="D516">
        <v>4.8513679999999999</v>
      </c>
      <c r="E516">
        <v>0.57140800000000003</v>
      </c>
      <c r="F516" t="s">
        <v>41</v>
      </c>
      <c r="G516">
        <v>-384.03230000000002</v>
      </c>
      <c r="H516">
        <v>1.038707</v>
      </c>
      <c r="I516">
        <v>367.12720000000002</v>
      </c>
      <c r="J516">
        <v>-384.6114</v>
      </c>
      <c r="K516">
        <v>1.1095250000000001</v>
      </c>
      <c r="L516">
        <v>367.17540000000002</v>
      </c>
      <c r="M516">
        <v>0.9999517</v>
      </c>
      <c r="N516">
        <v>-7.1986430000000002E-3</v>
      </c>
      <c r="O516">
        <v>6.6935090000000003E-3</v>
      </c>
      <c r="P516">
        <v>0.95378660000000004</v>
      </c>
      <c r="Q516">
        <v>0.28576699999999999</v>
      </c>
      <c r="R516">
        <v>9.2888670000000007E-2</v>
      </c>
      <c r="S516">
        <v>3.243439</v>
      </c>
      <c r="T516">
        <v>-0.2704337</v>
      </c>
      <c r="U516">
        <v>-0.1764221</v>
      </c>
      <c r="V516">
        <v>-8.649859E-2</v>
      </c>
      <c r="W516">
        <v>0.29263119999999998</v>
      </c>
      <c r="X516">
        <v>0.95230510000000002</v>
      </c>
      <c r="Y516">
        <v>6.074806E-2</v>
      </c>
      <c r="Z516">
        <v>-3.2542000000000001E-3</v>
      </c>
      <c r="AA516">
        <v>0.99814780000000003</v>
      </c>
      <c r="AB516">
        <v>35</v>
      </c>
      <c r="AC516">
        <v>0.57909999999998196</v>
      </c>
      <c r="AD516">
        <v>-7.0818000000000006E-2</v>
      </c>
      <c r="AE516">
        <v>-4.8200000000008403E-2</v>
      </c>
      <c r="AF516">
        <v>5.13131342724399E-2</v>
      </c>
      <c r="AG516">
        <v>-7.0818000000000006E-2</v>
      </c>
      <c r="AH516">
        <v>0.57029443706132998</v>
      </c>
      <c r="AI516">
        <v>97.050443340629499</v>
      </c>
      <c r="AJ516">
        <v>84.858567404020505</v>
      </c>
      <c r="AK516">
        <v>0.57696097945698299</v>
      </c>
      <c r="AL516">
        <v>72.984452278583802</v>
      </c>
      <c r="AM516">
        <v>95.189977275809198</v>
      </c>
      <c r="AN516">
        <v>1.00000001438571</v>
      </c>
    </row>
    <row r="517" spans="1:40" x14ac:dyDescent="0.25">
      <c r="A517" t="str">
        <f>"20190304164345255"</f>
        <v>20190304164345255</v>
      </c>
      <c r="B517" t="str">
        <f>"1551689025240196"</f>
        <v>1551689025240196</v>
      </c>
      <c r="C517" t="s">
        <v>40</v>
      </c>
      <c r="D517">
        <v>4.8453629999999999</v>
      </c>
      <c r="E517">
        <v>0.57149269999999996</v>
      </c>
      <c r="F517" t="s">
        <v>41</v>
      </c>
      <c r="G517">
        <v>-383.71629999999999</v>
      </c>
      <c r="H517">
        <v>1.035391</v>
      </c>
      <c r="I517">
        <v>367.12619999999998</v>
      </c>
      <c r="J517">
        <v>-384.42270000000002</v>
      </c>
      <c r="K517">
        <v>1.1095269999999999</v>
      </c>
      <c r="L517">
        <v>367.17669999999998</v>
      </c>
      <c r="M517">
        <v>0.9999517</v>
      </c>
      <c r="N517">
        <v>-7.2085999999999999E-3</v>
      </c>
      <c r="O517">
        <v>6.6990160000000003E-3</v>
      </c>
      <c r="P517">
        <v>0.95381930000000004</v>
      </c>
      <c r="Q517">
        <v>0.28574460000000002</v>
      </c>
      <c r="R517">
        <v>9.2622819999999995E-2</v>
      </c>
      <c r="S517">
        <v>3.2431640000000002</v>
      </c>
      <c r="T517">
        <v>-0.26873150000000001</v>
      </c>
      <c r="U517">
        <v>-0.17779539999999999</v>
      </c>
      <c r="V517">
        <v>-8.6227390000000001E-2</v>
      </c>
      <c r="W517">
        <v>0.2926184</v>
      </c>
      <c r="X517">
        <v>0.9523336</v>
      </c>
      <c r="Y517">
        <v>6.1180869999999998E-2</v>
      </c>
      <c r="Z517">
        <v>-3.2551860000000002E-3</v>
      </c>
      <c r="AA517">
        <v>0.99812140000000005</v>
      </c>
      <c r="AB517">
        <v>35</v>
      </c>
      <c r="AC517">
        <v>0.70640000000003</v>
      </c>
      <c r="AD517">
        <v>-7.4136000000000202E-2</v>
      </c>
      <c r="AE517">
        <v>-5.0499999999999497E-2</v>
      </c>
      <c r="AF517">
        <v>5.4632495034075398E-2</v>
      </c>
      <c r="AG517">
        <v>-7.4136000000000202E-2</v>
      </c>
      <c r="AH517">
        <v>0.69839264628238396</v>
      </c>
      <c r="AI517">
        <v>96.041069921320698</v>
      </c>
      <c r="AJ517">
        <v>85.527086616012497</v>
      </c>
      <c r="AK517">
        <v>0.70443817641504902</v>
      </c>
      <c r="AL517">
        <v>72.985218778031694</v>
      </c>
      <c r="AM517">
        <v>95.173639538234397</v>
      </c>
      <c r="AN517">
        <v>0.99999998824686598</v>
      </c>
    </row>
    <row r="518" spans="1:40" x14ac:dyDescent="0.25">
      <c r="A518" t="str">
        <f>"20190304164345266"</f>
        <v>20190304164345266</v>
      </c>
      <c r="B518" t="str">
        <f>"1551689025260693"</f>
        <v>1551689025260693</v>
      </c>
      <c r="C518" t="s">
        <v>40</v>
      </c>
      <c r="D518">
        <v>4.8380549999999998</v>
      </c>
      <c r="E518">
        <v>0.5716426</v>
      </c>
      <c r="F518" t="s">
        <v>41</v>
      </c>
      <c r="G518">
        <v>-383.40300000000002</v>
      </c>
      <c r="H518">
        <v>1.0252110000000001</v>
      </c>
      <c r="I518">
        <v>367.12020000000001</v>
      </c>
      <c r="J518">
        <v>-384.23660000000001</v>
      </c>
      <c r="K518">
        <v>1.109529</v>
      </c>
      <c r="L518">
        <v>367.17790000000002</v>
      </c>
      <c r="M518">
        <v>0.99995149999999999</v>
      </c>
      <c r="N518">
        <v>-7.2182130000000002E-3</v>
      </c>
      <c r="O518">
        <v>6.7047030000000002E-3</v>
      </c>
      <c r="P518">
        <v>0.95374409999999998</v>
      </c>
      <c r="Q518">
        <v>0.28596939999999998</v>
      </c>
      <c r="R518">
        <v>9.2704040000000001E-2</v>
      </c>
      <c r="S518">
        <v>3.2430729999999999</v>
      </c>
      <c r="T518">
        <v>-0.268235</v>
      </c>
      <c r="U518">
        <v>-0.17938229999999999</v>
      </c>
      <c r="V518">
        <v>-8.6303599999999994E-2</v>
      </c>
      <c r="W518">
        <v>0.29285139999999998</v>
      </c>
      <c r="X518">
        <v>0.95225510000000002</v>
      </c>
      <c r="Y518">
        <v>6.1674029999999998E-2</v>
      </c>
      <c r="Z518">
        <v>-3.2723449999999999E-3</v>
      </c>
      <c r="AA518">
        <v>0.99809099999999995</v>
      </c>
      <c r="AB518">
        <v>36</v>
      </c>
      <c r="AC518">
        <v>0.83359999999998902</v>
      </c>
      <c r="AD518">
        <v>-8.4317999999999796E-2</v>
      </c>
      <c r="AE518">
        <v>-5.7700000000011097E-2</v>
      </c>
      <c r="AF518">
        <v>6.2649963016689E-2</v>
      </c>
      <c r="AG518">
        <v>-8.4317999999999796E-2</v>
      </c>
      <c r="AH518">
        <v>0.82479600276708798</v>
      </c>
      <c r="AI518">
        <v>95.820357071807294</v>
      </c>
      <c r="AJ518">
        <v>85.656260780224699</v>
      </c>
      <c r="AK518">
        <v>0.83145835083337605</v>
      </c>
      <c r="AL518">
        <v>72.971257721426099</v>
      </c>
      <c r="AM518">
        <v>95.178611834939204</v>
      </c>
      <c r="AN518">
        <v>1.00000001466546</v>
      </c>
    </row>
    <row r="519" spans="1:40" x14ac:dyDescent="0.25">
      <c r="A519" t="str">
        <f>"20190304164345278"</f>
        <v>20190304164345278</v>
      </c>
      <c r="B519" t="str">
        <f>"1551689025270452"</f>
        <v>1551689025270452</v>
      </c>
      <c r="C519" t="s">
        <v>40</v>
      </c>
      <c r="D519">
        <v>4.8391599999999997</v>
      </c>
      <c r="E519">
        <v>0.57175640000000005</v>
      </c>
      <c r="F519" t="s">
        <v>41</v>
      </c>
      <c r="G519">
        <v>-383.3956</v>
      </c>
      <c r="H519">
        <v>1.040459</v>
      </c>
      <c r="I519">
        <v>367.13099999999997</v>
      </c>
      <c r="J519">
        <v>-384.05689999999998</v>
      </c>
      <c r="K519">
        <v>1.1095360000000001</v>
      </c>
      <c r="L519">
        <v>367.17910000000001</v>
      </c>
      <c r="M519">
        <v>0.99995149999999999</v>
      </c>
      <c r="N519">
        <v>-7.2273950000000002E-3</v>
      </c>
      <c r="O519">
        <v>6.7103909999999996E-3</v>
      </c>
      <c r="P519">
        <v>0.95369649999999995</v>
      </c>
      <c r="Q519">
        <v>0.2862363</v>
      </c>
      <c r="R519">
        <v>9.2368210000000006E-2</v>
      </c>
      <c r="S519">
        <v>3.24295</v>
      </c>
      <c r="T519">
        <v>-0.26646340000000002</v>
      </c>
      <c r="U519">
        <v>-0.18054200000000001</v>
      </c>
      <c r="V519">
        <v>-8.5962709999999998E-2</v>
      </c>
      <c r="W519">
        <v>0.29312719999999998</v>
      </c>
      <c r="X519">
        <v>0.95220110000000002</v>
      </c>
      <c r="Y519">
        <v>6.2039360000000002E-2</v>
      </c>
      <c r="Z519">
        <v>-3.2689820000000001E-3</v>
      </c>
      <c r="AA519">
        <v>0.99806830000000002</v>
      </c>
      <c r="AB519">
        <v>36</v>
      </c>
      <c r="AC519">
        <v>0.66129999999998201</v>
      </c>
      <c r="AD519">
        <v>-6.9077E-2</v>
      </c>
      <c r="AE519">
        <v>-4.8100000000033498E-2</v>
      </c>
      <c r="AF519">
        <v>5.1972519052841698E-2</v>
      </c>
      <c r="AG519">
        <v>-6.9077E-2</v>
      </c>
      <c r="AH519">
        <v>0.65386546386529898</v>
      </c>
      <c r="AI519">
        <v>96.011768439177004</v>
      </c>
      <c r="AJ519">
        <v>85.455397645443895</v>
      </c>
      <c r="AK519">
        <v>0.65955501628103796</v>
      </c>
      <c r="AL519">
        <v>72.954730674527795</v>
      </c>
      <c r="AM519">
        <v>95.1585583874581</v>
      </c>
      <c r="AN519">
        <v>1.0000000388657899</v>
      </c>
    </row>
    <row r="520" spans="1:40" x14ac:dyDescent="0.25">
      <c r="A520" t="str">
        <f>"20190304164345290"</f>
        <v>20190304164345290</v>
      </c>
      <c r="B520" t="str">
        <f>"1551689025280212"</f>
        <v>1551689025280212</v>
      </c>
      <c r="C520" t="s">
        <v>40</v>
      </c>
      <c r="D520">
        <v>4.8244030000000002</v>
      </c>
      <c r="E520">
        <v>0.57181380000000004</v>
      </c>
      <c r="F520" t="s">
        <v>41</v>
      </c>
      <c r="G520">
        <v>-383.08170000000001</v>
      </c>
      <c r="H520">
        <v>1.029849</v>
      </c>
      <c r="I520">
        <v>367.12389999999999</v>
      </c>
      <c r="J520">
        <v>-383.85239999999999</v>
      </c>
      <c r="K520">
        <v>1.109542</v>
      </c>
      <c r="L520">
        <v>367.18049999999999</v>
      </c>
      <c r="M520">
        <v>0.99995120000000004</v>
      </c>
      <c r="N520">
        <v>-7.2376559999999899E-3</v>
      </c>
      <c r="O520">
        <v>6.7167320000000004E-3</v>
      </c>
      <c r="P520">
        <v>0.9537274</v>
      </c>
      <c r="Q520">
        <v>0.2861843</v>
      </c>
      <c r="R520">
        <v>9.2209029999999997E-2</v>
      </c>
      <c r="S520">
        <v>3.2429199999999998</v>
      </c>
      <c r="T520">
        <v>-0.26505020000000001</v>
      </c>
      <c r="U520">
        <v>-0.1831055</v>
      </c>
      <c r="V520">
        <v>-8.5797239999999997E-2</v>
      </c>
      <c r="W520">
        <v>0.29308489999999998</v>
      </c>
      <c r="X520">
        <v>0.95222899999999999</v>
      </c>
      <c r="Y520">
        <v>6.2832299999999994E-2</v>
      </c>
      <c r="Z520">
        <v>-3.288521E-3</v>
      </c>
      <c r="AA520">
        <v>0.99801870000000004</v>
      </c>
      <c r="AB520">
        <v>36</v>
      </c>
      <c r="AC520">
        <v>0.77069999999997596</v>
      </c>
      <c r="AD520">
        <v>-7.9693E-2</v>
      </c>
      <c r="AE520">
        <v>-5.6600000000003002E-2</v>
      </c>
      <c r="AF520">
        <v>6.1125381762205798E-2</v>
      </c>
      <c r="AG520">
        <v>-7.9693E-2</v>
      </c>
      <c r="AH520">
        <v>0.76219654927625802</v>
      </c>
      <c r="AI520">
        <v>95.950022412221699</v>
      </c>
      <c r="AJ520">
        <v>85.414900391292093</v>
      </c>
      <c r="AK520">
        <v>0.768785318715967</v>
      </c>
      <c r="AL520">
        <v>72.957264880670806</v>
      </c>
      <c r="AM520">
        <v>95.148532032045196</v>
      </c>
      <c r="AN520">
        <v>0.99999999672031303</v>
      </c>
    </row>
    <row r="521" spans="1:40" x14ac:dyDescent="0.25">
      <c r="A521" t="str">
        <f>"20190304164345305"</f>
        <v>20190304164345305</v>
      </c>
      <c r="B521" t="str">
        <f>"1551689025290947"</f>
        <v>1551689025290947</v>
      </c>
      <c r="C521" t="s">
        <v>40</v>
      </c>
      <c r="D521">
        <v>4.8125749999999998</v>
      </c>
      <c r="E521">
        <v>0.57191809999999998</v>
      </c>
      <c r="F521" t="s">
        <v>41</v>
      </c>
      <c r="G521">
        <v>-383.07389999999998</v>
      </c>
      <c r="H521">
        <v>1.045963</v>
      </c>
      <c r="I521">
        <v>367.1361</v>
      </c>
      <c r="J521">
        <v>-383.63600000000002</v>
      </c>
      <c r="K521">
        <v>1.109542</v>
      </c>
      <c r="L521">
        <v>367.18189999999998</v>
      </c>
      <c r="M521">
        <v>0.99995129999999999</v>
      </c>
      <c r="N521">
        <v>-7.24830099999999E-3</v>
      </c>
      <c r="O521">
        <v>6.723606E-3</v>
      </c>
      <c r="P521">
        <v>0.95369409999999999</v>
      </c>
      <c r="Q521">
        <v>0.2863387</v>
      </c>
      <c r="R521">
        <v>9.2073959999999996E-2</v>
      </c>
      <c r="S521">
        <v>3.2428889999999999</v>
      </c>
      <c r="T521">
        <v>-0.26497599999999999</v>
      </c>
      <c r="U521">
        <v>-0.18441769999999999</v>
      </c>
      <c r="V521">
        <v>-8.5655590000000004E-2</v>
      </c>
      <c r="W521">
        <v>0.29324939999999999</v>
      </c>
      <c r="X521">
        <v>0.95219109999999996</v>
      </c>
      <c r="Y521">
        <v>6.3240859999999996E-2</v>
      </c>
      <c r="Z521">
        <v>-3.3065600000000001E-3</v>
      </c>
      <c r="AA521">
        <v>0.99799280000000001</v>
      </c>
      <c r="AB521">
        <v>36</v>
      </c>
      <c r="AC521">
        <v>0.56209999999998606</v>
      </c>
      <c r="AD521">
        <v>-6.3578999999999997E-2</v>
      </c>
      <c r="AE521">
        <v>-4.5799999999985602E-2</v>
      </c>
      <c r="AF521">
        <v>4.8956196358396799E-2</v>
      </c>
      <c r="AG521">
        <v>-6.3578999999999997E-2</v>
      </c>
      <c r="AH521">
        <v>0.55472904839707005</v>
      </c>
      <c r="AI521">
        <v>96.5131990028204</v>
      </c>
      <c r="AJ521">
        <v>84.956573694309398</v>
      </c>
      <c r="AK521">
        <v>0.56050273463953904</v>
      </c>
      <c r="AL521">
        <v>72.947406458339998</v>
      </c>
      <c r="AM521">
        <v>95.140280945182695</v>
      </c>
      <c r="AN521">
        <v>0.999999990808909</v>
      </c>
    </row>
    <row r="522" spans="1:40" x14ac:dyDescent="0.25">
      <c r="A522" t="str">
        <f>"20190304164345322"</f>
        <v>20190304164345322</v>
      </c>
      <c r="B522" t="str">
        <f>"1551689025310468"</f>
        <v>1551689025310468</v>
      </c>
      <c r="C522" t="s">
        <v>40</v>
      </c>
      <c r="D522">
        <v>4.7846019999999996</v>
      </c>
      <c r="E522">
        <v>0.57201679999999999</v>
      </c>
      <c r="F522" t="s">
        <v>41</v>
      </c>
      <c r="G522">
        <v>-382.75790000000001</v>
      </c>
      <c r="H522">
        <v>1.0381209999999901</v>
      </c>
      <c r="I522">
        <v>367.13139999999999</v>
      </c>
      <c r="J522">
        <v>-383.35599999999999</v>
      </c>
      <c r="K522">
        <v>1.109537</v>
      </c>
      <c r="L522">
        <v>367.18380000000002</v>
      </c>
      <c r="M522">
        <v>0.99995100000000003</v>
      </c>
      <c r="N522">
        <v>-7.2618250000000004E-3</v>
      </c>
      <c r="O522">
        <v>6.7321409999999996E-3</v>
      </c>
      <c r="P522">
        <v>0.95385330000000002</v>
      </c>
      <c r="Q522">
        <v>0.2859276</v>
      </c>
      <c r="R522">
        <v>9.1703309999999996E-2</v>
      </c>
      <c r="S522">
        <v>3.2428590000000002</v>
      </c>
      <c r="T522">
        <v>-0.26405889999999999</v>
      </c>
      <c r="U522">
        <v>-0.1855164</v>
      </c>
      <c r="V522">
        <v>-8.5275989999999996E-2</v>
      </c>
      <c r="W522">
        <v>0.2928519</v>
      </c>
      <c r="X522">
        <v>0.95234750000000001</v>
      </c>
      <c r="Y522">
        <v>6.3587270000000001E-2</v>
      </c>
      <c r="Z522">
        <v>-3.3120770000000001E-3</v>
      </c>
      <c r="AA522">
        <v>0.99797080000000005</v>
      </c>
      <c r="AB522">
        <v>36</v>
      </c>
      <c r="AC522">
        <v>0.59809999999998797</v>
      </c>
      <c r="AD522">
        <v>-7.1416000000000104E-2</v>
      </c>
      <c r="AE522">
        <v>-5.2400000000034197E-2</v>
      </c>
      <c r="AF522">
        <v>5.5638192855864001E-2</v>
      </c>
      <c r="AG522">
        <v>-7.1416000000000104E-2</v>
      </c>
      <c r="AH522">
        <v>0.58939438992937698</v>
      </c>
      <c r="AI522">
        <v>96.878476008989296</v>
      </c>
      <c r="AJ522">
        <v>84.607320838189295</v>
      </c>
      <c r="AK522">
        <v>0.596306632899961</v>
      </c>
      <c r="AL522">
        <v>72.971227419779296</v>
      </c>
      <c r="AM522">
        <v>95.116786004406293</v>
      </c>
      <c r="AN522">
        <v>0.99999999528017003</v>
      </c>
    </row>
    <row r="523" spans="1:40" x14ac:dyDescent="0.25">
      <c r="A523" t="str">
        <f>"20190304164345344"</f>
        <v>20190304164345344</v>
      </c>
      <c r="B523" t="str">
        <f>"1551689025330963"</f>
        <v>1551689025330963</v>
      </c>
      <c r="C523" t="s">
        <v>40</v>
      </c>
      <c r="D523">
        <v>4.7709570000000001</v>
      </c>
      <c r="E523">
        <v>0.57215660000000002</v>
      </c>
      <c r="F523" t="s">
        <v>41</v>
      </c>
      <c r="G523">
        <v>-382.43939999999998</v>
      </c>
      <c r="H523">
        <v>1.0341590000000001</v>
      </c>
      <c r="I523">
        <v>367.13069999999999</v>
      </c>
      <c r="J523">
        <v>-383.00240000000002</v>
      </c>
      <c r="K523">
        <v>1.109542</v>
      </c>
      <c r="L523">
        <v>367.18619999999999</v>
      </c>
      <c r="M523">
        <v>0.99995080000000003</v>
      </c>
      <c r="N523">
        <v>-7.2785019999999897E-3</v>
      </c>
      <c r="O523">
        <v>6.7429889999999996E-3</v>
      </c>
      <c r="P523">
        <v>0.95385830000000005</v>
      </c>
      <c r="Q523">
        <v>0.28589229999999999</v>
      </c>
      <c r="R523">
        <v>9.1760949999999994E-2</v>
      </c>
      <c r="S523">
        <v>3.243134</v>
      </c>
      <c r="T523">
        <v>-0.26673029999999998</v>
      </c>
      <c r="U523">
        <v>-0.18722530000000001</v>
      </c>
      <c r="V523">
        <v>-8.5323270000000007E-2</v>
      </c>
      <c r="W523">
        <v>0.2928327</v>
      </c>
      <c r="X523">
        <v>0.95234920000000001</v>
      </c>
      <c r="Y523">
        <v>6.4110639999999997E-2</v>
      </c>
      <c r="Z523">
        <v>-3.3679389999999999E-3</v>
      </c>
      <c r="AA523">
        <v>0.99793710000000002</v>
      </c>
      <c r="AB523">
        <v>36</v>
      </c>
      <c r="AC523">
        <v>0.56300000000004502</v>
      </c>
      <c r="AD523">
        <v>-7.5382999999999895E-2</v>
      </c>
      <c r="AE523">
        <v>-5.5499999999994998E-2</v>
      </c>
      <c r="AF523">
        <v>5.8260700472328897E-2</v>
      </c>
      <c r="AG523">
        <v>-7.5382999999999895E-2</v>
      </c>
      <c r="AH523">
        <v>0.55279781775222303</v>
      </c>
      <c r="AI523">
        <v>97.723063262440405</v>
      </c>
      <c r="AJ523">
        <v>83.983669060980105</v>
      </c>
      <c r="AK523">
        <v>0.56094770988047205</v>
      </c>
      <c r="AL523">
        <v>72.972378452192999</v>
      </c>
      <c r="AM523">
        <v>95.119598767767002</v>
      </c>
      <c r="AN523">
        <v>1.00000002466671</v>
      </c>
    </row>
    <row r="524" spans="1:40" x14ac:dyDescent="0.25">
      <c r="A524" t="str">
        <f>"20190304164345356"</f>
        <v>20190304164345356</v>
      </c>
      <c r="B524" t="str">
        <f>"1551689025350483"</f>
        <v>1551689025350483</v>
      </c>
      <c r="C524" t="s">
        <v>40</v>
      </c>
      <c r="D524">
        <v>4.7451850000000002</v>
      </c>
      <c r="E524">
        <v>0.57222090000000003</v>
      </c>
      <c r="F524" t="s">
        <v>41</v>
      </c>
      <c r="G524">
        <v>-382.11689999999999</v>
      </c>
      <c r="H524">
        <v>1.036913</v>
      </c>
      <c r="I524">
        <v>367.1345</v>
      </c>
      <c r="J524">
        <v>-382.81990000000002</v>
      </c>
      <c r="K524">
        <v>1.1095410000000001</v>
      </c>
      <c r="L524">
        <v>367.1875</v>
      </c>
      <c r="M524">
        <v>0.99995080000000003</v>
      </c>
      <c r="N524">
        <v>-7.2869919999999999E-3</v>
      </c>
      <c r="O524">
        <v>6.7485009999999996E-3</v>
      </c>
      <c r="P524">
        <v>0.95389120000000005</v>
      </c>
      <c r="Q524">
        <v>0.28578700000000001</v>
      </c>
      <c r="R524">
        <v>9.1747110000000007E-2</v>
      </c>
      <c r="S524">
        <v>3.2430110000000001</v>
      </c>
      <c r="T524">
        <v>-0.26615719999999998</v>
      </c>
      <c r="U524">
        <v>-0.18826290000000001</v>
      </c>
      <c r="V524">
        <v>-8.5304119999999997E-2</v>
      </c>
      <c r="W524">
        <v>0.2927361</v>
      </c>
      <c r="X524">
        <v>0.95238060000000002</v>
      </c>
      <c r="Y524">
        <v>6.443633E-2</v>
      </c>
      <c r="Z524">
        <v>-3.376361E-3</v>
      </c>
      <c r="AA524">
        <v>0.99791609999999997</v>
      </c>
      <c r="AB524">
        <v>36</v>
      </c>
      <c r="AC524">
        <v>0.70300000000003104</v>
      </c>
      <c r="AD524">
        <v>-7.2627999999999901E-2</v>
      </c>
      <c r="AE524">
        <v>-5.2999999999997202E-2</v>
      </c>
      <c r="AF524">
        <v>5.7136725519144498E-2</v>
      </c>
      <c r="AG524">
        <v>-7.2627999999999901E-2</v>
      </c>
      <c r="AH524">
        <v>0.69524768307908602</v>
      </c>
      <c r="AI524">
        <v>95.943792957024201</v>
      </c>
      <c r="AJ524">
        <v>85.301885910455994</v>
      </c>
      <c r="AK524">
        <v>0.70136208381540599</v>
      </c>
      <c r="AL524">
        <v>72.978166663338101</v>
      </c>
      <c r="AM524">
        <v>95.118287967386493</v>
      </c>
      <c r="AN524">
        <v>1.00000001219427</v>
      </c>
    </row>
    <row r="525" spans="1:40" x14ac:dyDescent="0.25">
      <c r="A525" t="str">
        <f>"20190304164345368"</f>
        <v>20190304164345368</v>
      </c>
      <c r="B525" t="str">
        <f>"1551689025360243"</f>
        <v>1551689025360243</v>
      </c>
      <c r="C525" t="s">
        <v>40</v>
      </c>
      <c r="D525">
        <v>4.7371359999999996</v>
      </c>
      <c r="E525">
        <v>0.57228999999999997</v>
      </c>
      <c r="F525" t="s">
        <v>41</v>
      </c>
      <c r="G525">
        <v>-381.80040000000002</v>
      </c>
      <c r="H525">
        <v>1.0257559999999999</v>
      </c>
      <c r="I525">
        <v>367.12799999999999</v>
      </c>
      <c r="J525">
        <v>-382.61380000000003</v>
      </c>
      <c r="K525">
        <v>1.1095410000000001</v>
      </c>
      <c r="L525">
        <v>367.18889999999999</v>
      </c>
      <c r="M525">
        <v>0.99995060000000002</v>
      </c>
      <c r="N525">
        <v>-7.2964010000000001E-3</v>
      </c>
      <c r="O525">
        <v>6.7550229999999998E-3</v>
      </c>
      <c r="P525">
        <v>0.95387829999999996</v>
      </c>
      <c r="Q525">
        <v>0.28577970000000003</v>
      </c>
      <c r="R525">
        <v>9.1902429999999993E-2</v>
      </c>
      <c r="S525">
        <v>3.2431030000000001</v>
      </c>
      <c r="T525">
        <v>-0.26662249999999998</v>
      </c>
      <c r="U525">
        <v>-0.18887329999999999</v>
      </c>
      <c r="V525">
        <v>-8.5453029999999999E-2</v>
      </c>
      <c r="W525">
        <v>0.29273749999999998</v>
      </c>
      <c r="X525">
        <v>0.95236679999999996</v>
      </c>
      <c r="Y525">
        <v>6.4626810000000007E-2</v>
      </c>
      <c r="Z525">
        <v>-3.391051E-3</v>
      </c>
      <c r="AA525">
        <v>0.99790380000000001</v>
      </c>
      <c r="AB525">
        <v>36</v>
      </c>
      <c r="AC525">
        <v>0.81340000000000101</v>
      </c>
      <c r="AD525">
        <v>-8.3784999999999998E-2</v>
      </c>
      <c r="AE525">
        <v>-6.0899999999946802E-2</v>
      </c>
      <c r="AF525">
        <v>6.5700086036359698E-2</v>
      </c>
      <c r="AG525">
        <v>-8.3784999999999998E-2</v>
      </c>
      <c r="AH525">
        <v>0.80448190419760401</v>
      </c>
      <c r="AI525">
        <v>95.9262035042604</v>
      </c>
      <c r="AJ525">
        <v>85.331154014779599</v>
      </c>
      <c r="AK525">
        <v>0.81149711133902902</v>
      </c>
      <c r="AL525">
        <v>72.978082437504796</v>
      </c>
      <c r="AM525">
        <v>95.127248956102804</v>
      </c>
      <c r="AN525">
        <v>0.999999992992335</v>
      </c>
    </row>
    <row r="526" spans="1:40" x14ac:dyDescent="0.25">
      <c r="A526" t="str">
        <f>"20190304164345380"</f>
        <v>20190304164345380</v>
      </c>
      <c r="B526" t="str">
        <f>"1551689025370980"</f>
        <v>1551689025370980</v>
      </c>
      <c r="C526" t="s">
        <v>40</v>
      </c>
      <c r="D526">
        <v>4.7503669999999998</v>
      </c>
      <c r="E526">
        <v>0.57236339999999997</v>
      </c>
      <c r="F526" t="s">
        <v>41</v>
      </c>
      <c r="G526">
        <v>-381.79239999999999</v>
      </c>
      <c r="H526">
        <v>1.0420830000000001</v>
      </c>
      <c r="I526">
        <v>367.14089999999999</v>
      </c>
      <c r="J526">
        <v>-382.41910000000001</v>
      </c>
      <c r="K526">
        <v>1.109545</v>
      </c>
      <c r="L526">
        <v>367.1902</v>
      </c>
      <c r="M526">
        <v>0.99995040000000002</v>
      </c>
      <c r="N526">
        <v>-7.3052539999999997E-3</v>
      </c>
      <c r="O526">
        <v>6.7613669999999999E-3</v>
      </c>
      <c r="P526">
        <v>0.9539531</v>
      </c>
      <c r="Q526">
        <v>0.28552820000000001</v>
      </c>
      <c r="R526">
        <v>9.1909240000000003E-2</v>
      </c>
      <c r="S526">
        <v>3.2431030000000001</v>
      </c>
      <c r="T526">
        <v>-0.26641749999999997</v>
      </c>
      <c r="U526">
        <v>-0.18887329999999999</v>
      </c>
      <c r="V526">
        <v>-8.5453769999999998E-2</v>
      </c>
      <c r="W526">
        <v>0.2924949</v>
      </c>
      <c r="X526">
        <v>0.95244130000000005</v>
      </c>
      <c r="Y526">
        <v>6.4633460000000004E-2</v>
      </c>
      <c r="Z526">
        <v>-3.3895930000000002E-3</v>
      </c>
      <c r="AA526">
        <v>0.99790330000000005</v>
      </c>
      <c r="AB526">
        <v>36</v>
      </c>
      <c r="AC526">
        <v>0.62670000000002701</v>
      </c>
      <c r="AD526">
        <v>-6.7461999999999897E-2</v>
      </c>
      <c r="AE526">
        <v>-4.9300000000016497E-2</v>
      </c>
      <c r="AF526">
        <v>5.2926804558910898E-2</v>
      </c>
      <c r="AG526">
        <v>-6.7461999999999897E-2</v>
      </c>
      <c r="AH526">
        <v>0.619221082491477</v>
      </c>
      <c r="AI526">
        <v>96.195242589689599</v>
      </c>
      <c r="AJ526">
        <v>85.114620540202395</v>
      </c>
      <c r="AK526">
        <v>0.62512968021582005</v>
      </c>
      <c r="AL526">
        <v>72.992619145975198</v>
      </c>
      <c r="AM526">
        <v>95.126894200398198</v>
      </c>
      <c r="AN526">
        <v>1.00000002163945</v>
      </c>
    </row>
    <row r="527" spans="1:40" x14ac:dyDescent="0.25">
      <c r="A527" t="str">
        <f>"20190304164345391"</f>
        <v>20190304164345391</v>
      </c>
      <c r="B527" t="str">
        <f>"1551689025380739"</f>
        <v>1551689025380739</v>
      </c>
      <c r="C527" t="s">
        <v>40</v>
      </c>
      <c r="D527">
        <v>4.707713</v>
      </c>
      <c r="E527">
        <v>0.57240440000000004</v>
      </c>
      <c r="F527" t="s">
        <v>41</v>
      </c>
      <c r="G527">
        <v>-381.47489999999999</v>
      </c>
      <c r="H527">
        <v>1.0317879999999999</v>
      </c>
      <c r="I527">
        <v>367.13459999999998</v>
      </c>
      <c r="J527">
        <v>-382.23610000000002</v>
      </c>
      <c r="K527">
        <v>1.109545</v>
      </c>
      <c r="L527">
        <v>367.19150000000002</v>
      </c>
      <c r="M527">
        <v>0.99995040000000002</v>
      </c>
      <c r="N527">
        <v>-7.3135439999999999E-3</v>
      </c>
      <c r="O527">
        <v>6.7670569999999999E-3</v>
      </c>
      <c r="P527">
        <v>0.95392129999999997</v>
      </c>
      <c r="Q527">
        <v>0.28556890000000001</v>
      </c>
      <c r="R527">
        <v>9.2113150000000005E-2</v>
      </c>
      <c r="S527">
        <v>3.243042</v>
      </c>
      <c r="T527">
        <v>-0.26732240000000002</v>
      </c>
      <c r="U527">
        <v>-0.18960569999999999</v>
      </c>
      <c r="V527">
        <v>-8.5652270000000003E-2</v>
      </c>
      <c r="W527">
        <v>0.2925432</v>
      </c>
      <c r="X527">
        <v>0.95240860000000005</v>
      </c>
      <c r="Y527">
        <v>6.486227E-2</v>
      </c>
      <c r="Z527">
        <v>-3.4113609999999999E-3</v>
      </c>
      <c r="AA527">
        <v>0.99788840000000001</v>
      </c>
      <c r="AB527">
        <v>36</v>
      </c>
      <c r="AC527">
        <v>0.76120000000002996</v>
      </c>
      <c r="AD527">
        <v>-7.7757000000000007E-2</v>
      </c>
      <c r="AE527">
        <v>-5.6900000000041397E-2</v>
      </c>
      <c r="AF527">
        <v>6.1412654443746197E-2</v>
      </c>
      <c r="AG527">
        <v>-7.7757000000000007E-2</v>
      </c>
      <c r="AH527">
        <v>0.752983984740761</v>
      </c>
      <c r="AI527">
        <v>95.876384482745493</v>
      </c>
      <c r="AJ527">
        <v>85.337331185403499</v>
      </c>
      <c r="AK527">
        <v>0.75947517829808098</v>
      </c>
      <c r="AL527">
        <v>72.989724592205306</v>
      </c>
      <c r="AM527">
        <v>95.138915229328603</v>
      </c>
      <c r="AN527">
        <v>0.99999998828817604</v>
      </c>
    </row>
    <row r="528" spans="1:40" x14ac:dyDescent="0.25">
      <c r="A528" t="str">
        <f>"20190304164345404"</f>
        <v>20190304164345404</v>
      </c>
      <c r="B528" t="str">
        <f>"1551689025390500"</f>
        <v>1551689025390500</v>
      </c>
      <c r="C528" t="s">
        <v>40</v>
      </c>
      <c r="D528">
        <v>4.7044990000000002</v>
      </c>
      <c r="E528">
        <v>0.57248129999999997</v>
      </c>
      <c r="F528" t="s">
        <v>41</v>
      </c>
      <c r="G528">
        <v>-381.46780000000001</v>
      </c>
      <c r="H528">
        <v>1.046367</v>
      </c>
      <c r="I528">
        <v>367.1463</v>
      </c>
      <c r="J528">
        <v>-382.03390000000002</v>
      </c>
      <c r="K528">
        <v>1.1095469999999901</v>
      </c>
      <c r="L528">
        <v>367.19279999999998</v>
      </c>
      <c r="M528">
        <v>0.99995029999999996</v>
      </c>
      <c r="N528">
        <v>-7.32251E-3</v>
      </c>
      <c r="O528">
        <v>6.7734020000000004E-3</v>
      </c>
      <c r="P528">
        <v>0.9539261</v>
      </c>
      <c r="Q528">
        <v>0.28550920000000002</v>
      </c>
      <c r="R528">
        <v>9.2245729999999998E-2</v>
      </c>
      <c r="S528">
        <v>3.243134</v>
      </c>
      <c r="T528">
        <v>-0.26702540000000002</v>
      </c>
      <c r="U528">
        <v>-0.18920899999999999</v>
      </c>
      <c r="V528">
        <v>-8.5778560000000004E-2</v>
      </c>
      <c r="W528">
        <v>0.29249219999999998</v>
      </c>
      <c r="X528">
        <v>0.95241290000000001</v>
      </c>
      <c r="Y528">
        <v>6.474626E-2</v>
      </c>
      <c r="Z528">
        <v>-3.403227E-3</v>
      </c>
      <c r="AA528">
        <v>0.99789600000000001</v>
      </c>
      <c r="AB528">
        <v>36</v>
      </c>
      <c r="AC528">
        <v>0.56610000000000504</v>
      </c>
      <c r="AD528">
        <v>-6.3179999999999695E-2</v>
      </c>
      <c r="AE528">
        <v>-4.6499999999980397E-2</v>
      </c>
      <c r="AF528">
        <v>4.9718325728948201E-2</v>
      </c>
      <c r="AG528">
        <v>-6.3179999999999695E-2</v>
      </c>
      <c r="AH528">
        <v>0.55885765370554996</v>
      </c>
      <c r="AI528">
        <v>96.424857638429401</v>
      </c>
      <c r="AJ528">
        <v>84.91611081808</v>
      </c>
      <c r="AK528">
        <v>0.56461092924115597</v>
      </c>
      <c r="AL528">
        <v>72.992780369256394</v>
      </c>
      <c r="AM528">
        <v>95.146428533260504</v>
      </c>
      <c r="AN528">
        <v>0.99999999025146102</v>
      </c>
    </row>
    <row r="529" spans="1:40" x14ac:dyDescent="0.25">
      <c r="A529" t="str">
        <f>"20190304164345422"</f>
        <v>20190304164345422</v>
      </c>
      <c r="B529" t="str">
        <f>"1551689025410996"</f>
        <v>1551689025410996</v>
      </c>
      <c r="C529" t="s">
        <v>40</v>
      </c>
      <c r="D529">
        <v>4.6755459999999998</v>
      </c>
      <c r="E529">
        <v>0.57257029999999998</v>
      </c>
      <c r="F529" t="s">
        <v>41</v>
      </c>
      <c r="G529">
        <v>-381.14909999999998</v>
      </c>
      <c r="H529">
        <v>1.036724</v>
      </c>
      <c r="I529">
        <v>367.14100000000002</v>
      </c>
      <c r="J529">
        <v>-381.74149999999997</v>
      </c>
      <c r="K529">
        <v>1.109545</v>
      </c>
      <c r="L529">
        <v>367.19479999999999</v>
      </c>
      <c r="M529">
        <v>0.99995020000000001</v>
      </c>
      <c r="N529">
        <v>-7.3353280000000003E-3</v>
      </c>
      <c r="O529">
        <v>6.782593E-3</v>
      </c>
      <c r="P529">
        <v>0.95378070000000004</v>
      </c>
      <c r="Q529">
        <v>0.28598059999999997</v>
      </c>
      <c r="R529">
        <v>9.2292440000000003E-2</v>
      </c>
      <c r="S529">
        <v>3.2431030000000001</v>
      </c>
      <c r="T529">
        <v>-0.26700099999999999</v>
      </c>
      <c r="U529">
        <v>-0.18930050000000001</v>
      </c>
      <c r="V529">
        <v>-8.5817519999999994E-2</v>
      </c>
      <c r="W529">
        <v>0.29297489999999998</v>
      </c>
      <c r="X529">
        <v>0.95226100000000002</v>
      </c>
      <c r="Y529">
        <v>6.4783900000000005E-2</v>
      </c>
      <c r="Z529">
        <v>-3.4056640000000001E-3</v>
      </c>
      <c r="AA529">
        <v>0.99789349999999999</v>
      </c>
      <c r="AB529">
        <v>36</v>
      </c>
      <c r="AC529">
        <v>0.59239999999999704</v>
      </c>
      <c r="AD529">
        <v>-7.2820999999999997E-2</v>
      </c>
      <c r="AE529">
        <v>-5.3800000000023801E-2</v>
      </c>
      <c r="AF529">
        <v>5.69631687886143E-2</v>
      </c>
      <c r="AG529">
        <v>-7.2820999999999997E-2</v>
      </c>
      <c r="AH529">
        <v>0.583279820410043</v>
      </c>
      <c r="AI529">
        <v>97.0830578827903</v>
      </c>
      <c r="AJ529">
        <v>84.422176077190201</v>
      </c>
      <c r="AK529">
        <v>0.59056163906658599</v>
      </c>
      <c r="AL529">
        <v>72.963856405659698</v>
      </c>
      <c r="AM529">
        <v>95.1495703315029</v>
      </c>
      <c r="AN529">
        <v>0.99999997544497998</v>
      </c>
    </row>
    <row r="530" spans="1:40" x14ac:dyDescent="0.25">
      <c r="A530" t="str">
        <f>"20190304164345437"</f>
        <v>20190304164345437</v>
      </c>
      <c r="B530" t="str">
        <f>"1551689025420756"</f>
        <v>1551689025420756</v>
      </c>
      <c r="C530" t="s">
        <v>40</v>
      </c>
      <c r="D530">
        <v>4.6773499999999997</v>
      </c>
      <c r="E530">
        <v>0.57260580000000005</v>
      </c>
      <c r="F530" t="s">
        <v>41</v>
      </c>
      <c r="G530">
        <v>-380.8261</v>
      </c>
      <c r="H530">
        <v>1.0346439999999999</v>
      </c>
      <c r="I530">
        <v>367.14120000000003</v>
      </c>
      <c r="J530">
        <v>-381.50920000000002</v>
      </c>
      <c r="K530">
        <v>1.1095469999999901</v>
      </c>
      <c r="L530">
        <v>367.19639999999998</v>
      </c>
      <c r="M530">
        <v>0.99995009999999995</v>
      </c>
      <c r="N530">
        <v>-7.3454109999999996E-3</v>
      </c>
      <c r="O530">
        <v>6.7899469999999898E-3</v>
      </c>
      <c r="P530">
        <v>0.95380240000000005</v>
      </c>
      <c r="Q530">
        <v>0.2858675</v>
      </c>
      <c r="R530">
        <v>9.2417180000000002E-2</v>
      </c>
      <c r="S530">
        <v>3.2433169999999998</v>
      </c>
      <c r="T530">
        <v>-0.26530999999999999</v>
      </c>
      <c r="U530">
        <v>-0.19003300000000001</v>
      </c>
      <c r="V530">
        <v>-8.5934789999999997E-2</v>
      </c>
      <c r="W530">
        <v>0.29287150000000001</v>
      </c>
      <c r="X530">
        <v>0.95228219999999997</v>
      </c>
      <c r="Y530">
        <v>6.5014290000000002E-2</v>
      </c>
      <c r="Z530">
        <v>-3.3961759999999999E-3</v>
      </c>
      <c r="AA530">
        <v>0.99787859999999995</v>
      </c>
      <c r="AB530">
        <v>36</v>
      </c>
      <c r="AC530">
        <v>0.68310000000002402</v>
      </c>
      <c r="AD530">
        <v>-7.4902999999999706E-2</v>
      </c>
      <c r="AE530">
        <v>-5.5199999999956603E-2</v>
      </c>
      <c r="AF530">
        <v>5.9130720680512797E-2</v>
      </c>
      <c r="AG530">
        <v>-7.4902999999999706E-2</v>
      </c>
      <c r="AH530">
        <v>0.67465042248347895</v>
      </c>
      <c r="AI530">
        <v>96.311314052816996</v>
      </c>
      <c r="AJ530">
        <v>84.991027777639204</v>
      </c>
      <c r="AK530">
        <v>0.68136634352918701</v>
      </c>
      <c r="AL530">
        <v>72.970052062477805</v>
      </c>
      <c r="AM530">
        <v>95.156455151239896</v>
      </c>
      <c r="AN530">
        <v>0.99999994604071496</v>
      </c>
    </row>
    <row r="531" spans="1:40" x14ac:dyDescent="0.25">
      <c r="A531" t="str">
        <f>"20190304164345450"</f>
        <v>20190304164345450</v>
      </c>
      <c r="B531" t="str">
        <f>"1551689025440276"</f>
        <v>1551689025440276</v>
      </c>
      <c r="C531" t="s">
        <v>40</v>
      </c>
      <c r="D531">
        <v>4.6740380000000004</v>
      </c>
      <c r="E531">
        <v>0.57269179999999997</v>
      </c>
      <c r="F531" t="s">
        <v>41</v>
      </c>
      <c r="G531">
        <v>-380.50490000000002</v>
      </c>
      <c r="H531">
        <v>1.0273650000000001</v>
      </c>
      <c r="I531">
        <v>367.1377</v>
      </c>
      <c r="J531">
        <v>-381.28859999999997</v>
      </c>
      <c r="K531">
        <v>1.109548</v>
      </c>
      <c r="L531">
        <v>367.1979</v>
      </c>
      <c r="M531">
        <v>0.99994989999999995</v>
      </c>
      <c r="N531">
        <v>-7.3548830000000004E-3</v>
      </c>
      <c r="O531">
        <v>6.7964710000000001E-3</v>
      </c>
      <c r="P531">
        <v>0.95367599999999997</v>
      </c>
      <c r="Q531">
        <v>0.28627829999999999</v>
      </c>
      <c r="R531">
        <v>9.2449340000000005E-2</v>
      </c>
      <c r="S531">
        <v>3.2432560000000001</v>
      </c>
      <c r="T531">
        <v>-0.26536389999999999</v>
      </c>
      <c r="U531">
        <v>-0.18966669999999999</v>
      </c>
      <c r="V531">
        <v>-8.5961860000000001E-2</v>
      </c>
      <c r="W531">
        <v>0.29329</v>
      </c>
      <c r="X531">
        <v>0.95215099999999997</v>
      </c>
      <c r="Y531">
        <v>6.4909830000000002E-2</v>
      </c>
      <c r="Z531">
        <v>-3.3929759999999998E-3</v>
      </c>
      <c r="AA531">
        <v>0.99788529999999998</v>
      </c>
      <c r="AB531">
        <v>36</v>
      </c>
      <c r="AC531">
        <v>0.78369999999995299</v>
      </c>
      <c r="AD531">
        <v>-8.2183000000000103E-2</v>
      </c>
      <c r="AE531">
        <v>-6.0200000000008899E-2</v>
      </c>
      <c r="AF531">
        <v>6.4816557392714996E-2</v>
      </c>
      <c r="AG531">
        <v>-8.2183000000000103E-2</v>
      </c>
      <c r="AH531">
        <v>0.77480241238057701</v>
      </c>
      <c r="AI531">
        <v>96.033782905546005</v>
      </c>
      <c r="AJ531">
        <v>85.218021862657494</v>
      </c>
      <c r="AK531">
        <v>0.78184014340017405</v>
      </c>
      <c r="AL531">
        <v>72.944973355057996</v>
      </c>
      <c r="AM531">
        <v>95.158777619092405</v>
      </c>
      <c r="AN531">
        <v>0.99999999613782897</v>
      </c>
    </row>
    <row r="532" spans="1:40" x14ac:dyDescent="0.25">
      <c r="A532" t="str">
        <f>"20190304164345468"</f>
        <v>20190304164345468</v>
      </c>
      <c r="B532" t="str">
        <f>"1551689025460771"</f>
        <v>1551689025460771</v>
      </c>
      <c r="C532" t="s">
        <v>40</v>
      </c>
      <c r="D532">
        <v>4.6586679999999996</v>
      </c>
      <c r="E532">
        <v>0.57278130000000005</v>
      </c>
      <c r="F532" t="s">
        <v>41</v>
      </c>
      <c r="G532">
        <v>-380.49619999999999</v>
      </c>
      <c r="H532">
        <v>1.0452589999999999</v>
      </c>
      <c r="I532">
        <v>367.15140000000002</v>
      </c>
      <c r="J532">
        <v>-380.99149999999997</v>
      </c>
      <c r="K532">
        <v>1.109551</v>
      </c>
      <c r="L532">
        <v>367.2</v>
      </c>
      <c r="M532">
        <v>0.99994989999999995</v>
      </c>
      <c r="N532">
        <v>-7.3676490000000004E-3</v>
      </c>
      <c r="O532">
        <v>6.8058399999999996E-3</v>
      </c>
      <c r="P532">
        <v>0.95364950000000004</v>
      </c>
      <c r="Q532">
        <v>0.286379299999999</v>
      </c>
      <c r="R532">
        <v>9.2410770000000003E-2</v>
      </c>
      <c r="S532">
        <v>3.2431640000000002</v>
      </c>
      <c r="T532">
        <v>-0.26309280000000002</v>
      </c>
      <c r="U532">
        <v>-0.1904602</v>
      </c>
      <c r="V532">
        <v>-8.5914699999999997E-2</v>
      </c>
      <c r="W532">
        <v>0.29340309999999997</v>
      </c>
      <c r="X532">
        <v>0.95212039999999998</v>
      </c>
      <c r="Y532">
        <v>6.5167349999999999E-2</v>
      </c>
      <c r="Z532">
        <v>-3.378097E-3</v>
      </c>
      <c r="AA532">
        <v>0.99786870000000005</v>
      </c>
      <c r="AB532">
        <v>36</v>
      </c>
      <c r="AC532">
        <v>0.49529999999998597</v>
      </c>
      <c r="AD532">
        <v>-6.4292000000000002E-2</v>
      </c>
      <c r="AE532">
        <v>-4.8599999999964803E-2</v>
      </c>
      <c r="AF532">
        <v>5.1116837280001E-2</v>
      </c>
      <c r="AG532">
        <v>-6.4292000000000002E-2</v>
      </c>
      <c r="AH532">
        <v>0.48683326606598998</v>
      </c>
      <c r="AI532">
        <v>97.482378946097398</v>
      </c>
      <c r="AJ532">
        <v>84.005983374203197</v>
      </c>
      <c r="AK532">
        <v>0.49371350119881102</v>
      </c>
      <c r="AL532">
        <v>72.938194808143905</v>
      </c>
      <c r="AM532">
        <v>95.156127506016801</v>
      </c>
      <c r="AN532">
        <v>0.99999998543092905</v>
      </c>
    </row>
    <row r="533" spans="1:40" x14ac:dyDescent="0.25">
      <c r="A533" t="str">
        <f>"20190304164345482"</f>
        <v>20190304164345482</v>
      </c>
      <c r="B533" t="str">
        <f>"1551689025470532"</f>
        <v>1551689025470532</v>
      </c>
      <c r="C533" t="s">
        <v>40</v>
      </c>
      <c r="D533">
        <v>4.6689699999999998</v>
      </c>
      <c r="E533">
        <v>0.57281899999999997</v>
      </c>
      <c r="F533" t="s">
        <v>41</v>
      </c>
      <c r="G533">
        <v>-380.17180000000002</v>
      </c>
      <c r="H533">
        <v>1.0432619999999999</v>
      </c>
      <c r="I533">
        <v>367.15129999999999</v>
      </c>
      <c r="J533">
        <v>-380.7722</v>
      </c>
      <c r="K533">
        <v>1.1095440000000001</v>
      </c>
      <c r="L533">
        <v>367.20139999999998</v>
      </c>
      <c r="M533">
        <v>0.9999498</v>
      </c>
      <c r="N533">
        <v>-7.3769600000000001E-3</v>
      </c>
      <c r="O533">
        <v>6.8126599999999999E-3</v>
      </c>
      <c r="P533">
        <v>0.95358569999999998</v>
      </c>
      <c r="Q533">
        <v>0.28655370000000002</v>
      </c>
      <c r="R533">
        <v>9.2529429999999996E-2</v>
      </c>
      <c r="S533">
        <v>3.2431950000000001</v>
      </c>
      <c r="T533">
        <v>-0.26245380000000001</v>
      </c>
      <c r="U533">
        <v>-0.19146730000000001</v>
      </c>
      <c r="V533">
        <v>-8.6027229999999996E-2</v>
      </c>
      <c r="W533">
        <v>0.29358590000000001</v>
      </c>
      <c r="X533">
        <v>0.95205390000000001</v>
      </c>
      <c r="Y533">
        <v>6.5482410000000005E-2</v>
      </c>
      <c r="Z533">
        <v>-3.3849459999999998E-3</v>
      </c>
      <c r="AA533">
        <v>0.99784799999999996</v>
      </c>
      <c r="AB533">
        <v>36</v>
      </c>
      <c r="AC533">
        <v>0.60039999999997895</v>
      </c>
      <c r="AD533">
        <v>-6.6281999999999897E-2</v>
      </c>
      <c r="AE533">
        <v>-5.0099999999986197E-2</v>
      </c>
      <c r="AF533">
        <v>5.3541254033143797E-2</v>
      </c>
      <c r="AG533">
        <v>-6.6281999999999897E-2</v>
      </c>
      <c r="AH533">
        <v>0.59286919208206201</v>
      </c>
      <c r="AI533">
        <v>96.353460812767494</v>
      </c>
      <c r="AJ533">
        <v>84.839690064912304</v>
      </c>
      <c r="AK533">
        <v>0.59896064004864202</v>
      </c>
      <c r="AL533">
        <v>72.927238837130702</v>
      </c>
      <c r="AM533">
        <v>95.163203134096193</v>
      </c>
      <c r="AN533">
        <v>0.99999999674274598</v>
      </c>
    </row>
    <row r="534" spans="1:40" x14ac:dyDescent="0.25">
      <c r="A534" t="str">
        <f>"20190304164345495"</f>
        <v>20190304164345495</v>
      </c>
      <c r="B534" t="str">
        <f>"1551689025480292"</f>
        <v>1551689025480292</v>
      </c>
      <c r="C534" t="s">
        <v>40</v>
      </c>
      <c r="D534">
        <v>4.6578109999999997</v>
      </c>
      <c r="E534">
        <v>0.57286519999999996</v>
      </c>
      <c r="F534" t="s">
        <v>41</v>
      </c>
      <c r="G534">
        <v>-379.84969999999998</v>
      </c>
      <c r="H534">
        <v>1.035069</v>
      </c>
      <c r="I534">
        <v>367.14690000000002</v>
      </c>
      <c r="J534">
        <v>-380.54410000000001</v>
      </c>
      <c r="K534">
        <v>1.1095429999999999</v>
      </c>
      <c r="L534">
        <v>367.20299999999997</v>
      </c>
      <c r="M534">
        <v>0.99994950000000005</v>
      </c>
      <c r="N534">
        <v>-7.3865409999999999E-3</v>
      </c>
      <c r="O534">
        <v>6.8197179999999998E-3</v>
      </c>
      <c r="P534">
        <v>0.95353509999999997</v>
      </c>
      <c r="Q534">
        <v>0.28664509999999899</v>
      </c>
      <c r="R534">
        <v>9.2765589999999995E-2</v>
      </c>
      <c r="S534">
        <v>3.2433169999999998</v>
      </c>
      <c r="T534">
        <v>-0.2618413</v>
      </c>
      <c r="U534">
        <v>-0.19152830000000001</v>
      </c>
      <c r="V534">
        <v>-8.6257349999999997E-2</v>
      </c>
      <c r="W534">
        <v>0.29368620000000001</v>
      </c>
      <c r="X534">
        <v>0.95200220000000002</v>
      </c>
      <c r="Y534">
        <v>6.5506990000000001E-2</v>
      </c>
      <c r="Z534">
        <v>-3.3792430000000001E-3</v>
      </c>
      <c r="AA534">
        <v>0.99784640000000002</v>
      </c>
      <c r="AB534">
        <v>36</v>
      </c>
      <c r="AC534">
        <v>0.69440000000002999</v>
      </c>
      <c r="AD534">
        <v>-7.4473999999999901E-2</v>
      </c>
      <c r="AE534">
        <v>-5.6100000000014902E-2</v>
      </c>
      <c r="AF534">
        <v>6.0147084654044503E-2</v>
      </c>
      <c r="AG534">
        <v>-7.4473999999999901E-2</v>
      </c>
      <c r="AH534">
        <v>0.68615992147781302</v>
      </c>
      <c r="AI534">
        <v>96.171005765603198</v>
      </c>
      <c r="AJ534">
        <v>84.990398237310103</v>
      </c>
      <c r="AK534">
        <v>0.69280551838940996</v>
      </c>
      <c r="AL534">
        <v>72.921228021362793</v>
      </c>
      <c r="AM534">
        <v>95.177219197609702</v>
      </c>
      <c r="AN534">
        <v>1.0000000516521499</v>
      </c>
    </row>
    <row r="535" spans="1:40" x14ac:dyDescent="0.25">
      <c r="A535" t="str">
        <f>"20190304164345512"</f>
        <v>20190304164345512</v>
      </c>
      <c r="B535" t="str">
        <f>"1551689025500789"</f>
        <v>1551689025500789</v>
      </c>
      <c r="C535" t="s">
        <v>40</v>
      </c>
      <c r="D535">
        <v>4.637359</v>
      </c>
      <c r="E535">
        <v>0.57298789999999999</v>
      </c>
      <c r="F535" t="s">
        <v>41</v>
      </c>
      <c r="G535">
        <v>-379.52640000000002</v>
      </c>
      <c r="H535">
        <v>1.0275939999999999</v>
      </c>
      <c r="I535">
        <v>367.14280000000002</v>
      </c>
      <c r="J535">
        <v>-380.28070000000002</v>
      </c>
      <c r="K535">
        <v>1.1095489999999999</v>
      </c>
      <c r="L535">
        <v>367.20479999999998</v>
      </c>
      <c r="M535">
        <v>0.99994939999999999</v>
      </c>
      <c r="N535">
        <v>-7.397514E-3</v>
      </c>
      <c r="O535">
        <v>6.8277240000000003E-3</v>
      </c>
      <c r="P535">
        <v>0.95346319999999996</v>
      </c>
      <c r="Q535">
        <v>0.28692430000000002</v>
      </c>
      <c r="R535">
        <v>9.2642669999999996E-2</v>
      </c>
      <c r="S535">
        <v>3.243347</v>
      </c>
      <c r="T535">
        <v>-0.26128210000000002</v>
      </c>
      <c r="U535">
        <v>-0.19134519999999999</v>
      </c>
      <c r="V535">
        <v>-8.6127220000000004E-2</v>
      </c>
      <c r="W535">
        <v>0.29397509999999999</v>
      </c>
      <c r="X535">
        <v>0.95192469999999996</v>
      </c>
      <c r="Y535">
        <v>6.5459450000000002E-2</v>
      </c>
      <c r="Z535">
        <v>-3.371214E-3</v>
      </c>
      <c r="AA535">
        <v>0.99784949999999994</v>
      </c>
      <c r="AB535">
        <v>36</v>
      </c>
      <c r="AC535">
        <v>0.75429999999999997</v>
      </c>
      <c r="AD535">
        <v>-8.1954999999999695E-2</v>
      </c>
      <c r="AE535">
        <v>-6.1999999999954897E-2</v>
      </c>
      <c r="AF535">
        <v>6.6370606323449904E-2</v>
      </c>
      <c r="AG535">
        <v>-8.1954999999999695E-2</v>
      </c>
      <c r="AH535">
        <v>0.74512201626959895</v>
      </c>
      <c r="AI535">
        <v>96.252102472599404</v>
      </c>
      <c r="AJ535">
        <v>84.909899287807804</v>
      </c>
      <c r="AK535">
        <v>0.75254800414220402</v>
      </c>
      <c r="AL535">
        <v>72.903908985521596</v>
      </c>
      <c r="AM535">
        <v>95.169869649613901</v>
      </c>
      <c r="AN535">
        <v>0.99999994595751196</v>
      </c>
    </row>
    <row r="536" spans="1:40" x14ac:dyDescent="0.25">
      <c r="A536" t="str">
        <f>"20190304164345528"</f>
        <v>20190304164345528</v>
      </c>
      <c r="B536" t="str">
        <f>"1551689025520307"</f>
        <v>1551689025520307</v>
      </c>
      <c r="C536" t="s">
        <v>40</v>
      </c>
      <c r="D536">
        <v>4.6149050000000003</v>
      </c>
      <c r="E536">
        <v>0.57310559999999999</v>
      </c>
      <c r="F536" t="s">
        <v>41</v>
      </c>
      <c r="G536">
        <v>-379.51589999999999</v>
      </c>
      <c r="H536">
        <v>1.0481560000000001</v>
      </c>
      <c r="I536">
        <v>367.1592</v>
      </c>
      <c r="J536">
        <v>-380.0333</v>
      </c>
      <c r="K536">
        <v>1.109548</v>
      </c>
      <c r="L536">
        <v>367.20650000000001</v>
      </c>
      <c r="M536">
        <v>0.99994930000000004</v>
      </c>
      <c r="N536">
        <v>-7.407589E-3</v>
      </c>
      <c r="O536">
        <v>6.8354349999999999E-3</v>
      </c>
      <c r="P536">
        <v>0.95341849999999995</v>
      </c>
      <c r="Q536">
        <v>0.28706540000000003</v>
      </c>
      <c r="R536">
        <v>9.2665499999999998E-2</v>
      </c>
      <c r="S536">
        <v>3.2435299999999998</v>
      </c>
      <c r="T536">
        <v>-0.26045109999999999</v>
      </c>
      <c r="U536">
        <v>-0.19271849999999999</v>
      </c>
      <c r="V536">
        <v>-8.6142570000000002E-2</v>
      </c>
      <c r="W536">
        <v>0.29412549999999998</v>
      </c>
      <c r="X536">
        <v>0.95187690000000003</v>
      </c>
      <c r="Y536">
        <v>6.5884869999999998E-2</v>
      </c>
      <c r="Z536">
        <v>-3.3803599999999998E-3</v>
      </c>
      <c r="AA536">
        <v>0.99782150000000003</v>
      </c>
      <c r="AB536">
        <v>36</v>
      </c>
      <c r="AC536">
        <v>0.51740000000000896</v>
      </c>
      <c r="AD536">
        <v>-6.1392000000000099E-2</v>
      </c>
      <c r="AE536">
        <v>-4.7300000000007003E-2</v>
      </c>
      <c r="AF536">
        <v>5.0135638029119002E-2</v>
      </c>
      <c r="AG536">
        <v>-6.1392000000000099E-2</v>
      </c>
      <c r="AH536">
        <v>0.50994459941263404</v>
      </c>
      <c r="AI536">
        <v>96.832148244453194</v>
      </c>
      <c r="AJ536">
        <v>84.384961858639898</v>
      </c>
      <c r="AK536">
        <v>0.51606787764275697</v>
      </c>
      <c r="AL536">
        <v>72.894893926794595</v>
      </c>
      <c r="AM536">
        <v>95.171044305355196</v>
      </c>
      <c r="AN536">
        <v>0.99999999243503201</v>
      </c>
    </row>
    <row r="537" spans="1:40" x14ac:dyDescent="0.25">
      <c r="A537" t="str">
        <f>"20190304164345540"</f>
        <v>20190304164345540</v>
      </c>
      <c r="B537" t="str">
        <f>"1551689025531044"</f>
        <v>1551689025531044</v>
      </c>
      <c r="C537" t="s">
        <v>40</v>
      </c>
      <c r="D537">
        <v>4.6191380000000004</v>
      </c>
      <c r="E537">
        <v>0.57316820000000002</v>
      </c>
      <c r="F537" t="s">
        <v>41</v>
      </c>
      <c r="G537">
        <v>-379.19189999999998</v>
      </c>
      <c r="H537">
        <v>1.042076</v>
      </c>
      <c r="I537">
        <v>367.15629999999999</v>
      </c>
      <c r="J537">
        <v>-379.80579999999998</v>
      </c>
      <c r="K537">
        <v>1.109548</v>
      </c>
      <c r="L537">
        <v>367.20800000000003</v>
      </c>
      <c r="M537">
        <v>0.99994899999999998</v>
      </c>
      <c r="N537">
        <v>-7.4168430000000002E-3</v>
      </c>
      <c r="O537">
        <v>6.8426119999999997E-3</v>
      </c>
      <c r="P537">
        <v>0.95341010000000004</v>
      </c>
      <c r="Q537">
        <v>0.2870125</v>
      </c>
      <c r="R537">
        <v>9.2913209999999996E-2</v>
      </c>
      <c r="S537">
        <v>3.2436829999999999</v>
      </c>
      <c r="T537">
        <v>-0.26010470000000002</v>
      </c>
      <c r="U537">
        <v>-0.19351199999999999</v>
      </c>
      <c r="V537">
        <v>-8.6383879999999996E-2</v>
      </c>
      <c r="W537">
        <v>0.2940817</v>
      </c>
      <c r="X537">
        <v>0.95186850000000001</v>
      </c>
      <c r="Y537">
        <v>6.613223E-2</v>
      </c>
      <c r="Z537">
        <v>-3.387541E-3</v>
      </c>
      <c r="AA537">
        <v>0.9978051</v>
      </c>
      <c r="AB537">
        <v>37</v>
      </c>
      <c r="AC537">
        <v>0.613900000000001</v>
      </c>
      <c r="AD537">
        <v>-6.7471999999999893E-2</v>
      </c>
      <c r="AE537">
        <v>-5.1700000000039298E-2</v>
      </c>
      <c r="AF537">
        <v>5.5237043528523801E-2</v>
      </c>
      <c r="AG537">
        <v>-6.7471999999999893E-2</v>
      </c>
      <c r="AH537">
        <v>0.60626006001199095</v>
      </c>
      <c r="AI537">
        <v>96.324456576382403</v>
      </c>
      <c r="AJ537">
        <v>84.794089788312306</v>
      </c>
      <c r="AK537">
        <v>0.61249886704182199</v>
      </c>
      <c r="AL537">
        <v>72.897518525971904</v>
      </c>
      <c r="AM537">
        <v>95.185496531262302</v>
      </c>
      <c r="AN537">
        <v>0.99999993114549401</v>
      </c>
    </row>
    <row r="538" spans="1:40" x14ac:dyDescent="0.25">
      <c r="A538" t="str">
        <f>"20190304164345557"</f>
        <v>20190304164345557</v>
      </c>
      <c r="B538" t="str">
        <f>"1551689025540804"</f>
        <v>1551689025540804</v>
      </c>
      <c r="C538" t="s">
        <v>40</v>
      </c>
      <c r="D538">
        <v>4.6162260000000002</v>
      </c>
      <c r="E538">
        <v>0.573223699999999</v>
      </c>
      <c r="F538" t="s">
        <v>41</v>
      </c>
      <c r="G538">
        <v>-378.86739999999998</v>
      </c>
      <c r="H538">
        <v>1.034284</v>
      </c>
      <c r="I538">
        <v>367.15190000000001</v>
      </c>
      <c r="J538">
        <v>-379.53579999999999</v>
      </c>
      <c r="K538">
        <v>1.1095459999999999</v>
      </c>
      <c r="L538">
        <v>367.2099</v>
      </c>
      <c r="M538">
        <v>0.99994910000000004</v>
      </c>
      <c r="N538">
        <v>-7.4278149999999999E-3</v>
      </c>
      <c r="O538">
        <v>6.8509740000000001E-3</v>
      </c>
      <c r="P538">
        <v>0.95344470000000003</v>
      </c>
      <c r="Q538">
        <v>0.2869274</v>
      </c>
      <c r="R538">
        <v>9.2823610000000001E-2</v>
      </c>
      <c r="S538">
        <v>3.243805</v>
      </c>
      <c r="T538">
        <v>-0.26025340000000002</v>
      </c>
      <c r="U538">
        <v>-0.1933899</v>
      </c>
      <c r="V538">
        <v>-8.6286119999999994E-2</v>
      </c>
      <c r="W538">
        <v>0.29400700000000002</v>
      </c>
      <c r="X538">
        <v>0.95190050000000004</v>
      </c>
      <c r="Y538">
        <v>6.6100729999999996E-2</v>
      </c>
      <c r="Z538">
        <v>-3.3887639999999998E-3</v>
      </c>
      <c r="AA538">
        <v>0.99780720000000001</v>
      </c>
      <c r="AB538">
        <v>37</v>
      </c>
      <c r="AC538">
        <v>0.66840000000001898</v>
      </c>
      <c r="AD538">
        <v>-7.5261999999999898E-2</v>
      </c>
      <c r="AE538">
        <v>-5.7999999999992703E-2</v>
      </c>
      <c r="AF538">
        <v>6.1800257351274701E-2</v>
      </c>
      <c r="AG538">
        <v>-7.5261999999999898E-2</v>
      </c>
      <c r="AH538">
        <v>0.65968542559191701</v>
      </c>
      <c r="AI538">
        <v>96.4804710956859</v>
      </c>
      <c r="AJ538">
        <v>84.648070959286002</v>
      </c>
      <c r="AK538">
        <v>0.66683468805324797</v>
      </c>
      <c r="AL538">
        <v>72.901997454347693</v>
      </c>
      <c r="AM538">
        <v>95.179486904563703</v>
      </c>
      <c r="AN538">
        <v>0.99999998622695196</v>
      </c>
    </row>
    <row r="539" spans="1:40" x14ac:dyDescent="0.25">
      <c r="A539" t="str">
        <f>"20190304164345570"</f>
        <v>20190304164345570</v>
      </c>
      <c r="B539" t="str">
        <f>"1551689025560325"</f>
        <v>1551689025560325</v>
      </c>
      <c r="C539" t="s">
        <v>40</v>
      </c>
      <c r="D539">
        <v>4.5986339999999997</v>
      </c>
      <c r="E539">
        <v>0.57336880000000001</v>
      </c>
      <c r="F539" t="s">
        <v>41</v>
      </c>
      <c r="G539">
        <v>-378.54079999999999</v>
      </c>
      <c r="H539">
        <v>1.0295289999999999</v>
      </c>
      <c r="I539">
        <v>367.15039999999999</v>
      </c>
      <c r="J539">
        <v>-379.33019999999999</v>
      </c>
      <c r="K539">
        <v>1.109545</v>
      </c>
      <c r="L539">
        <v>367.21129999999999</v>
      </c>
      <c r="M539">
        <v>0.99994890000000003</v>
      </c>
      <c r="N539">
        <v>-7.4360340000000002E-3</v>
      </c>
      <c r="O539">
        <v>6.8569649999999996E-3</v>
      </c>
      <c r="P539">
        <v>0.95344110000000004</v>
      </c>
      <c r="Q539">
        <v>0.28692139999999999</v>
      </c>
      <c r="R539">
        <v>9.2876650000000005E-2</v>
      </c>
      <c r="S539">
        <v>3.2438349999999998</v>
      </c>
      <c r="T539">
        <v>-0.26084400000000002</v>
      </c>
      <c r="U539">
        <v>-0.1940308</v>
      </c>
      <c r="V539">
        <v>-8.6333259999999995E-2</v>
      </c>
      <c r="W539">
        <v>0.29400890000000002</v>
      </c>
      <c r="X539">
        <v>0.95189570000000001</v>
      </c>
      <c r="Y539">
        <v>6.6300739999999997E-2</v>
      </c>
      <c r="Z539">
        <v>-3.4053619999999999E-3</v>
      </c>
      <c r="AA539">
        <v>0.99779390000000001</v>
      </c>
      <c r="AB539">
        <v>37</v>
      </c>
      <c r="AC539">
        <v>0.78939999999999999</v>
      </c>
      <c r="AD539">
        <v>-8.0015999999999796E-2</v>
      </c>
      <c r="AE539">
        <v>-6.0900000000003701E-2</v>
      </c>
      <c r="AF539">
        <v>6.5641167751784399E-2</v>
      </c>
      <c r="AG539">
        <v>-8.0015999999999796E-2</v>
      </c>
      <c r="AH539">
        <v>0.78098708681346496</v>
      </c>
      <c r="AI539">
        <v>95.829413518886497</v>
      </c>
      <c r="AJ539">
        <v>85.195639998062902</v>
      </c>
      <c r="AK539">
        <v>0.78781479608420701</v>
      </c>
      <c r="AL539">
        <v>72.901884583244396</v>
      </c>
      <c r="AM539">
        <v>95.182327158312802</v>
      </c>
      <c r="AN539">
        <v>1.0000000443699599</v>
      </c>
    </row>
    <row r="540" spans="1:40" x14ac:dyDescent="0.25">
      <c r="A540" t="str">
        <f>"20190304164345581"</f>
        <v>20190304164345581</v>
      </c>
      <c r="B540" t="str">
        <f>"1551689025570084"</f>
        <v>1551689025570084</v>
      </c>
      <c r="C540" t="s">
        <v>40</v>
      </c>
      <c r="D540">
        <v>4.6246960000000001</v>
      </c>
      <c r="E540">
        <v>0.57342769999999899</v>
      </c>
      <c r="F540" t="s">
        <v>41</v>
      </c>
      <c r="G540">
        <v>-378.53309999999999</v>
      </c>
      <c r="H540">
        <v>1.0454909999999999</v>
      </c>
      <c r="I540">
        <v>367.16329999999999</v>
      </c>
      <c r="J540">
        <v>-379.13189999999997</v>
      </c>
      <c r="K540">
        <v>1.10955</v>
      </c>
      <c r="L540">
        <v>367.21269999999998</v>
      </c>
      <c r="M540">
        <v>0.99994890000000003</v>
      </c>
      <c r="N540">
        <v>-7.4439290000000002E-3</v>
      </c>
      <c r="O540">
        <v>6.8630160000000004E-3</v>
      </c>
      <c r="P540">
        <v>0.95345340000000001</v>
      </c>
      <c r="Q540">
        <v>0.28699400000000003</v>
      </c>
      <c r="R540">
        <v>9.2529459999999994E-2</v>
      </c>
      <c r="S540">
        <v>3.2439580000000001</v>
      </c>
      <c r="T540">
        <v>-0.26062610000000003</v>
      </c>
      <c r="U540">
        <v>-0.19528200000000001</v>
      </c>
      <c r="V540">
        <v>-8.5980639999999997E-2</v>
      </c>
      <c r="W540">
        <v>0.29408909999999899</v>
      </c>
      <c r="X540">
        <v>0.95190280000000005</v>
      </c>
      <c r="Y540">
        <v>6.6687060000000006E-2</v>
      </c>
      <c r="Z540">
        <v>-3.4201050000000001E-3</v>
      </c>
      <c r="AA540">
        <v>0.99776810000000005</v>
      </c>
      <c r="AB540">
        <v>37</v>
      </c>
      <c r="AC540">
        <v>0.59879999999998201</v>
      </c>
      <c r="AD540">
        <v>-6.4059000000000005E-2</v>
      </c>
      <c r="AE540">
        <v>-4.9399999999991402E-2</v>
      </c>
      <c r="AF540">
        <v>5.2907121437536599E-2</v>
      </c>
      <c r="AG540">
        <v>-6.4059000000000005E-2</v>
      </c>
      <c r="AH540">
        <v>0.59172068693142599</v>
      </c>
      <c r="AI540">
        <v>96.1543497832307</v>
      </c>
      <c r="AJ540">
        <v>84.890638031451502</v>
      </c>
      <c r="AK540">
        <v>0.59752497045931496</v>
      </c>
      <c r="AL540">
        <v>72.897076221196002</v>
      </c>
      <c r="AM540">
        <v>95.161236700022599</v>
      </c>
      <c r="AN540">
        <v>1.0000000049207201</v>
      </c>
    </row>
    <row r="541" spans="1:40" x14ac:dyDescent="0.25">
      <c r="A541" t="str">
        <f>"20190304164345593"</f>
        <v>20190304164345593</v>
      </c>
      <c r="B541" t="str">
        <f>"1551689025580820"</f>
        <v>1551689025580820</v>
      </c>
      <c r="C541" t="s">
        <v>40</v>
      </c>
      <c r="D541">
        <v>4.6188510000000003</v>
      </c>
      <c r="E541">
        <v>0.57348659999999996</v>
      </c>
      <c r="F541" t="s">
        <v>41</v>
      </c>
      <c r="G541">
        <v>-378.20830000000001</v>
      </c>
      <c r="H541">
        <v>1.0353650000000001</v>
      </c>
      <c r="I541">
        <v>367.15660000000003</v>
      </c>
      <c r="J541">
        <v>-378.93490000000003</v>
      </c>
      <c r="K541">
        <v>1.10955</v>
      </c>
      <c r="L541">
        <v>367.214</v>
      </c>
      <c r="M541">
        <v>0.99994870000000002</v>
      </c>
      <c r="N541">
        <v>-7.4517530000000002E-3</v>
      </c>
      <c r="O541">
        <v>6.8691859999999898E-3</v>
      </c>
      <c r="P541">
        <v>0.95346929999999996</v>
      </c>
      <c r="Q541">
        <v>0.28692679999999998</v>
      </c>
      <c r="R541">
        <v>9.2572089999999996E-2</v>
      </c>
      <c r="S541">
        <v>3.2439879999999999</v>
      </c>
      <c r="T541">
        <v>-0.26079799999999997</v>
      </c>
      <c r="U541">
        <v>-0.1961975</v>
      </c>
      <c r="V541">
        <v>-8.6017239999999995E-2</v>
      </c>
      <c r="W541">
        <v>0.2940294</v>
      </c>
      <c r="X541">
        <v>0.95191789999999998</v>
      </c>
      <c r="Y541">
        <v>6.6971879999999998E-2</v>
      </c>
      <c r="Z541">
        <v>-3.4353109999999999E-3</v>
      </c>
      <c r="AA541">
        <v>0.997749</v>
      </c>
      <c r="AB541">
        <v>37</v>
      </c>
      <c r="AC541">
        <v>0.72660000000001901</v>
      </c>
      <c r="AD541">
        <v>-7.4185000000000098E-2</v>
      </c>
      <c r="AE541">
        <v>-5.7399999999972799E-2</v>
      </c>
      <c r="AF541">
        <v>6.1750231894967797E-2</v>
      </c>
      <c r="AG541">
        <v>-7.4185000000000098E-2</v>
      </c>
      <c r="AH541">
        <v>0.718742726072786</v>
      </c>
      <c r="AI541">
        <v>95.871436679593799</v>
      </c>
      <c r="AJ541">
        <v>85.089535010716403</v>
      </c>
      <c r="AK541">
        <v>0.72519487839243801</v>
      </c>
      <c r="AL541">
        <v>72.9006544093629</v>
      </c>
      <c r="AM541">
        <v>95.1633403843569</v>
      </c>
      <c r="AN541">
        <v>0.99999997099099303</v>
      </c>
    </row>
    <row r="542" spans="1:40" x14ac:dyDescent="0.25">
      <c r="A542" t="str">
        <f>"20190304164345612"</f>
        <v>20190304164345612</v>
      </c>
      <c r="B542" t="str">
        <f>"1551689025600340"</f>
        <v>1551689025600340</v>
      </c>
      <c r="C542" t="s">
        <v>40</v>
      </c>
      <c r="D542">
        <v>4.6237500000000002</v>
      </c>
      <c r="E542">
        <v>0.5736116</v>
      </c>
      <c r="F542" t="s">
        <v>41</v>
      </c>
      <c r="G542">
        <v>-378.1995</v>
      </c>
      <c r="H542">
        <v>1.0504020000000001</v>
      </c>
      <c r="I542">
        <v>367.16919999999999</v>
      </c>
      <c r="J542">
        <v>-378.64530000000002</v>
      </c>
      <c r="K542">
        <v>1.10955</v>
      </c>
      <c r="L542">
        <v>367.21600000000001</v>
      </c>
      <c r="M542">
        <v>0.99994859999999997</v>
      </c>
      <c r="N542">
        <v>-7.4631869999999996E-3</v>
      </c>
      <c r="O542">
        <v>6.8777259999999998E-3</v>
      </c>
      <c r="P542">
        <v>0.95337570000000005</v>
      </c>
      <c r="Q542">
        <v>0.28723729999999997</v>
      </c>
      <c r="R542">
        <v>9.2573080000000002E-2</v>
      </c>
      <c r="S542">
        <v>3.244049</v>
      </c>
      <c r="T542">
        <v>-0.26116159999999999</v>
      </c>
      <c r="U542">
        <v>-0.19653319999999999</v>
      </c>
      <c r="V542">
        <v>-8.6010630000000005E-2</v>
      </c>
      <c r="W542">
        <v>0.29435020000000001</v>
      </c>
      <c r="X542">
        <v>0.95181939999999998</v>
      </c>
      <c r="Y542">
        <v>6.708103E-2</v>
      </c>
      <c r="Z542">
        <v>-3.4454590000000001E-3</v>
      </c>
      <c r="AA542">
        <v>0.99774160000000001</v>
      </c>
      <c r="AB542">
        <v>37</v>
      </c>
      <c r="AC542">
        <v>0.44580000000001901</v>
      </c>
      <c r="AD542">
        <v>-5.9147999999999902E-2</v>
      </c>
      <c r="AE542">
        <v>-4.6800000000018799E-2</v>
      </c>
      <c r="AF542">
        <v>4.9011693906267598E-2</v>
      </c>
      <c r="AG542">
        <v>-5.9147999999999902E-2</v>
      </c>
      <c r="AH542">
        <v>0.43784398277362302</v>
      </c>
      <c r="AI542">
        <v>97.646282210933606</v>
      </c>
      <c r="AJ542">
        <v>83.612972437038295</v>
      </c>
      <c r="AK542">
        <v>0.444531197211884</v>
      </c>
      <c r="AL542">
        <v>72.881423725016404</v>
      </c>
      <c r="AM542">
        <v>95.163477156290398</v>
      </c>
      <c r="AN542">
        <v>1.0000000194646901</v>
      </c>
    </row>
    <row r="543" spans="1:40" x14ac:dyDescent="0.25">
      <c r="A543" t="str">
        <f>"20190304164345624"</f>
        <v>20190304164345624</v>
      </c>
      <c r="B543" t="str">
        <f>"1551689025610100"</f>
        <v>1551689025610100</v>
      </c>
      <c r="C543" t="s">
        <v>40</v>
      </c>
      <c r="D543">
        <v>4.6365980000000002</v>
      </c>
      <c r="E543">
        <v>0.57365790000000005</v>
      </c>
      <c r="F543" t="s">
        <v>41</v>
      </c>
      <c r="G543">
        <v>-377.87180000000001</v>
      </c>
      <c r="H543">
        <v>1.047563</v>
      </c>
      <c r="I543">
        <v>367.16890000000001</v>
      </c>
      <c r="J543">
        <v>-378.43540000000002</v>
      </c>
      <c r="K543">
        <v>1.1095489999999999</v>
      </c>
      <c r="L543">
        <v>367.21749999999997</v>
      </c>
      <c r="M543">
        <v>0.99994839999999996</v>
      </c>
      <c r="N543">
        <v>-7.4715369999999899E-3</v>
      </c>
      <c r="O543">
        <v>6.8840719999999998E-3</v>
      </c>
      <c r="P543">
        <v>0.95322119999999999</v>
      </c>
      <c r="Q543">
        <v>0.28772399999999998</v>
      </c>
      <c r="R543">
        <v>9.2651380000000005E-2</v>
      </c>
      <c r="S543">
        <v>3.2442630000000001</v>
      </c>
      <c r="T543">
        <v>-0.26005519999999999</v>
      </c>
      <c r="U543">
        <v>-0.1974487</v>
      </c>
      <c r="V543">
        <v>-8.6083610000000005E-2</v>
      </c>
      <c r="W543">
        <v>0.29484369999999999</v>
      </c>
      <c r="X543">
        <v>0.95165999999999995</v>
      </c>
      <c r="Y543">
        <v>6.7365030000000006E-2</v>
      </c>
      <c r="Z543">
        <v>-3.444613E-3</v>
      </c>
      <c r="AA543">
        <v>0.99772240000000001</v>
      </c>
      <c r="AB543">
        <v>37</v>
      </c>
      <c r="AC543">
        <v>0.56360000000000798</v>
      </c>
      <c r="AD543">
        <v>-6.1985999999999798E-2</v>
      </c>
      <c r="AE543">
        <v>-4.8599999999964803E-2</v>
      </c>
      <c r="AF543">
        <v>5.18561918275307E-2</v>
      </c>
      <c r="AG543">
        <v>-6.1985999999999798E-2</v>
      </c>
      <c r="AH543">
        <v>0.55656944236696204</v>
      </c>
      <c r="AI543">
        <v>96.327749191611503</v>
      </c>
      <c r="AJ543">
        <v>84.677055793724193</v>
      </c>
      <c r="AK543">
        <v>0.56240632375847699</v>
      </c>
      <c r="AL543">
        <v>72.851834387201606</v>
      </c>
      <c r="AM543">
        <v>95.168695560172694</v>
      </c>
      <c r="AN543">
        <v>0.99999997547015995</v>
      </c>
    </row>
    <row r="544" spans="1:40" x14ac:dyDescent="0.25">
      <c r="A544" t="str">
        <f>"20190304164345636"</f>
        <v>20190304164345636</v>
      </c>
      <c r="B544" t="str">
        <f>"1551689025630596"</f>
        <v>1551689025630596</v>
      </c>
      <c r="C544" t="s">
        <v>40</v>
      </c>
      <c r="D544">
        <v>4.6409010000000004</v>
      </c>
      <c r="E544">
        <v>0.57375089999999995</v>
      </c>
      <c r="F544" t="s">
        <v>41</v>
      </c>
      <c r="G544">
        <v>-377.5453</v>
      </c>
      <c r="H544">
        <v>1.038691</v>
      </c>
      <c r="I544">
        <v>367.16309999999999</v>
      </c>
      <c r="J544">
        <v>-378.2296</v>
      </c>
      <c r="K544">
        <v>1.109548</v>
      </c>
      <c r="L544">
        <v>367.21890000000002</v>
      </c>
      <c r="M544">
        <v>0.99994839999999996</v>
      </c>
      <c r="N544">
        <v>-7.4797240000000001E-3</v>
      </c>
      <c r="O544">
        <v>6.8902410000000001E-3</v>
      </c>
      <c r="P544">
        <v>0.95317569999999996</v>
      </c>
      <c r="Q544">
        <v>0.2878232</v>
      </c>
      <c r="R544">
        <v>9.2813099999999996E-2</v>
      </c>
      <c r="S544">
        <v>3.2444760000000001</v>
      </c>
      <c r="T544">
        <v>-0.25841069999999999</v>
      </c>
      <c r="U544">
        <v>-0.1977844</v>
      </c>
      <c r="V544">
        <v>-8.6239910000000003E-2</v>
      </c>
      <c r="W544">
        <v>0.294950299999999</v>
      </c>
      <c r="X544">
        <v>0.95161280000000004</v>
      </c>
      <c r="Y544">
        <v>6.7472749999999998E-2</v>
      </c>
      <c r="Z544">
        <v>-3.429287E-3</v>
      </c>
      <c r="AA544">
        <v>0.99771520000000002</v>
      </c>
      <c r="AB544">
        <v>37</v>
      </c>
      <c r="AC544">
        <v>0.68430000000000701</v>
      </c>
      <c r="AD544">
        <v>-7.0856999999999906E-2</v>
      </c>
      <c r="AE544">
        <v>-5.5800000000033302E-2</v>
      </c>
      <c r="AF544">
        <v>5.98760531145748E-2</v>
      </c>
      <c r="AG544">
        <v>-7.0856999999999906E-2</v>
      </c>
      <c r="AH544">
        <v>0.67669176093404804</v>
      </c>
      <c r="AI544">
        <v>95.954611872131494</v>
      </c>
      <c r="AJ544">
        <v>84.9434381456213</v>
      </c>
      <c r="AK544">
        <v>0.68302093342854597</v>
      </c>
      <c r="AL544">
        <v>72.845442149144503</v>
      </c>
      <c r="AM544">
        <v>95.178284704298093</v>
      </c>
      <c r="AN544">
        <v>0.99999996133536795</v>
      </c>
    </row>
    <row r="545" spans="1:40" x14ac:dyDescent="0.25">
      <c r="A545" t="str">
        <f>"20190304164345647"</f>
        <v>20190304164345647</v>
      </c>
      <c r="B545" t="str">
        <f>"1551689025640356"</f>
        <v>1551689025640356</v>
      </c>
      <c r="C545" t="s">
        <v>40</v>
      </c>
      <c r="D545">
        <v>4.6186489999999996</v>
      </c>
      <c r="E545">
        <v>0.57382109999999997</v>
      </c>
      <c r="F545" t="s">
        <v>41</v>
      </c>
      <c r="G545">
        <v>-377.2183</v>
      </c>
      <c r="H545">
        <v>1.0291300000000001</v>
      </c>
      <c r="I545">
        <v>367.15679999999998</v>
      </c>
      <c r="J545">
        <v>-378.04989999999998</v>
      </c>
      <c r="K545">
        <v>1.109545</v>
      </c>
      <c r="L545">
        <v>367.2201</v>
      </c>
      <c r="M545">
        <v>0.99994830000000001</v>
      </c>
      <c r="N545">
        <v>-7.48680099999999E-3</v>
      </c>
      <c r="O545">
        <v>6.8957569999999998E-3</v>
      </c>
      <c r="P545">
        <v>0.95326670000000002</v>
      </c>
      <c r="Q545">
        <v>0.28749789999999997</v>
      </c>
      <c r="R545">
        <v>9.2885869999999995E-2</v>
      </c>
      <c r="S545">
        <v>3.2446899999999999</v>
      </c>
      <c r="T545">
        <v>-0.25807239999999998</v>
      </c>
      <c r="U545">
        <v>-0.19903560000000001</v>
      </c>
      <c r="V545">
        <v>-8.6307289999999995E-2</v>
      </c>
      <c r="W545">
        <v>0.29463270000000003</v>
      </c>
      <c r="X545">
        <v>0.95170509999999997</v>
      </c>
      <c r="Y545">
        <v>6.7856899999999998E-2</v>
      </c>
      <c r="Z545">
        <v>-3.442096E-3</v>
      </c>
      <c r="AA545">
        <v>0.9976891</v>
      </c>
      <c r="AB545">
        <v>37</v>
      </c>
      <c r="AC545">
        <v>0.83159999999998002</v>
      </c>
      <c r="AD545">
        <v>-8.0415000000000098E-2</v>
      </c>
      <c r="AE545">
        <v>-6.3300000000026502E-2</v>
      </c>
      <c r="AF545">
        <v>6.8397286781391203E-2</v>
      </c>
      <c r="AG545">
        <v>-8.0415000000000098E-2</v>
      </c>
      <c r="AH545">
        <v>0.82348786458890899</v>
      </c>
      <c r="AI545">
        <v>95.558328546381802</v>
      </c>
      <c r="AJ545">
        <v>85.252023115548297</v>
      </c>
      <c r="AK545">
        <v>0.83022709193886102</v>
      </c>
      <c r="AL545">
        <v>72.864485997446707</v>
      </c>
      <c r="AM545">
        <v>95.181808658696795</v>
      </c>
      <c r="AN545">
        <v>0.99999998679122104</v>
      </c>
    </row>
    <row r="546" spans="1:40" x14ac:dyDescent="0.25">
      <c r="A546" t="str">
        <f>"20190304164345658"</f>
        <v>20190304164345658</v>
      </c>
      <c r="B546" t="str">
        <f>"1551689025650116"</f>
        <v>1551689025650116</v>
      </c>
      <c r="C546" t="s">
        <v>40</v>
      </c>
      <c r="D546">
        <v>4.6216439999999999</v>
      </c>
      <c r="E546">
        <v>0.57388209999999995</v>
      </c>
      <c r="F546" t="s">
        <v>41</v>
      </c>
      <c r="G546">
        <v>-377.21179999999998</v>
      </c>
      <c r="H546">
        <v>1.042543</v>
      </c>
      <c r="I546">
        <v>367.1687</v>
      </c>
      <c r="J546">
        <v>-377.86410000000001</v>
      </c>
      <c r="K546">
        <v>1.1095429999999999</v>
      </c>
      <c r="L546">
        <v>367.22140000000002</v>
      </c>
      <c r="M546">
        <v>0.99994799999999995</v>
      </c>
      <c r="N546">
        <v>-7.4940759999999997E-3</v>
      </c>
      <c r="O546">
        <v>6.9016299999999997E-3</v>
      </c>
      <c r="P546">
        <v>0.95320260000000001</v>
      </c>
      <c r="Q546">
        <v>0.28772759999999997</v>
      </c>
      <c r="R546">
        <v>9.2831609999999995E-2</v>
      </c>
      <c r="S546">
        <v>3.2446899999999999</v>
      </c>
      <c r="T546">
        <v>-0.25946269999999999</v>
      </c>
      <c r="U546">
        <v>-0.1986694</v>
      </c>
      <c r="V546">
        <v>-8.6247169999999998E-2</v>
      </c>
      <c r="W546">
        <v>0.29486869999999998</v>
      </c>
      <c r="X546">
        <v>0.95163739999999997</v>
      </c>
      <c r="Y546">
        <v>6.7748310000000006E-2</v>
      </c>
      <c r="Z546">
        <v>-3.4553890000000001E-3</v>
      </c>
      <c r="AA546">
        <v>0.99769649999999999</v>
      </c>
      <c r="AB546">
        <v>37</v>
      </c>
      <c r="AC546">
        <v>0.65230000000002497</v>
      </c>
      <c r="AD546">
        <v>-6.6999999999999907E-2</v>
      </c>
      <c r="AE546">
        <v>-5.27000000000157E-2</v>
      </c>
      <c r="AF546">
        <v>5.6607465719238602E-2</v>
      </c>
      <c r="AG546">
        <v>-6.6999999999999907E-2</v>
      </c>
      <c r="AH546">
        <v>0.64515841767344095</v>
      </c>
      <c r="AI546">
        <v>95.906409010894905</v>
      </c>
      <c r="AJ546">
        <v>84.985597594559493</v>
      </c>
      <c r="AK546">
        <v>0.65109353327310304</v>
      </c>
      <c r="AL546">
        <v>72.850334593849695</v>
      </c>
      <c r="AM546">
        <v>95.178585118613</v>
      </c>
      <c r="AN546">
        <v>0.99999993282572697</v>
      </c>
    </row>
    <row r="547" spans="1:40" x14ac:dyDescent="0.25">
      <c r="A547" t="str">
        <f>"20190304164345669"</f>
        <v>20190304164345669</v>
      </c>
      <c r="B547" t="str">
        <f>"1551689025660853"</f>
        <v>1551689025660853</v>
      </c>
      <c r="C547" t="s">
        <v>40</v>
      </c>
      <c r="D547">
        <v>4.644469</v>
      </c>
      <c r="E547">
        <v>0.57393700000000003</v>
      </c>
      <c r="F547" t="s">
        <v>41</v>
      </c>
      <c r="G547">
        <v>-376.88479999999998</v>
      </c>
      <c r="H547">
        <v>1.0314620000000001</v>
      </c>
      <c r="I547">
        <v>367.16090000000003</v>
      </c>
      <c r="J547">
        <v>-377.66359999999997</v>
      </c>
      <c r="K547">
        <v>1.1095440000000001</v>
      </c>
      <c r="L547">
        <v>367.22280000000001</v>
      </c>
      <c r="M547">
        <v>0.99994810000000001</v>
      </c>
      <c r="N547">
        <v>-7.5018619999999998E-3</v>
      </c>
      <c r="O547">
        <v>6.9074419999999997E-3</v>
      </c>
      <c r="P547">
        <v>0.95314750000000004</v>
      </c>
      <c r="Q547">
        <v>0.28795130000000002</v>
      </c>
      <c r="R547">
        <v>9.270486E-2</v>
      </c>
      <c r="S547">
        <v>3.2448730000000001</v>
      </c>
      <c r="T547">
        <v>-0.25888919999999999</v>
      </c>
      <c r="U547">
        <v>-0.199707</v>
      </c>
      <c r="V547">
        <v>-8.6115520000000001E-2</v>
      </c>
      <c r="W547">
        <v>0.29509930000000001</v>
      </c>
      <c r="X547">
        <v>0.95157789999999998</v>
      </c>
      <c r="Y547">
        <v>6.8068470000000006E-2</v>
      </c>
      <c r="Z547">
        <v>-3.462583E-3</v>
      </c>
      <c r="AA547">
        <v>0.99767459999999997</v>
      </c>
      <c r="AB547">
        <v>37</v>
      </c>
      <c r="AC547">
        <v>0.77879999999998895</v>
      </c>
      <c r="AD547">
        <v>-7.8081999999999901E-2</v>
      </c>
      <c r="AE547">
        <v>-6.1899999999979999E-2</v>
      </c>
      <c r="AF547">
        <v>6.6612805242076994E-2</v>
      </c>
      <c r="AG547">
        <v>-7.8081999999999901E-2</v>
      </c>
      <c r="AH547">
        <v>0.77065587865735496</v>
      </c>
      <c r="AI547">
        <v>95.764055286682904</v>
      </c>
      <c r="AJ547">
        <v>85.059831425875103</v>
      </c>
      <c r="AK547">
        <v>0.77746031915163305</v>
      </c>
      <c r="AL547">
        <v>72.836507889845905</v>
      </c>
      <c r="AM547">
        <v>95.171044829766899</v>
      </c>
      <c r="AN547">
        <v>0.99999998970688497</v>
      </c>
    </row>
    <row r="548" spans="1:40" x14ac:dyDescent="0.25">
      <c r="A548" t="str">
        <f>"20190304164345681"</f>
        <v>20190304164345681</v>
      </c>
      <c r="B548" t="str">
        <f>"1551689025670612"</f>
        <v>1551689025670612</v>
      </c>
      <c r="C548" t="s">
        <v>40</v>
      </c>
      <c r="D548">
        <v>4.6097530000000004</v>
      </c>
      <c r="E548">
        <v>0.57393700000000003</v>
      </c>
      <c r="F548" t="s">
        <v>41</v>
      </c>
      <c r="G548">
        <v>-376.87720000000002</v>
      </c>
      <c r="H548">
        <v>1.0470079999999999</v>
      </c>
      <c r="I548">
        <v>367.17410000000001</v>
      </c>
      <c r="J548">
        <v>-377.4828</v>
      </c>
      <c r="K548">
        <v>1.1095469999999901</v>
      </c>
      <c r="L548">
        <v>367.22410000000002</v>
      </c>
      <c r="M548">
        <v>0.99994799999999995</v>
      </c>
      <c r="N548">
        <v>-7.5088459999999996E-3</v>
      </c>
      <c r="O548">
        <v>6.9129589999999998E-3</v>
      </c>
      <c r="P548">
        <v>0.95312399999999997</v>
      </c>
      <c r="Q548">
        <v>0.28803179999999901</v>
      </c>
      <c r="R548">
        <v>9.2695120000000006E-2</v>
      </c>
      <c r="S548">
        <v>3.2449949999999999</v>
      </c>
      <c r="T548">
        <v>-0.2582874</v>
      </c>
      <c r="U548">
        <v>-0.1998596</v>
      </c>
      <c r="V548">
        <v>-8.6100389999999999E-2</v>
      </c>
      <c r="W548">
        <v>0.29518630000000001</v>
      </c>
      <c r="X548">
        <v>0.95155230000000002</v>
      </c>
      <c r="Y548">
        <v>6.8119349999999995E-2</v>
      </c>
      <c r="Z548">
        <v>-3.4577039999999998E-3</v>
      </c>
      <c r="AA548">
        <v>0.99767119999999998</v>
      </c>
      <c r="AB548">
        <v>37</v>
      </c>
      <c r="AC548">
        <v>0.60559999999998104</v>
      </c>
      <c r="AD548">
        <v>-6.25389999999999E-2</v>
      </c>
      <c r="AE548">
        <v>-5.0000000000011299E-2</v>
      </c>
      <c r="AF548">
        <v>5.36174920110555E-2</v>
      </c>
      <c r="AG548">
        <v>-6.25389999999999E-2</v>
      </c>
      <c r="AH548">
        <v>0.59889633472320503</v>
      </c>
      <c r="AI548">
        <v>95.9378561252107</v>
      </c>
      <c r="AJ548">
        <v>84.884110248798507</v>
      </c>
      <c r="AK548">
        <v>0.60453517822823599</v>
      </c>
      <c r="AL548">
        <v>72.8312910072802</v>
      </c>
      <c r="AM548">
        <v>95.170279571778806</v>
      </c>
      <c r="AN548">
        <v>1.0000000042505599</v>
      </c>
    </row>
    <row r="549" spans="1:40" x14ac:dyDescent="0.25">
      <c r="A549" t="str">
        <f>"20190304164345695"</f>
        <v>20190304164345695</v>
      </c>
      <c r="B549" t="str">
        <f>"1551689025680371"</f>
        <v>1551689025680371</v>
      </c>
      <c r="C549" t="s">
        <v>40</v>
      </c>
      <c r="D549">
        <v>4.6331769999999999</v>
      </c>
      <c r="E549">
        <v>0.57713369999999997</v>
      </c>
      <c r="F549" t="s">
        <v>41</v>
      </c>
      <c r="G549">
        <v>-376.5498</v>
      </c>
      <c r="H549">
        <v>1.0352809999999999</v>
      </c>
      <c r="I549">
        <v>367.16669999999999</v>
      </c>
      <c r="J549">
        <v>-377.27179999999998</v>
      </c>
      <c r="K549">
        <v>1.109548</v>
      </c>
      <c r="L549">
        <v>367.22550000000001</v>
      </c>
      <c r="M549">
        <v>0.99994769999999999</v>
      </c>
      <c r="N549">
        <v>-7.5169709999999999E-3</v>
      </c>
      <c r="O549">
        <v>6.9196630000000004E-3</v>
      </c>
      <c r="P549">
        <v>0.95312790000000003</v>
      </c>
      <c r="Q549">
        <v>0.28805180000000002</v>
      </c>
      <c r="R549">
        <v>9.259117E-2</v>
      </c>
      <c r="S549">
        <v>3.2449949999999999</v>
      </c>
      <c r="T549">
        <v>-0.25825920000000002</v>
      </c>
      <c r="U549">
        <v>-0.1996155</v>
      </c>
      <c r="V549">
        <v>-8.5990269999999994E-2</v>
      </c>
      <c r="W549">
        <v>0.29521360000000002</v>
      </c>
      <c r="X549">
        <v>0.95155380000000001</v>
      </c>
      <c r="Y549">
        <v>6.8051520000000004E-2</v>
      </c>
      <c r="Z549">
        <v>-3.4551120000000002E-3</v>
      </c>
      <c r="AA549">
        <v>0.9976758</v>
      </c>
      <c r="AB549">
        <v>37</v>
      </c>
      <c r="AC549">
        <v>0.72199999999997999</v>
      </c>
      <c r="AD549">
        <v>-7.4267E-2</v>
      </c>
      <c r="AE549">
        <v>-5.8800000000019198E-2</v>
      </c>
      <c r="AF549">
        <v>6.31311553627322E-2</v>
      </c>
      <c r="AG549">
        <v>-7.4267E-2</v>
      </c>
      <c r="AH549">
        <v>0.71407019314081099</v>
      </c>
      <c r="AI549">
        <v>95.914803132719499</v>
      </c>
      <c r="AJ549">
        <v>84.947599816426305</v>
      </c>
      <c r="AK549">
        <v>0.72069228579095301</v>
      </c>
      <c r="AL549">
        <v>72.829654068820602</v>
      </c>
      <c r="AM549">
        <v>95.1636946033599</v>
      </c>
      <c r="AN549">
        <v>1.0000000152270301</v>
      </c>
    </row>
    <row r="550" spans="1:40" x14ac:dyDescent="0.25">
      <c r="A550" t="str">
        <f>"20190304164345707"</f>
        <v>20190304164345707</v>
      </c>
      <c r="B550" t="str">
        <f>"1551689025700868"</f>
        <v>1551689025700868</v>
      </c>
      <c r="C550" t="s">
        <v>40</v>
      </c>
      <c r="D550">
        <v>4.6492719999999998</v>
      </c>
      <c r="E550">
        <v>0.57683300000000004</v>
      </c>
      <c r="F550" t="s">
        <v>41</v>
      </c>
      <c r="G550">
        <v>-376.22230000000002</v>
      </c>
      <c r="H550">
        <v>1.022197</v>
      </c>
      <c r="I550">
        <v>367.15300000000002</v>
      </c>
      <c r="J550">
        <v>-377.04329999999999</v>
      </c>
      <c r="K550">
        <v>1.109548</v>
      </c>
      <c r="L550">
        <v>367.22710000000001</v>
      </c>
      <c r="M550">
        <v>0.99994769999999999</v>
      </c>
      <c r="N550">
        <v>-7.5257500000000003E-3</v>
      </c>
      <c r="O550">
        <v>6.9265439999999998E-3</v>
      </c>
      <c r="P550">
        <v>0.95313230000000004</v>
      </c>
      <c r="Q550">
        <v>0.288022099999999</v>
      </c>
      <c r="R550">
        <v>9.2639860000000004E-2</v>
      </c>
      <c r="S550">
        <v>3.2510680000000001</v>
      </c>
      <c r="T550">
        <v>-0.2707849</v>
      </c>
      <c r="U550">
        <v>-0.22381590000000001</v>
      </c>
      <c r="V550">
        <v>-8.6032579999999997E-2</v>
      </c>
      <c r="W550">
        <v>0.29519269999999997</v>
      </c>
      <c r="X550">
        <v>0.95155639999999997</v>
      </c>
      <c r="Y550">
        <v>7.5287129999999994E-2</v>
      </c>
      <c r="Z550">
        <v>-3.9337319999999997E-3</v>
      </c>
      <c r="AA550">
        <v>0.99715410000000004</v>
      </c>
      <c r="AB550">
        <v>37</v>
      </c>
      <c r="AC550">
        <v>0.82099999999996898</v>
      </c>
      <c r="AD550">
        <v>-8.7350999999999901E-2</v>
      </c>
      <c r="AE550">
        <v>-7.4099999999987107E-2</v>
      </c>
      <c r="AF550">
        <v>7.8899148241887096E-2</v>
      </c>
      <c r="AG550">
        <v>-8.7350999999999901E-2</v>
      </c>
      <c r="AH550">
        <v>0.81135662608701198</v>
      </c>
      <c r="AI550">
        <v>96.116189905034403</v>
      </c>
      <c r="AJ550">
        <v>84.445821945511398</v>
      </c>
      <c r="AK550">
        <v>0.81985050313431895</v>
      </c>
      <c r="AL550">
        <v>72.830906404969298</v>
      </c>
      <c r="AM550">
        <v>95.166207523632394</v>
      </c>
      <c r="AN550">
        <v>0.99999995866785196</v>
      </c>
    </row>
    <row r="551" spans="1:40" x14ac:dyDescent="0.25">
      <c r="A551" t="str">
        <f>"20190304164345724"</f>
        <v>20190304164345724</v>
      </c>
      <c r="B551" t="str">
        <f>"1551689025710628"</f>
        <v>1551689025710628</v>
      </c>
      <c r="C551" t="s">
        <v>40</v>
      </c>
      <c r="D551">
        <v>4.6429140000000002</v>
      </c>
      <c r="E551">
        <v>0.57695600000000002</v>
      </c>
      <c r="F551" t="s">
        <v>41</v>
      </c>
      <c r="G551">
        <v>-376.21319999999997</v>
      </c>
      <c r="H551">
        <v>1.0411220000000001</v>
      </c>
      <c r="I551">
        <v>367.1703</v>
      </c>
      <c r="J551">
        <v>-376.77260000000001</v>
      </c>
      <c r="K551">
        <v>1.1095429999999999</v>
      </c>
      <c r="L551">
        <v>367.22899999999998</v>
      </c>
      <c r="M551">
        <v>0.99994769999999999</v>
      </c>
      <c r="N551">
        <v>-7.5361400000000002E-3</v>
      </c>
      <c r="O551">
        <v>6.9345519999999897E-3</v>
      </c>
      <c r="P551">
        <v>0.95310280000000003</v>
      </c>
      <c r="Q551">
        <v>0.28807359999999999</v>
      </c>
      <c r="R551">
        <v>9.2784699999999998E-2</v>
      </c>
      <c r="S551">
        <v>3.250092</v>
      </c>
      <c r="T551">
        <v>-0.2681885</v>
      </c>
      <c r="U551">
        <v>-0.2214661</v>
      </c>
      <c r="V551">
        <v>-8.616973E-2</v>
      </c>
      <c r="W551">
        <v>0.29525370000000001</v>
      </c>
      <c r="X551">
        <v>0.95152510000000001</v>
      </c>
      <c r="Y551">
        <v>7.4605900000000003E-2</v>
      </c>
      <c r="Z551">
        <v>-3.8698449999999998E-3</v>
      </c>
      <c r="AA551">
        <v>0.99720560000000003</v>
      </c>
      <c r="AB551">
        <v>37</v>
      </c>
      <c r="AC551">
        <v>0.55940000000003898</v>
      </c>
      <c r="AD551">
        <v>-6.8420999999999996E-2</v>
      </c>
      <c r="AE551">
        <v>-5.87000000000443E-2</v>
      </c>
      <c r="AF551">
        <v>6.1665414334263903E-2</v>
      </c>
      <c r="AG551">
        <v>-6.8420999999999996E-2</v>
      </c>
      <c r="AH551">
        <v>0.55082878480265596</v>
      </c>
      <c r="AI551">
        <v>97.037190740167901</v>
      </c>
      <c r="AJ551">
        <v>83.612320451688106</v>
      </c>
      <c r="AK551">
        <v>0.55847686320311196</v>
      </c>
      <c r="AL551">
        <v>72.827248919919199</v>
      </c>
      <c r="AM551">
        <v>95.174567916581694</v>
      </c>
      <c r="AN551">
        <v>0.99999999283098595</v>
      </c>
    </row>
    <row r="552" spans="1:40" x14ac:dyDescent="0.25">
      <c r="A552" t="str">
        <f>"20190304164345740"</f>
        <v>20190304164345740</v>
      </c>
      <c r="B552" t="str">
        <f>"1551689025730147"</f>
        <v>1551689025730147</v>
      </c>
      <c r="C552" t="s">
        <v>40</v>
      </c>
      <c r="D552">
        <v>4.6321659999999998</v>
      </c>
      <c r="E552">
        <v>0.57683399999999996</v>
      </c>
      <c r="F552" t="s">
        <v>41</v>
      </c>
      <c r="G552">
        <v>-375.8809</v>
      </c>
      <c r="H552">
        <v>1.0367949999999999</v>
      </c>
      <c r="I552">
        <v>367.16770000000002</v>
      </c>
      <c r="J552">
        <v>-376.50200000000001</v>
      </c>
      <c r="K552">
        <v>1.1095440000000001</v>
      </c>
      <c r="L552">
        <v>367.23090000000002</v>
      </c>
      <c r="M552">
        <v>0.99994740000000004</v>
      </c>
      <c r="N552">
        <v>-7.5475709999999899E-3</v>
      </c>
      <c r="O552">
        <v>6.9429119999999999E-3</v>
      </c>
      <c r="P552">
        <v>0.95313530000000002</v>
      </c>
      <c r="Q552">
        <v>0.28801339999999997</v>
      </c>
      <c r="R552">
        <v>9.2636590000000005E-2</v>
      </c>
      <c r="S552">
        <v>3.2494200000000002</v>
      </c>
      <c r="T552">
        <v>-0.26518439999999999</v>
      </c>
      <c r="U552">
        <v>-0.22299189999999999</v>
      </c>
      <c r="V552">
        <v>-8.6014119999999999E-2</v>
      </c>
      <c r="W552">
        <v>0.29520449999999998</v>
      </c>
      <c r="X552">
        <v>0.95155449999999997</v>
      </c>
      <c r="Y552">
        <v>7.5098699999999893E-2</v>
      </c>
      <c r="Z552">
        <v>-3.8527660000000001E-3</v>
      </c>
      <c r="AA552">
        <v>0.99716870000000002</v>
      </c>
      <c r="AB552">
        <v>37</v>
      </c>
      <c r="AC552">
        <v>0.62109999999995502</v>
      </c>
      <c r="AD552">
        <v>-7.2748999999999897E-2</v>
      </c>
      <c r="AE552">
        <v>-6.3199999999994802E-2</v>
      </c>
      <c r="AF552">
        <v>6.6606415296745103E-2</v>
      </c>
      <c r="AG552">
        <v>-7.2748999999999897E-2</v>
      </c>
      <c r="AH552">
        <v>0.61233157308049002</v>
      </c>
      <c r="AI552">
        <v>96.735990126145197</v>
      </c>
      <c r="AJ552">
        <v>83.792054448139794</v>
      </c>
      <c r="AK552">
        <v>0.62022478743670895</v>
      </c>
      <c r="AL552">
        <v>72.830200327268003</v>
      </c>
      <c r="AM552">
        <v>95.165115265242207</v>
      </c>
      <c r="AN552">
        <v>1.0000000460649301</v>
      </c>
    </row>
    <row r="553" spans="1:40" x14ac:dyDescent="0.25">
      <c r="A553" t="str">
        <f>"20190304164345758"</f>
        <v>20190304164345758</v>
      </c>
      <c r="B553" t="str">
        <f>"1551689025750644"</f>
        <v>1551689025750644</v>
      </c>
      <c r="C553" t="s">
        <v>40</v>
      </c>
      <c r="D553">
        <v>4.6513140000000002</v>
      </c>
      <c r="E553">
        <v>0.57680900000000002</v>
      </c>
      <c r="F553" t="s">
        <v>41</v>
      </c>
      <c r="G553">
        <v>-375.54840000000002</v>
      </c>
      <c r="H553">
        <v>1.031318</v>
      </c>
      <c r="I553">
        <v>367.1653</v>
      </c>
      <c r="J553">
        <v>-376.20060000000001</v>
      </c>
      <c r="K553">
        <v>1.109551</v>
      </c>
      <c r="L553">
        <v>367.233</v>
      </c>
      <c r="M553">
        <v>0.99994720000000004</v>
      </c>
      <c r="N553">
        <v>-7.5635110000000002E-3</v>
      </c>
      <c r="O553">
        <v>6.9520900000000002E-3</v>
      </c>
      <c r="P553">
        <v>0.95304520000000004</v>
      </c>
      <c r="Q553">
        <v>0.28826489999999999</v>
      </c>
      <c r="R553">
        <v>9.2780979999999999E-2</v>
      </c>
      <c r="S553">
        <v>3.2497560000000001</v>
      </c>
      <c r="T553">
        <v>-0.26673000000000002</v>
      </c>
      <c r="U553">
        <v>-0.2228088</v>
      </c>
      <c r="V553">
        <v>-8.6150089999999999E-2</v>
      </c>
      <c r="W553">
        <v>0.29547060000000003</v>
      </c>
      <c r="X553">
        <v>0.95145959999999996</v>
      </c>
      <c r="Y553">
        <v>7.504181E-2</v>
      </c>
      <c r="Z553">
        <v>-3.8720650000000001E-3</v>
      </c>
      <c r="AA553">
        <v>0.99717290000000003</v>
      </c>
      <c r="AB553">
        <v>37</v>
      </c>
      <c r="AC553">
        <v>0.65219999999999301</v>
      </c>
      <c r="AD553">
        <v>-7.8232999999999997E-2</v>
      </c>
      <c r="AE553">
        <v>-6.7700000000001995E-2</v>
      </c>
      <c r="AF553">
        <v>7.1218831706121394E-2</v>
      </c>
      <c r="AG553">
        <v>-7.8232999999999997E-2</v>
      </c>
      <c r="AH553">
        <v>0.64256649842093005</v>
      </c>
      <c r="AI553">
        <v>96.899804002265995</v>
      </c>
      <c r="AJ553">
        <v>83.6754381048938</v>
      </c>
      <c r="AK553">
        <v>0.65121749759317704</v>
      </c>
      <c r="AL553">
        <v>72.814241997763901</v>
      </c>
      <c r="AM553">
        <v>95.173749129900003</v>
      </c>
      <c r="AN553">
        <v>1.0000000419517601</v>
      </c>
    </row>
    <row r="554" spans="1:40" x14ac:dyDescent="0.25">
      <c r="A554" t="str">
        <f>"20190304164345769"</f>
        <v>20190304164345769</v>
      </c>
      <c r="B554" t="str">
        <f>"1551689025760404"</f>
        <v>1551689025760404</v>
      </c>
      <c r="C554" t="s">
        <v>40</v>
      </c>
      <c r="D554">
        <v>4.652164</v>
      </c>
      <c r="E554">
        <v>0.57672699999999999</v>
      </c>
      <c r="F554" t="s">
        <v>41</v>
      </c>
      <c r="G554">
        <v>-375.214</v>
      </c>
      <c r="H554">
        <v>1.0284059999999999</v>
      </c>
      <c r="I554">
        <v>367.16550000000001</v>
      </c>
      <c r="J554">
        <v>-376.00349999999997</v>
      </c>
      <c r="K554">
        <v>1.1095520000000001</v>
      </c>
      <c r="L554">
        <v>367.23439999999999</v>
      </c>
      <c r="M554">
        <v>0.99994700000000003</v>
      </c>
      <c r="N554">
        <v>-7.5767909999999898E-3</v>
      </c>
      <c r="O554">
        <v>6.9584159999999898E-3</v>
      </c>
      <c r="P554">
        <v>0.95302070000000005</v>
      </c>
      <c r="Q554">
        <v>0.2883329</v>
      </c>
      <c r="R554">
        <v>9.2820089999999994E-2</v>
      </c>
      <c r="S554">
        <v>3.2502749999999998</v>
      </c>
      <c r="T554">
        <v>-0.26720670000000002</v>
      </c>
      <c r="U554">
        <v>-0.22238160000000001</v>
      </c>
      <c r="V554">
        <v>-8.6182770000000006E-2</v>
      </c>
      <c r="W554">
        <v>0.29555130000000002</v>
      </c>
      <c r="X554">
        <v>0.95143160000000004</v>
      </c>
      <c r="Y554">
        <v>7.4906299999999995E-2</v>
      </c>
      <c r="Z554">
        <v>-3.872796E-3</v>
      </c>
      <c r="AA554">
        <v>0.99718309999999999</v>
      </c>
      <c r="AB554">
        <v>37</v>
      </c>
      <c r="AC554">
        <v>0.789499999999975</v>
      </c>
      <c r="AD554">
        <v>-8.1146000000000107E-2</v>
      </c>
      <c r="AE554">
        <v>-6.8899999999985001E-2</v>
      </c>
      <c r="AF554">
        <v>7.3620310155571397E-2</v>
      </c>
      <c r="AG554">
        <v>-8.1146000000000107E-2</v>
      </c>
      <c r="AH554">
        <v>0.78081522177309903</v>
      </c>
      <c r="AI554">
        <v>95.907136295325301</v>
      </c>
      <c r="AJ554">
        <v>84.613706872205</v>
      </c>
      <c r="AK554">
        <v>0.78846498586555902</v>
      </c>
      <c r="AL554">
        <v>72.809402485266602</v>
      </c>
      <c r="AM554">
        <v>95.175852562324593</v>
      </c>
      <c r="AN554">
        <v>1.00000006512755</v>
      </c>
    </row>
    <row r="555" spans="1:40" x14ac:dyDescent="0.25">
      <c r="A555" t="str">
        <f>"20190304164345790"</f>
        <v>20190304164345790</v>
      </c>
      <c r="B555" t="str">
        <f>"1551689025780899"</f>
        <v>1551689025780899</v>
      </c>
      <c r="C555" t="s">
        <v>40</v>
      </c>
      <c r="D555">
        <v>4.6435009999999997</v>
      </c>
      <c r="E555">
        <v>0.57662849999999999</v>
      </c>
      <c r="F555" t="s">
        <v>41</v>
      </c>
      <c r="G555">
        <v>-375.20659999999998</v>
      </c>
      <c r="H555">
        <v>1.0437419999999999</v>
      </c>
      <c r="I555">
        <v>367.18009999999998</v>
      </c>
      <c r="J555">
        <v>-375.65929999999997</v>
      </c>
      <c r="K555">
        <v>1.1095569999999999</v>
      </c>
      <c r="L555">
        <v>367.23680000000002</v>
      </c>
      <c r="M555">
        <v>0.99994700000000003</v>
      </c>
      <c r="N555">
        <v>-7.6035259999999898E-3</v>
      </c>
      <c r="O555">
        <v>6.9687439999999998E-3</v>
      </c>
      <c r="P555">
        <v>0.95289239999999997</v>
      </c>
      <c r="Q555">
        <v>0.28877399999999998</v>
      </c>
      <c r="R555">
        <v>9.2769859999999996E-2</v>
      </c>
      <c r="S555">
        <v>3.2506409999999999</v>
      </c>
      <c r="T555">
        <v>-0.26832139999999999</v>
      </c>
      <c r="U555">
        <v>-0.22164919999999999</v>
      </c>
      <c r="V555">
        <v>-8.6123969999999994E-2</v>
      </c>
      <c r="W555">
        <v>0.29601680000000002</v>
      </c>
      <c r="X555">
        <v>0.95129220000000003</v>
      </c>
      <c r="Y555">
        <v>7.4683739999999998E-2</v>
      </c>
      <c r="Z555">
        <v>-3.879136E-3</v>
      </c>
      <c r="AA555">
        <v>0.99719970000000002</v>
      </c>
      <c r="AB555">
        <v>37</v>
      </c>
      <c r="AC555">
        <v>0.452699999999993</v>
      </c>
      <c r="AD555">
        <v>-6.5814999999999901E-2</v>
      </c>
      <c r="AE555">
        <v>-5.6700000000034799E-2</v>
      </c>
      <c r="AF555">
        <v>5.8633314068063401E-2</v>
      </c>
      <c r="AG555">
        <v>-6.5814999999999901E-2</v>
      </c>
      <c r="AH555">
        <v>0.44307357613891402</v>
      </c>
      <c r="AI555">
        <v>98.377062953361801</v>
      </c>
      <c r="AJ555">
        <v>82.461670302067006</v>
      </c>
      <c r="AK555">
        <v>0.45175621037914898</v>
      </c>
      <c r="AL555">
        <v>72.781482026547195</v>
      </c>
      <c r="AM555">
        <v>95.173094219247901</v>
      </c>
      <c r="AN555">
        <v>1.00000006693581</v>
      </c>
    </row>
    <row r="556" spans="1:40" x14ac:dyDescent="0.25">
      <c r="A556" t="str">
        <f>"20190304164345802"</f>
        <v>20190304164345802</v>
      </c>
      <c r="B556" t="str">
        <f>"1551689025790660"</f>
        <v>1551689025790660</v>
      </c>
      <c r="C556" t="s">
        <v>40</v>
      </c>
      <c r="D556">
        <v>4.643256</v>
      </c>
      <c r="E556">
        <v>0.57661409999999902</v>
      </c>
      <c r="F556" t="s">
        <v>41</v>
      </c>
      <c r="G556">
        <v>-374.8698</v>
      </c>
      <c r="H556">
        <v>1.0443990000000001</v>
      </c>
      <c r="I556">
        <v>367.18290000000002</v>
      </c>
      <c r="J556">
        <v>-375.46129999999999</v>
      </c>
      <c r="K556">
        <v>1.109559</v>
      </c>
      <c r="L556">
        <v>367.23820000000001</v>
      </c>
      <c r="M556">
        <v>0.99994680000000002</v>
      </c>
      <c r="N556">
        <v>-7.6199500000000003E-3</v>
      </c>
      <c r="O556">
        <v>6.9745830000000003E-3</v>
      </c>
      <c r="P556">
        <v>0.95279150000000001</v>
      </c>
      <c r="Q556">
        <v>0.28911330000000002</v>
      </c>
      <c r="R556">
        <v>9.274773E-2</v>
      </c>
      <c r="S556">
        <v>3.2511899999999998</v>
      </c>
      <c r="T556">
        <v>-0.26851180000000002</v>
      </c>
      <c r="U556">
        <v>-0.22079470000000001</v>
      </c>
      <c r="V556">
        <v>-8.6096809999999996E-2</v>
      </c>
      <c r="W556">
        <v>0.29637059999999998</v>
      </c>
      <c r="X556">
        <v>0.95118440000000004</v>
      </c>
      <c r="Y556">
        <v>7.4417849999999994E-2</v>
      </c>
      <c r="Z556">
        <v>-3.870105E-3</v>
      </c>
      <c r="AA556">
        <v>0.99721959999999998</v>
      </c>
      <c r="AB556">
        <v>38</v>
      </c>
      <c r="AC556">
        <v>0.59149999999999603</v>
      </c>
      <c r="AD556">
        <v>-6.5159999999999801E-2</v>
      </c>
      <c r="AE556">
        <v>-5.5299999999988303E-2</v>
      </c>
      <c r="AF556">
        <v>5.8717851849970998E-2</v>
      </c>
      <c r="AG556">
        <v>-6.5159999999999801E-2</v>
      </c>
      <c r="AH556">
        <v>0.58407338210886295</v>
      </c>
      <c r="AI556">
        <v>96.334005465444505</v>
      </c>
      <c r="AJ556">
        <v>84.259249620193401</v>
      </c>
      <c r="AK556">
        <v>0.59062283008190697</v>
      </c>
      <c r="AL556">
        <v>72.760256852882904</v>
      </c>
      <c r="AM556">
        <v>95.172054599529105</v>
      </c>
      <c r="AN556">
        <v>0.999999978019947</v>
      </c>
    </row>
    <row r="557" spans="1:40" x14ac:dyDescent="0.25">
      <c r="A557" t="str">
        <f>"20190304164345815"</f>
        <v>20190304164345815</v>
      </c>
      <c r="B557" t="str">
        <f>"1551689025800420"</f>
        <v>1551689025800420</v>
      </c>
      <c r="C557" t="s">
        <v>40</v>
      </c>
      <c r="D557">
        <v>4.6576029999999999</v>
      </c>
      <c r="E557">
        <v>0.57657950000000002</v>
      </c>
      <c r="F557" t="s">
        <v>41</v>
      </c>
      <c r="G557">
        <v>-374.53809999999999</v>
      </c>
      <c r="H557">
        <v>1.033407</v>
      </c>
      <c r="I557">
        <v>367.17540000000002</v>
      </c>
      <c r="J557">
        <v>-375.25959999999998</v>
      </c>
      <c r="K557">
        <v>1.1095630000000001</v>
      </c>
      <c r="L557">
        <v>367.2396</v>
      </c>
      <c r="M557">
        <v>0.99994649999999996</v>
      </c>
      <c r="N557">
        <v>-7.6369189999999998E-3</v>
      </c>
      <c r="O557">
        <v>6.9805400000000004E-3</v>
      </c>
      <c r="P557">
        <v>0.95271530000000004</v>
      </c>
      <c r="Q557">
        <v>0.28936640000000002</v>
      </c>
      <c r="R557">
        <v>9.2739440000000006E-2</v>
      </c>
      <c r="S557">
        <v>3.2515260000000001</v>
      </c>
      <c r="T557">
        <v>-0.26827719999999999</v>
      </c>
      <c r="U557">
        <v>-0.22079470000000001</v>
      </c>
      <c r="V557">
        <v>-8.6083399999999893E-2</v>
      </c>
      <c r="W557">
        <v>0.29663929999999999</v>
      </c>
      <c r="X557">
        <v>0.95110189999999994</v>
      </c>
      <c r="Y557">
        <v>7.4417330000000004E-2</v>
      </c>
      <c r="Z557">
        <v>-3.867498E-3</v>
      </c>
      <c r="AA557">
        <v>0.99721970000000004</v>
      </c>
      <c r="AB557">
        <v>38</v>
      </c>
      <c r="AC557">
        <v>0.72149999999999104</v>
      </c>
      <c r="AD557">
        <v>-7.6155999999999793E-2</v>
      </c>
      <c r="AE557">
        <v>-6.41999999999711E-2</v>
      </c>
      <c r="AF557">
        <v>6.84781007302869E-2</v>
      </c>
      <c r="AG557">
        <v>-7.6155999999999793E-2</v>
      </c>
      <c r="AH557">
        <v>0.71315124483889503</v>
      </c>
      <c r="AI557">
        <v>96.067703234509494</v>
      </c>
      <c r="AJ557">
        <v>84.515169167472905</v>
      </c>
      <c r="AK557">
        <v>0.72046768465413602</v>
      </c>
      <c r="AL557">
        <v>72.744137406801897</v>
      </c>
      <c r="AM557">
        <v>95.171699524611697</v>
      </c>
      <c r="AN557">
        <v>1.00000002512182</v>
      </c>
    </row>
    <row r="558" spans="1:40" x14ac:dyDescent="0.25">
      <c r="A558" t="str">
        <f>"20190304164345828"</f>
        <v>20190304164345828</v>
      </c>
      <c r="B558" t="str">
        <f>"1551689025820915"</f>
        <v>1551689025820915</v>
      </c>
      <c r="C558" t="s">
        <v>40</v>
      </c>
      <c r="D558">
        <v>4.6672260000000003</v>
      </c>
      <c r="E558">
        <v>0.57646370000000002</v>
      </c>
      <c r="F558" t="s">
        <v>41</v>
      </c>
      <c r="G558">
        <v>-374.20549999999997</v>
      </c>
      <c r="H558">
        <v>1.0226249999999999</v>
      </c>
      <c r="I558">
        <v>367.1678</v>
      </c>
      <c r="J558">
        <v>-375.00380000000001</v>
      </c>
      <c r="K558">
        <v>1.109564</v>
      </c>
      <c r="L558">
        <v>367.2414</v>
      </c>
      <c r="M558">
        <v>0.99994629999999995</v>
      </c>
      <c r="N558">
        <v>-7.6582100000000004E-3</v>
      </c>
      <c r="O558">
        <v>6.9882059999999899E-3</v>
      </c>
      <c r="P558">
        <v>0.95269890000000002</v>
      </c>
      <c r="Q558">
        <v>0.2893771</v>
      </c>
      <c r="R558">
        <v>9.2874689999999996E-2</v>
      </c>
      <c r="S558">
        <v>3.251862</v>
      </c>
      <c r="T558">
        <v>-0.26835639999999999</v>
      </c>
      <c r="U558">
        <v>-0.22055050000000001</v>
      </c>
      <c r="V558">
        <v>-8.621181E-2</v>
      </c>
      <c r="W558">
        <v>0.2966703</v>
      </c>
      <c r="X558">
        <v>0.95108060000000005</v>
      </c>
      <c r="Y558">
        <v>7.4343580000000006E-2</v>
      </c>
      <c r="Z558">
        <v>-3.8661059999999998E-3</v>
      </c>
      <c r="AA558">
        <v>0.99722520000000003</v>
      </c>
      <c r="AB558">
        <v>38</v>
      </c>
      <c r="AC558">
        <v>0.79830000000003998</v>
      </c>
      <c r="AD558">
        <v>-8.69390000000001E-2</v>
      </c>
      <c r="AE558">
        <v>-7.3599999999999E-2</v>
      </c>
      <c r="AF558">
        <v>7.8256722731058798E-2</v>
      </c>
      <c r="AG558">
        <v>-8.69390000000001E-2</v>
      </c>
      <c r="AH558">
        <v>0.78849318542690205</v>
      </c>
      <c r="AI558">
        <v>96.261481425273601</v>
      </c>
      <c r="AJ558">
        <v>84.332044597834198</v>
      </c>
      <c r="AK558">
        <v>0.79712232928093896</v>
      </c>
      <c r="AL558">
        <v>72.742277519001703</v>
      </c>
      <c r="AM558">
        <v>95.179487548823403</v>
      </c>
      <c r="AN558">
        <v>1.00000002539096</v>
      </c>
    </row>
    <row r="559" spans="1:40" x14ac:dyDescent="0.25">
      <c r="A559" t="str">
        <f>"20190304164345840"</f>
        <v>20190304164345840</v>
      </c>
      <c r="B559" t="str">
        <f>"1551689025830676"</f>
        <v>1551689025830676</v>
      </c>
      <c r="C559" t="s">
        <v>40</v>
      </c>
      <c r="D559">
        <v>4.6629740000000002</v>
      </c>
      <c r="E559">
        <v>0.57645049999999998</v>
      </c>
      <c r="F559" t="s">
        <v>41</v>
      </c>
      <c r="G559">
        <v>-374.19600000000003</v>
      </c>
      <c r="H559">
        <v>1.042424</v>
      </c>
      <c r="I559">
        <v>367.18669999999997</v>
      </c>
      <c r="J559">
        <v>-374.80939999999998</v>
      </c>
      <c r="K559">
        <v>1.1095649999999999</v>
      </c>
      <c r="L559">
        <v>367.24270000000001</v>
      </c>
      <c r="M559">
        <v>0.99994609999999995</v>
      </c>
      <c r="N559">
        <v>-7.6741129999999998E-3</v>
      </c>
      <c r="O559">
        <v>6.9941650000000001E-3</v>
      </c>
      <c r="P559">
        <v>0.95270900000000003</v>
      </c>
      <c r="Q559">
        <v>0.28934870000000001</v>
      </c>
      <c r="R559">
        <v>9.2859419999999998E-2</v>
      </c>
      <c r="S559">
        <v>3.2525019999999998</v>
      </c>
      <c r="T559">
        <v>-0.27048369999999999</v>
      </c>
      <c r="U559">
        <v>-0.21902469999999999</v>
      </c>
      <c r="V559">
        <v>-8.6190849999999999E-2</v>
      </c>
      <c r="W559">
        <v>0.29665710000000001</v>
      </c>
      <c r="X559">
        <v>0.9510866</v>
      </c>
      <c r="Y559">
        <v>7.3867840000000004E-2</v>
      </c>
      <c r="Z559">
        <v>-3.8735309999999999E-3</v>
      </c>
      <c r="AA559">
        <v>0.99726049999999999</v>
      </c>
      <c r="AB559">
        <v>38</v>
      </c>
      <c r="AC559">
        <v>0.61340000000001205</v>
      </c>
      <c r="AD559">
        <v>-6.7140999999999895E-2</v>
      </c>
      <c r="AE559">
        <v>-5.6000000000039997E-2</v>
      </c>
      <c r="AF559">
        <v>5.9581045401810397E-2</v>
      </c>
      <c r="AG559">
        <v>-6.7140999999999895E-2</v>
      </c>
      <c r="AH559">
        <v>0.60579535297318698</v>
      </c>
      <c r="AI559">
        <v>96.294223215816999</v>
      </c>
      <c r="AJ559">
        <v>84.382923630398693</v>
      </c>
      <c r="AK559">
        <v>0.61240985012986204</v>
      </c>
      <c r="AL559">
        <v>72.743069186528103</v>
      </c>
      <c r="AM559">
        <v>95.178202657723503</v>
      </c>
      <c r="AN559">
        <v>1.00000000915184</v>
      </c>
    </row>
    <row r="560" spans="1:40" x14ac:dyDescent="0.25">
      <c r="A560" t="str">
        <f>"20190304164345854"</f>
        <v>20190304164345854</v>
      </c>
      <c r="B560" t="str">
        <f>"1551689025840436"</f>
        <v>1551689025840436</v>
      </c>
      <c r="C560" t="s">
        <v>40</v>
      </c>
      <c r="D560">
        <v>4.6909789999999996</v>
      </c>
      <c r="E560">
        <v>0.57649539999999999</v>
      </c>
      <c r="F560" t="s">
        <v>41</v>
      </c>
      <c r="G560">
        <v>-373.86329999999998</v>
      </c>
      <c r="H560">
        <v>1.0308379999999999</v>
      </c>
      <c r="I560">
        <v>367.1789</v>
      </c>
      <c r="J560">
        <v>-374.58769999999998</v>
      </c>
      <c r="K560">
        <v>1.1095600000000001</v>
      </c>
      <c r="L560">
        <v>367.24430000000001</v>
      </c>
      <c r="M560">
        <v>0.99994609999999995</v>
      </c>
      <c r="N560">
        <v>-7.6920309999999898E-3</v>
      </c>
      <c r="O560">
        <v>7.0008290000000001E-3</v>
      </c>
      <c r="P560">
        <v>0.95269190000000004</v>
      </c>
      <c r="Q560">
        <v>0.28932790000000003</v>
      </c>
      <c r="R560">
        <v>9.3102050000000006E-2</v>
      </c>
      <c r="S560">
        <v>3.2525019999999998</v>
      </c>
      <c r="T560">
        <v>-0.27069019999999999</v>
      </c>
      <c r="U560">
        <v>-0.21932979999999999</v>
      </c>
      <c r="V560">
        <v>-8.6426790000000003E-2</v>
      </c>
      <c r="W560">
        <v>0.296653</v>
      </c>
      <c r="X560">
        <v>0.95106650000000004</v>
      </c>
      <c r="Y560">
        <v>7.3966760000000006E-2</v>
      </c>
      <c r="Z560">
        <v>-3.8818199999999998E-3</v>
      </c>
      <c r="AA560">
        <v>0.99725319999999995</v>
      </c>
      <c r="AB560">
        <v>38</v>
      </c>
      <c r="AC560">
        <v>0.72440000000000204</v>
      </c>
      <c r="AD560">
        <v>-7.8722000000000097E-2</v>
      </c>
      <c r="AE560">
        <v>-6.5400000000010894E-2</v>
      </c>
      <c r="AF560">
        <v>6.9654010983357995E-2</v>
      </c>
      <c r="AG560">
        <v>-7.8722000000000097E-2</v>
      </c>
      <c r="AH560">
        <v>0.715542425355013</v>
      </c>
      <c r="AI560">
        <v>96.248971987927405</v>
      </c>
      <c r="AJ560">
        <v>84.440097267523299</v>
      </c>
      <c r="AK560">
        <v>0.72322181729605195</v>
      </c>
      <c r="AL560">
        <v>72.743315720148999</v>
      </c>
      <c r="AM560">
        <v>95.192409299838602</v>
      </c>
      <c r="AN560">
        <v>1.00000003993047</v>
      </c>
    </row>
    <row r="561" spans="1:40" x14ac:dyDescent="0.25">
      <c r="A561" t="str">
        <f>"20190304164345869"</f>
        <v>20190304164345869</v>
      </c>
      <c r="B561" t="str">
        <f>"1551689025860932"</f>
        <v>1551689025860932</v>
      </c>
      <c r="C561" t="s">
        <v>40</v>
      </c>
      <c r="D561">
        <v>4.6733900000000004</v>
      </c>
      <c r="E561">
        <v>0.57658909999999997</v>
      </c>
      <c r="F561" t="s">
        <v>41</v>
      </c>
      <c r="G561">
        <v>-373.85399999999998</v>
      </c>
      <c r="H561">
        <v>1.0485329999999999</v>
      </c>
      <c r="I561">
        <v>367.19470000000001</v>
      </c>
      <c r="J561">
        <v>-374.32429999999999</v>
      </c>
      <c r="K561">
        <v>1.109564</v>
      </c>
      <c r="L561">
        <v>367.24619999999999</v>
      </c>
      <c r="M561">
        <v>0.9999458</v>
      </c>
      <c r="N561">
        <v>-7.7126310000000002E-3</v>
      </c>
      <c r="O561">
        <v>7.0074789999999996E-3</v>
      </c>
      <c r="P561">
        <v>0.95258229999999999</v>
      </c>
      <c r="Q561">
        <v>0.28955940000000002</v>
      </c>
      <c r="R561">
        <v>9.3501089999999995E-2</v>
      </c>
      <c r="S561">
        <v>3.2526250000000001</v>
      </c>
      <c r="T561">
        <v>-0.27059260000000002</v>
      </c>
      <c r="U561">
        <v>-0.219696</v>
      </c>
      <c r="V561">
        <v>-8.6820140000000004E-2</v>
      </c>
      <c r="W561">
        <v>0.2969038</v>
      </c>
      <c r="X561">
        <v>0.95095240000000003</v>
      </c>
      <c r="Y561">
        <v>7.4082389999999998E-2</v>
      </c>
      <c r="Z561">
        <v>-3.8867229999999999E-3</v>
      </c>
      <c r="AA561">
        <v>0.99724449999999998</v>
      </c>
      <c r="AB561">
        <v>38</v>
      </c>
      <c r="AC561">
        <v>0.47029999999995198</v>
      </c>
      <c r="AD561">
        <v>-6.1031000000000002E-2</v>
      </c>
      <c r="AE561">
        <v>-5.1499999999975898E-2</v>
      </c>
      <c r="AF561">
        <v>5.3897552043619699E-2</v>
      </c>
      <c r="AG561">
        <v>-6.1031000000000002E-2</v>
      </c>
      <c r="AH561">
        <v>0.46223558540839499</v>
      </c>
      <c r="AI561">
        <v>97.471465829999502</v>
      </c>
      <c r="AJ561">
        <v>83.349235452419805</v>
      </c>
      <c r="AK561">
        <v>0.46935217640396298</v>
      </c>
      <c r="AL561">
        <v>72.728267898399395</v>
      </c>
      <c r="AM561">
        <v>95.216533580320402</v>
      </c>
      <c r="AN561">
        <v>1.0000000351149001</v>
      </c>
    </row>
    <row r="562" spans="1:40" x14ac:dyDescent="0.25">
      <c r="A562" t="str">
        <f>"20190304164345881"</f>
        <v>20190304164345881</v>
      </c>
      <c r="B562" t="str">
        <f>"1551689025870692"</f>
        <v>1551689025870692</v>
      </c>
      <c r="C562" t="s">
        <v>40</v>
      </c>
      <c r="D562">
        <v>4.7116170000000004</v>
      </c>
      <c r="E562">
        <v>0.57660480000000003</v>
      </c>
      <c r="F562" t="s">
        <v>41</v>
      </c>
      <c r="G562">
        <v>-373.51850000000002</v>
      </c>
      <c r="H562">
        <v>1.042619</v>
      </c>
      <c r="I562">
        <v>367.19150000000002</v>
      </c>
      <c r="J562">
        <v>-374.12650000000002</v>
      </c>
      <c r="K562">
        <v>1.1095649999999999</v>
      </c>
      <c r="L562">
        <v>367.2475</v>
      </c>
      <c r="M562">
        <v>0.99994559999999999</v>
      </c>
      <c r="N562">
        <v>-7.7277419999999897E-3</v>
      </c>
      <c r="O562">
        <v>7.0117640000000002E-3</v>
      </c>
      <c r="P562">
        <v>0.95251470000000005</v>
      </c>
      <c r="Q562">
        <v>0.28970630000000003</v>
      </c>
      <c r="R562">
        <v>9.373476E-2</v>
      </c>
      <c r="S562">
        <v>3.2531129999999999</v>
      </c>
      <c r="T562">
        <v>-0.27040579999999997</v>
      </c>
      <c r="U562">
        <v>-0.2198792</v>
      </c>
      <c r="V562">
        <v>-8.7049559999999998E-2</v>
      </c>
      <c r="W562">
        <v>0.29706460000000001</v>
      </c>
      <c r="X562">
        <v>0.95088119999999998</v>
      </c>
      <c r="Y562">
        <v>7.4132719999999999E-2</v>
      </c>
      <c r="Z562">
        <v>-3.8867160000000001E-3</v>
      </c>
      <c r="AA562">
        <v>0.99724080000000004</v>
      </c>
      <c r="AB562">
        <v>38</v>
      </c>
      <c r="AC562">
        <v>0.60800000000000398</v>
      </c>
      <c r="AD562">
        <v>-6.6945999999999894E-2</v>
      </c>
      <c r="AE562">
        <v>-5.5999999999983098E-2</v>
      </c>
      <c r="AF562">
        <v>5.9546045890145297E-2</v>
      </c>
      <c r="AG562">
        <v>-6.6945999999999894E-2</v>
      </c>
      <c r="AH562">
        <v>0.60037473313818102</v>
      </c>
      <c r="AI562">
        <v>96.3317858947307</v>
      </c>
      <c r="AJ562">
        <v>84.335844844956497</v>
      </c>
      <c r="AK562">
        <v>0.60702332631282996</v>
      </c>
      <c r="AL562">
        <v>72.718619320953906</v>
      </c>
      <c r="AM562">
        <v>95.230631244391802</v>
      </c>
      <c r="AN562">
        <v>1.00000002949139</v>
      </c>
    </row>
    <row r="563" spans="1:40" x14ac:dyDescent="0.25">
      <c r="A563" t="str">
        <f>"20190304164345894"</f>
        <v>20190304164345894</v>
      </c>
      <c r="B563" t="str">
        <f>"1551689025880452"</f>
        <v>1551689025880452</v>
      </c>
      <c r="C563" t="s">
        <v>40</v>
      </c>
      <c r="D563">
        <v>4.7141460000000004</v>
      </c>
      <c r="E563">
        <v>0.57661680000000004</v>
      </c>
      <c r="F563" t="s">
        <v>41</v>
      </c>
      <c r="G563">
        <v>-373.18439999999998</v>
      </c>
      <c r="H563">
        <v>1.0312539999999999</v>
      </c>
      <c r="I563">
        <v>367.18400000000003</v>
      </c>
      <c r="J563">
        <v>-373.90429999999998</v>
      </c>
      <c r="K563">
        <v>1.1095649999999999</v>
      </c>
      <c r="L563">
        <v>367.2491</v>
      </c>
      <c r="M563">
        <v>0.99994550000000004</v>
      </c>
      <c r="N563">
        <v>-7.7444289999999997E-3</v>
      </c>
      <c r="O563">
        <v>7.0158629999999998E-3</v>
      </c>
      <c r="P563">
        <v>0.9524532</v>
      </c>
      <c r="Q563">
        <v>0.28982340000000001</v>
      </c>
      <c r="R563">
        <v>9.3998300000000007E-2</v>
      </c>
      <c r="S563">
        <v>3.2533569999999998</v>
      </c>
      <c r="T563">
        <v>-0.270401</v>
      </c>
      <c r="U563">
        <v>-0.21948239999999999</v>
      </c>
      <c r="V563">
        <v>-8.7309230000000002E-2</v>
      </c>
      <c r="W563">
        <v>0.29719709999999899</v>
      </c>
      <c r="X563">
        <v>0.95081599999999999</v>
      </c>
      <c r="Y563">
        <v>7.4011149999999998E-2</v>
      </c>
      <c r="Z563">
        <v>-3.8816950000000001E-3</v>
      </c>
      <c r="AA563">
        <v>0.99724979999999996</v>
      </c>
      <c r="AB563">
        <v>38</v>
      </c>
      <c r="AC563">
        <v>0.71989999999999499</v>
      </c>
      <c r="AD563">
        <v>-7.8310999999999797E-2</v>
      </c>
      <c r="AE563">
        <v>-6.5099999999972596E-2</v>
      </c>
      <c r="AF563">
        <v>6.9335464756484999E-2</v>
      </c>
      <c r="AG563">
        <v>-7.8310999999999797E-2</v>
      </c>
      <c r="AH563">
        <v>0.71107945855735799</v>
      </c>
      <c r="AI563">
        <v>96.255214276602302</v>
      </c>
      <c r="AJ563">
        <v>84.430846473274798</v>
      </c>
      <c r="AK563">
        <v>0.71873083680625705</v>
      </c>
      <c r="AL563">
        <v>72.710668768639806</v>
      </c>
      <c r="AM563">
        <v>95.2465050890805</v>
      </c>
      <c r="AN563">
        <v>1.0000000418738</v>
      </c>
    </row>
    <row r="564" spans="1:40" x14ac:dyDescent="0.25">
      <c r="A564" t="str">
        <f>"20190304164345906"</f>
        <v>20190304164345906</v>
      </c>
      <c r="B564" t="str">
        <f>"1551689025900948"</f>
        <v>1551689025900948</v>
      </c>
      <c r="C564" t="s">
        <v>40</v>
      </c>
      <c r="D564">
        <v>4.699128</v>
      </c>
      <c r="E564">
        <v>0.57662609999999903</v>
      </c>
      <c r="F564" t="s">
        <v>41</v>
      </c>
      <c r="G564">
        <v>-372.84859999999998</v>
      </c>
      <c r="H564">
        <v>1.0218210000000001</v>
      </c>
      <c r="I564">
        <v>367.1782</v>
      </c>
      <c r="J564">
        <v>-373.67770000000002</v>
      </c>
      <c r="K564">
        <v>1.109567</v>
      </c>
      <c r="L564">
        <v>367.25069999999999</v>
      </c>
      <c r="M564">
        <v>0.99994530000000004</v>
      </c>
      <c r="N564">
        <v>-7.7607219999999899E-3</v>
      </c>
      <c r="O564">
        <v>7.019483E-3</v>
      </c>
      <c r="P564">
        <v>0.95235389999999998</v>
      </c>
      <c r="Q564">
        <v>0.29017340000000003</v>
      </c>
      <c r="R564">
        <v>9.3923099999999995E-2</v>
      </c>
      <c r="S564">
        <v>3.2536320000000001</v>
      </c>
      <c r="T564">
        <v>-0.27050760000000001</v>
      </c>
      <c r="U564">
        <v>-0.21801760000000001</v>
      </c>
      <c r="V564">
        <v>-8.7230360000000007E-2</v>
      </c>
      <c r="W564">
        <v>0.2975622</v>
      </c>
      <c r="X564">
        <v>0.95070900000000003</v>
      </c>
      <c r="Y564">
        <v>7.3563589999999998E-2</v>
      </c>
      <c r="Z564">
        <v>-3.8633399999999998E-3</v>
      </c>
      <c r="AA564">
        <v>0.99728300000000003</v>
      </c>
      <c r="AB564">
        <v>38</v>
      </c>
      <c r="AC564">
        <v>0.82910000000003903</v>
      </c>
      <c r="AD564">
        <v>-8.7746000000000102E-2</v>
      </c>
      <c r="AE564">
        <v>-7.2499999999990905E-2</v>
      </c>
      <c r="AF564">
        <v>7.74572586921463E-2</v>
      </c>
      <c r="AG564">
        <v>-8.7746000000000102E-2</v>
      </c>
      <c r="AH564">
        <v>0.81946184039705505</v>
      </c>
      <c r="AI564">
        <v>96.084889288140502</v>
      </c>
      <c r="AJ564">
        <v>84.600325140883001</v>
      </c>
      <c r="AK564">
        <v>0.82777816793331205</v>
      </c>
      <c r="AL564">
        <v>72.688758124470695</v>
      </c>
      <c r="AM564">
        <v>95.242378783175198</v>
      </c>
      <c r="AN564">
        <v>1.0000000006277801</v>
      </c>
    </row>
    <row r="565" spans="1:40" x14ac:dyDescent="0.25">
      <c r="A565" t="str">
        <f>"20190304164345925"</f>
        <v>20190304164345925</v>
      </c>
      <c r="B565" t="str">
        <f>"1551689025920468"</f>
        <v>1551689025920468</v>
      </c>
      <c r="C565" t="s">
        <v>40</v>
      </c>
      <c r="D565">
        <v>4.7206910000000004</v>
      </c>
      <c r="E565">
        <v>0.57662060000000004</v>
      </c>
      <c r="F565" t="s">
        <v>41</v>
      </c>
      <c r="G565">
        <v>-372.8399</v>
      </c>
      <c r="H565">
        <v>1.039884</v>
      </c>
      <c r="I565">
        <v>367.19439999999997</v>
      </c>
      <c r="J565">
        <v>-373.37529999999998</v>
      </c>
      <c r="K565">
        <v>1.1095729999999999</v>
      </c>
      <c r="L565">
        <v>367.25279999999998</v>
      </c>
      <c r="M565">
        <v>0.99994499999999997</v>
      </c>
      <c r="N565">
        <v>-7.78182599999999E-3</v>
      </c>
      <c r="O565">
        <v>7.0234390000000002E-3</v>
      </c>
      <c r="P565">
        <v>0.95213159999999997</v>
      </c>
      <c r="Q565">
        <v>0.29074840000000002</v>
      </c>
      <c r="R565">
        <v>9.439641E-2</v>
      </c>
      <c r="S565">
        <v>3.254089</v>
      </c>
      <c r="T565">
        <v>-0.27078570000000002</v>
      </c>
      <c r="U565">
        <v>-0.21813959999999999</v>
      </c>
      <c r="V565">
        <v>-8.7699760000000002E-2</v>
      </c>
      <c r="W565">
        <v>0.29815580000000003</v>
      </c>
      <c r="X565">
        <v>0.95047979999999999</v>
      </c>
      <c r="Y565">
        <v>7.3594729999999997E-2</v>
      </c>
      <c r="Z565">
        <v>-3.8688910000000002E-3</v>
      </c>
      <c r="AA565">
        <v>0.99728070000000002</v>
      </c>
      <c r="AB565">
        <v>38</v>
      </c>
      <c r="AC565">
        <v>0.535399999999981</v>
      </c>
      <c r="AD565">
        <v>-6.9688999999999807E-2</v>
      </c>
      <c r="AE565">
        <v>-5.8400000000005899E-2</v>
      </c>
      <c r="AF565">
        <v>6.1135428150981802E-2</v>
      </c>
      <c r="AG565">
        <v>-6.9688999999999807E-2</v>
      </c>
      <c r="AH565">
        <v>0.52616696298257803</v>
      </c>
      <c r="AI565">
        <v>97.494873801169206</v>
      </c>
      <c r="AJ565">
        <v>83.372511144961507</v>
      </c>
      <c r="AK565">
        <v>0.53427125154785704</v>
      </c>
      <c r="AL565">
        <v>72.653129995354305</v>
      </c>
      <c r="AM565">
        <v>95.271694147515404</v>
      </c>
      <c r="AN565">
        <v>0.99999998959286795</v>
      </c>
    </row>
    <row r="566" spans="1:40" x14ac:dyDescent="0.25">
      <c r="A566" t="str">
        <f>"20190304164345939"</f>
        <v>20190304164345939</v>
      </c>
      <c r="B566" t="str">
        <f>"1551689025930229"</f>
        <v>1551689025930229</v>
      </c>
      <c r="C566" t="s">
        <v>40</v>
      </c>
      <c r="D566">
        <v>4.7210570000000001</v>
      </c>
      <c r="E566">
        <v>0.57665230000000001</v>
      </c>
      <c r="F566" t="s">
        <v>41</v>
      </c>
      <c r="G566">
        <v>-372.50029999999998</v>
      </c>
      <c r="H566">
        <v>1.037091</v>
      </c>
      <c r="I566">
        <v>367.19459999999998</v>
      </c>
      <c r="J566">
        <v>-373.13080000000002</v>
      </c>
      <c r="K566">
        <v>1.1095759999999999</v>
      </c>
      <c r="L566">
        <v>367.25450000000001</v>
      </c>
      <c r="M566">
        <v>0.99994499999999997</v>
      </c>
      <c r="N566">
        <v>-7.7982540000000001E-3</v>
      </c>
      <c r="O566">
        <v>7.0256889999999999E-3</v>
      </c>
      <c r="P566">
        <v>0.95192239999999995</v>
      </c>
      <c r="Q566">
        <v>0.29137639999999998</v>
      </c>
      <c r="R566">
        <v>9.4570870000000001E-2</v>
      </c>
      <c r="S566">
        <v>3.254578</v>
      </c>
      <c r="T566">
        <v>-0.26962589999999997</v>
      </c>
      <c r="U566">
        <v>-0.2160339</v>
      </c>
      <c r="V566">
        <v>-8.7872519999999996E-2</v>
      </c>
      <c r="W566">
        <v>0.29879840000000002</v>
      </c>
      <c r="X566">
        <v>0.9502621</v>
      </c>
      <c r="Y566">
        <v>7.2949490000000006E-2</v>
      </c>
      <c r="Z566">
        <v>-3.8243779999999998E-3</v>
      </c>
      <c r="AA566">
        <v>0.99732829999999995</v>
      </c>
      <c r="AB566">
        <v>38</v>
      </c>
      <c r="AC566">
        <v>0.63050000000004003</v>
      </c>
      <c r="AD566">
        <v>-7.2485000000000105E-2</v>
      </c>
      <c r="AE566">
        <v>-5.9900000000027299E-2</v>
      </c>
      <c r="AF566">
        <v>6.3496637679654494E-2</v>
      </c>
      <c r="AG566">
        <v>-7.2485000000000105E-2</v>
      </c>
      <c r="AH566">
        <v>0.621917359027784</v>
      </c>
      <c r="AI566">
        <v>96.613803597340805</v>
      </c>
      <c r="AJ566">
        <v>84.170404504788905</v>
      </c>
      <c r="AK566">
        <v>0.629338620840732</v>
      </c>
      <c r="AL566">
        <v>72.614554559425201</v>
      </c>
      <c r="AM566">
        <v>95.283223427421703</v>
      </c>
      <c r="AN566">
        <v>1.0000000611550499</v>
      </c>
    </row>
    <row r="567" spans="1:40" x14ac:dyDescent="0.25">
      <c r="A567" t="str">
        <f>"20190304164345952"</f>
        <v>20190304164345952</v>
      </c>
      <c r="B567" t="str">
        <f>"1551689025940964"</f>
        <v>1551689025940964</v>
      </c>
      <c r="C567" t="s">
        <v>40</v>
      </c>
      <c r="D567">
        <v>4.7811120000000003</v>
      </c>
      <c r="E567">
        <v>0.57665230000000001</v>
      </c>
      <c r="F567" t="s">
        <v>41</v>
      </c>
      <c r="G567">
        <v>-372.16219999999998</v>
      </c>
      <c r="H567">
        <v>1.029895</v>
      </c>
      <c r="I567">
        <v>367.19009999999997</v>
      </c>
      <c r="J567">
        <v>-372.90550000000002</v>
      </c>
      <c r="K567">
        <v>1.1095790000000001</v>
      </c>
      <c r="L567">
        <v>367.2561</v>
      </c>
      <c r="M567">
        <v>0.99994479999999997</v>
      </c>
      <c r="N567">
        <v>-7.8128920000000001E-3</v>
      </c>
      <c r="O567">
        <v>7.0276499999999999E-3</v>
      </c>
      <c r="P567">
        <v>0.95171110000000003</v>
      </c>
      <c r="Q567">
        <v>0.29195159999999998</v>
      </c>
      <c r="R567">
        <v>9.4921500000000006E-2</v>
      </c>
      <c r="S567">
        <v>3.2549130000000002</v>
      </c>
      <c r="T567">
        <v>-0.26792070000000001</v>
      </c>
      <c r="U567">
        <v>-0.2157288</v>
      </c>
      <c r="V567">
        <v>-8.8222519999999999E-2</v>
      </c>
      <c r="W567">
        <v>0.29938579999999998</v>
      </c>
      <c r="X567">
        <v>0.95004469999999996</v>
      </c>
      <c r="Y567">
        <v>7.2855450000000002E-2</v>
      </c>
      <c r="Z567">
        <v>-3.7977129999999999E-3</v>
      </c>
      <c r="AA567">
        <v>0.99733530000000004</v>
      </c>
      <c r="AB567">
        <v>38</v>
      </c>
      <c r="AC567">
        <v>0.74330000000003305</v>
      </c>
      <c r="AD567">
        <v>-7.9684000000000005E-2</v>
      </c>
      <c r="AE567">
        <v>-6.6000000000030895E-2</v>
      </c>
      <c r="AF567">
        <v>7.0419220499310695E-2</v>
      </c>
      <c r="AG567">
        <v>-7.9684000000000005E-2</v>
      </c>
      <c r="AH567">
        <v>0.73444325265778698</v>
      </c>
      <c r="AI567">
        <v>96.164080212852994</v>
      </c>
      <c r="AJ567">
        <v>84.523160388496294</v>
      </c>
      <c r="AK567">
        <v>0.74210194572328203</v>
      </c>
      <c r="AL567">
        <v>72.5792834279342</v>
      </c>
      <c r="AM567">
        <v>95.305353774885901</v>
      </c>
      <c r="AN567">
        <v>1.0000000011374399</v>
      </c>
    </row>
    <row r="568" spans="1:40" x14ac:dyDescent="0.25">
      <c r="A568" t="str">
        <f>"20190304164345969"</f>
        <v>20190304164345969</v>
      </c>
      <c r="B568" t="str">
        <f>"1551689025960484"</f>
        <v>1551689025960484</v>
      </c>
      <c r="C568" t="s">
        <v>40</v>
      </c>
      <c r="D568">
        <v>4.8710889999999996</v>
      </c>
      <c r="E568">
        <v>0.57636019999999999</v>
      </c>
      <c r="F568" t="s">
        <v>41</v>
      </c>
      <c r="G568">
        <v>-372.15289999999999</v>
      </c>
      <c r="H568">
        <v>1.048176</v>
      </c>
      <c r="I568">
        <v>367.20600000000002</v>
      </c>
      <c r="J568">
        <v>-372.61610000000002</v>
      </c>
      <c r="K568">
        <v>1.1095820000000001</v>
      </c>
      <c r="L568">
        <v>367.25810000000001</v>
      </c>
      <c r="M568">
        <v>0.99994470000000002</v>
      </c>
      <c r="N568">
        <v>-7.8307040000000008E-3</v>
      </c>
      <c r="O568">
        <v>7.0287669999999896E-3</v>
      </c>
      <c r="P568">
        <v>0.95152099999999995</v>
      </c>
      <c r="Q568">
        <v>0.29249130000000001</v>
      </c>
      <c r="R568">
        <v>9.5167370000000001E-2</v>
      </c>
      <c r="S568">
        <v>3.2552490000000001</v>
      </c>
      <c r="T568">
        <v>-0.26573089999999999</v>
      </c>
      <c r="U568">
        <v>-0.21560670000000001</v>
      </c>
      <c r="V568">
        <v>-8.8468630000000006E-2</v>
      </c>
      <c r="W568">
        <v>0.29994090000000001</v>
      </c>
      <c r="X568">
        <v>0.94984669999999904</v>
      </c>
      <c r="Y568">
        <v>7.2817220000000002E-2</v>
      </c>
      <c r="Z568">
        <v>-3.7671879999999999E-3</v>
      </c>
      <c r="AA568">
        <v>0.99733819999999995</v>
      </c>
      <c r="AB568">
        <v>38</v>
      </c>
      <c r="AC568">
        <v>0.46320000000002798</v>
      </c>
      <c r="AD568">
        <v>-6.1406000000000002E-2</v>
      </c>
      <c r="AE568">
        <v>-5.2100000000052597E-2</v>
      </c>
      <c r="AF568">
        <v>5.4410247732918797E-2</v>
      </c>
      <c r="AG568">
        <v>-6.1406000000000002E-2</v>
      </c>
      <c r="AH568">
        <v>0.45492708892313499</v>
      </c>
      <c r="AI568">
        <v>97.633559515901496</v>
      </c>
      <c r="AJ568">
        <v>83.179700445603601</v>
      </c>
      <c r="AK568">
        <v>0.46226597120103402</v>
      </c>
      <c r="AL568">
        <v>72.545946482802407</v>
      </c>
      <c r="AM568">
        <v>95.321171682409599</v>
      </c>
      <c r="AN568">
        <v>0.99999999774388804</v>
      </c>
    </row>
    <row r="569" spans="1:40" x14ac:dyDescent="0.25">
      <c r="A569" t="str">
        <f>"20190304164345982"</f>
        <v>20190304164345982</v>
      </c>
      <c r="B569" t="str">
        <f>"1551689025970244"</f>
        <v>1551689025970244</v>
      </c>
      <c r="C569" t="s">
        <v>40</v>
      </c>
      <c r="D569">
        <v>4.8039540000000001</v>
      </c>
      <c r="E569">
        <v>0.51780559999999998</v>
      </c>
      <c r="F569" t="s">
        <v>41</v>
      </c>
      <c r="G569">
        <v>-371.81259999999997</v>
      </c>
      <c r="H569">
        <v>1.0451839999999999</v>
      </c>
      <c r="I569">
        <v>367.2056</v>
      </c>
      <c r="J569">
        <v>-372.39620000000002</v>
      </c>
      <c r="K569">
        <v>1.1095729999999999</v>
      </c>
      <c r="L569">
        <v>367.25970000000001</v>
      </c>
      <c r="M569">
        <v>0.99994470000000002</v>
      </c>
      <c r="N569">
        <v>-7.8452369999999997E-3</v>
      </c>
      <c r="O569">
        <v>7.0293619999999999E-3</v>
      </c>
      <c r="P569">
        <v>0.95158739999999997</v>
      </c>
      <c r="Q569">
        <v>0.29228480000000001</v>
      </c>
      <c r="R569">
        <v>9.5138210000000001E-2</v>
      </c>
      <c r="S569">
        <v>3.2542719999999998</v>
      </c>
      <c r="T569">
        <v>-0.26087199999999999</v>
      </c>
      <c r="U569">
        <v>-0.21228030000000001</v>
      </c>
      <c r="V569">
        <v>-8.8437550000000004E-2</v>
      </c>
      <c r="W569">
        <v>0.29974879999999998</v>
      </c>
      <c r="X569">
        <v>0.94991020000000004</v>
      </c>
      <c r="Y569">
        <v>7.1835609999999994E-2</v>
      </c>
      <c r="Z569">
        <v>-3.6612289999999998E-3</v>
      </c>
      <c r="AA569">
        <v>0.99740980000000001</v>
      </c>
      <c r="AB569">
        <v>38</v>
      </c>
      <c r="AC569">
        <v>0.58360000000004597</v>
      </c>
      <c r="AD569">
        <v>-6.4388999999999794E-2</v>
      </c>
      <c r="AE569">
        <v>-5.4100000000005297E-2</v>
      </c>
      <c r="AF569">
        <v>5.75070631136817E-2</v>
      </c>
      <c r="AG569">
        <v>-6.4388999999999794E-2</v>
      </c>
      <c r="AH569">
        <v>0.57625042762899203</v>
      </c>
      <c r="AI569">
        <v>96.344407322593199</v>
      </c>
      <c r="AJ569">
        <v>84.301021506324503</v>
      </c>
      <c r="AK569">
        <v>0.58268135457688797</v>
      </c>
      <c r="AL569">
        <v>72.5574832834169</v>
      </c>
      <c r="AM569">
        <v>95.318959473349096</v>
      </c>
      <c r="AN569">
        <v>0.99999996570773997</v>
      </c>
    </row>
    <row r="570" spans="1:40" x14ac:dyDescent="0.25">
      <c r="A570" t="str">
        <f>"20190304164345994"</f>
        <v>20190304164345994</v>
      </c>
      <c r="B570" t="str">
        <f>"1551689025980980"</f>
        <v>1551689025980980</v>
      </c>
      <c r="C570" t="s">
        <v>40</v>
      </c>
      <c r="D570">
        <v>4.7442099999999998</v>
      </c>
      <c r="E570">
        <v>0.50906249999999997</v>
      </c>
      <c r="F570" t="s">
        <v>42</v>
      </c>
      <c r="G570">
        <v>-356.07220000000001</v>
      </c>
      <c r="H570" s="1">
        <v>-1.8598580000000001E-6</v>
      </c>
      <c r="I570">
        <v>368.53089999999997</v>
      </c>
      <c r="J570">
        <v>-372.19970000000001</v>
      </c>
      <c r="K570">
        <v>1.109575</v>
      </c>
      <c r="L570">
        <v>367.2611</v>
      </c>
      <c r="M570">
        <v>0.99994439999999996</v>
      </c>
      <c r="N570">
        <v>-7.8586819999999901E-3</v>
      </c>
      <c r="O570">
        <v>7.0300199999999997E-3</v>
      </c>
      <c r="P570">
        <v>0.95151240000000004</v>
      </c>
      <c r="Q570">
        <v>0.29251579999999999</v>
      </c>
      <c r="R570">
        <v>9.5176700000000003E-2</v>
      </c>
      <c r="S570">
        <v>3.1944889999999999</v>
      </c>
      <c r="T570">
        <v>-0.2171351</v>
      </c>
      <c r="U570">
        <v>0.24877929999999901</v>
      </c>
      <c r="V570">
        <v>-8.8476199999999894E-2</v>
      </c>
      <c r="W570">
        <v>0.29999219999999999</v>
      </c>
      <c r="X570">
        <v>0.94982979999999995</v>
      </c>
      <c r="Y570">
        <v>-7.046384E-2</v>
      </c>
      <c r="Z570">
        <v>2.2446409999999999E-3</v>
      </c>
      <c r="AA570">
        <v>0.99751179999999995</v>
      </c>
      <c r="AB570">
        <v>38</v>
      </c>
      <c r="AC570">
        <v>16.127499999999898</v>
      </c>
      <c r="AD570">
        <v>-1.109576859858</v>
      </c>
      <c r="AE570">
        <v>1.2697999999999701</v>
      </c>
      <c r="AF570">
        <v>-1.1509739226959299</v>
      </c>
      <c r="AG570">
        <v>-1.109576859858</v>
      </c>
      <c r="AH570">
        <v>16.060474858254501</v>
      </c>
      <c r="AI570">
        <v>93.942059937394205</v>
      </c>
      <c r="AJ570">
        <v>94.099094120864805</v>
      </c>
      <c r="AK570">
        <v>16.139849889366399</v>
      </c>
      <c r="AL570">
        <v>72.5428654246126</v>
      </c>
      <c r="AM570">
        <v>95.321718527673298</v>
      </c>
      <c r="AN570">
        <v>1.0000000034976599</v>
      </c>
    </row>
    <row r="571" spans="1:40" x14ac:dyDescent="0.25">
      <c r="A571" t="str">
        <f>"20190304164346006"</f>
        <v>20190304164346006</v>
      </c>
      <c r="B571" t="str">
        <f>"1551689026000502"</f>
        <v>1551689026000502</v>
      </c>
      <c r="C571" t="s">
        <v>40</v>
      </c>
      <c r="D571">
        <v>4.7593160000000001</v>
      </c>
      <c r="E571">
        <v>0.50227500000000003</v>
      </c>
      <c r="F571" t="s">
        <v>42</v>
      </c>
      <c r="G571">
        <v>-355.49579999999997</v>
      </c>
      <c r="H571" s="1">
        <v>-2.0365809999999998E-6</v>
      </c>
      <c r="I571">
        <v>368.9289</v>
      </c>
      <c r="J571">
        <v>-371.97809999999998</v>
      </c>
      <c r="K571">
        <v>1.109577</v>
      </c>
      <c r="L571">
        <v>367.26260000000002</v>
      </c>
      <c r="M571">
        <v>0.99994439999999996</v>
      </c>
      <c r="N571">
        <v>-7.8752340000000001E-3</v>
      </c>
      <c r="O571">
        <v>7.03025E-3</v>
      </c>
      <c r="P571">
        <v>0.95158180000000003</v>
      </c>
      <c r="Q571">
        <v>0.29234450000000001</v>
      </c>
      <c r="R571">
        <v>9.5010090000000005E-2</v>
      </c>
      <c r="S571">
        <v>3.186096</v>
      </c>
      <c r="T571">
        <v>-0.21163770000000001</v>
      </c>
      <c r="U571">
        <v>0.31811519999999999</v>
      </c>
      <c r="V571">
        <v>-8.8308600000000001E-2</v>
      </c>
      <c r="W571">
        <v>0.29983710000000002</v>
      </c>
      <c r="X571">
        <v>0.94989440000000003</v>
      </c>
      <c r="Y571">
        <v>-9.2139529999999997E-2</v>
      </c>
      <c r="Z571">
        <v>3.0033410000000001E-3</v>
      </c>
      <c r="AA571">
        <v>0.9957416</v>
      </c>
      <c r="AB571">
        <v>38</v>
      </c>
      <c r="AC571">
        <v>16.482299999999999</v>
      </c>
      <c r="AD571">
        <v>-1.1095790365809901</v>
      </c>
      <c r="AE571">
        <v>1.6662999999999699</v>
      </c>
      <c r="AF571">
        <v>-1.54345651790303</v>
      </c>
      <c r="AG571">
        <v>-1.1095790365809901</v>
      </c>
      <c r="AH571">
        <v>16.419946722204401</v>
      </c>
      <c r="AI571">
        <v>93.848973405325907</v>
      </c>
      <c r="AJ571">
        <v>95.369959961821706</v>
      </c>
      <c r="AK571">
        <v>16.529612034803101</v>
      </c>
      <c r="AL571">
        <v>72.552181360738999</v>
      </c>
      <c r="AM571">
        <v>95.311336170121606</v>
      </c>
      <c r="AN571">
        <v>1.0000000332608601</v>
      </c>
    </row>
    <row r="572" spans="1:40" x14ac:dyDescent="0.25">
      <c r="A572" t="str">
        <f>"20190304164346019"</f>
        <v>20190304164346019</v>
      </c>
      <c r="B572" t="str">
        <f>"1551689026010261"</f>
        <v>1551689026010261</v>
      </c>
      <c r="C572" t="s">
        <v>40</v>
      </c>
      <c r="D572">
        <v>4.7392810000000001</v>
      </c>
      <c r="E572">
        <v>0.50073449999999997</v>
      </c>
      <c r="F572" t="s">
        <v>42</v>
      </c>
      <c r="G572">
        <v>-355.5634</v>
      </c>
      <c r="H572" s="1">
        <v>-1.9629369999999998E-6</v>
      </c>
      <c r="I572">
        <v>369.18029999999999</v>
      </c>
      <c r="J572">
        <v>-371.76990000000001</v>
      </c>
      <c r="K572">
        <v>1.1095820000000001</v>
      </c>
      <c r="L572">
        <v>367.26409999999998</v>
      </c>
      <c r="M572">
        <v>0.99994419999999995</v>
      </c>
      <c r="N572">
        <v>-7.8909210000000004E-3</v>
      </c>
      <c r="O572">
        <v>7.0305419999999999E-3</v>
      </c>
      <c r="P572">
        <v>0.95157150000000001</v>
      </c>
      <c r="Q572">
        <v>0.29235040000000001</v>
      </c>
      <c r="R572">
        <v>9.509505E-2</v>
      </c>
      <c r="S572">
        <v>3.18161</v>
      </c>
      <c r="T572">
        <v>-0.21506549999999999</v>
      </c>
      <c r="U572">
        <v>0.37170409999999998</v>
      </c>
      <c r="V572">
        <v>-8.8393150000000004E-2</v>
      </c>
      <c r="W572">
        <v>0.29985800000000001</v>
      </c>
      <c r="X572">
        <v>0.9498799</v>
      </c>
      <c r="Y572">
        <v>-0.1087921</v>
      </c>
      <c r="Z572">
        <v>3.6738159999999999E-3</v>
      </c>
      <c r="AA572">
        <v>0.99405770000000004</v>
      </c>
      <c r="AB572">
        <v>38</v>
      </c>
      <c r="AC572">
        <v>16.206499999999998</v>
      </c>
      <c r="AD572">
        <v>-1.1095839629369999</v>
      </c>
      <c r="AE572">
        <v>1.9161999999999999</v>
      </c>
      <c r="AF572">
        <v>-1.7939155633044399</v>
      </c>
      <c r="AG572">
        <v>-1.1095839629369999</v>
      </c>
      <c r="AH572">
        <v>16.144935695149201</v>
      </c>
      <c r="AI572">
        <v>93.907580169530604</v>
      </c>
      <c r="AJ572">
        <v>96.340310301835203</v>
      </c>
      <c r="AK572">
        <v>16.282145381354798</v>
      </c>
      <c r="AL572">
        <v>72.550925464807605</v>
      </c>
      <c r="AM572">
        <v>95.316473010327101</v>
      </c>
      <c r="AN572">
        <v>0.99999999677746598</v>
      </c>
    </row>
    <row r="573" spans="1:40" x14ac:dyDescent="0.25">
      <c r="A573" t="str">
        <f>"20190304164346031"</f>
        <v>20190304164346031</v>
      </c>
      <c r="B573" t="str">
        <f>"1551689026020996"</f>
        <v>1551689026020996</v>
      </c>
      <c r="C573" t="s">
        <v>40</v>
      </c>
      <c r="D573">
        <v>4.7295509999999998</v>
      </c>
      <c r="E573">
        <v>0.49977109999999902</v>
      </c>
      <c r="F573" t="s">
        <v>42</v>
      </c>
      <c r="G573">
        <v>-355.38580000000002</v>
      </c>
      <c r="H573" s="1">
        <v>-2.0281320000000002E-6</v>
      </c>
      <c r="I573">
        <v>369.24239999999998</v>
      </c>
      <c r="J573">
        <v>-371.55439999999999</v>
      </c>
      <c r="K573">
        <v>1.1095809999999999</v>
      </c>
      <c r="L573">
        <v>367.26560000000001</v>
      </c>
      <c r="M573">
        <v>0.9999441</v>
      </c>
      <c r="N573">
        <v>-7.9073649999999995E-3</v>
      </c>
      <c r="O573">
        <v>7.0307729999999997E-3</v>
      </c>
      <c r="P573">
        <v>0.95151640000000004</v>
      </c>
      <c r="Q573">
        <v>0.29251260000000001</v>
      </c>
      <c r="R573">
        <v>9.5146469999999997E-2</v>
      </c>
      <c r="S573">
        <v>3.1804809999999999</v>
      </c>
      <c r="T573">
        <v>-0.21539030000000001</v>
      </c>
      <c r="U573">
        <v>0.38403320000000002</v>
      </c>
      <c r="V573">
        <v>-8.8444590000000003E-2</v>
      </c>
      <c r="W573">
        <v>0.30003540000000001</v>
      </c>
      <c r="X573">
        <v>0.94981910000000003</v>
      </c>
      <c r="Y573">
        <v>-0.112621</v>
      </c>
      <c r="Z573">
        <v>3.8243560000000001E-3</v>
      </c>
      <c r="AA573">
        <v>0.99363060000000003</v>
      </c>
      <c r="AB573">
        <v>38</v>
      </c>
      <c r="AC573">
        <v>16.168599999999898</v>
      </c>
      <c r="AD573">
        <v>-1.1095830281319901</v>
      </c>
      <c r="AE573">
        <v>1.9767999999999599</v>
      </c>
      <c r="AF573">
        <v>-1.85446486140787</v>
      </c>
      <c r="AG573">
        <v>-1.1095830281319901</v>
      </c>
      <c r="AH573">
        <v>16.107358825307202</v>
      </c>
      <c r="AI573">
        <v>93.914912531751796</v>
      </c>
      <c r="AJ573">
        <v>96.567634023659593</v>
      </c>
      <c r="AK573">
        <v>16.251683689566299</v>
      </c>
      <c r="AL573">
        <v>72.540270743964996</v>
      </c>
      <c r="AM573">
        <v>95.319887726732105</v>
      </c>
      <c r="AN573">
        <v>1.00000000473911</v>
      </c>
    </row>
    <row r="574" spans="1:40" x14ac:dyDescent="0.25">
      <c r="A574" t="str">
        <f>"20190304164346049"</f>
        <v>20190304164346049</v>
      </c>
      <c r="B574" t="str">
        <f>"1551689026040516"</f>
        <v>1551689026040516</v>
      </c>
      <c r="C574" t="s">
        <v>40</v>
      </c>
      <c r="D574">
        <v>4.7098300000000002</v>
      </c>
      <c r="E574">
        <v>0.49921929999999998</v>
      </c>
      <c r="F574" t="s">
        <v>42</v>
      </c>
      <c r="G574">
        <v>-355.2552</v>
      </c>
      <c r="H574" s="1">
        <v>-2.0785169999999999E-6</v>
      </c>
      <c r="I574">
        <v>369.27429999999998</v>
      </c>
      <c r="J574">
        <v>-371.25240000000002</v>
      </c>
      <c r="K574">
        <v>1.109585</v>
      </c>
      <c r="L574">
        <v>367.26769999999999</v>
      </c>
      <c r="M574">
        <v>0.9999439</v>
      </c>
      <c r="N574">
        <v>-7.9297740000000005E-3</v>
      </c>
      <c r="O574">
        <v>7.0312159999999999E-3</v>
      </c>
      <c r="P574">
        <v>0.95140409999999997</v>
      </c>
      <c r="Q574">
        <v>0.29293970000000003</v>
      </c>
      <c r="R574">
        <v>9.4955739999999997E-2</v>
      </c>
      <c r="S574">
        <v>3.180237</v>
      </c>
      <c r="T574">
        <v>-0.2164952</v>
      </c>
      <c r="U574">
        <v>0.39193729999999999</v>
      </c>
      <c r="V574">
        <v>-8.8254009999999994E-2</v>
      </c>
      <c r="W574">
        <v>0.300483</v>
      </c>
      <c r="X574">
        <v>0.94969530000000002</v>
      </c>
      <c r="Y574">
        <v>-0.11505369999999999</v>
      </c>
      <c r="Z574">
        <v>3.9346670000000002E-3</v>
      </c>
      <c r="AA574">
        <v>0.99335150000000005</v>
      </c>
      <c r="AB574">
        <v>38</v>
      </c>
      <c r="AC574">
        <v>15.997199999999999</v>
      </c>
      <c r="AD574">
        <v>-1.1095870785169999</v>
      </c>
      <c r="AE574">
        <v>2.0065999999999899</v>
      </c>
      <c r="AF574">
        <v>-1.8851381935171301</v>
      </c>
      <c r="AG574">
        <v>-1.1095870785169999</v>
      </c>
      <c r="AH574">
        <v>15.935436077694</v>
      </c>
      <c r="AI574">
        <v>93.955592165079594</v>
      </c>
      <c r="AJ574">
        <v>96.7466493266909</v>
      </c>
      <c r="AK574">
        <v>16.084870297261901</v>
      </c>
      <c r="AL574">
        <v>72.513384172491797</v>
      </c>
      <c r="AM574">
        <v>95.309178063817001</v>
      </c>
      <c r="AN574">
        <v>0.99999998320608496</v>
      </c>
    </row>
    <row r="575" spans="1:40" x14ac:dyDescent="0.25">
      <c r="A575" t="str">
        <f>"20190304164346061"</f>
        <v>20190304164346061</v>
      </c>
      <c r="B575" t="str">
        <f>"1551689026050276"</f>
        <v>1551689026050276</v>
      </c>
      <c r="C575" t="s">
        <v>40</v>
      </c>
      <c r="D575">
        <v>4.718089</v>
      </c>
      <c r="E575">
        <v>0.49875540000000002</v>
      </c>
      <c r="F575" t="s">
        <v>42</v>
      </c>
      <c r="G575">
        <v>-354.85809999999998</v>
      </c>
      <c r="H575" s="1">
        <v>-2.2430380000000002E-6</v>
      </c>
      <c r="I575">
        <v>369.30700000000002</v>
      </c>
      <c r="J575">
        <v>-371.05459999999999</v>
      </c>
      <c r="K575">
        <v>1.1095870000000001</v>
      </c>
      <c r="L575">
        <v>367.26909999999998</v>
      </c>
      <c r="M575">
        <v>0.99994369999999999</v>
      </c>
      <c r="N575">
        <v>-7.9441319999999996E-3</v>
      </c>
      <c r="O575">
        <v>7.0315129999999997E-3</v>
      </c>
      <c r="P575">
        <v>0.95135479999999994</v>
      </c>
      <c r="Q575">
        <v>0.29315859999999999</v>
      </c>
      <c r="R575">
        <v>9.4774819999999996E-2</v>
      </c>
      <c r="S575">
        <v>3.1800229999999998</v>
      </c>
      <c r="T575">
        <v>-0.21522649999999999</v>
      </c>
      <c r="U575">
        <v>0.3955688</v>
      </c>
      <c r="V575">
        <v>-8.8072919999999999E-2</v>
      </c>
      <c r="W575">
        <v>0.30071490000000001</v>
      </c>
      <c r="X575">
        <v>0.94963869999999895</v>
      </c>
      <c r="Y575">
        <v>-0.1161789</v>
      </c>
      <c r="Z575">
        <v>3.9579719999999997E-3</v>
      </c>
      <c r="AA575">
        <v>0.9932204</v>
      </c>
      <c r="AB575">
        <v>38</v>
      </c>
      <c r="AC575">
        <v>16.1965</v>
      </c>
      <c r="AD575">
        <v>-1.1095892430380001</v>
      </c>
      <c r="AE575">
        <v>2.0378999999999698</v>
      </c>
      <c r="AF575">
        <v>-1.91511192735214</v>
      </c>
      <c r="AG575">
        <v>-1.1095892430380001</v>
      </c>
      <c r="AH575">
        <v>16.135878620727901</v>
      </c>
      <c r="AI575">
        <v>93.906439250503993</v>
      </c>
      <c r="AJ575">
        <v>96.768575643953</v>
      </c>
      <c r="AK575">
        <v>16.286970892262801</v>
      </c>
      <c r="AL575">
        <v>72.499452831218804</v>
      </c>
      <c r="AM575">
        <v>95.298660120619701</v>
      </c>
      <c r="AN575">
        <v>0.99999997542851204</v>
      </c>
    </row>
    <row r="576" spans="1:40" x14ac:dyDescent="0.25">
      <c r="A576" t="str">
        <f>"20190304164346072"</f>
        <v>20190304164346072</v>
      </c>
      <c r="B576" t="str">
        <f>"1551689026061012"</f>
        <v>1551689026061012</v>
      </c>
      <c r="C576" t="s">
        <v>40</v>
      </c>
      <c r="D576">
        <v>4.7304700000000004</v>
      </c>
      <c r="E576">
        <v>0.49840089999999998</v>
      </c>
      <c r="F576" t="s">
        <v>42</v>
      </c>
      <c r="G576">
        <v>-354.66489999999999</v>
      </c>
      <c r="H576" s="1">
        <v>-2.3234309999999999E-6</v>
      </c>
      <c r="I576">
        <v>369.32100000000003</v>
      </c>
      <c r="J576">
        <v>-370.84210000000002</v>
      </c>
      <c r="K576">
        <v>1.1095889999999999</v>
      </c>
      <c r="L576">
        <v>367.2706</v>
      </c>
      <c r="M576">
        <v>0.99994369999999999</v>
      </c>
      <c r="N576">
        <v>-7.9593549999999996E-3</v>
      </c>
      <c r="O576">
        <v>7.031748E-3</v>
      </c>
      <c r="P576">
        <v>0.95131109999999997</v>
      </c>
      <c r="Q576">
        <v>0.2933134</v>
      </c>
      <c r="R576">
        <v>9.4734059999999995E-2</v>
      </c>
      <c r="S576">
        <v>3.1800839999999999</v>
      </c>
      <c r="T576">
        <v>-0.2152917</v>
      </c>
      <c r="U576">
        <v>0.39813229999999999</v>
      </c>
      <c r="V576">
        <v>-8.8031760000000001E-2</v>
      </c>
      <c r="W576">
        <v>0.30088409999999999</v>
      </c>
      <c r="X576">
        <v>0.94958900000000002</v>
      </c>
      <c r="Y576">
        <v>-0.1169626</v>
      </c>
      <c r="Z576">
        <v>3.9893039999999999E-3</v>
      </c>
      <c r="AA576">
        <v>0.99312829999999996</v>
      </c>
      <c r="AB576">
        <v>39</v>
      </c>
      <c r="AC576">
        <v>16.177199999999999</v>
      </c>
      <c r="AD576">
        <v>-1.109591323431</v>
      </c>
      <c r="AE576">
        <v>2.0503999999999598</v>
      </c>
      <c r="AF576">
        <v>-1.9276662731532801</v>
      </c>
      <c r="AG576">
        <v>-1.109591323431</v>
      </c>
      <c r="AH576">
        <v>16.1165956051092</v>
      </c>
      <c r="AI576">
        <v>93.910684171147295</v>
      </c>
      <c r="AJ576">
        <v>96.820605007474995</v>
      </c>
      <c r="AK576">
        <v>16.2693498353288</v>
      </c>
      <c r="AL576">
        <v>72.489288967096599</v>
      </c>
      <c r="AM576">
        <v>95.2964735477522</v>
      </c>
      <c r="AN576">
        <v>1.0000000506612501</v>
      </c>
    </row>
    <row r="577" spans="1:40" x14ac:dyDescent="0.25">
      <c r="A577" t="str">
        <f>"20190304164346086"</f>
        <v>20190304164346086</v>
      </c>
      <c r="B577" t="str">
        <f>"1551689026080533"</f>
        <v>1551689026080533</v>
      </c>
      <c r="C577" t="s">
        <v>40</v>
      </c>
      <c r="D577">
        <v>4.7240669999999998</v>
      </c>
      <c r="E577">
        <v>0.49795080000000003</v>
      </c>
      <c r="F577" t="s">
        <v>42</v>
      </c>
      <c r="G577">
        <v>-354.51</v>
      </c>
      <c r="H577" s="1">
        <v>-2.3882240000000001E-6</v>
      </c>
      <c r="I577">
        <v>369.3304</v>
      </c>
      <c r="J577">
        <v>-370.63740000000001</v>
      </c>
      <c r="K577">
        <v>1.1095889999999999</v>
      </c>
      <c r="L577">
        <v>367.27210000000002</v>
      </c>
      <c r="M577">
        <v>0.99994360000000004</v>
      </c>
      <c r="N577">
        <v>-7.9751289999999992E-3</v>
      </c>
      <c r="O577">
        <v>7.0322179999999998E-3</v>
      </c>
      <c r="P577">
        <v>0.95122850000000003</v>
      </c>
      <c r="Q577">
        <v>0.29365019999999997</v>
      </c>
      <c r="R577">
        <v>9.4520000000000007E-2</v>
      </c>
      <c r="S577">
        <v>3.1801759999999999</v>
      </c>
      <c r="T577">
        <v>-0.21605769999999999</v>
      </c>
      <c r="U577">
        <v>0.40109250000000002</v>
      </c>
      <c r="V577">
        <v>-8.7817800000000001E-2</v>
      </c>
      <c r="W577">
        <v>0.30123509999999998</v>
      </c>
      <c r="X577">
        <v>0.94949749999999999</v>
      </c>
      <c r="Y577">
        <v>-0.11786439999999999</v>
      </c>
      <c r="Z577">
        <v>4.0364379999999998E-3</v>
      </c>
      <c r="AA577">
        <v>0.9930215</v>
      </c>
      <c r="AB577">
        <v>39</v>
      </c>
      <c r="AC577">
        <v>16.127400000000002</v>
      </c>
      <c r="AD577">
        <v>-1.1095913882239901</v>
      </c>
      <c r="AE577">
        <v>2.0582999999999698</v>
      </c>
      <c r="AF577">
        <v>-1.9358174781142601</v>
      </c>
      <c r="AG577">
        <v>-1.1095913882239901</v>
      </c>
      <c r="AH577">
        <v>16.066640966649199</v>
      </c>
      <c r="AI577">
        <v>93.922398785455499</v>
      </c>
      <c r="AJ577">
        <v>96.870265089637599</v>
      </c>
      <c r="AK577">
        <v>16.2208364244451</v>
      </c>
      <c r="AL577">
        <v>72.468199292245103</v>
      </c>
      <c r="AM577">
        <v>95.284179774739897</v>
      </c>
      <c r="AN577">
        <v>1.00000002698754</v>
      </c>
    </row>
    <row r="578" spans="1:40" x14ac:dyDescent="0.25">
      <c r="A578" t="str">
        <f>"20190304164346098"</f>
        <v>20190304164346098</v>
      </c>
      <c r="B578" t="str">
        <f>"1551689026090292"</f>
        <v>1551689026090292</v>
      </c>
      <c r="C578" t="s">
        <v>40</v>
      </c>
      <c r="D578">
        <v>4.7332010000000002</v>
      </c>
      <c r="E578">
        <v>0.4978245</v>
      </c>
      <c r="F578" t="s">
        <v>42</v>
      </c>
      <c r="G578">
        <v>-354.35109999999997</v>
      </c>
      <c r="H578" s="1">
        <v>-2.4546819999999999E-6</v>
      </c>
      <c r="I578">
        <v>369.34010000000001</v>
      </c>
      <c r="J578">
        <v>-370.40570000000002</v>
      </c>
      <c r="K578">
        <v>1.1095870000000001</v>
      </c>
      <c r="L578">
        <v>367.27370000000002</v>
      </c>
      <c r="M578">
        <v>0.99994329999999998</v>
      </c>
      <c r="N578">
        <v>-7.9934959999999992E-3</v>
      </c>
      <c r="O578">
        <v>7.0327979999999998E-3</v>
      </c>
      <c r="P578">
        <v>0.95112450000000004</v>
      </c>
      <c r="Q578">
        <v>0.29396319999999998</v>
      </c>
      <c r="R578">
        <v>9.4593259999999998E-2</v>
      </c>
      <c r="S578">
        <v>3.180542</v>
      </c>
      <c r="T578">
        <v>-0.2166903</v>
      </c>
      <c r="U578">
        <v>0.4038696</v>
      </c>
      <c r="V578">
        <v>-8.7891059999999993E-2</v>
      </c>
      <c r="W578">
        <v>0.30156480000000002</v>
      </c>
      <c r="X578">
        <v>0.94938610000000001</v>
      </c>
      <c r="Y578">
        <v>-0.11869929999999999</v>
      </c>
      <c r="Z578">
        <v>4.0789509999999999E-3</v>
      </c>
      <c r="AA578">
        <v>0.99292190000000002</v>
      </c>
      <c r="AB578">
        <v>39</v>
      </c>
      <c r="AC578">
        <v>16.054600000000001</v>
      </c>
      <c r="AD578">
        <v>-1.109589454682</v>
      </c>
      <c r="AE578">
        <v>2.0663999999999798</v>
      </c>
      <c r="AF578">
        <v>-1.94430058424093</v>
      </c>
      <c r="AG578">
        <v>-1.109589454682</v>
      </c>
      <c r="AH578">
        <v>15.993584813593101</v>
      </c>
      <c r="AI578">
        <v>93.939746202913398</v>
      </c>
      <c r="AJ578">
        <v>96.931294773351397</v>
      </c>
      <c r="AK578">
        <v>16.149496856231099</v>
      </c>
      <c r="AL578">
        <v>72.448388310636503</v>
      </c>
      <c r="AM578">
        <v>95.289180031599201</v>
      </c>
      <c r="AN578">
        <v>1.0000000669500799</v>
      </c>
    </row>
    <row r="579" spans="1:40" x14ac:dyDescent="0.25">
      <c r="A579" t="str">
        <f>"20190304164346116"</f>
        <v>20190304164346116</v>
      </c>
      <c r="B579" t="str">
        <f>"1551689026110788"</f>
        <v>1551689026110788</v>
      </c>
      <c r="C579" t="s">
        <v>40</v>
      </c>
      <c r="D579">
        <v>4.7541070000000003</v>
      </c>
      <c r="E579">
        <v>0.49750260000000002</v>
      </c>
      <c r="F579" t="s">
        <v>42</v>
      </c>
      <c r="G579">
        <v>-354.08620000000002</v>
      </c>
      <c r="H579" s="1">
        <v>-2.565934E-6</v>
      </c>
      <c r="I579">
        <v>369.3535</v>
      </c>
      <c r="J579">
        <v>-370.09160000000003</v>
      </c>
      <c r="K579">
        <v>1.109588</v>
      </c>
      <c r="L579">
        <v>367.27589999999998</v>
      </c>
      <c r="M579">
        <v>0.99994320000000003</v>
      </c>
      <c r="N579">
        <v>-8.0196039999999996E-3</v>
      </c>
      <c r="O579">
        <v>7.0333449999999999E-3</v>
      </c>
      <c r="P579">
        <v>0.95089009999999996</v>
      </c>
      <c r="Q579">
        <v>0.29469719999999999</v>
      </c>
      <c r="R579">
        <v>9.4667020000000004E-2</v>
      </c>
      <c r="S579">
        <v>3.1806950000000001</v>
      </c>
      <c r="T579">
        <v>-0.2162597</v>
      </c>
      <c r="U579">
        <v>0.40536499999999998</v>
      </c>
      <c r="V579">
        <v>-8.7965790000000002E-2</v>
      </c>
      <c r="W579">
        <v>0.30232160000000002</v>
      </c>
      <c r="X579">
        <v>0.94913840000000005</v>
      </c>
      <c r="Y579">
        <v>-0.11915199999999999</v>
      </c>
      <c r="Z579">
        <v>4.0905009999999999E-3</v>
      </c>
      <c r="AA579">
        <v>0.99286759999999996</v>
      </c>
      <c r="AB579">
        <v>39</v>
      </c>
      <c r="AC579">
        <v>16.005400000000002</v>
      </c>
      <c r="AD579">
        <v>-1.109590565934</v>
      </c>
      <c r="AE579">
        <v>2.0776000000000101</v>
      </c>
      <c r="AF579">
        <v>-1.95572982621337</v>
      </c>
      <c r="AG579">
        <v>-1.109590565934</v>
      </c>
      <c r="AH579">
        <v>15.944257193916201</v>
      </c>
      <c r="AI579">
        <v>93.951382198794903</v>
      </c>
      <c r="AJ579">
        <v>96.992994704133096</v>
      </c>
      <c r="AK579">
        <v>16.102031171343</v>
      </c>
      <c r="AL579">
        <v>72.402903002081004</v>
      </c>
      <c r="AM579">
        <v>95.295025307964806</v>
      </c>
      <c r="AN579">
        <v>1.0000000161957201</v>
      </c>
    </row>
    <row r="580" spans="1:40" x14ac:dyDescent="0.25">
      <c r="A580" t="str">
        <f>"20190304164346139"</f>
        <v>20190304164346139</v>
      </c>
      <c r="B580" t="str">
        <f>"1551689026130308"</f>
        <v>1551689026130308</v>
      </c>
      <c r="C580" t="s">
        <v>40</v>
      </c>
      <c r="D580">
        <v>4.7607109999999997</v>
      </c>
      <c r="E580">
        <v>0.4972837</v>
      </c>
      <c r="F580" t="s">
        <v>42</v>
      </c>
      <c r="G580">
        <v>-353.6891</v>
      </c>
      <c r="H580" s="1">
        <v>-2.7309829999999999E-6</v>
      </c>
      <c r="I580">
        <v>369.38350000000003</v>
      </c>
      <c r="J580">
        <v>-369.70429999999999</v>
      </c>
      <c r="K580">
        <v>1.1095919999999999</v>
      </c>
      <c r="L580">
        <v>367.27859999999998</v>
      </c>
      <c r="M580">
        <v>0.99994289999999997</v>
      </c>
      <c r="N580">
        <v>-8.05177199999999E-3</v>
      </c>
      <c r="O580">
        <v>7.0340460000000004E-3</v>
      </c>
      <c r="P580">
        <v>0.95072000000000001</v>
      </c>
      <c r="Q580">
        <v>0.29525230000000002</v>
      </c>
      <c r="R580">
        <v>9.4645519999999997E-2</v>
      </c>
      <c r="S580">
        <v>3.180939</v>
      </c>
      <c r="T580">
        <v>-0.2151815</v>
      </c>
      <c r="U580">
        <v>0.40872190000000003</v>
      </c>
      <c r="V580">
        <v>-8.7944590000000003E-2</v>
      </c>
      <c r="W580">
        <v>0.30290610000000001</v>
      </c>
      <c r="X580">
        <v>0.94895399999999996</v>
      </c>
      <c r="Y580">
        <v>-0.12017269999999899</v>
      </c>
      <c r="Z580">
        <v>4.1129269999999997E-3</v>
      </c>
      <c r="AA580">
        <v>0.99274450000000003</v>
      </c>
      <c r="AB580">
        <v>39</v>
      </c>
      <c r="AC580">
        <v>16.015199999999901</v>
      </c>
      <c r="AD580">
        <v>-1.1095947309830001</v>
      </c>
      <c r="AE580">
        <v>2.1049000000000402</v>
      </c>
      <c r="AF580">
        <v>-1.98283613681841</v>
      </c>
      <c r="AG580">
        <v>-1.1095947309830001</v>
      </c>
      <c r="AH580">
        <v>15.954325905484399</v>
      </c>
      <c r="AI580">
        <v>93.948134930881295</v>
      </c>
      <c r="AJ580">
        <v>97.084509442554506</v>
      </c>
      <c r="AK580">
        <v>16.115314291409501</v>
      </c>
      <c r="AL580">
        <v>72.367766331046695</v>
      </c>
      <c r="AM580">
        <v>95.294779275704201</v>
      </c>
      <c r="AN580">
        <v>1.00000002522173</v>
      </c>
    </row>
    <row r="581" spans="1:40" x14ac:dyDescent="0.25">
      <c r="A581" t="str">
        <f>"20190304164346151"</f>
        <v>20190304164346151</v>
      </c>
      <c r="B581" t="str">
        <f>"1551689026141045"</f>
        <v>1551689026141045</v>
      </c>
      <c r="C581" t="s">
        <v>40</v>
      </c>
      <c r="D581">
        <v>4.7514089999999998</v>
      </c>
      <c r="E581">
        <v>0.49716450000000001</v>
      </c>
      <c r="F581" t="s">
        <v>42</v>
      </c>
      <c r="G581">
        <v>-353.26729999999998</v>
      </c>
      <c r="H581" s="1">
        <v>-2.908533E-6</v>
      </c>
      <c r="I581">
        <v>369.40260000000001</v>
      </c>
      <c r="J581">
        <v>-369.47340000000003</v>
      </c>
      <c r="K581">
        <v>1.109594</v>
      </c>
      <c r="L581">
        <v>367.28019999999998</v>
      </c>
      <c r="M581">
        <v>0.99994269999999996</v>
      </c>
      <c r="N581">
        <v>-8.0704709999999992E-3</v>
      </c>
      <c r="O581">
        <v>7.0345049999999999E-3</v>
      </c>
      <c r="P581">
        <v>0.95066790000000001</v>
      </c>
      <c r="Q581">
        <v>0.2953808</v>
      </c>
      <c r="R581">
        <v>9.4767790000000005E-2</v>
      </c>
      <c r="S581">
        <v>3.181305</v>
      </c>
      <c r="T581">
        <v>-0.2147558</v>
      </c>
      <c r="U581">
        <v>0.41110229999999998</v>
      </c>
      <c r="V581">
        <v>-8.8066560000000002E-2</v>
      </c>
      <c r="W581">
        <v>0.30305189999999999</v>
      </c>
      <c r="X581">
        <v>0.94889610000000002</v>
      </c>
      <c r="Y581">
        <v>-0.1208877</v>
      </c>
      <c r="Z581">
        <v>4.1334630000000004E-3</v>
      </c>
      <c r="AA581">
        <v>0.99265760000000003</v>
      </c>
      <c r="AB581">
        <v>39</v>
      </c>
      <c r="AC581">
        <v>16.206099999999999</v>
      </c>
      <c r="AD581">
        <v>-1.109596908533</v>
      </c>
      <c r="AE581">
        <v>2.1224000000000198</v>
      </c>
      <c r="AF581">
        <v>-1.9991282971828901</v>
      </c>
      <c r="AG581">
        <v>-1.109596908533</v>
      </c>
      <c r="AH581">
        <v>16.146214836651101</v>
      </c>
      <c r="AI581">
        <v>93.901589274845307</v>
      </c>
      <c r="AJ581">
        <v>97.058102227198702</v>
      </c>
      <c r="AK581">
        <v>16.307298145288101</v>
      </c>
      <c r="AL581">
        <v>72.358999966194702</v>
      </c>
      <c r="AM581">
        <v>95.3024024416017</v>
      </c>
      <c r="AN581">
        <v>0.99999999083952595</v>
      </c>
    </row>
    <row r="582" spans="1:40" x14ac:dyDescent="0.25">
      <c r="A582" t="str">
        <f>"20190304164346171"</f>
        <v>20190304164346171</v>
      </c>
      <c r="B582" t="str">
        <f>"1551689026160564"</f>
        <v>1551689026160564</v>
      </c>
      <c r="C582" t="s">
        <v>40</v>
      </c>
      <c r="D582">
        <v>4.7915590000000003</v>
      </c>
      <c r="E582">
        <v>0.496915</v>
      </c>
      <c r="F582" t="s">
        <v>42</v>
      </c>
      <c r="G582">
        <v>-353.036</v>
      </c>
      <c r="H582" s="1">
        <v>-3.0061080000000001E-6</v>
      </c>
      <c r="I582">
        <v>369.4119</v>
      </c>
      <c r="J582">
        <v>-369.13560000000001</v>
      </c>
      <c r="K582">
        <v>1.109602</v>
      </c>
      <c r="L582">
        <v>367.2826</v>
      </c>
      <c r="M582">
        <v>0.99994249999999996</v>
      </c>
      <c r="N582">
        <v>-8.0967590000000002E-3</v>
      </c>
      <c r="O582">
        <v>7.0350519999999904E-3</v>
      </c>
      <c r="P582">
        <v>0.95053650000000001</v>
      </c>
      <c r="Q582">
        <v>0.29580190000000001</v>
      </c>
      <c r="R582">
        <v>9.477149E-2</v>
      </c>
      <c r="S582">
        <v>3.181305</v>
      </c>
      <c r="T582">
        <v>-0.21475050000000001</v>
      </c>
      <c r="U582">
        <v>0.41256710000000002</v>
      </c>
      <c r="V582">
        <v>-8.8070679999999998E-2</v>
      </c>
      <c r="W582">
        <v>0.30349670000000001</v>
      </c>
      <c r="X582">
        <v>0.94875350000000003</v>
      </c>
      <c r="Y582">
        <v>-0.1213355</v>
      </c>
      <c r="Z582">
        <v>4.1518900000000001E-3</v>
      </c>
      <c r="AA582">
        <v>0.99260289999999995</v>
      </c>
      <c r="AB582">
        <v>39</v>
      </c>
      <c r="AC582">
        <v>16.099599999999999</v>
      </c>
      <c r="AD582">
        <v>-1.1096050061080001</v>
      </c>
      <c r="AE582">
        <v>2.1293000000000002</v>
      </c>
      <c r="AF582">
        <v>-2.0066142314848898</v>
      </c>
      <c r="AG582">
        <v>-1.1096050061080001</v>
      </c>
      <c r="AH582">
        <v>16.039302620419299</v>
      </c>
      <c r="AI582">
        <v>93.926923373046606</v>
      </c>
      <c r="AJ582">
        <v>97.1310005410364</v>
      </c>
      <c r="AK582">
        <v>16.2023749028643</v>
      </c>
      <c r="AL582">
        <v>72.332254425543695</v>
      </c>
      <c r="AM582">
        <v>95.303441545847505</v>
      </c>
      <c r="AN582">
        <v>0.99999994767439904</v>
      </c>
    </row>
    <row r="583" spans="1:40" x14ac:dyDescent="0.25">
      <c r="A583" t="str">
        <f>"20190304164346185"</f>
        <v>20190304164346185</v>
      </c>
      <c r="B583" t="str">
        <f>"1551689026181061"</f>
        <v>1551689026181061</v>
      </c>
      <c r="C583" t="s">
        <v>40</v>
      </c>
      <c r="D583">
        <v>4.8099040000000004</v>
      </c>
      <c r="E583">
        <v>0.49666539999999998</v>
      </c>
      <c r="F583" t="s">
        <v>42</v>
      </c>
      <c r="G583">
        <v>-352.68110000000001</v>
      </c>
      <c r="H583" s="1">
        <v>-3.155404E-6</v>
      </c>
      <c r="I583">
        <v>369.42860000000002</v>
      </c>
      <c r="J583">
        <v>-368.89080000000001</v>
      </c>
      <c r="K583">
        <v>1.1096029999999999</v>
      </c>
      <c r="L583">
        <v>367.28429999999997</v>
      </c>
      <c r="M583">
        <v>0.99994249999999996</v>
      </c>
      <c r="N583">
        <v>-8.1167449999999999E-3</v>
      </c>
      <c r="O583">
        <v>7.0354469999999898E-3</v>
      </c>
      <c r="P583">
        <v>0.95043650000000002</v>
      </c>
      <c r="Q583">
        <v>0.29606080000000001</v>
      </c>
      <c r="R583">
        <v>9.4966239999999993E-2</v>
      </c>
      <c r="S583">
        <v>3.181549</v>
      </c>
      <c r="T583">
        <v>-0.2145456</v>
      </c>
      <c r="U583">
        <v>0.41494750000000002</v>
      </c>
      <c r="V583">
        <v>-8.8265609999999994E-2</v>
      </c>
      <c r="W583">
        <v>0.30377389999999999</v>
      </c>
      <c r="X583">
        <v>0.94864669999999895</v>
      </c>
      <c r="Y583">
        <v>-0.1220543</v>
      </c>
      <c r="Z583">
        <v>4.1764139999999998E-3</v>
      </c>
      <c r="AA583">
        <v>0.99251460000000002</v>
      </c>
      <c r="AB583">
        <v>39</v>
      </c>
      <c r="AC583">
        <v>16.209699999999899</v>
      </c>
      <c r="AD583">
        <v>-1.109606155404</v>
      </c>
      <c r="AE583">
        <v>2.1443000000000398</v>
      </c>
      <c r="AF583">
        <v>-2.02089397582212</v>
      </c>
      <c r="AG583">
        <v>-1.109606155404</v>
      </c>
      <c r="AH583">
        <v>16.150010493857501</v>
      </c>
      <c r="AI583">
        <v>93.900079070845095</v>
      </c>
      <c r="AJ583">
        <v>97.132500860022404</v>
      </c>
      <c r="AK583">
        <v>16.313738910296799</v>
      </c>
      <c r="AL583">
        <v>72.315585650825895</v>
      </c>
      <c r="AM583">
        <v>95.315707645098996</v>
      </c>
      <c r="AN583">
        <v>0.99999998082538499</v>
      </c>
    </row>
    <row r="584" spans="1:40" x14ac:dyDescent="0.25">
      <c r="A584" t="str">
        <f>"20190304164346198"</f>
        <v>20190304164346198</v>
      </c>
      <c r="B584" t="str">
        <f>"1551689026190353"</f>
        <v>1551689026190353</v>
      </c>
      <c r="C584" t="s">
        <v>40</v>
      </c>
      <c r="D584">
        <v>4.8052419999999998</v>
      </c>
      <c r="E584">
        <v>0.49654199999999998</v>
      </c>
      <c r="F584" t="s">
        <v>42</v>
      </c>
      <c r="G584">
        <v>-352.44380000000001</v>
      </c>
      <c r="H584" s="1">
        <v>-3.2543260000000002E-6</v>
      </c>
      <c r="I584">
        <v>369.44499999999999</v>
      </c>
      <c r="J584">
        <v>-368.6728</v>
      </c>
      <c r="K584">
        <v>1.1096079999999999</v>
      </c>
      <c r="L584">
        <v>367.28590000000003</v>
      </c>
      <c r="M584">
        <v>0.99994209999999994</v>
      </c>
      <c r="N584">
        <v>-8.1351359999999994E-3</v>
      </c>
      <c r="O584">
        <v>7.0360860000000004E-3</v>
      </c>
      <c r="P584">
        <v>0.95048180000000004</v>
      </c>
      <c r="Q584">
        <v>0.29604049999999998</v>
      </c>
      <c r="R584">
        <v>9.4574199999999997E-2</v>
      </c>
      <c r="S584">
        <v>3.181549</v>
      </c>
      <c r="T584">
        <v>-0.21464240000000001</v>
      </c>
      <c r="U584">
        <v>0.41796879999999997</v>
      </c>
      <c r="V584">
        <v>-8.787259E-2</v>
      </c>
      <c r="W584">
        <v>0.30377159999999997</v>
      </c>
      <c r="X584">
        <v>0.94868390000000002</v>
      </c>
      <c r="Y584">
        <v>-0.1229777</v>
      </c>
      <c r="Z584">
        <v>4.213825E-3</v>
      </c>
      <c r="AA584">
        <v>0.99240050000000002</v>
      </c>
      <c r="AB584">
        <v>39</v>
      </c>
      <c r="AC584">
        <v>16.2289999999999</v>
      </c>
      <c r="AD584">
        <v>-1.1096112543259999</v>
      </c>
      <c r="AE584">
        <v>2.1590999999999601</v>
      </c>
      <c r="AF584">
        <v>-2.03550414816507</v>
      </c>
      <c r="AG584">
        <v>-1.1096112543259999</v>
      </c>
      <c r="AH584">
        <v>16.169516564917501</v>
      </c>
      <c r="AI584">
        <v>93.895045436465196</v>
      </c>
      <c r="AJ584">
        <v>97.174953449452701</v>
      </c>
      <c r="AK584">
        <v>16.334863948501798</v>
      </c>
      <c r="AL584">
        <v>72.315723579213795</v>
      </c>
      <c r="AM584">
        <v>95.291966761191304</v>
      </c>
      <c r="AN584">
        <v>0.99999995957953802</v>
      </c>
    </row>
    <row r="585" spans="1:40" x14ac:dyDescent="0.25">
      <c r="A585" t="str">
        <f>"20190304164346208"</f>
        <v>20190304164346208</v>
      </c>
      <c r="B585" t="str">
        <f>"1551689026201088"</f>
        <v>1551689026201088</v>
      </c>
      <c r="C585" t="s">
        <v>40</v>
      </c>
      <c r="D585">
        <v>4.8109719999999996</v>
      </c>
      <c r="E585">
        <v>0.49644769999999999</v>
      </c>
      <c r="F585" t="s">
        <v>42</v>
      </c>
      <c r="G585">
        <v>-352.27449999999999</v>
      </c>
      <c r="H585" s="1">
        <v>-3.3283540000000002E-6</v>
      </c>
      <c r="I585">
        <v>369.43689999999998</v>
      </c>
      <c r="J585">
        <v>-368.46690000000001</v>
      </c>
      <c r="K585">
        <v>1.1096109999999999</v>
      </c>
      <c r="L585">
        <v>367.28730000000002</v>
      </c>
      <c r="M585">
        <v>0.99994209999999994</v>
      </c>
      <c r="N585">
        <v>-8.1532689999999994E-3</v>
      </c>
      <c r="O585">
        <v>7.0361900000000003E-3</v>
      </c>
      <c r="P585">
        <v>0.9503703</v>
      </c>
      <c r="Q585">
        <v>0.29632760000000002</v>
      </c>
      <c r="R585">
        <v>9.479696E-2</v>
      </c>
      <c r="S585">
        <v>3.181854</v>
      </c>
      <c r="T585">
        <v>-0.2153032</v>
      </c>
      <c r="U585">
        <v>0.41738890000000001</v>
      </c>
      <c r="V585">
        <v>-8.8096149999999998E-2</v>
      </c>
      <c r="W585">
        <v>0.30407509999999999</v>
      </c>
      <c r="X585">
        <v>0.94856600000000002</v>
      </c>
      <c r="Y585">
        <v>-0.1227862</v>
      </c>
      <c r="Z585">
        <v>4.2187559999999997E-3</v>
      </c>
      <c r="AA585">
        <v>0.99242419999999998</v>
      </c>
      <c r="AB585">
        <v>39</v>
      </c>
      <c r="AC585">
        <v>16.192399999999999</v>
      </c>
      <c r="AD585">
        <v>-1.1096143283540001</v>
      </c>
      <c r="AE585">
        <v>2.14959999999996</v>
      </c>
      <c r="AF585">
        <v>-2.02625981674651</v>
      </c>
      <c r="AG585">
        <v>-1.1096143283540001</v>
      </c>
      <c r="AH585">
        <v>16.1326786988176</v>
      </c>
      <c r="AI585">
        <v>93.904060393186796</v>
      </c>
      <c r="AJ585">
        <v>97.1588462485214</v>
      </c>
      <c r="AK585">
        <v>16.297248074504299</v>
      </c>
      <c r="AL585">
        <v>72.297472130125499</v>
      </c>
      <c r="AM585">
        <v>95.306009180536606</v>
      </c>
      <c r="AN585">
        <v>1.0000000272204099</v>
      </c>
    </row>
    <row r="586" spans="1:40" x14ac:dyDescent="0.25">
      <c r="A586" t="str">
        <f>"20190304164346227"</f>
        <v>20190304164346227</v>
      </c>
      <c r="B586" t="str">
        <f>"1551689026220608"</f>
        <v>1551689026220608</v>
      </c>
      <c r="C586" t="s">
        <v>40</v>
      </c>
      <c r="D586">
        <v>4.7981429999999996</v>
      </c>
      <c r="E586">
        <v>0.49621690000000002</v>
      </c>
      <c r="F586" t="s">
        <v>42</v>
      </c>
      <c r="G586">
        <v>-352.0539</v>
      </c>
      <c r="H586" s="1">
        <v>-3.421062E-6</v>
      </c>
      <c r="I586">
        <v>369.44779999999997</v>
      </c>
      <c r="J586">
        <v>-368.15230000000003</v>
      </c>
      <c r="K586">
        <v>1.109612</v>
      </c>
      <c r="L586">
        <v>367.28949999999998</v>
      </c>
      <c r="M586">
        <v>0.99994179999999999</v>
      </c>
      <c r="N586">
        <v>-8.1810089999999995E-3</v>
      </c>
      <c r="O586">
        <v>7.0367310000000001E-3</v>
      </c>
      <c r="P586">
        <v>0.95028550000000001</v>
      </c>
      <c r="Q586">
        <v>0.29655679999999901</v>
      </c>
      <c r="R586">
        <v>9.4928219999999994E-2</v>
      </c>
      <c r="S586">
        <v>3.1819459999999999</v>
      </c>
      <c r="T586">
        <v>-0.21511649999999999</v>
      </c>
      <c r="U586">
        <v>0.4188538</v>
      </c>
      <c r="V586">
        <v>-8.8227470000000002E-2</v>
      </c>
      <c r="W586">
        <v>0.30432949999999998</v>
      </c>
      <c r="X586">
        <v>0.94847219999999999</v>
      </c>
      <c r="Y586">
        <v>-0.1232304</v>
      </c>
      <c r="Z586">
        <v>4.2340240000000003E-3</v>
      </c>
      <c r="AA586">
        <v>0.9923691</v>
      </c>
      <c r="AB586">
        <v>39</v>
      </c>
      <c r="AC586">
        <v>16.098400000000002</v>
      </c>
      <c r="AD586">
        <v>-1.109615421062</v>
      </c>
      <c r="AE586">
        <v>2.1582999999999899</v>
      </c>
      <c r="AF586">
        <v>-2.0354630509800802</v>
      </c>
      <c r="AG586">
        <v>-1.109615421062</v>
      </c>
      <c r="AH586">
        <v>16.038337540838899</v>
      </c>
      <c r="AI586">
        <v>93.926318642100597</v>
      </c>
      <c r="AJ586">
        <v>97.2328745349309</v>
      </c>
      <c r="AK586">
        <v>16.205018583403302</v>
      </c>
      <c r="AL586">
        <v>72.282170836406607</v>
      </c>
      <c r="AM586">
        <v>95.314395818940099</v>
      </c>
      <c r="AN586">
        <v>1.00000002260284</v>
      </c>
    </row>
    <row r="587" spans="1:40" x14ac:dyDescent="0.25">
      <c r="A587" t="str">
        <f>"20190304164346239"</f>
        <v>20190304164346239</v>
      </c>
      <c r="B587" t="str">
        <f>"1551689026230369"</f>
        <v>1551689026230369</v>
      </c>
      <c r="C587" t="s">
        <v>40</v>
      </c>
      <c r="D587">
        <v>4.824611</v>
      </c>
      <c r="E587">
        <v>0.49607479999999998</v>
      </c>
      <c r="F587" t="s">
        <v>42</v>
      </c>
      <c r="G587">
        <v>-351.77420000000001</v>
      </c>
      <c r="H587" s="1">
        <v>-3.539158E-6</v>
      </c>
      <c r="I587">
        <v>369.45850000000002</v>
      </c>
      <c r="J587">
        <v>-367.94560000000001</v>
      </c>
      <c r="K587">
        <v>1.109612</v>
      </c>
      <c r="L587">
        <v>367.291</v>
      </c>
      <c r="M587">
        <v>0.99994170000000004</v>
      </c>
      <c r="N587">
        <v>-8.1997909999999997E-3</v>
      </c>
      <c r="O587">
        <v>7.0369509999999996E-3</v>
      </c>
      <c r="P587">
        <v>0.95025490000000001</v>
      </c>
      <c r="Q587">
        <v>0.29670580000000002</v>
      </c>
      <c r="R587">
        <v>9.477083E-2</v>
      </c>
      <c r="S587">
        <v>3.1821290000000002</v>
      </c>
      <c r="T587">
        <v>-0.21558730000000001</v>
      </c>
      <c r="U587">
        <v>0.42141719999999999</v>
      </c>
      <c r="V587">
        <v>-8.807015E-2</v>
      </c>
      <c r="W587">
        <v>0.30449619999999999</v>
      </c>
      <c r="X587">
        <v>0.94843330000000003</v>
      </c>
      <c r="Y587">
        <v>-0.1240053</v>
      </c>
      <c r="Z587">
        <v>4.272245E-3</v>
      </c>
      <c r="AA587">
        <v>0.99227240000000005</v>
      </c>
      <c r="AB587">
        <v>39</v>
      </c>
      <c r="AC587">
        <v>16.171399999999998</v>
      </c>
      <c r="AD587">
        <v>-1.109615539158</v>
      </c>
      <c r="AE587">
        <v>2.1675000000000102</v>
      </c>
      <c r="AF587">
        <v>-2.0441906661431402</v>
      </c>
      <c r="AG587">
        <v>-1.109615539158</v>
      </c>
      <c r="AH587">
        <v>16.111734991978199</v>
      </c>
      <c r="AI587">
        <v>93.908505908780697</v>
      </c>
      <c r="AJ587">
        <v>97.230818657095796</v>
      </c>
      <c r="AK587">
        <v>16.278758139858901</v>
      </c>
      <c r="AL587">
        <v>72.272143439424397</v>
      </c>
      <c r="AM587">
        <v>95.305190078787803</v>
      </c>
      <c r="AN587">
        <v>1.0000000058421701</v>
      </c>
    </row>
    <row r="588" spans="1:40" x14ac:dyDescent="0.25">
      <c r="A588" t="str">
        <f>"20190304164346249"</f>
        <v>20190304164346249</v>
      </c>
      <c r="B588" t="str">
        <f>"1551689026241104"</f>
        <v>1551689026241104</v>
      </c>
      <c r="C588" t="s">
        <v>40</v>
      </c>
      <c r="D588">
        <v>4.8148309999999999</v>
      </c>
      <c r="E588">
        <v>0.49596580000000001</v>
      </c>
      <c r="F588" t="s">
        <v>42</v>
      </c>
      <c r="G588">
        <v>-351.60910000000001</v>
      </c>
      <c r="H588" s="1">
        <v>-3.6097689999999999E-6</v>
      </c>
      <c r="I588">
        <v>369.4597</v>
      </c>
      <c r="J588">
        <v>-367.74340000000001</v>
      </c>
      <c r="K588">
        <v>1.1096140000000001</v>
      </c>
      <c r="L588">
        <v>367.29239999999999</v>
      </c>
      <c r="M588">
        <v>0.99994150000000004</v>
      </c>
      <c r="N588">
        <v>-8.2187849999999993E-3</v>
      </c>
      <c r="O588">
        <v>7.0374089999999997E-3</v>
      </c>
      <c r="P588">
        <v>0.95028820000000003</v>
      </c>
      <c r="Q588">
        <v>0.29662119999999997</v>
      </c>
      <c r="R588">
        <v>9.4700309999999996E-2</v>
      </c>
      <c r="S588">
        <v>3.182404</v>
      </c>
      <c r="T588">
        <v>-0.2161556</v>
      </c>
      <c r="U588">
        <v>0.42248540000000001</v>
      </c>
      <c r="V588">
        <v>-8.7999279999999999E-2</v>
      </c>
      <c r="W588">
        <v>0.30442989999999998</v>
      </c>
      <c r="X588">
        <v>0.9484612</v>
      </c>
      <c r="Y588">
        <v>-0.1243186</v>
      </c>
      <c r="Z588">
        <v>4.2947690000000004E-3</v>
      </c>
      <c r="AA588">
        <v>0.99223300000000003</v>
      </c>
      <c r="AB588">
        <v>39</v>
      </c>
      <c r="AC588">
        <v>16.1342999999999</v>
      </c>
      <c r="AD588">
        <v>-1.10961760976899</v>
      </c>
      <c r="AE588">
        <v>2.1673000000000102</v>
      </c>
      <c r="AF588">
        <v>-2.04420145640711</v>
      </c>
      <c r="AG588">
        <v>-1.10961760976899</v>
      </c>
      <c r="AH588">
        <v>16.074471039959299</v>
      </c>
      <c r="AI588">
        <v>93.917401827269899</v>
      </c>
      <c r="AJ588">
        <v>97.247441014229395</v>
      </c>
      <c r="AK588">
        <v>16.241878895274901</v>
      </c>
      <c r="AL588">
        <v>72.276132158567805</v>
      </c>
      <c r="AM588">
        <v>95.300790280197603</v>
      </c>
      <c r="AN588">
        <v>1.00000004259998</v>
      </c>
    </row>
    <row r="589" spans="1:40" x14ac:dyDescent="0.25">
      <c r="A589" t="str">
        <f>"20190304164346270"</f>
        <v>20190304164346270</v>
      </c>
      <c r="B589" t="str">
        <f>"1551689026260624"</f>
        <v>1551689026260624</v>
      </c>
      <c r="C589" t="s">
        <v>40</v>
      </c>
      <c r="D589">
        <v>4.9455910000000003</v>
      </c>
      <c r="E589">
        <v>0.49599280000000001</v>
      </c>
      <c r="F589" t="s">
        <v>42</v>
      </c>
      <c r="G589">
        <v>-351.50470000000001</v>
      </c>
      <c r="H589" s="1">
        <v>-3.655822E-6</v>
      </c>
      <c r="I589">
        <v>369.45249999999999</v>
      </c>
      <c r="J589">
        <v>-367.40170000000001</v>
      </c>
      <c r="K589">
        <v>1.10961</v>
      </c>
      <c r="L589">
        <v>367.29480000000001</v>
      </c>
      <c r="M589">
        <v>0.99994119999999997</v>
      </c>
      <c r="N589">
        <v>-8.2521750000000005E-3</v>
      </c>
      <c r="O589">
        <v>7.0377460000000001E-3</v>
      </c>
      <c r="P589">
        <v>0.95019540000000002</v>
      </c>
      <c r="Q589">
        <v>0.2968095</v>
      </c>
      <c r="R589">
        <v>9.5043139999999998E-2</v>
      </c>
      <c r="S589">
        <v>3.182617</v>
      </c>
      <c r="T589">
        <v>-0.21747230000000001</v>
      </c>
      <c r="U589">
        <v>0.42337039999999998</v>
      </c>
      <c r="V589">
        <v>-8.8342370000000003E-2</v>
      </c>
      <c r="W589">
        <v>0.30464920000000001</v>
      </c>
      <c r="X589">
        <v>0.94835879999999995</v>
      </c>
      <c r="Y589">
        <v>-0.12457650000000001</v>
      </c>
      <c r="Z589">
        <v>4.3292290000000004E-3</v>
      </c>
      <c r="AA589">
        <v>0.99220059999999999</v>
      </c>
      <c r="AB589">
        <v>39</v>
      </c>
      <c r="AC589">
        <v>15.896999999999901</v>
      </c>
      <c r="AD589">
        <v>-1.109613655822</v>
      </c>
      <c r="AE589">
        <v>2.15769999999997</v>
      </c>
      <c r="AF589">
        <v>-2.0360235020531898</v>
      </c>
      <c r="AG589">
        <v>-1.109613655822</v>
      </c>
      <c r="AH589">
        <v>15.836033599501601</v>
      </c>
      <c r="AI589">
        <v>93.9754855860905</v>
      </c>
      <c r="AJ589">
        <v>97.326271549216798</v>
      </c>
      <c r="AK589">
        <v>16.004892824715899</v>
      </c>
      <c r="AL589">
        <v>72.262939104301594</v>
      </c>
      <c r="AM589">
        <v>95.321909773153195</v>
      </c>
      <c r="AN589">
        <v>0.99999996146764702</v>
      </c>
    </row>
    <row r="590" spans="1:40" x14ac:dyDescent="0.25">
      <c r="A590" t="str">
        <f>"20190304164346285"</f>
        <v>20190304164346285</v>
      </c>
      <c r="B590" t="str">
        <f>"1551689026270385"</f>
        <v>1551689026270385</v>
      </c>
      <c r="C590" t="s">
        <v>40</v>
      </c>
      <c r="D590">
        <v>4.8764149999999997</v>
      </c>
      <c r="E590">
        <v>0.49599280000000001</v>
      </c>
      <c r="F590" t="s">
        <v>42</v>
      </c>
      <c r="G590">
        <v>-351.20519999999999</v>
      </c>
      <c r="H590" s="1">
        <v>-3.7844670000000001E-6</v>
      </c>
      <c r="I590">
        <v>369.45179999999999</v>
      </c>
      <c r="J590">
        <v>-367.14400000000001</v>
      </c>
      <c r="K590">
        <v>1.1096109999999999</v>
      </c>
      <c r="L590">
        <v>367.29669999999999</v>
      </c>
      <c r="M590">
        <v>0.99994110000000003</v>
      </c>
      <c r="N590">
        <v>-8.2791150000000001E-3</v>
      </c>
      <c r="O590">
        <v>7.0381699999999998E-3</v>
      </c>
      <c r="P590">
        <v>0.95018009999999997</v>
      </c>
      <c r="Q590">
        <v>0.29683480000000001</v>
      </c>
      <c r="R590">
        <v>9.5115160000000004E-2</v>
      </c>
      <c r="S590">
        <v>3.1829529999999999</v>
      </c>
      <c r="T590">
        <v>-0.21806049999999999</v>
      </c>
      <c r="U590">
        <v>0.42388920000000002</v>
      </c>
      <c r="V590">
        <v>-8.8414129999999994E-2</v>
      </c>
      <c r="W590">
        <v>0.30470019999999998</v>
      </c>
      <c r="X590">
        <v>0.94833579999999995</v>
      </c>
      <c r="Y590">
        <v>-0.12471930000000001</v>
      </c>
      <c r="Z590">
        <v>4.3462459999999998E-3</v>
      </c>
      <c r="AA590">
        <v>0.99218260000000003</v>
      </c>
      <c r="AB590">
        <v>39</v>
      </c>
      <c r="AC590">
        <v>15.938800000000001</v>
      </c>
      <c r="AD590">
        <v>-1.1096147844669999</v>
      </c>
      <c r="AE590">
        <v>2.1551</v>
      </c>
      <c r="AF590">
        <v>-2.0331857723825002</v>
      </c>
      <c r="AG590">
        <v>-1.1096147844669999</v>
      </c>
      <c r="AH590">
        <v>15.878001659679001</v>
      </c>
      <c r="AI590">
        <v>93.965274050986096</v>
      </c>
      <c r="AJ590">
        <v>97.297042094382206</v>
      </c>
      <c r="AK590">
        <v>16.046059518140201</v>
      </c>
      <c r="AL590">
        <v>72.259872413018599</v>
      </c>
      <c r="AM590">
        <v>95.326336311910794</v>
      </c>
      <c r="AN590">
        <v>1.0000000299126599</v>
      </c>
    </row>
    <row r="591" spans="1:40" x14ac:dyDescent="0.25">
      <c r="A591" t="str">
        <f>"20190304164346297"</f>
        <v>20190304164346297</v>
      </c>
      <c r="B591" t="str">
        <f>"1551689026290414"</f>
        <v>1551689026290414</v>
      </c>
      <c r="C591" t="s">
        <v>40</v>
      </c>
      <c r="D591">
        <v>4.7693659999999998</v>
      </c>
      <c r="E591">
        <v>0.52076319999999998</v>
      </c>
      <c r="F591" t="s">
        <v>42</v>
      </c>
      <c r="G591">
        <v>-350.94490000000002</v>
      </c>
      <c r="H591" s="1">
        <v>-3.8960429999999998E-6</v>
      </c>
      <c r="I591">
        <v>369.45240000000001</v>
      </c>
      <c r="J591">
        <v>-366.9212</v>
      </c>
      <c r="K591">
        <v>1.109612</v>
      </c>
      <c r="L591">
        <v>367.29820000000001</v>
      </c>
      <c r="M591">
        <v>0.99994079999999996</v>
      </c>
      <c r="N591">
        <v>-8.3032049999999993E-3</v>
      </c>
      <c r="O591">
        <v>7.0385459999999997E-3</v>
      </c>
      <c r="P591">
        <v>0.95014989999999999</v>
      </c>
      <c r="Q591">
        <v>0.29679430000000001</v>
      </c>
      <c r="R591">
        <v>9.5542180000000004E-2</v>
      </c>
      <c r="S591">
        <v>3.183014</v>
      </c>
      <c r="T591">
        <v>-0.21802940000000001</v>
      </c>
      <c r="U591">
        <v>0.42358400000000002</v>
      </c>
      <c r="V591">
        <v>-8.8840619999999995E-2</v>
      </c>
      <c r="W591">
        <v>0.30468240000000002</v>
      </c>
      <c r="X591">
        <v>0.94830159999999997</v>
      </c>
      <c r="Y591">
        <v>-0.1246232</v>
      </c>
      <c r="Z591">
        <v>4.3436400000000002E-3</v>
      </c>
      <c r="AA591">
        <v>0.99219469999999998</v>
      </c>
      <c r="AB591">
        <v>39</v>
      </c>
      <c r="AC591">
        <v>15.976299999999901</v>
      </c>
      <c r="AD591">
        <v>-1.109615896043</v>
      </c>
      <c r="AE591">
        <v>2.1541999999999999</v>
      </c>
      <c r="AF591">
        <v>-2.0320655163833798</v>
      </c>
      <c r="AG591">
        <v>-1.109615896043</v>
      </c>
      <c r="AH591">
        <v>15.9156634846297</v>
      </c>
      <c r="AI591">
        <v>93.9561099008681</v>
      </c>
      <c r="AJ591">
        <v>97.275992135821895</v>
      </c>
      <c r="AK591">
        <v>16.083186309174</v>
      </c>
      <c r="AL591">
        <v>72.260942141661801</v>
      </c>
      <c r="AM591">
        <v>95.352072426348499</v>
      </c>
      <c r="AN591">
        <v>0.99999997259715101</v>
      </c>
    </row>
    <row r="592" spans="1:40" x14ac:dyDescent="0.25">
      <c r="A592" t="str">
        <f>"20190304164346310"</f>
        <v>20190304164346310</v>
      </c>
      <c r="B592" t="str">
        <f>"1551689026300174"</f>
        <v>1551689026300174</v>
      </c>
      <c r="C592" t="s">
        <v>40</v>
      </c>
      <c r="D592">
        <v>4.7660080000000002</v>
      </c>
      <c r="E592">
        <v>0.52234749999999996</v>
      </c>
      <c r="F592" t="s">
        <v>42</v>
      </c>
      <c r="G592">
        <v>-352.99650000000003</v>
      </c>
      <c r="H592" s="1">
        <v>-3.219936E-6</v>
      </c>
      <c r="I592">
        <v>368.30200000000002</v>
      </c>
      <c r="J592">
        <v>-366.69439999999997</v>
      </c>
      <c r="K592">
        <v>1.10961</v>
      </c>
      <c r="L592">
        <v>367.2998</v>
      </c>
      <c r="M592">
        <v>0.99994059999999996</v>
      </c>
      <c r="N592">
        <v>-8.3285879999999996E-3</v>
      </c>
      <c r="O592">
        <v>7.0387959999999999E-3</v>
      </c>
      <c r="P592">
        <v>0.95028500000000005</v>
      </c>
      <c r="Q592">
        <v>0.29637039999999998</v>
      </c>
      <c r="R592">
        <v>9.5516229999999994E-2</v>
      </c>
      <c r="S592">
        <v>3.2141419999999998</v>
      </c>
      <c r="T592">
        <v>-0.25612259999999998</v>
      </c>
      <c r="U592">
        <v>0.23168949999999999</v>
      </c>
      <c r="V592">
        <v>-8.8813610000000001E-2</v>
      </c>
      <c r="W592">
        <v>0.30428359999999999</v>
      </c>
      <c r="X592">
        <v>0.94843219999999995</v>
      </c>
      <c r="Y592">
        <v>-6.4667660000000002E-2</v>
      </c>
      <c r="Z592">
        <v>2.3385049999999998E-3</v>
      </c>
      <c r="AA592">
        <v>0.99790409999999996</v>
      </c>
      <c r="AB592">
        <v>39</v>
      </c>
      <c r="AC592">
        <v>13.697899999999899</v>
      </c>
      <c r="AD592">
        <v>-1.109613219936</v>
      </c>
      <c r="AE592">
        <v>1.00219999999995</v>
      </c>
      <c r="AF592">
        <v>-0.89988154063968795</v>
      </c>
      <c r="AG592">
        <v>-1.109613219936</v>
      </c>
      <c r="AH592">
        <v>13.6157445797066</v>
      </c>
      <c r="AI592">
        <v>94.648917980687202</v>
      </c>
      <c r="AJ592">
        <v>93.781250357582607</v>
      </c>
      <c r="AK592">
        <v>13.690490449390399</v>
      </c>
      <c r="AL592">
        <v>72.284931274294195</v>
      </c>
      <c r="AM592">
        <v>95.349722205623806</v>
      </c>
      <c r="AN592">
        <v>1.00000000227351</v>
      </c>
    </row>
    <row r="593" spans="1:40" x14ac:dyDescent="0.25">
      <c r="A593" t="str">
        <f>"20190304164346329"</f>
        <v>20190304164346329</v>
      </c>
      <c r="B593" t="str">
        <f>"1551689026320669"</f>
        <v>1551689026320669</v>
      </c>
      <c r="C593" t="s">
        <v>40</v>
      </c>
      <c r="D593">
        <v>4.7757880000000004</v>
      </c>
      <c r="E593">
        <v>0.52419559999999998</v>
      </c>
      <c r="F593" t="s">
        <v>42</v>
      </c>
      <c r="G593">
        <v>-352.83260000000001</v>
      </c>
      <c r="H593" s="1">
        <v>-3.3006869999999999E-6</v>
      </c>
      <c r="I593">
        <v>368.2432</v>
      </c>
      <c r="J593">
        <v>-366.37049999999999</v>
      </c>
      <c r="K593">
        <v>1.1096170000000001</v>
      </c>
      <c r="L593">
        <v>367.3021</v>
      </c>
      <c r="M593">
        <v>0.9999403</v>
      </c>
      <c r="N593">
        <v>-8.3669390000000003E-3</v>
      </c>
      <c r="O593">
        <v>7.0392900000000001E-3</v>
      </c>
      <c r="P593">
        <v>0.95030360000000003</v>
      </c>
      <c r="Q593">
        <v>0.29645450000000001</v>
      </c>
      <c r="R593">
        <v>9.5069039999999994E-2</v>
      </c>
      <c r="S593">
        <v>3.215179</v>
      </c>
      <c r="T593">
        <v>-0.25736710000000002</v>
      </c>
      <c r="U593">
        <v>0.21881100000000001</v>
      </c>
      <c r="V593">
        <v>-8.8365479999999996E-2</v>
      </c>
      <c r="W593">
        <v>0.30440349999999999</v>
      </c>
      <c r="X593">
        <v>0.94843560000000005</v>
      </c>
      <c r="Y593">
        <v>-6.0678049999999997E-2</v>
      </c>
      <c r="Z593">
        <v>2.1733429999999999E-3</v>
      </c>
      <c r="AA593">
        <v>0.99815500000000001</v>
      </c>
      <c r="AB593">
        <v>39</v>
      </c>
      <c r="AC593">
        <v>13.537899999999899</v>
      </c>
      <c r="AD593">
        <v>-1.109620300687</v>
      </c>
      <c r="AE593">
        <v>0.94110000000000504</v>
      </c>
      <c r="AF593">
        <v>-0.84015902516860197</v>
      </c>
      <c r="AG593">
        <v>-1.109620300687</v>
      </c>
      <c r="AH593">
        <v>13.4542373048928</v>
      </c>
      <c r="AI593">
        <v>94.705598270508702</v>
      </c>
      <c r="AJ593">
        <v>93.573234285772998</v>
      </c>
      <c r="AK593">
        <v>13.526035112169399</v>
      </c>
      <c r="AL593">
        <v>72.277719685587101</v>
      </c>
      <c r="AM593">
        <v>95.322865385916998</v>
      </c>
      <c r="AN593">
        <v>1.0000000181076201</v>
      </c>
    </row>
    <row r="594" spans="1:40" x14ac:dyDescent="0.25">
      <c r="A594" t="str">
        <f>"20190304164346342"</f>
        <v>20190304164346342</v>
      </c>
      <c r="B594" t="str">
        <f>"1551689026330429"</f>
        <v>1551689026330429</v>
      </c>
      <c r="C594" t="s">
        <v>40</v>
      </c>
      <c r="D594">
        <v>4.724132</v>
      </c>
      <c r="E594">
        <v>0.52471239999999997</v>
      </c>
      <c r="F594" t="s">
        <v>42</v>
      </c>
      <c r="G594">
        <v>-352.6737</v>
      </c>
      <c r="H594" s="1">
        <v>-3.3817740000000001E-6</v>
      </c>
      <c r="I594">
        <v>368.17039999999997</v>
      </c>
      <c r="J594">
        <v>-366.1456</v>
      </c>
      <c r="K594">
        <v>1.1096250000000001</v>
      </c>
      <c r="L594">
        <v>367.30369999999999</v>
      </c>
      <c r="M594">
        <v>0.99993989999999999</v>
      </c>
      <c r="N594">
        <v>-8.3944699999999994E-3</v>
      </c>
      <c r="O594">
        <v>7.0398290000000001E-3</v>
      </c>
      <c r="P594">
        <v>0.95038370000000005</v>
      </c>
      <c r="Q594">
        <v>0.29613230000000001</v>
      </c>
      <c r="R594">
        <v>9.5269649999999997E-2</v>
      </c>
      <c r="S594">
        <v>3.2178040000000001</v>
      </c>
      <c r="T594">
        <v>-0.26068229999999998</v>
      </c>
      <c r="U594">
        <v>0.20401</v>
      </c>
      <c r="V594">
        <v>-8.8565099999999994E-2</v>
      </c>
      <c r="W594">
        <v>0.3041083</v>
      </c>
      <c r="X594">
        <v>0.94851169999999996</v>
      </c>
      <c r="Y594">
        <v>-5.6062269999999997E-2</v>
      </c>
      <c r="Z594">
        <v>1.9910430000000001E-3</v>
      </c>
      <c r="AA594">
        <v>0.99842529999999996</v>
      </c>
      <c r="AB594">
        <v>39</v>
      </c>
      <c r="AC594">
        <v>13.4719</v>
      </c>
      <c r="AD594">
        <v>-1.109628381774</v>
      </c>
      <c r="AE594">
        <v>0.86669999999998004</v>
      </c>
      <c r="AF594">
        <v>-0.766655607391456</v>
      </c>
      <c r="AG594">
        <v>-1.109628381774</v>
      </c>
      <c r="AH594">
        <v>13.387220799977699</v>
      </c>
      <c r="AI594">
        <v>94.730536300045301</v>
      </c>
      <c r="AJ594">
        <v>93.277618681663995</v>
      </c>
      <c r="AK594">
        <v>13.454988543783299</v>
      </c>
      <c r="AL594">
        <v>72.2954755829265</v>
      </c>
      <c r="AM594">
        <v>95.3343950339343</v>
      </c>
      <c r="AN594">
        <v>1.00000004005189</v>
      </c>
    </row>
    <row r="595" spans="1:40" x14ac:dyDescent="0.25">
      <c r="A595" t="str">
        <f>"20190304164346360"</f>
        <v>20190304164346360</v>
      </c>
      <c r="B595" t="str">
        <f>"1551689026350926"</f>
        <v>1551689026350926</v>
      </c>
      <c r="C595" t="s">
        <v>40</v>
      </c>
      <c r="D595">
        <v>4.6919089999999999</v>
      </c>
      <c r="E595">
        <v>0.52500329999999995</v>
      </c>
      <c r="F595" t="s">
        <v>42</v>
      </c>
      <c r="G595">
        <v>-352.56439999999998</v>
      </c>
      <c r="H595" s="1">
        <v>-3.4315149999999999E-6</v>
      </c>
      <c r="I595">
        <v>368.1542</v>
      </c>
      <c r="J595">
        <v>-365.81599999999997</v>
      </c>
      <c r="K595">
        <v>1.1096239999999999</v>
      </c>
      <c r="L595">
        <v>367.30599999999998</v>
      </c>
      <c r="M595">
        <v>0.99993969999999999</v>
      </c>
      <c r="N595">
        <v>-8.4360670000000002E-3</v>
      </c>
      <c r="O595">
        <v>7.0403669999999996E-3</v>
      </c>
      <c r="P595">
        <v>0.95047969999999904</v>
      </c>
      <c r="Q595">
        <v>0.29582829999999999</v>
      </c>
      <c r="R595">
        <v>9.5258979999999993E-2</v>
      </c>
      <c r="S595">
        <v>3.218353</v>
      </c>
      <c r="T595">
        <v>-0.26294879999999998</v>
      </c>
      <c r="U595">
        <v>0.20156859999999999</v>
      </c>
      <c r="V595">
        <v>-8.8553469999999995E-2</v>
      </c>
      <c r="W595">
        <v>0.30384519999999998</v>
      </c>
      <c r="X595">
        <v>0.94859709999999997</v>
      </c>
      <c r="Y595">
        <v>-5.52963E-2</v>
      </c>
      <c r="Z595">
        <v>1.9724650000000001E-3</v>
      </c>
      <c r="AA595">
        <v>0.99846800000000002</v>
      </c>
      <c r="AB595">
        <v>39</v>
      </c>
      <c r="AC595">
        <v>13.2515999999999</v>
      </c>
      <c r="AD595">
        <v>-1.1096274315150001</v>
      </c>
      <c r="AE595">
        <v>0.84820000000001905</v>
      </c>
      <c r="AF595">
        <v>-0.74964476611858499</v>
      </c>
      <c r="AG595">
        <v>-1.1096274315150001</v>
      </c>
      <c r="AH595">
        <v>13.1653100348114</v>
      </c>
      <c r="AI595">
        <v>94.809986825594805</v>
      </c>
      <c r="AJ595">
        <v>93.258954870817007</v>
      </c>
      <c r="AK595">
        <v>13.233239536290601</v>
      </c>
      <c r="AL595">
        <v>72.311298874297805</v>
      </c>
      <c r="AM595">
        <v>95.333221171968304</v>
      </c>
      <c r="AN595">
        <v>1.00000004037024</v>
      </c>
    </row>
    <row r="596" spans="1:40" x14ac:dyDescent="0.25">
      <c r="A596" t="str">
        <f>"20190304164346372"</f>
        <v>20190304164346372</v>
      </c>
      <c r="B596" t="str">
        <f>"1551689026360686"</f>
        <v>1551689026360686</v>
      </c>
      <c r="C596" t="s">
        <v>40</v>
      </c>
      <c r="D596">
        <v>4.6887850000000002</v>
      </c>
      <c r="E596">
        <v>0.52512939999999997</v>
      </c>
      <c r="F596" t="s">
        <v>42</v>
      </c>
      <c r="G596">
        <v>-352.25709999999998</v>
      </c>
      <c r="H596" s="1">
        <v>-3.5655290000000002E-6</v>
      </c>
      <c r="I596">
        <v>368.14190000000002</v>
      </c>
      <c r="J596">
        <v>-365.6035</v>
      </c>
      <c r="K596">
        <v>1.1096269999999999</v>
      </c>
      <c r="L596">
        <v>367.3075</v>
      </c>
      <c r="M596">
        <v>0.99993940000000003</v>
      </c>
      <c r="N596">
        <v>-8.4637500000000008E-3</v>
      </c>
      <c r="O596">
        <v>7.0407259999999998E-3</v>
      </c>
      <c r="P596">
        <v>0.95055860000000003</v>
      </c>
      <c r="Q596">
        <v>0.29546349999999999</v>
      </c>
      <c r="R596">
        <v>9.5601690000000003E-2</v>
      </c>
      <c r="S596">
        <v>3.218445</v>
      </c>
      <c r="T596">
        <v>-0.2633876</v>
      </c>
      <c r="U596">
        <v>0.1984253</v>
      </c>
      <c r="V596">
        <v>-8.8895500000000002E-2</v>
      </c>
      <c r="W596">
        <v>0.30350719999999998</v>
      </c>
      <c r="X596">
        <v>0.94867319999999999</v>
      </c>
      <c r="Y596">
        <v>-5.4325659999999998E-2</v>
      </c>
      <c r="Z596">
        <v>1.93246E-3</v>
      </c>
      <c r="AA596">
        <v>0.9985214</v>
      </c>
      <c r="AB596">
        <v>40</v>
      </c>
      <c r="AC596">
        <v>13.346399999999999</v>
      </c>
      <c r="AD596">
        <v>-1.109630565529</v>
      </c>
      <c r="AE596">
        <v>0.83440000000001602</v>
      </c>
      <c r="AF596">
        <v>-0.73534440499416698</v>
      </c>
      <c r="AG596">
        <v>-1.109630565529</v>
      </c>
      <c r="AH596">
        <v>13.260638269197401</v>
      </c>
      <c r="AI596">
        <v>94.775978848039998</v>
      </c>
      <c r="AJ596">
        <v>93.173981776360804</v>
      </c>
      <c r="AK596">
        <v>13.3272854960196</v>
      </c>
      <c r="AL596">
        <v>72.331622813493595</v>
      </c>
      <c r="AM596">
        <v>95.353273843112405</v>
      </c>
      <c r="AN596">
        <v>0.99999993538516296</v>
      </c>
    </row>
    <row r="597" spans="1:40" x14ac:dyDescent="0.25">
      <c r="A597" t="str">
        <f>"20190304164346384"</f>
        <v>20190304164346384</v>
      </c>
      <c r="B597" t="str">
        <f>"1551689026370446"</f>
        <v>1551689026370446</v>
      </c>
      <c r="C597" t="s">
        <v>40</v>
      </c>
      <c r="D597">
        <v>4.7044189999999997</v>
      </c>
      <c r="E597">
        <v>0.52523489999999995</v>
      </c>
      <c r="F597" t="s">
        <v>42</v>
      </c>
      <c r="G597">
        <v>-352.08929999999998</v>
      </c>
      <c r="H597" s="1">
        <v>-3.6379829999999999E-6</v>
      </c>
      <c r="I597">
        <v>368.13929999999999</v>
      </c>
      <c r="J597">
        <v>-365.39580000000001</v>
      </c>
      <c r="K597">
        <v>1.109629</v>
      </c>
      <c r="L597">
        <v>367.30889999999999</v>
      </c>
      <c r="M597">
        <v>0.99993929999999998</v>
      </c>
      <c r="N597">
        <v>-8.491228E-3</v>
      </c>
      <c r="O597">
        <v>7.0409660000000001E-3</v>
      </c>
      <c r="P597">
        <v>0.95051920000000001</v>
      </c>
      <c r="Q597">
        <v>0.29563810000000001</v>
      </c>
      <c r="R597">
        <v>9.5455899999999996E-2</v>
      </c>
      <c r="S597">
        <v>3.2182620000000002</v>
      </c>
      <c r="T597">
        <v>-0.2642447</v>
      </c>
      <c r="U597">
        <v>0.1980896</v>
      </c>
      <c r="V597">
        <v>-8.8749750000000002E-2</v>
      </c>
      <c r="W597">
        <v>0.30370760000000002</v>
      </c>
      <c r="X597">
        <v>0.94862279999999999</v>
      </c>
      <c r="Y597">
        <v>-5.4224309999999998E-2</v>
      </c>
      <c r="Z597">
        <v>1.9342300000000001E-3</v>
      </c>
      <c r="AA597">
        <v>0.9985269</v>
      </c>
      <c r="AB597">
        <v>40</v>
      </c>
      <c r="AC597">
        <v>13.3065</v>
      </c>
      <c r="AD597">
        <v>-1.1096326379829999</v>
      </c>
      <c r="AE597">
        <v>0.83039999999999703</v>
      </c>
      <c r="AF597">
        <v>-0.73161755002748197</v>
      </c>
      <c r="AG597">
        <v>-1.1096326379829999</v>
      </c>
      <c r="AH597">
        <v>13.220439700504</v>
      </c>
      <c r="AI597">
        <v>94.790472126979196</v>
      </c>
      <c r="AJ597">
        <v>93.167510711203505</v>
      </c>
      <c r="AK597">
        <v>13.2870830021283</v>
      </c>
      <c r="AL597">
        <v>72.319573457396203</v>
      </c>
      <c r="AM597">
        <v>95.344829975644302</v>
      </c>
      <c r="AN597">
        <v>1.00000002055133</v>
      </c>
    </row>
    <row r="598" spans="1:40" x14ac:dyDescent="0.25">
      <c r="A598" t="str">
        <f>"20190304164346395"</f>
        <v>20190304164346395</v>
      </c>
      <c r="B598" t="str">
        <f>"1551689026380205"</f>
        <v>1551689026380205</v>
      </c>
      <c r="C598" t="s">
        <v>40</v>
      </c>
      <c r="D598">
        <v>4.6787190000000001</v>
      </c>
      <c r="E598">
        <v>0.5252578</v>
      </c>
      <c r="F598" t="s">
        <v>42</v>
      </c>
      <c r="G598">
        <v>-351.85860000000002</v>
      </c>
      <c r="H598" s="1">
        <v>-3.7377269999999999E-6</v>
      </c>
      <c r="I598">
        <v>368.13490000000002</v>
      </c>
      <c r="J598">
        <v>-365.1936</v>
      </c>
      <c r="K598">
        <v>1.109634</v>
      </c>
      <c r="L598">
        <v>367.31040000000002</v>
      </c>
      <c r="M598">
        <v>0.99993900000000002</v>
      </c>
      <c r="N598">
        <v>-8.5179490000000004E-3</v>
      </c>
      <c r="O598">
        <v>7.0413280000000003E-3</v>
      </c>
      <c r="P598">
        <v>0.95047099999999995</v>
      </c>
      <c r="Q598">
        <v>0.29571120000000001</v>
      </c>
      <c r="R598">
        <v>9.5706659999999999E-2</v>
      </c>
      <c r="S598">
        <v>3.2185359999999998</v>
      </c>
      <c r="T598">
        <v>-0.2638202</v>
      </c>
      <c r="U598">
        <v>0.19638059999999999</v>
      </c>
      <c r="V598">
        <v>-8.9000179999999998E-2</v>
      </c>
      <c r="W598">
        <v>0.3038053</v>
      </c>
      <c r="X598">
        <v>0.94856799999999997</v>
      </c>
      <c r="Y598">
        <v>-5.3692959999999998E-2</v>
      </c>
      <c r="Z598">
        <v>1.908379E-3</v>
      </c>
      <c r="AA598">
        <v>0.99855570000000005</v>
      </c>
      <c r="AB598">
        <v>40</v>
      </c>
      <c r="AC598">
        <v>13.3349999999999</v>
      </c>
      <c r="AD598">
        <v>-1.1096377377269999</v>
      </c>
      <c r="AE598">
        <v>0.82450000000000001</v>
      </c>
      <c r="AF598">
        <v>-0.72557507800711596</v>
      </c>
      <c r="AG598">
        <v>-1.1096377377269999</v>
      </c>
      <c r="AH598">
        <v>13.2490838212696</v>
      </c>
      <c r="AI598">
        <v>94.780335529475707</v>
      </c>
      <c r="AJ598">
        <v>93.134624609516607</v>
      </c>
      <c r="AK598">
        <v>13.3152535539448</v>
      </c>
      <c r="AL598">
        <v>72.313697148509206</v>
      </c>
      <c r="AM598">
        <v>95.360131903273498</v>
      </c>
      <c r="AN598">
        <v>0.99999997148606001</v>
      </c>
    </row>
    <row r="599" spans="1:40" x14ac:dyDescent="0.25">
      <c r="A599" t="str">
        <f>"20190304164346408"</f>
        <v>20190304164346408</v>
      </c>
      <c r="B599" t="str">
        <f>"1551689026400233"</f>
        <v>1551689026400233</v>
      </c>
      <c r="C599" t="s">
        <v>40</v>
      </c>
      <c r="D599">
        <v>4.6858240000000002</v>
      </c>
      <c r="E599">
        <v>0.52538399999999996</v>
      </c>
      <c r="F599" t="s">
        <v>42</v>
      </c>
      <c r="G599">
        <v>-351.58139999999997</v>
      </c>
      <c r="H599" s="1">
        <v>-3.8554590000000001E-6</v>
      </c>
      <c r="I599">
        <v>368.14179999999999</v>
      </c>
      <c r="J599">
        <v>-364.97480000000002</v>
      </c>
      <c r="K599">
        <v>1.1096360000000001</v>
      </c>
      <c r="L599">
        <v>367.31189999999998</v>
      </c>
      <c r="M599">
        <v>0.99993880000000002</v>
      </c>
      <c r="N599">
        <v>-8.5463599999999994E-3</v>
      </c>
      <c r="O599">
        <v>7.0415629999999998E-3</v>
      </c>
      <c r="P599">
        <v>0.95047440000000005</v>
      </c>
      <c r="Q599">
        <v>0.29568870000000003</v>
      </c>
      <c r="R599">
        <v>9.5742400000000005E-2</v>
      </c>
      <c r="S599">
        <v>3.2182010000000001</v>
      </c>
      <c r="T599">
        <v>-0.26233790000000001</v>
      </c>
      <c r="U599">
        <v>0.19656370000000001</v>
      </c>
      <c r="V599">
        <v>-8.9035779999999995E-2</v>
      </c>
      <c r="W599">
        <v>0.30380980000000002</v>
      </c>
      <c r="X599">
        <v>0.9485633</v>
      </c>
      <c r="Y599">
        <v>-5.3757190000000003E-2</v>
      </c>
      <c r="Z599">
        <v>1.9033069999999999E-3</v>
      </c>
      <c r="AA599">
        <v>0.9985522</v>
      </c>
      <c r="AB599">
        <v>40</v>
      </c>
      <c r="AC599">
        <v>13.3934</v>
      </c>
      <c r="AD599">
        <v>-1.1096398554589999</v>
      </c>
      <c r="AE599">
        <v>0.82990000000000896</v>
      </c>
      <c r="AF599">
        <v>-0.73057000812204698</v>
      </c>
      <c r="AG599">
        <v>-1.1096398554589999</v>
      </c>
      <c r="AH599">
        <v>13.307914703283201</v>
      </c>
      <c r="AI599">
        <v>94.759274714657593</v>
      </c>
      <c r="AJ599">
        <v>93.142235641323396</v>
      </c>
      <c r="AK599">
        <v>13.3740654587695</v>
      </c>
      <c r="AL599">
        <v>72.313427949662596</v>
      </c>
      <c r="AM599">
        <v>95.362289870773594</v>
      </c>
      <c r="AN599">
        <v>1.00000004940156</v>
      </c>
    </row>
    <row r="600" spans="1:40" x14ac:dyDescent="0.25">
      <c r="A600" t="str">
        <f>"20190304164346419"</f>
        <v>20190304164346419</v>
      </c>
      <c r="B600" t="str">
        <f>"1551689026410969"</f>
        <v>1551689026410969</v>
      </c>
      <c r="C600" t="s">
        <v>40</v>
      </c>
      <c r="D600">
        <v>4.7021300000000004</v>
      </c>
      <c r="E600">
        <v>0.52545830000000004</v>
      </c>
      <c r="F600" t="s">
        <v>42</v>
      </c>
      <c r="G600">
        <v>-351.37779999999998</v>
      </c>
      <c r="H600" s="1">
        <v>-3.9436529999999998E-6</v>
      </c>
      <c r="I600">
        <v>368.13690000000003</v>
      </c>
      <c r="J600">
        <v>-364.7552</v>
      </c>
      <c r="K600">
        <v>1.109637</v>
      </c>
      <c r="L600">
        <v>367.3134</v>
      </c>
      <c r="M600">
        <v>0.99993849999999995</v>
      </c>
      <c r="N600">
        <v>-8.5750970000000003E-3</v>
      </c>
      <c r="O600">
        <v>7.0419150000000002E-3</v>
      </c>
      <c r="P600">
        <v>0.95045959999999996</v>
      </c>
      <c r="Q600">
        <v>0.29572670000000001</v>
      </c>
      <c r="R600">
        <v>9.5771930000000005E-2</v>
      </c>
      <c r="S600">
        <v>3.218353</v>
      </c>
      <c r="T600">
        <v>-0.26264520000000002</v>
      </c>
      <c r="U600">
        <v>0.19528200000000001</v>
      </c>
      <c r="V600">
        <v>-8.9065039999999998E-2</v>
      </c>
      <c r="W600">
        <v>0.3038748</v>
      </c>
      <c r="X600">
        <v>0.94853969999999999</v>
      </c>
      <c r="Y600">
        <v>-5.3358740000000002E-2</v>
      </c>
      <c r="Z600">
        <v>1.8881530000000001E-3</v>
      </c>
      <c r="AA600">
        <v>0.99857359999999995</v>
      </c>
      <c r="AB600">
        <v>40</v>
      </c>
      <c r="AC600">
        <v>13.3774</v>
      </c>
      <c r="AD600">
        <v>-1.1096409436529999</v>
      </c>
      <c r="AE600">
        <v>0.82350000000002399</v>
      </c>
      <c r="AF600">
        <v>-0.72430879874223597</v>
      </c>
      <c r="AG600">
        <v>-1.1096409436529999</v>
      </c>
      <c r="AH600">
        <v>13.291758512785</v>
      </c>
      <c r="AI600">
        <v>94.765142245810495</v>
      </c>
      <c r="AJ600">
        <v>93.119138251641601</v>
      </c>
      <c r="AK600">
        <v>13.3576483941583</v>
      </c>
      <c r="AL600">
        <v>72.309518357654895</v>
      </c>
      <c r="AM600">
        <v>95.364174493958402</v>
      </c>
      <c r="AN600">
        <v>1.0000000189506599</v>
      </c>
    </row>
    <row r="601" spans="1:40" x14ac:dyDescent="0.25">
      <c r="A601" t="str">
        <f>"20190304164346432"</f>
        <v>20190304164346432</v>
      </c>
      <c r="B601" t="str">
        <f>"1551689026420729"</f>
        <v>1551689026420729</v>
      </c>
      <c r="C601" t="s">
        <v>40</v>
      </c>
      <c r="D601">
        <v>4.6808129999999997</v>
      </c>
      <c r="E601">
        <v>0.52552089999999996</v>
      </c>
      <c r="F601" t="s">
        <v>42</v>
      </c>
      <c r="G601">
        <v>-351.15809999999999</v>
      </c>
      <c r="H601" s="1">
        <v>-4.0381660000000001E-6</v>
      </c>
      <c r="I601">
        <v>368.13529999999997</v>
      </c>
      <c r="J601">
        <v>-364.53100000000001</v>
      </c>
      <c r="K601">
        <v>1.109639</v>
      </c>
      <c r="L601">
        <v>367.315</v>
      </c>
      <c r="M601">
        <v>0.9999382</v>
      </c>
      <c r="N601">
        <v>-8.6047109999999993E-3</v>
      </c>
      <c r="O601">
        <v>7.0423229999999996E-3</v>
      </c>
      <c r="P601">
        <v>0.9504591</v>
      </c>
      <c r="Q601">
        <v>0.29569079999999998</v>
      </c>
      <c r="R601">
        <v>9.5888840000000003E-2</v>
      </c>
      <c r="S601">
        <v>3.2184750000000002</v>
      </c>
      <c r="T601">
        <v>-0.26265280000000002</v>
      </c>
      <c r="U601">
        <v>0.19454959999999999</v>
      </c>
      <c r="V601">
        <v>-8.9181510000000006E-2</v>
      </c>
      <c r="W601">
        <v>0.30386750000000001</v>
      </c>
      <c r="X601">
        <v>0.94853109999999996</v>
      </c>
      <c r="Y601">
        <v>-5.313039E-2</v>
      </c>
      <c r="Z601">
        <v>1.8788399999999999E-3</v>
      </c>
      <c r="AA601">
        <v>0.99858579999999997</v>
      </c>
      <c r="AB601">
        <v>40</v>
      </c>
      <c r="AC601">
        <v>13.3729</v>
      </c>
      <c r="AD601">
        <v>-1.1096430381659901</v>
      </c>
      <c r="AE601">
        <v>0.82029999999997405</v>
      </c>
      <c r="AF601">
        <v>-0.72115323276854904</v>
      </c>
      <c r="AG601">
        <v>-1.1096430381659901</v>
      </c>
      <c r="AH601">
        <v>13.2872035205523</v>
      </c>
      <c r="AI601">
        <v>94.766833511622494</v>
      </c>
      <c r="AJ601">
        <v>93.106638428745399</v>
      </c>
      <c r="AK601">
        <v>13.3529452576523</v>
      </c>
      <c r="AL601">
        <v>72.309957459341604</v>
      </c>
      <c r="AM601">
        <v>95.371196619171997</v>
      </c>
      <c r="AN601">
        <v>1.00000002347466</v>
      </c>
    </row>
    <row r="602" spans="1:40" x14ac:dyDescent="0.25">
      <c r="A602" t="str">
        <f>"20190304164346450"</f>
        <v>20190304164346450</v>
      </c>
      <c r="B602" t="str">
        <f>"1551689026440249"</f>
        <v>1551689026440249</v>
      </c>
      <c r="C602" t="s">
        <v>40</v>
      </c>
      <c r="D602">
        <v>4.663538</v>
      </c>
      <c r="E602">
        <v>0.52559659999999997</v>
      </c>
      <c r="F602" t="s">
        <v>42</v>
      </c>
      <c r="G602">
        <v>-350.93560000000002</v>
      </c>
      <c r="H602" s="1">
        <v>-4.1335240000000001E-6</v>
      </c>
      <c r="I602">
        <v>368.13580000000002</v>
      </c>
      <c r="J602">
        <v>-364.21890000000002</v>
      </c>
      <c r="K602">
        <v>1.109642</v>
      </c>
      <c r="L602">
        <v>367.31720000000001</v>
      </c>
      <c r="M602">
        <v>0.99993790000000005</v>
      </c>
      <c r="N602">
        <v>-8.6461260000000005E-3</v>
      </c>
      <c r="O602">
        <v>7.0426179999999996E-3</v>
      </c>
      <c r="P602">
        <v>0.9504823</v>
      </c>
      <c r="Q602">
        <v>0.29546149999999999</v>
      </c>
      <c r="R602">
        <v>9.6364359999999996E-2</v>
      </c>
      <c r="S602">
        <v>3.2184750000000002</v>
      </c>
      <c r="T602">
        <v>-0.26268799999999998</v>
      </c>
      <c r="U602">
        <v>0.19430539999999999</v>
      </c>
      <c r="V602">
        <v>-8.965621E-2</v>
      </c>
      <c r="W602">
        <v>0.30367759999999999</v>
      </c>
      <c r="X602">
        <v>0.94854709999999998</v>
      </c>
      <c r="Y602">
        <v>-5.3054749999999998E-2</v>
      </c>
      <c r="Z602">
        <v>1.8770219999999999E-3</v>
      </c>
      <c r="AA602">
        <v>0.99858979999999997</v>
      </c>
      <c r="AB602">
        <v>40</v>
      </c>
      <c r="AC602">
        <v>13.283299999999899</v>
      </c>
      <c r="AD602">
        <v>-1.109646133524</v>
      </c>
      <c r="AE602">
        <v>0.81860000000000299</v>
      </c>
      <c r="AF602">
        <v>-0.72002139961142897</v>
      </c>
      <c r="AG602">
        <v>-1.109646133524</v>
      </c>
      <c r="AH602">
        <v>13.1969901613886</v>
      </c>
      <c r="AI602">
        <v>94.799206832186002</v>
      </c>
      <c r="AJ602">
        <v>93.122933749829699</v>
      </c>
      <c r="AK602">
        <v>13.2631178339533</v>
      </c>
      <c r="AL602">
        <v>72.321376446614195</v>
      </c>
      <c r="AM602">
        <v>95.399527627003096</v>
      </c>
      <c r="AN602">
        <v>0.99999996082586595</v>
      </c>
    </row>
    <row r="603" spans="1:40" x14ac:dyDescent="0.25">
      <c r="A603" t="str">
        <f>"20190304164346463"</f>
        <v>20190304164346463</v>
      </c>
      <c r="B603" t="str">
        <f>"1551689026450985"</f>
        <v>1551689026450985</v>
      </c>
      <c r="C603" t="s">
        <v>40</v>
      </c>
      <c r="D603">
        <v>4.6870989999999999</v>
      </c>
      <c r="E603">
        <v>0.52565519999999999</v>
      </c>
      <c r="F603" t="s">
        <v>42</v>
      </c>
      <c r="G603">
        <v>-350.6893</v>
      </c>
      <c r="H603" s="1">
        <v>-4.2384459999999999E-6</v>
      </c>
      <c r="I603">
        <v>368.14</v>
      </c>
      <c r="J603">
        <v>-363.98489999999998</v>
      </c>
      <c r="K603">
        <v>1.1096429999999999</v>
      </c>
      <c r="L603">
        <v>367.31889999999999</v>
      </c>
      <c r="M603">
        <v>0.99993770000000004</v>
      </c>
      <c r="N603">
        <v>-8.6764890000000008E-3</v>
      </c>
      <c r="O603">
        <v>7.042843E-3</v>
      </c>
      <c r="P603">
        <v>0.95054539999999998</v>
      </c>
      <c r="Q603">
        <v>0.2952784</v>
      </c>
      <c r="R603">
        <v>9.6303899999999998E-2</v>
      </c>
      <c r="S603">
        <v>3.2185060000000001</v>
      </c>
      <c r="T603">
        <v>-0.26396789999999998</v>
      </c>
      <c r="U603">
        <v>0.19573969999999999</v>
      </c>
      <c r="V603">
        <v>-8.9595240000000007E-2</v>
      </c>
      <c r="W603">
        <v>0.30352410000000002</v>
      </c>
      <c r="X603">
        <v>0.94860199999999995</v>
      </c>
      <c r="Y603">
        <v>-5.3494029999999998E-2</v>
      </c>
      <c r="Z603">
        <v>1.9055770000000001E-3</v>
      </c>
      <c r="AA603">
        <v>0.99856630000000002</v>
      </c>
      <c r="AB603">
        <v>40</v>
      </c>
      <c r="AC603">
        <v>13.295599999999901</v>
      </c>
      <c r="AD603">
        <v>-1.1096472384460001</v>
      </c>
      <c r="AE603">
        <v>0.82110000000000105</v>
      </c>
      <c r="AF603">
        <v>-0.72242435220003998</v>
      </c>
      <c r="AG603">
        <v>-1.1096472384460001</v>
      </c>
      <c r="AH603">
        <v>13.2093925325026</v>
      </c>
      <c r="AI603">
        <v>94.794692632725898</v>
      </c>
      <c r="AJ603">
        <v>93.130399241015397</v>
      </c>
      <c r="AK603">
        <v>13.2755890647526</v>
      </c>
      <c r="AL603">
        <v>72.330607213494503</v>
      </c>
      <c r="AM603">
        <v>95.395566959084803</v>
      </c>
      <c r="AN603">
        <v>0.99999997035773303</v>
      </c>
    </row>
    <row r="604" spans="1:40" x14ac:dyDescent="0.25">
      <c r="A604" t="str">
        <f>"20190304164346477"</f>
        <v>20190304164346477</v>
      </c>
      <c r="B604" t="str">
        <f>"1551689026470505"</f>
        <v>1551689026470505</v>
      </c>
      <c r="C604" t="s">
        <v>40</v>
      </c>
      <c r="D604">
        <v>4.6597390000000001</v>
      </c>
      <c r="E604">
        <v>0.5257349</v>
      </c>
      <c r="F604" t="s">
        <v>42</v>
      </c>
      <c r="G604">
        <v>-350.5034</v>
      </c>
      <c r="H604" s="1">
        <v>-4.3190410000000001E-6</v>
      </c>
      <c r="I604">
        <v>368.1354</v>
      </c>
      <c r="J604">
        <v>-363.74979999999999</v>
      </c>
      <c r="K604">
        <v>1.109645</v>
      </c>
      <c r="L604">
        <v>367.32049999999998</v>
      </c>
      <c r="M604">
        <v>0.99993739999999998</v>
      </c>
      <c r="N604">
        <v>-8.7063439999999995E-3</v>
      </c>
      <c r="O604">
        <v>7.0433669999999896E-3</v>
      </c>
      <c r="P604">
        <v>0.95061359999999995</v>
      </c>
      <c r="Q604">
        <v>0.29492479999999999</v>
      </c>
      <c r="R604">
        <v>9.6712980000000004E-2</v>
      </c>
      <c r="S604">
        <v>3.2185670000000002</v>
      </c>
      <c r="T604">
        <v>-0.26491429999999999</v>
      </c>
      <c r="U604">
        <v>0.19494629999999999</v>
      </c>
      <c r="V604">
        <v>-9.0003940000000004E-2</v>
      </c>
      <c r="W604">
        <v>0.3031992</v>
      </c>
      <c r="X604">
        <v>0.94866719999999904</v>
      </c>
      <c r="Y604">
        <v>-5.3246729999999999E-2</v>
      </c>
      <c r="Z604">
        <v>1.9010609999999999E-3</v>
      </c>
      <c r="AA604">
        <v>0.99857960000000001</v>
      </c>
      <c r="AB604">
        <v>40</v>
      </c>
      <c r="AC604">
        <v>13.2463999999999</v>
      </c>
      <c r="AD604">
        <v>-1.1096493190409999</v>
      </c>
      <c r="AE604">
        <v>0.81490000000002205</v>
      </c>
      <c r="AF604">
        <v>-0.71656752503563204</v>
      </c>
      <c r="AG604">
        <v>-1.1096493190409999</v>
      </c>
      <c r="AH604">
        <v>13.1598118668003</v>
      </c>
      <c r="AI604">
        <v>94.812743609247093</v>
      </c>
      <c r="AJ604">
        <v>93.116745967137504</v>
      </c>
      <c r="AK604">
        <v>13.2259381141287</v>
      </c>
      <c r="AL604">
        <v>72.350143053784294</v>
      </c>
      <c r="AM604">
        <v>95.419662988120393</v>
      </c>
      <c r="AN604">
        <v>0.99999996022600002</v>
      </c>
    </row>
    <row r="605" spans="1:40" x14ac:dyDescent="0.25">
      <c r="A605" t="str">
        <f>"20190304164346488"</f>
        <v>20190304164346488</v>
      </c>
      <c r="B605" t="str">
        <f>"1551689026480264"</f>
        <v>1551689026480264</v>
      </c>
      <c r="C605" t="s">
        <v>40</v>
      </c>
      <c r="D605">
        <v>4.6464230000000004</v>
      </c>
      <c r="E605">
        <v>0.52577280000000004</v>
      </c>
      <c r="F605" t="s">
        <v>42</v>
      </c>
      <c r="G605">
        <v>-350.34620000000001</v>
      </c>
      <c r="H605" s="1">
        <v>-4.3865119999999998E-6</v>
      </c>
      <c r="I605">
        <v>368.13529999999997</v>
      </c>
      <c r="J605">
        <v>-363.5247</v>
      </c>
      <c r="K605">
        <v>1.109645</v>
      </c>
      <c r="L605">
        <v>367.32209999999998</v>
      </c>
      <c r="M605">
        <v>0.99993710000000002</v>
      </c>
      <c r="N605">
        <v>-8.7335709999999903E-3</v>
      </c>
      <c r="O605">
        <v>7.0437829999999996E-3</v>
      </c>
      <c r="P605">
        <v>0.95061890000000004</v>
      </c>
      <c r="Q605">
        <v>0.29485790000000001</v>
      </c>
      <c r="R605">
        <v>9.6863190000000002E-2</v>
      </c>
      <c r="S605">
        <v>3.2186279999999998</v>
      </c>
      <c r="T605">
        <v>-0.26645829999999998</v>
      </c>
      <c r="U605">
        <v>0.19564819999999999</v>
      </c>
      <c r="V605">
        <v>-9.0153559999999994E-2</v>
      </c>
      <c r="W605">
        <v>0.30315779999999998</v>
      </c>
      <c r="X605">
        <v>0.94866629999999996</v>
      </c>
      <c r="Y605">
        <v>-5.3459310000000003E-2</v>
      </c>
      <c r="Z605">
        <v>1.9209559999999999E-3</v>
      </c>
      <c r="AA605">
        <v>0.99856820000000002</v>
      </c>
      <c r="AB605">
        <v>40</v>
      </c>
      <c r="AC605">
        <v>13.1784999999999</v>
      </c>
      <c r="AD605">
        <v>-1.1096493865120001</v>
      </c>
      <c r="AE605">
        <v>0.81319999999999404</v>
      </c>
      <c r="AF605">
        <v>-0.715297648811688</v>
      </c>
      <c r="AG605">
        <v>-1.1096493865120001</v>
      </c>
      <c r="AH605">
        <v>13.0914364818642</v>
      </c>
      <c r="AI605">
        <v>94.8377123659087</v>
      </c>
      <c r="AJ605">
        <v>93.127450954365401</v>
      </c>
      <c r="AK605">
        <v>13.1578372708461</v>
      </c>
      <c r="AL605">
        <v>72.352633572399199</v>
      </c>
      <c r="AM605">
        <v>95.428623823565005</v>
      </c>
      <c r="AN605">
        <v>1.0000000324186</v>
      </c>
    </row>
    <row r="606" spans="1:40" x14ac:dyDescent="0.25">
      <c r="A606" t="str">
        <f>"20190304164346506"</f>
        <v>20190304164346506</v>
      </c>
      <c r="B606" t="str">
        <f>"1551689026500293"</f>
        <v>1551689026500293</v>
      </c>
      <c r="C606" t="s">
        <v>40</v>
      </c>
      <c r="D606">
        <v>4.6653349999999998</v>
      </c>
      <c r="E606">
        <v>0.52581699999999998</v>
      </c>
      <c r="F606" t="s">
        <v>42</v>
      </c>
      <c r="G606">
        <v>-350.15589999999997</v>
      </c>
      <c r="H606" s="1">
        <v>-4.4676899999999997E-6</v>
      </c>
      <c r="I606">
        <v>368.13780000000003</v>
      </c>
      <c r="J606">
        <v>-363.22770000000003</v>
      </c>
      <c r="K606">
        <v>1.1096539999999999</v>
      </c>
      <c r="L606">
        <v>367.32420000000002</v>
      </c>
      <c r="M606">
        <v>0.99993690000000002</v>
      </c>
      <c r="N606">
        <v>-8.7676799999999999E-3</v>
      </c>
      <c r="O606">
        <v>7.0441089999999998E-3</v>
      </c>
      <c r="P606">
        <v>0.95053489999999996</v>
      </c>
      <c r="Q606">
        <v>0.2949637</v>
      </c>
      <c r="R606">
        <v>9.7365199999999999E-2</v>
      </c>
      <c r="S606">
        <v>3.218658</v>
      </c>
      <c r="T606">
        <v>-0.26715650000000002</v>
      </c>
      <c r="U606">
        <v>0.19638059999999999</v>
      </c>
      <c r="V606">
        <v>-9.0655579999999999E-2</v>
      </c>
      <c r="W606">
        <v>0.3032955</v>
      </c>
      <c r="X606">
        <v>0.94857440000000004</v>
      </c>
      <c r="Y606">
        <v>-5.3682979999999998E-2</v>
      </c>
      <c r="Z606">
        <v>1.9365490000000001E-3</v>
      </c>
      <c r="AA606">
        <v>0.99855609999999995</v>
      </c>
      <c r="AB606">
        <v>40</v>
      </c>
      <c r="AC606">
        <v>13.0718</v>
      </c>
      <c r="AD606">
        <v>-1.1096584676899901</v>
      </c>
      <c r="AE606">
        <v>0.81360000000000798</v>
      </c>
      <c r="AF606">
        <v>-0.71635480947135899</v>
      </c>
      <c r="AG606">
        <v>-1.1096584676899901</v>
      </c>
      <c r="AH606">
        <v>12.984002382575101</v>
      </c>
      <c r="AI606">
        <v>94.877446898510399</v>
      </c>
      <c r="AJ606">
        <v>93.157927451028897</v>
      </c>
      <c r="AK606">
        <v>13.0510085433535</v>
      </c>
      <c r="AL606">
        <v>72.344353424018294</v>
      </c>
      <c r="AM606">
        <v>95.459196673582198</v>
      </c>
      <c r="AN606">
        <v>0.99999999342037305</v>
      </c>
    </row>
    <row r="607" spans="1:40" x14ac:dyDescent="0.25">
      <c r="A607" t="str">
        <f>"20190304164346519"</f>
        <v>20190304164346519</v>
      </c>
      <c r="B607" t="str">
        <f>"1551689026511029"</f>
        <v>1551689026511029</v>
      </c>
      <c r="C607" t="s">
        <v>40</v>
      </c>
      <c r="D607">
        <v>4.662439</v>
      </c>
      <c r="E607">
        <v>0.52584819999999999</v>
      </c>
      <c r="F607" t="s">
        <v>42</v>
      </c>
      <c r="G607">
        <v>-349.83089999999999</v>
      </c>
      <c r="H607" s="1">
        <v>-4.40519E-7</v>
      </c>
      <c r="I607">
        <v>368.14550000000003</v>
      </c>
      <c r="J607">
        <v>-362.99329999999998</v>
      </c>
      <c r="K607">
        <v>1.109658</v>
      </c>
      <c r="L607">
        <v>367.32580000000002</v>
      </c>
      <c r="M607">
        <v>0.99993659999999995</v>
      </c>
      <c r="N607">
        <v>-8.7933079999999997E-3</v>
      </c>
      <c r="O607">
        <v>7.0445309999999997E-3</v>
      </c>
      <c r="P607">
        <v>0.95051750000000002</v>
      </c>
      <c r="Q607">
        <v>0.29498649999999998</v>
      </c>
      <c r="R607">
        <v>9.746581E-2</v>
      </c>
      <c r="S607">
        <v>3.218658</v>
      </c>
      <c r="T607">
        <v>-0.26660060000000002</v>
      </c>
      <c r="U607">
        <v>0.19732669999999999</v>
      </c>
      <c r="V607">
        <v>-9.0755909999999995E-2</v>
      </c>
      <c r="W607">
        <v>0.30334280000000002</v>
      </c>
      <c r="X607">
        <v>0.94854970000000005</v>
      </c>
      <c r="Y607">
        <v>-5.3974500000000002E-2</v>
      </c>
      <c r="Z607">
        <v>1.9473019999999999E-3</v>
      </c>
      <c r="AA607">
        <v>0.99854039999999999</v>
      </c>
      <c r="AB607">
        <v>40</v>
      </c>
      <c r="AC607">
        <v>13.1623999999999</v>
      </c>
      <c r="AD607">
        <v>-1.109658440519</v>
      </c>
      <c r="AE607">
        <v>0.81970000000001098</v>
      </c>
      <c r="AF607">
        <v>-0.72184256980878703</v>
      </c>
      <c r="AG607">
        <v>-1.109658440519</v>
      </c>
      <c r="AH607">
        <v>13.075276290632001</v>
      </c>
      <c r="AI607">
        <v>94.843552414151702</v>
      </c>
      <c r="AJ607">
        <v>93.159902037547297</v>
      </c>
      <c r="AK607">
        <v>13.1421173570535</v>
      </c>
      <c r="AL607">
        <v>72.341509675043895</v>
      </c>
      <c r="AM607">
        <v>95.465343345312604</v>
      </c>
      <c r="AN607">
        <v>1.00000001144092</v>
      </c>
    </row>
    <row r="608" spans="1:40" x14ac:dyDescent="0.25">
      <c r="A608" t="str">
        <f>"20190304164346531"</f>
        <v>20190304164346531</v>
      </c>
      <c r="B608" t="str">
        <f>"1551689026520789"</f>
        <v>1551689026520789</v>
      </c>
      <c r="C608" t="s">
        <v>40</v>
      </c>
      <c r="D608">
        <v>4.6425519999999896</v>
      </c>
      <c r="E608">
        <v>0.52591469999999996</v>
      </c>
      <c r="F608" t="s">
        <v>42</v>
      </c>
      <c r="G608">
        <v>-349.59870000000001</v>
      </c>
      <c r="H608" s="1">
        <v>-5.2942780000000001E-7</v>
      </c>
      <c r="I608">
        <v>368.1465</v>
      </c>
      <c r="J608">
        <v>-362.774</v>
      </c>
      <c r="K608">
        <v>1.109659</v>
      </c>
      <c r="L608">
        <v>367.32740000000001</v>
      </c>
      <c r="M608">
        <v>0.99993639999999995</v>
      </c>
      <c r="N608">
        <v>-8.8162080000000007E-3</v>
      </c>
      <c r="O608">
        <v>7.0447269999999998E-3</v>
      </c>
      <c r="P608">
        <v>0.95041070000000005</v>
      </c>
      <c r="Q608">
        <v>0.29533759999999998</v>
      </c>
      <c r="R608">
        <v>9.7443489999999994E-2</v>
      </c>
      <c r="S608">
        <v>3.2187190000000001</v>
      </c>
      <c r="T608">
        <v>-0.26665029999999901</v>
      </c>
      <c r="U608">
        <v>0.19720460000000001</v>
      </c>
      <c r="V608">
        <v>-9.073378E-2</v>
      </c>
      <c r="W608">
        <v>0.3037144</v>
      </c>
      <c r="X608">
        <v>0.94843290000000002</v>
      </c>
      <c r="Y608">
        <v>-5.3935450000000003E-2</v>
      </c>
      <c r="Z608">
        <v>1.946559E-3</v>
      </c>
      <c r="AA608">
        <v>0.9985425</v>
      </c>
      <c r="AB608">
        <v>40</v>
      </c>
      <c r="AC608">
        <v>13.175299999999901</v>
      </c>
      <c r="AD608">
        <v>-1.1096595294278</v>
      </c>
      <c r="AE608">
        <v>0.81909999999999095</v>
      </c>
      <c r="AF608">
        <v>-0.72116382613728602</v>
      </c>
      <c r="AG608">
        <v>-1.1096595294278</v>
      </c>
      <c r="AH608">
        <v>13.0882599274304</v>
      </c>
      <c r="AI608">
        <v>94.8388033644042</v>
      </c>
      <c r="AJ608">
        <v>93.1538114395983</v>
      </c>
      <c r="AK608">
        <v>13.1549978891431</v>
      </c>
      <c r="AL608">
        <v>72.319164350196402</v>
      </c>
      <c r="AM608">
        <v>95.464687561150697</v>
      </c>
      <c r="AN608">
        <v>1.00000001070142</v>
      </c>
    </row>
    <row r="609" spans="1:40" x14ac:dyDescent="0.25">
      <c r="A609" t="str">
        <f>"20190304164346551"</f>
        <v>20190304164346551</v>
      </c>
      <c r="B609" t="str">
        <f>"1551689026540308"</f>
        <v>1551689026540308</v>
      </c>
      <c r="C609" t="s">
        <v>40</v>
      </c>
      <c r="D609">
        <v>5.0606419999999996</v>
      </c>
      <c r="E609">
        <v>0.52598109999999998</v>
      </c>
      <c r="F609" t="s">
        <v>42</v>
      </c>
      <c r="G609">
        <v>-349.30149999999998</v>
      </c>
      <c r="H609" s="1">
        <v>-6.4265450000000002E-7</v>
      </c>
      <c r="I609">
        <v>368.1499</v>
      </c>
      <c r="J609">
        <v>-362.4239</v>
      </c>
      <c r="K609">
        <v>1.1096649999999999</v>
      </c>
      <c r="L609">
        <v>367.32990000000001</v>
      </c>
      <c r="M609">
        <v>0.99993609999999999</v>
      </c>
      <c r="N609">
        <v>-8.8505240000000002E-3</v>
      </c>
      <c r="O609">
        <v>7.0454080000000004E-3</v>
      </c>
      <c r="P609">
        <v>0.95034189999999996</v>
      </c>
      <c r="Q609">
        <v>0.29570030000000003</v>
      </c>
      <c r="R609">
        <v>9.7015480000000001E-2</v>
      </c>
      <c r="S609">
        <v>3.21875</v>
      </c>
      <c r="T609">
        <v>-0.2651116</v>
      </c>
      <c r="U609">
        <v>0.1965027</v>
      </c>
      <c r="V609">
        <v>-9.0305800000000006E-2</v>
      </c>
      <c r="W609">
        <v>0.30410870000000001</v>
      </c>
      <c r="X609">
        <v>0.94834739999999995</v>
      </c>
      <c r="Y609">
        <v>-5.3719940000000001E-2</v>
      </c>
      <c r="Z609">
        <v>1.928393E-3</v>
      </c>
      <c r="AA609">
        <v>0.99855419999999995</v>
      </c>
      <c r="AB609">
        <v>40</v>
      </c>
      <c r="AC609">
        <v>13.122400000000001</v>
      </c>
      <c r="AD609">
        <v>-1.1096656426545</v>
      </c>
      <c r="AE609">
        <v>0.81999999999999296</v>
      </c>
      <c r="AF609">
        <v>-0.72237784747366296</v>
      </c>
      <c r="AG609">
        <v>-1.1096656426545</v>
      </c>
      <c r="AH609">
        <v>13.035002940235801</v>
      </c>
      <c r="AI609">
        <v>94.858420636732006</v>
      </c>
      <c r="AJ609">
        <v>93.171990724847902</v>
      </c>
      <c r="AK609">
        <v>13.102079577111599</v>
      </c>
      <c r="AL609">
        <v>72.295451067115593</v>
      </c>
      <c r="AM609">
        <v>95.439553676099393</v>
      </c>
      <c r="AN609">
        <v>1.0000000150080399</v>
      </c>
    </row>
    <row r="610" spans="1:40" x14ac:dyDescent="0.25">
      <c r="A610" t="str">
        <f>"20190304164346564"</f>
        <v>20190304164346564</v>
      </c>
      <c r="B610" t="str">
        <f>"1551689026560805"</f>
        <v>1551689026560805</v>
      </c>
      <c r="C610" t="s">
        <v>40</v>
      </c>
      <c r="D610">
        <v>4.6640389999999998</v>
      </c>
      <c r="E610">
        <v>0.52617080000000005</v>
      </c>
      <c r="F610" t="s">
        <v>42</v>
      </c>
      <c r="G610">
        <v>-348.88889999999998</v>
      </c>
      <c r="H610" s="1">
        <v>-8.0074349999999899E-7</v>
      </c>
      <c r="I610">
        <v>368.15109999999999</v>
      </c>
      <c r="J610">
        <v>-362.18610000000001</v>
      </c>
      <c r="K610">
        <v>1.109666</v>
      </c>
      <c r="L610">
        <v>367.33159999999998</v>
      </c>
      <c r="M610">
        <v>0.99993589999999999</v>
      </c>
      <c r="N610">
        <v>-8.873822E-3</v>
      </c>
      <c r="O610">
        <v>7.0458400000000003E-3</v>
      </c>
      <c r="P610">
        <v>0.95024090000000005</v>
      </c>
      <c r="Q610">
        <v>0.29603610000000002</v>
      </c>
      <c r="R610">
        <v>9.6978369999999994E-2</v>
      </c>
      <c r="S610">
        <v>3.2189329999999998</v>
      </c>
      <c r="T610">
        <v>-0.263905</v>
      </c>
      <c r="U610">
        <v>0.1953125</v>
      </c>
      <c r="V610">
        <v>-9.0269189999999999E-2</v>
      </c>
      <c r="W610">
        <v>0.30446620000000002</v>
      </c>
      <c r="X610">
        <v>0.94823619999999997</v>
      </c>
      <c r="Y610">
        <v>-5.3351059999999999E-2</v>
      </c>
      <c r="Z610">
        <v>1.9049679999999999E-3</v>
      </c>
      <c r="AA610">
        <v>0.99857399999999996</v>
      </c>
      <c r="AB610">
        <v>40</v>
      </c>
      <c r="AC610">
        <v>13.2972</v>
      </c>
      <c r="AD610">
        <v>-1.1096668007435</v>
      </c>
      <c r="AE610">
        <v>0.819500000000005</v>
      </c>
      <c r="AF610">
        <v>-0.72078540713581096</v>
      </c>
      <c r="AG610">
        <v>-1.1096668007435</v>
      </c>
      <c r="AH610">
        <v>13.2109897143044</v>
      </c>
      <c r="AI610">
        <v>94.794233748800494</v>
      </c>
      <c r="AJ610">
        <v>93.122934608982703</v>
      </c>
      <c r="AK610">
        <v>13.277090842623201</v>
      </c>
      <c r="AL610">
        <v>72.273948663794599</v>
      </c>
      <c r="AM610">
        <v>95.437995517307897</v>
      </c>
      <c r="AN610">
        <v>1.0000000422980599</v>
      </c>
    </row>
    <row r="611" spans="1:40" x14ac:dyDescent="0.25">
      <c r="A611" t="str">
        <f>"20190304164346577"</f>
        <v>20190304164346577</v>
      </c>
      <c r="B611" t="str">
        <f>"1551689026570565"</f>
        <v>1551689026570565</v>
      </c>
      <c r="C611" t="s">
        <v>40</v>
      </c>
      <c r="D611">
        <v>4.7469010000000003</v>
      </c>
      <c r="E611">
        <v>0.55469369999999996</v>
      </c>
      <c r="F611" t="s">
        <v>42</v>
      </c>
      <c r="G611">
        <v>-348.47379999999998</v>
      </c>
      <c r="H611" s="1">
        <v>-9.6073500000000009E-7</v>
      </c>
      <c r="I611">
        <v>368.15719999999999</v>
      </c>
      <c r="J611">
        <v>-361.9554</v>
      </c>
      <c r="K611">
        <v>1.1096649999999999</v>
      </c>
      <c r="L611">
        <v>367.33319999999998</v>
      </c>
      <c r="M611">
        <v>0.99993569999999998</v>
      </c>
      <c r="N611">
        <v>-8.8965559999999999E-3</v>
      </c>
      <c r="O611">
        <v>7.0460360000000003E-3</v>
      </c>
      <c r="P611">
        <v>0.95030329999999996</v>
      </c>
      <c r="Q611">
        <v>0.29591089999999998</v>
      </c>
      <c r="R611">
        <v>9.6749859999999993E-2</v>
      </c>
      <c r="S611">
        <v>3.2185060000000001</v>
      </c>
      <c r="T611">
        <v>-0.26045889999999999</v>
      </c>
      <c r="U611">
        <v>0.1937866</v>
      </c>
      <c r="V611">
        <v>-9.0039889999999997E-2</v>
      </c>
      <c r="W611">
        <v>0.3043631</v>
      </c>
      <c r="X611">
        <v>0.94829110000000005</v>
      </c>
      <c r="Y611">
        <v>-5.2893059999999999E-2</v>
      </c>
      <c r="Z611">
        <v>1.864522E-3</v>
      </c>
      <c r="AA611">
        <v>0.99859849999999994</v>
      </c>
      <c r="AB611">
        <v>40</v>
      </c>
      <c r="AC611">
        <v>13.4816</v>
      </c>
      <c r="AD611">
        <v>-1.1096659607349999</v>
      </c>
      <c r="AE611">
        <v>0.82400000000001195</v>
      </c>
      <c r="AF611">
        <v>-0.724096544951365</v>
      </c>
      <c r="AG611">
        <v>-1.1096659607349999</v>
      </c>
      <c r="AH611">
        <v>13.3966485706932</v>
      </c>
      <c r="AI611">
        <v>94.728221822624405</v>
      </c>
      <c r="AJ611">
        <v>93.093859247489704</v>
      </c>
      <c r="AK611">
        <v>13.4620157211868</v>
      </c>
      <c r="AL611">
        <v>72.280150223188897</v>
      </c>
      <c r="AM611">
        <v>95.423952364931296</v>
      </c>
      <c r="AN611">
        <v>1.00000004438601</v>
      </c>
    </row>
    <row r="612" spans="1:40" x14ac:dyDescent="0.25">
      <c r="A612" t="str">
        <f>"20190304164346587"</f>
        <v>20190304164346587</v>
      </c>
      <c r="B612" t="str">
        <f>"1551689026580324"</f>
        <v>1551689026580324</v>
      </c>
      <c r="C612" t="s">
        <v>40</v>
      </c>
      <c r="D612">
        <v>4.7395300000000002</v>
      </c>
      <c r="E612">
        <v>0.56272829999999996</v>
      </c>
      <c r="F612" t="s">
        <v>41</v>
      </c>
      <c r="G612">
        <v>-360.91579999999999</v>
      </c>
      <c r="H612">
        <v>1.04796</v>
      </c>
      <c r="I612">
        <v>367.32</v>
      </c>
      <c r="J612">
        <v>-361.74529999999999</v>
      </c>
      <c r="K612">
        <v>1.109666</v>
      </c>
      <c r="L612">
        <v>367.3347</v>
      </c>
      <c r="M612">
        <v>0.99993540000000003</v>
      </c>
      <c r="N612">
        <v>-8.9174530000000005E-3</v>
      </c>
      <c r="O612">
        <v>7.0464780000000001E-3</v>
      </c>
      <c r="P612">
        <v>0.95024379999999997</v>
      </c>
      <c r="Q612">
        <v>0.29613859999999997</v>
      </c>
      <c r="R612">
        <v>9.6637459999999994E-2</v>
      </c>
      <c r="S612">
        <v>3.2205509999999999</v>
      </c>
      <c r="T612">
        <v>-0.19125819999999999</v>
      </c>
      <c r="U612">
        <v>-4.0496829999999998E-2</v>
      </c>
      <c r="V612">
        <v>-8.9927549999999995E-2</v>
      </c>
      <c r="W612">
        <v>0.30460969999999998</v>
      </c>
      <c r="X612">
        <v>0.94822249999999997</v>
      </c>
      <c r="Y612">
        <v>1.9570770000000001E-2</v>
      </c>
      <c r="Z612">
        <v>-1.0232399999999999E-3</v>
      </c>
      <c r="AA612">
        <v>0.99980800000000003</v>
      </c>
      <c r="AB612">
        <v>40</v>
      </c>
      <c r="AC612">
        <v>0.82949999999999502</v>
      </c>
      <c r="AD612">
        <v>-6.1705999999999997E-2</v>
      </c>
      <c r="AE612">
        <v>-1.47000000000048E-2</v>
      </c>
      <c r="AF612">
        <v>2.0431890876468899E-2</v>
      </c>
      <c r="AG612">
        <v>-6.1705999999999997E-2</v>
      </c>
      <c r="AH612">
        <v>0.82481291575540205</v>
      </c>
      <c r="AI612">
        <v>94.277141247862403</v>
      </c>
      <c r="AJ612">
        <v>88.580985178899397</v>
      </c>
      <c r="AK612">
        <v>0.82737019440980397</v>
      </c>
      <c r="AL612">
        <v>72.265315406984897</v>
      </c>
      <c r="AM612">
        <v>95.417614931998799</v>
      </c>
      <c r="AN612">
        <v>0.99999997154467002</v>
      </c>
    </row>
    <row r="613" spans="1:40" x14ac:dyDescent="0.25">
      <c r="A613" t="str">
        <f>"20190304164346599"</f>
        <v>20190304164346599</v>
      </c>
      <c r="B613" t="str">
        <f>"1551689026590591"</f>
        <v>1551689026590591</v>
      </c>
      <c r="C613" t="s">
        <v>40</v>
      </c>
      <c r="D613">
        <v>4.7000390000000003</v>
      </c>
      <c r="E613">
        <v>0.56736489999999995</v>
      </c>
      <c r="F613" t="s">
        <v>41</v>
      </c>
      <c r="G613">
        <v>-360.91539999999998</v>
      </c>
      <c r="H613">
        <v>1.0500100000000001</v>
      </c>
      <c r="I613">
        <v>367.30869999999999</v>
      </c>
      <c r="J613">
        <v>-361.55</v>
      </c>
      <c r="K613">
        <v>1.1096680000000001</v>
      </c>
      <c r="L613">
        <v>367.33600000000001</v>
      </c>
      <c r="M613">
        <v>0.99993529999999997</v>
      </c>
      <c r="N613">
        <v>-8.9367179999999997E-3</v>
      </c>
      <c r="O613">
        <v>7.0468680000000004E-3</v>
      </c>
      <c r="P613">
        <v>0.95029209999999997</v>
      </c>
      <c r="Q613">
        <v>0.29600779999999999</v>
      </c>
      <c r="R613">
        <v>9.6565650000000003E-2</v>
      </c>
      <c r="S613">
        <v>3.23996</v>
      </c>
      <c r="T613">
        <v>-0.2329957</v>
      </c>
      <c r="U613">
        <v>-0.1005249</v>
      </c>
      <c r="V613">
        <v>-8.9854959999999998E-2</v>
      </c>
      <c r="W613">
        <v>0.30449749999999998</v>
      </c>
      <c r="X613">
        <v>0.94826540000000004</v>
      </c>
      <c r="Y613">
        <v>3.7930650000000003E-2</v>
      </c>
      <c r="Z613">
        <v>-1.9746569999999999E-3</v>
      </c>
      <c r="AA613">
        <v>0.99927840000000001</v>
      </c>
      <c r="AB613">
        <v>40</v>
      </c>
      <c r="AC613">
        <v>0.63460000000003403</v>
      </c>
      <c r="AD613">
        <v>-5.9657999999999899E-2</v>
      </c>
      <c r="AE613">
        <v>-2.73000000000252E-2</v>
      </c>
      <c r="AF613">
        <v>3.1493627037258803E-2</v>
      </c>
      <c r="AG613">
        <v>-5.9657999999999899E-2</v>
      </c>
      <c r="AH613">
        <v>0.62884460657798202</v>
      </c>
      <c r="AI613">
        <v>95.412643199849995</v>
      </c>
      <c r="AJ613">
        <v>87.132923574069693</v>
      </c>
      <c r="AK613">
        <v>0.63245273715130601</v>
      </c>
      <c r="AL613">
        <v>72.272064311969203</v>
      </c>
      <c r="AM613">
        <v>95.413024347953794</v>
      </c>
      <c r="AN613">
        <v>0.99999995509000394</v>
      </c>
    </row>
    <row r="614" spans="1:40" x14ac:dyDescent="0.25">
      <c r="A614" t="str">
        <f>"20190304164346610"</f>
        <v>20190304164346610</v>
      </c>
      <c r="B614" t="str">
        <f>"1551689026600352"</f>
        <v>1551689026600352</v>
      </c>
      <c r="C614" t="s">
        <v>40</v>
      </c>
      <c r="D614">
        <v>4.7876149999999997</v>
      </c>
      <c r="E614">
        <v>0.57028630000000002</v>
      </c>
      <c r="F614" t="s">
        <v>41</v>
      </c>
      <c r="G614">
        <v>-360.56689999999998</v>
      </c>
      <c r="H614">
        <v>1.0327500000000001</v>
      </c>
      <c r="I614">
        <v>367.29489999999998</v>
      </c>
      <c r="J614">
        <v>-361.34449999999998</v>
      </c>
      <c r="K614">
        <v>1.1096760000000001</v>
      </c>
      <c r="L614">
        <v>367.33749999999998</v>
      </c>
      <c r="M614">
        <v>0.99993520000000002</v>
      </c>
      <c r="N614">
        <v>-8.9568149999999999E-3</v>
      </c>
      <c r="O614">
        <v>7.0473130000000004E-3</v>
      </c>
      <c r="P614">
        <v>0.95038339999999999</v>
      </c>
      <c r="Q614">
        <v>0.29576180000000002</v>
      </c>
      <c r="R614">
        <v>9.6419110000000002E-2</v>
      </c>
      <c r="S614">
        <v>3.2499389999999999</v>
      </c>
      <c r="T614">
        <v>-0.25433549999999999</v>
      </c>
      <c r="U614">
        <v>-0.13598629999999901</v>
      </c>
      <c r="V614">
        <v>-8.9707129999999996E-2</v>
      </c>
      <c r="W614">
        <v>0.30427179999999998</v>
      </c>
      <c r="X614">
        <v>0.94835190000000003</v>
      </c>
      <c r="Y614">
        <v>4.8664060000000002E-2</v>
      </c>
      <c r="Z614">
        <v>-2.606302E-3</v>
      </c>
      <c r="AA614">
        <v>0.99881180000000003</v>
      </c>
      <c r="AB614">
        <v>40</v>
      </c>
      <c r="AC614">
        <v>0.77760000000000595</v>
      </c>
      <c r="AD614">
        <v>-7.6925999999999994E-2</v>
      </c>
      <c r="AE614">
        <v>-4.2599999999992998E-2</v>
      </c>
      <c r="AF614">
        <v>4.7614559283203399E-2</v>
      </c>
      <c r="AG614">
        <v>-7.6925999999999994E-2</v>
      </c>
      <c r="AH614">
        <v>0.76976954286413102</v>
      </c>
      <c r="AI614">
        <v>95.696023386855501</v>
      </c>
      <c r="AJ614">
        <v>86.460444658679194</v>
      </c>
      <c r="AK614">
        <v>0.77506767759530903</v>
      </c>
      <c r="AL614">
        <v>72.285641193244899</v>
      </c>
      <c r="AM614">
        <v>95.403681568813795</v>
      </c>
      <c r="AN614">
        <v>1.0000000118408401</v>
      </c>
    </row>
    <row r="615" spans="1:40" x14ac:dyDescent="0.25">
      <c r="A615" t="str">
        <f>"20190304164346621"</f>
        <v>20190304164346621</v>
      </c>
      <c r="B615" t="str">
        <f>"1551689026611089"</f>
        <v>1551689026611089</v>
      </c>
      <c r="C615" t="s">
        <v>40</v>
      </c>
      <c r="D615">
        <v>4.7708779999999997</v>
      </c>
      <c r="E615">
        <v>0.57230899999999996</v>
      </c>
      <c r="F615" t="s">
        <v>41</v>
      </c>
      <c r="G615">
        <v>-360.56049999999999</v>
      </c>
      <c r="H615">
        <v>1.0454289999999999</v>
      </c>
      <c r="I615">
        <v>367.29930000000002</v>
      </c>
      <c r="J615">
        <v>-361.1549</v>
      </c>
      <c r="K615">
        <v>1.109675</v>
      </c>
      <c r="L615">
        <v>367.33879999999999</v>
      </c>
      <c r="M615">
        <v>0.99993489999999996</v>
      </c>
      <c r="N615">
        <v>-8.9746730000000007E-3</v>
      </c>
      <c r="O615">
        <v>7.0478880000000004E-3</v>
      </c>
      <c r="P615">
        <v>0.95043060000000001</v>
      </c>
      <c r="Q615">
        <v>0.2956935</v>
      </c>
      <c r="R615">
        <v>9.6160250000000003E-2</v>
      </c>
      <c r="S615">
        <v>3.2557680000000002</v>
      </c>
      <c r="T615">
        <v>-0.26689020000000002</v>
      </c>
      <c r="U615">
        <v>-0.15841669999999999</v>
      </c>
      <c r="V615">
        <v>-8.9447730000000003E-2</v>
      </c>
      <c r="W615">
        <v>0.3042205</v>
      </c>
      <c r="X615">
        <v>0.94839289999999998</v>
      </c>
      <c r="Y615">
        <v>5.5413839999999999E-2</v>
      </c>
      <c r="Z615">
        <v>-3.0287420000000001E-3</v>
      </c>
      <c r="AA615">
        <v>0.99845890000000004</v>
      </c>
      <c r="AB615">
        <v>40</v>
      </c>
      <c r="AC615">
        <v>0.59440000000000703</v>
      </c>
      <c r="AD615">
        <v>-6.4245999999999803E-2</v>
      </c>
      <c r="AE615">
        <v>-3.9499999999975402E-2</v>
      </c>
      <c r="AF615">
        <v>4.3186149589306597E-2</v>
      </c>
      <c r="AG615">
        <v>-6.4245999999999803E-2</v>
      </c>
      <c r="AH615">
        <v>0.58727616312196995</v>
      </c>
      <c r="AI615">
        <v>96.226456011016893</v>
      </c>
      <c r="AJ615">
        <v>85.794247205668697</v>
      </c>
      <c r="AK615">
        <v>0.59235621361104396</v>
      </c>
      <c r="AL615">
        <v>72.288727456546795</v>
      </c>
      <c r="AM615">
        <v>95.387916640189104</v>
      </c>
      <c r="AN615">
        <v>1.0000000508964</v>
      </c>
    </row>
    <row r="616" spans="1:40" x14ac:dyDescent="0.25">
      <c r="A616" t="str">
        <f>"20190304164346633"</f>
        <v>20190304164346633</v>
      </c>
      <c r="B616" t="str">
        <f>"1551689026620847"</f>
        <v>1551689026620847</v>
      </c>
      <c r="C616" t="s">
        <v>40</v>
      </c>
      <c r="D616">
        <v>4.6590410000000002</v>
      </c>
      <c r="E616">
        <v>0.57394109999999998</v>
      </c>
      <c r="F616" t="s">
        <v>41</v>
      </c>
      <c r="G616">
        <v>-360.20870000000002</v>
      </c>
      <c r="H616">
        <v>1.029215</v>
      </c>
      <c r="I616">
        <v>367.28800000000001</v>
      </c>
      <c r="J616">
        <v>-360.93680000000001</v>
      </c>
      <c r="K616">
        <v>1.109677</v>
      </c>
      <c r="L616">
        <v>367.34039999999999</v>
      </c>
      <c r="M616">
        <v>0.99993489999999996</v>
      </c>
      <c r="N616">
        <v>-8.9949239999999996E-3</v>
      </c>
      <c r="O616">
        <v>7.0479749999999997E-3</v>
      </c>
      <c r="P616">
        <v>0.95055940000000005</v>
      </c>
      <c r="Q616">
        <v>0.295251599999999</v>
      </c>
      <c r="R616">
        <v>9.6248719999999996E-2</v>
      </c>
      <c r="S616">
        <v>3.2604679999999999</v>
      </c>
      <c r="T616">
        <v>-0.27748850000000003</v>
      </c>
      <c r="U616">
        <v>-0.17428589999999999</v>
      </c>
      <c r="V616">
        <v>-8.953498E-2</v>
      </c>
      <c r="W616">
        <v>0.3037994</v>
      </c>
      <c r="X616">
        <v>0.94851960000000002</v>
      </c>
      <c r="Y616">
        <v>6.015471E-2</v>
      </c>
      <c r="Z616">
        <v>-3.3597430000000001E-3</v>
      </c>
      <c r="AA616">
        <v>0.99818340000000005</v>
      </c>
      <c r="AB616">
        <v>40</v>
      </c>
      <c r="AC616">
        <v>0.72809999999998298</v>
      </c>
      <c r="AD616">
        <v>-8.0462000000000006E-2</v>
      </c>
      <c r="AE616">
        <v>-5.2399999999977298E-2</v>
      </c>
      <c r="AF616">
        <v>5.68399623385826E-2</v>
      </c>
      <c r="AG616">
        <v>-8.0462000000000006E-2</v>
      </c>
      <c r="AH616">
        <v>0.71897741800609305</v>
      </c>
      <c r="AI616">
        <v>96.365801694134802</v>
      </c>
      <c r="AJ616">
        <v>85.479787719014496</v>
      </c>
      <c r="AK616">
        <v>0.72569514423438097</v>
      </c>
      <c r="AL616">
        <v>72.314052664557494</v>
      </c>
      <c r="AM616">
        <v>95.392425052134598</v>
      </c>
      <c r="AN616">
        <v>1.00000000983406</v>
      </c>
    </row>
    <row r="617" spans="1:40" x14ac:dyDescent="0.25">
      <c r="A617" t="str">
        <f>"20190304164346650"</f>
        <v>20190304164346650</v>
      </c>
      <c r="B617" t="str">
        <f>"1551689026640371"</f>
        <v>1551689026640371</v>
      </c>
      <c r="C617" t="s">
        <v>40</v>
      </c>
      <c r="D617">
        <v>4.6159169999999996</v>
      </c>
      <c r="E617">
        <v>0.57599929999999999</v>
      </c>
      <c r="F617" t="s">
        <v>41</v>
      </c>
      <c r="G617">
        <v>-360.20080000000002</v>
      </c>
      <c r="H617">
        <v>1.0453349999999999</v>
      </c>
      <c r="I617">
        <v>367.29809999999998</v>
      </c>
      <c r="J617">
        <v>-360.63549999999998</v>
      </c>
      <c r="K617">
        <v>1.1096729999999999</v>
      </c>
      <c r="L617">
        <v>367.34249999999997</v>
      </c>
      <c r="M617">
        <v>0.99993449999999995</v>
      </c>
      <c r="N617">
        <v>-9.020943E-3</v>
      </c>
      <c r="O617">
        <v>7.0486910000000002E-3</v>
      </c>
      <c r="P617">
        <v>0.95076950000000005</v>
      </c>
      <c r="Q617">
        <v>0.29456130000000003</v>
      </c>
      <c r="R617">
        <v>9.6285099999999998E-2</v>
      </c>
      <c r="S617">
        <v>3.2636409999999998</v>
      </c>
      <c r="T617">
        <v>-0.28565590000000002</v>
      </c>
      <c r="U617">
        <v>-0.18600459999999999</v>
      </c>
      <c r="V617">
        <v>-8.9568869999999995E-2</v>
      </c>
      <c r="W617">
        <v>0.30313559999999901</v>
      </c>
      <c r="X617">
        <v>0.94872869999999998</v>
      </c>
      <c r="Y617">
        <v>6.3647460000000003E-2</v>
      </c>
      <c r="Z617">
        <v>-3.6176709999999998E-3</v>
      </c>
      <c r="AA617">
        <v>0.99796589999999996</v>
      </c>
      <c r="AB617">
        <v>40</v>
      </c>
      <c r="AC617">
        <v>0.434699999999963</v>
      </c>
      <c r="AD617">
        <v>-6.4337999999999701E-2</v>
      </c>
      <c r="AE617">
        <v>-4.4399999999995998E-2</v>
      </c>
      <c r="AF617">
        <v>4.6455947421393903E-2</v>
      </c>
      <c r="AG617">
        <v>-6.4337999999999701E-2</v>
      </c>
      <c r="AH617">
        <v>0.42515900612264101</v>
      </c>
      <c r="AI617">
        <v>98.554946086713002</v>
      </c>
      <c r="AJ617">
        <v>83.764187426677296</v>
      </c>
      <c r="AK617">
        <v>0.432501692230228</v>
      </c>
      <c r="AL617">
        <v>72.353967034144603</v>
      </c>
      <c r="AM617">
        <v>95.393272180034501</v>
      </c>
      <c r="AN617">
        <v>0.99999996033206195</v>
      </c>
    </row>
    <row r="618" spans="1:40" x14ac:dyDescent="0.25">
      <c r="A618" t="str">
        <f>"20190304164346662"</f>
        <v>20190304164346662</v>
      </c>
      <c r="B618" t="str">
        <f>"1551689026651104"</f>
        <v>1551689026651104</v>
      </c>
      <c r="C618" t="s">
        <v>40</v>
      </c>
      <c r="D618">
        <v>4.6375400000000004</v>
      </c>
      <c r="E618">
        <v>0.57657419999999904</v>
      </c>
      <c r="F618" t="s">
        <v>41</v>
      </c>
      <c r="G618">
        <v>-359.84399999999999</v>
      </c>
      <c r="H618">
        <v>1.03782</v>
      </c>
      <c r="I618">
        <v>367.29360000000003</v>
      </c>
      <c r="J618">
        <v>-360.42680000000001</v>
      </c>
      <c r="K618">
        <v>1.1096760000000001</v>
      </c>
      <c r="L618">
        <v>367.34390000000002</v>
      </c>
      <c r="M618">
        <v>0.9999344</v>
      </c>
      <c r="N618">
        <v>-9.0392500000000004E-3</v>
      </c>
      <c r="O618">
        <v>7.0490839999999997E-3</v>
      </c>
      <c r="P618">
        <v>0.95090560000000002</v>
      </c>
      <c r="Q618">
        <v>0.29421340000000001</v>
      </c>
      <c r="R618">
        <v>9.6006069999999999E-2</v>
      </c>
      <c r="S618">
        <v>3.267639</v>
      </c>
      <c r="T618">
        <v>-0.29666169999999997</v>
      </c>
      <c r="U618">
        <v>-0.20175170000000001</v>
      </c>
      <c r="V618">
        <v>-8.9289140000000003E-2</v>
      </c>
      <c r="W618">
        <v>0.30280610000000002</v>
      </c>
      <c r="X618">
        <v>0.94886029999999999</v>
      </c>
      <c r="Y618">
        <v>6.8327959999999993E-2</v>
      </c>
      <c r="Z618">
        <v>-3.9767379999999996E-3</v>
      </c>
      <c r="AA618">
        <v>0.99765499999999996</v>
      </c>
      <c r="AB618">
        <v>40</v>
      </c>
      <c r="AC618">
        <v>0.58280000000001997</v>
      </c>
      <c r="AD618">
        <v>-7.18560000000001E-2</v>
      </c>
      <c r="AE618">
        <v>-5.0299999999992899E-2</v>
      </c>
      <c r="AF618">
        <v>5.3598371490146297E-2</v>
      </c>
      <c r="AG618">
        <v>-7.18560000000001E-2</v>
      </c>
      <c r="AH618">
        <v>0.57377320271532495</v>
      </c>
      <c r="AI618">
        <v>97.107600331017494</v>
      </c>
      <c r="AJ618">
        <v>84.663266974734796</v>
      </c>
      <c r="AK618">
        <v>0.58073381020618897</v>
      </c>
      <c r="AL618">
        <v>72.373777369704996</v>
      </c>
      <c r="AM618">
        <v>95.375786145824094</v>
      </c>
      <c r="AN618">
        <v>0.99999997681761899</v>
      </c>
    </row>
    <row r="619" spans="1:40" x14ac:dyDescent="0.25">
      <c r="A619" t="str">
        <f>"20190304164346673"</f>
        <v>20190304164346673</v>
      </c>
      <c r="B619" t="str">
        <f>"1551689026660864"</f>
        <v>1551689026660864</v>
      </c>
      <c r="C619" t="s">
        <v>40</v>
      </c>
      <c r="D619">
        <v>4.632339</v>
      </c>
      <c r="E619">
        <v>0.57714779999999999</v>
      </c>
      <c r="F619" t="s">
        <v>41</v>
      </c>
      <c r="G619">
        <v>-359.49029999999999</v>
      </c>
      <c r="H619">
        <v>1.0232289999999999</v>
      </c>
      <c r="I619">
        <v>367.28449999999998</v>
      </c>
      <c r="J619">
        <v>-360.22109999999998</v>
      </c>
      <c r="K619">
        <v>1.1096699999999999</v>
      </c>
      <c r="L619">
        <v>367.34539999999998</v>
      </c>
      <c r="M619">
        <v>0.99993430000000005</v>
      </c>
      <c r="N619">
        <v>-9.0574379999999993E-3</v>
      </c>
      <c r="O619">
        <v>7.0493580000000004E-3</v>
      </c>
      <c r="P619">
        <v>0.95085779999999998</v>
      </c>
      <c r="Q619">
        <v>0.29432530000000001</v>
      </c>
      <c r="R619">
        <v>9.6136570000000005E-2</v>
      </c>
      <c r="S619">
        <v>3.2691650000000001</v>
      </c>
      <c r="T619">
        <v>-0.30201129999999998</v>
      </c>
      <c r="U619">
        <v>-0.2064819</v>
      </c>
      <c r="V619">
        <v>-8.9419219999999994E-2</v>
      </c>
      <c r="W619">
        <v>0.30293520000000002</v>
      </c>
      <c r="X619">
        <v>0.94880690000000001</v>
      </c>
      <c r="Y619">
        <v>6.9719660000000003E-2</v>
      </c>
      <c r="Z619">
        <v>-4.1127639999999997E-3</v>
      </c>
      <c r="AA619">
        <v>0.9975581</v>
      </c>
      <c r="AB619">
        <v>40</v>
      </c>
      <c r="AC619">
        <v>0.73079999999998702</v>
      </c>
      <c r="AD619">
        <v>-8.6440999999999907E-2</v>
      </c>
      <c r="AE619">
        <v>-6.0900000000003701E-2</v>
      </c>
      <c r="AF619">
        <v>6.5145220114161601E-2</v>
      </c>
      <c r="AG619">
        <v>-8.6440999999999907E-2</v>
      </c>
      <c r="AH619">
        <v>0.72034383645467703</v>
      </c>
      <c r="AI619">
        <v>96.815203112678503</v>
      </c>
      <c r="AJ619">
        <v>84.832440001212603</v>
      </c>
      <c r="AK619">
        <v>0.72843063424252297</v>
      </c>
      <c r="AL619">
        <v>72.366016964491195</v>
      </c>
      <c r="AM619">
        <v>95.383873039241493</v>
      </c>
      <c r="AN619">
        <v>1.0000000328960199</v>
      </c>
    </row>
    <row r="620" spans="1:40" x14ac:dyDescent="0.25">
      <c r="A620" t="str">
        <f>"20190304164346685"</f>
        <v>20190304164346685</v>
      </c>
      <c r="B620" t="str">
        <f>"1551689026670625"</f>
        <v>1551689026670625</v>
      </c>
      <c r="C620" t="s">
        <v>40</v>
      </c>
      <c r="D620">
        <v>4.6270480000000003</v>
      </c>
      <c r="E620">
        <v>0.57757910000000001</v>
      </c>
      <c r="F620" t="s">
        <v>41</v>
      </c>
      <c r="G620">
        <v>-359.48160000000001</v>
      </c>
      <c r="H620">
        <v>1.0410219999999999</v>
      </c>
      <c r="I620">
        <v>367.29759999999999</v>
      </c>
      <c r="J620">
        <v>-360.01740000000001</v>
      </c>
      <c r="K620">
        <v>1.1096729999999999</v>
      </c>
      <c r="L620">
        <v>367.34679999999997</v>
      </c>
      <c r="M620">
        <v>0.99993399999999999</v>
      </c>
      <c r="N620">
        <v>-9.0758149999999992E-3</v>
      </c>
      <c r="O620">
        <v>7.0499289999999999E-3</v>
      </c>
      <c r="P620">
        <v>0.95093329999999998</v>
      </c>
      <c r="Q620">
        <v>0.29407050000000001</v>
      </c>
      <c r="R620">
        <v>9.6169409999999997E-2</v>
      </c>
      <c r="S620">
        <v>3.2703549999999999</v>
      </c>
      <c r="T620">
        <v>-0.3039172</v>
      </c>
      <c r="U620">
        <v>-0.21020510000000001</v>
      </c>
      <c r="V620">
        <v>-8.9451600000000006E-2</v>
      </c>
      <c r="W620">
        <v>0.30269839999999998</v>
      </c>
      <c r="X620">
        <v>0.94887940000000004</v>
      </c>
      <c r="Y620">
        <v>7.0819190000000004E-2</v>
      </c>
      <c r="Z620">
        <v>-4.1919929999999998E-3</v>
      </c>
      <c r="AA620">
        <v>0.99748029999999999</v>
      </c>
      <c r="AB620">
        <v>40</v>
      </c>
      <c r="AC620">
        <v>0.53579999999999395</v>
      </c>
      <c r="AD620">
        <v>-6.8651000000000004E-2</v>
      </c>
      <c r="AE620">
        <v>-4.9199999999984798E-2</v>
      </c>
      <c r="AF620">
        <v>5.2127670865685399E-2</v>
      </c>
      <c r="AG620">
        <v>-6.8651000000000004E-2</v>
      </c>
      <c r="AH620">
        <v>0.52686273746416401</v>
      </c>
      <c r="AI620">
        <v>97.388226087337898</v>
      </c>
      <c r="AJ620">
        <v>84.349559181968402</v>
      </c>
      <c r="AK620">
        <v>0.53386758470534001</v>
      </c>
      <c r="AL620">
        <v>72.380252640574398</v>
      </c>
      <c r="AM620">
        <v>95.385402067619694</v>
      </c>
      <c r="AN620">
        <v>1.0000000129247399</v>
      </c>
    </row>
    <row r="621" spans="1:40" x14ac:dyDescent="0.25">
      <c r="A621" t="str">
        <f>"20190304164346695"</f>
        <v>20190304164346695</v>
      </c>
      <c r="B621" t="str">
        <f>"1551689026690651"</f>
        <v>1551689026690651</v>
      </c>
      <c r="C621" t="s">
        <v>40</v>
      </c>
      <c r="D621">
        <v>4.6168310000000004</v>
      </c>
      <c r="E621">
        <v>0.57842309999999997</v>
      </c>
      <c r="F621" t="s">
        <v>41</v>
      </c>
      <c r="G621">
        <v>-359.12759999999997</v>
      </c>
      <c r="H621">
        <v>1.0261070000000001</v>
      </c>
      <c r="I621">
        <v>367.28879999999998</v>
      </c>
      <c r="J621">
        <v>-359.82150000000001</v>
      </c>
      <c r="K621">
        <v>1.1096760000000001</v>
      </c>
      <c r="L621">
        <v>367.34820000000002</v>
      </c>
      <c r="M621">
        <v>0.99993379999999998</v>
      </c>
      <c r="N621">
        <v>-9.0936999999999997E-3</v>
      </c>
      <c r="O621">
        <v>7.0503830000000003E-3</v>
      </c>
      <c r="P621">
        <v>0.95092940000000004</v>
      </c>
      <c r="Q621">
        <v>0.29405609999999999</v>
      </c>
      <c r="R621">
        <v>9.6251729999999994E-2</v>
      </c>
      <c r="S621">
        <v>3.271423</v>
      </c>
      <c r="T621">
        <v>-0.30729450000000003</v>
      </c>
      <c r="U621">
        <v>-0.21343989999999999</v>
      </c>
      <c r="V621">
        <v>-8.9533429999999997E-2</v>
      </c>
      <c r="W621">
        <v>0.30270069999999999</v>
      </c>
      <c r="X621">
        <v>0.94887100000000002</v>
      </c>
      <c r="Y621">
        <v>7.1768890000000002E-2</v>
      </c>
      <c r="Z621">
        <v>-4.2834680000000003E-3</v>
      </c>
      <c r="AA621">
        <v>0.99741210000000002</v>
      </c>
      <c r="AB621">
        <v>40</v>
      </c>
      <c r="AC621">
        <v>0.69390000000004104</v>
      </c>
      <c r="AD621">
        <v>-8.3569000000000199E-2</v>
      </c>
      <c r="AE621">
        <v>-5.9400000000039199E-2</v>
      </c>
      <c r="AF621">
        <v>6.3378414560334898E-2</v>
      </c>
      <c r="AG621">
        <v>-8.3569000000000199E-2</v>
      </c>
      <c r="AH621">
        <v>0.68362063716960098</v>
      </c>
      <c r="AI621">
        <v>96.940056258813897</v>
      </c>
      <c r="AJ621">
        <v>84.703253646547594</v>
      </c>
      <c r="AK621">
        <v>0.69161967638099597</v>
      </c>
      <c r="AL621">
        <v>72.380115262196696</v>
      </c>
      <c r="AM621">
        <v>95.3903470466133</v>
      </c>
      <c r="AN621">
        <v>1.0000000617545199</v>
      </c>
    </row>
    <row r="622" spans="1:40" x14ac:dyDescent="0.25">
      <c r="A622" t="str">
        <f>"20190304164346707"</f>
        <v>20190304164346707</v>
      </c>
      <c r="B622" t="str">
        <f>"1551689026700411"</f>
        <v>1551689026700411</v>
      </c>
      <c r="C622" t="s">
        <v>40</v>
      </c>
      <c r="D622">
        <v>4.706359</v>
      </c>
      <c r="E622">
        <v>0.57874939999999997</v>
      </c>
      <c r="F622" t="s">
        <v>41</v>
      </c>
      <c r="G622">
        <v>-358.77339999999998</v>
      </c>
      <c r="H622">
        <v>1.010659</v>
      </c>
      <c r="I622">
        <v>367.27769999999998</v>
      </c>
      <c r="J622">
        <v>-359.60149999999999</v>
      </c>
      <c r="K622">
        <v>1.109675</v>
      </c>
      <c r="L622">
        <v>367.34980000000002</v>
      </c>
      <c r="M622">
        <v>0.99993379999999998</v>
      </c>
      <c r="N622">
        <v>-9.1151610000000001E-3</v>
      </c>
      <c r="O622">
        <v>7.050583E-3</v>
      </c>
      <c r="P622">
        <v>0.95087129999999997</v>
      </c>
      <c r="Q622">
        <v>0.29430830000000002</v>
      </c>
      <c r="R622">
        <v>9.6055249999999995E-2</v>
      </c>
      <c r="S622">
        <v>3.272675</v>
      </c>
      <c r="T622">
        <v>-0.3092993</v>
      </c>
      <c r="U622">
        <v>-0.21942139999999999</v>
      </c>
      <c r="V622">
        <v>-8.9337130000000001E-2</v>
      </c>
      <c r="W622">
        <v>0.30297239999999998</v>
      </c>
      <c r="X622">
        <v>0.9488027</v>
      </c>
      <c r="Y622">
        <v>7.3546169999999994E-2</v>
      </c>
      <c r="Z622">
        <v>-4.4003089999999998E-3</v>
      </c>
      <c r="AA622">
        <v>0.99728209999999995</v>
      </c>
      <c r="AB622">
        <v>40</v>
      </c>
      <c r="AC622">
        <v>0.82810000000000605</v>
      </c>
      <c r="AD622">
        <v>-9.9016000000000007E-2</v>
      </c>
      <c r="AE622">
        <v>-7.21000000000344E-2</v>
      </c>
      <c r="AF622">
        <v>7.6846626037973695E-2</v>
      </c>
      <c r="AG622">
        <v>-9.9016000000000007E-2</v>
      </c>
      <c r="AH622">
        <v>0.81599256641794904</v>
      </c>
      <c r="AI622">
        <v>96.8885023726329</v>
      </c>
      <c r="AJ622">
        <v>84.620000745255098</v>
      </c>
      <c r="AK622">
        <v>0.82556249953517902</v>
      </c>
      <c r="AL622">
        <v>72.363779507489596</v>
      </c>
      <c r="AM622">
        <v>95.378983128003597</v>
      </c>
      <c r="AN622">
        <v>0.99999998074284302</v>
      </c>
    </row>
    <row r="623" spans="1:40" x14ac:dyDescent="0.25">
      <c r="A623" t="str">
        <f>"20190304164346720"</f>
        <v>20190304164346720</v>
      </c>
      <c r="B623" t="str">
        <f>"1551689026711147"</f>
        <v>1551689026711147</v>
      </c>
      <c r="C623" t="s">
        <v>40</v>
      </c>
      <c r="D623">
        <v>4.7099089999999997</v>
      </c>
      <c r="E623">
        <v>0.57894000000000001</v>
      </c>
      <c r="F623" t="s">
        <v>41</v>
      </c>
      <c r="G623">
        <v>-358.7636</v>
      </c>
      <c r="H623">
        <v>1.030805</v>
      </c>
      <c r="I623">
        <v>367.29259999999999</v>
      </c>
      <c r="J623">
        <v>-359.37470000000002</v>
      </c>
      <c r="K623">
        <v>1.1096779999999999</v>
      </c>
      <c r="L623">
        <v>367.35129999999998</v>
      </c>
      <c r="M623">
        <v>0.99993350000000003</v>
      </c>
      <c r="N623">
        <v>-9.1377779999999992E-3</v>
      </c>
      <c r="O623">
        <v>7.0510149999999999E-3</v>
      </c>
      <c r="P623">
        <v>0.95086999999999999</v>
      </c>
      <c r="Q623">
        <v>0.29431600000000002</v>
      </c>
      <c r="R623">
        <v>9.6044019999999994E-2</v>
      </c>
      <c r="S623">
        <v>3.2728579999999998</v>
      </c>
      <c r="T623">
        <v>-0.30825760000000002</v>
      </c>
      <c r="U623">
        <v>-0.22277830000000001</v>
      </c>
      <c r="V623">
        <v>-8.9325390000000005E-2</v>
      </c>
      <c r="W623">
        <v>0.30300199999999999</v>
      </c>
      <c r="X623">
        <v>0.94879440000000004</v>
      </c>
      <c r="Y623">
        <v>7.4558680000000002E-2</v>
      </c>
      <c r="Z623">
        <v>-4.4389820000000002E-3</v>
      </c>
      <c r="AA623">
        <v>0.9972067</v>
      </c>
      <c r="AB623">
        <v>40</v>
      </c>
      <c r="AC623">
        <v>0.61110000000002096</v>
      </c>
      <c r="AD623">
        <v>-7.8873000000000096E-2</v>
      </c>
      <c r="AE623">
        <v>-5.8699999999987498E-2</v>
      </c>
      <c r="AF623">
        <v>6.1984475998403003E-2</v>
      </c>
      <c r="AG623">
        <v>-7.8873000000000096E-2</v>
      </c>
      <c r="AH623">
        <v>0.60075480201503195</v>
      </c>
      <c r="AI623">
        <v>97.4405205323324</v>
      </c>
      <c r="AJ623">
        <v>84.109200163424902</v>
      </c>
      <c r="AK623">
        <v>0.60907253881448098</v>
      </c>
      <c r="AL623">
        <v>72.362000714614496</v>
      </c>
      <c r="AM623">
        <v>95.378327181562597</v>
      </c>
      <c r="AN623">
        <v>1.0000000253870001</v>
      </c>
    </row>
    <row r="624" spans="1:40" x14ac:dyDescent="0.25">
      <c r="A624" t="str">
        <f>"20190304164346733"</f>
        <v>20190304164346733</v>
      </c>
      <c r="B624" t="str">
        <f>"1551689026720907"</f>
        <v>1551689026720907</v>
      </c>
      <c r="C624" t="s">
        <v>40</v>
      </c>
      <c r="D624">
        <v>4.5902969999999996</v>
      </c>
      <c r="E624">
        <v>0.57914399999999999</v>
      </c>
      <c r="F624" t="s">
        <v>41</v>
      </c>
      <c r="G624">
        <v>-358.4074</v>
      </c>
      <c r="H624">
        <v>1.0185500000000001</v>
      </c>
      <c r="I624">
        <v>367.2851</v>
      </c>
      <c r="J624">
        <v>-359.13369999999998</v>
      </c>
      <c r="K624">
        <v>1.1096809999999999</v>
      </c>
      <c r="L624">
        <v>367.35309999999998</v>
      </c>
      <c r="M624">
        <v>0.99993319999999997</v>
      </c>
      <c r="N624">
        <v>-9.162323E-3</v>
      </c>
      <c r="O624">
        <v>7.0513779999999996E-3</v>
      </c>
      <c r="P624">
        <v>0.95090969999999997</v>
      </c>
      <c r="Q624">
        <v>0.29418620000000001</v>
      </c>
      <c r="R624">
        <v>9.6047670000000002E-2</v>
      </c>
      <c r="S624">
        <v>3.2730709999999998</v>
      </c>
      <c r="T624">
        <v>-0.3084538</v>
      </c>
      <c r="U624">
        <v>-0.22381590000000001</v>
      </c>
      <c r="V624">
        <v>-8.9328089999999999E-2</v>
      </c>
      <c r="W624">
        <v>0.3028961</v>
      </c>
      <c r="X624">
        <v>0.94882789999999995</v>
      </c>
      <c r="Y624">
        <v>7.4867320000000001E-2</v>
      </c>
      <c r="Z624">
        <v>-4.4580000000000002E-3</v>
      </c>
      <c r="AA624">
        <v>0.99718359999999995</v>
      </c>
      <c r="AB624">
        <v>40</v>
      </c>
      <c r="AC624">
        <v>0.72629999999997996</v>
      </c>
      <c r="AD624">
        <v>-9.1130999999999796E-2</v>
      </c>
      <c r="AE624">
        <v>-6.7999999999983601E-2</v>
      </c>
      <c r="AF624">
        <v>7.1996318084689398E-2</v>
      </c>
      <c r="AG624">
        <v>-9.1130999999999796E-2</v>
      </c>
      <c r="AH624">
        <v>0.71464914390412004</v>
      </c>
      <c r="AI624">
        <v>97.230841552955198</v>
      </c>
      <c r="AJ624">
        <v>84.247227413806996</v>
      </c>
      <c r="AK624">
        <v>0.72402467351716904</v>
      </c>
      <c r="AL624">
        <v>72.368366516227297</v>
      </c>
      <c r="AM624">
        <v>95.378300013362704</v>
      </c>
      <c r="AN624">
        <v>0.99999996943833303</v>
      </c>
    </row>
    <row r="625" spans="1:40" x14ac:dyDescent="0.25">
      <c r="A625" t="str">
        <f>"20190304164346747"</f>
        <v>20190304164346747</v>
      </c>
      <c r="B625" t="str">
        <f>"1551689026740427"</f>
        <v>1551689026740427</v>
      </c>
      <c r="C625" t="s">
        <v>40</v>
      </c>
      <c r="D625">
        <v>4.6003280000000002</v>
      </c>
      <c r="E625">
        <v>0.57959989999999995</v>
      </c>
      <c r="F625" t="s">
        <v>41</v>
      </c>
      <c r="G625">
        <v>-358.39710000000002</v>
      </c>
      <c r="H625">
        <v>1.0397650000000001</v>
      </c>
      <c r="I625">
        <v>367.30220000000003</v>
      </c>
      <c r="J625">
        <v>-358.89510000000001</v>
      </c>
      <c r="K625">
        <v>1.109683</v>
      </c>
      <c r="L625">
        <v>367.35480000000001</v>
      </c>
      <c r="M625">
        <v>0.99993310000000002</v>
      </c>
      <c r="N625">
        <v>-9.1861430000000008E-3</v>
      </c>
      <c r="O625">
        <v>7.0519819999999896E-3</v>
      </c>
      <c r="P625">
        <v>0.95097019999999999</v>
      </c>
      <c r="Q625">
        <v>0.29401280000000002</v>
      </c>
      <c r="R625">
        <v>9.5982219999999993E-2</v>
      </c>
      <c r="S625">
        <v>3.2738040000000002</v>
      </c>
      <c r="T625">
        <v>-0.31083110000000003</v>
      </c>
      <c r="U625">
        <v>-0.22549440000000001</v>
      </c>
      <c r="V625">
        <v>-8.9262449999999993E-2</v>
      </c>
      <c r="W625">
        <v>0.30274529999999999</v>
      </c>
      <c r="X625">
        <v>0.94888220000000001</v>
      </c>
      <c r="Y625">
        <v>7.5353530000000002E-2</v>
      </c>
      <c r="Z625">
        <v>-4.5150950000000002E-3</v>
      </c>
      <c r="AA625">
        <v>0.99714669999999905</v>
      </c>
      <c r="AB625">
        <v>40</v>
      </c>
      <c r="AC625">
        <v>0.49799999999999001</v>
      </c>
      <c r="AD625">
        <v>-6.9917999999999897E-2</v>
      </c>
      <c r="AE625">
        <v>-5.2599999999983903E-2</v>
      </c>
      <c r="AF625">
        <v>5.5037819041870099E-2</v>
      </c>
      <c r="AG625">
        <v>-6.9917999999999897E-2</v>
      </c>
      <c r="AH625">
        <v>0.48810161031078397</v>
      </c>
      <c r="AI625">
        <v>98.101214860736405</v>
      </c>
      <c r="AJ625">
        <v>83.566563079063698</v>
      </c>
      <c r="AK625">
        <v>0.49614601705230499</v>
      </c>
      <c r="AL625">
        <v>72.377432314361698</v>
      </c>
      <c r="AM625">
        <v>95.3740653353602</v>
      </c>
      <c r="AN625">
        <v>0.99999996556446502</v>
      </c>
    </row>
    <row r="626" spans="1:40" x14ac:dyDescent="0.25">
      <c r="A626" t="str">
        <f>"20190304164346761"</f>
        <v>20190304164346761</v>
      </c>
      <c r="B626" t="str">
        <f>"1551689026750187"</f>
        <v>1551689026750187</v>
      </c>
      <c r="C626" t="s">
        <v>40</v>
      </c>
      <c r="D626">
        <v>4.6216520000000001</v>
      </c>
      <c r="E626">
        <v>0.57977219999999996</v>
      </c>
      <c r="F626" t="s">
        <v>41</v>
      </c>
      <c r="G626">
        <v>-358.0401</v>
      </c>
      <c r="H626">
        <v>1.028367</v>
      </c>
      <c r="I626">
        <v>367.2946</v>
      </c>
      <c r="J626">
        <v>-358.62040000000002</v>
      </c>
      <c r="K626">
        <v>1.1096809999999999</v>
      </c>
      <c r="L626">
        <v>367.35669999999999</v>
      </c>
      <c r="M626">
        <v>0.99993270000000001</v>
      </c>
      <c r="N626">
        <v>-9.2141519999999998E-3</v>
      </c>
      <c r="O626">
        <v>7.0526869999999898E-3</v>
      </c>
      <c r="P626">
        <v>0.95093510000000003</v>
      </c>
      <c r="Q626">
        <v>0.29418129999999998</v>
      </c>
      <c r="R626">
        <v>9.5810270000000003E-2</v>
      </c>
      <c r="S626">
        <v>3.2741090000000002</v>
      </c>
      <c r="T626">
        <v>-0.31152990000000003</v>
      </c>
      <c r="U626">
        <v>-0.2293396</v>
      </c>
      <c r="V626">
        <v>-8.9089219999999997E-2</v>
      </c>
      <c r="W626">
        <v>0.3029406</v>
      </c>
      <c r="X626">
        <v>0.94883620000000002</v>
      </c>
      <c r="Y626">
        <v>7.6505879999999998E-2</v>
      </c>
      <c r="Z626">
        <v>-4.5849080000000004E-3</v>
      </c>
      <c r="AA626">
        <v>0.99705860000000002</v>
      </c>
      <c r="AB626">
        <v>41</v>
      </c>
      <c r="AC626">
        <v>0.58030000000002202</v>
      </c>
      <c r="AD626">
        <v>-8.1313999999999803E-2</v>
      </c>
      <c r="AE626">
        <v>-6.2099999999986701E-2</v>
      </c>
      <c r="AF626">
        <v>6.4930836938682596E-2</v>
      </c>
      <c r="AG626">
        <v>-8.1313999999999803E-2</v>
      </c>
      <c r="AH626">
        <v>0.56880566646861797</v>
      </c>
      <c r="AI626">
        <v>98.083836322611504</v>
      </c>
      <c r="AJ626">
        <v>83.487707902502507</v>
      </c>
      <c r="AK626">
        <v>0.57824550701960997</v>
      </c>
      <c r="AL626">
        <v>72.365691992209804</v>
      </c>
      <c r="AM626">
        <v>95.363955387431005</v>
      </c>
      <c r="AN626">
        <v>1.0000000153394999</v>
      </c>
    </row>
    <row r="627" spans="1:40" x14ac:dyDescent="0.25">
      <c r="A627" t="str">
        <f>"20190304164346773"</f>
        <v>20190304164346773</v>
      </c>
      <c r="B627" t="str">
        <f>"1551689026760923"</f>
        <v>1551689026760923</v>
      </c>
      <c r="C627" t="s">
        <v>40</v>
      </c>
      <c r="D627">
        <v>4.6152480000000002</v>
      </c>
      <c r="E627">
        <v>0.5799609</v>
      </c>
      <c r="F627" t="s">
        <v>41</v>
      </c>
      <c r="G627">
        <v>-357.68110000000001</v>
      </c>
      <c r="H627">
        <v>1.0202439999999999</v>
      </c>
      <c r="I627">
        <v>367.2903</v>
      </c>
      <c r="J627">
        <v>-358.40609999999998</v>
      </c>
      <c r="K627">
        <v>1.1096839999999999</v>
      </c>
      <c r="L627">
        <v>367.35820000000001</v>
      </c>
      <c r="M627">
        <v>0.9999325</v>
      </c>
      <c r="N627">
        <v>-9.2364109999999999E-3</v>
      </c>
      <c r="O627">
        <v>7.0528810000000004E-3</v>
      </c>
      <c r="P627">
        <v>0.95093760000000005</v>
      </c>
      <c r="Q627">
        <v>0.29414659999999998</v>
      </c>
      <c r="R627">
        <v>9.5892469999999994E-2</v>
      </c>
      <c r="S627">
        <v>3.274597</v>
      </c>
      <c r="T627">
        <v>-0.31187239999999999</v>
      </c>
      <c r="U627">
        <v>-0.23117070000000001</v>
      </c>
      <c r="V627">
        <v>-8.9171539999999994E-2</v>
      </c>
      <c r="W627">
        <v>0.302927</v>
      </c>
      <c r="X627">
        <v>0.94883280000000003</v>
      </c>
      <c r="Y627">
        <v>7.7047019999999994E-2</v>
      </c>
      <c r="Z627">
        <v>-4.6178019999999998E-3</v>
      </c>
      <c r="AA627">
        <v>0.99701680000000004</v>
      </c>
      <c r="AB627">
        <v>41</v>
      </c>
      <c r="AC627">
        <v>0.72499999999996501</v>
      </c>
      <c r="AD627">
        <v>-8.9439999999999895E-2</v>
      </c>
      <c r="AE627">
        <v>-6.7900000000008703E-2</v>
      </c>
      <c r="AF627">
        <v>7.1926729272563994E-2</v>
      </c>
      <c r="AG627">
        <v>-8.9439999999999895E-2</v>
      </c>
      <c r="AH627">
        <v>0.71373513263298005</v>
      </c>
      <c r="AI627">
        <v>97.107024281670505</v>
      </c>
      <c r="AJ627">
        <v>84.245439996437</v>
      </c>
      <c r="AK627">
        <v>0.72290442489893902</v>
      </c>
      <c r="AL627">
        <v>72.366509475615004</v>
      </c>
      <c r="AM627">
        <v>95.368901953225304</v>
      </c>
      <c r="AN627">
        <v>1.0000000066154</v>
      </c>
    </row>
    <row r="628" spans="1:40" x14ac:dyDescent="0.25">
      <c r="A628" t="str">
        <f>"20190304164346786"</f>
        <v>20190304164346786</v>
      </c>
      <c r="B628" t="str">
        <f>"1551689026780443"</f>
        <v>1551689026780443</v>
      </c>
      <c r="C628" t="s">
        <v>40</v>
      </c>
      <c r="D628">
        <v>4.5976039999999996</v>
      </c>
      <c r="E628">
        <v>0.58026469999999997</v>
      </c>
      <c r="F628" t="s">
        <v>41</v>
      </c>
      <c r="G628">
        <v>-357.67169999999999</v>
      </c>
      <c r="H628">
        <v>1.039625</v>
      </c>
      <c r="I628">
        <v>367.30610000000001</v>
      </c>
      <c r="J628">
        <v>-358.19450000000001</v>
      </c>
      <c r="K628">
        <v>1.109686</v>
      </c>
      <c r="L628">
        <v>367.35969999999998</v>
      </c>
      <c r="M628">
        <v>0.9999323</v>
      </c>
      <c r="N628">
        <v>-9.2589739999999997E-3</v>
      </c>
      <c r="O628">
        <v>7.0533119999999999E-3</v>
      </c>
      <c r="P628">
        <v>0.95091840000000005</v>
      </c>
      <c r="Q628">
        <v>0.29426590000000002</v>
      </c>
      <c r="R628">
        <v>9.5719100000000001E-2</v>
      </c>
      <c r="S628">
        <v>3.2748719999999998</v>
      </c>
      <c r="T628">
        <v>-0.31251760000000001</v>
      </c>
      <c r="U628">
        <v>-0.23226930000000001</v>
      </c>
      <c r="V628">
        <v>-8.8998160000000007E-2</v>
      </c>
      <c r="W628">
        <v>0.30306699999999998</v>
      </c>
      <c r="X628">
        <v>0.94880439999999999</v>
      </c>
      <c r="Y628">
        <v>7.737115E-2</v>
      </c>
      <c r="Z628">
        <v>-4.643978E-3</v>
      </c>
      <c r="AA628">
        <v>0.99699150000000003</v>
      </c>
      <c r="AB628">
        <v>41</v>
      </c>
      <c r="AC628">
        <v>0.52280000000001703</v>
      </c>
      <c r="AD628">
        <v>-7.0060999999999901E-2</v>
      </c>
      <c r="AE628">
        <v>-5.3599999999960297E-2</v>
      </c>
      <c r="AF628">
        <v>5.6285972492331797E-2</v>
      </c>
      <c r="AG628">
        <v>-7.0060999999999901E-2</v>
      </c>
      <c r="AH628">
        <v>0.51328670509516605</v>
      </c>
      <c r="AI628">
        <v>97.726794023502194</v>
      </c>
      <c r="AJ628">
        <v>83.742065437099697</v>
      </c>
      <c r="AK628">
        <v>0.52109490119157698</v>
      </c>
      <c r="AL628">
        <v>72.3580928950675</v>
      </c>
      <c r="AM628">
        <v>95.358683253178299</v>
      </c>
      <c r="AN628">
        <v>1.0000000342158699</v>
      </c>
    </row>
    <row r="629" spans="1:40" x14ac:dyDescent="0.25">
      <c r="A629" t="str">
        <f>"20190304164346798"</f>
        <v>20190304164346798</v>
      </c>
      <c r="B629" t="str">
        <f>"1551689026790711"</f>
        <v>1551689026790711</v>
      </c>
      <c r="C629" t="s">
        <v>40</v>
      </c>
      <c r="D629">
        <v>4.602131</v>
      </c>
      <c r="E629">
        <v>0.58040890000000001</v>
      </c>
      <c r="F629" t="s">
        <v>41</v>
      </c>
      <c r="G629">
        <v>-357.3152</v>
      </c>
      <c r="H629">
        <v>1.025574</v>
      </c>
      <c r="I629">
        <v>367.29640000000001</v>
      </c>
      <c r="J629">
        <v>-357.96260000000001</v>
      </c>
      <c r="K629">
        <v>1.109688</v>
      </c>
      <c r="L629">
        <v>367.3614</v>
      </c>
      <c r="M629">
        <v>0.99993200000000004</v>
      </c>
      <c r="N629">
        <v>-9.2841639999999993E-3</v>
      </c>
      <c r="O629">
        <v>7.0538490000000001E-3</v>
      </c>
      <c r="P629">
        <v>0.95088950000000005</v>
      </c>
      <c r="Q629">
        <v>0.29433749999999997</v>
      </c>
      <c r="R629">
        <v>9.5785830000000002E-2</v>
      </c>
      <c r="S629">
        <v>3.2755429999999999</v>
      </c>
      <c r="T629">
        <v>-0.31345009999999901</v>
      </c>
      <c r="U629">
        <v>-0.23522950000000001</v>
      </c>
      <c r="V629">
        <v>-8.9064550000000006E-2</v>
      </c>
      <c r="W629">
        <v>0.3031624</v>
      </c>
      <c r="X629">
        <v>0.94876769999999999</v>
      </c>
      <c r="Y629">
        <v>7.8247059999999993E-2</v>
      </c>
      <c r="Z629">
        <v>-4.7025779999999998E-3</v>
      </c>
      <c r="AA629">
        <v>0.99692289999999995</v>
      </c>
      <c r="AB629">
        <v>41</v>
      </c>
      <c r="AC629">
        <v>0.64740000000000397</v>
      </c>
      <c r="AD629">
        <v>-8.4113999999999994E-2</v>
      </c>
      <c r="AE629">
        <v>-6.4999999999997699E-2</v>
      </c>
      <c r="AF629">
        <v>6.8421759231190496E-2</v>
      </c>
      <c r="AG629">
        <v>-8.4113999999999994E-2</v>
      </c>
      <c r="AH629">
        <v>0.63629150268575596</v>
      </c>
      <c r="AI629">
        <v>97.487829239540105</v>
      </c>
      <c r="AJ629">
        <v>83.862448684475595</v>
      </c>
      <c r="AK629">
        <v>0.64546384757195197</v>
      </c>
      <c r="AL629">
        <v>72.3523571652524</v>
      </c>
      <c r="AM629">
        <v>95.362863604244595</v>
      </c>
      <c r="AN629">
        <v>1.00000004170187</v>
      </c>
    </row>
    <row r="630" spans="1:40" x14ac:dyDescent="0.25">
      <c r="A630" t="str">
        <f>"20190304164346809"</f>
        <v>20190304164346809</v>
      </c>
      <c r="B630" t="str">
        <f>"1551689026800469"</f>
        <v>1551689026800469</v>
      </c>
      <c r="C630" t="s">
        <v>40</v>
      </c>
      <c r="D630">
        <v>4.582681</v>
      </c>
      <c r="E630">
        <v>0.58054629999999996</v>
      </c>
      <c r="F630" t="s">
        <v>41</v>
      </c>
      <c r="G630">
        <v>-356.9572</v>
      </c>
      <c r="H630">
        <v>1.0134430000000001</v>
      </c>
      <c r="I630">
        <v>367.28910000000002</v>
      </c>
      <c r="J630">
        <v>-357.75040000000001</v>
      </c>
      <c r="K630">
        <v>1.109694</v>
      </c>
      <c r="L630">
        <v>367.36279999999999</v>
      </c>
      <c r="M630">
        <v>0.99993189999999998</v>
      </c>
      <c r="N630">
        <v>-9.3080300000000001E-3</v>
      </c>
      <c r="O630">
        <v>7.0540949999999998E-3</v>
      </c>
      <c r="P630">
        <v>0.95087469999999996</v>
      </c>
      <c r="Q630">
        <v>0.29438120000000001</v>
      </c>
      <c r="R630">
        <v>9.5797579999999993E-2</v>
      </c>
      <c r="S630">
        <v>3.275757</v>
      </c>
      <c r="T630">
        <v>-0.3135772</v>
      </c>
      <c r="U630">
        <v>-0.2355652</v>
      </c>
      <c r="V630">
        <v>-8.9075710000000002E-2</v>
      </c>
      <c r="W630">
        <v>0.30322830000000001</v>
      </c>
      <c r="X630">
        <v>0.94874550000000002</v>
      </c>
      <c r="Y630">
        <v>7.8343479999999993E-2</v>
      </c>
      <c r="Z630">
        <v>-4.7098970000000002E-3</v>
      </c>
      <c r="AA630">
        <v>0.99691529999999995</v>
      </c>
      <c r="AB630">
        <v>41</v>
      </c>
      <c r="AC630">
        <v>0.79320000000001301</v>
      </c>
      <c r="AD630">
        <v>-9.6250999999999795E-2</v>
      </c>
      <c r="AE630">
        <v>-7.3699999999973898E-2</v>
      </c>
      <c r="AF630">
        <v>7.8152793090909597E-2</v>
      </c>
      <c r="AG630">
        <v>-9.6250999999999795E-2</v>
      </c>
      <c r="AH630">
        <v>0.78125510624862804</v>
      </c>
      <c r="AI630">
        <v>96.988940471957704</v>
      </c>
      <c r="AJ630">
        <v>84.287425834968204</v>
      </c>
      <c r="AK630">
        <v>0.79103201901595999</v>
      </c>
      <c r="AL630">
        <v>72.348393260893303</v>
      </c>
      <c r="AM630">
        <v>95.363656436252995</v>
      </c>
      <c r="AN630">
        <v>0.99999995390157104</v>
      </c>
    </row>
    <row r="631" spans="1:40" x14ac:dyDescent="0.25">
      <c r="A631" t="str">
        <f>"20190304164346821"</f>
        <v>20190304164346821</v>
      </c>
      <c r="B631" t="str">
        <f>"1551689026810230"</f>
        <v>1551689026810230</v>
      </c>
      <c r="C631" t="s">
        <v>40</v>
      </c>
      <c r="D631">
        <v>4.591971</v>
      </c>
      <c r="E631">
        <v>0.58069749999999998</v>
      </c>
      <c r="F631" t="s">
        <v>41</v>
      </c>
      <c r="G631">
        <v>-356.94779999999997</v>
      </c>
      <c r="H631">
        <v>1.0328630000000001</v>
      </c>
      <c r="I631">
        <v>367.3048</v>
      </c>
      <c r="J631">
        <v>-357.53609999999998</v>
      </c>
      <c r="K631">
        <v>1.109696</v>
      </c>
      <c r="L631">
        <v>367.36430000000001</v>
      </c>
      <c r="M631">
        <v>0.99993169999999998</v>
      </c>
      <c r="N631">
        <v>-9.3336349999999998E-3</v>
      </c>
      <c r="O631">
        <v>7.0544509999999998E-3</v>
      </c>
      <c r="P631">
        <v>0.95093709999999998</v>
      </c>
      <c r="Q631">
        <v>0.29423759999999999</v>
      </c>
      <c r="R631">
        <v>9.5620189999999994E-2</v>
      </c>
      <c r="S631">
        <v>3.2759399999999999</v>
      </c>
      <c r="T631">
        <v>-0.31358809999999998</v>
      </c>
      <c r="U631">
        <v>-0.23690800000000001</v>
      </c>
      <c r="V631">
        <v>-8.8897820000000002E-2</v>
      </c>
      <c r="W631">
        <v>0.30310969999999998</v>
      </c>
      <c r="X631">
        <v>0.94880010000000004</v>
      </c>
      <c r="Y631">
        <v>7.8744289999999995E-2</v>
      </c>
      <c r="Z631">
        <v>-4.7315969999999997E-3</v>
      </c>
      <c r="AA631">
        <v>0.99688359999999998</v>
      </c>
      <c r="AB631">
        <v>41</v>
      </c>
      <c r="AC631">
        <v>0.58830000000000304</v>
      </c>
      <c r="AD631">
        <v>-7.6833000000000096E-2</v>
      </c>
      <c r="AE631">
        <v>-5.9500000000014097E-2</v>
      </c>
      <c r="AF631">
        <v>6.2592022816529994E-2</v>
      </c>
      <c r="AG631">
        <v>-7.6833000000000096E-2</v>
      </c>
      <c r="AH631">
        <v>0.57810482003589203</v>
      </c>
      <c r="AI631">
        <v>97.527045885947999</v>
      </c>
      <c r="AJ631">
        <v>83.820596354398305</v>
      </c>
      <c r="AK631">
        <v>0.58653751300151002</v>
      </c>
      <c r="AL631">
        <v>72.355524457970802</v>
      </c>
      <c r="AM631">
        <v>95.352700892971797</v>
      </c>
      <c r="AN631">
        <v>0.99999997119742501</v>
      </c>
    </row>
    <row r="632" spans="1:40" x14ac:dyDescent="0.25">
      <c r="A632" t="str">
        <f>"20190304164346835"</f>
        <v>20190304164346835</v>
      </c>
      <c r="B632" t="str">
        <f>"1551689026830727"</f>
        <v>1551689026830727</v>
      </c>
      <c r="C632" t="s">
        <v>40</v>
      </c>
      <c r="D632">
        <v>4.5937669999999997</v>
      </c>
      <c r="E632">
        <v>0.58096979999999998</v>
      </c>
      <c r="F632" t="s">
        <v>41</v>
      </c>
      <c r="G632">
        <v>-356.59039999999999</v>
      </c>
      <c r="H632">
        <v>1.018939</v>
      </c>
      <c r="I632">
        <v>367.29509999999999</v>
      </c>
      <c r="J632">
        <v>-357.28800000000001</v>
      </c>
      <c r="K632">
        <v>1.109702</v>
      </c>
      <c r="L632">
        <v>367.36610000000002</v>
      </c>
      <c r="M632">
        <v>0.99993129999999997</v>
      </c>
      <c r="N632">
        <v>-9.3645299999999994E-3</v>
      </c>
      <c r="O632">
        <v>7.0551399999999997E-3</v>
      </c>
      <c r="P632">
        <v>0.95091210000000004</v>
      </c>
      <c r="Q632">
        <v>0.29419089999999998</v>
      </c>
      <c r="R632">
        <v>9.6009529999999996E-2</v>
      </c>
      <c r="S632">
        <v>3.276154</v>
      </c>
      <c r="T632">
        <v>-0.31460300000000002</v>
      </c>
      <c r="U632">
        <v>-0.2389221</v>
      </c>
      <c r="V632">
        <v>-8.9286500000000005E-2</v>
      </c>
      <c r="W632">
        <v>0.30309239999999998</v>
      </c>
      <c r="X632">
        <v>0.94876919999999998</v>
      </c>
      <c r="Y632">
        <v>7.9344289999999998E-2</v>
      </c>
      <c r="Z632">
        <v>-4.7780820000000003E-3</v>
      </c>
      <c r="AA632">
        <v>0.99683580000000005</v>
      </c>
      <c r="AB632">
        <v>41</v>
      </c>
      <c r="AC632">
        <v>0.69760000000002198</v>
      </c>
      <c r="AD632">
        <v>-9.0762999999999899E-2</v>
      </c>
      <c r="AE632">
        <v>-7.1000000000026306E-2</v>
      </c>
      <c r="AF632">
        <v>7.4669077674848205E-2</v>
      </c>
      <c r="AG632">
        <v>-9.0762999999999899E-2</v>
      </c>
      <c r="AH632">
        <v>0.68559495996547903</v>
      </c>
      <c r="AI632">
        <v>97.497465928643805</v>
      </c>
      <c r="AJ632">
        <v>83.784337699286198</v>
      </c>
      <c r="AK632">
        <v>0.69559603395928005</v>
      </c>
      <c r="AL632">
        <v>72.356565830600502</v>
      </c>
      <c r="AM632">
        <v>95.376141270812695</v>
      </c>
      <c r="AN632">
        <v>1.0000000384443199</v>
      </c>
    </row>
    <row r="633" spans="1:40" x14ac:dyDescent="0.25">
      <c r="A633" t="str">
        <f>"20190304164346851"</f>
        <v>20190304164346851</v>
      </c>
      <c r="B633" t="str">
        <f>"1551689026840485"</f>
        <v>1551689026840485</v>
      </c>
      <c r="C633" t="s">
        <v>40</v>
      </c>
      <c r="D633">
        <v>4.5785019999999896</v>
      </c>
      <c r="E633">
        <v>0.58111259999999998</v>
      </c>
      <c r="F633" t="s">
        <v>41</v>
      </c>
      <c r="G633">
        <v>-356.2312</v>
      </c>
      <c r="H633">
        <v>1.0078940000000001</v>
      </c>
      <c r="I633">
        <v>367.28879999999998</v>
      </c>
      <c r="J633">
        <v>-356.99880000000002</v>
      </c>
      <c r="K633">
        <v>1.109699</v>
      </c>
      <c r="L633">
        <v>367.36810000000003</v>
      </c>
      <c r="M633">
        <v>0.99993089999999996</v>
      </c>
      <c r="N633">
        <v>-9.4043919999999993E-3</v>
      </c>
      <c r="O633">
        <v>7.0554869999999896E-3</v>
      </c>
      <c r="P633">
        <v>0.95088669999999997</v>
      </c>
      <c r="Q633">
        <v>0.2942997</v>
      </c>
      <c r="R633">
        <v>9.5928890000000003E-2</v>
      </c>
      <c r="S633">
        <v>3.2767029999999999</v>
      </c>
      <c r="T633">
        <v>-0.31570429999999999</v>
      </c>
      <c r="U633">
        <v>-0.23953250000000001</v>
      </c>
      <c r="V633">
        <v>-8.9206129999999995E-2</v>
      </c>
      <c r="W633">
        <v>0.30323870000000003</v>
      </c>
      <c r="X633">
        <v>0.94872999999999996</v>
      </c>
      <c r="Y633">
        <v>7.9513520000000004E-2</v>
      </c>
      <c r="Z633">
        <v>-4.8031549999999999E-3</v>
      </c>
      <c r="AA633">
        <v>0.99682219999999999</v>
      </c>
      <c r="AB633">
        <v>41</v>
      </c>
      <c r="AC633">
        <v>0.76760000000001505</v>
      </c>
      <c r="AD633">
        <v>-0.10180499999999899</v>
      </c>
      <c r="AE633">
        <v>-7.9300000000046098E-2</v>
      </c>
      <c r="AF633">
        <v>8.3264886331789204E-2</v>
      </c>
      <c r="AG633">
        <v>-0.10180499999999899</v>
      </c>
      <c r="AH633">
        <v>0.75390022674127699</v>
      </c>
      <c r="AI633">
        <v>97.644643199479702</v>
      </c>
      <c r="AJ633">
        <v>83.697482713776793</v>
      </c>
      <c r="AK633">
        <v>0.76528612374810201</v>
      </c>
      <c r="AL633">
        <v>72.347769290792598</v>
      </c>
      <c r="AM633">
        <v>95.371550965004104</v>
      </c>
      <c r="AN633">
        <v>1.0000000278536301</v>
      </c>
    </row>
    <row r="634" spans="1:40" x14ac:dyDescent="0.25">
      <c r="A634" t="str">
        <f>"20190304164346861"</f>
        <v>20190304164346861</v>
      </c>
      <c r="B634" t="str">
        <f>"1551689026850246"</f>
        <v>1551689026850246</v>
      </c>
      <c r="C634" t="s">
        <v>40</v>
      </c>
      <c r="D634">
        <v>4.5658010000000004</v>
      </c>
      <c r="E634">
        <v>0.58127469999999903</v>
      </c>
      <c r="F634" t="s">
        <v>41</v>
      </c>
      <c r="G634">
        <v>-356.21839999999997</v>
      </c>
      <c r="H634">
        <v>1.0345770000000001</v>
      </c>
      <c r="I634">
        <v>367.3107</v>
      </c>
      <c r="J634">
        <v>-356.79700000000003</v>
      </c>
      <c r="K634">
        <v>1.109704</v>
      </c>
      <c r="L634">
        <v>367.36950000000002</v>
      </c>
      <c r="M634">
        <v>0.99993069999999895</v>
      </c>
      <c r="N634">
        <v>-9.4331299999999996E-3</v>
      </c>
      <c r="O634">
        <v>7.0558269999999998E-3</v>
      </c>
      <c r="P634">
        <v>0.95089040000000002</v>
      </c>
      <c r="Q634">
        <v>0.29430719999999999</v>
      </c>
      <c r="R634">
        <v>9.5870499999999997E-2</v>
      </c>
      <c r="S634">
        <v>3.2769469999999998</v>
      </c>
      <c r="T634">
        <v>-0.31546400000000002</v>
      </c>
      <c r="U634">
        <v>-0.2411499</v>
      </c>
      <c r="V634">
        <v>-8.9147190000000001E-2</v>
      </c>
      <c r="W634">
        <v>0.30327369999999998</v>
      </c>
      <c r="X634">
        <v>0.94872429999999996</v>
      </c>
      <c r="Y634">
        <v>7.999597E-2</v>
      </c>
      <c r="Z634">
        <v>-4.8257409999999997E-3</v>
      </c>
      <c r="AA634">
        <v>0.99678350000000004</v>
      </c>
      <c r="AB634">
        <v>41</v>
      </c>
      <c r="AC634">
        <v>0.57859999999999401</v>
      </c>
      <c r="AD634">
        <v>-7.5126999999999902E-2</v>
      </c>
      <c r="AE634">
        <v>-5.8800000000019198E-2</v>
      </c>
      <c r="AF634">
        <v>6.1849154570914402E-2</v>
      </c>
      <c r="AG634">
        <v>-7.5126999999999902E-2</v>
      </c>
      <c r="AH634">
        <v>0.56868122548204403</v>
      </c>
      <c r="AI634">
        <v>97.482002493275502</v>
      </c>
      <c r="AJ634">
        <v>83.792969604469405</v>
      </c>
      <c r="AK634">
        <v>0.57694689553363199</v>
      </c>
      <c r="AL634">
        <v>72.345663928884903</v>
      </c>
      <c r="AM634">
        <v>95.368054692368503</v>
      </c>
      <c r="AN634">
        <v>0.99999997800353702</v>
      </c>
    </row>
    <row r="635" spans="1:40" x14ac:dyDescent="0.25">
      <c r="A635" t="str">
        <f>"20190304164346872"</f>
        <v>20190304164346872</v>
      </c>
      <c r="B635" t="str">
        <f>"1551689026860982"</f>
        <v>1551689026860982</v>
      </c>
      <c r="C635" t="s">
        <v>40</v>
      </c>
      <c r="D635">
        <v>4.5570399999999998</v>
      </c>
      <c r="E635">
        <v>0.58143909999999999</v>
      </c>
      <c r="F635" t="s">
        <v>41</v>
      </c>
      <c r="G635">
        <v>-355.86070000000001</v>
      </c>
      <c r="H635">
        <v>1.0196559999999999</v>
      </c>
      <c r="I635">
        <v>367.29989999999998</v>
      </c>
      <c r="J635">
        <v>-356.59109999999998</v>
      </c>
      <c r="K635">
        <v>1.1097090000000001</v>
      </c>
      <c r="L635">
        <v>367.37099999999998</v>
      </c>
      <c r="M635">
        <v>0.99993030000000005</v>
      </c>
      <c r="N635">
        <v>-9.462804E-3</v>
      </c>
      <c r="O635">
        <v>7.0562219999999896E-3</v>
      </c>
      <c r="P635">
        <v>0.95089140000000005</v>
      </c>
      <c r="Q635">
        <v>0.2942747</v>
      </c>
      <c r="R635">
        <v>9.5959920000000004E-2</v>
      </c>
      <c r="S635">
        <v>3.2769780000000002</v>
      </c>
      <c r="T635">
        <v>-0.31532510000000002</v>
      </c>
      <c r="U635">
        <v>-0.24301149999999999</v>
      </c>
      <c r="V635">
        <v>-8.9235999999999996E-2</v>
      </c>
      <c r="W635">
        <v>0.30326920000000002</v>
      </c>
      <c r="X635">
        <v>0.94871740000000004</v>
      </c>
      <c r="Y635">
        <v>8.0556329999999995E-2</v>
      </c>
      <c r="Z635">
        <v>-4.854176E-3</v>
      </c>
      <c r="AA635">
        <v>0.99673829999999997</v>
      </c>
      <c r="AB635">
        <v>41</v>
      </c>
      <c r="AC635">
        <v>0.73039999999997396</v>
      </c>
      <c r="AD635">
        <v>-9.0053000000000105E-2</v>
      </c>
      <c r="AE635">
        <v>-7.1100000000001204E-2</v>
      </c>
      <c r="AF635">
        <v>7.5121121137184804E-2</v>
      </c>
      <c r="AG635">
        <v>-9.0053000000000105E-2</v>
      </c>
      <c r="AH635">
        <v>0.719052315406009</v>
      </c>
      <c r="AI635">
        <v>97.100223256106204</v>
      </c>
      <c r="AJ635">
        <v>84.035808294984903</v>
      </c>
      <c r="AK635">
        <v>0.72855264596365998</v>
      </c>
      <c r="AL635">
        <v>72.345934688972093</v>
      </c>
      <c r="AM635">
        <v>95.373410008598995</v>
      </c>
      <c r="AN635">
        <v>0.99999998821369995</v>
      </c>
    </row>
    <row r="636" spans="1:40" x14ac:dyDescent="0.25">
      <c r="A636" t="str">
        <f>"20190304164346885"</f>
        <v>20190304164346885</v>
      </c>
      <c r="B636" t="str">
        <f>"1551689026880502"</f>
        <v>1551689026880502</v>
      </c>
      <c r="C636" t="s">
        <v>40</v>
      </c>
      <c r="D636">
        <v>4.5281010000000004</v>
      </c>
      <c r="E636">
        <v>0.58176740000000005</v>
      </c>
      <c r="F636" t="s">
        <v>41</v>
      </c>
      <c r="G636">
        <v>-355.85160000000002</v>
      </c>
      <c r="H636">
        <v>1.0385599999999999</v>
      </c>
      <c r="I636">
        <v>367.31580000000002</v>
      </c>
      <c r="J636">
        <v>-356.37549999999999</v>
      </c>
      <c r="K636">
        <v>1.1097129999999999</v>
      </c>
      <c r="L636">
        <v>367.3725</v>
      </c>
      <c r="M636">
        <v>0.99993010000000004</v>
      </c>
      <c r="N636">
        <v>-9.4948879999999999E-3</v>
      </c>
      <c r="O636">
        <v>7.056545E-3</v>
      </c>
      <c r="P636">
        <v>0.95095620000000003</v>
      </c>
      <c r="Q636">
        <v>0.29405389999999998</v>
      </c>
      <c r="R636">
        <v>9.5994620000000003E-2</v>
      </c>
      <c r="S636">
        <v>3.277161</v>
      </c>
      <c r="T636">
        <v>-0.31549349999999998</v>
      </c>
      <c r="U636">
        <v>-0.24374390000000001</v>
      </c>
      <c r="V636">
        <v>-8.9270139999999998E-2</v>
      </c>
      <c r="W636">
        <v>0.30307970000000001</v>
      </c>
      <c r="X636">
        <v>0.94877480000000003</v>
      </c>
      <c r="Y636">
        <v>8.0772499999999997E-2</v>
      </c>
      <c r="Z636">
        <v>-4.8688009999999999E-3</v>
      </c>
      <c r="AA636">
        <v>0.99672070000000001</v>
      </c>
      <c r="AB636">
        <v>41</v>
      </c>
      <c r="AC636">
        <v>0.52389999999996895</v>
      </c>
      <c r="AD636">
        <v>-7.1152999999999994E-2</v>
      </c>
      <c r="AE636">
        <v>-5.66999999999779E-2</v>
      </c>
      <c r="AF636">
        <v>5.9314265810348599E-2</v>
      </c>
      <c r="AG636">
        <v>-7.1152999999999994E-2</v>
      </c>
      <c r="AH636">
        <v>0.514113556077467</v>
      </c>
      <c r="AI636">
        <v>97.8283671130973</v>
      </c>
      <c r="AJ636">
        <v>83.418773428558893</v>
      </c>
      <c r="AK636">
        <v>0.52239226648203696</v>
      </c>
      <c r="AL636">
        <v>72.357329463785007</v>
      </c>
      <c r="AM636">
        <v>95.375130428287505</v>
      </c>
      <c r="AN636">
        <v>1.0000000417813699</v>
      </c>
    </row>
    <row r="637" spans="1:40" x14ac:dyDescent="0.25">
      <c r="A637" t="str">
        <f>"20190304164346897"</f>
        <v>20190304164346897</v>
      </c>
      <c r="B637" t="str">
        <f>"1551689026890769"</f>
        <v>1551689026890769</v>
      </c>
      <c r="C637" t="s">
        <v>40</v>
      </c>
      <c r="D637">
        <v>4.58969</v>
      </c>
      <c r="E637">
        <v>0.58190980000000003</v>
      </c>
      <c r="F637" t="s">
        <v>41</v>
      </c>
      <c r="G637">
        <v>-355.49310000000003</v>
      </c>
      <c r="H637">
        <v>1.0246390000000001</v>
      </c>
      <c r="I637">
        <v>367.30619999999999</v>
      </c>
      <c r="J637">
        <v>-356.16050000000001</v>
      </c>
      <c r="K637">
        <v>1.1097189999999999</v>
      </c>
      <c r="L637">
        <v>367.37400000000002</v>
      </c>
      <c r="M637">
        <v>0.99992970000000003</v>
      </c>
      <c r="N637">
        <v>-9.5274490000000003E-3</v>
      </c>
      <c r="O637">
        <v>7.0569250000000004E-3</v>
      </c>
      <c r="P637">
        <v>0.9509782</v>
      </c>
      <c r="Q637">
        <v>0.29403249999999997</v>
      </c>
      <c r="R637">
        <v>9.5840330000000001E-2</v>
      </c>
      <c r="S637">
        <v>3.2772519999999998</v>
      </c>
      <c r="T637">
        <v>-0.31598100000000001</v>
      </c>
      <c r="U637">
        <v>-0.24630740000000001</v>
      </c>
      <c r="V637">
        <v>-8.9115130000000001E-2</v>
      </c>
      <c r="W637">
        <v>0.3030892</v>
      </c>
      <c r="X637">
        <v>0.94878629999999997</v>
      </c>
      <c r="Y637">
        <v>8.1540840000000003E-2</v>
      </c>
      <c r="Z637">
        <v>-4.917261E-3</v>
      </c>
      <c r="AA637">
        <v>0.99665780000000004</v>
      </c>
      <c r="AB637">
        <v>41</v>
      </c>
      <c r="AC637">
        <v>0.667399999999986</v>
      </c>
      <c r="AD637">
        <v>-8.5080000000000197E-2</v>
      </c>
      <c r="AE637">
        <v>-6.7800000000033805E-2</v>
      </c>
      <c r="AF637">
        <v>7.1360477370081998E-2</v>
      </c>
      <c r="AG637">
        <v>-8.5080000000000197E-2</v>
      </c>
      <c r="AH637">
        <v>0.65634748936338805</v>
      </c>
      <c r="AI637">
        <v>97.343067769943701</v>
      </c>
      <c r="AJ637">
        <v>83.794968173376901</v>
      </c>
      <c r="AK637">
        <v>0.66567480868972995</v>
      </c>
      <c r="AL637">
        <v>72.3567576415074</v>
      </c>
      <c r="AM637">
        <v>95.365786838245199</v>
      </c>
      <c r="AN637">
        <v>1.0000000063096199</v>
      </c>
    </row>
    <row r="638" spans="1:40" x14ac:dyDescent="0.25">
      <c r="A638" t="str">
        <f>"20190304164346907"</f>
        <v>20190304164346907</v>
      </c>
      <c r="B638" t="str">
        <f>"1551689026900529"</f>
        <v>1551689026900529</v>
      </c>
      <c r="C638" t="s">
        <v>40</v>
      </c>
      <c r="D638">
        <v>4.5085459999999999</v>
      </c>
      <c r="E638">
        <v>0.58205739999999995</v>
      </c>
      <c r="F638" t="s">
        <v>41</v>
      </c>
      <c r="G638">
        <v>-355.13420000000002</v>
      </c>
      <c r="H638">
        <v>1.010875</v>
      </c>
      <c r="I638">
        <v>367.2962</v>
      </c>
      <c r="J638">
        <v>-355.96120000000002</v>
      </c>
      <c r="K638">
        <v>1.109728</v>
      </c>
      <c r="L638">
        <v>367.37540000000001</v>
      </c>
      <c r="M638">
        <v>0.99992939999999997</v>
      </c>
      <c r="N638">
        <v>-9.5589939999999995E-3</v>
      </c>
      <c r="O638">
        <v>7.0570700000000004E-3</v>
      </c>
      <c r="P638">
        <v>0.95097670000000001</v>
      </c>
      <c r="Q638">
        <v>0.2940005</v>
      </c>
      <c r="R638">
        <v>9.5953999999999998E-2</v>
      </c>
      <c r="S638">
        <v>3.2772519999999998</v>
      </c>
      <c r="T638">
        <v>-0.31578840000000002</v>
      </c>
      <c r="U638">
        <v>-0.24780269999999999</v>
      </c>
      <c r="V638">
        <v>-8.9228749999999996E-2</v>
      </c>
      <c r="W638">
        <v>0.30308740000000001</v>
      </c>
      <c r="X638">
        <v>0.94877619999999896</v>
      </c>
      <c r="Y638">
        <v>8.1991320000000006E-2</v>
      </c>
      <c r="Z638">
        <v>-4.9392680000000001E-3</v>
      </c>
      <c r="AA638">
        <v>0.99662079999999997</v>
      </c>
      <c r="AB638">
        <v>41</v>
      </c>
      <c r="AC638">
        <v>0.82699999999999796</v>
      </c>
      <c r="AD638">
        <v>-9.8852999999999996E-2</v>
      </c>
      <c r="AE638">
        <v>-7.9200000000014301E-2</v>
      </c>
      <c r="AF638">
        <v>8.3847375135594898E-2</v>
      </c>
      <c r="AG638">
        <v>-9.8852999999999996E-2</v>
      </c>
      <c r="AH638">
        <v>0.81488329332466702</v>
      </c>
      <c r="AI638">
        <v>96.880742211132201</v>
      </c>
      <c r="AJ638">
        <v>84.125228255778097</v>
      </c>
      <c r="AK638">
        <v>0.82512852311975204</v>
      </c>
      <c r="AL638">
        <v>72.356865927613796</v>
      </c>
      <c r="AM638">
        <v>95.3726449603341</v>
      </c>
      <c r="AN638">
        <v>1.0000000097758801</v>
      </c>
    </row>
    <row r="639" spans="1:40" x14ac:dyDescent="0.25">
      <c r="A639" t="str">
        <f>"20190304164346930"</f>
        <v>20190304164346930</v>
      </c>
      <c r="B639" t="str">
        <f>"1551689026921025"</f>
        <v>1551689026921025</v>
      </c>
      <c r="C639" t="s">
        <v>40</v>
      </c>
      <c r="D639">
        <v>4.585</v>
      </c>
      <c r="E639">
        <v>0.58235109999999901</v>
      </c>
      <c r="F639" t="s">
        <v>41</v>
      </c>
      <c r="G639">
        <v>-355.12540000000001</v>
      </c>
      <c r="H639">
        <v>1.0292239999999999</v>
      </c>
      <c r="I639">
        <v>367.31180000000001</v>
      </c>
      <c r="J639">
        <v>-355.553</v>
      </c>
      <c r="K639">
        <v>1.1097349999999999</v>
      </c>
      <c r="L639">
        <v>367.37830000000002</v>
      </c>
      <c r="M639">
        <v>0.99992890000000001</v>
      </c>
      <c r="N639">
        <v>-9.6244620000000003E-3</v>
      </c>
      <c r="O639">
        <v>7.0575869999999997E-3</v>
      </c>
      <c r="P639">
        <v>0.95086559999999998</v>
      </c>
      <c r="Q639">
        <v>0.29429440000000001</v>
      </c>
      <c r="R639">
        <v>9.6155110000000002E-2</v>
      </c>
      <c r="S639">
        <v>3.277374</v>
      </c>
      <c r="T639">
        <v>-0.31582670000000002</v>
      </c>
      <c r="U639">
        <v>-0.2487183</v>
      </c>
      <c r="V639">
        <v>-8.9430309999999999E-2</v>
      </c>
      <c r="W639">
        <v>0.3034423</v>
      </c>
      <c r="X639">
        <v>0.94864369999999998</v>
      </c>
      <c r="Y639">
        <v>8.2264210000000004E-2</v>
      </c>
      <c r="Z639">
        <v>-4.9563070000000001E-3</v>
      </c>
      <c r="AA639">
        <v>0.99659819999999999</v>
      </c>
      <c r="AB639">
        <v>41</v>
      </c>
      <c r="AC639">
        <v>0.42760000000004</v>
      </c>
      <c r="AD639">
        <v>-8.0511000000000194E-2</v>
      </c>
      <c r="AE639">
        <v>-6.6500000000019099E-2</v>
      </c>
      <c r="AF639">
        <v>6.7190550354846904E-2</v>
      </c>
      <c r="AG639">
        <v>-8.0511000000000194E-2</v>
      </c>
      <c r="AH639">
        <v>0.41283015288949099</v>
      </c>
      <c r="AI639">
        <v>100.89556010096</v>
      </c>
      <c r="AJ639">
        <v>80.755828569321807</v>
      </c>
      <c r="AK639">
        <v>0.42594051968877999</v>
      </c>
      <c r="AL639">
        <v>72.335525433821303</v>
      </c>
      <c r="AM639">
        <v>95.385457719981801</v>
      </c>
      <c r="AN639">
        <v>0.99999993966283596</v>
      </c>
    </row>
    <row r="640" spans="1:40" x14ac:dyDescent="0.25">
      <c r="A640" t="str">
        <f>"20190304164346943"</f>
        <v>20190304164346943</v>
      </c>
      <c r="B640" t="str">
        <f>"1551689026930785"</f>
        <v>1551689026930785</v>
      </c>
      <c r="C640" t="s">
        <v>40</v>
      </c>
      <c r="D640">
        <v>4.4976789999999998</v>
      </c>
      <c r="E640">
        <v>0.58249969999999995</v>
      </c>
      <c r="F640" t="s">
        <v>41</v>
      </c>
      <c r="G640">
        <v>-354.75740000000002</v>
      </c>
      <c r="H640">
        <v>1.0335240000000001</v>
      </c>
      <c r="I640">
        <v>367.31720000000001</v>
      </c>
      <c r="J640">
        <v>-355.32400000000001</v>
      </c>
      <c r="K640">
        <v>1.1097379999999999</v>
      </c>
      <c r="L640">
        <v>367.37990000000002</v>
      </c>
      <c r="M640">
        <v>0.9999285</v>
      </c>
      <c r="N640">
        <v>-9.6605159999999992E-3</v>
      </c>
      <c r="O640">
        <v>7.0579479999999997E-3</v>
      </c>
      <c r="P640">
        <v>0.95089990000000002</v>
      </c>
      <c r="Q640">
        <v>0.2940603</v>
      </c>
      <c r="R640">
        <v>9.6531259999999994E-2</v>
      </c>
      <c r="S640">
        <v>3.2775880000000002</v>
      </c>
      <c r="T640">
        <v>-0.3139651</v>
      </c>
      <c r="U640">
        <v>-0.2514343</v>
      </c>
      <c r="V640">
        <v>-8.9805869999999996E-2</v>
      </c>
      <c r="W640">
        <v>0.30324279999999998</v>
      </c>
      <c r="X640">
        <v>0.94867210000000002</v>
      </c>
      <c r="Y640">
        <v>8.3081600000000005E-2</v>
      </c>
      <c r="Z640">
        <v>-4.9729570000000001E-3</v>
      </c>
      <c r="AA640">
        <v>0.99653040000000004</v>
      </c>
      <c r="AB640">
        <v>41</v>
      </c>
      <c r="AC640">
        <v>0.566599999999994</v>
      </c>
      <c r="AD640">
        <v>-7.6214000000000004E-2</v>
      </c>
      <c r="AE640">
        <v>-6.2700000000006598E-2</v>
      </c>
      <c r="AF640">
        <v>6.5526415211561898E-2</v>
      </c>
      <c r="AG640">
        <v>-7.6214000000000004E-2</v>
      </c>
      <c r="AH640">
        <v>0.55620158583290902</v>
      </c>
      <c r="AI640">
        <v>97.749477058788202</v>
      </c>
      <c r="AJ640">
        <v>83.280923847049394</v>
      </c>
      <c r="AK640">
        <v>0.565210128155469</v>
      </c>
      <c r="AL640">
        <v>72.347522657846596</v>
      </c>
      <c r="AM640">
        <v>95.407779054116205</v>
      </c>
      <c r="AN640">
        <v>1.00000002167835</v>
      </c>
    </row>
    <row r="641" spans="1:40" x14ac:dyDescent="0.25">
      <c r="A641" t="str">
        <f>"20190304164346956"</f>
        <v>20190304164346956</v>
      </c>
      <c r="B641" t="str">
        <f>"1551689026950305"</f>
        <v>1551689026950305</v>
      </c>
      <c r="C641" t="s">
        <v>40</v>
      </c>
      <c r="D641">
        <v>4.4633159999999998</v>
      </c>
      <c r="E641">
        <v>0.5827521</v>
      </c>
      <c r="F641" t="s">
        <v>41</v>
      </c>
      <c r="G641">
        <v>-354.39729999999997</v>
      </c>
      <c r="H641">
        <v>1.0209189999999999</v>
      </c>
      <c r="I641">
        <v>367.30849999999998</v>
      </c>
      <c r="J641">
        <v>-355.08069999999998</v>
      </c>
      <c r="K641">
        <v>1.109742</v>
      </c>
      <c r="L641">
        <v>367.38170000000002</v>
      </c>
      <c r="M641">
        <v>0.99992820000000004</v>
      </c>
      <c r="N641">
        <v>-9.698089E-3</v>
      </c>
      <c r="O641">
        <v>7.0582400000000003E-3</v>
      </c>
      <c r="P641">
        <v>0.95086490000000001</v>
      </c>
      <c r="Q641">
        <v>0.29411110000000001</v>
      </c>
      <c r="R641">
        <v>9.6721109999999999E-2</v>
      </c>
      <c r="S641">
        <v>3.277679</v>
      </c>
      <c r="T641">
        <v>-0.3144131</v>
      </c>
      <c r="U641">
        <v>-0.25149539999999998</v>
      </c>
      <c r="V641">
        <v>-8.999509E-2</v>
      </c>
      <c r="W641">
        <v>0.30332920000000002</v>
      </c>
      <c r="X641">
        <v>0.94862650000000004</v>
      </c>
      <c r="Y641">
        <v>8.3096820000000002E-2</v>
      </c>
      <c r="Z641">
        <v>-4.9815450000000004E-3</v>
      </c>
      <c r="AA641">
        <v>0.996529</v>
      </c>
      <c r="AB641">
        <v>41</v>
      </c>
      <c r="AC641">
        <v>0.683400000000006</v>
      </c>
      <c r="AD641">
        <v>-8.8822999999999805E-2</v>
      </c>
      <c r="AE641">
        <v>-7.3200000000042495E-2</v>
      </c>
      <c r="AF641">
        <v>7.6740350818734301E-2</v>
      </c>
      <c r="AG641">
        <v>-8.8822999999999805E-2</v>
      </c>
      <c r="AH641">
        <v>0.67164896955597597</v>
      </c>
      <c r="AI641">
        <v>97.485289858113106</v>
      </c>
      <c r="AJ641">
        <v>83.481842922039704</v>
      </c>
      <c r="AK641">
        <v>0.68182911721221395</v>
      </c>
      <c r="AL641">
        <v>72.342326819924196</v>
      </c>
      <c r="AM641">
        <v>95.419364369581501</v>
      </c>
      <c r="AN641">
        <v>0.99999997814949804</v>
      </c>
    </row>
    <row r="642" spans="1:40" x14ac:dyDescent="0.25">
      <c r="A642" t="str">
        <f>"20190304164346967"</f>
        <v>20190304164346967</v>
      </c>
      <c r="B642" t="str">
        <f>"1551689026961042"</f>
        <v>1551689026961042</v>
      </c>
      <c r="C642" t="s">
        <v>40</v>
      </c>
      <c r="D642">
        <v>4.4847970000000004</v>
      </c>
      <c r="E642">
        <v>0.58288660000000003</v>
      </c>
      <c r="F642" t="s">
        <v>41</v>
      </c>
      <c r="G642">
        <v>-354.03620000000001</v>
      </c>
      <c r="H642">
        <v>1.0097210000000001</v>
      </c>
      <c r="I642">
        <v>367.30099999999999</v>
      </c>
      <c r="J642">
        <v>-354.84640000000002</v>
      </c>
      <c r="K642">
        <v>1.1097459999999999</v>
      </c>
      <c r="L642">
        <v>367.38330000000002</v>
      </c>
      <c r="M642">
        <v>0.99992780000000003</v>
      </c>
      <c r="N642">
        <v>-9.7323889999999993E-3</v>
      </c>
      <c r="O642">
        <v>7.0586080000000001E-3</v>
      </c>
      <c r="P642">
        <v>0.95078430000000003</v>
      </c>
      <c r="Q642">
        <v>0.2943769</v>
      </c>
      <c r="R642">
        <v>9.6703440000000002E-2</v>
      </c>
      <c r="S642">
        <v>3.2778320000000001</v>
      </c>
      <c r="T642">
        <v>-0.31394539999999999</v>
      </c>
      <c r="U642">
        <v>-0.2527161</v>
      </c>
      <c r="V642">
        <v>-8.9978440000000007E-2</v>
      </c>
      <c r="W642">
        <v>0.30362630000000002</v>
      </c>
      <c r="X642">
        <v>0.94853310000000002</v>
      </c>
      <c r="Y642">
        <v>8.3461960000000002E-2</v>
      </c>
      <c r="Z642">
        <v>-4.9948170000000004E-3</v>
      </c>
      <c r="AA642">
        <v>0.99649849999999995</v>
      </c>
      <c r="AB642">
        <v>41</v>
      </c>
      <c r="AC642">
        <v>0.81020000000000802</v>
      </c>
      <c r="AD642">
        <v>-0.100025</v>
      </c>
      <c r="AE642">
        <v>-8.2300000000032E-2</v>
      </c>
      <c r="AF642">
        <v>8.6709011275833595E-2</v>
      </c>
      <c r="AG642">
        <v>-0.100025</v>
      </c>
      <c r="AH642">
        <v>0.79756676418422501</v>
      </c>
      <c r="AI642">
        <v>97.106853304245107</v>
      </c>
      <c r="AJ642">
        <v>83.795347121486003</v>
      </c>
      <c r="AK642">
        <v>0.80847770321309897</v>
      </c>
      <c r="AL642">
        <v>72.324462932219205</v>
      </c>
      <c r="AM642">
        <v>95.418898059330402</v>
      </c>
      <c r="AN642">
        <v>1.0000000457560601</v>
      </c>
    </row>
    <row r="643" spans="1:40" x14ac:dyDescent="0.25">
      <c r="A643" t="str">
        <f>"20190304164346979"</f>
        <v>20190304164346979</v>
      </c>
      <c r="B643" t="str">
        <f>"1551689026970802"</f>
        <v>1551689026970802</v>
      </c>
      <c r="C643" t="s">
        <v>40</v>
      </c>
      <c r="D643">
        <v>4.4758050000000003</v>
      </c>
      <c r="E643">
        <v>0.58301400000000003</v>
      </c>
      <c r="F643" t="s">
        <v>41</v>
      </c>
      <c r="G643">
        <v>-354.0258</v>
      </c>
      <c r="H643">
        <v>1.0313639999999999</v>
      </c>
      <c r="I643">
        <v>367.31979999999999</v>
      </c>
      <c r="J643">
        <v>-354.6438</v>
      </c>
      <c r="K643">
        <v>1.1097520000000001</v>
      </c>
      <c r="L643">
        <v>367.38479999999998</v>
      </c>
      <c r="M643">
        <v>0.99992740000000002</v>
      </c>
      <c r="N643">
        <v>-9.7617160000000001E-3</v>
      </c>
      <c r="O643">
        <v>7.0589399999999997E-3</v>
      </c>
      <c r="P643">
        <v>0.95075569999999998</v>
      </c>
      <c r="Q643">
        <v>0.29448249999999998</v>
      </c>
      <c r="R643">
        <v>9.6663879999999994E-2</v>
      </c>
      <c r="S643">
        <v>3.2779850000000001</v>
      </c>
      <c r="T643">
        <v>-0.31322480000000003</v>
      </c>
      <c r="U643">
        <v>-0.25326539999999997</v>
      </c>
      <c r="V643">
        <v>-8.9938249999999997E-2</v>
      </c>
      <c r="W643">
        <v>0.30375940000000001</v>
      </c>
      <c r="X643">
        <v>0.94849430000000001</v>
      </c>
      <c r="Y643">
        <v>8.36258E-2</v>
      </c>
      <c r="Z643">
        <v>-4.993585E-3</v>
      </c>
      <c r="AA643">
        <v>0.9964847</v>
      </c>
      <c r="AB643">
        <v>41</v>
      </c>
      <c r="AC643">
        <v>0.617999999999995</v>
      </c>
      <c r="AD643">
        <v>-7.8388000000000096E-2</v>
      </c>
      <c r="AE643">
        <v>-6.4999999999997699E-2</v>
      </c>
      <c r="AF643">
        <v>6.8274579495984505E-2</v>
      </c>
      <c r="AG643">
        <v>-7.8388000000000096E-2</v>
      </c>
      <c r="AH643">
        <v>0.60785315498802905</v>
      </c>
      <c r="AI643">
        <v>97.302816841706701</v>
      </c>
      <c r="AJ643">
        <v>83.591350053571205</v>
      </c>
      <c r="AK643">
        <v>0.61667783710642199</v>
      </c>
      <c r="AL643">
        <v>72.316458899236906</v>
      </c>
      <c r="AM643">
        <v>95.416712293004295</v>
      </c>
      <c r="AN643">
        <v>1.0000000495169501</v>
      </c>
    </row>
    <row r="644" spans="1:40" x14ac:dyDescent="0.25">
      <c r="A644" t="str">
        <f>"20190304164346989"</f>
        <v>20190304164346989</v>
      </c>
      <c r="B644" t="str">
        <f>"1551689026980562"</f>
        <v>1551689026980562</v>
      </c>
      <c r="C644" t="s">
        <v>40</v>
      </c>
      <c r="D644">
        <v>4.4771570000000001</v>
      </c>
      <c r="E644">
        <v>0.58313579999999998</v>
      </c>
      <c r="F644" t="s">
        <v>41</v>
      </c>
      <c r="G644">
        <v>-353.6662</v>
      </c>
      <c r="H644">
        <v>1.0163580000000001</v>
      </c>
      <c r="I644">
        <v>367.30880000000002</v>
      </c>
      <c r="J644">
        <v>-354.45049999999998</v>
      </c>
      <c r="K644">
        <v>1.1097549999999901</v>
      </c>
      <c r="L644">
        <v>367.3861</v>
      </c>
      <c r="M644">
        <v>0.99992720000000002</v>
      </c>
      <c r="N644">
        <v>-9.7893900000000002E-3</v>
      </c>
      <c r="O644">
        <v>7.0591610000000004E-3</v>
      </c>
      <c r="P644">
        <v>0.95070049999999995</v>
      </c>
      <c r="Q644">
        <v>0.29453259999999998</v>
      </c>
      <c r="R644">
        <v>9.7052860000000005E-2</v>
      </c>
      <c r="S644">
        <v>3.278168</v>
      </c>
      <c r="T644">
        <v>-0.31327700000000003</v>
      </c>
      <c r="U644">
        <v>-0.25402829999999998</v>
      </c>
      <c r="V644">
        <v>-9.0327610000000003E-2</v>
      </c>
      <c r="W644">
        <v>0.30383520000000003</v>
      </c>
      <c r="X644">
        <v>0.94843290000000002</v>
      </c>
      <c r="Y644">
        <v>8.3851010000000004E-2</v>
      </c>
      <c r="Z644">
        <v>-5.0068769999999999E-3</v>
      </c>
      <c r="AA644">
        <v>0.99646570000000001</v>
      </c>
      <c r="AB644">
        <v>41</v>
      </c>
      <c r="AC644">
        <v>0.78429999999997302</v>
      </c>
      <c r="AD644">
        <v>-9.3396999999999702E-2</v>
      </c>
      <c r="AE644">
        <v>-7.7299999999979704E-2</v>
      </c>
      <c r="AF644">
        <v>8.1687586041243196E-2</v>
      </c>
      <c r="AG644">
        <v>-9.3396999999999702E-2</v>
      </c>
      <c r="AH644">
        <v>0.77288012227351399</v>
      </c>
      <c r="AI644">
        <v>96.852569773047605</v>
      </c>
      <c r="AJ644">
        <v>83.9666686174142</v>
      </c>
      <c r="AK644">
        <v>0.78277681667750398</v>
      </c>
      <c r="AL644">
        <v>72.311898354041404</v>
      </c>
      <c r="AM644">
        <v>95.440371971497598</v>
      </c>
      <c r="AN644">
        <v>0.99999993584487801</v>
      </c>
    </row>
    <row r="645" spans="1:40" x14ac:dyDescent="0.25">
      <c r="A645" t="str">
        <f>"20190304164347001"</f>
        <v>20190304164347001</v>
      </c>
      <c r="B645" t="str">
        <f>"1551689026990734"</f>
        <v>1551689026990734</v>
      </c>
      <c r="C645" t="s">
        <v>40</v>
      </c>
      <c r="D645">
        <v>4.4677600000000002</v>
      </c>
      <c r="E645">
        <v>0.58327320000000005</v>
      </c>
      <c r="F645" t="s">
        <v>41</v>
      </c>
      <c r="G645">
        <v>-353.65769999999998</v>
      </c>
      <c r="H645">
        <v>1.033979</v>
      </c>
      <c r="I645">
        <v>367.32470000000001</v>
      </c>
      <c r="J645">
        <v>-354.24720000000002</v>
      </c>
      <c r="K645">
        <v>1.109756</v>
      </c>
      <c r="L645">
        <v>367.38760000000002</v>
      </c>
      <c r="M645">
        <v>0.99992700000000001</v>
      </c>
      <c r="N645">
        <v>-9.8182979999999996E-3</v>
      </c>
      <c r="O645">
        <v>7.0593160000000004E-3</v>
      </c>
      <c r="P645">
        <v>0.95077659999999997</v>
      </c>
      <c r="Q645">
        <v>0.29432589999999997</v>
      </c>
      <c r="R645">
        <v>9.6933759999999994E-2</v>
      </c>
      <c r="S645">
        <v>3.2785030000000002</v>
      </c>
      <c r="T645">
        <v>-0.3134749</v>
      </c>
      <c r="U645">
        <v>-0.25289919999999999</v>
      </c>
      <c r="V645">
        <v>-9.0207739999999995E-2</v>
      </c>
      <c r="W645">
        <v>0.3036567</v>
      </c>
      <c r="X645">
        <v>0.9485015</v>
      </c>
      <c r="Y645">
        <v>8.3503289999999994E-2</v>
      </c>
      <c r="Z645">
        <v>-4.9921419999999998E-3</v>
      </c>
      <c r="AA645">
        <v>0.99649500000000002</v>
      </c>
      <c r="AB645">
        <v>41</v>
      </c>
      <c r="AC645">
        <v>0.58950000000004299</v>
      </c>
      <c r="AD645">
        <v>-7.57769999999999E-2</v>
      </c>
      <c r="AE645">
        <v>-6.2900000000013195E-2</v>
      </c>
      <c r="AF645">
        <v>6.5982104195938501E-2</v>
      </c>
      <c r="AG645">
        <v>-7.57769999999999E-2</v>
      </c>
      <c r="AH645">
        <v>0.57957238295020197</v>
      </c>
      <c r="AI645">
        <v>97.401685912893001</v>
      </c>
      <c r="AJ645">
        <v>83.505058022295202</v>
      </c>
      <c r="AK645">
        <v>0.58821759484199299</v>
      </c>
      <c r="AL645">
        <v>72.3226332935062</v>
      </c>
      <c r="AM645">
        <v>95.432804909646705</v>
      </c>
      <c r="AN645">
        <v>0.99999996165652205</v>
      </c>
    </row>
    <row r="646" spans="1:40" x14ac:dyDescent="0.25">
      <c r="A646" t="str">
        <f>"20190304164347012"</f>
        <v>20190304164347012</v>
      </c>
      <c r="B646" t="str">
        <f>"1551689027000494"</f>
        <v>1551689027000494</v>
      </c>
      <c r="C646" t="s">
        <v>40</v>
      </c>
      <c r="D646">
        <v>4.5415359999999998</v>
      </c>
      <c r="E646">
        <v>0.58341339999999997</v>
      </c>
      <c r="F646" t="s">
        <v>41</v>
      </c>
      <c r="G646">
        <v>-353.29790000000003</v>
      </c>
      <c r="H646">
        <v>1.01879599999999</v>
      </c>
      <c r="I646">
        <v>367.31389999999999</v>
      </c>
      <c r="J646">
        <v>-354.04289999999997</v>
      </c>
      <c r="K646">
        <v>1.1097570000000001</v>
      </c>
      <c r="L646">
        <v>367.38900000000001</v>
      </c>
      <c r="M646">
        <v>0.99992669999999995</v>
      </c>
      <c r="N646">
        <v>-9.8472270000000001E-3</v>
      </c>
      <c r="O646">
        <v>7.0597089999999999E-3</v>
      </c>
      <c r="P646">
        <v>0.95080730000000002</v>
      </c>
      <c r="Q646">
        <v>0.29416219999999998</v>
      </c>
      <c r="R646">
        <v>9.7130369999999994E-2</v>
      </c>
      <c r="S646">
        <v>3.278473</v>
      </c>
      <c r="T646">
        <v>-0.31410159999999998</v>
      </c>
      <c r="U646">
        <v>-0.25457760000000001</v>
      </c>
      <c r="V646">
        <v>-9.0403620000000004E-2</v>
      </c>
      <c r="W646">
        <v>0.30352089999999998</v>
      </c>
      <c r="X646">
        <v>0.94852639999999999</v>
      </c>
      <c r="Y646">
        <v>8.4007200000000004E-2</v>
      </c>
      <c r="Z646">
        <v>-5.0289430000000001E-3</v>
      </c>
      <c r="AA646">
        <v>0.99645249999999996</v>
      </c>
      <c r="AB646">
        <v>41</v>
      </c>
      <c r="AC646">
        <v>0.74499999999994704</v>
      </c>
      <c r="AD646">
        <v>-9.0961E-2</v>
      </c>
      <c r="AE646">
        <v>-7.5100000000020303E-2</v>
      </c>
      <c r="AF646">
        <v>7.9189246273307395E-2</v>
      </c>
      <c r="AG646">
        <v>-9.0961E-2</v>
      </c>
      <c r="AH646">
        <v>0.73362489794383101</v>
      </c>
      <c r="AI646">
        <v>97.027531696434295</v>
      </c>
      <c r="AJ646">
        <v>83.839208676270999</v>
      </c>
      <c r="AK646">
        <v>0.74347180923652501</v>
      </c>
      <c r="AL646">
        <v>72.330800933854803</v>
      </c>
      <c r="AM646">
        <v>95.444388999189798</v>
      </c>
      <c r="AN646">
        <v>1.0000000413714301</v>
      </c>
    </row>
    <row r="647" spans="1:40" x14ac:dyDescent="0.25">
      <c r="A647" t="str">
        <f>"20190304164347024"</f>
        <v>20190304164347024</v>
      </c>
      <c r="B647" t="str">
        <f>"1551689027020990"</f>
        <v>1551689027020990</v>
      </c>
      <c r="C647" t="s">
        <v>40</v>
      </c>
      <c r="D647">
        <v>4.541506</v>
      </c>
      <c r="E647">
        <v>0.58366280000000004</v>
      </c>
      <c r="F647" t="s">
        <v>41</v>
      </c>
      <c r="G647">
        <v>-353.28879999999998</v>
      </c>
      <c r="H647">
        <v>1.037504</v>
      </c>
      <c r="I647">
        <v>367.33030000000002</v>
      </c>
      <c r="J647">
        <v>-353.8159</v>
      </c>
      <c r="K647">
        <v>1.109758</v>
      </c>
      <c r="L647">
        <v>367.39060000000001</v>
      </c>
      <c r="M647">
        <v>0.99992630000000005</v>
      </c>
      <c r="N647">
        <v>-9.8780550000000002E-3</v>
      </c>
      <c r="O647">
        <v>7.0600319999999999E-3</v>
      </c>
      <c r="P647">
        <v>0.95081470000000001</v>
      </c>
      <c r="Q647">
        <v>0.29414620000000002</v>
      </c>
      <c r="R647">
        <v>9.7105159999999996E-2</v>
      </c>
      <c r="S647">
        <v>3.2785030000000002</v>
      </c>
      <c r="T647">
        <v>-0.31410840000000001</v>
      </c>
      <c r="U647">
        <v>-0.25549319999999998</v>
      </c>
      <c r="V647">
        <v>-9.0378360000000005E-2</v>
      </c>
      <c r="W647">
        <v>0.30353409999999997</v>
      </c>
      <c r="X647">
        <v>0.94852449999999999</v>
      </c>
      <c r="Y647">
        <v>8.4281889999999998E-2</v>
      </c>
      <c r="Z647">
        <v>-5.0445389999999998E-3</v>
      </c>
      <c r="AA647">
        <v>0.99642920000000001</v>
      </c>
      <c r="AB647">
        <v>41</v>
      </c>
      <c r="AC647">
        <v>0.527100000000018</v>
      </c>
      <c r="AD647">
        <v>-7.2253999999999999E-2</v>
      </c>
      <c r="AE647">
        <v>-6.0299999999983797E-2</v>
      </c>
      <c r="AF647">
        <v>6.2854217986895902E-2</v>
      </c>
      <c r="AG647">
        <v>-7.2253999999999999E-2</v>
      </c>
      <c r="AH647">
        <v>0.51707063190320801</v>
      </c>
      <c r="AI647">
        <v>97.897449222672094</v>
      </c>
      <c r="AJ647">
        <v>83.069227287678103</v>
      </c>
      <c r="AK647">
        <v>0.52586436617394705</v>
      </c>
      <c r="AL647">
        <v>72.330005742213004</v>
      </c>
      <c r="AM647">
        <v>95.442887736912994</v>
      </c>
      <c r="AN647">
        <v>0.99999996245967404</v>
      </c>
    </row>
    <row r="648" spans="1:40" x14ac:dyDescent="0.25">
      <c r="A648" t="str">
        <f>"20190304164347040"</f>
        <v>20190304164347040</v>
      </c>
      <c r="B648" t="str">
        <f>"1551689027030750"</f>
        <v>1551689027030750</v>
      </c>
      <c r="C648" t="s">
        <v>40</v>
      </c>
      <c r="D648">
        <v>4.5375730000000001</v>
      </c>
      <c r="E648">
        <v>0.58366280000000004</v>
      </c>
      <c r="F648" t="s">
        <v>41</v>
      </c>
      <c r="G648">
        <v>-352.92750000000001</v>
      </c>
      <c r="H648">
        <v>1.0248219999999999</v>
      </c>
      <c r="I648">
        <v>367.32040000000001</v>
      </c>
      <c r="J648">
        <v>-353.5249</v>
      </c>
      <c r="K648">
        <v>1.109753</v>
      </c>
      <c r="L648">
        <v>367.39269999999999</v>
      </c>
      <c r="M648">
        <v>0.99992590000000003</v>
      </c>
      <c r="N648">
        <v>-9.9161700000000002E-3</v>
      </c>
      <c r="O648">
        <v>7.060378E-3</v>
      </c>
      <c r="P648">
        <v>0.95079659999999999</v>
      </c>
      <c r="Q648">
        <v>0.29410019999999998</v>
      </c>
      <c r="R648">
        <v>9.7420720000000002E-2</v>
      </c>
      <c r="S648">
        <v>3.2785639999999998</v>
      </c>
      <c r="T648">
        <v>-0.31365510000000002</v>
      </c>
      <c r="U648">
        <v>-0.25790410000000002</v>
      </c>
      <c r="V648">
        <v>-9.0693869999999996E-2</v>
      </c>
      <c r="W648">
        <v>0.30352449999999997</v>
      </c>
      <c r="X648">
        <v>0.94849749999999999</v>
      </c>
      <c r="Y648">
        <v>8.5006579999999998E-2</v>
      </c>
      <c r="Z648">
        <v>-5.0770989999999998E-3</v>
      </c>
      <c r="AA648">
        <v>0.99636749999999996</v>
      </c>
      <c r="AB648">
        <v>41</v>
      </c>
      <c r="AC648">
        <v>0.59739999999999305</v>
      </c>
      <c r="AD648">
        <v>-8.4931000000000006E-2</v>
      </c>
      <c r="AE648">
        <v>-7.2299999999984196E-2</v>
      </c>
      <c r="AF648">
        <v>7.5021847485575999E-2</v>
      </c>
      <c r="AG648">
        <v>-8.4931000000000006E-2</v>
      </c>
      <c r="AH648">
        <v>0.585217152347275</v>
      </c>
      <c r="AI648">
        <v>98.1914184889838</v>
      </c>
      <c r="AJ648">
        <v>82.694817682456602</v>
      </c>
      <c r="AK648">
        <v>0.59608780205822298</v>
      </c>
      <c r="AL648">
        <v>72.330583771393705</v>
      </c>
      <c r="AM648">
        <v>95.461928639619899</v>
      </c>
      <c r="AN648">
        <v>1.0000000038310299</v>
      </c>
    </row>
    <row r="649" spans="1:40" x14ac:dyDescent="0.25">
      <c r="A649" t="str">
        <f>"20190304164347052"</f>
        <v>20190304164347052</v>
      </c>
      <c r="B649" t="str">
        <f>"1551689027040510"</f>
        <v>1551689027040510</v>
      </c>
      <c r="C649" t="s">
        <v>40</v>
      </c>
      <c r="D649">
        <v>4.5332229999999996</v>
      </c>
      <c r="E649">
        <v>0.59053859999999903</v>
      </c>
      <c r="F649" t="s">
        <v>41</v>
      </c>
      <c r="G649">
        <v>-352.56310000000002</v>
      </c>
      <c r="H649">
        <v>1.0179009999999999</v>
      </c>
      <c r="I649">
        <v>367.31689999999998</v>
      </c>
      <c r="J649">
        <v>-353.30610000000001</v>
      </c>
      <c r="K649">
        <v>1.1097539999999999</v>
      </c>
      <c r="L649">
        <v>367.39429999999999</v>
      </c>
      <c r="M649">
        <v>0.99992559999999997</v>
      </c>
      <c r="N649">
        <v>-9.9436230000000004E-3</v>
      </c>
      <c r="O649">
        <v>7.0607169999999898E-3</v>
      </c>
      <c r="P649">
        <v>0.95076570000000005</v>
      </c>
      <c r="Q649">
        <v>0.2941299</v>
      </c>
      <c r="R649">
        <v>9.7632839999999999E-2</v>
      </c>
      <c r="S649">
        <v>3.2785340000000001</v>
      </c>
      <c r="T649">
        <v>-0.31318580000000001</v>
      </c>
      <c r="U649">
        <v>-0.25802609999999998</v>
      </c>
      <c r="V649">
        <v>-9.0905669999999994E-2</v>
      </c>
      <c r="W649">
        <v>0.3035795</v>
      </c>
      <c r="X649">
        <v>0.94845959999999996</v>
      </c>
      <c r="Y649">
        <v>8.5045519999999999E-2</v>
      </c>
      <c r="Z649">
        <v>-5.073152E-3</v>
      </c>
      <c r="AA649">
        <v>0.99636420000000003</v>
      </c>
      <c r="AB649">
        <v>41</v>
      </c>
      <c r="AC649">
        <v>0.742999999999994</v>
      </c>
      <c r="AD649">
        <v>-9.1853000000000101E-2</v>
      </c>
      <c r="AE649">
        <v>-7.7400000000011404E-2</v>
      </c>
      <c r="AF649">
        <v>8.1413555485019301E-2</v>
      </c>
      <c r="AG649">
        <v>-9.1853000000000101E-2</v>
      </c>
      <c r="AH649">
        <v>0.73137729609743496</v>
      </c>
      <c r="AI649">
        <v>97.114756630262505</v>
      </c>
      <c r="AJ649">
        <v>83.648246425360398</v>
      </c>
      <c r="AK649">
        <v>0.74160494191483595</v>
      </c>
      <c r="AL649">
        <v>72.327276071213603</v>
      </c>
      <c r="AM649">
        <v>95.474824067035399</v>
      </c>
      <c r="AN649">
        <v>0.99999998324527894</v>
      </c>
    </row>
    <row r="650" spans="1:40" x14ac:dyDescent="0.25">
      <c r="A650" t="str">
        <f>"20190304164347064"</f>
        <v>20190304164347064</v>
      </c>
      <c r="B650" t="str">
        <f>"1551689027061006"</f>
        <v>1551689027061006</v>
      </c>
      <c r="C650" t="s">
        <v>40</v>
      </c>
      <c r="D650">
        <v>4.5359439999999998</v>
      </c>
      <c r="E650">
        <v>0.59046849999999995</v>
      </c>
      <c r="F650" t="s">
        <v>41</v>
      </c>
      <c r="G650">
        <v>-352.55099999999999</v>
      </c>
      <c r="H650">
        <v>1.0426610000000001</v>
      </c>
      <c r="I650">
        <v>367.32170000000002</v>
      </c>
      <c r="J650">
        <v>-353.09469999999999</v>
      </c>
      <c r="K650">
        <v>1.109756</v>
      </c>
      <c r="L650">
        <v>367.39569999999998</v>
      </c>
      <c r="M650">
        <v>0.99992550000000002</v>
      </c>
      <c r="N650">
        <v>-9.9680199999999993E-3</v>
      </c>
      <c r="O650">
        <v>7.0609519999999997E-3</v>
      </c>
      <c r="P650">
        <v>0.95082500000000003</v>
      </c>
      <c r="Q650">
        <v>0.294012099999999</v>
      </c>
      <c r="R650">
        <v>9.7411189999999995E-2</v>
      </c>
      <c r="S650">
        <v>3.277771</v>
      </c>
      <c r="T650">
        <v>-0.29134209999999999</v>
      </c>
      <c r="U650">
        <v>-0.31460569999999999</v>
      </c>
      <c r="V650">
        <v>-9.068329E-2</v>
      </c>
      <c r="W650">
        <v>0.30348540000000002</v>
      </c>
      <c r="X650">
        <v>0.94851099999999999</v>
      </c>
      <c r="Y650">
        <v>0.10210320000000001</v>
      </c>
      <c r="Z650">
        <v>-5.5844969999999999E-3</v>
      </c>
      <c r="AA650">
        <v>0.99475809999999998</v>
      </c>
      <c r="AB650">
        <v>41</v>
      </c>
      <c r="AC650">
        <v>0.54370000000000096</v>
      </c>
      <c r="AD650">
        <v>-6.7094999999999905E-2</v>
      </c>
      <c r="AE650">
        <v>-7.3999999999955393E-2</v>
      </c>
      <c r="AF650">
        <v>7.6690729210159195E-2</v>
      </c>
      <c r="AG650">
        <v>-6.7094999999999905E-2</v>
      </c>
      <c r="AH650">
        <v>0.53516232881564496</v>
      </c>
      <c r="AI650">
        <v>97.074539195340407</v>
      </c>
      <c r="AJ650">
        <v>81.844826414988304</v>
      </c>
      <c r="AK650">
        <v>0.54477694991176895</v>
      </c>
      <c r="AL650">
        <v>72.332934544980901</v>
      </c>
      <c r="AM650">
        <v>95.461218064660102</v>
      </c>
      <c r="AN650">
        <v>0.99999998210969099</v>
      </c>
    </row>
    <row r="651" spans="1:40" x14ac:dyDescent="0.25">
      <c r="A651" t="str">
        <f>"20190304164347077"</f>
        <v>20190304164347077</v>
      </c>
      <c r="B651" t="str">
        <f>"1551689027070766"</f>
        <v>1551689027070766</v>
      </c>
      <c r="C651" t="s">
        <v>40</v>
      </c>
      <c r="D651">
        <v>4.54901</v>
      </c>
      <c r="E651">
        <v>0.59047939999999999</v>
      </c>
      <c r="F651" t="s">
        <v>41</v>
      </c>
      <c r="G651">
        <v>-352.18990000000002</v>
      </c>
      <c r="H651">
        <v>1.028097</v>
      </c>
      <c r="I651">
        <v>367.30869999999999</v>
      </c>
      <c r="J651">
        <v>-352.86700000000002</v>
      </c>
      <c r="K651">
        <v>1.1097549999999901</v>
      </c>
      <c r="L651">
        <v>367.39729999999997</v>
      </c>
      <c r="M651">
        <v>0.99992519999999996</v>
      </c>
      <c r="N651">
        <v>-9.9939539999999993E-3</v>
      </c>
      <c r="O651">
        <v>7.0611190000000002E-3</v>
      </c>
      <c r="P651">
        <v>0.95079089999999999</v>
      </c>
      <c r="Q651">
        <v>0.29412820000000001</v>
      </c>
      <c r="R651">
        <v>9.739304E-2</v>
      </c>
      <c r="S651">
        <v>3.278931</v>
      </c>
      <c r="T651">
        <v>-0.29615330000000001</v>
      </c>
      <c r="U651">
        <v>-0.31426999999999999</v>
      </c>
      <c r="V651">
        <v>-9.0665019999999999E-2</v>
      </c>
      <c r="W651">
        <v>0.3036258</v>
      </c>
      <c r="X651">
        <v>0.94846790000000003</v>
      </c>
      <c r="Y651">
        <v>0.10195510000000001</v>
      </c>
      <c r="Z651">
        <v>-5.6610799999999998E-3</v>
      </c>
      <c r="AA651">
        <v>0.99477289999999996</v>
      </c>
      <c r="AB651">
        <v>41</v>
      </c>
      <c r="AC651">
        <v>0.67709999999993797</v>
      </c>
      <c r="AD651">
        <v>-8.1657999999999703E-2</v>
      </c>
      <c r="AE651">
        <v>-8.8599999999985302E-2</v>
      </c>
      <c r="AF651">
        <v>9.2062669539080197E-2</v>
      </c>
      <c r="AG651">
        <v>-8.1657999999999703E-2</v>
      </c>
      <c r="AH651">
        <v>0.66692088440069597</v>
      </c>
      <c r="AI651">
        <v>96.915632857988001</v>
      </c>
      <c r="AJ651">
        <v>82.140483312112195</v>
      </c>
      <c r="AK651">
        <v>0.67817920208191895</v>
      </c>
      <c r="AL651">
        <v>72.324493347329806</v>
      </c>
      <c r="AM651">
        <v>95.460371058632305</v>
      </c>
      <c r="AN651">
        <v>1.0000000648038201</v>
      </c>
    </row>
    <row r="652" spans="1:40" x14ac:dyDescent="0.25">
      <c r="A652" t="str">
        <f>"20190304164347098"</f>
        <v>20190304164347098</v>
      </c>
      <c r="B652" t="str">
        <f>"1551689027090793"</f>
        <v>1551689027090793</v>
      </c>
      <c r="C652" t="s">
        <v>40</v>
      </c>
      <c r="D652">
        <v>4.5542290000000003</v>
      </c>
      <c r="E652">
        <v>0.58997639999999996</v>
      </c>
      <c r="F652" t="s">
        <v>41</v>
      </c>
      <c r="G652">
        <v>-351.82749999999999</v>
      </c>
      <c r="H652">
        <v>1.0153799999999999</v>
      </c>
      <c r="I652">
        <v>367.29750000000001</v>
      </c>
      <c r="J652">
        <v>-352.46069999999997</v>
      </c>
      <c r="K652">
        <v>1.1097549999999901</v>
      </c>
      <c r="L652">
        <v>367.40019999999998</v>
      </c>
      <c r="M652">
        <v>0.9999247</v>
      </c>
      <c r="N652">
        <v>-1.003984E-2</v>
      </c>
      <c r="O652">
        <v>7.0616019999999897E-3</v>
      </c>
      <c r="P652">
        <v>0.95080509999999996</v>
      </c>
      <c r="Q652">
        <v>0.2939928</v>
      </c>
      <c r="R652">
        <v>9.7663739999999999E-2</v>
      </c>
      <c r="S652">
        <v>3.2795719999999999</v>
      </c>
      <c r="T652">
        <v>-0.29785610000000001</v>
      </c>
      <c r="U652">
        <v>-0.31433109999999997</v>
      </c>
      <c r="V652">
        <v>-9.0935539999999995E-2</v>
      </c>
      <c r="W652">
        <v>0.30353400000000003</v>
      </c>
      <c r="X652">
        <v>0.94847130000000002</v>
      </c>
      <c r="Y652">
        <v>0.1019502</v>
      </c>
      <c r="Z652">
        <v>-5.6917809999999999E-3</v>
      </c>
      <c r="AA652">
        <v>0.99477320000000002</v>
      </c>
      <c r="AB652">
        <v>41</v>
      </c>
      <c r="AC652">
        <v>0.633199999999987</v>
      </c>
      <c r="AD652">
        <v>-9.4374999999999806E-2</v>
      </c>
      <c r="AE652">
        <v>-0.10269999999997</v>
      </c>
      <c r="AF652">
        <v>0.10489855428403499</v>
      </c>
      <c r="AG652">
        <v>-9.4374999999999806E-2</v>
      </c>
      <c r="AH652">
        <v>0.61905948065495098</v>
      </c>
      <c r="AI652">
        <v>98.547935099135202</v>
      </c>
      <c r="AJ652">
        <v>80.382681698768707</v>
      </c>
      <c r="AK652">
        <v>0.63493699522445401</v>
      </c>
      <c r="AL652">
        <v>72.330012153353806</v>
      </c>
      <c r="AM652">
        <v>95.476544915420405</v>
      </c>
      <c r="AN652">
        <v>0.99999998425739001</v>
      </c>
    </row>
    <row r="653" spans="1:40" x14ac:dyDescent="0.25">
      <c r="A653" t="str">
        <f>"20190304164347109"</f>
        <v>20190304164347109</v>
      </c>
      <c r="B653" t="str">
        <f>"1551689027100553"</f>
        <v>1551689027100553</v>
      </c>
      <c r="C653" t="s">
        <v>40</v>
      </c>
      <c r="D653">
        <v>4.5446090000000003</v>
      </c>
      <c r="E653">
        <v>0.58998109999999904</v>
      </c>
      <c r="F653" t="s">
        <v>41</v>
      </c>
      <c r="G653">
        <v>-351.45819999999998</v>
      </c>
      <c r="H653">
        <v>1.0171399999999999</v>
      </c>
      <c r="I653">
        <v>367.30549999999999</v>
      </c>
      <c r="J653">
        <v>-352.25920000000002</v>
      </c>
      <c r="K653">
        <v>1.109761</v>
      </c>
      <c r="L653">
        <v>367.40159999999997</v>
      </c>
      <c r="M653">
        <v>0.99992449999999999</v>
      </c>
      <c r="N653">
        <v>-1.00625E-2</v>
      </c>
      <c r="O653">
        <v>7.0617839999999998E-3</v>
      </c>
      <c r="P653">
        <v>0.95078370000000001</v>
      </c>
      <c r="Q653">
        <v>0.29403950000000001</v>
      </c>
      <c r="R653">
        <v>9.7730200000000003E-2</v>
      </c>
      <c r="S653">
        <v>3.2807309999999998</v>
      </c>
      <c r="T653">
        <v>-0.30319020000000002</v>
      </c>
      <c r="U653">
        <v>-0.30935669999999998</v>
      </c>
      <c r="V653">
        <v>-9.1001319999999997E-2</v>
      </c>
      <c r="W653">
        <v>0.30360219999999999</v>
      </c>
      <c r="X653">
        <v>0.94844320000000004</v>
      </c>
      <c r="Y653">
        <v>0.1004126</v>
      </c>
      <c r="Z653">
        <v>-5.7063909999999999E-3</v>
      </c>
      <c r="AA653">
        <v>0.99492950000000002</v>
      </c>
      <c r="AB653">
        <v>41</v>
      </c>
      <c r="AC653">
        <v>0.80100000000004401</v>
      </c>
      <c r="AD653">
        <v>-9.2620999999999995E-2</v>
      </c>
      <c r="AE653">
        <v>-9.6099999999978494E-2</v>
      </c>
      <c r="AF653">
        <v>0.100430606188603</v>
      </c>
      <c r="AG653">
        <v>-9.2620999999999995E-2</v>
      </c>
      <c r="AH653">
        <v>0.78988984274144702</v>
      </c>
      <c r="AI653">
        <v>96.634922938359296</v>
      </c>
      <c r="AJ653">
        <v>82.754002647183199</v>
      </c>
      <c r="AK653">
        <v>0.80161768940469302</v>
      </c>
      <c r="AL653">
        <v>72.325911698883303</v>
      </c>
      <c r="AM653">
        <v>95.480643754417898</v>
      </c>
      <c r="AN653">
        <v>1.0000000198564101</v>
      </c>
    </row>
    <row r="654" spans="1:40" x14ac:dyDescent="0.25">
      <c r="A654" t="str">
        <f>"20190304164347123"</f>
        <v>20190304164347123</v>
      </c>
      <c r="B654" t="str">
        <f>"1551689027110313"</f>
        <v>1551689027110313</v>
      </c>
      <c r="C654" t="s">
        <v>40</v>
      </c>
      <c r="D654">
        <v>4.5620250000000002</v>
      </c>
      <c r="E654">
        <v>0.59000989999999998</v>
      </c>
      <c r="F654" t="s">
        <v>41</v>
      </c>
      <c r="G654">
        <v>-351.44970000000001</v>
      </c>
      <c r="H654">
        <v>1.0350060000000001</v>
      </c>
      <c r="I654">
        <v>367.32510000000002</v>
      </c>
      <c r="J654">
        <v>-352.02910000000003</v>
      </c>
      <c r="K654">
        <v>1.109761</v>
      </c>
      <c r="L654">
        <v>367.40320000000003</v>
      </c>
      <c r="M654">
        <v>0.99992420000000004</v>
      </c>
      <c r="N654">
        <v>-1.00876E-2</v>
      </c>
      <c r="O654">
        <v>7.0621929999999996E-3</v>
      </c>
      <c r="P654">
        <v>0.95081079999999996</v>
      </c>
      <c r="Q654">
        <v>0.29387970000000002</v>
      </c>
      <c r="R654">
        <v>9.7947519999999996E-2</v>
      </c>
      <c r="S654">
        <v>3.2807919999999999</v>
      </c>
      <c r="T654">
        <v>-0.30303930000000001</v>
      </c>
      <c r="U654">
        <v>-0.30938719999999997</v>
      </c>
      <c r="V654">
        <v>-9.1218469999999996E-2</v>
      </c>
      <c r="W654">
        <v>0.30346630000000002</v>
      </c>
      <c r="X654">
        <v>0.94846580000000003</v>
      </c>
      <c r="Y654">
        <v>0.1004208</v>
      </c>
      <c r="Z654">
        <v>-5.7052209999999999E-3</v>
      </c>
      <c r="AA654">
        <v>0.9949287</v>
      </c>
      <c r="AB654">
        <v>41</v>
      </c>
      <c r="AC654">
        <v>0.57940000000002101</v>
      </c>
      <c r="AD654">
        <v>-7.4755000000000099E-2</v>
      </c>
      <c r="AE654">
        <v>-7.8100000000006206E-2</v>
      </c>
      <c r="AF654">
        <v>8.0867947722625899E-2</v>
      </c>
      <c r="AG654">
        <v>-7.4755000000000099E-2</v>
      </c>
      <c r="AH654">
        <v>0.56952257826418196</v>
      </c>
      <c r="AI654">
        <v>97.404406348356105</v>
      </c>
      <c r="AJ654">
        <v>81.918451805829207</v>
      </c>
      <c r="AK654">
        <v>0.580072324927289</v>
      </c>
      <c r="AL654">
        <v>72.334083187564204</v>
      </c>
      <c r="AM654">
        <v>95.493511811749599</v>
      </c>
      <c r="AN654">
        <v>0.99999998913723498</v>
      </c>
    </row>
    <row r="655" spans="1:40" x14ac:dyDescent="0.25">
      <c r="A655" t="str">
        <f>"20190304164347136"</f>
        <v>20190304164347136</v>
      </c>
      <c r="B655" t="str">
        <f>"1551689027130809"</f>
        <v>1551689027130809</v>
      </c>
      <c r="C655" t="s">
        <v>40</v>
      </c>
      <c r="D655">
        <v>4.5756969999999999</v>
      </c>
      <c r="E655">
        <v>0.59003850000000002</v>
      </c>
      <c r="F655" t="s">
        <v>41</v>
      </c>
      <c r="G655">
        <v>-351.08670000000001</v>
      </c>
      <c r="H655">
        <v>1.0226770000000001</v>
      </c>
      <c r="I655">
        <v>367.3143</v>
      </c>
      <c r="J655">
        <v>-351.75839999999999</v>
      </c>
      <c r="K655">
        <v>1.109764</v>
      </c>
      <c r="L655">
        <v>367.40519999999998</v>
      </c>
      <c r="M655">
        <v>0.99992400000000004</v>
      </c>
      <c r="N655">
        <v>-1.011624E-2</v>
      </c>
      <c r="O655">
        <v>7.0625230000000002E-3</v>
      </c>
      <c r="P655">
        <v>0.95085869999999995</v>
      </c>
      <c r="Q655">
        <v>0.29371180000000002</v>
      </c>
      <c r="R655">
        <v>9.7987249999999998E-2</v>
      </c>
      <c r="S655">
        <v>3.2807620000000002</v>
      </c>
      <c r="T655">
        <v>-0.3032144</v>
      </c>
      <c r="U655">
        <v>-0.30905149999999998</v>
      </c>
      <c r="V655">
        <v>-9.1257530000000003E-2</v>
      </c>
      <c r="W655">
        <v>0.3033264</v>
      </c>
      <c r="X655">
        <v>0.94850679999999998</v>
      </c>
      <c r="Y655">
        <v>0.1003209</v>
      </c>
      <c r="Z655">
        <v>-5.7044879999999997E-3</v>
      </c>
      <c r="AA655">
        <v>0.99493880000000001</v>
      </c>
      <c r="AB655">
        <v>41</v>
      </c>
      <c r="AC655">
        <v>0.67169999999998697</v>
      </c>
      <c r="AD655">
        <v>-8.7086999999999901E-2</v>
      </c>
      <c r="AE655">
        <v>-9.0899999999976402E-2</v>
      </c>
      <c r="AF655">
        <v>9.4088726842535095E-2</v>
      </c>
      <c r="AG655">
        <v>-8.7086999999999901E-2</v>
      </c>
      <c r="AH655">
        <v>0.66014407598534097</v>
      </c>
      <c r="AI655">
        <v>97.440791525025304</v>
      </c>
      <c r="AJ655">
        <v>81.888404323828496</v>
      </c>
      <c r="AK655">
        <v>0.67247827856845299</v>
      </c>
      <c r="AL655">
        <v>72.3424954999672</v>
      </c>
      <c r="AM655">
        <v>95.495613641027902</v>
      </c>
      <c r="AN655">
        <v>0.99999999568245002</v>
      </c>
    </row>
    <row r="656" spans="1:40" x14ac:dyDescent="0.25">
      <c r="A656" t="str">
        <f>"20190304164347153"</f>
        <v>20190304164347153</v>
      </c>
      <c r="B656" t="str">
        <f>"1551689027140569"</f>
        <v>1551689027140569</v>
      </c>
      <c r="C656" t="s">
        <v>40</v>
      </c>
      <c r="D656">
        <v>4.5538499999999997</v>
      </c>
      <c r="E656">
        <v>0.59011999999999998</v>
      </c>
      <c r="F656" t="s">
        <v>41</v>
      </c>
      <c r="G656">
        <v>-350.72179999999997</v>
      </c>
      <c r="H656">
        <v>1.0135130000000001</v>
      </c>
      <c r="I656">
        <v>367.3073</v>
      </c>
      <c r="J656">
        <v>-351.45060000000001</v>
      </c>
      <c r="K656">
        <v>1.1097699999999999</v>
      </c>
      <c r="L656">
        <v>367.40730000000002</v>
      </c>
      <c r="M656">
        <v>0.99992360000000002</v>
      </c>
      <c r="N656">
        <v>-1.01469E-2</v>
      </c>
      <c r="O656">
        <v>7.0629019999999898E-3</v>
      </c>
      <c r="P656">
        <v>0.95081499999999997</v>
      </c>
      <c r="Q656">
        <v>0.29376750000000001</v>
      </c>
      <c r="R656">
        <v>9.8243120000000003E-2</v>
      </c>
      <c r="S656">
        <v>3.2810359999999998</v>
      </c>
      <c r="T656">
        <v>-0.30485640000000003</v>
      </c>
      <c r="U656">
        <v>-0.30896000000000001</v>
      </c>
      <c r="V656">
        <v>-9.1513689999999995E-2</v>
      </c>
      <c r="W656">
        <v>0.30341050000000003</v>
      </c>
      <c r="X656">
        <v>0.94845520000000005</v>
      </c>
      <c r="Y656">
        <v>0.100281</v>
      </c>
      <c r="Z656">
        <v>-5.7317740000000002E-3</v>
      </c>
      <c r="AA656">
        <v>0.99494269999999996</v>
      </c>
      <c r="AB656">
        <v>41</v>
      </c>
      <c r="AC656">
        <v>0.72880000000003498</v>
      </c>
      <c r="AD656">
        <v>-9.6257000000000204E-2</v>
      </c>
      <c r="AE656">
        <v>-0.100000000000022</v>
      </c>
      <c r="AF656">
        <v>0.103375251073669</v>
      </c>
      <c r="AG656">
        <v>-9.6257000000000204E-2</v>
      </c>
      <c r="AH656">
        <v>0.71581943238657497</v>
      </c>
      <c r="AI656">
        <v>97.580965527177398</v>
      </c>
      <c r="AJ656">
        <v>81.782428600417006</v>
      </c>
      <c r="AK656">
        <v>0.72962271919518995</v>
      </c>
      <c r="AL656">
        <v>72.337438263976907</v>
      </c>
      <c r="AM656">
        <v>95.511242973337602</v>
      </c>
      <c r="AN656">
        <v>0.99999997668735197</v>
      </c>
    </row>
    <row r="657" spans="1:40" x14ac:dyDescent="0.25">
      <c r="A657" t="str">
        <f>"20190304164347166"</f>
        <v>20190304164347166</v>
      </c>
      <c r="B657" t="str">
        <f>"1551689027161065"</f>
        <v>1551689027161065</v>
      </c>
      <c r="C657" t="s">
        <v>40</v>
      </c>
      <c r="D657">
        <v>4.5625140000000002</v>
      </c>
      <c r="E657">
        <v>0.5902944</v>
      </c>
      <c r="F657" t="s">
        <v>41</v>
      </c>
      <c r="G657">
        <v>-350.7088</v>
      </c>
      <c r="H657">
        <v>1.0409820000000001</v>
      </c>
      <c r="I657">
        <v>367.33710000000002</v>
      </c>
      <c r="J657">
        <v>-351.19909999999999</v>
      </c>
      <c r="K657">
        <v>1.1097760000000001</v>
      </c>
      <c r="L657">
        <v>367.40910000000002</v>
      </c>
      <c r="M657">
        <v>0.99992329999999996</v>
      </c>
      <c r="N657">
        <v>-1.0171919999999999E-2</v>
      </c>
      <c r="O657">
        <v>7.0632510000000004E-3</v>
      </c>
      <c r="P657">
        <v>0.95089639999999997</v>
      </c>
      <c r="Q657">
        <v>0.2934409</v>
      </c>
      <c r="R657">
        <v>9.8428699999999994E-2</v>
      </c>
      <c r="S657">
        <v>3.28125</v>
      </c>
      <c r="T657">
        <v>-0.30453000000000002</v>
      </c>
      <c r="U657">
        <v>-0.30926510000000001</v>
      </c>
      <c r="V657">
        <v>-9.169795E-2</v>
      </c>
      <c r="W657">
        <v>0.30310870000000001</v>
      </c>
      <c r="X657">
        <v>0.94853390000000004</v>
      </c>
      <c r="Y657">
        <v>0.1003676</v>
      </c>
      <c r="Z657">
        <v>-5.7313249999999998E-3</v>
      </c>
      <c r="AA657">
        <v>0.99493390000000004</v>
      </c>
      <c r="AB657">
        <v>41</v>
      </c>
      <c r="AC657">
        <v>0.49029999999999002</v>
      </c>
      <c r="AD657">
        <v>-6.8793999999999994E-2</v>
      </c>
      <c r="AE657">
        <v>-7.2000000000002701E-2</v>
      </c>
      <c r="AF657">
        <v>7.4034747517558994E-2</v>
      </c>
      <c r="AG657">
        <v>-6.8793999999999994E-2</v>
      </c>
      <c r="AH657">
        <v>0.48051895234082798</v>
      </c>
      <c r="AI657">
        <v>98.0536853900891</v>
      </c>
      <c r="AJ657">
        <v>81.241170364239807</v>
      </c>
      <c r="AK657">
        <v>0.49103179309970901</v>
      </c>
      <c r="AL657">
        <v>72.355584719880298</v>
      </c>
      <c r="AM657">
        <v>95.521815813947001</v>
      </c>
      <c r="AN657">
        <v>0.99999997874955004</v>
      </c>
    </row>
    <row r="658" spans="1:40" x14ac:dyDescent="0.25">
      <c r="A658" t="str">
        <f>"20190304164347177"</f>
        <v>20190304164347177</v>
      </c>
      <c r="B658" t="str">
        <f>"1551689027170826"</f>
        <v>1551689027170826</v>
      </c>
      <c r="C658" t="s">
        <v>40</v>
      </c>
      <c r="D658">
        <v>4.5712919999999997</v>
      </c>
      <c r="E658">
        <v>0.5903969</v>
      </c>
      <c r="F658" t="s">
        <v>41</v>
      </c>
      <c r="G658">
        <v>-350.34440000000001</v>
      </c>
      <c r="H658">
        <v>1.0302340000000001</v>
      </c>
      <c r="I658">
        <v>367.32819999999998</v>
      </c>
      <c r="J658">
        <v>-350.99209999999999</v>
      </c>
      <c r="K658">
        <v>1.109783</v>
      </c>
      <c r="L658">
        <v>367.41050000000001</v>
      </c>
      <c r="M658">
        <v>0.99992320000000001</v>
      </c>
      <c r="N658">
        <v>-1.0193270000000001E-2</v>
      </c>
      <c r="O658">
        <v>7.0633190000000002E-3</v>
      </c>
      <c r="P658">
        <v>0.95082869999999997</v>
      </c>
      <c r="Q658">
        <v>0.29370220000000002</v>
      </c>
      <c r="R658">
        <v>9.8306420000000005E-2</v>
      </c>
      <c r="S658">
        <v>3.2812809999999999</v>
      </c>
      <c r="T658">
        <v>-0.30547269999999999</v>
      </c>
      <c r="U658">
        <v>-0.31018069999999998</v>
      </c>
      <c r="V658">
        <v>-9.157585E-2</v>
      </c>
      <c r="W658">
        <v>0.30338910000000002</v>
      </c>
      <c r="X658">
        <v>0.94845599999999997</v>
      </c>
      <c r="Y658">
        <v>0.1006377</v>
      </c>
      <c r="Z658">
        <v>-5.7623600000000002E-3</v>
      </c>
      <c r="AA658">
        <v>0.99490650000000003</v>
      </c>
      <c r="AB658">
        <v>41</v>
      </c>
      <c r="AC658">
        <v>0.64769999999998595</v>
      </c>
      <c r="AD658">
        <v>-7.95489999999998E-2</v>
      </c>
      <c r="AE658">
        <v>-8.2300000000032E-2</v>
      </c>
      <c r="AF658">
        <v>8.5602370810046305E-2</v>
      </c>
      <c r="AG658">
        <v>-7.95489999999998E-2</v>
      </c>
      <c r="AH658">
        <v>0.637637092128162</v>
      </c>
      <c r="AI658">
        <v>97.048655791510996</v>
      </c>
      <c r="AJ658">
        <v>82.353795193716607</v>
      </c>
      <c r="AK658">
        <v>0.64825679367589994</v>
      </c>
      <c r="AL658">
        <v>72.338724253591906</v>
      </c>
      <c r="AM658">
        <v>95.514958750156794</v>
      </c>
      <c r="AN658">
        <v>0.99999993311901303</v>
      </c>
    </row>
    <row r="659" spans="1:40" x14ac:dyDescent="0.25">
      <c r="A659" t="str">
        <f>"20190304164347187"</f>
        <v>20190304164347187</v>
      </c>
      <c r="B659" t="str">
        <f>"1551689027180586"</f>
        <v>1551689027180586</v>
      </c>
      <c r="C659" t="s">
        <v>40</v>
      </c>
      <c r="D659">
        <v>4.501131</v>
      </c>
      <c r="E659">
        <v>0.59044680000000005</v>
      </c>
      <c r="F659" t="s">
        <v>41</v>
      </c>
      <c r="G659">
        <v>-349.98140000000001</v>
      </c>
      <c r="H659">
        <v>1.0159180000000001</v>
      </c>
      <c r="I659">
        <v>367.3143</v>
      </c>
      <c r="J659">
        <v>-350.79939999999999</v>
      </c>
      <c r="K659">
        <v>1.1097870000000001</v>
      </c>
      <c r="L659">
        <v>367.4119</v>
      </c>
      <c r="M659">
        <v>0.99992289999999995</v>
      </c>
      <c r="N659">
        <v>-1.0214350000000001E-2</v>
      </c>
      <c r="O659">
        <v>7.0636880000000003E-3</v>
      </c>
      <c r="P659">
        <v>0.95068909999999995</v>
      </c>
      <c r="Q659">
        <v>0.29416730000000002</v>
      </c>
      <c r="R659">
        <v>9.8264260000000006E-2</v>
      </c>
      <c r="S659">
        <v>3.281555</v>
      </c>
      <c r="T659">
        <v>-0.30490970000000001</v>
      </c>
      <c r="U659">
        <v>-0.31179810000000002</v>
      </c>
      <c r="V659">
        <v>-9.1534799999999999E-2</v>
      </c>
      <c r="W659">
        <v>0.303873</v>
      </c>
      <c r="X659">
        <v>0.94830510000000001</v>
      </c>
      <c r="Y659">
        <v>0.1011157</v>
      </c>
      <c r="Z659">
        <v>-5.7775580000000003E-3</v>
      </c>
      <c r="AA659">
        <v>0.99485789999999996</v>
      </c>
      <c r="AB659">
        <v>41</v>
      </c>
      <c r="AC659">
        <v>0.81799999999998296</v>
      </c>
      <c r="AD659">
        <v>-9.3868999999999897E-2</v>
      </c>
      <c r="AE659">
        <v>-9.7599999999999895E-2</v>
      </c>
      <c r="AF659">
        <v>0.10205096320330501</v>
      </c>
      <c r="AG659">
        <v>-9.3868999999999897E-2</v>
      </c>
      <c r="AH659">
        <v>0.80681469336303901</v>
      </c>
      <c r="AI659">
        <v>96.584256934443502</v>
      </c>
      <c r="AJ659">
        <v>82.791153409340097</v>
      </c>
      <c r="AK659">
        <v>0.81864261902140001</v>
      </c>
      <c r="AL659">
        <v>72.309626102118003</v>
      </c>
      <c r="AM659">
        <v>95.513373611064907</v>
      </c>
      <c r="AN659">
        <v>0.99999999121302496</v>
      </c>
    </row>
    <row r="660" spans="1:40" x14ac:dyDescent="0.25">
      <c r="A660" t="str">
        <f>"20190304164347198"</f>
        <v>20190304164347198</v>
      </c>
      <c r="B660" t="str">
        <f>"1551689027190852"</f>
        <v>1551689027190852</v>
      </c>
      <c r="C660" t="s">
        <v>40</v>
      </c>
      <c r="D660">
        <v>4.5756449999999997</v>
      </c>
      <c r="E660">
        <v>0.59048619999999996</v>
      </c>
      <c r="F660" t="s">
        <v>41</v>
      </c>
      <c r="G660">
        <v>-349.97320000000002</v>
      </c>
      <c r="H660">
        <v>1.0333479999999999</v>
      </c>
      <c r="I660">
        <v>367.33300000000003</v>
      </c>
      <c r="J660">
        <v>-350.60590000000002</v>
      </c>
      <c r="K660">
        <v>1.1097919999999999</v>
      </c>
      <c r="L660">
        <v>367.41329999999999</v>
      </c>
      <c r="M660">
        <v>0.9999228</v>
      </c>
      <c r="N660">
        <v>-1.0235960000000001E-2</v>
      </c>
      <c r="O660">
        <v>7.0637549999999997E-3</v>
      </c>
      <c r="P660">
        <v>0.95064029999999999</v>
      </c>
      <c r="Q660">
        <v>0.2943557</v>
      </c>
      <c r="R660">
        <v>9.8173259999999998E-2</v>
      </c>
      <c r="S660">
        <v>3.2818909999999999</v>
      </c>
      <c r="T660">
        <v>-0.30376449999999999</v>
      </c>
      <c r="U660">
        <v>-0.31243900000000002</v>
      </c>
      <c r="V660">
        <v>-9.1443860000000002E-2</v>
      </c>
      <c r="W660">
        <v>0.3040815</v>
      </c>
      <c r="X660">
        <v>0.94824699999999995</v>
      </c>
      <c r="Y660">
        <v>0.1013015</v>
      </c>
      <c r="Z660">
        <v>-5.7674960000000004E-3</v>
      </c>
      <c r="AA660">
        <v>0.99483909999999998</v>
      </c>
      <c r="AB660">
        <v>41</v>
      </c>
      <c r="AC660">
        <v>0.63269999999999904</v>
      </c>
      <c r="AD660">
        <v>-7.6444000000000095E-2</v>
      </c>
      <c r="AE660">
        <v>-8.0299999999965593E-2</v>
      </c>
      <c r="AF660">
        <v>8.3566902750271801E-2</v>
      </c>
      <c r="AG660">
        <v>-7.6444000000000095E-2</v>
      </c>
      <c r="AH660">
        <v>0.62316426672771197</v>
      </c>
      <c r="AI660">
        <v>96.932132432632002</v>
      </c>
      <c r="AJ660">
        <v>82.362149593625801</v>
      </c>
      <c r="AK660">
        <v>0.63337257258075197</v>
      </c>
      <c r="AL660">
        <v>72.297085900048401</v>
      </c>
      <c r="AM660">
        <v>95.508265164988401</v>
      </c>
      <c r="AN660">
        <v>0.99999995559147303</v>
      </c>
    </row>
    <row r="661" spans="1:40" x14ac:dyDescent="0.25">
      <c r="A661" t="str">
        <f>"20190304164347209"</f>
        <v>20190304164347209</v>
      </c>
      <c r="B661" t="str">
        <f>"1551689027200612"</f>
        <v>1551689027200612</v>
      </c>
      <c r="C661" t="s">
        <v>40</v>
      </c>
      <c r="D661">
        <v>4.5868549999999999</v>
      </c>
      <c r="E661">
        <v>0.59050639999999999</v>
      </c>
      <c r="F661" t="s">
        <v>41</v>
      </c>
      <c r="G661">
        <v>-349.61059999999998</v>
      </c>
      <c r="H661">
        <v>1.0175809999999901</v>
      </c>
      <c r="I661">
        <v>367.31849999999997</v>
      </c>
      <c r="J661">
        <v>-350.40609999999998</v>
      </c>
      <c r="K661">
        <v>1.1097859999999999</v>
      </c>
      <c r="L661">
        <v>367.41469999999998</v>
      </c>
      <c r="M661">
        <v>0.99992250000000005</v>
      </c>
      <c r="N661">
        <v>-1.0258740000000001E-2</v>
      </c>
      <c r="O661">
        <v>7.064173E-3</v>
      </c>
      <c r="P661">
        <v>0.9506175</v>
      </c>
      <c r="Q661">
        <v>0.29448669999999999</v>
      </c>
      <c r="R661">
        <v>9.8001640000000001E-2</v>
      </c>
      <c r="S661">
        <v>3.2822269999999998</v>
      </c>
      <c r="T661">
        <v>-0.30414010000000002</v>
      </c>
      <c r="U661">
        <v>-0.31253049999999999</v>
      </c>
      <c r="V661">
        <v>-9.1272350000000002E-2</v>
      </c>
      <c r="W661">
        <v>0.3042337</v>
      </c>
      <c r="X661">
        <v>0.94821480000000002</v>
      </c>
      <c r="Y661">
        <v>0.10131859999999999</v>
      </c>
      <c r="Z661">
        <v>-5.7754089999999996E-3</v>
      </c>
      <c r="AA661">
        <v>0.99483730000000004</v>
      </c>
      <c r="AB661">
        <v>41</v>
      </c>
      <c r="AC661">
        <v>0.79550000000000398</v>
      </c>
      <c r="AD661">
        <v>-9.2205000000000301E-2</v>
      </c>
      <c r="AE661">
        <v>-9.6200000000010194E-2</v>
      </c>
      <c r="AF661">
        <v>0.100486889440374</v>
      </c>
      <c r="AG661">
        <v>-9.2205000000000301E-2</v>
      </c>
      <c r="AH661">
        <v>0.78441405095516603</v>
      </c>
      <c r="AI661">
        <v>96.650291382603399</v>
      </c>
      <c r="AJ661">
        <v>82.699918650672899</v>
      </c>
      <c r="AK661">
        <v>0.79618137400362199</v>
      </c>
      <c r="AL661">
        <v>72.287933439123194</v>
      </c>
      <c r="AM661">
        <v>95.4981829111548</v>
      </c>
      <c r="AN661">
        <v>1.0000000465146199</v>
      </c>
    </row>
    <row r="662" spans="1:40" x14ac:dyDescent="0.25">
      <c r="A662" t="str">
        <f>"20190304164347221"</f>
        <v>20190304164347221</v>
      </c>
      <c r="B662" t="str">
        <f>"1551689027210373"</f>
        <v>1551689027210373</v>
      </c>
      <c r="C662" t="s">
        <v>40</v>
      </c>
      <c r="D662">
        <v>4.575221</v>
      </c>
      <c r="E662">
        <v>0.59050639999999999</v>
      </c>
      <c r="F662" t="s">
        <v>41</v>
      </c>
      <c r="G662">
        <v>-349.60239999999999</v>
      </c>
      <c r="H662">
        <v>1.0350569999999999</v>
      </c>
      <c r="I662">
        <v>367.33800000000002</v>
      </c>
      <c r="J662">
        <v>-350.19349999999997</v>
      </c>
      <c r="K662">
        <v>1.109788</v>
      </c>
      <c r="L662">
        <v>367.4162</v>
      </c>
      <c r="M662">
        <v>0.99992219999999998</v>
      </c>
      <c r="N662">
        <v>-1.028248E-2</v>
      </c>
      <c r="O662">
        <v>7.0645269999999897E-3</v>
      </c>
      <c r="P662">
        <v>0.95072230000000002</v>
      </c>
      <c r="Q662">
        <v>0.29425659999999998</v>
      </c>
      <c r="R662">
        <v>9.7673709999999997E-2</v>
      </c>
      <c r="S662">
        <v>3.2826840000000002</v>
      </c>
      <c r="T662">
        <v>-0.30524020000000002</v>
      </c>
      <c r="U662">
        <v>-0.31301879999999999</v>
      </c>
      <c r="V662">
        <v>-9.0943140000000006E-2</v>
      </c>
      <c r="W662">
        <v>0.3040274</v>
      </c>
      <c r="X662">
        <v>0.9483125</v>
      </c>
      <c r="Y662">
        <v>0.10144839999999999</v>
      </c>
      <c r="Z662">
        <v>-5.8015769999999996E-3</v>
      </c>
      <c r="AA662">
        <v>0.99482389999999998</v>
      </c>
      <c r="AB662">
        <v>41</v>
      </c>
      <c r="AC662">
        <v>0.59109999999998297</v>
      </c>
      <c r="AD662">
        <v>-7.4731000000000103E-2</v>
      </c>
      <c r="AE662">
        <v>-7.8199999999981104E-2</v>
      </c>
      <c r="AF662">
        <v>8.1100121516720997E-2</v>
      </c>
      <c r="AG662">
        <v>-7.4731000000000103E-2</v>
      </c>
      <c r="AH662">
        <v>0.58139965423724604</v>
      </c>
      <c r="AI662">
        <v>97.254947110041698</v>
      </c>
      <c r="AJ662">
        <v>82.058984643130003</v>
      </c>
      <c r="AK662">
        <v>0.59176643197989498</v>
      </c>
      <c r="AL662">
        <v>72.300339662271696</v>
      </c>
      <c r="AM662">
        <v>95.477911412914594</v>
      </c>
      <c r="AN662">
        <v>0.99999995616003401</v>
      </c>
    </row>
    <row r="663" spans="1:40" x14ac:dyDescent="0.25">
      <c r="A663" t="str">
        <f>"20190304164347232"</f>
        <v>20190304164347232</v>
      </c>
      <c r="B663" t="str">
        <f>"1551689027221110"</f>
        <v>1551689027221110</v>
      </c>
      <c r="C663" t="s">
        <v>40</v>
      </c>
      <c r="D663">
        <v>4.6059859999999997</v>
      </c>
      <c r="E663">
        <v>0.59058459999999902</v>
      </c>
      <c r="F663" t="s">
        <v>41</v>
      </c>
      <c r="G663">
        <v>-349.23899999999998</v>
      </c>
      <c r="H663">
        <v>1.0207520000000001</v>
      </c>
      <c r="I663">
        <v>367.32479999999998</v>
      </c>
      <c r="J663">
        <v>-349.96769999999998</v>
      </c>
      <c r="K663">
        <v>1.109791</v>
      </c>
      <c r="L663">
        <v>367.4178</v>
      </c>
      <c r="M663">
        <v>0.99992199999999998</v>
      </c>
      <c r="N663">
        <v>-1.03074E-2</v>
      </c>
      <c r="O663">
        <v>7.0647549999999998E-3</v>
      </c>
      <c r="P663">
        <v>0.95074219999999998</v>
      </c>
      <c r="Q663">
        <v>0.29417310000000002</v>
      </c>
      <c r="R663">
        <v>9.7731890000000002E-2</v>
      </c>
      <c r="S663">
        <v>3.2825319999999998</v>
      </c>
      <c r="T663">
        <v>-0.30627470000000001</v>
      </c>
      <c r="U663">
        <v>-0.31359860000000001</v>
      </c>
      <c r="V663">
        <v>-9.1001040000000005E-2</v>
      </c>
      <c r="W663">
        <v>0.3039674</v>
      </c>
      <c r="X663">
        <v>0.94832620000000001</v>
      </c>
      <c r="Y663">
        <v>0.1016229</v>
      </c>
      <c r="Z663">
        <v>-5.8299689999999999E-3</v>
      </c>
      <c r="AA663">
        <v>0.99480590000000002</v>
      </c>
      <c r="AB663">
        <v>41</v>
      </c>
      <c r="AC663">
        <v>0.72869999999994595</v>
      </c>
      <c r="AD663">
        <v>-8.9038999999999799E-2</v>
      </c>
      <c r="AE663">
        <v>-9.3000000000017694E-2</v>
      </c>
      <c r="AF663">
        <v>9.6725067830364705E-2</v>
      </c>
      <c r="AG663">
        <v>-8.9038999999999799E-2</v>
      </c>
      <c r="AH663">
        <v>0.71748431883411401</v>
      </c>
      <c r="AI663">
        <v>97.011388417858299</v>
      </c>
      <c r="AJ663">
        <v>82.3221648825145</v>
      </c>
      <c r="AK663">
        <v>0.72942952369686898</v>
      </c>
      <c r="AL663">
        <v>72.303948545455</v>
      </c>
      <c r="AM663">
        <v>95.481299049829801</v>
      </c>
      <c r="AN663">
        <v>0.99999997557513998</v>
      </c>
    </row>
    <row r="664" spans="1:40" x14ac:dyDescent="0.25">
      <c r="A664" t="str">
        <f>"20190304164347244"</f>
        <v>20190304164347244</v>
      </c>
      <c r="B664" t="str">
        <f>"1551689027240629"</f>
        <v>1551689027240629</v>
      </c>
      <c r="C664" t="s">
        <v>40</v>
      </c>
      <c r="D664">
        <v>4.5699019999999999</v>
      </c>
      <c r="E664">
        <v>0.59074499999999996</v>
      </c>
      <c r="F664" t="s">
        <v>41</v>
      </c>
      <c r="G664">
        <v>-349.2296</v>
      </c>
      <c r="H664">
        <v>1.0404880000000001</v>
      </c>
      <c r="I664">
        <v>367.34699999999998</v>
      </c>
      <c r="J664">
        <v>-349.77449999999999</v>
      </c>
      <c r="K664">
        <v>1.1097950000000001</v>
      </c>
      <c r="L664">
        <v>367.41919999999999</v>
      </c>
      <c r="M664">
        <v>0.99992170000000002</v>
      </c>
      <c r="N664">
        <v>-1.032894E-2</v>
      </c>
      <c r="O664">
        <v>7.0649399999999996E-3</v>
      </c>
      <c r="P664">
        <v>0.95068410000000003</v>
      </c>
      <c r="Q664">
        <v>0.29438389999999998</v>
      </c>
      <c r="R664">
        <v>9.7662159999999998E-2</v>
      </c>
      <c r="S664">
        <v>3.2830810000000001</v>
      </c>
      <c r="T664">
        <v>-0.30838549999999998</v>
      </c>
      <c r="U664">
        <v>-0.31402590000000002</v>
      </c>
      <c r="V664">
        <v>-9.0931150000000002E-2</v>
      </c>
      <c r="W664">
        <v>0.30419829999999998</v>
      </c>
      <c r="X664">
        <v>0.94825890000000002</v>
      </c>
      <c r="Y664">
        <v>0.1017284</v>
      </c>
      <c r="Z664">
        <v>-5.8723969999999997E-3</v>
      </c>
      <c r="AA664">
        <v>0.99479490000000004</v>
      </c>
      <c r="AB664">
        <v>41</v>
      </c>
      <c r="AC664">
        <v>0.54489999999998395</v>
      </c>
      <c r="AD664">
        <v>-6.9307000000000202E-2</v>
      </c>
      <c r="AE664">
        <v>-7.2200000000009298E-2</v>
      </c>
      <c r="AF664">
        <v>7.4857944017646103E-2</v>
      </c>
      <c r="AG664">
        <v>-6.9307000000000202E-2</v>
      </c>
      <c r="AH664">
        <v>0.53585684869184502</v>
      </c>
      <c r="AI664">
        <v>97.299538871199104</v>
      </c>
      <c r="AJ664">
        <v>82.047380518991304</v>
      </c>
      <c r="AK664">
        <v>0.54548119520429295</v>
      </c>
      <c r="AL664">
        <v>72.290061969366505</v>
      </c>
      <c r="AM664">
        <v>95.477501307413903</v>
      </c>
      <c r="AN664">
        <v>1.0000000105962099</v>
      </c>
    </row>
    <row r="665" spans="1:40" x14ac:dyDescent="0.25">
      <c r="A665" t="str">
        <f>"20190304164347256"</f>
        <v>20190304164347256</v>
      </c>
      <c r="B665" t="str">
        <f>"1551689027250389"</f>
        <v>1551689027250389</v>
      </c>
      <c r="C665" t="s">
        <v>40</v>
      </c>
      <c r="D665">
        <v>4.5840750000000003</v>
      </c>
      <c r="E665">
        <v>0.59083149999999995</v>
      </c>
      <c r="F665" t="s">
        <v>41</v>
      </c>
      <c r="G665">
        <v>-348.86660000000001</v>
      </c>
      <c r="H665">
        <v>1.024707</v>
      </c>
      <c r="I665">
        <v>367.33159999999998</v>
      </c>
      <c r="J665">
        <v>-349.56</v>
      </c>
      <c r="K665">
        <v>1.109793</v>
      </c>
      <c r="L665">
        <v>367.42070000000001</v>
      </c>
      <c r="M665">
        <v>0.99992159999999997</v>
      </c>
      <c r="N665">
        <v>-1.035312E-2</v>
      </c>
      <c r="O665">
        <v>7.0651719999999998E-3</v>
      </c>
      <c r="P665">
        <v>0.95068160000000002</v>
      </c>
      <c r="Q665">
        <v>0.29440499999999997</v>
      </c>
      <c r="R665">
        <v>9.7624199999999994E-2</v>
      </c>
      <c r="S665">
        <v>3.2833860000000001</v>
      </c>
      <c r="T665">
        <v>-0.30769289999999999</v>
      </c>
      <c r="U665">
        <v>-0.31594850000000002</v>
      </c>
      <c r="V665">
        <v>-9.0893199999999993E-2</v>
      </c>
      <c r="W665">
        <v>0.30424230000000002</v>
      </c>
      <c r="X665">
        <v>0.94824839999999999</v>
      </c>
      <c r="Y665">
        <v>0.1022966</v>
      </c>
      <c r="Z665">
        <v>-5.89019E-3</v>
      </c>
      <c r="AA665">
        <v>0.99473650000000002</v>
      </c>
      <c r="AB665">
        <v>41</v>
      </c>
      <c r="AC665">
        <v>0.69339999999999602</v>
      </c>
      <c r="AD665">
        <v>-8.5085999999999995E-2</v>
      </c>
      <c r="AE665">
        <v>-8.9100000000030294E-2</v>
      </c>
      <c r="AF665">
        <v>9.2624995449070602E-2</v>
      </c>
      <c r="AG665">
        <v>-8.5085999999999995E-2</v>
      </c>
      <c r="AH665">
        <v>0.68264134343417104</v>
      </c>
      <c r="AI665">
        <v>97.040974382272495</v>
      </c>
      <c r="AJ665">
        <v>82.272944287314402</v>
      </c>
      <c r="AK665">
        <v>0.69413127068556002</v>
      </c>
      <c r="AL665">
        <v>72.287415131926295</v>
      </c>
      <c r="AM665">
        <v>95.475289432851596</v>
      </c>
      <c r="AN665">
        <v>0.99999998950904501</v>
      </c>
    </row>
    <row r="666" spans="1:40" x14ac:dyDescent="0.25">
      <c r="A666" t="str">
        <f>"20190304164347266"</f>
        <v>20190304164347266</v>
      </c>
      <c r="B666" t="str">
        <f>"1551689027261125"</f>
        <v>1551689027261125</v>
      </c>
      <c r="C666" t="s">
        <v>40</v>
      </c>
      <c r="D666">
        <v>4.5962750000000003</v>
      </c>
      <c r="E666">
        <v>0.59089369999999997</v>
      </c>
      <c r="F666" t="s">
        <v>41</v>
      </c>
      <c r="G666">
        <v>-348.50229999999999</v>
      </c>
      <c r="H666">
        <v>1.01079599999999</v>
      </c>
      <c r="I666">
        <v>367.31830000000002</v>
      </c>
      <c r="J666">
        <v>-349.33890000000002</v>
      </c>
      <c r="K666">
        <v>1.1097939999999999</v>
      </c>
      <c r="L666">
        <v>367.42230000000001</v>
      </c>
      <c r="M666">
        <v>0.99992130000000001</v>
      </c>
      <c r="N666">
        <v>-1.0379640000000001E-2</v>
      </c>
      <c r="O666">
        <v>7.0655700000000002E-3</v>
      </c>
      <c r="P666">
        <v>0.95073160000000001</v>
      </c>
      <c r="Q666">
        <v>0.29426659999999999</v>
      </c>
      <c r="R666">
        <v>9.7554569999999993E-2</v>
      </c>
      <c r="S666">
        <v>3.2834469999999998</v>
      </c>
      <c r="T666">
        <v>-0.30747570000000002</v>
      </c>
      <c r="U666">
        <v>-0.3171387</v>
      </c>
      <c r="V666">
        <v>-9.0822940000000005E-2</v>
      </c>
      <c r="W666">
        <v>0.30412919999999999</v>
      </c>
      <c r="X666">
        <v>0.94829140000000001</v>
      </c>
      <c r="Y666">
        <v>0.1026514</v>
      </c>
      <c r="Z666">
        <v>-5.9057839999999999E-3</v>
      </c>
      <c r="AA666">
        <v>0.99469980000000002</v>
      </c>
      <c r="AB666">
        <v>41</v>
      </c>
      <c r="AC666">
        <v>0.83660000000003198</v>
      </c>
      <c r="AD666">
        <v>-9.89980000000001E-2</v>
      </c>
      <c r="AE666">
        <v>-0.10399999999998499</v>
      </c>
      <c r="AF666">
        <v>0.10841377622953099</v>
      </c>
      <c r="AG666">
        <v>-9.89980000000001E-2</v>
      </c>
      <c r="AH666">
        <v>0.824474936609914</v>
      </c>
      <c r="AI666">
        <v>96.789062839410803</v>
      </c>
      <c r="AJ666">
        <v>82.508908337673702</v>
      </c>
      <c r="AK666">
        <v>0.83744436948269496</v>
      </c>
      <c r="AL666">
        <v>72.294217426559896</v>
      </c>
      <c r="AM666">
        <v>95.470836171594499</v>
      </c>
      <c r="AN666">
        <v>0.999999978018421</v>
      </c>
    </row>
    <row r="667" spans="1:40" x14ac:dyDescent="0.25">
      <c r="A667" t="str">
        <f>"20190304164347278"</f>
        <v>20190304164347278</v>
      </c>
      <c r="B667" t="str">
        <f>"1551689027270884"</f>
        <v>1551689027270884</v>
      </c>
      <c r="C667" t="s">
        <v>40</v>
      </c>
      <c r="D667">
        <v>4.5887310000000001</v>
      </c>
      <c r="E667">
        <v>0.590970199999999</v>
      </c>
      <c r="F667" t="s">
        <v>41</v>
      </c>
      <c r="G667">
        <v>-348.49299999999999</v>
      </c>
      <c r="H667">
        <v>1.0306900000000001</v>
      </c>
      <c r="I667">
        <v>367.34</v>
      </c>
      <c r="J667">
        <v>-349.1388</v>
      </c>
      <c r="K667">
        <v>1.1097919999999999</v>
      </c>
      <c r="L667">
        <v>367.4237</v>
      </c>
      <c r="M667">
        <v>0.99992110000000001</v>
      </c>
      <c r="N667">
        <v>-1.0404E-2</v>
      </c>
      <c r="O667">
        <v>7.0657389999999997E-3</v>
      </c>
      <c r="P667">
        <v>0.95075460000000001</v>
      </c>
      <c r="Q667">
        <v>0.29410170000000002</v>
      </c>
      <c r="R667">
        <v>9.782739E-2</v>
      </c>
      <c r="S667">
        <v>3.283264</v>
      </c>
      <c r="T667">
        <v>-0.307220099999999</v>
      </c>
      <c r="U667">
        <v>-0.31845089999999998</v>
      </c>
      <c r="V667">
        <v>-9.1095389999999998E-2</v>
      </c>
      <c r="W667">
        <v>0.30398750000000002</v>
      </c>
      <c r="X667">
        <v>0.94831069999999995</v>
      </c>
      <c r="Y667">
        <v>0.1030495</v>
      </c>
      <c r="Z667">
        <v>-5.9232080000000001E-3</v>
      </c>
      <c r="AA667">
        <v>0.99465859999999995</v>
      </c>
      <c r="AB667">
        <v>41</v>
      </c>
      <c r="AC667">
        <v>0.64579999999995097</v>
      </c>
      <c r="AD667">
        <v>-7.91020000000002E-2</v>
      </c>
      <c r="AE667">
        <v>-8.3700000000021604E-2</v>
      </c>
      <c r="AF667">
        <v>8.6977838012299899E-2</v>
      </c>
      <c r="AG667">
        <v>-7.91020000000002E-2</v>
      </c>
      <c r="AH667">
        <v>0.63581094473438704</v>
      </c>
      <c r="AI667">
        <v>97.027014151424396</v>
      </c>
      <c r="AJ667">
        <v>82.210387281026598</v>
      </c>
      <c r="AK667">
        <v>0.64658938141089795</v>
      </c>
      <c r="AL667">
        <v>72.302739722368997</v>
      </c>
      <c r="AM667">
        <v>95.4870365395563</v>
      </c>
      <c r="AN667">
        <v>0.99999997698499499</v>
      </c>
    </row>
    <row r="668" spans="1:40" x14ac:dyDescent="0.25">
      <c r="A668" t="str">
        <f>"20190304164347287"</f>
        <v>20190304164347287</v>
      </c>
      <c r="B668" t="str">
        <f>"1551689027280645"</f>
        <v>1551689027280645</v>
      </c>
      <c r="C668" t="s">
        <v>40</v>
      </c>
      <c r="D668">
        <v>4.6152360000000003</v>
      </c>
      <c r="E668">
        <v>0.5910337</v>
      </c>
      <c r="F668" t="s">
        <v>41</v>
      </c>
      <c r="G668">
        <v>-348.12939999999998</v>
      </c>
      <c r="H668">
        <v>1.015228</v>
      </c>
      <c r="I668">
        <v>367.32580000000002</v>
      </c>
      <c r="J668">
        <v>-348.93990000000002</v>
      </c>
      <c r="K668">
        <v>1.1097939999999999</v>
      </c>
      <c r="L668">
        <v>367.42509999999999</v>
      </c>
      <c r="M668">
        <v>0.99992080000000005</v>
      </c>
      <c r="N668">
        <v>-1.042877E-2</v>
      </c>
      <c r="O668">
        <v>7.0659669999999898E-3</v>
      </c>
      <c r="P668">
        <v>0.95082679999999997</v>
      </c>
      <c r="Q668">
        <v>0.29384090000000002</v>
      </c>
      <c r="R668">
        <v>9.7909659999999996E-2</v>
      </c>
      <c r="S668">
        <v>3.283264</v>
      </c>
      <c r="T668">
        <v>-0.30767600000000001</v>
      </c>
      <c r="U668">
        <v>-0.3180847</v>
      </c>
      <c r="V668">
        <v>-9.1176759999999996E-2</v>
      </c>
      <c r="W668">
        <v>0.3037512</v>
      </c>
      <c r="X668">
        <v>0.94837859999999996</v>
      </c>
      <c r="Y668">
        <v>0.1029388</v>
      </c>
      <c r="Z668">
        <v>-5.9266839999999998E-3</v>
      </c>
      <c r="AA668">
        <v>0.99467000000000005</v>
      </c>
      <c r="AB668">
        <v>41</v>
      </c>
      <c r="AC668">
        <v>0.81050000000004696</v>
      </c>
      <c r="AD668">
        <v>-9.45659999999999E-2</v>
      </c>
      <c r="AE668">
        <v>-9.9299999999970995E-2</v>
      </c>
      <c r="AF668">
        <v>0.103634847204277</v>
      </c>
      <c r="AG668">
        <v>-9.45659999999999E-2</v>
      </c>
      <c r="AH668">
        <v>0.79906106960043299</v>
      </c>
      <c r="AI668">
        <v>96.693807418776601</v>
      </c>
      <c r="AJ668">
        <v>82.610229484198101</v>
      </c>
      <c r="AK668">
        <v>0.81128386084159299</v>
      </c>
      <c r="AL668">
        <v>72.316950773193895</v>
      </c>
      <c r="AM668">
        <v>95.491517031011497</v>
      </c>
      <c r="AN668">
        <v>0.99999998100174803</v>
      </c>
    </row>
    <row r="669" spans="1:40" x14ac:dyDescent="0.25">
      <c r="A669" t="str">
        <f>"20190304164347299"</f>
        <v>20190304164347299</v>
      </c>
      <c r="B669" t="str">
        <f>"1551689027290912"</f>
        <v>1551689027290912</v>
      </c>
      <c r="C669" t="s">
        <v>40</v>
      </c>
      <c r="D669">
        <v>4.6080459999999999</v>
      </c>
      <c r="E669">
        <v>0.5910666</v>
      </c>
      <c r="F669" t="s">
        <v>41</v>
      </c>
      <c r="G669">
        <v>-348.12099999999998</v>
      </c>
      <c r="H669">
        <v>1.0329600000000001</v>
      </c>
      <c r="I669">
        <v>367.34550000000002</v>
      </c>
      <c r="J669">
        <v>-348.74209999999999</v>
      </c>
      <c r="K669">
        <v>1.1097980000000001</v>
      </c>
      <c r="L669">
        <v>367.42649999999998</v>
      </c>
      <c r="M669">
        <v>0.99992040000000004</v>
      </c>
      <c r="N669">
        <v>-1.045396E-2</v>
      </c>
      <c r="O669">
        <v>7.0658309999999998E-3</v>
      </c>
      <c r="P669">
        <v>0.95083949999999995</v>
      </c>
      <c r="Q669">
        <v>0.29368240000000001</v>
      </c>
      <c r="R669">
        <v>9.8258849999999995E-2</v>
      </c>
      <c r="S669">
        <v>3.2831419999999998</v>
      </c>
      <c r="T669">
        <v>-0.30816450000000001</v>
      </c>
      <c r="U669">
        <v>-0.318573</v>
      </c>
      <c r="V669">
        <v>-9.1525899999999993E-2</v>
      </c>
      <c r="W669">
        <v>0.30361719999999998</v>
      </c>
      <c r="X669">
        <v>0.94838789999999995</v>
      </c>
      <c r="Y669">
        <v>0.10308630000000001</v>
      </c>
      <c r="Z669">
        <v>-5.9442710000000001E-3</v>
      </c>
      <c r="AA669">
        <v>0.9946547</v>
      </c>
      <c r="AB669">
        <v>41</v>
      </c>
      <c r="AC669">
        <v>0.62110000000001198</v>
      </c>
      <c r="AD669">
        <v>-7.6837999999999906E-2</v>
      </c>
      <c r="AE669">
        <v>-8.0999999999960395E-2</v>
      </c>
      <c r="AF669">
        <v>8.4120878410724895E-2</v>
      </c>
      <c r="AG669">
        <v>-7.6837999999999906E-2</v>
      </c>
      <c r="AH669">
        <v>0.61131254808231705</v>
      </c>
      <c r="AI669">
        <v>97.097939831535797</v>
      </c>
      <c r="AJ669">
        <v>82.164907365350203</v>
      </c>
      <c r="AK669">
        <v>0.62183875069947803</v>
      </c>
      <c r="AL669">
        <v>72.325009352194101</v>
      </c>
      <c r="AM669">
        <v>95.512362504321402</v>
      </c>
      <c r="AN669">
        <v>1.00000000168652</v>
      </c>
    </row>
    <row r="670" spans="1:40" x14ac:dyDescent="0.25">
      <c r="A670" t="str">
        <f>"20190304164347310"</f>
        <v>20190304164347310</v>
      </c>
      <c r="B670" t="str">
        <f>"1551689027300672"</f>
        <v>1551689027300672</v>
      </c>
      <c r="C670" t="s">
        <v>40</v>
      </c>
      <c r="D670">
        <v>4.6346089999999904</v>
      </c>
      <c r="E670">
        <v>0.59110569999999996</v>
      </c>
      <c r="F670" t="s">
        <v>41</v>
      </c>
      <c r="G670">
        <v>-347.75729999999999</v>
      </c>
      <c r="H670">
        <v>1.017272</v>
      </c>
      <c r="I670">
        <v>367.3313</v>
      </c>
      <c r="J670">
        <v>-348.53539999999998</v>
      </c>
      <c r="K670">
        <v>1.109802</v>
      </c>
      <c r="L670">
        <v>367.42790000000002</v>
      </c>
      <c r="M670">
        <v>0.99992009999999998</v>
      </c>
      <c r="N670">
        <v>-1.048079E-2</v>
      </c>
      <c r="O670">
        <v>7.0651480000000003E-3</v>
      </c>
      <c r="P670">
        <v>0.9508626</v>
      </c>
      <c r="Q670">
        <v>0.29350559999999998</v>
      </c>
      <c r="R670">
        <v>9.8564390000000002E-2</v>
      </c>
      <c r="S670">
        <v>3.2832029999999999</v>
      </c>
      <c r="T670">
        <v>-0.30857869999999998</v>
      </c>
      <c r="U670">
        <v>-0.31732179999999999</v>
      </c>
      <c r="V670">
        <v>-9.1831720000000006E-2</v>
      </c>
      <c r="W670">
        <v>0.30346590000000001</v>
      </c>
      <c r="X670">
        <v>0.94840679999999999</v>
      </c>
      <c r="Y670">
        <v>0.1027087</v>
      </c>
      <c r="Z670">
        <v>-5.9330819999999897E-3</v>
      </c>
      <c r="AA670">
        <v>0.99469379999999996</v>
      </c>
      <c r="AB670">
        <v>41</v>
      </c>
      <c r="AC670">
        <v>0.77809999999999402</v>
      </c>
      <c r="AD670">
        <v>-9.2530000000000001E-2</v>
      </c>
      <c r="AE670">
        <v>-9.66000000000235E-2</v>
      </c>
      <c r="AF670">
        <v>0.100692950916058</v>
      </c>
      <c r="AG670">
        <v>-9.2530000000000001E-2</v>
      </c>
      <c r="AH670">
        <v>0.76672008244566203</v>
      </c>
      <c r="AI670">
        <v>96.823310629814898</v>
      </c>
      <c r="AJ670">
        <v>82.518192902809105</v>
      </c>
      <c r="AK670">
        <v>0.77881997668887903</v>
      </c>
      <c r="AL670">
        <v>72.334108127650794</v>
      </c>
      <c r="AM670">
        <v>95.530557687708693</v>
      </c>
      <c r="AN670">
        <v>1.0000000377736</v>
      </c>
    </row>
    <row r="671" spans="1:40" x14ac:dyDescent="0.25">
      <c r="A671" t="str">
        <f>"20190304164347321"</f>
        <v>20190304164347321</v>
      </c>
      <c r="B671" t="str">
        <f>"1551689027310433"</f>
        <v>1551689027310433</v>
      </c>
      <c r="C671" t="s">
        <v>40</v>
      </c>
      <c r="D671">
        <v>4.6283640000000004</v>
      </c>
      <c r="E671">
        <v>0.5911672</v>
      </c>
      <c r="F671" t="s">
        <v>41</v>
      </c>
      <c r="G671">
        <v>-347.74849999999998</v>
      </c>
      <c r="H671">
        <v>1.035698</v>
      </c>
      <c r="I671">
        <v>367.35199999999998</v>
      </c>
      <c r="J671">
        <v>-348.34100000000001</v>
      </c>
      <c r="K671">
        <v>1.109804</v>
      </c>
      <c r="L671">
        <v>367.42930000000001</v>
      </c>
      <c r="M671">
        <v>0.99992000000000003</v>
      </c>
      <c r="N671">
        <v>-1.050733E-2</v>
      </c>
      <c r="O671">
        <v>7.0635059999999998E-3</v>
      </c>
      <c r="P671">
        <v>0.95086680000000001</v>
      </c>
      <c r="Q671">
        <v>0.29340640000000001</v>
      </c>
      <c r="R671">
        <v>9.8819630000000006E-2</v>
      </c>
      <c r="S671">
        <v>3.2833860000000001</v>
      </c>
      <c r="T671">
        <v>-0.30939909999999998</v>
      </c>
      <c r="U671">
        <v>-0.31658940000000002</v>
      </c>
      <c r="V671">
        <v>-9.2088149999999994E-2</v>
      </c>
      <c r="W671">
        <v>0.3033923</v>
      </c>
      <c r="X671">
        <v>0.94840539999999995</v>
      </c>
      <c r="Y671">
        <v>0.10248019999999999</v>
      </c>
      <c r="Z671">
        <v>-5.9364309999999998E-3</v>
      </c>
      <c r="AA671">
        <v>0.99471730000000003</v>
      </c>
      <c r="AB671">
        <v>41</v>
      </c>
      <c r="AC671">
        <v>0.592500000000029</v>
      </c>
      <c r="AD671">
        <v>-7.4105999999999894E-2</v>
      </c>
      <c r="AE671">
        <v>-7.7300000000036506E-2</v>
      </c>
      <c r="AF671">
        <v>8.0249073800836096E-2</v>
      </c>
      <c r="AG671">
        <v>-7.4105999999999894E-2</v>
      </c>
      <c r="AH671">
        <v>0.58297216159796394</v>
      </c>
      <c r="AI671">
        <v>97.177478019366106</v>
      </c>
      <c r="AJ671">
        <v>82.162203669853099</v>
      </c>
      <c r="AK671">
        <v>0.59311731915371901</v>
      </c>
      <c r="AL671">
        <v>72.338532308299506</v>
      </c>
      <c r="AM671">
        <v>95.545913150668099</v>
      </c>
      <c r="AN671">
        <v>0.99999995890943505</v>
      </c>
    </row>
    <row r="672" spans="1:40" x14ac:dyDescent="0.25">
      <c r="A672" t="str">
        <f>"20190304164347334"</f>
        <v>20190304164347334</v>
      </c>
      <c r="B672" t="str">
        <f>"1551689027330928"</f>
        <v>1551689027330928</v>
      </c>
      <c r="C672" t="s">
        <v>40</v>
      </c>
      <c r="D672">
        <v>4.6385750000000003</v>
      </c>
      <c r="E672">
        <v>0.59132499999999999</v>
      </c>
      <c r="F672" t="s">
        <v>41</v>
      </c>
      <c r="G672">
        <v>-347.38490000000002</v>
      </c>
      <c r="H672">
        <v>1.0194669999999999</v>
      </c>
      <c r="I672">
        <v>367.3372</v>
      </c>
      <c r="J672">
        <v>-348.09960000000001</v>
      </c>
      <c r="K672">
        <v>1.1098059999999901</v>
      </c>
      <c r="L672">
        <v>367.43099999999998</v>
      </c>
      <c r="M672">
        <v>0.99991960000000002</v>
      </c>
      <c r="N672">
        <v>-1.054104E-2</v>
      </c>
      <c r="O672">
        <v>7.0604480000000004E-3</v>
      </c>
      <c r="P672">
        <v>0.9509145</v>
      </c>
      <c r="Q672">
        <v>0.293070099999999</v>
      </c>
      <c r="R672">
        <v>9.935708E-2</v>
      </c>
      <c r="S672">
        <v>3.283569</v>
      </c>
      <c r="T672">
        <v>-0.3103243</v>
      </c>
      <c r="U672">
        <v>-0.31579590000000002</v>
      </c>
      <c r="V672">
        <v>-9.2626650000000005E-2</v>
      </c>
      <c r="W672">
        <v>0.30308879999999999</v>
      </c>
      <c r="X672">
        <v>0.94845000000000002</v>
      </c>
      <c r="Y672">
        <v>0.1022319</v>
      </c>
      <c r="Z672">
        <v>-5.9407210000000004E-3</v>
      </c>
      <c r="AA672">
        <v>0.99474289999999999</v>
      </c>
      <c r="AB672">
        <v>42</v>
      </c>
      <c r="AC672">
        <v>0.71469999999999301</v>
      </c>
      <c r="AD672">
        <v>-9.0338999999999905E-2</v>
      </c>
      <c r="AE672">
        <v>-9.3799999999987393E-2</v>
      </c>
      <c r="AF672">
        <v>9.7315534317038599E-2</v>
      </c>
      <c r="AG672">
        <v>-9.0338999999999905E-2</v>
      </c>
      <c r="AH672">
        <v>0.70297838023789705</v>
      </c>
      <c r="AI672">
        <v>97.254450095860307</v>
      </c>
      <c r="AJ672">
        <v>82.118454811632802</v>
      </c>
      <c r="AK672">
        <v>0.71540900974359301</v>
      </c>
      <c r="AL672">
        <v>72.356780842383799</v>
      </c>
      <c r="AM672">
        <v>95.577879151544096</v>
      </c>
      <c r="AN672">
        <v>0.99999995973782996</v>
      </c>
    </row>
    <row r="673" spans="1:40" x14ac:dyDescent="0.25">
      <c r="A673" t="str">
        <f>"20190304164347357"</f>
        <v>20190304164347357</v>
      </c>
      <c r="B673" t="str">
        <f>"1551689027340688"</f>
        <v>1551689027340688</v>
      </c>
      <c r="C673" t="s">
        <v>40</v>
      </c>
      <c r="D673">
        <v>4.6319520000000001</v>
      </c>
      <c r="E673">
        <v>0.591387199999999</v>
      </c>
      <c r="F673" t="s">
        <v>41</v>
      </c>
      <c r="G673">
        <v>-347.01900000000001</v>
      </c>
      <c r="H673">
        <v>1.007339</v>
      </c>
      <c r="I673">
        <v>367.327</v>
      </c>
      <c r="J673">
        <v>-347.70609999999999</v>
      </c>
      <c r="K673">
        <v>1.109812</v>
      </c>
      <c r="L673">
        <v>367.43380000000002</v>
      </c>
      <c r="M673">
        <v>0.99991909999999895</v>
      </c>
      <c r="N673">
        <v>-1.060085E-2</v>
      </c>
      <c r="O673">
        <v>7.0514999999999996E-3</v>
      </c>
      <c r="P673">
        <v>0.95088799999999996</v>
      </c>
      <c r="Q673">
        <v>0.29298469999999999</v>
      </c>
      <c r="R673">
        <v>9.9860180000000007E-2</v>
      </c>
      <c r="S673">
        <v>3.2838129999999999</v>
      </c>
      <c r="T673">
        <v>-0.31157269999999998</v>
      </c>
      <c r="U673">
        <v>-0.31530760000000002</v>
      </c>
      <c r="V673">
        <v>-9.3135809999999999E-2</v>
      </c>
      <c r="W673">
        <v>0.30306110000000003</v>
      </c>
      <c r="X673">
        <v>0.94840899999999995</v>
      </c>
      <c r="Y673">
        <v>0.102066</v>
      </c>
      <c r="Z673">
        <v>-5.9554639999999997E-3</v>
      </c>
      <c r="AA673">
        <v>0.99475979999999997</v>
      </c>
      <c r="AB673">
        <v>42</v>
      </c>
      <c r="AC673">
        <v>0.68709999999998606</v>
      </c>
      <c r="AD673">
        <v>-0.10247299999999999</v>
      </c>
      <c r="AE673">
        <v>-0.106800000000021</v>
      </c>
      <c r="AF673">
        <v>0.10926963164402601</v>
      </c>
      <c r="AG673">
        <v>-0.10247299999999999</v>
      </c>
      <c r="AH673">
        <v>0.671741192231328</v>
      </c>
      <c r="AI673">
        <v>98.562662832377001</v>
      </c>
      <c r="AJ673">
        <v>80.760832728368598</v>
      </c>
      <c r="AK673">
        <v>0.688241816129322</v>
      </c>
      <c r="AL673">
        <v>72.358446459405201</v>
      </c>
      <c r="AM673">
        <v>95.608586189550095</v>
      </c>
      <c r="AN673">
        <v>0.99999997035928201</v>
      </c>
    </row>
    <row r="674" spans="1:40" x14ac:dyDescent="0.25">
      <c r="A674" t="str">
        <f>"20190304164347369"</f>
        <v>20190304164347369</v>
      </c>
      <c r="B674" t="str">
        <f>"1551689027361185"</f>
        <v>1551689027361185</v>
      </c>
      <c r="C674" t="s">
        <v>40</v>
      </c>
      <c r="D674">
        <v>4.6166070000000001</v>
      </c>
      <c r="E674">
        <v>0.57317079999999998</v>
      </c>
      <c r="F674" t="s">
        <v>41</v>
      </c>
      <c r="G674">
        <v>-346.6465</v>
      </c>
      <c r="H674">
        <v>1.009107</v>
      </c>
      <c r="I674">
        <v>367.33269999999999</v>
      </c>
      <c r="J674">
        <v>-347.435</v>
      </c>
      <c r="K674">
        <v>1.1098159999999999</v>
      </c>
      <c r="L674">
        <v>367.4357</v>
      </c>
      <c r="M674">
        <v>0.99991859999999999</v>
      </c>
      <c r="N674">
        <v>-1.0644799999999999E-2</v>
      </c>
      <c r="O674">
        <v>7.0433609999999997E-3</v>
      </c>
      <c r="P674">
        <v>0.95093559999999999</v>
      </c>
      <c r="Q674">
        <v>0.29283540000000002</v>
      </c>
      <c r="R674">
        <v>9.9846270000000001E-2</v>
      </c>
      <c r="S674">
        <v>3.2839969999999998</v>
      </c>
      <c r="T674">
        <v>-0.3121758</v>
      </c>
      <c r="U674">
        <v>-0.31304929999999997</v>
      </c>
      <c r="V674">
        <v>-9.3127379999999996E-2</v>
      </c>
      <c r="W674">
        <v>0.30295429999999901</v>
      </c>
      <c r="X674">
        <v>0.94844390000000001</v>
      </c>
      <c r="Y674">
        <v>0.1013761</v>
      </c>
      <c r="Z674">
        <v>-5.9308240000000003E-3</v>
      </c>
      <c r="AA674">
        <v>0.99483049999999995</v>
      </c>
      <c r="AB674">
        <v>42</v>
      </c>
      <c r="AC674">
        <v>0.78849999999999898</v>
      </c>
      <c r="AD674">
        <v>-0.10070899999999899</v>
      </c>
      <c r="AE674">
        <v>-0.103000000000008</v>
      </c>
      <c r="AF674">
        <v>0.10683784642706499</v>
      </c>
      <c r="AG674">
        <v>-0.10070899999999899</v>
      </c>
      <c r="AH674">
        <v>0.77531936234409304</v>
      </c>
      <c r="AI674">
        <v>97.332392095977497</v>
      </c>
      <c r="AJ674">
        <v>82.154138633623106</v>
      </c>
      <c r="AK674">
        <v>0.78909868947795303</v>
      </c>
      <c r="AL674">
        <v>72.364866672637504</v>
      </c>
      <c r="AM674">
        <v>95.6078767301303</v>
      </c>
      <c r="AN674">
        <v>0.99999992412067895</v>
      </c>
    </row>
    <row r="675" spans="1:40" x14ac:dyDescent="0.25">
      <c r="A675" t="str">
        <f>"20190304164347381"</f>
        <v>20190304164347381</v>
      </c>
      <c r="B675" t="str">
        <f>"1551689027370945"</f>
        <v>1551689027370945</v>
      </c>
      <c r="C675" t="s">
        <v>40</v>
      </c>
      <c r="D675">
        <v>4.4555210000000001</v>
      </c>
      <c r="E675">
        <v>0.56404919999999903</v>
      </c>
      <c r="F675" t="s">
        <v>41</v>
      </c>
      <c r="G675">
        <v>-346.62740000000002</v>
      </c>
      <c r="H675">
        <v>1.0470619999999999</v>
      </c>
      <c r="I675">
        <v>367.39249999999998</v>
      </c>
      <c r="J675">
        <v>-347.22239999999999</v>
      </c>
      <c r="K675">
        <v>1.1098190000000001</v>
      </c>
      <c r="L675">
        <v>367.43720000000002</v>
      </c>
      <c r="M675">
        <v>0.99991839999999999</v>
      </c>
      <c r="N675">
        <v>-1.068087E-2</v>
      </c>
      <c r="O675">
        <v>7.035749E-3</v>
      </c>
      <c r="P675">
        <v>0.95090180000000002</v>
      </c>
      <c r="Q675">
        <v>0.29288639999999999</v>
      </c>
      <c r="R675">
        <v>0.1000187</v>
      </c>
      <c r="S675">
        <v>3.2508539999999999</v>
      </c>
      <c r="T675">
        <v>-0.25270389999999998</v>
      </c>
      <c r="U675">
        <v>-0.1738586</v>
      </c>
      <c r="V675">
        <v>-9.3305620000000006E-2</v>
      </c>
      <c r="W675">
        <v>0.30303970000000002</v>
      </c>
      <c r="X675">
        <v>0.9483992</v>
      </c>
      <c r="Y675">
        <v>6.0207480000000001E-2</v>
      </c>
      <c r="Z675">
        <v>-3.1279760000000002E-3</v>
      </c>
      <c r="AA675">
        <v>0.99818099999999998</v>
      </c>
      <c r="AB675">
        <v>42</v>
      </c>
      <c r="AC675">
        <v>0.59499999999997</v>
      </c>
      <c r="AD675">
        <v>-6.2756999999999896E-2</v>
      </c>
      <c r="AE675">
        <v>-4.4700000000034303E-2</v>
      </c>
      <c r="AF675">
        <v>4.8350533114520297E-2</v>
      </c>
      <c r="AG675">
        <v>-6.2756999999999896E-2</v>
      </c>
      <c r="AH675">
        <v>0.58816429436736894</v>
      </c>
      <c r="AI675">
        <v>96.070081954695894</v>
      </c>
      <c r="AJ675">
        <v>85.300520011587494</v>
      </c>
      <c r="AK675">
        <v>0.59347573856908697</v>
      </c>
      <c r="AL675">
        <v>72.359734007803894</v>
      </c>
      <c r="AM675">
        <v>95.6188043649355</v>
      </c>
      <c r="AN675">
        <v>1.00000002053015</v>
      </c>
    </row>
    <row r="676" spans="1:40" x14ac:dyDescent="0.25">
      <c r="A676" t="str">
        <f>"20190304164347395"</f>
        <v>20190304164347395</v>
      </c>
      <c r="B676" t="str">
        <f>"1551689027390465"</f>
        <v>1551689027390465</v>
      </c>
      <c r="C676" t="s">
        <v>40</v>
      </c>
      <c r="D676">
        <v>4.5025130000000004</v>
      </c>
      <c r="E676">
        <v>0.55508389999999996</v>
      </c>
      <c r="F676" t="s">
        <v>41</v>
      </c>
      <c r="G676">
        <v>-346.25670000000002</v>
      </c>
      <c r="H676">
        <v>1.0453349999999999</v>
      </c>
      <c r="I676">
        <v>367.40589999999997</v>
      </c>
      <c r="J676">
        <v>-346.97809999999998</v>
      </c>
      <c r="K676">
        <v>1.109823</v>
      </c>
      <c r="L676">
        <v>367.43889999999999</v>
      </c>
      <c r="M676">
        <v>0.99991790000000003</v>
      </c>
      <c r="N676">
        <v>-1.072353E-2</v>
      </c>
      <c r="O676">
        <v>7.0265479999999996E-3</v>
      </c>
      <c r="P676">
        <v>0.95092619999999894</v>
      </c>
      <c r="Q676">
        <v>0.29289759999999998</v>
      </c>
      <c r="R676">
        <v>9.9752289999999993E-2</v>
      </c>
      <c r="S676">
        <v>3.2324830000000002</v>
      </c>
      <c r="T676">
        <v>-0.21617710000000001</v>
      </c>
      <c r="U676">
        <v>-0.1039124</v>
      </c>
      <c r="V676">
        <v>-9.3046219999999999E-2</v>
      </c>
      <c r="W676">
        <v>0.30309190000000003</v>
      </c>
      <c r="X676">
        <v>0.94840789999999997</v>
      </c>
      <c r="Y676">
        <v>3.9040039999999998E-2</v>
      </c>
      <c r="Z676">
        <v>-1.907309E-3</v>
      </c>
      <c r="AA676">
        <v>0.99923580000000001</v>
      </c>
      <c r="AB676">
        <v>42</v>
      </c>
      <c r="AC676">
        <v>0.72139999999995996</v>
      </c>
      <c r="AD676">
        <v>-6.4487999999999795E-2</v>
      </c>
      <c r="AE676">
        <v>-3.3000000000015399E-2</v>
      </c>
      <c r="AF676">
        <v>3.7767257015073399E-2</v>
      </c>
      <c r="AG676">
        <v>-6.4487999999999795E-2</v>
      </c>
      <c r="AH676">
        <v>0.71544505870314601</v>
      </c>
      <c r="AI676">
        <v>95.143422339834103</v>
      </c>
      <c r="AJ676">
        <v>86.9782476477816</v>
      </c>
      <c r="AK676">
        <v>0.71933768139114695</v>
      </c>
      <c r="AL676">
        <v>72.356593767715907</v>
      </c>
      <c r="AM676">
        <v>95.603231936368303</v>
      </c>
      <c r="AN676">
        <v>0.99999992184215103</v>
      </c>
    </row>
    <row r="677" spans="1:40" x14ac:dyDescent="0.25">
      <c r="A677" t="str">
        <f>"20190304164347409"</f>
        <v>20190304164347409</v>
      </c>
      <c r="B677" t="str">
        <f>"1551689027400225"</f>
        <v>1551689027400225</v>
      </c>
      <c r="C677" t="s">
        <v>40</v>
      </c>
      <c r="D677">
        <v>4.4816859999999998</v>
      </c>
      <c r="E677">
        <v>0.55241390000000001</v>
      </c>
      <c r="F677" t="s">
        <v>41</v>
      </c>
      <c r="G677">
        <v>-345.88799999999998</v>
      </c>
      <c r="H677">
        <v>1.039309</v>
      </c>
      <c r="I677">
        <v>367.4273</v>
      </c>
      <c r="J677">
        <v>-346.68290000000002</v>
      </c>
      <c r="K677">
        <v>1.1098380000000001</v>
      </c>
      <c r="L677">
        <v>367.44099999999997</v>
      </c>
      <c r="M677">
        <v>0.99991739999999996</v>
      </c>
      <c r="N677">
        <v>-1.078048E-2</v>
      </c>
      <c r="O677">
        <v>7.0136319999999997E-3</v>
      </c>
      <c r="P677">
        <v>0.95091570000000003</v>
      </c>
      <c r="Q677">
        <v>0.29311169999999998</v>
      </c>
      <c r="R677">
        <v>9.9222179999999993E-2</v>
      </c>
      <c r="S677">
        <v>3.2225950000000001</v>
      </c>
      <c r="T677">
        <v>-0.20850050000000001</v>
      </c>
      <c r="U677">
        <v>-3.4027099999999998E-2</v>
      </c>
      <c r="V677">
        <v>-9.2526890000000001E-2</v>
      </c>
      <c r="W677">
        <v>0.30336049999999998</v>
      </c>
      <c r="X677">
        <v>0.94837289999999996</v>
      </c>
      <c r="Y677">
        <v>1.7518789999999999E-2</v>
      </c>
      <c r="Z677">
        <v>-1.038422E-3</v>
      </c>
      <c r="AA677">
        <v>0.99984600000000001</v>
      </c>
      <c r="AB677">
        <v>42</v>
      </c>
      <c r="AC677">
        <v>0.79489999999998395</v>
      </c>
      <c r="AD677">
        <v>-7.05289999999998E-2</v>
      </c>
      <c r="AE677">
        <v>-1.3699999999971599E-2</v>
      </c>
      <c r="AF677">
        <v>1.91246094539783E-2</v>
      </c>
      <c r="AG677">
        <v>-7.05289999999998E-2</v>
      </c>
      <c r="AH677">
        <v>0.78857814781397595</v>
      </c>
      <c r="AI677">
        <v>95.109337718314293</v>
      </c>
      <c r="AJ677">
        <v>88.610734195477704</v>
      </c>
      <c r="AK677">
        <v>0.79195680799996204</v>
      </c>
      <c r="AL677">
        <v>72.340444959685598</v>
      </c>
      <c r="AM677">
        <v>95.572359663307495</v>
      </c>
      <c r="AN677">
        <v>0.99999998789386502</v>
      </c>
    </row>
    <row r="678" spans="1:40" x14ac:dyDescent="0.25">
      <c r="A678" t="str">
        <f>"20190304164347433"</f>
        <v>20190304164347433</v>
      </c>
      <c r="B678" t="str">
        <f>"1551689027420720"</f>
        <v>1551689027420720</v>
      </c>
      <c r="C678" t="s">
        <v>40</v>
      </c>
      <c r="D678">
        <v>4.4569429999999999</v>
      </c>
      <c r="E678">
        <v>0.54979489999999998</v>
      </c>
      <c r="F678" t="s">
        <v>42</v>
      </c>
      <c r="G678">
        <v>-329.15780000000001</v>
      </c>
      <c r="H678" s="1">
        <v>-8.7373319999999898E-7</v>
      </c>
      <c r="I678">
        <v>367.35739999999998</v>
      </c>
      <c r="J678">
        <v>-346.26609999999999</v>
      </c>
      <c r="K678">
        <v>1.1098509999999999</v>
      </c>
      <c r="L678">
        <v>367.44389999999999</v>
      </c>
      <c r="M678">
        <v>0.99991660000000004</v>
      </c>
      <c r="N678">
        <v>-1.0867170000000001E-2</v>
      </c>
      <c r="O678">
        <v>6.9938129999999998E-3</v>
      </c>
      <c r="P678">
        <v>0.95089829999999997</v>
      </c>
      <c r="Q678">
        <v>0.29333009999999998</v>
      </c>
      <c r="R678">
        <v>9.8743559999999994E-2</v>
      </c>
      <c r="S678">
        <v>3.2192690000000002</v>
      </c>
      <c r="T678">
        <v>-0.20387140000000001</v>
      </c>
      <c r="U678">
        <v>-1.5350340000000001E-2</v>
      </c>
      <c r="V678">
        <v>-9.2065389999999997E-2</v>
      </c>
      <c r="W678">
        <v>0.30366130000000002</v>
      </c>
      <c r="X678">
        <v>0.94832159999999999</v>
      </c>
      <c r="Y678">
        <v>1.17251E-2</v>
      </c>
      <c r="Z678">
        <v>-8.0119809999999996E-4</v>
      </c>
      <c r="AA678">
        <v>0.99993089999999996</v>
      </c>
      <c r="AB678">
        <v>42</v>
      </c>
      <c r="AC678">
        <v>17.1082999999999</v>
      </c>
      <c r="AD678">
        <v>-1.1098518737331999</v>
      </c>
      <c r="AE678">
        <v>-8.6500000000000896E-2</v>
      </c>
      <c r="AF678">
        <v>0.20529325538781801</v>
      </c>
      <c r="AG678">
        <v>-1.1098518737331999</v>
      </c>
      <c r="AH678">
        <v>17.035585918631401</v>
      </c>
      <c r="AI678">
        <v>93.727226808303598</v>
      </c>
      <c r="AJ678">
        <v>89.309570694537399</v>
      </c>
      <c r="AK678">
        <v>17.072934841245399</v>
      </c>
      <c r="AL678">
        <v>72.322358085007295</v>
      </c>
      <c r="AM678">
        <v>95.545037895572705</v>
      </c>
      <c r="AN678">
        <v>1.0000000390900501</v>
      </c>
    </row>
    <row r="679" spans="1:40" x14ac:dyDescent="0.25">
      <c r="A679" t="str">
        <f>"20190304164347446"</f>
        <v>20190304164347446</v>
      </c>
      <c r="B679" t="str">
        <f>"1551689027440241"</f>
        <v>1551689027440241</v>
      </c>
      <c r="C679" t="s">
        <v>40</v>
      </c>
      <c r="D679">
        <v>4.449236</v>
      </c>
      <c r="E679">
        <v>0.54857559999999905</v>
      </c>
      <c r="F679" t="s">
        <v>42</v>
      </c>
      <c r="G679">
        <v>-328.56169999999997</v>
      </c>
      <c r="H679" s="1">
        <v>-1.048944E-6</v>
      </c>
      <c r="I679">
        <v>367.46129999999999</v>
      </c>
      <c r="J679">
        <v>-346.02089999999998</v>
      </c>
      <c r="K679">
        <v>1.109855</v>
      </c>
      <c r="L679">
        <v>367.44560000000001</v>
      </c>
      <c r="M679">
        <v>0.99991609999999997</v>
      </c>
      <c r="N679">
        <v>-1.092168E-2</v>
      </c>
      <c r="O679">
        <v>6.981218E-3</v>
      </c>
      <c r="P679">
        <v>0.95091300000000001</v>
      </c>
      <c r="Q679">
        <v>0.29345700000000002</v>
      </c>
      <c r="R679">
        <v>9.8223729999999995E-2</v>
      </c>
      <c r="S679">
        <v>3.2167970000000001</v>
      </c>
      <c r="T679">
        <v>-0.20165340000000001</v>
      </c>
      <c r="U679">
        <v>3.1738280000000001E-3</v>
      </c>
      <c r="V679">
        <v>-9.1557070000000004E-2</v>
      </c>
      <c r="W679">
        <v>0.30383979999999999</v>
      </c>
      <c r="X679">
        <v>0.94831359999999998</v>
      </c>
      <c r="Y679">
        <v>5.9718999999999996E-3</v>
      </c>
      <c r="Z679">
        <v>-5.8066469999999996E-4</v>
      </c>
      <c r="AA679">
        <v>0.99998200000000004</v>
      </c>
      <c r="AB679">
        <v>42</v>
      </c>
      <c r="AC679">
        <v>17.459199999999999</v>
      </c>
      <c r="AD679">
        <v>-1.1098560489439999</v>
      </c>
      <c r="AE679">
        <v>1.5699999999981101E-2</v>
      </c>
      <c r="AF679">
        <v>0.105766721404793</v>
      </c>
      <c r="AG679">
        <v>-1.1098560489439999</v>
      </c>
      <c r="AH679">
        <v>17.3886174348849</v>
      </c>
      <c r="AI679">
        <v>93.651972612503002</v>
      </c>
      <c r="AJ679">
        <v>89.651501216830297</v>
      </c>
      <c r="AK679">
        <v>17.424321603595299</v>
      </c>
      <c r="AL679">
        <v>72.311622933671899</v>
      </c>
      <c r="AM679">
        <v>95.514657596565996</v>
      </c>
      <c r="AN679">
        <v>1.00000000253799</v>
      </c>
    </row>
    <row r="680" spans="1:40" x14ac:dyDescent="0.25">
      <c r="A680" t="str">
        <f>"20190304164347457"</f>
        <v>20190304164347457</v>
      </c>
      <c r="B680" t="str">
        <f>"1551689027450976"</f>
        <v>1551689027450976</v>
      </c>
      <c r="C680" t="s">
        <v>40</v>
      </c>
      <c r="D680">
        <v>4.4097489999999997</v>
      </c>
      <c r="E680">
        <v>0.54811109999999996</v>
      </c>
      <c r="F680" t="s">
        <v>42</v>
      </c>
      <c r="G680">
        <v>-328.08769999999998</v>
      </c>
      <c r="H680" s="1">
        <v>-1.1980969999999999E-6</v>
      </c>
      <c r="I680">
        <v>367.50700000000001</v>
      </c>
      <c r="J680">
        <v>-345.80220000000003</v>
      </c>
      <c r="K680">
        <v>1.109861</v>
      </c>
      <c r="L680">
        <v>367.44709999999998</v>
      </c>
      <c r="M680">
        <v>0.99991560000000002</v>
      </c>
      <c r="N680">
        <v>-1.0971079999999999E-2</v>
      </c>
      <c r="O680">
        <v>6.969668E-3</v>
      </c>
      <c r="P680">
        <v>0.95091829999999999</v>
      </c>
      <c r="Q680">
        <v>0.29355490000000001</v>
      </c>
      <c r="R680">
        <v>9.7878229999999997E-2</v>
      </c>
      <c r="S680">
        <v>3.2151489999999998</v>
      </c>
      <c r="T680">
        <v>-0.1989795</v>
      </c>
      <c r="U680">
        <v>1.101685E-2</v>
      </c>
      <c r="V680">
        <v>-9.1221620000000003E-2</v>
      </c>
      <c r="W680">
        <v>0.30398520000000001</v>
      </c>
      <c r="X680">
        <v>0.94829929999999996</v>
      </c>
      <c r="Y680">
        <v>3.5266360000000001E-3</v>
      </c>
      <c r="Z680">
        <v>-4.8290639999999999E-4</v>
      </c>
      <c r="AA680">
        <v>0.99999369999999999</v>
      </c>
      <c r="AB680">
        <v>42</v>
      </c>
      <c r="AC680">
        <v>17.714500000000001</v>
      </c>
      <c r="AD680">
        <v>-1.109862198097</v>
      </c>
      <c r="AE680">
        <v>5.9899999999970498E-2</v>
      </c>
      <c r="AF680">
        <v>6.3324491670554595E-2</v>
      </c>
      <c r="AG680">
        <v>-1.109862198097</v>
      </c>
      <c r="AH680">
        <v>17.645224002289201</v>
      </c>
      <c r="AI680">
        <v>93.599067403860303</v>
      </c>
      <c r="AJ680">
        <v>89.794380023967904</v>
      </c>
      <c r="AK680">
        <v>17.6802074134037</v>
      </c>
      <c r="AL680">
        <v>72.302877995614296</v>
      </c>
      <c r="AM680">
        <v>95.494659023256006</v>
      </c>
      <c r="AN680">
        <v>0.99999997407747598</v>
      </c>
    </row>
    <row r="681" spans="1:40" x14ac:dyDescent="0.25">
      <c r="A681" t="str">
        <f>"20190304164347471"</f>
        <v>20190304164347471</v>
      </c>
      <c r="B681" t="str">
        <f>"1551689027460736"</f>
        <v>1551689027460736</v>
      </c>
      <c r="C681" t="s">
        <v>40</v>
      </c>
      <c r="D681">
        <v>4.4303540000000003</v>
      </c>
      <c r="E681">
        <v>0.54779630000000001</v>
      </c>
      <c r="F681" t="s">
        <v>42</v>
      </c>
      <c r="G681">
        <v>-327.7713</v>
      </c>
      <c r="H681" s="1">
        <v>-1.310284E-6</v>
      </c>
      <c r="I681">
        <v>367.52</v>
      </c>
      <c r="J681">
        <v>-345.54349999999999</v>
      </c>
      <c r="K681">
        <v>1.1098699999999999</v>
      </c>
      <c r="L681">
        <v>367.44889999999998</v>
      </c>
      <c r="M681">
        <v>0.999915</v>
      </c>
      <c r="N681">
        <v>-1.1030989999999999E-2</v>
      </c>
      <c r="O681">
        <v>6.9552590000000001E-3</v>
      </c>
      <c r="P681">
        <v>0.9510362</v>
      </c>
      <c r="Q681">
        <v>0.29325559999999901</v>
      </c>
      <c r="R681">
        <v>9.762904E-2</v>
      </c>
      <c r="S681">
        <v>3.2145999999999999</v>
      </c>
      <c r="T681">
        <v>-0.1978685</v>
      </c>
      <c r="U681">
        <v>1.300049E-2</v>
      </c>
      <c r="V681">
        <v>-9.0985239999999995E-2</v>
      </c>
      <c r="W681">
        <v>0.30374400000000001</v>
      </c>
      <c r="X681">
        <v>0.9483994</v>
      </c>
      <c r="Y681">
        <v>2.8962219999999999E-3</v>
      </c>
      <c r="Z681">
        <v>-4.5608390000000001E-4</v>
      </c>
      <c r="AA681">
        <v>0.99999570000000004</v>
      </c>
      <c r="AB681">
        <v>42</v>
      </c>
      <c r="AC681">
        <v>17.772199999999899</v>
      </c>
      <c r="AD681">
        <v>-1.1098713102840001</v>
      </c>
      <c r="AE681">
        <v>7.1100000000001204E-2</v>
      </c>
      <c r="AF681">
        <v>5.2315465001874402E-2</v>
      </c>
      <c r="AG681">
        <v>-1.1098713102840001</v>
      </c>
      <c r="AH681">
        <v>17.703223431159699</v>
      </c>
      <c r="AI681">
        <v>93.587343747674296</v>
      </c>
      <c r="AJ681">
        <v>89.830683568213303</v>
      </c>
      <c r="AK681">
        <v>17.738057139575201</v>
      </c>
      <c r="AL681">
        <v>72.317385507991503</v>
      </c>
      <c r="AM681">
        <v>95.479932743771101</v>
      </c>
      <c r="AN681">
        <v>1.0000000766771</v>
      </c>
    </row>
    <row r="682" spans="1:40" x14ac:dyDescent="0.25">
      <c r="A682" t="str">
        <f>"20190304164347489"</f>
        <v>20190304164347489</v>
      </c>
      <c r="B682" t="str">
        <f>"1551689027480256"</f>
        <v>1551689027480256</v>
      </c>
      <c r="C682" t="s">
        <v>40</v>
      </c>
      <c r="D682">
        <v>4.4474539999999996</v>
      </c>
      <c r="E682">
        <v>0.54716799999999999</v>
      </c>
      <c r="F682" t="s">
        <v>42</v>
      </c>
      <c r="G682">
        <v>-327.6524</v>
      </c>
      <c r="H682" s="1">
        <v>-1.3590480000000001E-6</v>
      </c>
      <c r="I682">
        <v>367.5326</v>
      </c>
      <c r="J682">
        <v>-345.22800000000001</v>
      </c>
      <c r="K682">
        <v>1.1098809999999999</v>
      </c>
      <c r="L682">
        <v>367.4511</v>
      </c>
      <c r="M682">
        <v>0.99991439999999998</v>
      </c>
      <c r="N682">
        <v>-1.110336E-2</v>
      </c>
      <c r="O682">
        <v>6.9370250000000003E-3</v>
      </c>
      <c r="P682">
        <v>0.95114019999999999</v>
      </c>
      <c r="Q682">
        <v>0.29301939999999999</v>
      </c>
      <c r="R682">
        <v>9.7325090000000003E-2</v>
      </c>
      <c r="S682">
        <v>3.2144170000000001</v>
      </c>
      <c r="T682">
        <v>-0.19940469999999999</v>
      </c>
      <c r="U682">
        <v>1.504517E-2</v>
      </c>
      <c r="V682">
        <v>-9.0697239999999998E-2</v>
      </c>
      <c r="W682">
        <v>0.30357770000000001</v>
      </c>
      <c r="X682">
        <v>0.94848010000000005</v>
      </c>
      <c r="Y682">
        <v>2.2429400000000001E-3</v>
      </c>
      <c r="Z682">
        <v>-4.3491789999999998E-4</v>
      </c>
      <c r="AA682">
        <v>0.99999740000000004</v>
      </c>
      <c r="AB682">
        <v>42</v>
      </c>
      <c r="AC682">
        <v>17.575600000000001</v>
      </c>
      <c r="AD682">
        <v>-1.10988235904799</v>
      </c>
      <c r="AE682">
        <v>8.1500000000005401E-2</v>
      </c>
      <c r="AF682">
        <v>4.0271250729609402E-2</v>
      </c>
      <c r="AG682">
        <v>-1.10988235904799</v>
      </c>
      <c r="AH682">
        <v>17.505933760873699</v>
      </c>
      <c r="AI682">
        <v>93.627707540955399</v>
      </c>
      <c r="AJ682">
        <v>89.868195055239696</v>
      </c>
      <c r="AK682">
        <v>17.541128169666202</v>
      </c>
      <c r="AL682">
        <v>72.327383790573904</v>
      </c>
      <c r="AM682">
        <v>95.462229963905003</v>
      </c>
      <c r="AN682">
        <v>0.99999995468845704</v>
      </c>
    </row>
    <row r="683" spans="1:40" x14ac:dyDescent="0.25">
      <c r="A683" t="str">
        <f>"20190304164347500"</f>
        <v>20190304164347500</v>
      </c>
      <c r="B683" t="str">
        <f>"1551689027490993"</f>
        <v>1551689027490993</v>
      </c>
      <c r="C683" t="s">
        <v>40</v>
      </c>
      <c r="D683">
        <v>4.4531429999999999</v>
      </c>
      <c r="E683">
        <v>0.54684750000000004</v>
      </c>
      <c r="F683" t="s">
        <v>42</v>
      </c>
      <c r="G683">
        <v>-327.4862</v>
      </c>
      <c r="H683" s="1">
        <v>-1.42597E-6</v>
      </c>
      <c r="I683">
        <v>367.5573</v>
      </c>
      <c r="J683">
        <v>-345.00709999999998</v>
      </c>
      <c r="K683">
        <v>1.1098859999999999</v>
      </c>
      <c r="L683">
        <v>367.45260000000002</v>
      </c>
      <c r="M683">
        <v>0.99991390000000002</v>
      </c>
      <c r="N683">
        <v>-1.115359E-2</v>
      </c>
      <c r="O683">
        <v>6.9248130000000001E-3</v>
      </c>
      <c r="P683">
        <v>0.95112339999999995</v>
      </c>
      <c r="Q683">
        <v>0.293010099999999</v>
      </c>
      <c r="R683">
        <v>9.7516340000000007E-2</v>
      </c>
      <c r="S683">
        <v>3.2140810000000002</v>
      </c>
      <c r="T683">
        <v>-0.20106379999999999</v>
      </c>
      <c r="U683">
        <v>1.9256590000000001E-2</v>
      </c>
      <c r="V683">
        <v>-9.0900060000000005E-2</v>
      </c>
      <c r="W683">
        <v>0.30361579999999999</v>
      </c>
      <c r="X683">
        <v>0.94844850000000003</v>
      </c>
      <c r="Y683">
        <v>9.2278360000000003E-4</v>
      </c>
      <c r="Z683">
        <v>-3.8957500000000002E-4</v>
      </c>
      <c r="AA683">
        <v>0.99999950000000004</v>
      </c>
      <c r="AB683">
        <v>42</v>
      </c>
      <c r="AC683">
        <v>17.520899999999902</v>
      </c>
      <c r="AD683">
        <v>-1.10988742597</v>
      </c>
      <c r="AE683">
        <v>0.104699999999979</v>
      </c>
      <c r="AF683">
        <v>1.65725050104393E-2</v>
      </c>
      <c r="AG683">
        <v>-1.10988742597</v>
      </c>
      <c r="AH683">
        <v>17.451179731022702</v>
      </c>
      <c r="AI683">
        <v>93.639083669005103</v>
      </c>
      <c r="AJ683">
        <v>89.945589105020204</v>
      </c>
      <c r="AK683">
        <v>17.486446144105699</v>
      </c>
      <c r="AL683">
        <v>72.325092889530396</v>
      </c>
      <c r="AM683">
        <v>95.474551936037599</v>
      </c>
      <c r="AN683">
        <v>0.99999996603494601</v>
      </c>
    </row>
    <row r="684" spans="1:40" x14ac:dyDescent="0.25">
      <c r="A684" t="str">
        <f>"20190304164347511"</f>
        <v>20190304164347511</v>
      </c>
      <c r="B684" t="str">
        <f>"1551689027500752"</f>
        <v>1551689027500752</v>
      </c>
      <c r="C684" t="s">
        <v>40</v>
      </c>
      <c r="D684">
        <v>4.4725840000000003</v>
      </c>
      <c r="E684">
        <v>0.54668269999999997</v>
      </c>
      <c r="F684" t="s">
        <v>42</v>
      </c>
      <c r="G684">
        <v>-327.38690000000003</v>
      </c>
      <c r="H684" s="1">
        <v>-1.4651059999999999E-6</v>
      </c>
      <c r="I684">
        <v>367.577</v>
      </c>
      <c r="J684">
        <v>-344.80070000000001</v>
      </c>
      <c r="K684">
        <v>1.1098870000000001</v>
      </c>
      <c r="L684">
        <v>367.45400000000001</v>
      </c>
      <c r="M684">
        <v>0.99991350000000001</v>
      </c>
      <c r="N684">
        <v>-1.12002E-2</v>
      </c>
      <c r="O684">
        <v>6.913275E-3</v>
      </c>
      <c r="P684">
        <v>0.95114829999999995</v>
      </c>
      <c r="Q684">
        <v>0.29287819999999998</v>
      </c>
      <c r="R684">
        <v>9.7671289999999994E-2</v>
      </c>
      <c r="S684">
        <v>3.2142029999999999</v>
      </c>
      <c r="T684">
        <v>-0.2024598</v>
      </c>
      <c r="U684">
        <v>2.2705079999999999E-2</v>
      </c>
      <c r="V684">
        <v>-9.1065060000000003E-2</v>
      </c>
      <c r="W684">
        <v>0.30352859999999998</v>
      </c>
      <c r="X684">
        <v>0.94846059999999999</v>
      </c>
      <c r="Y684">
        <v>-1.589932E-4</v>
      </c>
      <c r="Z684">
        <v>-3.51756E-4</v>
      </c>
      <c r="AA684">
        <v>0.99999990000000005</v>
      </c>
      <c r="AB684">
        <v>42</v>
      </c>
      <c r="AC684">
        <v>17.413799999999899</v>
      </c>
      <c r="AD684">
        <v>-1.1098884651059999</v>
      </c>
      <c r="AE684">
        <v>0.12299999999999001</v>
      </c>
      <c r="AF684">
        <v>-2.5926038662075599E-3</v>
      </c>
      <c r="AG684">
        <v>-1.1098884651059999</v>
      </c>
      <c r="AH684">
        <v>17.343782134027499</v>
      </c>
      <c r="AI684">
        <v>93.661561812008003</v>
      </c>
      <c r="AJ684">
        <v>90.008564755785599</v>
      </c>
      <c r="AK684">
        <v>17.379258840329801</v>
      </c>
      <c r="AL684">
        <v>72.330336846582796</v>
      </c>
      <c r="AM684">
        <v>95.484359158558803</v>
      </c>
      <c r="AN684">
        <v>0.99999998296156101</v>
      </c>
    </row>
    <row r="685" spans="1:40" x14ac:dyDescent="0.25">
      <c r="A685" t="str">
        <f>"20190304164347522"</f>
        <v>20190304164347522</v>
      </c>
      <c r="B685" t="str">
        <f>"1551689027510513"</f>
        <v>1551689027510513</v>
      </c>
      <c r="C685" t="s">
        <v>40</v>
      </c>
      <c r="D685">
        <v>4.4699749999999998</v>
      </c>
      <c r="E685">
        <v>0.54644409999999999</v>
      </c>
      <c r="F685" t="s">
        <v>42</v>
      </c>
      <c r="G685">
        <v>-327.26799999999997</v>
      </c>
      <c r="H685" s="1">
        <v>-1.514312E-6</v>
      </c>
      <c r="I685">
        <v>367.58710000000002</v>
      </c>
      <c r="J685">
        <v>-344.60629999999998</v>
      </c>
      <c r="K685">
        <v>1.1098889999999999</v>
      </c>
      <c r="L685">
        <v>367.4554</v>
      </c>
      <c r="M685">
        <v>0.99991300000000005</v>
      </c>
      <c r="N685">
        <v>-1.124284E-2</v>
      </c>
      <c r="O685">
        <v>6.9027740000000004E-3</v>
      </c>
      <c r="P685">
        <v>0.95108020000000004</v>
      </c>
      <c r="Q685">
        <v>0.29301300000000002</v>
      </c>
      <c r="R685">
        <v>9.7927719999999996E-2</v>
      </c>
      <c r="S685">
        <v>3.2142029999999999</v>
      </c>
      <c r="T685">
        <v>-0.20347009999999999</v>
      </c>
      <c r="U685">
        <v>2.4414060000000001E-2</v>
      </c>
      <c r="V685">
        <v>-9.1331969999999998E-2</v>
      </c>
      <c r="W685">
        <v>0.30370350000000002</v>
      </c>
      <c r="X685">
        <v>0.94837890000000002</v>
      </c>
      <c r="Y685">
        <v>-6.9996350000000001E-4</v>
      </c>
      <c r="Z685">
        <v>-3.329033E-4</v>
      </c>
      <c r="AA685">
        <v>0.99999970000000005</v>
      </c>
      <c r="AB685">
        <v>42</v>
      </c>
      <c r="AC685">
        <v>17.3383</v>
      </c>
      <c r="AD685">
        <v>-1.1098905143119999</v>
      </c>
      <c r="AE685">
        <v>0.13170000000002299</v>
      </c>
      <c r="AF685">
        <v>-1.1957936174367301E-2</v>
      </c>
      <c r="AG685">
        <v>-1.1098905143119999</v>
      </c>
      <c r="AH685">
        <v>17.2680397059409</v>
      </c>
      <c r="AI685">
        <v>93.677584394984194</v>
      </c>
      <c r="AJ685">
        <v>90.039676719339695</v>
      </c>
      <c r="AK685">
        <v>17.303675772272999</v>
      </c>
      <c r="AL685">
        <v>72.319818568836595</v>
      </c>
      <c r="AM685">
        <v>95.500806209195801</v>
      </c>
      <c r="AN685">
        <v>0.99999994131076797</v>
      </c>
    </row>
    <row r="686" spans="1:40" x14ac:dyDescent="0.25">
      <c r="A686" t="str">
        <f>"20190304164347535"</f>
        <v>20190304164347535</v>
      </c>
      <c r="B686" t="str">
        <f>"1551689027531009"</f>
        <v>1551689027531009</v>
      </c>
      <c r="C686" t="s">
        <v>40</v>
      </c>
      <c r="D686">
        <v>4.469354</v>
      </c>
      <c r="E686">
        <v>0.54613230000000001</v>
      </c>
      <c r="F686" t="s">
        <v>42</v>
      </c>
      <c r="G686">
        <v>-327.14980000000003</v>
      </c>
      <c r="H686" s="1">
        <v>-1.5618250000000001E-6</v>
      </c>
      <c r="I686">
        <v>367.60500000000002</v>
      </c>
      <c r="J686">
        <v>-344.36309999999997</v>
      </c>
      <c r="K686">
        <v>1.1098950000000001</v>
      </c>
      <c r="L686">
        <v>367.45710000000003</v>
      </c>
      <c r="M686">
        <v>0.99991260000000004</v>
      </c>
      <c r="N686">
        <v>-1.129579E-2</v>
      </c>
      <c r="O686">
        <v>6.8893499999999998E-3</v>
      </c>
      <c r="P686">
        <v>0.95109049999999995</v>
      </c>
      <c r="Q686">
        <v>0.29290809999999901</v>
      </c>
      <c r="R686">
        <v>9.8142010000000002E-2</v>
      </c>
      <c r="S686">
        <v>3.2143860000000002</v>
      </c>
      <c r="T686">
        <v>-0.2043711</v>
      </c>
      <c r="U686">
        <v>2.7557370000000001E-2</v>
      </c>
      <c r="V686">
        <v>-9.1558399999999998E-2</v>
      </c>
      <c r="W686">
        <v>0.30364849999999999</v>
      </c>
      <c r="X686">
        <v>0.94837470000000001</v>
      </c>
      <c r="Y686">
        <v>-1.6884720000000001E-3</v>
      </c>
      <c r="Z686">
        <v>-2.9664239999999998E-4</v>
      </c>
      <c r="AA686">
        <v>0.99999850000000001</v>
      </c>
      <c r="AB686">
        <v>42</v>
      </c>
      <c r="AC686">
        <v>17.213299999999901</v>
      </c>
      <c r="AD686">
        <v>-1.1098965618250001</v>
      </c>
      <c r="AE686">
        <v>0.14789999999999201</v>
      </c>
      <c r="AF686">
        <v>-2.9179185887750501E-2</v>
      </c>
      <c r="AG686">
        <v>-1.1098965618250001</v>
      </c>
      <c r="AH686">
        <v>17.142644426321901</v>
      </c>
      <c r="AI686">
        <v>93.704426275313907</v>
      </c>
      <c r="AJ686">
        <v>90.097525361013098</v>
      </c>
      <c r="AK686">
        <v>17.178561631584401</v>
      </c>
      <c r="AL686">
        <v>72.323126406224105</v>
      </c>
      <c r="AM686">
        <v>95.514384108692099</v>
      </c>
      <c r="AN686">
        <v>0.99999996188144902</v>
      </c>
    </row>
    <row r="687" spans="1:40" x14ac:dyDescent="0.25">
      <c r="A687" t="str">
        <f>"20190304164347549"</f>
        <v>20190304164347549</v>
      </c>
      <c r="B687" t="str">
        <f>"1551689027540768"</f>
        <v>1551689027540768</v>
      </c>
      <c r="C687" t="s">
        <v>40</v>
      </c>
      <c r="D687">
        <v>4.4709009999999996</v>
      </c>
      <c r="E687">
        <v>0.5459444</v>
      </c>
      <c r="F687" t="s">
        <v>41</v>
      </c>
      <c r="G687">
        <v>-343.2774</v>
      </c>
      <c r="H687">
        <v>1.0409060000000001</v>
      </c>
      <c r="I687">
        <v>367.46719999999999</v>
      </c>
      <c r="J687">
        <v>-344.09480000000002</v>
      </c>
      <c r="K687">
        <v>1.1098980000000001</v>
      </c>
      <c r="L687">
        <v>367.45890000000003</v>
      </c>
      <c r="M687">
        <v>0.99991200000000002</v>
      </c>
      <c r="N687">
        <v>-1.135512E-2</v>
      </c>
      <c r="O687">
        <v>6.8745769999999998E-3</v>
      </c>
      <c r="P687">
        <v>0.95111699999999999</v>
      </c>
      <c r="Q687">
        <v>0.29277180000000003</v>
      </c>
      <c r="R687">
        <v>9.8291989999999996E-2</v>
      </c>
      <c r="S687">
        <v>3.2140200000000001</v>
      </c>
      <c r="T687">
        <v>-0.20457700000000001</v>
      </c>
      <c r="U687">
        <v>3.1097409999999999E-2</v>
      </c>
      <c r="V687">
        <v>-9.1721839999999999E-2</v>
      </c>
      <c r="W687">
        <v>0.30356949999999999</v>
      </c>
      <c r="X687">
        <v>0.94838420000000001</v>
      </c>
      <c r="Y687">
        <v>-2.8028760000000002E-3</v>
      </c>
      <c r="Z687">
        <v>-2.5407469999999999E-4</v>
      </c>
      <c r="AA687">
        <v>0.99999610000000005</v>
      </c>
      <c r="AB687">
        <v>42</v>
      </c>
      <c r="AC687">
        <v>0.81740000000002</v>
      </c>
      <c r="AD687">
        <v>-6.8992000000000095E-2</v>
      </c>
      <c r="AE687">
        <v>8.2999999999628891E-3</v>
      </c>
      <c r="AF687">
        <v>-2.6612062118175099E-3</v>
      </c>
      <c r="AG687">
        <v>-6.8992000000000095E-2</v>
      </c>
      <c r="AH687">
        <v>0.81165604617606002</v>
      </c>
      <c r="AI687">
        <v>94.858523559389496</v>
      </c>
      <c r="AJ687">
        <v>90.187857083915503</v>
      </c>
      <c r="AK687">
        <v>0.81458732826914004</v>
      </c>
      <c r="AL687">
        <v>72.327877056804894</v>
      </c>
      <c r="AM687">
        <v>95.524111951670704</v>
      </c>
      <c r="AN687">
        <v>0.99999996403643698</v>
      </c>
    </row>
    <row r="688" spans="1:40" x14ac:dyDescent="0.25">
      <c r="A688" t="str">
        <f>"20190304164347568"</f>
        <v>20190304164347568</v>
      </c>
      <c r="B688" t="str">
        <f>"1551689027560288"</f>
        <v>1551689027560288</v>
      </c>
      <c r="C688" t="s">
        <v>40</v>
      </c>
      <c r="D688">
        <v>4.4192999999999998</v>
      </c>
      <c r="E688">
        <v>0.54571910000000001</v>
      </c>
      <c r="F688" t="s">
        <v>42</v>
      </c>
      <c r="G688">
        <v>-326.66590000000002</v>
      </c>
      <c r="H688" s="1">
        <v>-1.7633900000000001E-6</v>
      </c>
      <c r="I688">
        <v>367.63900000000001</v>
      </c>
      <c r="J688">
        <v>-343.75510000000003</v>
      </c>
      <c r="K688">
        <v>1.1099049999999999</v>
      </c>
      <c r="L688">
        <v>367.46120000000002</v>
      </c>
      <c r="M688">
        <v>0.99991129999999995</v>
      </c>
      <c r="N688">
        <v>-1.1430249999999999E-2</v>
      </c>
      <c r="O688">
        <v>6.8561330000000004E-3</v>
      </c>
      <c r="P688">
        <v>0.95103850000000001</v>
      </c>
      <c r="Q688">
        <v>0.2928904</v>
      </c>
      <c r="R688">
        <v>9.8697980000000005E-2</v>
      </c>
      <c r="S688">
        <v>3.2137449999999999</v>
      </c>
      <c r="T688">
        <v>-0.20465559999999999</v>
      </c>
      <c r="U688">
        <v>3.3233640000000002E-2</v>
      </c>
      <c r="V688">
        <v>-9.2145580000000005E-2</v>
      </c>
      <c r="W688">
        <v>0.30375849999999999</v>
      </c>
      <c r="X688">
        <v>0.94828270000000003</v>
      </c>
      <c r="Y688">
        <v>-3.4851050000000001E-3</v>
      </c>
      <c r="Z688">
        <v>-2.2704840000000001E-4</v>
      </c>
      <c r="AA688">
        <v>0.99999389999999999</v>
      </c>
      <c r="AB688">
        <v>42</v>
      </c>
      <c r="AC688">
        <v>17.089200000000002</v>
      </c>
      <c r="AD688">
        <v>-1.1099067633899999</v>
      </c>
      <c r="AE688">
        <v>0.17779999999998999</v>
      </c>
      <c r="AF688">
        <v>-6.0367736335997103E-2</v>
      </c>
      <c r="AG688">
        <v>-1.1099067633899999</v>
      </c>
      <c r="AH688">
        <v>17.018238436485301</v>
      </c>
      <c r="AI688">
        <v>93.731446163492095</v>
      </c>
      <c r="AJ688">
        <v>90.203240894556799</v>
      </c>
      <c r="AK688">
        <v>17.0545001910954</v>
      </c>
      <c r="AL688">
        <v>72.316513153638098</v>
      </c>
      <c r="AM688">
        <v>95.550063787401101</v>
      </c>
      <c r="AN688">
        <v>1.00000005667753</v>
      </c>
    </row>
    <row r="689" spans="1:40" x14ac:dyDescent="0.25">
      <c r="A689" t="str">
        <f>"20190304164347583"</f>
        <v>20190304164347583</v>
      </c>
      <c r="B689" t="str">
        <f>"1551689027571024"</f>
        <v>1551689027571024</v>
      </c>
      <c r="C689" t="s">
        <v>40</v>
      </c>
      <c r="D689">
        <v>4.4297240000000002</v>
      </c>
      <c r="E689">
        <v>0.54560350000000002</v>
      </c>
      <c r="F689" t="s">
        <v>42</v>
      </c>
      <c r="G689">
        <v>-326.33730000000003</v>
      </c>
      <c r="H689" s="1">
        <v>-1.9015520000000001E-6</v>
      </c>
      <c r="I689">
        <v>367.65480000000002</v>
      </c>
      <c r="J689">
        <v>-343.49520000000001</v>
      </c>
      <c r="K689">
        <v>1.1099159999999999</v>
      </c>
      <c r="L689">
        <v>367.46300000000002</v>
      </c>
      <c r="M689">
        <v>0.99991079999999999</v>
      </c>
      <c r="N689">
        <v>-1.148748E-2</v>
      </c>
      <c r="O689">
        <v>6.8420260000000002E-3</v>
      </c>
      <c r="P689">
        <v>0.9509263</v>
      </c>
      <c r="Q689">
        <v>0.29321979999999997</v>
      </c>
      <c r="R689">
        <v>9.8802280000000006E-2</v>
      </c>
      <c r="S689">
        <v>3.2138059999999999</v>
      </c>
      <c r="T689">
        <v>-0.2047909</v>
      </c>
      <c r="U689">
        <v>3.5736080000000003E-2</v>
      </c>
      <c r="V689">
        <v>-9.2263559999999994E-2</v>
      </c>
      <c r="W689">
        <v>0.30414099999999999</v>
      </c>
      <c r="X689">
        <v>0.94814849999999995</v>
      </c>
      <c r="Y689">
        <v>-4.2756360000000002E-3</v>
      </c>
      <c r="Z689">
        <v>-1.963202E-4</v>
      </c>
      <c r="AA689">
        <v>0.99999079999999996</v>
      </c>
      <c r="AB689">
        <v>42</v>
      </c>
      <c r="AC689">
        <v>17.157899999999898</v>
      </c>
      <c r="AD689">
        <v>-1.109917901552</v>
      </c>
      <c r="AE689">
        <v>0.1918</v>
      </c>
      <c r="AF689">
        <v>-7.4083019253178506E-2</v>
      </c>
      <c r="AG689">
        <v>-1.109917901552</v>
      </c>
      <c r="AH689">
        <v>17.087316153847901</v>
      </c>
      <c r="AI689">
        <v>93.716429339091206</v>
      </c>
      <c r="AJ689">
        <v>90.248407514865505</v>
      </c>
      <c r="AK689">
        <v>17.123486192463201</v>
      </c>
      <c r="AL689">
        <v>72.293507116618002</v>
      </c>
      <c r="AM689">
        <v>95.557907068540501</v>
      </c>
      <c r="AN689">
        <v>0.99999994521855995</v>
      </c>
    </row>
    <row r="690" spans="1:40" x14ac:dyDescent="0.25">
      <c r="A690" t="str">
        <f>"20190304164347596"</f>
        <v>20190304164347596</v>
      </c>
      <c r="B690" t="str">
        <f>"1551689027590544"</f>
        <v>1551689027590544</v>
      </c>
      <c r="C690" t="s">
        <v>40</v>
      </c>
      <c r="D690">
        <v>4.4274239999999896</v>
      </c>
      <c r="E690">
        <v>0.54539899999999997</v>
      </c>
      <c r="F690" t="s">
        <v>42</v>
      </c>
      <c r="G690">
        <v>-326.00490000000002</v>
      </c>
      <c r="H690" s="1">
        <v>-2.0419849999999999E-6</v>
      </c>
      <c r="I690">
        <v>367.66699999999997</v>
      </c>
      <c r="J690">
        <v>-343.23340000000002</v>
      </c>
      <c r="K690">
        <v>1.1099270000000001</v>
      </c>
      <c r="L690">
        <v>367.46480000000003</v>
      </c>
      <c r="M690">
        <v>0.99991010000000002</v>
      </c>
      <c r="N690">
        <v>-1.154498E-2</v>
      </c>
      <c r="O690">
        <v>6.8277370000000004E-3</v>
      </c>
      <c r="P690">
        <v>0.95105859999999998</v>
      </c>
      <c r="Q690">
        <v>0.29271219999999998</v>
      </c>
      <c r="R690">
        <v>9.9032690000000007E-2</v>
      </c>
      <c r="S690">
        <v>3.2138059999999999</v>
      </c>
      <c r="T690">
        <v>-0.20394399999999999</v>
      </c>
      <c r="U690">
        <v>3.7506100000000001E-2</v>
      </c>
      <c r="V690">
        <v>-9.25063E-2</v>
      </c>
      <c r="W690">
        <v>0.3036895</v>
      </c>
      <c r="X690">
        <v>0.94826969999999999</v>
      </c>
      <c r="Y690">
        <v>-4.8391950000000001E-3</v>
      </c>
      <c r="Z690">
        <v>-1.7270569999999999E-4</v>
      </c>
      <c r="AA690">
        <v>0.99998830000000005</v>
      </c>
      <c r="AB690">
        <v>42</v>
      </c>
      <c r="AC690">
        <v>17.228499999999901</v>
      </c>
      <c r="AD690">
        <v>-1.1099290419850001</v>
      </c>
      <c r="AE690">
        <v>0.202199999999948</v>
      </c>
      <c r="AF690">
        <v>-8.42063394986E-2</v>
      </c>
      <c r="AG690">
        <v>-1.1099290419850001</v>
      </c>
      <c r="AH690">
        <v>17.158274221074599</v>
      </c>
      <c r="AI690">
        <v>93.701130134732495</v>
      </c>
      <c r="AJ690">
        <v>90.2811838222337</v>
      </c>
      <c r="AK690">
        <v>17.194342308778399</v>
      </c>
      <c r="AL690">
        <v>72.320662932729505</v>
      </c>
      <c r="AM690">
        <v>95.571729938322704</v>
      </c>
      <c r="AN690">
        <v>1.00000007594401</v>
      </c>
    </row>
    <row r="691" spans="1:40" x14ac:dyDescent="0.25">
      <c r="A691" t="str">
        <f>"20190304164347610"</f>
        <v>20190304164347610</v>
      </c>
      <c r="B691" t="str">
        <f>"1551689027600305"</f>
        <v>1551689027600305</v>
      </c>
      <c r="C691" t="s">
        <v>40</v>
      </c>
      <c r="D691">
        <v>4.4404879999999904</v>
      </c>
      <c r="E691">
        <v>0.54532609999999904</v>
      </c>
      <c r="F691" t="s">
        <v>42</v>
      </c>
      <c r="G691">
        <v>-325.83870000000002</v>
      </c>
      <c r="H691" s="1">
        <v>-2.1111419999999999E-6</v>
      </c>
      <c r="I691">
        <v>367.67930000000001</v>
      </c>
      <c r="J691">
        <v>-342.96030000000002</v>
      </c>
      <c r="K691">
        <v>1.1099349999999999</v>
      </c>
      <c r="L691">
        <v>367.46660000000003</v>
      </c>
      <c r="M691">
        <v>0.99990959999999995</v>
      </c>
      <c r="N691">
        <v>-1.1605330000000001E-2</v>
      </c>
      <c r="O691">
        <v>6.812416E-3</v>
      </c>
      <c r="P691">
        <v>0.95096499999999995</v>
      </c>
      <c r="Q691">
        <v>0.29304239999999998</v>
      </c>
      <c r="R691">
        <v>9.8954479999999997E-2</v>
      </c>
      <c r="S691">
        <v>3.2133790000000002</v>
      </c>
      <c r="T691">
        <v>-0.20503950000000001</v>
      </c>
      <c r="U691">
        <v>3.9642330000000003E-2</v>
      </c>
      <c r="V691">
        <v>-9.2442789999999997E-2</v>
      </c>
      <c r="W691">
        <v>0.30407600000000001</v>
      </c>
      <c r="X691">
        <v>0.94815190000000005</v>
      </c>
      <c r="Y691">
        <v>-5.5190730000000002E-3</v>
      </c>
      <c r="Z691">
        <v>-1.4726520000000001E-4</v>
      </c>
      <c r="AA691">
        <v>0.99998469999999995</v>
      </c>
      <c r="AB691">
        <v>42</v>
      </c>
      <c r="AC691">
        <v>17.121600000000001</v>
      </c>
      <c r="AD691">
        <v>-1.109937111142</v>
      </c>
      <c r="AE691">
        <v>0.21269999999998301</v>
      </c>
      <c r="AF691">
        <v>-9.5645873869094594E-2</v>
      </c>
      <c r="AG691">
        <v>-1.109937111142</v>
      </c>
      <c r="AH691">
        <v>17.051005892378999</v>
      </c>
      <c r="AI691">
        <v>93.724362008993893</v>
      </c>
      <c r="AJ691">
        <v>90.321391445080707</v>
      </c>
      <c r="AK691">
        <v>17.0873611323054</v>
      </c>
      <c r="AL691">
        <v>72.297416667864994</v>
      </c>
      <c r="AM691">
        <v>95.568616146068507</v>
      </c>
      <c r="AN691">
        <v>0.99999995433629596</v>
      </c>
    </row>
    <row r="692" spans="1:40" x14ac:dyDescent="0.25">
      <c r="A692" t="str">
        <f>"20190304164347621"</f>
        <v>20190304164347621</v>
      </c>
      <c r="B692" t="str">
        <f>"1551689027611041"</f>
        <v>1551689027611041</v>
      </c>
      <c r="C692" t="s">
        <v>40</v>
      </c>
      <c r="D692">
        <v>4.4174670000000003</v>
      </c>
      <c r="E692">
        <v>0.54524790000000001</v>
      </c>
      <c r="F692" t="s">
        <v>42</v>
      </c>
      <c r="G692">
        <v>-325.50259999999997</v>
      </c>
      <c r="H692" s="1">
        <v>-2.2537289999999999E-6</v>
      </c>
      <c r="I692">
        <v>367.68819999999999</v>
      </c>
      <c r="J692">
        <v>-342.75150000000002</v>
      </c>
      <c r="K692">
        <v>1.1099399999999999</v>
      </c>
      <c r="L692">
        <v>367.46800000000002</v>
      </c>
      <c r="M692">
        <v>0.99990900000000005</v>
      </c>
      <c r="N692">
        <v>-1.165185E-2</v>
      </c>
      <c r="O692">
        <v>6.8012289999999998E-3</v>
      </c>
      <c r="P692">
        <v>0.95091930000000002</v>
      </c>
      <c r="Q692">
        <v>0.29319250000000002</v>
      </c>
      <c r="R692">
        <v>9.8949449999999994E-2</v>
      </c>
      <c r="S692">
        <v>3.213409</v>
      </c>
      <c r="T692">
        <v>-0.20430280000000001</v>
      </c>
      <c r="U692">
        <v>4.0801999999999998E-2</v>
      </c>
      <c r="V692">
        <v>-9.2448539999999996E-2</v>
      </c>
      <c r="W692">
        <v>0.30426999999999998</v>
      </c>
      <c r="X692">
        <v>0.94808919999999997</v>
      </c>
      <c r="Y692">
        <v>-5.8900430000000002E-3</v>
      </c>
      <c r="Z692">
        <v>-1.313656E-4</v>
      </c>
      <c r="AA692">
        <v>0.9999827</v>
      </c>
      <c r="AB692">
        <v>42</v>
      </c>
      <c r="AC692">
        <v>17.248899999999999</v>
      </c>
      <c r="AD692">
        <v>-1.109942253729</v>
      </c>
      <c r="AE692">
        <v>0.220199999999977</v>
      </c>
      <c r="AF692">
        <v>-0.102449079013067</v>
      </c>
      <c r="AG692">
        <v>-1.109942253729</v>
      </c>
      <c r="AH692">
        <v>17.178877062379399</v>
      </c>
      <c r="AI692">
        <v>93.696726358801399</v>
      </c>
      <c r="AJ692">
        <v>90.341688821356399</v>
      </c>
      <c r="AK692">
        <v>17.2150017352525</v>
      </c>
      <c r="AL692">
        <v>72.285750126295895</v>
      </c>
      <c r="AM692">
        <v>95.569326316958595</v>
      </c>
      <c r="AN692">
        <v>1.0000000483023801</v>
      </c>
    </row>
    <row r="693" spans="1:40" x14ac:dyDescent="0.25">
      <c r="A693" t="str">
        <f>"20190304164347635"</f>
        <v>20190304164347635</v>
      </c>
      <c r="B693" t="str">
        <f>"1551689027630561"</f>
        <v>1551689027630561</v>
      </c>
      <c r="C693" t="s">
        <v>40</v>
      </c>
      <c r="D693">
        <v>4.4362110000000001</v>
      </c>
      <c r="E693">
        <v>0.54523369999999904</v>
      </c>
      <c r="F693" t="s">
        <v>42</v>
      </c>
      <c r="G693">
        <v>-325.24250000000001</v>
      </c>
      <c r="H693" s="1">
        <v>-2.363658E-6</v>
      </c>
      <c r="I693">
        <v>367.69740000000002</v>
      </c>
      <c r="J693">
        <v>-342.49759999999998</v>
      </c>
      <c r="K693">
        <v>1.1099460000000001</v>
      </c>
      <c r="L693">
        <v>367.46969999999999</v>
      </c>
      <c r="M693">
        <v>0.99990849999999998</v>
      </c>
      <c r="N693">
        <v>-1.1708700000000001E-2</v>
      </c>
      <c r="O693">
        <v>6.7872949999999996E-3</v>
      </c>
      <c r="P693">
        <v>0.95095940000000001</v>
      </c>
      <c r="Q693">
        <v>0.29309980000000002</v>
      </c>
      <c r="R693">
        <v>9.8837040000000001E-2</v>
      </c>
      <c r="S693">
        <v>3.213257</v>
      </c>
      <c r="T693">
        <v>-0.2036965</v>
      </c>
      <c r="U693">
        <v>4.2114260000000001E-2</v>
      </c>
      <c r="V693">
        <v>-9.2348470000000002E-2</v>
      </c>
      <c r="W693">
        <v>0.30423139999999999</v>
      </c>
      <c r="X693">
        <v>0.94811129999999999</v>
      </c>
      <c r="Y693">
        <v>-6.311845E-3</v>
      </c>
      <c r="Z693">
        <v>-1.1354939999999999E-4</v>
      </c>
      <c r="AA693">
        <v>0.99998010000000004</v>
      </c>
      <c r="AB693">
        <v>42</v>
      </c>
      <c r="AC693">
        <v>17.255099999999899</v>
      </c>
      <c r="AD693">
        <v>-1.1099483636580001</v>
      </c>
      <c r="AE693">
        <v>0.22770000000002699</v>
      </c>
      <c r="AF693">
        <v>-0.110115723042673</v>
      </c>
      <c r="AG693">
        <v>-1.1099483636580001</v>
      </c>
      <c r="AH693">
        <v>17.185151546623398</v>
      </c>
      <c r="AI693">
        <v>93.695390551111501</v>
      </c>
      <c r="AJ693">
        <v>90.367123899216296</v>
      </c>
      <c r="AK693">
        <v>17.2213107666885</v>
      </c>
      <c r="AL693">
        <v>72.288071125641807</v>
      </c>
      <c r="AM693">
        <v>95.563206830475295</v>
      </c>
      <c r="AN693">
        <v>1.00000001092249</v>
      </c>
    </row>
    <row r="694" spans="1:40" x14ac:dyDescent="0.25">
      <c r="A694" t="str">
        <f>"20190304164347647"</f>
        <v>20190304164347647</v>
      </c>
      <c r="B694" t="str">
        <f>"1551689027640321"</f>
        <v>1551689027640321</v>
      </c>
      <c r="C694" t="s">
        <v>40</v>
      </c>
      <c r="D694">
        <v>4.4922740000000001</v>
      </c>
      <c r="E694">
        <v>0.54522579999999998</v>
      </c>
      <c r="F694" t="s">
        <v>42</v>
      </c>
      <c r="G694">
        <v>-325.07060000000001</v>
      </c>
      <c r="H694" s="1">
        <v>-2.4368670000000001E-6</v>
      </c>
      <c r="I694">
        <v>367.7004</v>
      </c>
      <c r="J694">
        <v>-342.25990000000002</v>
      </c>
      <c r="K694">
        <v>1.1099460000000001</v>
      </c>
      <c r="L694">
        <v>367.47140000000002</v>
      </c>
      <c r="M694">
        <v>0.99990800000000002</v>
      </c>
      <c r="N694">
        <v>-1.1762709999999999E-2</v>
      </c>
      <c r="O694">
        <v>6.7733209999999997E-3</v>
      </c>
      <c r="P694">
        <v>0.95104809999999995</v>
      </c>
      <c r="Q694">
        <v>0.29285600000000001</v>
      </c>
      <c r="R694">
        <v>9.8709259999999993E-2</v>
      </c>
      <c r="S694">
        <v>3.2133479999999999</v>
      </c>
      <c r="T694">
        <v>-0.2046626</v>
      </c>
      <c r="U694">
        <v>4.2541500000000003E-2</v>
      </c>
      <c r="V694">
        <v>-9.2233670000000004E-2</v>
      </c>
      <c r="W694">
        <v>0.30404009999999998</v>
      </c>
      <c r="X694">
        <v>0.94818380000000002</v>
      </c>
      <c r="Y694">
        <v>-6.4579520000000003E-3</v>
      </c>
      <c r="Z694">
        <v>-1.078611E-4</v>
      </c>
      <c r="AA694">
        <v>0.99997910000000001</v>
      </c>
      <c r="AB694">
        <v>42</v>
      </c>
      <c r="AC694">
        <v>17.189299999999999</v>
      </c>
      <c r="AD694">
        <v>-1.1099484368669901</v>
      </c>
      <c r="AE694">
        <v>0.22899999999998499</v>
      </c>
      <c r="AF694">
        <v>-0.112090773314466</v>
      </c>
      <c r="AG694">
        <v>-1.1099484368669901</v>
      </c>
      <c r="AH694">
        <v>17.119090589970099</v>
      </c>
      <c r="AI694">
        <v>93.709607859990101</v>
      </c>
      <c r="AJ694">
        <v>90.375150561973996</v>
      </c>
      <c r="AK694">
        <v>17.155401846111602</v>
      </c>
      <c r="AL694">
        <v>72.299576200303306</v>
      </c>
      <c r="AM694">
        <v>95.555912224732396</v>
      </c>
      <c r="AN694">
        <v>0.99999997543605901</v>
      </c>
    </row>
    <row r="695" spans="1:40" x14ac:dyDescent="0.25">
      <c r="A695" t="str">
        <f>"20190304164347658"</f>
        <v>20190304164347658</v>
      </c>
      <c r="B695" t="str">
        <f>"1551689027651058"</f>
        <v>1551689027651058</v>
      </c>
      <c r="C695" t="s">
        <v>40</v>
      </c>
      <c r="D695">
        <v>4.4295540000000004</v>
      </c>
      <c r="E695">
        <v>0.5452399</v>
      </c>
      <c r="F695" t="s">
        <v>42</v>
      </c>
      <c r="G695">
        <v>-324.91899999999998</v>
      </c>
      <c r="H695" s="1">
        <v>-2.5020430000000001E-6</v>
      </c>
      <c r="I695">
        <v>367.69970000000001</v>
      </c>
      <c r="J695">
        <v>-342.06740000000002</v>
      </c>
      <c r="K695">
        <v>1.1099509999999999</v>
      </c>
      <c r="L695">
        <v>367.47269999999997</v>
      </c>
      <c r="M695">
        <v>0.9999074</v>
      </c>
      <c r="N695">
        <v>-1.1806779999999999E-2</v>
      </c>
      <c r="O695">
        <v>6.7621460000000001E-3</v>
      </c>
      <c r="P695">
        <v>0.95106650000000004</v>
      </c>
      <c r="Q695">
        <v>0.29280250000000002</v>
      </c>
      <c r="R695">
        <v>9.8688739999999997E-2</v>
      </c>
      <c r="S695">
        <v>3.2133479999999999</v>
      </c>
      <c r="T695">
        <v>-0.2056769</v>
      </c>
      <c r="U695">
        <v>4.2327879999999998E-2</v>
      </c>
      <c r="V695">
        <v>-9.2223639999999996E-2</v>
      </c>
      <c r="W695">
        <v>0.30402839999999998</v>
      </c>
      <c r="X695">
        <v>0.94818860000000005</v>
      </c>
      <c r="Y695">
        <v>-6.4027210000000001E-3</v>
      </c>
      <c r="Z695">
        <v>-1.100455E-4</v>
      </c>
      <c r="AA695">
        <v>0.99997950000000002</v>
      </c>
      <c r="AB695">
        <v>42</v>
      </c>
      <c r="AC695">
        <v>17.148399999999899</v>
      </c>
      <c r="AD695">
        <v>-1.109953502043</v>
      </c>
      <c r="AE695">
        <v>0.22700000000003201</v>
      </c>
      <c r="AF695">
        <v>-0.110563612485591</v>
      </c>
      <c r="AG695">
        <v>-1.109953502043</v>
      </c>
      <c r="AH695">
        <v>17.078007182452801</v>
      </c>
      <c r="AI695">
        <v>93.718525505332394</v>
      </c>
      <c r="AJ695">
        <v>90.370929687143104</v>
      </c>
      <c r="AK695">
        <v>17.114395999070801</v>
      </c>
      <c r="AL695">
        <v>72.300281134380697</v>
      </c>
      <c r="AM695">
        <v>95.555283877096898</v>
      </c>
      <c r="AN695">
        <v>1.00000004447568</v>
      </c>
    </row>
    <row r="696" spans="1:40" x14ac:dyDescent="0.25">
      <c r="A696" t="str">
        <f>"20190304164347669"</f>
        <v>20190304164347669</v>
      </c>
      <c r="B696" t="str">
        <f>"1551689027660816"</f>
        <v>1551689027660816</v>
      </c>
      <c r="C696" t="s">
        <v>40</v>
      </c>
      <c r="D696">
        <v>4.4137700000000004</v>
      </c>
      <c r="E696">
        <v>0.54525419999999902</v>
      </c>
      <c r="F696" t="s">
        <v>42</v>
      </c>
      <c r="G696">
        <v>-324.7389</v>
      </c>
      <c r="H696" s="1">
        <v>-2.5794159999999998E-6</v>
      </c>
      <c r="I696">
        <v>367.69920000000002</v>
      </c>
      <c r="J696">
        <v>-341.84840000000003</v>
      </c>
      <c r="K696">
        <v>1.1099559999999999</v>
      </c>
      <c r="L696">
        <v>367.47410000000002</v>
      </c>
      <c r="M696">
        <v>0.99990710000000005</v>
      </c>
      <c r="N696">
        <v>-1.1857370000000001E-2</v>
      </c>
      <c r="O696">
        <v>6.7485409999999899E-3</v>
      </c>
      <c r="P696">
        <v>0.95105320000000004</v>
      </c>
      <c r="Q696">
        <v>0.29285909999999998</v>
      </c>
      <c r="R696">
        <v>9.8649529999999999E-2</v>
      </c>
      <c r="S696">
        <v>3.2133479999999999</v>
      </c>
      <c r="T696">
        <v>-0.2058257</v>
      </c>
      <c r="U696">
        <v>4.2022709999999998E-2</v>
      </c>
      <c r="V696">
        <v>-9.2196440000000004E-2</v>
      </c>
      <c r="W696">
        <v>0.30413279999999998</v>
      </c>
      <c r="X696">
        <v>0.94815769999999999</v>
      </c>
      <c r="Y696">
        <v>-6.3215160000000001E-3</v>
      </c>
      <c r="Z696">
        <v>-1.120766E-4</v>
      </c>
      <c r="AA696">
        <v>0.99997999999999998</v>
      </c>
      <c r="AB696">
        <v>42</v>
      </c>
      <c r="AC696">
        <v>17.109500000000001</v>
      </c>
      <c r="AD696">
        <v>-1.1099585794159901</v>
      </c>
      <c r="AE696">
        <v>0.225099999999997</v>
      </c>
      <c r="AF696">
        <v>-0.109163267099691</v>
      </c>
      <c r="AG696">
        <v>-1.1099585794159901</v>
      </c>
      <c r="AH696">
        <v>17.038931691419101</v>
      </c>
      <c r="AI696">
        <v>93.727047828070496</v>
      </c>
      <c r="AJ696">
        <v>90.367071658199194</v>
      </c>
      <c r="AK696">
        <v>17.0753951008973</v>
      </c>
      <c r="AL696">
        <v>72.294001011427198</v>
      </c>
      <c r="AM696">
        <v>95.553835532325493</v>
      </c>
      <c r="AN696">
        <v>0.99999998382690103</v>
      </c>
    </row>
    <row r="697" spans="1:40" x14ac:dyDescent="0.25">
      <c r="A697" t="str">
        <f>"20190304164347680"</f>
        <v>20190304164347680</v>
      </c>
      <c r="B697" t="str">
        <f>"1551689027670577"</f>
        <v>1551689027670577</v>
      </c>
      <c r="C697" t="s">
        <v>40</v>
      </c>
      <c r="D697">
        <v>4.476731</v>
      </c>
      <c r="E697">
        <v>0.54524410000000001</v>
      </c>
      <c r="F697" t="s">
        <v>42</v>
      </c>
      <c r="G697">
        <v>-324.50990000000002</v>
      </c>
      <c r="H697" s="1">
        <v>-2.6776789999999998E-6</v>
      </c>
      <c r="I697">
        <v>367.69880000000001</v>
      </c>
      <c r="J697">
        <v>-341.6515</v>
      </c>
      <c r="K697">
        <v>1.109966</v>
      </c>
      <c r="L697">
        <v>367.47539999999998</v>
      </c>
      <c r="M697">
        <v>0.99990639999999997</v>
      </c>
      <c r="N697">
        <v>-1.1903270000000001E-2</v>
      </c>
      <c r="O697">
        <v>6.7365100000000002E-3</v>
      </c>
      <c r="P697">
        <v>0.95109480000000002</v>
      </c>
      <c r="Q697">
        <v>0.29283900000000002</v>
      </c>
      <c r="R697">
        <v>9.8304550000000004E-2</v>
      </c>
      <c r="S697">
        <v>3.21347</v>
      </c>
      <c r="T697">
        <v>-0.20571700000000001</v>
      </c>
      <c r="U697">
        <v>4.1656489999999997E-2</v>
      </c>
      <c r="V697">
        <v>-9.1862020000000003E-2</v>
      </c>
      <c r="W697">
        <v>0.30415740000000002</v>
      </c>
      <c r="X697">
        <v>0.94818230000000003</v>
      </c>
      <c r="Y697">
        <v>-6.2193159999999999E-3</v>
      </c>
      <c r="Z697">
        <v>-1.147427E-4</v>
      </c>
      <c r="AA697">
        <v>0.9999806</v>
      </c>
      <c r="AB697">
        <v>42</v>
      </c>
      <c r="AC697">
        <v>17.141599999999901</v>
      </c>
      <c r="AD697">
        <v>-1.1099686776790001</v>
      </c>
      <c r="AE697">
        <v>0.22340000000002599</v>
      </c>
      <c r="AF697">
        <v>-0.10746167782581</v>
      </c>
      <c r="AG697">
        <v>-1.1099686776790001</v>
      </c>
      <c r="AH697">
        <v>17.071149869841999</v>
      </c>
      <c r="AI697">
        <v>93.720069967187698</v>
      </c>
      <c r="AJ697">
        <v>90.360668104979993</v>
      </c>
      <c r="AK697">
        <v>17.107534490867899</v>
      </c>
      <c r="AL697">
        <v>72.292522000292493</v>
      </c>
      <c r="AM697">
        <v>95.533672946712898</v>
      </c>
      <c r="AN697">
        <v>1.0000000143632599</v>
      </c>
    </row>
    <row r="698" spans="1:40" x14ac:dyDescent="0.25">
      <c r="A698" t="str">
        <f>"20190304164347692"</f>
        <v>20190304164347692</v>
      </c>
      <c r="B698" t="str">
        <f>"1551689027680336"</f>
        <v>1551689027680336</v>
      </c>
      <c r="C698" t="s">
        <v>40</v>
      </c>
      <c r="D698">
        <v>4.3905849999999997</v>
      </c>
      <c r="E698">
        <v>0.54524790000000001</v>
      </c>
      <c r="F698" t="s">
        <v>42</v>
      </c>
      <c r="G698">
        <v>-324.34320000000002</v>
      </c>
      <c r="H698" s="1">
        <v>-2.7501120000000001E-6</v>
      </c>
      <c r="I698">
        <v>367.69380000000001</v>
      </c>
      <c r="J698">
        <v>-341.43</v>
      </c>
      <c r="K698">
        <v>1.1099699999999999</v>
      </c>
      <c r="L698">
        <v>367.4769</v>
      </c>
      <c r="M698">
        <v>0.99990610000000002</v>
      </c>
      <c r="N698">
        <v>-1.1955210000000001E-2</v>
      </c>
      <c r="O698">
        <v>6.7224119999999997E-3</v>
      </c>
      <c r="P698">
        <v>0.95110320000000004</v>
      </c>
      <c r="Q698">
        <v>0.29289029999999999</v>
      </c>
      <c r="R698">
        <v>9.8073489999999999E-2</v>
      </c>
      <c r="S698">
        <v>3.2135009999999999</v>
      </c>
      <c r="T698">
        <v>-0.20607880000000001</v>
      </c>
      <c r="U698">
        <v>4.0557860000000001E-2</v>
      </c>
      <c r="V698">
        <v>-9.1643719999999998E-2</v>
      </c>
      <c r="W698">
        <v>0.30425770000000002</v>
      </c>
      <c r="X698">
        <v>0.94817119999999999</v>
      </c>
      <c r="Y698">
        <v>-5.8922119999999904E-3</v>
      </c>
      <c r="Z698">
        <v>-1.26337199999999E-4</v>
      </c>
      <c r="AA698">
        <v>0.9999827</v>
      </c>
      <c r="AB698">
        <v>42</v>
      </c>
      <c r="AC698">
        <v>17.086799999999901</v>
      </c>
      <c r="AD698">
        <v>-1.109972750112</v>
      </c>
      <c r="AE698">
        <v>0.216900000000009</v>
      </c>
      <c r="AF698">
        <v>-0.10159375081593899</v>
      </c>
      <c r="AG698">
        <v>-1.109972750112</v>
      </c>
      <c r="AH698">
        <v>17.016077310920299</v>
      </c>
      <c r="AI698">
        <v>93.732097066078794</v>
      </c>
      <c r="AJ698">
        <v>90.342077899461898</v>
      </c>
      <c r="AK698">
        <v>17.052543735390699</v>
      </c>
      <c r="AL698">
        <v>72.286488543612407</v>
      </c>
      <c r="AM698">
        <v>95.520668344072703</v>
      </c>
      <c r="AN698">
        <v>0.99999997196708301</v>
      </c>
    </row>
    <row r="699" spans="1:40" x14ac:dyDescent="0.25">
      <c r="A699" t="str">
        <f>"20190304164347703"</f>
        <v>20190304164347703</v>
      </c>
      <c r="B699" t="str">
        <f>"1551689027691073"</f>
        <v>1551689027691073</v>
      </c>
      <c r="C699" t="s">
        <v>40</v>
      </c>
      <c r="D699">
        <v>4.390752</v>
      </c>
      <c r="E699">
        <v>0.54524839999999997</v>
      </c>
      <c r="F699" t="s">
        <v>42</v>
      </c>
      <c r="G699">
        <v>-324.10480000000001</v>
      </c>
      <c r="H699" s="1">
        <v>-2.8527630000000001E-6</v>
      </c>
      <c r="I699">
        <v>367.69170000000003</v>
      </c>
      <c r="J699">
        <v>-341.23009999999999</v>
      </c>
      <c r="K699">
        <v>1.1099760000000001</v>
      </c>
      <c r="L699">
        <v>367.47820000000002</v>
      </c>
      <c r="M699">
        <v>0.9999055</v>
      </c>
      <c r="N699">
        <v>-1.200265E-2</v>
      </c>
      <c r="O699">
        <v>6.7137369999999896E-3</v>
      </c>
      <c r="P699">
        <v>0.95121389999999995</v>
      </c>
      <c r="Q699">
        <v>0.29270040000000003</v>
      </c>
      <c r="R699">
        <v>9.7563910000000004E-2</v>
      </c>
      <c r="S699">
        <v>3.2135310000000001</v>
      </c>
      <c r="T699">
        <v>-0.20588029999999999</v>
      </c>
      <c r="U699">
        <v>3.9855960000000003E-2</v>
      </c>
      <c r="V699">
        <v>-9.1142619999999994E-2</v>
      </c>
      <c r="W699">
        <v>0.3041142</v>
      </c>
      <c r="X699">
        <v>0.94826560000000004</v>
      </c>
      <c r="Y699">
        <v>-5.682856E-3</v>
      </c>
      <c r="Z699">
        <v>-1.331502E-4</v>
      </c>
      <c r="AA699">
        <v>0.99998379999999998</v>
      </c>
      <c r="AB699">
        <v>42</v>
      </c>
      <c r="AC699">
        <v>17.1252999999999</v>
      </c>
      <c r="AD699">
        <v>-1.1099788527629999</v>
      </c>
      <c r="AE699">
        <v>0.21350000000000999</v>
      </c>
      <c r="AF699">
        <v>-9.8100098233272898E-2</v>
      </c>
      <c r="AG699">
        <v>-1.1099788527629999</v>
      </c>
      <c r="AH699">
        <v>17.0547117030405</v>
      </c>
      <c r="AI699">
        <v>93.723691649803797</v>
      </c>
      <c r="AJ699">
        <v>90.329566380703596</v>
      </c>
      <c r="AK699">
        <v>17.0910756816732</v>
      </c>
      <c r="AL699">
        <v>72.295120656384697</v>
      </c>
      <c r="AM699">
        <v>95.490123519744003</v>
      </c>
      <c r="AN699">
        <v>1.0000000359827299</v>
      </c>
    </row>
    <row r="700" spans="1:40" x14ac:dyDescent="0.25">
      <c r="A700" t="str">
        <f>"20190304164347715"</f>
        <v>20190304164347715</v>
      </c>
      <c r="B700" t="str">
        <f>"1551689027710593"</f>
        <v>1551689027710593</v>
      </c>
      <c r="C700" t="s">
        <v>40</v>
      </c>
      <c r="D700">
        <v>4.3693989999999996</v>
      </c>
      <c r="E700">
        <v>0.54522389999999998</v>
      </c>
      <c r="F700" t="s">
        <v>42</v>
      </c>
      <c r="G700">
        <v>-323.9812</v>
      </c>
      <c r="H700" s="1">
        <v>-2.9076139999999999E-6</v>
      </c>
      <c r="I700">
        <v>367.68130000000002</v>
      </c>
      <c r="J700">
        <v>-341.01569999999998</v>
      </c>
      <c r="K700">
        <v>1.1099810000000001</v>
      </c>
      <c r="L700">
        <v>367.47969999999998</v>
      </c>
      <c r="M700">
        <v>0.99990500000000004</v>
      </c>
      <c r="N700">
        <v>-1.205372E-2</v>
      </c>
      <c r="O700">
        <v>6.7050469999999996E-3</v>
      </c>
      <c r="P700">
        <v>0.95134850000000004</v>
      </c>
      <c r="Q700">
        <v>0.29234480000000002</v>
      </c>
      <c r="R700">
        <v>9.7317650000000006E-2</v>
      </c>
      <c r="S700">
        <v>3.2136230000000001</v>
      </c>
      <c r="T700">
        <v>-0.20679829999999999</v>
      </c>
      <c r="U700">
        <v>3.7841800000000002E-2</v>
      </c>
      <c r="V700">
        <v>-9.0904589999999993E-2</v>
      </c>
      <c r="W700">
        <v>0.30380800000000002</v>
      </c>
      <c r="X700">
        <v>0.94838650000000002</v>
      </c>
      <c r="Y700">
        <v>-5.065997E-3</v>
      </c>
      <c r="Z700">
        <v>-1.5685420000000001E-4</v>
      </c>
      <c r="AA700">
        <v>0.99998719999999996</v>
      </c>
      <c r="AB700">
        <v>42</v>
      </c>
      <c r="AC700">
        <v>17.034499999999898</v>
      </c>
      <c r="AD700">
        <v>-1.1099839076139999</v>
      </c>
      <c r="AE700">
        <v>0.201600000000041</v>
      </c>
      <c r="AF700">
        <v>-8.7000712199489197E-2</v>
      </c>
      <c r="AG700">
        <v>-1.1099839076139999</v>
      </c>
      <c r="AH700">
        <v>16.9634530218412</v>
      </c>
      <c r="AI700">
        <v>93.743696925042201</v>
      </c>
      <c r="AJ700">
        <v>90.293851134666497</v>
      </c>
      <c r="AK700">
        <v>16.999952112382498</v>
      </c>
      <c r="AL700">
        <v>72.313534370942094</v>
      </c>
      <c r="AM700">
        <v>95.475178839732905</v>
      </c>
      <c r="AN700">
        <v>0.99999994936465697</v>
      </c>
    </row>
    <row r="701" spans="1:40" x14ac:dyDescent="0.25">
      <c r="A701" t="str">
        <f>"20190304164347727"</f>
        <v>20190304164347727</v>
      </c>
      <c r="B701" t="str">
        <f>"1551689027720353"</f>
        <v>1551689027720353</v>
      </c>
      <c r="C701" t="s">
        <v>40</v>
      </c>
      <c r="D701">
        <v>4.3649809999999896</v>
      </c>
      <c r="E701">
        <v>0.54517850000000001</v>
      </c>
      <c r="F701" t="s">
        <v>41</v>
      </c>
      <c r="G701">
        <v>-339.92579999999998</v>
      </c>
      <c r="H701">
        <v>1.0394669999999999</v>
      </c>
      <c r="I701">
        <v>367.49209999999999</v>
      </c>
      <c r="J701">
        <v>-340.78309999999999</v>
      </c>
      <c r="K701">
        <v>1.109988</v>
      </c>
      <c r="L701">
        <v>367.4812</v>
      </c>
      <c r="M701">
        <v>0.99990420000000002</v>
      </c>
      <c r="N701">
        <v>-1.2109899999999899E-2</v>
      </c>
      <c r="O701">
        <v>6.6998569999999896E-3</v>
      </c>
      <c r="P701">
        <v>0.95137050000000001</v>
      </c>
      <c r="Q701">
        <v>0.29236590000000001</v>
      </c>
      <c r="R701">
        <v>9.7038009999999994E-2</v>
      </c>
      <c r="S701">
        <v>3.213562</v>
      </c>
      <c r="T701">
        <v>-0.20799119999999999</v>
      </c>
      <c r="U701">
        <v>3.6956790000000003E-2</v>
      </c>
      <c r="V701">
        <v>-9.0632359999999995E-2</v>
      </c>
      <c r="W701">
        <v>0.30388209999999999</v>
      </c>
      <c r="X701">
        <v>0.94838889999999998</v>
      </c>
      <c r="Y701">
        <v>-4.7966770000000001E-3</v>
      </c>
      <c r="Z701">
        <v>-1.6795140000000001E-4</v>
      </c>
      <c r="AA701">
        <v>0.99998849999999995</v>
      </c>
      <c r="AB701">
        <v>42</v>
      </c>
      <c r="AC701">
        <v>0.85730000000000905</v>
      </c>
      <c r="AD701">
        <v>-7.0521E-2</v>
      </c>
      <c r="AE701">
        <v>1.08999999999923E-2</v>
      </c>
      <c r="AF701">
        <v>-5.1209010044153003E-3</v>
      </c>
      <c r="AG701">
        <v>-7.0521E-2</v>
      </c>
      <c r="AH701">
        <v>0.85159232596884904</v>
      </c>
      <c r="AI701">
        <v>94.733819938250093</v>
      </c>
      <c r="AJ701">
        <v>90.344533962389406</v>
      </c>
      <c r="AK701">
        <v>0.85452262972792703</v>
      </c>
      <c r="AL701">
        <v>72.3090795488461</v>
      </c>
      <c r="AM701">
        <v>95.4588679017304</v>
      </c>
      <c r="AN701">
        <v>1.0000000305113901</v>
      </c>
    </row>
    <row r="702" spans="1:40" x14ac:dyDescent="0.25">
      <c r="A702" t="str">
        <f>"20190304164347738"</f>
        <v>20190304164347738</v>
      </c>
      <c r="B702" t="str">
        <f>"1551689027731088"</f>
        <v>1551689027731088</v>
      </c>
      <c r="C702" t="s">
        <v>40</v>
      </c>
      <c r="D702">
        <v>4.3824319999999997</v>
      </c>
      <c r="E702">
        <v>0.54516699999999996</v>
      </c>
      <c r="F702" t="s">
        <v>42</v>
      </c>
      <c r="G702">
        <v>-323.55540000000002</v>
      </c>
      <c r="H702" s="1">
        <v>-3.0909969999999998E-6</v>
      </c>
      <c r="I702">
        <v>367.6773</v>
      </c>
      <c r="J702">
        <v>-340.57499999999999</v>
      </c>
      <c r="K702">
        <v>1.1099969999999999</v>
      </c>
      <c r="L702">
        <v>367.48259999999999</v>
      </c>
      <c r="M702">
        <v>0.99990369999999995</v>
      </c>
      <c r="N702">
        <v>-1.2159690000000001E-2</v>
      </c>
      <c r="O702">
        <v>6.695894E-3</v>
      </c>
      <c r="P702">
        <v>0.95145919999999895</v>
      </c>
      <c r="Q702">
        <v>0.2921608</v>
      </c>
      <c r="R702">
        <v>9.6785679999999999E-2</v>
      </c>
      <c r="S702">
        <v>3.2131959999999999</v>
      </c>
      <c r="T702">
        <v>-0.20702660000000001</v>
      </c>
      <c r="U702">
        <v>3.6590579999999998E-2</v>
      </c>
      <c r="V702">
        <v>-9.0384800000000001E-2</v>
      </c>
      <c r="W702">
        <v>0.30372440000000001</v>
      </c>
      <c r="X702">
        <v>0.94846299999999995</v>
      </c>
      <c r="Y702">
        <v>-4.6882260000000002E-3</v>
      </c>
      <c r="Z702">
        <v>-1.701858E-4</v>
      </c>
      <c r="AA702">
        <v>0.99998900000000002</v>
      </c>
      <c r="AB702">
        <v>42</v>
      </c>
      <c r="AC702">
        <v>17.019599999999901</v>
      </c>
      <c r="AD702">
        <v>-1.11000009099699</v>
      </c>
      <c r="AE702">
        <v>0.194700000000011</v>
      </c>
      <c r="AF702">
        <v>-8.0383908019247496E-2</v>
      </c>
      <c r="AG702">
        <v>-1.11000009099699</v>
      </c>
      <c r="AH702">
        <v>16.948441279113499</v>
      </c>
      <c r="AI702">
        <v>93.747064978540806</v>
      </c>
      <c r="AJ702">
        <v>90.271743227634005</v>
      </c>
      <c r="AK702">
        <v>16.984941082212799</v>
      </c>
      <c r="AL702">
        <v>72.318562657814795</v>
      </c>
      <c r="AM702">
        <v>95.443624077201406</v>
      </c>
      <c r="AN702">
        <v>0.99999999279769902</v>
      </c>
    </row>
    <row r="703" spans="1:40" x14ac:dyDescent="0.25">
      <c r="A703" t="str">
        <f>"20190304164347751"</f>
        <v>20190304164347751</v>
      </c>
      <c r="B703" t="str">
        <f>"1551689027740850"</f>
        <v>1551689027740850</v>
      </c>
      <c r="C703" t="s">
        <v>40</v>
      </c>
      <c r="D703">
        <v>4.3357559999999999</v>
      </c>
      <c r="E703">
        <v>0.54518100000000003</v>
      </c>
      <c r="F703" t="s">
        <v>42</v>
      </c>
      <c r="G703">
        <v>-323.39510000000001</v>
      </c>
      <c r="H703" s="1">
        <v>-3.1610310000000001E-6</v>
      </c>
      <c r="I703">
        <v>367.6703</v>
      </c>
      <c r="J703">
        <v>-340.32249999999999</v>
      </c>
      <c r="K703">
        <v>1.1100139999999901</v>
      </c>
      <c r="L703">
        <v>367.48430000000002</v>
      </c>
      <c r="M703">
        <v>0.99990299999999999</v>
      </c>
      <c r="N703">
        <v>-1.2219249999999999E-2</v>
      </c>
      <c r="O703">
        <v>6.6932490000000001E-3</v>
      </c>
      <c r="P703">
        <v>0.95147919999999997</v>
      </c>
      <c r="Q703">
        <v>0.29213630000000002</v>
      </c>
      <c r="R703">
        <v>9.666458E-2</v>
      </c>
      <c r="S703">
        <v>3.2131959999999999</v>
      </c>
      <c r="T703">
        <v>-0.2076036</v>
      </c>
      <c r="U703">
        <v>3.5125730000000001E-2</v>
      </c>
      <c r="V703">
        <v>-9.0268520000000005E-2</v>
      </c>
      <c r="W703">
        <v>0.30375580000000002</v>
      </c>
      <c r="X703">
        <v>0.94846399999999997</v>
      </c>
      <c r="Y703">
        <v>-4.2361339999999999E-3</v>
      </c>
      <c r="Z703">
        <v>-1.8764389999999999E-4</v>
      </c>
      <c r="AA703">
        <v>0.99999099999999996</v>
      </c>
      <c r="AB703">
        <v>42</v>
      </c>
      <c r="AC703">
        <v>16.927399999999899</v>
      </c>
      <c r="AD703">
        <v>-1.1100171610309999</v>
      </c>
      <c r="AE703">
        <v>0.18599999999997799</v>
      </c>
      <c r="AF703">
        <v>-7.2376886777936605E-2</v>
      </c>
      <c r="AG703">
        <v>-1.1100171610309999</v>
      </c>
      <c r="AH703">
        <v>16.855792908384998</v>
      </c>
      <c r="AI703">
        <v>93.767667068973694</v>
      </c>
      <c r="AJ703">
        <v>90.246020147698403</v>
      </c>
      <c r="AK703">
        <v>16.892457816489699</v>
      </c>
      <c r="AL703">
        <v>72.316674041755306</v>
      </c>
      <c r="AM703">
        <v>95.436657147406905</v>
      </c>
      <c r="AN703">
        <v>0.99999997551631403</v>
      </c>
    </row>
    <row r="704" spans="1:40" x14ac:dyDescent="0.25">
      <c r="A704" t="str">
        <f>"20190304164347768"</f>
        <v>20190304164347768</v>
      </c>
      <c r="B704" t="str">
        <f>"1551689027760370"</f>
        <v>1551689027760370</v>
      </c>
      <c r="C704" t="s">
        <v>40</v>
      </c>
      <c r="D704">
        <v>4.338425</v>
      </c>
      <c r="E704">
        <v>0.54521249999999999</v>
      </c>
      <c r="F704" t="s">
        <v>42</v>
      </c>
      <c r="G704">
        <v>-323.1259</v>
      </c>
      <c r="H704" s="1">
        <v>-3.276759E-6</v>
      </c>
      <c r="I704">
        <v>367.66879999999998</v>
      </c>
      <c r="J704">
        <v>-340.01530000000002</v>
      </c>
      <c r="K704">
        <v>1.110025</v>
      </c>
      <c r="L704">
        <v>367.48630000000003</v>
      </c>
      <c r="M704">
        <v>0.99990210000000002</v>
      </c>
      <c r="N704">
        <v>-1.228982E-2</v>
      </c>
      <c r="O704">
        <v>6.6910219999999996E-3</v>
      </c>
      <c r="P704">
        <v>0.95149309999999998</v>
      </c>
      <c r="Q704">
        <v>0.29204400000000003</v>
      </c>
      <c r="R704">
        <v>9.6804780000000007E-2</v>
      </c>
      <c r="S704">
        <v>3.213165</v>
      </c>
      <c r="T704">
        <v>-0.20740439999999999</v>
      </c>
      <c r="U704">
        <v>3.4484859999999999E-2</v>
      </c>
      <c r="V704">
        <v>-9.0413569999999999E-2</v>
      </c>
      <c r="W704">
        <v>0.3037299</v>
      </c>
      <c r="X704">
        <v>0.94845849999999998</v>
      </c>
      <c r="Y704">
        <v>-4.0394810000000001E-3</v>
      </c>
      <c r="Z704">
        <v>-1.9417610000000001E-4</v>
      </c>
      <c r="AA704">
        <v>0.99999179999999999</v>
      </c>
      <c r="AB704">
        <v>42</v>
      </c>
      <c r="AC704">
        <v>16.889399999999998</v>
      </c>
      <c r="AD704">
        <v>-1.110028276759</v>
      </c>
      <c r="AE704">
        <v>0.18249999999994701</v>
      </c>
      <c r="AF704">
        <v>-6.91812352423571E-2</v>
      </c>
      <c r="AG704">
        <v>-1.110028276759</v>
      </c>
      <c r="AH704">
        <v>16.817606872369399</v>
      </c>
      <c r="AI704">
        <v>93.776237763673905</v>
      </c>
      <c r="AJ704">
        <v>90.235691705302699</v>
      </c>
      <c r="AK704">
        <v>16.854342162543201</v>
      </c>
      <c r="AL704">
        <v>72.318231964637704</v>
      </c>
      <c r="AM704">
        <v>95.445372080890806</v>
      </c>
      <c r="AN704">
        <v>0.999999996008202</v>
      </c>
    </row>
    <row r="705" spans="1:40" x14ac:dyDescent="0.25">
      <c r="A705" t="str">
        <f>"20190304164347780"</f>
        <v>20190304164347780</v>
      </c>
      <c r="B705" t="str">
        <f>"1551689027771105"</f>
        <v>1551689027771105</v>
      </c>
      <c r="C705" t="s">
        <v>40</v>
      </c>
      <c r="D705">
        <v>4.3232699999999999</v>
      </c>
      <c r="E705">
        <v>0.54522320000000002</v>
      </c>
      <c r="F705" t="s">
        <v>42</v>
      </c>
      <c r="G705">
        <v>-322.81310000000002</v>
      </c>
      <c r="H705" s="1">
        <v>-3.4110189999999999E-6</v>
      </c>
      <c r="I705">
        <v>367.66840000000002</v>
      </c>
      <c r="J705">
        <v>-339.78269999999998</v>
      </c>
      <c r="K705">
        <v>1.110036</v>
      </c>
      <c r="L705">
        <v>367.48779999999999</v>
      </c>
      <c r="M705">
        <v>0.9999015</v>
      </c>
      <c r="N705">
        <v>-1.2342880000000001E-2</v>
      </c>
      <c r="O705">
        <v>6.6891859999999997E-3</v>
      </c>
      <c r="P705">
        <v>0.95147440000000005</v>
      </c>
      <c r="Q705">
        <v>0.29203889999999999</v>
      </c>
      <c r="R705">
        <v>9.7005620000000001E-2</v>
      </c>
      <c r="S705">
        <v>3.213165</v>
      </c>
      <c r="T705">
        <v>-0.2073392</v>
      </c>
      <c r="U705">
        <v>3.4027099999999998E-2</v>
      </c>
      <c r="V705">
        <v>-9.0618439999999995E-2</v>
      </c>
      <c r="W705">
        <v>0.3037744</v>
      </c>
      <c r="X705">
        <v>0.94842470000000001</v>
      </c>
      <c r="Y705">
        <v>-3.899184E-3</v>
      </c>
      <c r="Z705">
        <v>-1.989126E-4</v>
      </c>
      <c r="AA705">
        <v>0.9999924</v>
      </c>
      <c r="AB705">
        <v>42</v>
      </c>
      <c r="AC705">
        <v>16.9695999999999</v>
      </c>
      <c r="AD705">
        <v>-1.1100394110189999</v>
      </c>
      <c r="AE705">
        <v>0.18060000000002599</v>
      </c>
      <c r="AF705">
        <v>-6.6788755237990896E-2</v>
      </c>
      <c r="AG705">
        <v>-1.1100394110189999</v>
      </c>
      <c r="AH705">
        <v>16.898130977603699</v>
      </c>
      <c r="AI705">
        <v>93.758334704054604</v>
      </c>
      <c r="AJ705">
        <v>90.226456634327604</v>
      </c>
      <c r="AK705">
        <v>16.934682718258699</v>
      </c>
      <c r="AL705">
        <v>72.315555926204695</v>
      </c>
      <c r="AM705">
        <v>95.457829771780396</v>
      </c>
      <c r="AN705">
        <v>0.99999999966674102</v>
      </c>
    </row>
    <row r="706" spans="1:40" x14ac:dyDescent="0.25">
      <c r="A706" t="str">
        <f>"20190304164347793"</f>
        <v>20190304164347793</v>
      </c>
      <c r="B706" t="str">
        <f>"1551689027780865"</f>
        <v>1551689027780865</v>
      </c>
      <c r="C706" t="s">
        <v>40</v>
      </c>
      <c r="D706">
        <v>4.3521010000000002</v>
      </c>
      <c r="E706">
        <v>0.54521319999999995</v>
      </c>
      <c r="F706" t="s">
        <v>42</v>
      </c>
      <c r="G706">
        <v>-322.60300000000001</v>
      </c>
      <c r="H706" s="1">
        <v>-3.5001039999999999E-6</v>
      </c>
      <c r="I706">
        <v>367.67430000000002</v>
      </c>
      <c r="J706">
        <v>-339.55939999999998</v>
      </c>
      <c r="K706">
        <v>1.1100449999999999</v>
      </c>
      <c r="L706">
        <v>367.48930000000001</v>
      </c>
      <c r="M706">
        <v>0.99990100000000004</v>
      </c>
      <c r="N706">
        <v>-1.2393690000000001E-2</v>
      </c>
      <c r="O706">
        <v>6.687419E-3</v>
      </c>
      <c r="P706">
        <v>0.95141149999999997</v>
      </c>
      <c r="Q706">
        <v>0.29217880000000002</v>
      </c>
      <c r="R706">
        <v>9.7200270000000005E-2</v>
      </c>
      <c r="S706">
        <v>3.2131959999999999</v>
      </c>
      <c r="T706">
        <v>-0.20761499999999999</v>
      </c>
      <c r="U706">
        <v>3.4881589999999997E-2</v>
      </c>
      <c r="V706">
        <v>-9.0817179999999997E-2</v>
      </c>
      <c r="W706">
        <v>0.30396109999999998</v>
      </c>
      <c r="X706">
        <v>0.94834589999999996</v>
      </c>
      <c r="Y706">
        <v>-4.1660619999999999E-3</v>
      </c>
      <c r="Z706">
        <v>-1.8851529999999999E-4</v>
      </c>
      <c r="AA706">
        <v>0.99999130000000003</v>
      </c>
      <c r="AB706">
        <v>42</v>
      </c>
      <c r="AC706">
        <v>16.956399999999899</v>
      </c>
      <c r="AD706">
        <v>-1.1100485001039999</v>
      </c>
      <c r="AE706">
        <v>0.185000000000002</v>
      </c>
      <c r="AF706">
        <v>-7.1287144808742306E-2</v>
      </c>
      <c r="AG706">
        <v>-1.1100485001039999</v>
      </c>
      <c r="AH706">
        <v>16.8849038871465</v>
      </c>
      <c r="AI706">
        <v>93.761296992499297</v>
      </c>
      <c r="AJ706">
        <v>90.241898224024297</v>
      </c>
      <c r="AK706">
        <v>16.921503148590901</v>
      </c>
      <c r="AL706">
        <v>72.304328400031906</v>
      </c>
      <c r="AM706">
        <v>95.470178841582396</v>
      </c>
      <c r="AN706">
        <v>1.00000002827158</v>
      </c>
    </row>
    <row r="707" spans="1:40" x14ac:dyDescent="0.25">
      <c r="A707" t="str">
        <f>"20190304164347805"</f>
        <v>20190304164347805</v>
      </c>
      <c r="B707" t="str">
        <f>"1551689027800385"</f>
        <v>1551689027800385</v>
      </c>
      <c r="C707" t="s">
        <v>40</v>
      </c>
      <c r="D707">
        <v>4.3353650000000004</v>
      </c>
      <c r="E707">
        <v>0.54521560000000002</v>
      </c>
      <c r="F707" t="s">
        <v>42</v>
      </c>
      <c r="G707">
        <v>-322.34879999999998</v>
      </c>
      <c r="H707" s="1">
        <v>-3.6081510000000002E-6</v>
      </c>
      <c r="I707">
        <v>367.6798</v>
      </c>
      <c r="J707">
        <v>-339.35250000000002</v>
      </c>
      <c r="K707">
        <v>1.110052</v>
      </c>
      <c r="L707">
        <v>367.4907</v>
      </c>
      <c r="M707">
        <v>0.99990029999999996</v>
      </c>
      <c r="N707">
        <v>-1.243941E-2</v>
      </c>
      <c r="O707">
        <v>6.6859689999999999E-3</v>
      </c>
      <c r="P707">
        <v>0.95142309999999997</v>
      </c>
      <c r="Q707">
        <v>0.2920296</v>
      </c>
      <c r="R707">
        <v>9.7533449999999994E-2</v>
      </c>
      <c r="S707">
        <v>3.2132260000000001</v>
      </c>
      <c r="T707">
        <v>-0.20724629999999999</v>
      </c>
      <c r="U707">
        <v>3.5583499999999997E-2</v>
      </c>
      <c r="V707">
        <v>-9.1153239999999996E-2</v>
      </c>
      <c r="W707">
        <v>0.30385519999999999</v>
      </c>
      <c r="X707">
        <v>0.94834759999999996</v>
      </c>
      <c r="Y707">
        <v>-4.3852439999999999E-3</v>
      </c>
      <c r="Z707">
        <v>-1.7908299999999999E-4</v>
      </c>
      <c r="AA707">
        <v>0.9999903</v>
      </c>
      <c r="AB707">
        <v>42</v>
      </c>
      <c r="AC707">
        <v>17.003699999999998</v>
      </c>
      <c r="AD707">
        <v>-1.110055608151</v>
      </c>
      <c r="AE707">
        <v>0.18909999999999599</v>
      </c>
      <c r="AF707">
        <v>-7.5080820764326595E-2</v>
      </c>
      <c r="AG707">
        <v>-1.110055608151</v>
      </c>
      <c r="AH707">
        <v>16.932429013604398</v>
      </c>
      <c r="AI707">
        <v>93.750790656759406</v>
      </c>
      <c r="AJ707">
        <v>90.254056045679704</v>
      </c>
      <c r="AK707">
        <v>16.968942597686699</v>
      </c>
      <c r="AL707">
        <v>72.310697349359401</v>
      </c>
      <c r="AM707">
        <v>95.490287459461996</v>
      </c>
      <c r="AN707">
        <v>1.00000003307764</v>
      </c>
    </row>
    <row r="708" spans="1:40" x14ac:dyDescent="0.25">
      <c r="A708" t="str">
        <f>"20190304164347817"</f>
        <v>20190304164347817</v>
      </c>
      <c r="B708" t="str">
        <f>"1551689027811121"</f>
        <v>1551689027811121</v>
      </c>
      <c r="C708" t="s">
        <v>40</v>
      </c>
      <c r="D708">
        <v>4.6699349999999997</v>
      </c>
      <c r="E708">
        <v>0.54518529999999998</v>
      </c>
      <c r="F708" t="s">
        <v>42</v>
      </c>
      <c r="G708">
        <v>-322.16239999999999</v>
      </c>
      <c r="H708" s="1">
        <v>-3.686837E-6</v>
      </c>
      <c r="I708">
        <v>367.68720000000002</v>
      </c>
      <c r="J708">
        <v>-339.11660000000001</v>
      </c>
      <c r="K708">
        <v>1.1100570000000001</v>
      </c>
      <c r="L708">
        <v>367.49220000000003</v>
      </c>
      <c r="M708">
        <v>0.99989969999999995</v>
      </c>
      <c r="N708">
        <v>-1.2490630000000001E-2</v>
      </c>
      <c r="O708">
        <v>6.6845439999999997E-3</v>
      </c>
      <c r="P708">
        <v>0.95140400000000003</v>
      </c>
      <c r="Q708">
        <v>0.29190369999999999</v>
      </c>
      <c r="R708">
        <v>9.8095719999999997E-2</v>
      </c>
      <c r="S708">
        <v>3.2130740000000002</v>
      </c>
      <c r="T708">
        <v>-0.2074839</v>
      </c>
      <c r="U708">
        <v>3.6743159999999997E-2</v>
      </c>
      <c r="V708">
        <v>-9.1718629999999995E-2</v>
      </c>
      <c r="W708">
        <v>0.30377710000000002</v>
      </c>
      <c r="X708">
        <v>0.94831810000000005</v>
      </c>
      <c r="Y708">
        <v>-4.747139E-3</v>
      </c>
      <c r="Z708">
        <v>-1.649632E-4</v>
      </c>
      <c r="AA708">
        <v>0.99998869999999895</v>
      </c>
      <c r="AB708">
        <v>42</v>
      </c>
      <c r="AC708">
        <v>16.9542</v>
      </c>
      <c r="AD708">
        <v>-1.110060686837</v>
      </c>
      <c r="AE708">
        <v>0.19499999999999301</v>
      </c>
      <c r="AF708">
        <v>-8.1307205070785094E-2</v>
      </c>
      <c r="AG708">
        <v>-1.110060686837</v>
      </c>
      <c r="AH708">
        <v>16.8827603604628</v>
      </c>
      <c r="AI708">
        <v>93.761804287045805</v>
      </c>
      <c r="AJ708">
        <v>90.275933767884695</v>
      </c>
      <c r="AK708">
        <v>16.919410243234601</v>
      </c>
      <c r="AL708">
        <v>72.315394038857306</v>
      </c>
      <c r="AM708">
        <v>95.524302467933396</v>
      </c>
      <c r="AN708">
        <v>1.00000002618054</v>
      </c>
    </row>
    <row r="709" spans="1:40" x14ac:dyDescent="0.25">
      <c r="A709" t="str">
        <f>"20190304164347835"</f>
        <v>20190304164347835</v>
      </c>
      <c r="B709" t="str">
        <f>"1551689027830641"</f>
        <v>1551689027830641</v>
      </c>
      <c r="C709" t="s">
        <v>40</v>
      </c>
      <c r="D709">
        <v>4.3187059999999997</v>
      </c>
      <c r="E709">
        <v>0.54518339999999998</v>
      </c>
      <c r="F709" t="s">
        <v>42</v>
      </c>
      <c r="G709">
        <v>-321.86169999999998</v>
      </c>
      <c r="H709" s="1">
        <v>-3.813555E-6</v>
      </c>
      <c r="I709">
        <v>367.7</v>
      </c>
      <c r="J709">
        <v>-338.78629999999998</v>
      </c>
      <c r="K709">
        <v>1.1100719999999999</v>
      </c>
      <c r="L709">
        <v>367.49439999999998</v>
      </c>
      <c r="M709">
        <v>0.99989890000000003</v>
      </c>
      <c r="N709">
        <v>-1.255829E-2</v>
      </c>
      <c r="O709">
        <v>6.6834279999999999E-3</v>
      </c>
      <c r="P709">
        <v>0.95128699999999999</v>
      </c>
      <c r="Q709">
        <v>0.29202230000000001</v>
      </c>
      <c r="R709">
        <v>9.8873589999999997E-2</v>
      </c>
      <c r="S709">
        <v>3.2126459999999999</v>
      </c>
      <c r="T709">
        <v>-0.206679</v>
      </c>
      <c r="U709">
        <v>3.8696290000000001E-2</v>
      </c>
      <c r="V709">
        <v>-9.2499339999999999E-2</v>
      </c>
      <c r="W709">
        <v>0.30395840000000002</v>
      </c>
      <c r="X709">
        <v>0.94818409999999997</v>
      </c>
      <c r="Y709">
        <v>-5.3560860000000004E-3</v>
      </c>
      <c r="Z709">
        <v>-1.398561E-4</v>
      </c>
      <c r="AA709">
        <v>0.99998560000000003</v>
      </c>
      <c r="AB709">
        <v>42</v>
      </c>
      <c r="AC709">
        <v>16.924599999999899</v>
      </c>
      <c r="AD709">
        <v>-1.110075813555</v>
      </c>
      <c r="AE709">
        <v>0.205600000000003</v>
      </c>
      <c r="AF709">
        <v>-9.2076100619527701E-2</v>
      </c>
      <c r="AG709">
        <v>-1.110075813555</v>
      </c>
      <c r="AH709">
        <v>16.853105126858502</v>
      </c>
      <c r="AI709">
        <v>93.768443315049495</v>
      </c>
      <c r="AJ709">
        <v>90.313029523643294</v>
      </c>
      <c r="AK709">
        <v>16.889875628230399</v>
      </c>
      <c r="AL709">
        <v>72.304489573226803</v>
      </c>
      <c r="AM709">
        <v>95.571813170602397</v>
      </c>
      <c r="AN709">
        <v>0.99999996216190201</v>
      </c>
    </row>
    <row r="710" spans="1:40" x14ac:dyDescent="0.25">
      <c r="A710" t="str">
        <f>"20190304164347846"</f>
        <v>20190304164347846</v>
      </c>
      <c r="B710" t="str">
        <f>"1551689027840401"</f>
        <v>1551689027840401</v>
      </c>
      <c r="C710" t="s">
        <v>40</v>
      </c>
      <c r="D710">
        <v>4.3621379999999998</v>
      </c>
      <c r="E710">
        <v>0.54518319999999998</v>
      </c>
      <c r="F710" t="s">
        <v>42</v>
      </c>
      <c r="G710">
        <v>-321.31580000000002</v>
      </c>
      <c r="H710" s="1">
        <v>-4.0446110000000003E-6</v>
      </c>
      <c r="I710">
        <v>367.71780000000001</v>
      </c>
      <c r="J710">
        <v>-338.56139999999999</v>
      </c>
      <c r="K710">
        <v>1.1100749999999999</v>
      </c>
      <c r="L710">
        <v>367.49590000000001</v>
      </c>
      <c r="M710">
        <v>0.99989839999999997</v>
      </c>
      <c r="N710">
        <v>-1.260068E-2</v>
      </c>
      <c r="O710">
        <v>6.6835260000000004E-3</v>
      </c>
      <c r="P710">
        <v>0.95128749999999995</v>
      </c>
      <c r="Q710">
        <v>0.29190640000000001</v>
      </c>
      <c r="R710">
        <v>9.9213120000000002E-2</v>
      </c>
      <c r="S710">
        <v>3.2119749999999998</v>
      </c>
      <c r="T710">
        <v>-0.20408750000000001</v>
      </c>
      <c r="U710">
        <v>4.1076660000000001E-2</v>
      </c>
      <c r="V710">
        <v>-9.2839430000000001E-2</v>
      </c>
      <c r="W710">
        <v>0.30388209999999999</v>
      </c>
      <c r="X710">
        <v>0.9481754</v>
      </c>
      <c r="Y710">
        <v>-6.0976809999999998E-3</v>
      </c>
      <c r="Z710">
        <v>-1.080802E-4</v>
      </c>
      <c r="AA710">
        <v>0.99998140000000002</v>
      </c>
      <c r="AB710">
        <v>42</v>
      </c>
      <c r="AC710">
        <v>17.2455999999999</v>
      </c>
      <c r="AD710">
        <v>-1.1100790446109901</v>
      </c>
      <c r="AE710">
        <v>0.22190000000000501</v>
      </c>
      <c r="AF710">
        <v>-0.10618460366049701</v>
      </c>
      <c r="AG710">
        <v>-1.1100790446109901</v>
      </c>
      <c r="AH710">
        <v>17.175545504264001</v>
      </c>
      <c r="AI710">
        <v>93.697890944979804</v>
      </c>
      <c r="AJ710">
        <v>90.354215947784297</v>
      </c>
      <c r="AK710">
        <v>17.211708631753702</v>
      </c>
      <c r="AL710">
        <v>72.309079718857703</v>
      </c>
      <c r="AM710">
        <v>95.592220285443702</v>
      </c>
      <c r="AN710">
        <v>1.00000003981414</v>
      </c>
    </row>
    <row r="711" spans="1:40" x14ac:dyDescent="0.25">
      <c r="A711" t="str">
        <f>"20190304164347856"</f>
        <v>20190304164347856</v>
      </c>
      <c r="B711" t="str">
        <f>"1551689027850161"</f>
        <v>1551689027850161</v>
      </c>
      <c r="C711" t="s">
        <v>40</v>
      </c>
      <c r="D711">
        <v>4.3493069999999996</v>
      </c>
      <c r="E711">
        <v>0.54517009999999999</v>
      </c>
      <c r="F711" t="s">
        <v>42</v>
      </c>
      <c r="G711">
        <v>-321.06920000000002</v>
      </c>
      <c r="H711" s="1">
        <v>-4.1488809999999999E-6</v>
      </c>
      <c r="I711">
        <v>367.72640000000001</v>
      </c>
      <c r="J711">
        <v>-338.36720000000003</v>
      </c>
      <c r="K711">
        <v>1.1100779999999999</v>
      </c>
      <c r="L711">
        <v>367.49720000000002</v>
      </c>
      <c r="M711">
        <v>0.99989779999999995</v>
      </c>
      <c r="N711">
        <v>-1.263621E-2</v>
      </c>
      <c r="O711">
        <v>6.6836630000000003E-3</v>
      </c>
      <c r="P711">
        <v>0.95121509999999998</v>
      </c>
      <c r="Q711">
        <v>0.2920703</v>
      </c>
      <c r="R711">
        <v>9.9423230000000001E-2</v>
      </c>
      <c r="S711">
        <v>3.2117309999999999</v>
      </c>
      <c r="T711">
        <v>-0.2038189</v>
      </c>
      <c r="U711">
        <v>4.2327879999999998E-2</v>
      </c>
      <c r="V711">
        <v>-9.3049870000000007E-2</v>
      </c>
      <c r="W711">
        <v>0.30407919999999999</v>
      </c>
      <c r="X711">
        <v>0.94809149999999998</v>
      </c>
      <c r="Y711">
        <v>-6.4870639999999999E-3</v>
      </c>
      <c r="Z711" s="1">
        <v>-9.2649440000000004E-5</v>
      </c>
      <c r="AA711">
        <v>0.99997899999999995</v>
      </c>
      <c r="AB711">
        <v>42</v>
      </c>
      <c r="AC711">
        <v>17.297999999999998</v>
      </c>
      <c r="AD711">
        <v>-1.110082148881</v>
      </c>
      <c r="AE711">
        <v>0.22919999999999099</v>
      </c>
      <c r="AF711">
        <v>-0.113105920423498</v>
      </c>
      <c r="AG711">
        <v>-1.110082148881</v>
      </c>
      <c r="AH711">
        <v>17.2282070414504</v>
      </c>
      <c r="AI711">
        <v>93.686620115273598</v>
      </c>
      <c r="AJ711">
        <v>90.376150504757604</v>
      </c>
      <c r="AK711">
        <v>17.2643040169472</v>
      </c>
      <c r="AL711">
        <v>72.297224407923196</v>
      </c>
      <c r="AM711">
        <v>95.605308433726407</v>
      </c>
      <c r="AN711">
        <v>0.99999996527595203</v>
      </c>
    </row>
    <row r="712" spans="1:40" x14ac:dyDescent="0.25">
      <c r="A712" t="str">
        <f>"20190304164347868"</f>
        <v>20190304164347868</v>
      </c>
      <c r="B712" t="str">
        <f>"1551689027860897"</f>
        <v>1551689027860897</v>
      </c>
      <c r="C712" t="s">
        <v>40</v>
      </c>
      <c r="D712">
        <v>4.3178780000000003</v>
      </c>
      <c r="E712">
        <v>0.54516980000000004</v>
      </c>
      <c r="F712" t="s">
        <v>42</v>
      </c>
      <c r="G712">
        <v>-320.7611</v>
      </c>
      <c r="H712" s="1">
        <v>-4.2796340000000002E-6</v>
      </c>
      <c r="I712">
        <v>367.73439999999999</v>
      </c>
      <c r="J712">
        <v>-338.15010000000001</v>
      </c>
      <c r="K712">
        <v>1.110082</v>
      </c>
      <c r="L712">
        <v>367.49869999999999</v>
      </c>
      <c r="M712">
        <v>0.99989740000000005</v>
      </c>
      <c r="N712">
        <v>-1.2673240000000001E-2</v>
      </c>
      <c r="O712">
        <v>6.6844419999999996E-3</v>
      </c>
      <c r="P712">
        <v>0.9512642</v>
      </c>
      <c r="Q712">
        <v>0.29191899999999998</v>
      </c>
      <c r="R712">
        <v>9.9397340000000001E-2</v>
      </c>
      <c r="S712">
        <v>3.2115170000000002</v>
      </c>
      <c r="T712">
        <v>-0.20248840000000001</v>
      </c>
      <c r="U712">
        <v>4.3273930000000002E-2</v>
      </c>
      <c r="V712">
        <v>-9.30232E-2</v>
      </c>
      <c r="W712">
        <v>0.30396339999999999</v>
      </c>
      <c r="X712">
        <v>0.94813130000000001</v>
      </c>
      <c r="Y712">
        <v>-6.7810040000000002E-3</v>
      </c>
      <c r="Z712" s="1">
        <v>-7.9791850000000001E-5</v>
      </c>
      <c r="AA712">
        <v>0.999977</v>
      </c>
      <c r="AB712">
        <v>42</v>
      </c>
      <c r="AC712">
        <v>17.388999999999999</v>
      </c>
      <c r="AD712">
        <v>-1.1100862796340001</v>
      </c>
      <c r="AE712">
        <v>0.23570000000000799</v>
      </c>
      <c r="AF712">
        <v>-0.11896490807530199</v>
      </c>
      <c r="AG712">
        <v>-1.1100862796340001</v>
      </c>
      <c r="AH712">
        <v>17.319616669865599</v>
      </c>
      <c r="AI712">
        <v>93.6672222251607</v>
      </c>
      <c r="AJ712">
        <v>90.393546813369298</v>
      </c>
      <c r="AK712">
        <v>17.355562963749399</v>
      </c>
      <c r="AL712">
        <v>72.304189798480195</v>
      </c>
      <c r="AM712">
        <v>95.603478332877501</v>
      </c>
      <c r="AN712">
        <v>1.0000000131587401</v>
      </c>
    </row>
    <row r="713" spans="1:40" x14ac:dyDescent="0.25">
      <c r="A713" t="str">
        <f>"20190304164347879"</f>
        <v>20190304164347879</v>
      </c>
      <c r="B713" t="str">
        <f>"1551689027870657"</f>
        <v>1551689027870657</v>
      </c>
      <c r="C713" t="s">
        <v>40</v>
      </c>
      <c r="D713">
        <v>4.345828</v>
      </c>
      <c r="E713">
        <v>0.54516069999999905</v>
      </c>
      <c r="F713" t="s">
        <v>42</v>
      </c>
      <c r="G713">
        <v>-320.51190000000003</v>
      </c>
      <c r="H713" s="1">
        <v>-4.3861009999999996E-6</v>
      </c>
      <c r="I713">
        <v>367.73680000000002</v>
      </c>
      <c r="J713">
        <v>-337.95359999999999</v>
      </c>
      <c r="K713">
        <v>1.11009</v>
      </c>
      <c r="L713">
        <v>367.5</v>
      </c>
      <c r="M713">
        <v>0.99989689999999998</v>
      </c>
      <c r="N713">
        <v>-1.270485E-2</v>
      </c>
      <c r="O713">
        <v>6.6850759999999999E-3</v>
      </c>
      <c r="P713">
        <v>0.95127090000000003</v>
      </c>
      <c r="Q713">
        <v>0.29188550000000002</v>
      </c>
      <c r="R713">
        <v>9.9431430000000001E-2</v>
      </c>
      <c r="S713">
        <v>3.2111209999999999</v>
      </c>
      <c r="T713">
        <v>-0.20209559999999999</v>
      </c>
      <c r="U713">
        <v>4.3365479999999998E-2</v>
      </c>
      <c r="V713">
        <v>-9.3056749999999994E-2</v>
      </c>
      <c r="W713">
        <v>0.3039598</v>
      </c>
      <c r="X713">
        <v>0.94812920000000001</v>
      </c>
      <c r="Y713">
        <v>-6.8104659999999899E-3</v>
      </c>
      <c r="Z713" s="1">
        <v>-7.8015309999999999E-5</v>
      </c>
      <c r="AA713">
        <v>0.9999768</v>
      </c>
      <c r="AB713">
        <v>42</v>
      </c>
      <c r="AC713">
        <v>17.441699999999901</v>
      </c>
      <c r="AD713">
        <v>-1.110094386101</v>
      </c>
      <c r="AE713">
        <v>0.236800000000016</v>
      </c>
      <c r="AF713">
        <v>-0.11970140259686</v>
      </c>
      <c r="AG713">
        <v>-1.110094386101</v>
      </c>
      <c r="AH713">
        <v>17.372533435611999</v>
      </c>
      <c r="AI713">
        <v>93.6561082916553</v>
      </c>
      <c r="AJ713">
        <v>90.394777000335793</v>
      </c>
      <c r="AK713">
        <v>17.408376028317299</v>
      </c>
      <c r="AL713">
        <v>72.304406968515394</v>
      </c>
      <c r="AM713">
        <v>95.605498766185207</v>
      </c>
      <c r="AN713">
        <v>1.0000000493146199</v>
      </c>
    </row>
    <row r="714" spans="1:40" x14ac:dyDescent="0.25">
      <c r="A714" t="str">
        <f>"20190304164347890"</f>
        <v>20190304164347890</v>
      </c>
      <c r="B714" t="str">
        <f>"1551689027880417"</f>
        <v>1551689027880417</v>
      </c>
      <c r="C714" t="s">
        <v>40</v>
      </c>
      <c r="D714">
        <v>4.3166339999999996</v>
      </c>
      <c r="E714">
        <v>0.54517289999999996</v>
      </c>
      <c r="F714" t="s">
        <v>42</v>
      </c>
      <c r="G714">
        <v>-320.24610000000001</v>
      </c>
      <c r="H714" s="1">
        <v>-4.4999290000000001E-6</v>
      </c>
      <c r="I714">
        <v>367.73790000000002</v>
      </c>
      <c r="J714">
        <v>-337.75259999999997</v>
      </c>
      <c r="K714">
        <v>1.1100920000000001</v>
      </c>
      <c r="L714">
        <v>367.50130000000001</v>
      </c>
      <c r="M714">
        <v>0.99989660000000002</v>
      </c>
      <c r="N714">
        <v>-1.2735410000000001E-2</v>
      </c>
      <c r="O714">
        <v>6.6857160000000004E-3</v>
      </c>
      <c r="P714">
        <v>0.95120369999999999</v>
      </c>
      <c r="Q714">
        <v>0.29213990000000001</v>
      </c>
      <c r="R714">
        <v>9.9328470000000002E-2</v>
      </c>
      <c r="S714">
        <v>3.2109380000000001</v>
      </c>
      <c r="T714">
        <v>-0.20129449999999999</v>
      </c>
      <c r="U714">
        <v>4.315186E-2</v>
      </c>
      <c r="V714">
        <v>-9.2953460000000002E-2</v>
      </c>
      <c r="W714">
        <v>0.30424230000000002</v>
      </c>
      <c r="X714">
        <v>0.94804869999999997</v>
      </c>
      <c r="Y714">
        <v>-6.7442519999999897E-3</v>
      </c>
      <c r="Z714" s="1">
        <v>-7.9430099999999997E-5</v>
      </c>
      <c r="AA714">
        <v>0.99997720000000001</v>
      </c>
      <c r="AB714">
        <v>42</v>
      </c>
      <c r="AC714">
        <v>17.5064999999999</v>
      </c>
      <c r="AD714">
        <v>-1.1100964999289999</v>
      </c>
      <c r="AE714">
        <v>0.236600000000009</v>
      </c>
      <c r="AF714">
        <v>-0.119063084270945</v>
      </c>
      <c r="AG714">
        <v>-1.1100964999289999</v>
      </c>
      <c r="AH714">
        <v>17.437588719584902</v>
      </c>
      <c r="AI714">
        <v>93.642513526169793</v>
      </c>
      <c r="AJ714">
        <v>90.391206968119903</v>
      </c>
      <c r="AK714">
        <v>17.473293639454099</v>
      </c>
      <c r="AL714">
        <v>72.287415876605195</v>
      </c>
      <c r="AM714">
        <v>95.599788827023403</v>
      </c>
      <c r="AN714">
        <v>1.0000000302034699</v>
      </c>
    </row>
    <row r="715" spans="1:40" x14ac:dyDescent="0.25">
      <c r="A715" t="str">
        <f>"20190304164347900"</f>
        <v>20190304164347900</v>
      </c>
      <c r="B715" t="str">
        <f>"1551689027891153"</f>
        <v>1551689027891153</v>
      </c>
      <c r="C715" t="s">
        <v>40</v>
      </c>
      <c r="D715">
        <v>4.2880500000000001</v>
      </c>
      <c r="E715">
        <v>0.54520459999999904</v>
      </c>
      <c r="F715" t="s">
        <v>43</v>
      </c>
      <c r="G715">
        <v>-319.09980000000002</v>
      </c>
      <c r="H715">
        <v>-0.05</v>
      </c>
      <c r="I715">
        <v>367.7466</v>
      </c>
      <c r="J715">
        <v>-337.55619999999999</v>
      </c>
      <c r="K715">
        <v>1.1100950000000001</v>
      </c>
      <c r="L715">
        <v>367.50259999999997</v>
      </c>
      <c r="M715">
        <v>0.99989629999999996</v>
      </c>
      <c r="N715">
        <v>-1.2763200000000001E-2</v>
      </c>
      <c r="O715">
        <v>6.6861949999999998E-3</v>
      </c>
      <c r="P715">
        <v>0.95115450000000001</v>
      </c>
      <c r="Q715">
        <v>0.29228559999999998</v>
      </c>
      <c r="R715">
        <v>9.9371020000000004E-2</v>
      </c>
      <c r="S715">
        <v>3.2108150000000002</v>
      </c>
      <c r="T715">
        <v>-0.1996938</v>
      </c>
      <c r="U715">
        <v>4.2236330000000002E-2</v>
      </c>
      <c r="V715">
        <v>-9.2996019999999999E-2</v>
      </c>
      <c r="W715">
        <v>0.30441400000000002</v>
      </c>
      <c r="X715">
        <v>0.94798939999999998</v>
      </c>
      <c r="Y715">
        <v>-6.4599139999999998E-3</v>
      </c>
      <c r="Z715" s="1">
        <v>-8.8184940000000006E-5</v>
      </c>
      <c r="AA715">
        <v>0.99997910000000001</v>
      </c>
      <c r="AB715">
        <v>42</v>
      </c>
      <c r="AC715">
        <v>18.456399999999899</v>
      </c>
      <c r="AD715">
        <v>-1.1600950000000001</v>
      </c>
      <c r="AE715">
        <v>0.244000000000028</v>
      </c>
      <c r="AF715">
        <v>-0.12010697200922001</v>
      </c>
      <c r="AG715">
        <v>-1.1600950000000001</v>
      </c>
      <c r="AH715">
        <v>18.384994848533399</v>
      </c>
      <c r="AI715">
        <v>93.610505619294997</v>
      </c>
      <c r="AJ715">
        <v>90.374301148640797</v>
      </c>
      <c r="AK715">
        <v>18.421951082183199</v>
      </c>
      <c r="AL715">
        <v>72.277088192425595</v>
      </c>
      <c r="AM715">
        <v>95.602684674696903</v>
      </c>
      <c r="AN715">
        <v>1.0000000228221</v>
      </c>
    </row>
    <row r="716" spans="1:40" x14ac:dyDescent="0.25">
      <c r="A716" t="str">
        <f>"20190304164347913"</f>
        <v>20190304164347913</v>
      </c>
      <c r="B716" t="str">
        <f>"1551689027900913"</f>
        <v>1551689027900913</v>
      </c>
      <c r="C716" t="s">
        <v>40</v>
      </c>
      <c r="D716">
        <v>4.3380530000000004</v>
      </c>
      <c r="E716">
        <v>0.54520459999999904</v>
      </c>
      <c r="F716" t="s">
        <v>43</v>
      </c>
      <c r="G716">
        <v>-318.77390000000003</v>
      </c>
      <c r="H716">
        <v>-0.05</v>
      </c>
      <c r="I716">
        <v>367.74790000000002</v>
      </c>
      <c r="J716">
        <v>-337.3245</v>
      </c>
      <c r="K716">
        <v>1.1101019999999999</v>
      </c>
      <c r="L716">
        <v>367.50420000000003</v>
      </c>
      <c r="M716">
        <v>0.99989589999999995</v>
      </c>
      <c r="N716">
        <v>-1.2794710000000001E-2</v>
      </c>
      <c r="O716">
        <v>6.6866499999999997E-3</v>
      </c>
      <c r="P716">
        <v>0.9511522</v>
      </c>
      <c r="Q716">
        <v>0.2923152</v>
      </c>
      <c r="R716">
        <v>9.930609E-2</v>
      </c>
      <c r="S716">
        <v>3.2106319999999999</v>
      </c>
      <c r="T716">
        <v>-0.1983056</v>
      </c>
      <c r="U716">
        <v>4.193115E-2</v>
      </c>
      <c r="V716">
        <v>-9.2931360000000005E-2</v>
      </c>
      <c r="W716">
        <v>0.30447299999999999</v>
      </c>
      <c r="X716">
        <v>0.94797679999999995</v>
      </c>
      <c r="Y716">
        <v>-6.3654219999999999E-3</v>
      </c>
      <c r="Z716" s="1">
        <v>-8.993715E-5</v>
      </c>
      <c r="AA716">
        <v>0.99997970000000003</v>
      </c>
      <c r="AB716">
        <v>42</v>
      </c>
      <c r="AC716">
        <v>18.5505999999999</v>
      </c>
      <c r="AD716">
        <v>-1.160102</v>
      </c>
      <c r="AE716">
        <v>0.24369999999998901</v>
      </c>
      <c r="AF716">
        <v>-0.119177032505987</v>
      </c>
      <c r="AG716">
        <v>-1.160102</v>
      </c>
      <c r="AH716">
        <v>18.479555709940399</v>
      </c>
      <c r="AI716">
        <v>93.592102533714396</v>
      </c>
      <c r="AJ716">
        <v>90.369502731590998</v>
      </c>
      <c r="AK716">
        <v>18.516317642886602</v>
      </c>
      <c r="AL716">
        <v>72.273539395764402</v>
      </c>
      <c r="AM716">
        <v>95.598887839218605</v>
      </c>
      <c r="AN716">
        <v>1.0000000293693401</v>
      </c>
    </row>
    <row r="717" spans="1:40" x14ac:dyDescent="0.25">
      <c r="A717" t="str">
        <f>"20190304164347924"</f>
        <v>20190304164347924</v>
      </c>
      <c r="B717" t="str">
        <f>"1551689027920434"</f>
        <v>1551689027920434</v>
      </c>
      <c r="C717" t="s">
        <v>40</v>
      </c>
      <c r="D717">
        <v>4.376519</v>
      </c>
      <c r="E717">
        <v>0.55694779999999999</v>
      </c>
      <c r="F717" t="s">
        <v>43</v>
      </c>
      <c r="G717">
        <v>-318.52530000000002</v>
      </c>
      <c r="H717">
        <v>-0.05</v>
      </c>
      <c r="I717">
        <v>367.74650000000003</v>
      </c>
      <c r="J717">
        <v>-337.12060000000002</v>
      </c>
      <c r="K717">
        <v>1.1101030000000001</v>
      </c>
      <c r="L717">
        <v>367.50549999999998</v>
      </c>
      <c r="M717">
        <v>0.9998956</v>
      </c>
      <c r="N717">
        <v>-1.281961E-2</v>
      </c>
      <c r="O717">
        <v>6.6866709999999999E-3</v>
      </c>
      <c r="P717">
        <v>0.95121710000000004</v>
      </c>
      <c r="Q717">
        <v>0.29216360000000002</v>
      </c>
      <c r="R717">
        <v>9.9131059999999993E-2</v>
      </c>
      <c r="S717">
        <v>3.2106319999999999</v>
      </c>
      <c r="T717">
        <v>-0.19812859999999999</v>
      </c>
      <c r="U717">
        <v>4.1381840000000003E-2</v>
      </c>
      <c r="V717">
        <v>-9.2755850000000001E-2</v>
      </c>
      <c r="W717">
        <v>0.3043459</v>
      </c>
      <c r="X717">
        <v>0.94803479999999996</v>
      </c>
      <c r="Y717">
        <v>-6.1947240000000004E-3</v>
      </c>
      <c r="Z717" s="1">
        <v>-9.5857159999999998E-5</v>
      </c>
      <c r="AA717">
        <v>0.9999808</v>
      </c>
      <c r="AB717">
        <v>42</v>
      </c>
      <c r="AC717">
        <v>18.595300000000002</v>
      </c>
      <c r="AD717">
        <v>-1.1601030000000001</v>
      </c>
      <c r="AE717">
        <v>0.24100000000004199</v>
      </c>
      <c r="AF717">
        <v>-0.116191599834456</v>
      </c>
      <c r="AG717">
        <v>-1.1601030000000001</v>
      </c>
      <c r="AH717">
        <v>18.524408638653501</v>
      </c>
      <c r="AI717">
        <v>93.583434808723496</v>
      </c>
      <c r="AJ717">
        <v>90.359374548076502</v>
      </c>
      <c r="AK717">
        <v>18.561062870167301</v>
      </c>
      <c r="AL717">
        <v>72.281184496906107</v>
      </c>
      <c r="AM717">
        <v>95.588041058334198</v>
      </c>
      <c r="AN717">
        <v>1.00000002828353</v>
      </c>
    </row>
    <row r="718" spans="1:40" x14ac:dyDescent="0.25">
      <c r="A718" t="str">
        <f>"20190304164347936"</f>
        <v>20190304164347936</v>
      </c>
      <c r="B718" t="str">
        <f>"1551689027930194"</f>
        <v>1551689027930194</v>
      </c>
      <c r="C718" t="s">
        <v>40</v>
      </c>
      <c r="D718">
        <v>4.367858</v>
      </c>
      <c r="E718">
        <v>0.55713729999999995</v>
      </c>
      <c r="F718" t="s">
        <v>43</v>
      </c>
      <c r="G718">
        <v>-315.2011</v>
      </c>
      <c r="H718">
        <v>-0.05</v>
      </c>
      <c r="I718">
        <v>367.12459999999999</v>
      </c>
      <c r="J718">
        <v>-336.89769999999999</v>
      </c>
      <c r="K718">
        <v>1.1101030000000001</v>
      </c>
      <c r="L718">
        <v>367.50700000000001</v>
      </c>
      <c r="M718">
        <v>0.99989530000000004</v>
      </c>
      <c r="N718">
        <v>-1.2846E-2</v>
      </c>
      <c r="O718">
        <v>6.6868600000000002E-3</v>
      </c>
      <c r="P718">
        <v>0.95121679999999997</v>
      </c>
      <c r="Q718">
        <v>0.29223909999999997</v>
      </c>
      <c r="R718">
        <v>9.8910070000000003E-2</v>
      </c>
      <c r="S718">
        <v>3.2118530000000001</v>
      </c>
      <c r="T718">
        <v>-0.16998949999999999</v>
      </c>
      <c r="U718">
        <v>-5.5816650000000002E-2</v>
      </c>
      <c r="V718">
        <v>-9.2534839999999993E-2</v>
      </c>
      <c r="W718">
        <v>0.304446299999999</v>
      </c>
      <c r="X718">
        <v>0.94802419999999998</v>
      </c>
      <c r="Y718">
        <v>2.4014589999999999E-2</v>
      </c>
      <c r="Z718">
        <v>-1.057185E-3</v>
      </c>
      <c r="AA718">
        <v>0.99971100000000002</v>
      </c>
      <c r="AB718">
        <v>42</v>
      </c>
      <c r="AC718">
        <v>21.696599999999901</v>
      </c>
      <c r="AD718">
        <v>-1.1601030000000001</v>
      </c>
      <c r="AE718">
        <v>-0.38239999999996099</v>
      </c>
      <c r="AF718">
        <v>0.52598222212074597</v>
      </c>
      <c r="AG718">
        <v>-1.1601030000000001</v>
      </c>
      <c r="AH718">
        <v>21.6317322889644</v>
      </c>
      <c r="AI718">
        <v>93.068908463293994</v>
      </c>
      <c r="AJ718">
        <v>88.607109968129294</v>
      </c>
      <c r="AK718">
        <v>21.669202525474201</v>
      </c>
      <c r="AL718">
        <v>72.275146091925293</v>
      </c>
      <c r="AM718">
        <v>95.574872308656893</v>
      </c>
      <c r="AN718">
        <v>1.0000000649915699</v>
      </c>
    </row>
    <row r="719" spans="1:40" x14ac:dyDescent="0.25">
      <c r="A719" t="str">
        <f>"20190304164347947"</f>
        <v>20190304164347947</v>
      </c>
      <c r="B719" t="str">
        <f>"1551689027940928"</f>
        <v>1551689027940928</v>
      </c>
      <c r="C719" t="s">
        <v>40</v>
      </c>
      <c r="D719">
        <v>4.3765229999999997</v>
      </c>
      <c r="E719">
        <v>0.5573304</v>
      </c>
      <c r="F719" t="s">
        <v>43</v>
      </c>
      <c r="G719">
        <v>-315.23719999999997</v>
      </c>
      <c r="H719">
        <v>-0.05</v>
      </c>
      <c r="I719">
        <v>367.11790000000002</v>
      </c>
      <c r="J719">
        <v>-336.69009999999997</v>
      </c>
      <c r="K719">
        <v>1.1101030000000001</v>
      </c>
      <c r="L719">
        <v>367.50839999999999</v>
      </c>
      <c r="M719">
        <v>0.99989470000000003</v>
      </c>
      <c r="N719">
        <v>-1.2868269999999999E-2</v>
      </c>
      <c r="O719">
        <v>6.6870150000000001E-3</v>
      </c>
      <c r="P719">
        <v>0.95125199999999999</v>
      </c>
      <c r="Q719">
        <v>0.29208030000000001</v>
      </c>
      <c r="R719">
        <v>9.9036879999999994E-2</v>
      </c>
      <c r="S719">
        <v>3.2127080000000001</v>
      </c>
      <c r="T719">
        <v>-0.17206740000000001</v>
      </c>
      <c r="U719">
        <v>-5.7708740000000001E-2</v>
      </c>
      <c r="V719">
        <v>-9.2661140000000003E-2</v>
      </c>
      <c r="W719">
        <v>0.30430950000000001</v>
      </c>
      <c r="X719">
        <v>0.94805569999999895</v>
      </c>
      <c r="Y719">
        <v>2.4596590000000002E-2</v>
      </c>
      <c r="Z719">
        <v>-1.0884340000000001E-3</v>
      </c>
      <c r="AA719">
        <v>0.9996969</v>
      </c>
      <c r="AB719">
        <v>42</v>
      </c>
      <c r="AC719">
        <v>21.4529</v>
      </c>
      <c r="AD719">
        <v>-1.1601030000000001</v>
      </c>
      <c r="AE719">
        <v>-0.39049999999997398</v>
      </c>
      <c r="AF719">
        <v>0.53240264455518105</v>
      </c>
      <c r="AG719">
        <v>-1.1601030000000001</v>
      </c>
      <c r="AH719">
        <v>21.387286767661301</v>
      </c>
      <c r="AI719">
        <v>93.103872247680499</v>
      </c>
      <c r="AJ719">
        <v>88.574006783032004</v>
      </c>
      <c r="AK719">
        <v>21.4253430971063</v>
      </c>
      <c r="AL719">
        <v>72.2833731111307</v>
      </c>
      <c r="AM719">
        <v>95.5822490622256</v>
      </c>
      <c r="AN719">
        <v>0.99999998447941896</v>
      </c>
    </row>
    <row r="720" spans="1:40" x14ac:dyDescent="0.25">
      <c r="A720" t="str">
        <f>"20190304164347969"</f>
        <v>20190304164347969</v>
      </c>
      <c r="B720" t="str">
        <f>"1551689027960448"</f>
        <v>1551689027960448</v>
      </c>
      <c r="C720" t="s">
        <v>40</v>
      </c>
      <c r="D720">
        <v>4.3979730000000004</v>
      </c>
      <c r="E720">
        <v>0.55758739999999996</v>
      </c>
      <c r="F720" t="s">
        <v>43</v>
      </c>
      <c r="G720">
        <v>-315.11689999999999</v>
      </c>
      <c r="H720">
        <v>-0.05</v>
      </c>
      <c r="I720">
        <v>367.11399999999998</v>
      </c>
      <c r="J720">
        <v>-336.28840000000002</v>
      </c>
      <c r="K720">
        <v>1.110106</v>
      </c>
      <c r="L720">
        <v>367.5111</v>
      </c>
      <c r="M720">
        <v>0.99989439999999996</v>
      </c>
      <c r="N720">
        <v>-1.2907699999999999E-2</v>
      </c>
      <c r="O720">
        <v>6.6867599999999999E-3</v>
      </c>
      <c r="P720">
        <v>0.95134600000000002</v>
      </c>
      <c r="Q720">
        <v>0.29181210000000002</v>
      </c>
      <c r="R720">
        <v>9.8927509999999996E-2</v>
      </c>
      <c r="S720">
        <v>3.2129210000000001</v>
      </c>
      <c r="T720">
        <v>-0.17277509999999999</v>
      </c>
      <c r="U720">
        <v>-5.8746340000000001E-2</v>
      </c>
      <c r="V720">
        <v>-9.2551190000000005E-2</v>
      </c>
      <c r="W720">
        <v>0.30407970000000001</v>
      </c>
      <c r="X720">
        <v>0.94814019999999999</v>
      </c>
      <c r="Y720">
        <v>2.491691E-2</v>
      </c>
      <c r="Z720">
        <v>-1.103426E-3</v>
      </c>
      <c r="AA720">
        <v>0.99968889999999999</v>
      </c>
      <c r="AB720">
        <v>42</v>
      </c>
      <c r="AC720">
        <v>21.171500000000002</v>
      </c>
      <c r="AD720">
        <v>-1.1601059999999901</v>
      </c>
      <c r="AE720">
        <v>-0.39709999999996598</v>
      </c>
      <c r="AF720">
        <v>0.53705965721351301</v>
      </c>
      <c r="AG720">
        <v>-1.1601059999999901</v>
      </c>
      <c r="AH720">
        <v>21.1050241909692</v>
      </c>
      <c r="AI720">
        <v>93.145265627548397</v>
      </c>
      <c r="AJ720">
        <v>88.542308597670399</v>
      </c>
      <c r="AK720">
        <v>21.1437065130037</v>
      </c>
      <c r="AL720">
        <v>72.297195204975793</v>
      </c>
      <c r="AM720">
        <v>95.575173249013901</v>
      </c>
      <c r="AN720">
        <v>1.0000000127892701</v>
      </c>
    </row>
    <row r="721" spans="1:40" x14ac:dyDescent="0.25">
      <c r="A721" t="str">
        <f>"20190304164347982"</f>
        <v>20190304164347982</v>
      </c>
      <c r="B721" t="str">
        <f>"1551689027970209"</f>
        <v>1551689027970209</v>
      </c>
      <c r="C721" t="s">
        <v>40</v>
      </c>
      <c r="D721">
        <v>4.3400089999999896</v>
      </c>
      <c r="E721">
        <v>0.55754040000000005</v>
      </c>
      <c r="F721" t="s">
        <v>43</v>
      </c>
      <c r="G721">
        <v>-315.04809999999998</v>
      </c>
      <c r="H721">
        <v>-0.05</v>
      </c>
      <c r="I721">
        <v>367.10989999999998</v>
      </c>
      <c r="J721">
        <v>-336.04329999999999</v>
      </c>
      <c r="K721">
        <v>1.1101099999999999</v>
      </c>
      <c r="L721">
        <v>367.5127</v>
      </c>
      <c r="M721">
        <v>0.99989410000000001</v>
      </c>
      <c r="N721">
        <v>-1.292917E-2</v>
      </c>
      <c r="O721">
        <v>6.6869759999999999E-3</v>
      </c>
      <c r="P721">
        <v>0.95133000000000001</v>
      </c>
      <c r="Q721">
        <v>0.29181430000000003</v>
      </c>
      <c r="R721">
        <v>9.9073750000000002E-2</v>
      </c>
      <c r="S721">
        <v>3.2135929999999999</v>
      </c>
      <c r="T721">
        <v>-0.17552089999999901</v>
      </c>
      <c r="U721">
        <v>-6.0699459999999997E-2</v>
      </c>
      <c r="V721">
        <v>-9.2697429999999997E-2</v>
      </c>
      <c r="W721">
        <v>0.30410189999999998</v>
      </c>
      <c r="X721">
        <v>0.94811880000000004</v>
      </c>
      <c r="Y721">
        <v>2.5518059999999999E-2</v>
      </c>
      <c r="Z721">
        <v>-1.13996E-3</v>
      </c>
      <c r="AA721">
        <v>0.9996737</v>
      </c>
      <c r="AB721">
        <v>41</v>
      </c>
      <c r="AC721">
        <v>20.995200000000001</v>
      </c>
      <c r="AD721">
        <v>-1.16011</v>
      </c>
      <c r="AE721">
        <v>-0.40280000000001298</v>
      </c>
      <c r="AF721">
        <v>0.54154427447979103</v>
      </c>
      <c r="AG721">
        <v>-1.16011</v>
      </c>
      <c r="AH721">
        <v>20.928161967628402</v>
      </c>
      <c r="AI721">
        <v>93.171768034539696</v>
      </c>
      <c r="AJ721">
        <v>88.517725596927406</v>
      </c>
      <c r="AK721">
        <v>20.967286156215099</v>
      </c>
      <c r="AL721">
        <v>72.295860121655807</v>
      </c>
      <c r="AM721">
        <v>95.584052178867907</v>
      </c>
      <c r="AN721">
        <v>1.00000001901282</v>
      </c>
    </row>
    <row r="722" spans="1:40" x14ac:dyDescent="0.25">
      <c r="A722" t="str">
        <f>"20190304164348001"</f>
        <v>20190304164348001</v>
      </c>
      <c r="B722" t="str">
        <f>"1551689027990706"</f>
        <v>1551689027990706</v>
      </c>
      <c r="C722" t="s">
        <v>40</v>
      </c>
      <c r="D722">
        <v>4.4156839999999997</v>
      </c>
      <c r="E722">
        <v>0.55762509999999998</v>
      </c>
      <c r="F722" t="s">
        <v>43</v>
      </c>
      <c r="G722">
        <v>-314.54129999999998</v>
      </c>
      <c r="H722">
        <v>-0.05</v>
      </c>
      <c r="I722">
        <v>367.10989999999998</v>
      </c>
      <c r="J722">
        <v>-335.69569999999999</v>
      </c>
      <c r="K722">
        <v>1.110112</v>
      </c>
      <c r="L722">
        <v>367.51499999999999</v>
      </c>
      <c r="M722">
        <v>0.99989380000000005</v>
      </c>
      <c r="N722">
        <v>-1.295693E-2</v>
      </c>
      <c r="O722">
        <v>6.6869719999999898E-3</v>
      </c>
      <c r="P722">
        <v>0.95136089999999995</v>
      </c>
      <c r="Q722">
        <v>0.291662799999999</v>
      </c>
      <c r="R722">
        <v>9.9224119999999999E-2</v>
      </c>
      <c r="S722">
        <v>3.2129210000000001</v>
      </c>
      <c r="T722">
        <v>-0.173348799999999</v>
      </c>
      <c r="U722">
        <v>-6.0180659999999997E-2</v>
      </c>
      <c r="V722">
        <v>-9.2847799999999994E-2</v>
      </c>
      <c r="W722">
        <v>0.303977</v>
      </c>
      <c r="X722">
        <v>0.94814410000000005</v>
      </c>
      <c r="Y722">
        <v>2.5362119999999998E-2</v>
      </c>
      <c r="Z722">
        <v>-1.122016E-3</v>
      </c>
      <c r="AA722">
        <v>0.9996777</v>
      </c>
      <c r="AB722">
        <v>41</v>
      </c>
      <c r="AC722">
        <v>21.154399999999999</v>
      </c>
      <c r="AD722">
        <v>-1.160112</v>
      </c>
      <c r="AE722">
        <v>-0.40510000000000401</v>
      </c>
      <c r="AF722">
        <v>0.54492345335262604</v>
      </c>
      <c r="AG722">
        <v>-1.160112</v>
      </c>
      <c r="AH722">
        <v>21.087820512993201</v>
      </c>
      <c r="AI722">
        <v>93.147810966660998</v>
      </c>
      <c r="AJ722">
        <v>88.519767965416094</v>
      </c>
      <c r="AK722">
        <v>21.126736033064201</v>
      </c>
      <c r="AL722">
        <v>72.303371311126099</v>
      </c>
      <c r="AM722">
        <v>95.592904715065501</v>
      </c>
      <c r="AN722">
        <v>0.99999998242932497</v>
      </c>
    </row>
    <row r="723" spans="1:40" x14ac:dyDescent="0.25">
      <c r="A723" t="str">
        <f>"20190304164348012"</f>
        <v>20190304164348012</v>
      </c>
      <c r="B723" t="str">
        <f>"1551689028000465"</f>
        <v>1551689028000465</v>
      </c>
      <c r="C723" t="s">
        <v>40</v>
      </c>
      <c r="D723">
        <v>4.3257240000000001</v>
      </c>
      <c r="E723">
        <v>0.55749159999999998</v>
      </c>
      <c r="F723" t="s">
        <v>43</v>
      </c>
      <c r="G723">
        <v>-314.10340000000002</v>
      </c>
      <c r="H723">
        <v>-0.05</v>
      </c>
      <c r="I723">
        <v>367.10989999999998</v>
      </c>
      <c r="J723">
        <v>-335.48770000000002</v>
      </c>
      <c r="K723">
        <v>1.1101129999999999</v>
      </c>
      <c r="L723">
        <v>367.51639999999998</v>
      </c>
      <c r="M723">
        <v>0.99989360000000005</v>
      </c>
      <c r="N723">
        <v>-1.297218E-2</v>
      </c>
      <c r="O723">
        <v>6.6871689999999998E-3</v>
      </c>
      <c r="P723">
        <v>0.95139379999999996</v>
      </c>
      <c r="Q723">
        <v>0.29153849999999998</v>
      </c>
      <c r="R723">
        <v>9.9274150000000005E-2</v>
      </c>
      <c r="S723">
        <v>3.212555</v>
      </c>
      <c r="T723">
        <v>-0.17260420000000001</v>
      </c>
      <c r="U723">
        <v>-6.0272220000000001E-2</v>
      </c>
      <c r="V723">
        <v>-9.2896859999999998E-2</v>
      </c>
      <c r="W723">
        <v>0.30386800000000003</v>
      </c>
      <c r="X723">
        <v>0.94817419999999997</v>
      </c>
      <c r="Y723">
        <v>2.5393280000000001E-2</v>
      </c>
      <c r="Z723">
        <v>-1.118792E-3</v>
      </c>
      <c r="AA723">
        <v>0.99967689999999998</v>
      </c>
      <c r="AB723">
        <v>41</v>
      </c>
      <c r="AC723">
        <v>21.3843</v>
      </c>
      <c r="AD723">
        <v>-1.1601129999999999</v>
      </c>
      <c r="AE723">
        <v>-0.40649999999999398</v>
      </c>
      <c r="AF723">
        <v>0.54789141887943604</v>
      </c>
      <c r="AG723">
        <v>-1.1601129999999999</v>
      </c>
      <c r="AH723">
        <v>21.318382955537601</v>
      </c>
      <c r="AI723">
        <v>93.113848044629293</v>
      </c>
      <c r="AJ723">
        <v>88.527798418286807</v>
      </c>
      <c r="AK723">
        <v>21.3569543479076</v>
      </c>
      <c r="AL723">
        <v>72.309926061191902</v>
      </c>
      <c r="AM723">
        <v>95.595664693381096</v>
      </c>
      <c r="AN723">
        <v>0.99999995078374804</v>
      </c>
    </row>
    <row r="724" spans="1:40" x14ac:dyDescent="0.25">
      <c r="A724" t="str">
        <f>"20190304164348024"</f>
        <v>20190304164348024</v>
      </c>
      <c r="B724" t="str">
        <f>"1551689028010225"</f>
        <v>1551689028010225</v>
      </c>
      <c r="C724" t="s">
        <v>40</v>
      </c>
      <c r="D724">
        <v>4.3495019999999904</v>
      </c>
      <c r="E724">
        <v>0.55760600000000005</v>
      </c>
      <c r="F724" t="s">
        <v>43</v>
      </c>
      <c r="G724">
        <v>-313.81619999999998</v>
      </c>
      <c r="H724">
        <v>-0.05</v>
      </c>
      <c r="I724">
        <v>367.11590000000001</v>
      </c>
      <c r="J724">
        <v>-335.2706</v>
      </c>
      <c r="K724">
        <v>1.110115</v>
      </c>
      <c r="L724">
        <v>367.5179</v>
      </c>
      <c r="M724">
        <v>0.99989340000000004</v>
      </c>
      <c r="N724">
        <v>-1.2986360000000001E-2</v>
      </c>
      <c r="O724">
        <v>6.6872549999999996E-3</v>
      </c>
      <c r="P724">
        <v>0.95140599999999997</v>
      </c>
      <c r="Q724">
        <v>0.29146759999999999</v>
      </c>
      <c r="R724">
        <v>9.9364530000000006E-2</v>
      </c>
      <c r="S724">
        <v>3.212189</v>
      </c>
      <c r="T724">
        <v>-0.17195379999999999</v>
      </c>
      <c r="U724">
        <v>-5.9356689999999997E-2</v>
      </c>
      <c r="V724">
        <v>-9.2987249999999994E-2</v>
      </c>
      <c r="W724">
        <v>0.30381069999999999</v>
      </c>
      <c r="X724">
        <v>0.94818369999999996</v>
      </c>
      <c r="Y724">
        <v>2.5111519999999998E-2</v>
      </c>
      <c r="Z724">
        <v>-1.105717E-3</v>
      </c>
      <c r="AA724">
        <v>0.99968400000000002</v>
      </c>
      <c r="AB724">
        <v>41</v>
      </c>
      <c r="AC724">
        <v>21.4544</v>
      </c>
      <c r="AD724">
        <v>-1.160115</v>
      </c>
      <c r="AE724">
        <v>-0.40199999999998598</v>
      </c>
      <c r="AF724">
        <v>0.54388440975186303</v>
      </c>
      <c r="AG724">
        <v>-1.160115</v>
      </c>
      <c r="AH724">
        <v>21.3887142025496</v>
      </c>
      <c r="AI724">
        <v>93.103655865617995</v>
      </c>
      <c r="AJ724">
        <v>88.543364182871599</v>
      </c>
      <c r="AK724">
        <v>21.427057014502601</v>
      </c>
      <c r="AL724">
        <v>72.313372000256805</v>
      </c>
      <c r="AM724">
        <v>95.601018990614904</v>
      </c>
      <c r="AN724">
        <v>0.99999994952136995</v>
      </c>
    </row>
    <row r="725" spans="1:40" x14ac:dyDescent="0.25">
      <c r="A725" t="str">
        <f>"20190304164348037"</f>
        <v>20190304164348037</v>
      </c>
      <c r="B725" t="str">
        <f>"1551689028030721"</f>
        <v>1551689028030721</v>
      </c>
      <c r="C725" t="s">
        <v>40</v>
      </c>
      <c r="D725">
        <v>4.3556559999999998</v>
      </c>
      <c r="E725">
        <v>0.55773790000000001</v>
      </c>
      <c r="F725" t="s">
        <v>43</v>
      </c>
      <c r="G725">
        <v>-313.62369999999999</v>
      </c>
      <c r="H725">
        <v>-0.05</v>
      </c>
      <c r="I725">
        <v>367.11559999999997</v>
      </c>
      <c r="J725">
        <v>-335.02420000000001</v>
      </c>
      <c r="K725">
        <v>1.1101179999999999</v>
      </c>
      <c r="L725">
        <v>367.51949999999999</v>
      </c>
      <c r="M725">
        <v>0.99989320000000004</v>
      </c>
      <c r="N725">
        <v>-1.300162E-2</v>
      </c>
      <c r="O725">
        <v>6.6873339999999996E-3</v>
      </c>
      <c r="P725">
        <v>0.95137269999999896</v>
      </c>
      <c r="Q725">
        <v>0.29158339999999999</v>
      </c>
      <c r="R725">
        <v>9.9343550000000003E-2</v>
      </c>
      <c r="S725">
        <v>3.2122190000000002</v>
      </c>
      <c r="T725">
        <v>-0.1721519</v>
      </c>
      <c r="U725">
        <v>-5.9692380000000003E-2</v>
      </c>
      <c r="V725">
        <v>-9.2966480000000004E-2</v>
      </c>
      <c r="W725">
        <v>0.30394070000000001</v>
      </c>
      <c r="X725">
        <v>0.94814410000000005</v>
      </c>
      <c r="Y725">
        <v>2.5215560000000001E-2</v>
      </c>
      <c r="Z725">
        <v>-1.110448E-3</v>
      </c>
      <c r="AA725">
        <v>0.99968140000000005</v>
      </c>
      <c r="AB725">
        <v>41</v>
      </c>
      <c r="AC725">
        <v>21.400500000000001</v>
      </c>
      <c r="AD725">
        <v>-1.160118</v>
      </c>
      <c r="AE725">
        <v>-0.40390000000002102</v>
      </c>
      <c r="AF725">
        <v>0.54541310410537902</v>
      </c>
      <c r="AG725">
        <v>-1.160118</v>
      </c>
      <c r="AH725">
        <v>21.334646173203598</v>
      </c>
      <c r="AI725">
        <v>93.111503233523294</v>
      </c>
      <c r="AJ725">
        <v>88.535571503520799</v>
      </c>
      <c r="AK725">
        <v>21.373125100551999</v>
      </c>
      <c r="AL725">
        <v>72.305554305614194</v>
      </c>
      <c r="AM725">
        <v>95.600008269887894</v>
      </c>
      <c r="AN725">
        <v>0.99999997494244497</v>
      </c>
    </row>
    <row r="726" spans="1:40" x14ac:dyDescent="0.25">
      <c r="A726" t="str">
        <f>"20190304164348049"</f>
        <v>20190304164348049</v>
      </c>
      <c r="B726" t="str">
        <f>"1551689028040481"</f>
        <v>1551689028040481</v>
      </c>
      <c r="C726" t="s">
        <v>40</v>
      </c>
      <c r="D726">
        <v>4.3759769999999998</v>
      </c>
      <c r="E726">
        <v>0.55787430000000005</v>
      </c>
      <c r="F726" t="s">
        <v>43</v>
      </c>
      <c r="G726">
        <v>-313.41320000000002</v>
      </c>
      <c r="H726">
        <v>-0.05</v>
      </c>
      <c r="I726">
        <v>367.11130000000003</v>
      </c>
      <c r="J726">
        <v>-334.80720000000002</v>
      </c>
      <c r="K726">
        <v>1.11012</v>
      </c>
      <c r="L726">
        <v>367.52089999999998</v>
      </c>
      <c r="M726">
        <v>0.99989309999999998</v>
      </c>
      <c r="N726">
        <v>-1.3013739999999999E-2</v>
      </c>
      <c r="O726">
        <v>6.6874329999999996E-3</v>
      </c>
      <c r="P726">
        <v>0.95133109999999999</v>
      </c>
      <c r="Q726">
        <v>0.291741799999999</v>
      </c>
      <c r="R726">
        <v>9.927656E-2</v>
      </c>
      <c r="S726">
        <v>3.2125240000000002</v>
      </c>
      <c r="T726">
        <v>-0.17245450000000001</v>
      </c>
      <c r="U726">
        <v>-6.0668949999999999E-2</v>
      </c>
      <c r="V726">
        <v>-9.2899720000000005E-2</v>
      </c>
      <c r="W726">
        <v>0.30410959999999998</v>
      </c>
      <c r="X726">
        <v>0.94809650000000001</v>
      </c>
      <c r="Y726">
        <v>2.5516980000000002E-2</v>
      </c>
      <c r="Z726">
        <v>-1.1222840000000001E-3</v>
      </c>
      <c r="AA726">
        <v>0.99967379999999995</v>
      </c>
      <c r="AB726">
        <v>41</v>
      </c>
      <c r="AC726">
        <v>21.393999999999998</v>
      </c>
      <c r="AD726">
        <v>-1.16012</v>
      </c>
      <c r="AE726">
        <v>-0.409599999999954</v>
      </c>
      <c r="AF726">
        <v>0.55105409344869904</v>
      </c>
      <c r="AG726">
        <v>-1.16012</v>
      </c>
      <c r="AH726">
        <v>21.328089757569501</v>
      </c>
      <c r="AI726">
        <v>93.11244147955</v>
      </c>
      <c r="AJ726">
        <v>88.519977575947294</v>
      </c>
      <c r="AK726">
        <v>21.366725339537801</v>
      </c>
      <c r="AL726">
        <v>72.295396480678406</v>
      </c>
      <c r="AM726">
        <v>95.596291561077294</v>
      </c>
      <c r="AN726">
        <v>0.99999999005024398</v>
      </c>
    </row>
    <row r="727" spans="1:40" x14ac:dyDescent="0.25">
      <c r="A727" t="str">
        <f>"20190304164348060"</f>
        <v>20190304164348060</v>
      </c>
      <c r="B727" t="str">
        <f>"1551689028050241"</f>
        <v>1551689028050241</v>
      </c>
      <c r="C727" t="s">
        <v>40</v>
      </c>
      <c r="D727">
        <v>4.4325080000000003</v>
      </c>
      <c r="E727">
        <v>0.55784199999999995</v>
      </c>
      <c r="F727" t="s">
        <v>43</v>
      </c>
      <c r="G727">
        <v>-313.26310000000001</v>
      </c>
      <c r="H727">
        <v>-0.05</v>
      </c>
      <c r="I727">
        <v>367.10390000000001</v>
      </c>
      <c r="J727">
        <v>-334.61410000000001</v>
      </c>
      <c r="K727">
        <v>1.1101219999999901</v>
      </c>
      <c r="L727">
        <v>367.5222</v>
      </c>
      <c r="M727">
        <v>0.99989289999999997</v>
      </c>
      <c r="N727">
        <v>-1.302377E-2</v>
      </c>
      <c r="O727">
        <v>6.6875469999999899E-3</v>
      </c>
      <c r="P727">
        <v>0.95134430000000003</v>
      </c>
      <c r="Q727">
        <v>0.29171970000000003</v>
      </c>
      <c r="R727">
        <v>9.9216600000000002E-2</v>
      </c>
      <c r="S727">
        <v>3.2130130000000001</v>
      </c>
      <c r="T727">
        <v>-0.17301620000000001</v>
      </c>
      <c r="U727">
        <v>-6.2194819999999998E-2</v>
      </c>
      <c r="V727">
        <v>-9.2839519999999995E-2</v>
      </c>
      <c r="W727">
        <v>0.30409740000000002</v>
      </c>
      <c r="X727">
        <v>0.94810629999999996</v>
      </c>
      <c r="Y727">
        <v>2.5987650000000001E-2</v>
      </c>
      <c r="Z727">
        <v>-1.141312E-3</v>
      </c>
      <c r="AA727">
        <v>0.99966160000000004</v>
      </c>
      <c r="AB727">
        <v>41</v>
      </c>
      <c r="AC727">
        <v>21.350999999999999</v>
      </c>
      <c r="AD727">
        <v>-1.1601220000000001</v>
      </c>
      <c r="AE727">
        <v>-0.41829999999998702</v>
      </c>
      <c r="AF727">
        <v>0.55943752734832497</v>
      </c>
      <c r="AG727">
        <v>-1.1601220000000001</v>
      </c>
      <c r="AH727">
        <v>21.284908004953898</v>
      </c>
      <c r="AI727">
        <v>93.118712582606193</v>
      </c>
      <c r="AJ727">
        <v>88.494424720428796</v>
      </c>
      <c r="AK727">
        <v>21.3238402306254</v>
      </c>
      <c r="AL727">
        <v>72.296130068520199</v>
      </c>
      <c r="AM727">
        <v>95.592630661749794</v>
      </c>
      <c r="AN727">
        <v>0.99999998063013995</v>
      </c>
    </row>
    <row r="728" spans="1:40" x14ac:dyDescent="0.25">
      <c r="A728" t="str">
        <f>"20190304164348070"</f>
        <v>20190304164348070</v>
      </c>
      <c r="B728" t="str">
        <f>"1551689028060976"</f>
        <v>1551689028060976</v>
      </c>
      <c r="C728" t="s">
        <v>40</v>
      </c>
      <c r="D728">
        <v>4.3867770000000004</v>
      </c>
      <c r="E728">
        <v>0.55789909999999998</v>
      </c>
      <c r="F728" t="s">
        <v>43</v>
      </c>
      <c r="G728">
        <v>-313.23270000000002</v>
      </c>
      <c r="H728">
        <v>-0.05</v>
      </c>
      <c r="I728">
        <v>367.11149999999998</v>
      </c>
      <c r="J728">
        <v>-334.40839999999997</v>
      </c>
      <c r="K728">
        <v>1.110123</v>
      </c>
      <c r="L728">
        <v>367.52359999999999</v>
      </c>
      <c r="M728">
        <v>0.99989280000000003</v>
      </c>
      <c r="N728">
        <v>-1.303378E-2</v>
      </c>
      <c r="O728">
        <v>6.6874810000000003E-3</v>
      </c>
      <c r="P728">
        <v>0.95131390000000005</v>
      </c>
      <c r="Q728">
        <v>0.29186479999999998</v>
      </c>
      <c r="R728">
        <v>9.9079860000000006E-2</v>
      </c>
      <c r="S728">
        <v>3.2133180000000001</v>
      </c>
      <c r="T728">
        <v>-0.1743497</v>
      </c>
      <c r="U728">
        <v>-6.1737060000000003E-2</v>
      </c>
      <c r="V728">
        <v>-9.2703179999999996E-2</v>
      </c>
      <c r="W728">
        <v>0.3042513</v>
      </c>
      <c r="X728">
        <v>0.94807030000000003</v>
      </c>
      <c r="Y728">
        <v>2.5842899999999999E-2</v>
      </c>
      <c r="Z728">
        <v>-1.144557E-3</v>
      </c>
      <c r="AA728">
        <v>0.99966540000000004</v>
      </c>
      <c r="AB728">
        <v>41</v>
      </c>
      <c r="AC728">
        <v>21.1756999999999</v>
      </c>
      <c r="AD728">
        <v>-1.160123</v>
      </c>
      <c r="AE728">
        <v>-0.41210000000000901</v>
      </c>
      <c r="AF728">
        <v>0.55205853545006001</v>
      </c>
      <c r="AG728">
        <v>-1.160123</v>
      </c>
      <c r="AH728">
        <v>21.109136020127199</v>
      </c>
      <c r="AI728">
        <v>93.144643090273902</v>
      </c>
      <c r="AJ728">
        <v>88.501908570995994</v>
      </c>
      <c r="AK728">
        <v>21.1481979733008</v>
      </c>
      <c r="AL728">
        <v>72.286874245363094</v>
      </c>
      <c r="AM728">
        <v>95.584680239401294</v>
      </c>
      <c r="AN728">
        <v>1.0000000134379401</v>
      </c>
    </row>
    <row r="729" spans="1:40" x14ac:dyDescent="0.25">
      <c r="A729" t="str">
        <f>"20190304164348081"</f>
        <v>20190304164348081</v>
      </c>
      <c r="B729" t="str">
        <f>"1551689028070737"</f>
        <v>1551689028070737</v>
      </c>
      <c r="C729" t="s">
        <v>40</v>
      </c>
      <c r="D729">
        <v>4.3543919999999998</v>
      </c>
      <c r="E729">
        <v>0.55788309999999997</v>
      </c>
      <c r="F729" t="s">
        <v>43</v>
      </c>
      <c r="G729">
        <v>-312.93430000000001</v>
      </c>
      <c r="H729">
        <v>-0.05</v>
      </c>
      <c r="I729">
        <v>367.10390000000001</v>
      </c>
      <c r="J729">
        <v>-334.21899999999999</v>
      </c>
      <c r="K729">
        <v>1.110123</v>
      </c>
      <c r="L729">
        <v>367.52480000000003</v>
      </c>
      <c r="M729">
        <v>0.99989269999999997</v>
      </c>
      <c r="N729">
        <v>-1.3042150000000001E-2</v>
      </c>
      <c r="O729">
        <v>6.6874259999999998E-3</v>
      </c>
      <c r="P729">
        <v>0.95128069999999998</v>
      </c>
      <c r="Q729">
        <v>0.29199940000000002</v>
      </c>
      <c r="R729">
        <v>9.9003750000000001E-2</v>
      </c>
      <c r="S729">
        <v>3.2133180000000001</v>
      </c>
      <c r="T729">
        <v>-0.17359769999999999</v>
      </c>
      <c r="U729">
        <v>-6.2805180000000002E-2</v>
      </c>
      <c r="V729">
        <v>-9.2627790000000002E-2</v>
      </c>
      <c r="W729">
        <v>0.30439359999999999</v>
      </c>
      <c r="X729">
        <v>0.94803199999999999</v>
      </c>
      <c r="Y729">
        <v>2.617483E-2</v>
      </c>
      <c r="Z729">
        <v>-1.1511500000000001E-3</v>
      </c>
      <c r="AA729">
        <v>0.99965669999999995</v>
      </c>
      <c r="AB729">
        <v>41</v>
      </c>
      <c r="AC729">
        <v>21.284699999999901</v>
      </c>
      <c r="AD729">
        <v>-1.160123</v>
      </c>
      <c r="AE729">
        <v>-0.42090000000001698</v>
      </c>
      <c r="AF729">
        <v>0.56157486085278596</v>
      </c>
      <c r="AG729">
        <v>-1.160123</v>
      </c>
      <c r="AH729">
        <v>21.218398075580101</v>
      </c>
      <c r="AI729">
        <v>93.128456547733194</v>
      </c>
      <c r="AJ729">
        <v>88.483940225135598</v>
      </c>
      <c r="AK729">
        <v>21.257508522713898</v>
      </c>
      <c r="AL729">
        <v>72.278315246108505</v>
      </c>
      <c r="AM729">
        <v>95.580391239512593</v>
      </c>
      <c r="AN729">
        <v>1.00000002211262</v>
      </c>
    </row>
    <row r="730" spans="1:40" x14ac:dyDescent="0.25">
      <c r="A730" t="str">
        <f>"20190304164348092"</f>
        <v>20190304164348092</v>
      </c>
      <c r="B730" t="str">
        <f>"1551689028080497"</f>
        <v>1551689028080497</v>
      </c>
      <c r="C730" t="s">
        <v>40</v>
      </c>
      <c r="D730">
        <v>4.4663820000000003</v>
      </c>
      <c r="E730">
        <v>0.55789669999999902</v>
      </c>
      <c r="F730" t="s">
        <v>43</v>
      </c>
      <c r="G730">
        <v>-312.6114</v>
      </c>
      <c r="H730">
        <v>-0.05</v>
      </c>
      <c r="I730">
        <v>367.09899999999999</v>
      </c>
      <c r="J730">
        <v>-334.01609999999999</v>
      </c>
      <c r="K730">
        <v>1.110128</v>
      </c>
      <c r="L730">
        <v>367.52620000000002</v>
      </c>
      <c r="M730">
        <v>0.99989249999999996</v>
      </c>
      <c r="N730">
        <v>-1.305069E-2</v>
      </c>
      <c r="O730">
        <v>6.6875490000000001E-3</v>
      </c>
      <c r="P730">
        <v>0.95128849999999998</v>
      </c>
      <c r="Q730">
        <v>0.29196850000000002</v>
      </c>
      <c r="R730">
        <v>9.9020079999999996E-2</v>
      </c>
      <c r="S730">
        <v>3.213165</v>
      </c>
      <c r="T730">
        <v>-0.17251629999999901</v>
      </c>
      <c r="U730">
        <v>-6.3323969999999993E-2</v>
      </c>
      <c r="V730">
        <v>-9.2643400000000001E-2</v>
      </c>
      <c r="W730">
        <v>0.3043708</v>
      </c>
      <c r="X730">
        <v>0.94803769999999998</v>
      </c>
      <c r="Y730">
        <v>2.6337550000000001E-2</v>
      </c>
      <c r="Z730">
        <v>-1.150044E-3</v>
      </c>
      <c r="AA730">
        <v>0.9996524</v>
      </c>
      <c r="AB730">
        <v>41</v>
      </c>
      <c r="AC730">
        <v>21.404699999999899</v>
      </c>
      <c r="AD730">
        <v>-1.160128</v>
      </c>
      <c r="AE730">
        <v>-0.427200000000027</v>
      </c>
      <c r="AF730">
        <v>0.56867772744225298</v>
      </c>
      <c r="AG730">
        <v>-1.160128</v>
      </c>
      <c r="AH730">
        <v>21.338704360627801</v>
      </c>
      <c r="AI730">
        <v>93.110851494582505</v>
      </c>
      <c r="AJ730">
        <v>88.473425438623096</v>
      </c>
      <c r="AK730">
        <v>21.377782745746799</v>
      </c>
      <c r="AL730">
        <v>72.279685014575094</v>
      </c>
      <c r="AM730">
        <v>95.581292386132304</v>
      </c>
      <c r="AN730">
        <v>0.99999993203874205</v>
      </c>
    </row>
    <row r="731" spans="1:40" x14ac:dyDescent="0.25">
      <c r="A731" t="str">
        <f>"20190304164348102"</f>
        <v>20190304164348102</v>
      </c>
      <c r="B731" t="str">
        <f>"1551689028090257"</f>
        <v>1551689028090257</v>
      </c>
      <c r="C731" t="s">
        <v>40</v>
      </c>
      <c r="D731">
        <v>4.4218409999999997</v>
      </c>
      <c r="E731">
        <v>0.55801590000000001</v>
      </c>
      <c r="F731" t="s">
        <v>43</v>
      </c>
      <c r="G731">
        <v>-312.51530000000002</v>
      </c>
      <c r="H731">
        <v>-0.05</v>
      </c>
      <c r="I731">
        <v>367.10419999999999</v>
      </c>
      <c r="J731">
        <v>-333.81650000000002</v>
      </c>
      <c r="K731">
        <v>1.1101289999999999</v>
      </c>
      <c r="L731">
        <v>367.52760000000001</v>
      </c>
      <c r="M731">
        <v>0.99989249999999996</v>
      </c>
      <c r="N731">
        <v>-1.3058200000000001E-2</v>
      </c>
      <c r="O731">
        <v>6.6874999999999999E-3</v>
      </c>
      <c r="P731">
        <v>0.95125280000000001</v>
      </c>
      <c r="Q731">
        <v>0.29206690000000002</v>
      </c>
      <c r="R731">
        <v>9.9072099999999996E-2</v>
      </c>
      <c r="S731">
        <v>3.213409</v>
      </c>
      <c r="T731">
        <v>-0.1733874</v>
      </c>
      <c r="U731">
        <v>-6.3079830000000003E-2</v>
      </c>
      <c r="V731">
        <v>-9.2695749999999993E-2</v>
      </c>
      <c r="W731">
        <v>0.30447570000000002</v>
      </c>
      <c r="X731">
        <v>0.94799889999999998</v>
      </c>
      <c r="Y731">
        <v>2.625972E-2</v>
      </c>
      <c r="Z731">
        <v>-1.152777E-3</v>
      </c>
      <c r="AA731">
        <v>0.9996545</v>
      </c>
      <c r="AB731">
        <v>41</v>
      </c>
      <c r="AC731">
        <v>21.301199999999898</v>
      </c>
      <c r="AD731">
        <v>-1.160129</v>
      </c>
      <c r="AE731">
        <v>-0.42340000000001499</v>
      </c>
      <c r="AF731">
        <v>0.56418160441971699</v>
      </c>
      <c r="AG731">
        <v>-1.160129</v>
      </c>
      <c r="AH731">
        <v>21.234929111448199</v>
      </c>
      <c r="AI731">
        <v>93.126033619005</v>
      </c>
      <c r="AJ731">
        <v>88.478091362632</v>
      </c>
      <c r="AK731">
        <v>21.274078465297499</v>
      </c>
      <c r="AL731">
        <v>72.273375242666006</v>
      </c>
      <c r="AM731">
        <v>95.584653392804498</v>
      </c>
      <c r="AN731">
        <v>0.99999993417987898</v>
      </c>
    </row>
    <row r="732" spans="1:40" x14ac:dyDescent="0.25">
      <c r="A732" t="str">
        <f>"20190304164348113"</f>
        <v>20190304164348113</v>
      </c>
      <c r="B732" t="str">
        <f>"1551689028100993"</f>
        <v>1551689028100993</v>
      </c>
      <c r="C732" t="s">
        <v>40</v>
      </c>
      <c r="D732">
        <v>4.4208439999999998</v>
      </c>
      <c r="E732">
        <v>0.55810930000000003</v>
      </c>
      <c r="F732" t="s">
        <v>43</v>
      </c>
      <c r="G732">
        <v>-312.37880000000001</v>
      </c>
      <c r="H732">
        <v>-0.05</v>
      </c>
      <c r="I732">
        <v>367.10329999999999</v>
      </c>
      <c r="J732">
        <v>-333.61689999999999</v>
      </c>
      <c r="K732">
        <v>1.110131</v>
      </c>
      <c r="L732">
        <v>367.52890000000002</v>
      </c>
      <c r="M732">
        <v>0.99989240000000001</v>
      </c>
      <c r="N732">
        <v>-1.3065500000000001E-2</v>
      </c>
      <c r="O732">
        <v>6.6875709999999998E-3</v>
      </c>
      <c r="P732">
        <v>0.95125029999999999</v>
      </c>
      <c r="Q732">
        <v>0.29205609999999999</v>
      </c>
      <c r="R732">
        <v>9.9128019999999997E-2</v>
      </c>
      <c r="S732">
        <v>3.2138059999999999</v>
      </c>
      <c r="T732">
        <v>-0.1739193</v>
      </c>
      <c r="U732">
        <v>-6.3598630000000003E-2</v>
      </c>
      <c r="V732">
        <v>-9.2751490000000006E-2</v>
      </c>
      <c r="W732">
        <v>0.30447170000000001</v>
      </c>
      <c r="X732">
        <v>0.94799480000000003</v>
      </c>
      <c r="Y732">
        <v>2.64181E-2</v>
      </c>
      <c r="Z732">
        <v>-1.161285E-3</v>
      </c>
      <c r="AA732">
        <v>0.99965029999999999</v>
      </c>
      <c r="AB732">
        <v>41</v>
      </c>
      <c r="AC732">
        <v>21.2380999999999</v>
      </c>
      <c r="AD732">
        <v>-1.160131</v>
      </c>
      <c r="AE732">
        <v>-0.42560000000003101</v>
      </c>
      <c r="AF732">
        <v>0.56594584795285696</v>
      </c>
      <c r="AG732">
        <v>-1.160131</v>
      </c>
      <c r="AH732">
        <v>21.171630072467401</v>
      </c>
      <c r="AI732">
        <v>93.135353060402394</v>
      </c>
      <c r="AJ732">
        <v>88.468772212565298</v>
      </c>
      <c r="AK732">
        <v>21.210943368115</v>
      </c>
      <c r="AL732">
        <v>72.273617016873004</v>
      </c>
      <c r="AM732">
        <v>95.588014334538002</v>
      </c>
      <c r="AN732">
        <v>0.99999999791257499</v>
      </c>
    </row>
    <row r="733" spans="1:40" x14ac:dyDescent="0.25">
      <c r="A733" t="str">
        <f>"20190304164348126"</f>
        <v>20190304164348126</v>
      </c>
      <c r="B733" t="str">
        <f>"1551689028120513"</f>
        <v>1551689028120513</v>
      </c>
      <c r="C733" t="s">
        <v>40</v>
      </c>
      <c r="D733">
        <v>4.4274279999999999</v>
      </c>
      <c r="E733">
        <v>0.55817150000000004</v>
      </c>
      <c r="F733" t="s">
        <v>43</v>
      </c>
      <c r="G733">
        <v>-312.24709999999999</v>
      </c>
      <c r="H733">
        <v>-0.05</v>
      </c>
      <c r="I733">
        <v>367.1026</v>
      </c>
      <c r="J733">
        <v>-333.38909999999998</v>
      </c>
      <c r="K733">
        <v>1.1101289999999999</v>
      </c>
      <c r="L733">
        <v>367.53039999999999</v>
      </c>
      <c r="M733">
        <v>0.99989240000000001</v>
      </c>
      <c r="N733">
        <v>-1.307084E-2</v>
      </c>
      <c r="O733">
        <v>6.6874159999999998E-3</v>
      </c>
      <c r="P733">
        <v>0.95126230000000001</v>
      </c>
      <c r="Q733">
        <v>0.29197770000000001</v>
      </c>
      <c r="R733">
        <v>9.9244940000000004E-2</v>
      </c>
      <c r="S733">
        <v>3.2139890000000002</v>
      </c>
      <c r="T733">
        <v>-0.17448250000000001</v>
      </c>
      <c r="U733">
        <v>-6.4117430000000003E-2</v>
      </c>
      <c r="V733">
        <v>-9.286904E-2</v>
      </c>
      <c r="W733">
        <v>0.30439850000000002</v>
      </c>
      <c r="X733">
        <v>0.94800680000000004</v>
      </c>
      <c r="Y733">
        <v>2.65775E-2</v>
      </c>
      <c r="Z733">
        <v>-1.170096E-3</v>
      </c>
      <c r="AA733">
        <v>0.99964609999999998</v>
      </c>
      <c r="AB733">
        <v>41</v>
      </c>
      <c r="AC733">
        <v>21.141999999999999</v>
      </c>
      <c r="AD733">
        <v>-1.160129</v>
      </c>
      <c r="AE733">
        <v>-0.42779999999999002</v>
      </c>
      <c r="AF733">
        <v>0.56747981325189301</v>
      </c>
      <c r="AG733">
        <v>-1.160129</v>
      </c>
      <c r="AH733">
        <v>21.075233074009901</v>
      </c>
      <c r="AI733">
        <v>93.149643334360803</v>
      </c>
      <c r="AJ733">
        <v>88.457604542923207</v>
      </c>
      <c r="AK733">
        <v>21.114766912256702</v>
      </c>
      <c r="AL733">
        <v>72.278020089276197</v>
      </c>
      <c r="AM733">
        <v>95.594981106552595</v>
      </c>
      <c r="AN733">
        <v>0.99999999911950499</v>
      </c>
    </row>
    <row r="734" spans="1:40" x14ac:dyDescent="0.25">
      <c r="A734" t="str">
        <f>"20190304164348137"</f>
        <v>20190304164348137</v>
      </c>
      <c r="B734" t="str">
        <f>"1551689028131250"</f>
        <v>1551689028131250</v>
      </c>
      <c r="C734" t="s">
        <v>40</v>
      </c>
      <c r="D734">
        <v>4.4752199999999904</v>
      </c>
      <c r="E734">
        <v>0.55817150000000004</v>
      </c>
      <c r="F734" t="s">
        <v>43</v>
      </c>
      <c r="G734">
        <v>-312.24799999999999</v>
      </c>
      <c r="H734">
        <v>-0.05</v>
      </c>
      <c r="I734">
        <v>367.10629999999998</v>
      </c>
      <c r="J734">
        <v>-333.1816</v>
      </c>
      <c r="K734">
        <v>1.1101289999999999</v>
      </c>
      <c r="L734">
        <v>367.53179999999998</v>
      </c>
      <c r="M734">
        <v>0.99989229999999996</v>
      </c>
      <c r="N734">
        <v>-1.307435E-2</v>
      </c>
      <c r="O734">
        <v>6.6875119999999996E-3</v>
      </c>
      <c r="P734">
        <v>0.95128670000000004</v>
      </c>
      <c r="Q734">
        <v>0.29185620000000001</v>
      </c>
      <c r="R734">
        <v>9.9365590000000004E-2</v>
      </c>
      <c r="S734">
        <v>3.2146300000000001</v>
      </c>
      <c r="T734">
        <v>-0.17640410000000001</v>
      </c>
      <c r="U734">
        <v>-6.4483639999999995E-2</v>
      </c>
      <c r="V734">
        <v>-9.2988879999999996E-2</v>
      </c>
      <c r="W734">
        <v>0.30428090000000002</v>
      </c>
      <c r="X734">
        <v>0.94803280000000001</v>
      </c>
      <c r="Y734">
        <v>2.6686129999999999E-2</v>
      </c>
      <c r="Z734">
        <v>-1.1855139999999999E-3</v>
      </c>
      <c r="AA734">
        <v>0.99964310000000001</v>
      </c>
      <c r="AB734">
        <v>41</v>
      </c>
      <c r="AC734">
        <v>20.933599999999998</v>
      </c>
      <c r="AD734">
        <v>-1.160129</v>
      </c>
      <c r="AE734">
        <v>-0.42549999999999899</v>
      </c>
      <c r="AF734">
        <v>0.56376534495072095</v>
      </c>
      <c r="AG734">
        <v>-1.160129</v>
      </c>
      <c r="AH734">
        <v>20.866225692158501</v>
      </c>
      <c r="AI734">
        <v>93.181119542545503</v>
      </c>
      <c r="AJ734">
        <v>88.452354581561096</v>
      </c>
      <c r="AK734">
        <v>20.9060542737482</v>
      </c>
      <c r="AL734">
        <v>72.285093520165603</v>
      </c>
      <c r="AM734">
        <v>95.602002416876104</v>
      </c>
      <c r="AN734">
        <v>0.99999999389215199</v>
      </c>
    </row>
    <row r="735" spans="1:40" x14ac:dyDescent="0.25">
      <c r="A735" t="str">
        <f>"20190304164348147"</f>
        <v>20190304164348147</v>
      </c>
      <c r="B735" t="str">
        <f>"1551689028141009"</f>
        <v>1551689028141009</v>
      </c>
      <c r="C735" t="s">
        <v>40</v>
      </c>
      <c r="D735">
        <v>4.3897339999999998</v>
      </c>
      <c r="E735">
        <v>0.55819229999999997</v>
      </c>
      <c r="F735" t="s">
        <v>43</v>
      </c>
      <c r="G735">
        <v>-312.22160000000002</v>
      </c>
      <c r="H735">
        <v>-0.05</v>
      </c>
      <c r="I735">
        <v>367.11700000000002</v>
      </c>
      <c r="J735">
        <v>-332.96559999999999</v>
      </c>
      <c r="K735">
        <v>1.1101299999999901</v>
      </c>
      <c r="L735">
        <v>367.5333</v>
      </c>
      <c r="M735">
        <v>0.99989220000000001</v>
      </c>
      <c r="N735">
        <v>-1.3074570000000001E-2</v>
      </c>
      <c r="O735">
        <v>6.6876899999999996E-3</v>
      </c>
      <c r="P735">
        <v>0.95124730000000002</v>
      </c>
      <c r="Q735">
        <v>0.2920527</v>
      </c>
      <c r="R735">
        <v>9.9165909999999996E-2</v>
      </c>
      <c r="S735">
        <v>3.2148439999999998</v>
      </c>
      <c r="T735">
        <v>-0.17794109999999999</v>
      </c>
      <c r="U735">
        <v>-6.3629149999999995E-2</v>
      </c>
      <c r="V735">
        <v>-9.2789289999999996E-2</v>
      </c>
      <c r="W735">
        <v>0.3044771</v>
      </c>
      <c r="X735">
        <v>0.94798930000000003</v>
      </c>
      <c r="Y735">
        <v>2.641897E-2</v>
      </c>
      <c r="Z735">
        <v>-1.185874E-3</v>
      </c>
      <c r="AA735">
        <v>0.99965020000000004</v>
      </c>
      <c r="AB735">
        <v>41</v>
      </c>
      <c r="AC735">
        <v>20.7439999999999</v>
      </c>
      <c r="AD735">
        <v>-1.1601300000000001</v>
      </c>
      <c r="AE735">
        <v>-0.41630000000003498</v>
      </c>
      <c r="AF735">
        <v>0.55330210439547001</v>
      </c>
      <c r="AG735">
        <v>-1.1601300000000001</v>
      </c>
      <c r="AH735">
        <v>20.676108593197601</v>
      </c>
      <c r="AI735">
        <v>93.210334014357002</v>
      </c>
      <c r="AJ735">
        <v>88.467104628798197</v>
      </c>
      <c r="AK735">
        <v>20.716020645706202</v>
      </c>
      <c r="AL735">
        <v>72.273291042216499</v>
      </c>
      <c r="AM735">
        <v>95.590309482724194</v>
      </c>
      <c r="AN735">
        <v>0.99999993483879901</v>
      </c>
    </row>
    <row r="736" spans="1:40" x14ac:dyDescent="0.25">
      <c r="A736" t="str">
        <f>"20190304164348161"</f>
        <v>20190304164348161</v>
      </c>
      <c r="B736" t="str">
        <f>"1551689028150769"</f>
        <v>1551689028150769</v>
      </c>
      <c r="C736" t="s">
        <v>40</v>
      </c>
      <c r="D736">
        <v>4.3911189999999998</v>
      </c>
      <c r="E736">
        <v>0.55821509999999996</v>
      </c>
      <c r="F736" t="s">
        <v>43</v>
      </c>
      <c r="G736">
        <v>-311.94670000000002</v>
      </c>
      <c r="H736">
        <v>-0.05</v>
      </c>
      <c r="I736">
        <v>367.11509999999998</v>
      </c>
      <c r="J736">
        <v>-332.745</v>
      </c>
      <c r="K736">
        <v>1.1101299999999901</v>
      </c>
      <c r="L736">
        <v>367.53469999999999</v>
      </c>
      <c r="M736">
        <v>0.99989220000000001</v>
      </c>
      <c r="N736">
        <v>-1.30728999999999E-2</v>
      </c>
      <c r="O736">
        <v>6.6875229999999999E-3</v>
      </c>
      <c r="P736">
        <v>0.95122189999999995</v>
      </c>
      <c r="Q736">
        <v>0.29203410000000002</v>
      </c>
      <c r="R736">
        <v>9.9464449999999996E-2</v>
      </c>
      <c r="S736">
        <v>3.2149049999999999</v>
      </c>
      <c r="T736">
        <v>-0.17744470000000001</v>
      </c>
      <c r="U736">
        <v>-6.3964839999999995E-2</v>
      </c>
      <c r="V736">
        <v>-9.3088260000000006E-2</v>
      </c>
      <c r="W736">
        <v>0.30445670000000002</v>
      </c>
      <c r="X736">
        <v>0.94796659999999999</v>
      </c>
      <c r="Y736">
        <v>2.652287E-2</v>
      </c>
      <c r="Z736">
        <v>-1.186313E-3</v>
      </c>
      <c r="AA736">
        <v>0.99964750000000002</v>
      </c>
      <c r="AB736">
        <v>41</v>
      </c>
      <c r="AC736">
        <v>20.798299999999902</v>
      </c>
      <c r="AD736">
        <v>-1.1601300000000001</v>
      </c>
      <c r="AE736">
        <v>-0.41960000000000203</v>
      </c>
      <c r="AF736">
        <v>0.556959383783726</v>
      </c>
      <c r="AG736">
        <v>-1.1601300000000001</v>
      </c>
      <c r="AH736">
        <v>20.730553442742401</v>
      </c>
      <c r="AI736">
        <v>93.201911162872094</v>
      </c>
      <c r="AJ736">
        <v>88.461027708382602</v>
      </c>
      <c r="AK736">
        <v>20.7704586231138</v>
      </c>
      <c r="AL736">
        <v>72.2745191547084</v>
      </c>
      <c r="AM736">
        <v>95.608340428255801</v>
      </c>
      <c r="AN736">
        <v>0.99999999052013799</v>
      </c>
    </row>
    <row r="737" spans="1:40" x14ac:dyDescent="0.25">
      <c r="A737" t="str">
        <f>"20190304164348174"</f>
        <v>20190304164348174</v>
      </c>
      <c r="B737" t="str">
        <f>"1551689028160529"</f>
        <v>1551689028160529</v>
      </c>
      <c r="C737" t="s">
        <v>40</v>
      </c>
      <c r="D737">
        <v>4.4634099999999997</v>
      </c>
      <c r="E737">
        <v>0.55822620000000001</v>
      </c>
      <c r="F737" t="s">
        <v>43</v>
      </c>
      <c r="G737">
        <v>-311.71129999999999</v>
      </c>
      <c r="H737">
        <v>-0.05</v>
      </c>
      <c r="I737">
        <v>367.1198</v>
      </c>
      <c r="J737">
        <v>-332.50189999999998</v>
      </c>
      <c r="K737">
        <v>1.1101289999999999</v>
      </c>
      <c r="L737">
        <v>367.53629999999998</v>
      </c>
      <c r="M737">
        <v>0.99989220000000001</v>
      </c>
      <c r="N737">
        <v>-1.306942E-2</v>
      </c>
      <c r="O737">
        <v>6.6874289999999999E-3</v>
      </c>
      <c r="P737">
        <v>0.95125729999999997</v>
      </c>
      <c r="Q737">
        <v>0.29197659999999998</v>
      </c>
      <c r="R737">
        <v>9.9292690000000003E-2</v>
      </c>
      <c r="S737">
        <v>3.2149350000000001</v>
      </c>
      <c r="T737">
        <v>-0.17732229999999999</v>
      </c>
      <c r="U737">
        <v>-6.3415529999999998E-2</v>
      </c>
      <c r="V737">
        <v>-9.2916579999999999E-2</v>
      </c>
      <c r="W737">
        <v>0.30439620000000001</v>
      </c>
      <c r="X737">
        <v>0.94800289999999998</v>
      </c>
      <c r="Y737">
        <v>2.6352250000000001E-2</v>
      </c>
      <c r="Z737">
        <v>-1.1797019999999999E-3</v>
      </c>
      <c r="AA737">
        <v>0.99965199999999999</v>
      </c>
      <c r="AB737">
        <v>41</v>
      </c>
      <c r="AC737">
        <v>20.790599999999898</v>
      </c>
      <c r="AD737">
        <v>-1.160129</v>
      </c>
      <c r="AE737">
        <v>-0.41649999999998399</v>
      </c>
      <c r="AF737">
        <v>0.55381449878543998</v>
      </c>
      <c r="AG737">
        <v>-1.160129</v>
      </c>
      <c r="AH737">
        <v>20.722850353022199</v>
      </c>
      <c r="AI737">
        <v>93.203108277118801</v>
      </c>
      <c r="AJ737">
        <v>88.469144843057904</v>
      </c>
      <c r="AK737">
        <v>20.762686159296798</v>
      </c>
      <c r="AL737">
        <v>72.278158778792999</v>
      </c>
      <c r="AM737">
        <v>95.597849893923694</v>
      </c>
      <c r="AN737">
        <v>1.0000000179108699</v>
      </c>
    </row>
    <row r="738" spans="1:40" x14ac:dyDescent="0.25">
      <c r="A738" t="str">
        <f>"20190304164348186"</f>
        <v>20190304164348186</v>
      </c>
      <c r="B738" t="str">
        <f>"1551689028181025"</f>
        <v>1551689028181025</v>
      </c>
      <c r="C738" t="s">
        <v>40</v>
      </c>
      <c r="D738">
        <v>4.510275</v>
      </c>
      <c r="E738">
        <v>0.55837230000000004</v>
      </c>
      <c r="F738" t="s">
        <v>43</v>
      </c>
      <c r="G738">
        <v>-311.62599999999998</v>
      </c>
      <c r="H738">
        <v>-0.05</v>
      </c>
      <c r="I738">
        <v>367.1232</v>
      </c>
      <c r="J738">
        <v>-332.26609999999999</v>
      </c>
      <c r="K738">
        <v>1.1101270000000001</v>
      </c>
      <c r="L738">
        <v>367.53789999999998</v>
      </c>
      <c r="M738">
        <v>0.99989240000000001</v>
      </c>
      <c r="N738">
        <v>-1.3062219999999999E-2</v>
      </c>
      <c r="O738">
        <v>6.6872969999999896E-3</v>
      </c>
      <c r="P738">
        <v>0.95128109999999999</v>
      </c>
      <c r="Q738">
        <v>0.29188720000000001</v>
      </c>
      <c r="R738">
        <v>9.9330370000000001E-2</v>
      </c>
      <c r="S738">
        <v>3.215179</v>
      </c>
      <c r="T738">
        <v>-0.1786761</v>
      </c>
      <c r="U738">
        <v>-6.3629149999999995E-2</v>
      </c>
      <c r="V738">
        <v>-9.2954369999999995E-2</v>
      </c>
      <c r="W738">
        <v>0.30430049999999997</v>
      </c>
      <c r="X738">
        <v>0.94802989999999998</v>
      </c>
      <c r="Y738">
        <v>2.6416100000000001E-2</v>
      </c>
      <c r="Z738">
        <v>-1.1901030000000001E-3</v>
      </c>
      <c r="AA738">
        <v>0.99965029999999999</v>
      </c>
      <c r="AB738">
        <v>41</v>
      </c>
      <c r="AC738">
        <v>20.6401</v>
      </c>
      <c r="AD738">
        <v>-1.1601269999999999</v>
      </c>
      <c r="AE738">
        <v>-0.41469999999998203</v>
      </c>
      <c r="AF738">
        <v>0.55098894717455105</v>
      </c>
      <c r="AG738">
        <v>-1.1601269999999999</v>
      </c>
      <c r="AH738">
        <v>20.571898879214199</v>
      </c>
      <c r="AI738">
        <v>93.226551801281403</v>
      </c>
      <c r="AJ738">
        <v>88.465781121816093</v>
      </c>
      <c r="AK738">
        <v>20.611950586313998</v>
      </c>
      <c r="AL738">
        <v>72.283914734775195</v>
      </c>
      <c r="AM738">
        <v>95.599953642044099</v>
      </c>
      <c r="AN738">
        <v>1.0000000002481699</v>
      </c>
    </row>
    <row r="739" spans="1:40" x14ac:dyDescent="0.25">
      <c r="A739" t="str">
        <f>"20190304164348202"</f>
        <v>20190304164348202</v>
      </c>
      <c r="B739" t="str">
        <f>"1551689028190786"</f>
        <v>1551689028190786</v>
      </c>
      <c r="C739" t="s">
        <v>40</v>
      </c>
      <c r="D739">
        <v>4.4300160000000002</v>
      </c>
      <c r="E739">
        <v>0.55842700000000001</v>
      </c>
      <c r="F739" t="s">
        <v>43</v>
      </c>
      <c r="G739">
        <v>-311.57310000000001</v>
      </c>
      <c r="H739">
        <v>-0.05</v>
      </c>
      <c r="I739">
        <v>367.12610000000001</v>
      </c>
      <c r="J739">
        <v>-331.96809999999999</v>
      </c>
      <c r="K739">
        <v>1.11012</v>
      </c>
      <c r="L739">
        <v>367.53989999999999</v>
      </c>
      <c r="M739">
        <v>0.99989260000000002</v>
      </c>
      <c r="N739">
        <v>-1.3049979999999999E-2</v>
      </c>
      <c r="O739">
        <v>6.6871959999999899E-3</v>
      </c>
      <c r="P739">
        <v>0.95123740000000001</v>
      </c>
      <c r="Q739">
        <v>0.29207630000000001</v>
      </c>
      <c r="R739">
        <v>9.9192799999999998E-2</v>
      </c>
      <c r="S739">
        <v>3.2156370000000001</v>
      </c>
      <c r="T739">
        <v>-0.180281</v>
      </c>
      <c r="U739">
        <v>-6.3995360000000001E-2</v>
      </c>
      <c r="V739">
        <v>-9.2816869999999996E-2</v>
      </c>
      <c r="W739">
        <v>0.3044771</v>
      </c>
      <c r="X739">
        <v>0.94798669999999996</v>
      </c>
      <c r="Y739">
        <v>2.652583E-2</v>
      </c>
      <c r="Z739">
        <v>-1.20356E-3</v>
      </c>
      <c r="AA739">
        <v>0.99964739999999996</v>
      </c>
      <c r="AB739">
        <v>41</v>
      </c>
      <c r="AC739">
        <v>20.3949999999999</v>
      </c>
      <c r="AD739">
        <v>-1.16012</v>
      </c>
      <c r="AE739">
        <v>-0.41379999999998002</v>
      </c>
      <c r="AF739">
        <v>0.54841397474157405</v>
      </c>
      <c r="AG739">
        <v>-1.16012</v>
      </c>
      <c r="AH739">
        <v>20.326036100030301</v>
      </c>
      <c r="AI739">
        <v>93.265459132599801</v>
      </c>
      <c r="AJ739">
        <v>88.454485435613407</v>
      </c>
      <c r="AK739">
        <v>20.366501413886201</v>
      </c>
      <c r="AL739">
        <v>72.273292777367999</v>
      </c>
      <c r="AM739">
        <v>95.591975814335001</v>
      </c>
      <c r="AN739">
        <v>1.00000002957894</v>
      </c>
    </row>
    <row r="740" spans="1:40" x14ac:dyDescent="0.25">
      <c r="A740" t="str">
        <f>"20190304164348215"</f>
        <v>20190304164348215</v>
      </c>
      <c r="B740" t="str">
        <f>"1551689028200547"</f>
        <v>1551689028200547</v>
      </c>
      <c r="C740" t="s">
        <v>40</v>
      </c>
      <c r="D740">
        <v>4.5780979999999998</v>
      </c>
      <c r="E740">
        <v>0.55842700000000001</v>
      </c>
      <c r="F740" t="s">
        <v>43</v>
      </c>
      <c r="G740">
        <v>-311.26600000000002</v>
      </c>
      <c r="H740">
        <v>-0.05</v>
      </c>
      <c r="I740">
        <v>367.1232</v>
      </c>
      <c r="J740">
        <v>-331.75259999999997</v>
      </c>
      <c r="K740">
        <v>1.110117</v>
      </c>
      <c r="L740">
        <v>367.54140000000001</v>
      </c>
      <c r="M740">
        <v>0.99989260000000002</v>
      </c>
      <c r="N740">
        <v>-1.3039129999999999E-2</v>
      </c>
      <c r="O740">
        <v>6.6874450000000002E-3</v>
      </c>
      <c r="P740">
        <v>0.95124759999999997</v>
      </c>
      <c r="Q740">
        <v>0.29210180000000002</v>
      </c>
      <c r="R740">
        <v>9.9016980000000004E-2</v>
      </c>
      <c r="S740">
        <v>3.215881</v>
      </c>
      <c r="T740">
        <v>-0.18021309999999999</v>
      </c>
      <c r="U740">
        <v>-6.4727779999999999E-2</v>
      </c>
      <c r="V740">
        <v>-9.2640990000000006E-2</v>
      </c>
      <c r="W740">
        <v>0.3044926</v>
      </c>
      <c r="X740">
        <v>0.94799889999999998</v>
      </c>
      <c r="Y740">
        <v>2.6751759999999999E-2</v>
      </c>
      <c r="Z740">
        <v>-1.2107909999999999E-3</v>
      </c>
      <c r="AA740">
        <v>0.99964140000000001</v>
      </c>
      <c r="AB740">
        <v>41</v>
      </c>
      <c r="AC740">
        <v>20.486599999999999</v>
      </c>
      <c r="AD740">
        <v>-1.1601170000000001</v>
      </c>
      <c r="AE740">
        <v>-0.41820000000001201</v>
      </c>
      <c r="AF740">
        <v>0.55343133757136898</v>
      </c>
      <c r="AG740">
        <v>-1.1601170000000001</v>
      </c>
      <c r="AH740">
        <v>20.417897265458599</v>
      </c>
      <c r="AI740">
        <v>93.250779956048603</v>
      </c>
      <c r="AJ740">
        <v>88.447366181665402</v>
      </c>
      <c r="AK740">
        <v>20.458315826135799</v>
      </c>
      <c r="AL740">
        <v>72.272359979860994</v>
      </c>
      <c r="AM740">
        <v>95.581375097313895</v>
      </c>
      <c r="AN740">
        <v>1.0000000054420699</v>
      </c>
    </row>
    <row r="741" spans="1:40" x14ac:dyDescent="0.25">
      <c r="A741" t="str">
        <f>"20190304164348226"</f>
        <v>20190304164348226</v>
      </c>
      <c r="B741" t="str">
        <f>"1551689028221043"</f>
        <v>1551689028221043</v>
      </c>
      <c r="C741" t="s">
        <v>40</v>
      </c>
      <c r="D741">
        <v>4.5886380000000004</v>
      </c>
      <c r="E741">
        <v>0.56568130000000005</v>
      </c>
      <c r="F741" t="s">
        <v>41</v>
      </c>
      <c r="G741">
        <v>-330.65170000000001</v>
      </c>
      <c r="H741">
        <v>1.0485370000000001</v>
      </c>
      <c r="I741">
        <v>367.51870000000002</v>
      </c>
      <c r="J741">
        <v>-331.51900000000001</v>
      </c>
      <c r="K741">
        <v>1.110114</v>
      </c>
      <c r="L741">
        <v>367.54289999999997</v>
      </c>
      <c r="M741">
        <v>0.99989289999999997</v>
      </c>
      <c r="N741">
        <v>-1.3024579999999999E-2</v>
      </c>
      <c r="O741">
        <v>6.6875390000000002E-3</v>
      </c>
      <c r="P741">
        <v>0.95121219999999995</v>
      </c>
      <c r="Q741">
        <v>0.29224430000000001</v>
      </c>
      <c r="R741">
        <v>9.8937609999999995E-2</v>
      </c>
      <c r="S741">
        <v>3.2158509999999998</v>
      </c>
      <c r="T741">
        <v>-0.18009220000000001</v>
      </c>
      <c r="U741">
        <v>-6.5460210000000005E-2</v>
      </c>
      <c r="V741">
        <v>-9.2561519999999994E-2</v>
      </c>
      <c r="W741">
        <v>0.30462070000000002</v>
      </c>
      <c r="X741">
        <v>0.94796550000000002</v>
      </c>
      <c r="Y741">
        <v>2.6979260000000001E-2</v>
      </c>
      <c r="Z741">
        <v>-1.217802E-3</v>
      </c>
      <c r="AA741">
        <v>0.9996353</v>
      </c>
      <c r="AB741">
        <v>41</v>
      </c>
      <c r="AC741">
        <v>0.86729999999999996</v>
      </c>
      <c r="AD741">
        <v>-6.1576999999999903E-2</v>
      </c>
      <c r="AE741">
        <v>-2.4199999999950698E-2</v>
      </c>
      <c r="AF741">
        <v>2.9849703898696001E-2</v>
      </c>
      <c r="AG741">
        <v>-6.1576999999999903E-2</v>
      </c>
      <c r="AH741">
        <v>0.86277307804543102</v>
      </c>
      <c r="AI741">
        <v>94.079903606601405</v>
      </c>
      <c r="AJ741">
        <v>88.018505441197902</v>
      </c>
      <c r="AK741">
        <v>0.86548259136266104</v>
      </c>
      <c r="AL741">
        <v>72.264654182414901</v>
      </c>
      <c r="AM741">
        <v>95.5768126770365</v>
      </c>
      <c r="AN741">
        <v>0.99999999752172497</v>
      </c>
    </row>
    <row r="742" spans="1:40" x14ac:dyDescent="0.25">
      <c r="A742" t="str">
        <f>"20190304164348237"</f>
        <v>20190304164348237</v>
      </c>
      <c r="B742" t="str">
        <f>"1551689028230801"</f>
        <v>1551689028230801</v>
      </c>
      <c r="C742" t="s">
        <v>40</v>
      </c>
      <c r="D742">
        <v>4.5729579999999999</v>
      </c>
      <c r="E742">
        <v>0.57926119999999903</v>
      </c>
      <c r="F742" t="s">
        <v>43</v>
      </c>
      <c r="G742">
        <v>-313.31270000000001</v>
      </c>
      <c r="H742">
        <v>-0.05</v>
      </c>
      <c r="I742">
        <v>366.85930000000002</v>
      </c>
      <c r="J742">
        <v>-331.3202</v>
      </c>
      <c r="K742">
        <v>1.110114</v>
      </c>
      <c r="L742">
        <v>367.54419999999999</v>
      </c>
      <c r="M742">
        <v>0.99989309999999998</v>
      </c>
      <c r="N742">
        <v>-1.301194E-2</v>
      </c>
      <c r="O742">
        <v>6.6874419999999896E-3</v>
      </c>
      <c r="P742">
        <v>0.95127589999999995</v>
      </c>
      <c r="Q742">
        <v>0.2920894</v>
      </c>
      <c r="R742">
        <v>9.8782289999999995E-2</v>
      </c>
      <c r="S742">
        <v>3.2296450000000001</v>
      </c>
      <c r="T742">
        <v>-0.205794</v>
      </c>
      <c r="U742">
        <v>-0.12127690000000001</v>
      </c>
      <c r="V742">
        <v>-9.2405749999999995E-2</v>
      </c>
      <c r="W742">
        <v>0.30445489999999997</v>
      </c>
      <c r="X742">
        <v>0.94803400000000004</v>
      </c>
      <c r="Y742">
        <v>4.4090989999999997E-2</v>
      </c>
      <c r="Z742">
        <v>-2.0287859999999999E-3</v>
      </c>
      <c r="AA742">
        <v>0.99902550000000001</v>
      </c>
      <c r="AB742">
        <v>41</v>
      </c>
      <c r="AC742">
        <v>18.007499999999901</v>
      </c>
      <c r="AD742">
        <v>-1.1601139999999901</v>
      </c>
      <c r="AE742">
        <v>-0.68489999999996998</v>
      </c>
      <c r="AF742">
        <v>0.80199514801267102</v>
      </c>
      <c r="AG742">
        <v>-1.1601139999999901</v>
      </c>
      <c r="AH742">
        <v>17.928214095684901</v>
      </c>
      <c r="AI742">
        <v>93.698693206158893</v>
      </c>
      <c r="AJ742">
        <v>87.438656029901395</v>
      </c>
      <c r="AK742">
        <v>17.983601457192801</v>
      </c>
      <c r="AL742">
        <v>72.274628277688805</v>
      </c>
      <c r="AM742">
        <v>95.567086831084197</v>
      </c>
      <c r="AN742">
        <v>1.0000000369615301</v>
      </c>
    </row>
    <row r="743" spans="1:40" x14ac:dyDescent="0.25">
      <c r="A743" t="str">
        <f>"20190304164348248"</f>
        <v>20190304164348248</v>
      </c>
      <c r="B743" t="str">
        <f>"1551689028240561"</f>
        <v>1551689028240561</v>
      </c>
      <c r="C743" t="s">
        <v>40</v>
      </c>
      <c r="D743">
        <v>4.5517750000000001</v>
      </c>
      <c r="E743">
        <v>0.57984559999999996</v>
      </c>
      <c r="F743" t="s">
        <v>41</v>
      </c>
      <c r="G743">
        <v>-330.2946</v>
      </c>
      <c r="H743">
        <v>1.02948</v>
      </c>
      <c r="I743">
        <v>367.47329999999999</v>
      </c>
      <c r="J743">
        <v>-331.10890000000001</v>
      </c>
      <c r="K743">
        <v>1.1101110000000001</v>
      </c>
      <c r="L743">
        <v>367.54570000000001</v>
      </c>
      <c r="M743">
        <v>0.99989320000000004</v>
      </c>
      <c r="N743">
        <v>-1.2998030000000001E-2</v>
      </c>
      <c r="O743">
        <v>6.6877119999999898E-3</v>
      </c>
      <c r="P743">
        <v>0.95127079999999997</v>
      </c>
      <c r="Q743">
        <v>0.29219830000000002</v>
      </c>
      <c r="R743">
        <v>9.8510760000000003E-2</v>
      </c>
      <c r="S743">
        <v>3.255585</v>
      </c>
      <c r="T743">
        <v>-0.25603559999999997</v>
      </c>
      <c r="U743">
        <v>-0.22494510000000001</v>
      </c>
      <c r="V743">
        <v>-9.2134259999999996E-2</v>
      </c>
      <c r="W743">
        <v>0.3045503</v>
      </c>
      <c r="X743">
        <v>0.94802980000000003</v>
      </c>
      <c r="Y743">
        <v>7.5317289999999995E-2</v>
      </c>
      <c r="Z743">
        <v>-3.8824010000000002E-3</v>
      </c>
      <c r="AA743">
        <v>0.99715209999999999</v>
      </c>
      <c r="AB743">
        <v>41</v>
      </c>
      <c r="AC743">
        <v>0.81430000000000202</v>
      </c>
      <c r="AD743">
        <v>-8.0631000000000105E-2</v>
      </c>
      <c r="AE743">
        <v>-7.2400000000015993E-2</v>
      </c>
      <c r="AF743">
        <v>7.7094681121540998E-2</v>
      </c>
      <c r="AG743">
        <v>-8.0631000000000105E-2</v>
      </c>
      <c r="AH743">
        <v>0.80595734666206997</v>
      </c>
      <c r="AI743">
        <v>95.687286371756898</v>
      </c>
      <c r="AJ743">
        <v>84.535938182662704</v>
      </c>
      <c r="AK743">
        <v>0.81364131695532504</v>
      </c>
      <c r="AL743">
        <v>72.268890065642907</v>
      </c>
      <c r="AM743">
        <v>95.550857354163398</v>
      </c>
      <c r="AN743">
        <v>1.0000000543919301</v>
      </c>
    </row>
    <row r="744" spans="1:40" x14ac:dyDescent="0.25">
      <c r="A744" t="str">
        <f>"20190304164348260"</f>
        <v>20190304164348260</v>
      </c>
      <c r="B744" t="str">
        <f>"1551689028250321"</f>
        <v>1551689028250321</v>
      </c>
      <c r="C744" t="s">
        <v>40</v>
      </c>
      <c r="D744">
        <v>4.5608709999999997</v>
      </c>
      <c r="E744">
        <v>0.58044580000000001</v>
      </c>
      <c r="F744" t="s">
        <v>41</v>
      </c>
      <c r="G744">
        <v>-330.28699999999998</v>
      </c>
      <c r="H744">
        <v>1.0447690000000001</v>
      </c>
      <c r="I744">
        <v>367.48750000000001</v>
      </c>
      <c r="J744">
        <v>-330.91399999999999</v>
      </c>
      <c r="K744">
        <v>1.110114</v>
      </c>
      <c r="L744">
        <v>367.54700000000003</v>
      </c>
      <c r="M744">
        <v>0.99989340000000004</v>
      </c>
      <c r="N744">
        <v>-1.2984519999999999E-2</v>
      </c>
      <c r="O744">
        <v>6.6878019999999996E-3</v>
      </c>
      <c r="P744">
        <v>0.95132700000000003</v>
      </c>
      <c r="Q744">
        <v>0.29205409999999998</v>
      </c>
      <c r="R744">
        <v>9.8395079999999996E-2</v>
      </c>
      <c r="S744">
        <v>3.2570800000000002</v>
      </c>
      <c r="T744">
        <v>-0.25902900000000001</v>
      </c>
      <c r="U744">
        <v>-0.22988890000000001</v>
      </c>
      <c r="V744">
        <v>-9.2018390000000005E-2</v>
      </c>
      <c r="W744">
        <v>0.3043939</v>
      </c>
      <c r="X744">
        <v>0.94809120000000002</v>
      </c>
      <c r="Y744">
        <v>7.6780699999999993E-2</v>
      </c>
      <c r="Z744">
        <v>-3.9883430000000001E-3</v>
      </c>
      <c r="AA744">
        <v>0.99704000000000004</v>
      </c>
      <c r="AB744">
        <v>41</v>
      </c>
      <c r="AC744">
        <v>0.62700000000000899</v>
      </c>
      <c r="AD744">
        <v>-6.5344999999999903E-2</v>
      </c>
      <c r="AE744">
        <v>-5.9499999999957198E-2</v>
      </c>
      <c r="AF744">
        <v>6.30139568680817E-2</v>
      </c>
      <c r="AG744">
        <v>-6.5344999999999903E-2</v>
      </c>
      <c r="AH744">
        <v>0.619914908130062</v>
      </c>
      <c r="AI744">
        <v>95.986682266061607</v>
      </c>
      <c r="AJ744">
        <v>84.195856219959097</v>
      </c>
      <c r="AK744">
        <v>0.62652631318012197</v>
      </c>
      <c r="AL744">
        <v>72.278296374840593</v>
      </c>
      <c r="AM744">
        <v>95.543563198616397</v>
      </c>
      <c r="AN744">
        <v>0.99999997698641996</v>
      </c>
    </row>
    <row r="745" spans="1:40" x14ac:dyDescent="0.25">
      <c r="A745" t="str">
        <f>"20190304164348269"</f>
        <v>20190304164348269</v>
      </c>
      <c r="B745" t="str">
        <f>"1551689028261057"</f>
        <v>1551689028261057</v>
      </c>
      <c r="C745" t="s">
        <v>40</v>
      </c>
      <c r="D745">
        <v>4.560371</v>
      </c>
      <c r="E745">
        <v>0.58090030000000004</v>
      </c>
      <c r="F745" t="s">
        <v>41</v>
      </c>
      <c r="G745">
        <v>-329.92399999999998</v>
      </c>
      <c r="H745">
        <v>1.031658</v>
      </c>
      <c r="I745">
        <v>367.47559999999999</v>
      </c>
      <c r="J745">
        <v>-330.7115</v>
      </c>
      <c r="K745">
        <v>1.1101099999999999</v>
      </c>
      <c r="L745">
        <v>367.54829999999998</v>
      </c>
      <c r="M745">
        <v>0.99989349999999999</v>
      </c>
      <c r="N745">
        <v>-1.2969899999999901E-2</v>
      </c>
      <c r="O745">
        <v>6.6878980000000003E-3</v>
      </c>
      <c r="P745">
        <v>0.9513028</v>
      </c>
      <c r="Q745">
        <v>0.29218569999999999</v>
      </c>
      <c r="R745">
        <v>9.8236820000000002E-2</v>
      </c>
      <c r="S745">
        <v>3.2569889999999999</v>
      </c>
      <c r="T745">
        <v>-0.25814399999999998</v>
      </c>
      <c r="U745">
        <v>-0.2346191</v>
      </c>
      <c r="V745">
        <v>-9.1859709999999997E-2</v>
      </c>
      <c r="W745">
        <v>0.30451119999999998</v>
      </c>
      <c r="X745">
        <v>0.94806900000000005</v>
      </c>
      <c r="Y745">
        <v>7.8220109999999995E-2</v>
      </c>
      <c r="Z745">
        <v>-4.0418920000000001E-3</v>
      </c>
      <c r="AA745">
        <v>0.99692789999999998</v>
      </c>
      <c r="AB745">
        <v>41</v>
      </c>
      <c r="AC745">
        <v>0.78749999999996501</v>
      </c>
      <c r="AD745">
        <v>-7.8451999999999897E-2</v>
      </c>
      <c r="AE745">
        <v>-7.2699999999997503E-2</v>
      </c>
      <c r="AF745">
        <v>7.7205785870066296E-2</v>
      </c>
      <c r="AG745">
        <v>-7.8451999999999897E-2</v>
      </c>
      <c r="AH745">
        <v>0.77932709254390398</v>
      </c>
      <c r="AI745">
        <v>95.720574518240099</v>
      </c>
      <c r="AJ745">
        <v>84.342325677504505</v>
      </c>
      <c r="AK745">
        <v>0.78706173001153401</v>
      </c>
      <c r="AL745">
        <v>72.271242018120603</v>
      </c>
      <c r="AM745">
        <v>95.534191844220899</v>
      </c>
      <c r="AN745">
        <v>1.00000005300386</v>
      </c>
    </row>
    <row r="746" spans="1:40" x14ac:dyDescent="0.25">
      <c r="A746" t="str">
        <f>"20190304164348281"</f>
        <v>20190304164348281</v>
      </c>
      <c r="B746" t="str">
        <f>"1551689028270818"</f>
        <v>1551689028270818</v>
      </c>
      <c r="C746" t="s">
        <v>40</v>
      </c>
      <c r="D746">
        <v>4.5353500000000002</v>
      </c>
      <c r="E746">
        <v>0.58113749999999997</v>
      </c>
      <c r="F746" t="s">
        <v>41</v>
      </c>
      <c r="G746">
        <v>-329.91489999999999</v>
      </c>
      <c r="H746">
        <v>1.0475669999999999</v>
      </c>
      <c r="I746">
        <v>367.4898</v>
      </c>
      <c r="J746">
        <v>-330.51560000000001</v>
      </c>
      <c r="K746">
        <v>1.1101080000000001</v>
      </c>
      <c r="L746">
        <v>367.5496</v>
      </c>
      <c r="M746">
        <v>0.9998937</v>
      </c>
      <c r="N746">
        <v>-1.2955080000000001E-2</v>
      </c>
      <c r="O746">
        <v>6.6878170000000004E-3</v>
      </c>
      <c r="P746">
        <v>0.95132490000000003</v>
      </c>
      <c r="Q746">
        <v>0.29222700000000001</v>
      </c>
      <c r="R746">
        <v>9.7900089999999995E-2</v>
      </c>
      <c r="S746">
        <v>3.2567140000000001</v>
      </c>
      <c r="T746">
        <v>-0.25580409999999998</v>
      </c>
      <c r="U746">
        <v>-0.23855589999999999</v>
      </c>
      <c r="V746">
        <v>-9.152296E-2</v>
      </c>
      <c r="W746">
        <v>0.3045389</v>
      </c>
      <c r="X746">
        <v>0.94809259999999995</v>
      </c>
      <c r="Y746">
        <v>7.9425549999999998E-2</v>
      </c>
      <c r="Z746">
        <v>-4.0638879999999999E-3</v>
      </c>
      <c r="AA746">
        <v>0.99683250000000001</v>
      </c>
      <c r="AB746">
        <v>41</v>
      </c>
      <c r="AC746">
        <v>0.600700000000017</v>
      </c>
      <c r="AD746">
        <v>-6.2541000000000097E-2</v>
      </c>
      <c r="AE746">
        <v>-5.97999999999956E-2</v>
      </c>
      <c r="AF746">
        <v>6.3138687491862605E-2</v>
      </c>
      <c r="AG746">
        <v>-6.2541000000000097E-2</v>
      </c>
      <c r="AH746">
        <v>0.59391198817189295</v>
      </c>
      <c r="AI746">
        <v>95.977851684550899</v>
      </c>
      <c r="AJ746">
        <v>83.931687359927295</v>
      </c>
      <c r="AK746">
        <v>0.60052420453590905</v>
      </c>
      <c r="AL746">
        <v>72.269574558836197</v>
      </c>
      <c r="AM746">
        <v>95.513892814238901</v>
      </c>
      <c r="AN746">
        <v>0.99999998599756501</v>
      </c>
    </row>
    <row r="747" spans="1:40" x14ac:dyDescent="0.25">
      <c r="A747" t="str">
        <f>"20190304164348292"</f>
        <v>20190304164348292</v>
      </c>
      <c r="B747" t="str">
        <f>"1551689028280577"</f>
        <v>1551689028280577</v>
      </c>
      <c r="C747" t="s">
        <v>40</v>
      </c>
      <c r="D747">
        <v>4.5463310000000003</v>
      </c>
      <c r="E747">
        <v>0.58119480000000001</v>
      </c>
      <c r="F747" t="s">
        <v>41</v>
      </c>
      <c r="G747">
        <v>-329.5532</v>
      </c>
      <c r="H747">
        <v>1.0341009999999999</v>
      </c>
      <c r="I747">
        <v>367.47840000000002</v>
      </c>
      <c r="J747">
        <v>-330.3014</v>
      </c>
      <c r="K747">
        <v>1.110107</v>
      </c>
      <c r="L747">
        <v>367.55099999999999</v>
      </c>
      <c r="M747">
        <v>0.99989399999999995</v>
      </c>
      <c r="N747">
        <v>-1.293853E-2</v>
      </c>
      <c r="O747">
        <v>6.6879269999999998E-3</v>
      </c>
      <c r="P747">
        <v>0.95138840000000002</v>
      </c>
      <c r="Q747">
        <v>0.29209010000000002</v>
      </c>
      <c r="R747">
        <v>9.7691739999999999E-2</v>
      </c>
      <c r="S747">
        <v>3.2572939999999999</v>
      </c>
      <c r="T747">
        <v>-0.25728770000000001</v>
      </c>
      <c r="U747">
        <v>-0.24072270000000001</v>
      </c>
      <c r="V747">
        <v>-9.1313770000000002E-2</v>
      </c>
      <c r="W747">
        <v>0.30438720000000002</v>
      </c>
      <c r="X747">
        <v>0.94816149999999999</v>
      </c>
      <c r="Y747">
        <v>8.0066830000000005E-2</v>
      </c>
      <c r="Z747">
        <v>-4.1130639999999996E-3</v>
      </c>
      <c r="AA747">
        <v>0.99678100000000003</v>
      </c>
      <c r="AB747">
        <v>41</v>
      </c>
      <c r="AC747">
        <v>0.74819999999999698</v>
      </c>
      <c r="AD747">
        <v>-7.6006000000000004E-2</v>
      </c>
      <c r="AE747">
        <v>-7.2599999999965803E-2</v>
      </c>
      <c r="AF747">
        <v>7.6817375726689896E-2</v>
      </c>
      <c r="AG747">
        <v>-7.6006000000000004E-2</v>
      </c>
      <c r="AH747">
        <v>0.74013110942165705</v>
      </c>
      <c r="AI747">
        <v>95.832189405161202</v>
      </c>
      <c r="AJ747">
        <v>84.074551254833295</v>
      </c>
      <c r="AK747">
        <v>0.74797852935981302</v>
      </c>
      <c r="AL747">
        <v>72.2786998217329</v>
      </c>
      <c r="AM747">
        <v>95.500970041254305</v>
      </c>
      <c r="AN747">
        <v>1.0000000010988499</v>
      </c>
    </row>
    <row r="748" spans="1:40" x14ac:dyDescent="0.25">
      <c r="A748" t="str">
        <f>"20190304164348304"</f>
        <v>20190304164348304</v>
      </c>
      <c r="B748" t="str">
        <f>"1551689028290337"</f>
        <v>1551689028290337</v>
      </c>
      <c r="C748" t="s">
        <v>40</v>
      </c>
      <c r="D748">
        <v>4.5577769999999997</v>
      </c>
      <c r="E748">
        <v>0.58123970000000003</v>
      </c>
      <c r="F748" t="s">
        <v>41</v>
      </c>
      <c r="G748">
        <v>-329.54360000000003</v>
      </c>
      <c r="H748">
        <v>1.0494399999999999</v>
      </c>
      <c r="I748">
        <v>367.49489999999997</v>
      </c>
      <c r="J748">
        <v>-330.09739999999999</v>
      </c>
      <c r="K748">
        <v>1.110106</v>
      </c>
      <c r="L748">
        <v>367.55239999999998</v>
      </c>
      <c r="M748">
        <v>0.99989410000000001</v>
      </c>
      <c r="N748">
        <v>-1.292275E-2</v>
      </c>
      <c r="O748">
        <v>6.6880300000000002E-3</v>
      </c>
      <c r="P748">
        <v>0.95143080000000002</v>
      </c>
      <c r="Q748">
        <v>0.29196620000000001</v>
      </c>
      <c r="R748">
        <v>9.7647680000000001E-2</v>
      </c>
      <c r="S748">
        <v>3.2581180000000001</v>
      </c>
      <c r="T748">
        <v>-0.26084740000000001</v>
      </c>
      <c r="U748">
        <v>-0.24111940000000001</v>
      </c>
      <c r="V748">
        <v>-9.1269630000000004E-2</v>
      </c>
      <c r="W748">
        <v>0.30424909999999999</v>
      </c>
      <c r="X748">
        <v>0.94821009999999994</v>
      </c>
      <c r="Y748">
        <v>8.0161010000000005E-2</v>
      </c>
      <c r="Z748">
        <v>-4.1667359999999999E-3</v>
      </c>
      <c r="AA748">
        <v>0.99677320000000003</v>
      </c>
      <c r="AB748">
        <v>41</v>
      </c>
      <c r="AC748">
        <v>0.55379999999996699</v>
      </c>
      <c r="AD748">
        <v>-6.0666000000000102E-2</v>
      </c>
      <c r="AE748">
        <v>-5.7500000000004499E-2</v>
      </c>
      <c r="AF748">
        <v>6.04847721081056E-2</v>
      </c>
      <c r="AG748">
        <v>-6.0666000000000102E-2</v>
      </c>
      <c r="AH748">
        <v>0.54691003989009501</v>
      </c>
      <c r="AI748">
        <v>96.291609738867805</v>
      </c>
      <c r="AJ748">
        <v>83.689097249064901</v>
      </c>
      <c r="AK748">
        <v>0.55357868722120596</v>
      </c>
      <c r="AL748">
        <v>72.287006817020497</v>
      </c>
      <c r="AM748">
        <v>95.498047149331697</v>
      </c>
      <c r="AN748">
        <v>1.0000000269765701</v>
      </c>
    </row>
    <row r="749" spans="1:40" x14ac:dyDescent="0.25">
      <c r="A749" t="str">
        <f>"20190304164348315"</f>
        <v>20190304164348315</v>
      </c>
      <c r="B749" t="str">
        <f>"1551689028310365"</f>
        <v>1551689028310365</v>
      </c>
      <c r="C749" t="s">
        <v>40</v>
      </c>
      <c r="D749">
        <v>4.5463809999999896</v>
      </c>
      <c r="E749">
        <v>0.58123239999999998</v>
      </c>
      <c r="F749" t="s">
        <v>41</v>
      </c>
      <c r="G749">
        <v>-329.1825</v>
      </c>
      <c r="H749">
        <v>1.0365</v>
      </c>
      <c r="I749">
        <v>367.48430000000002</v>
      </c>
      <c r="J749">
        <v>-329.8904</v>
      </c>
      <c r="K749">
        <v>1.110107</v>
      </c>
      <c r="L749">
        <v>367.55380000000002</v>
      </c>
      <c r="M749">
        <v>0.99989430000000001</v>
      </c>
      <c r="N749">
        <v>-1.2906809999999999E-2</v>
      </c>
      <c r="O749">
        <v>6.6879560000000001E-3</v>
      </c>
      <c r="P749">
        <v>0.95141929999999997</v>
      </c>
      <c r="Q749">
        <v>0.29202009999999901</v>
      </c>
      <c r="R749">
        <v>9.7600909999999999E-2</v>
      </c>
      <c r="S749">
        <v>3.2584230000000001</v>
      </c>
      <c r="T749">
        <v>-0.26227139999999999</v>
      </c>
      <c r="U749">
        <v>-0.24182129999999999</v>
      </c>
      <c r="V749">
        <v>-9.1223680000000001E-2</v>
      </c>
      <c r="W749">
        <v>0.30428769999999999</v>
      </c>
      <c r="X749">
        <v>0.94820210000000005</v>
      </c>
      <c r="Y749">
        <v>8.0363740000000003E-2</v>
      </c>
      <c r="Z749">
        <v>-4.1955949999999999E-3</v>
      </c>
      <c r="AA749">
        <v>0.9967568</v>
      </c>
      <c r="AB749">
        <v>41</v>
      </c>
      <c r="AC749">
        <v>0.70789999999999498</v>
      </c>
      <c r="AD749">
        <v>-7.3606999999999895E-2</v>
      </c>
      <c r="AE749">
        <v>-6.9500000000005002E-2</v>
      </c>
      <c r="AF749">
        <v>7.3446740126548699E-2</v>
      </c>
      <c r="AG749">
        <v>-7.3606999999999895E-2</v>
      </c>
      <c r="AH749">
        <v>0.69992418066738804</v>
      </c>
      <c r="AI749">
        <v>95.970855873485206</v>
      </c>
      <c r="AJ749">
        <v>84.009574801293098</v>
      </c>
      <c r="AK749">
        <v>0.70760601521406696</v>
      </c>
      <c r="AL749">
        <v>72.284684503561806</v>
      </c>
      <c r="AM749">
        <v>95.495342167406406</v>
      </c>
      <c r="AN749">
        <v>0.99999999330422096</v>
      </c>
    </row>
    <row r="750" spans="1:40" x14ac:dyDescent="0.25">
      <c r="A750" t="str">
        <f>"20190304164348326"</f>
        <v>20190304164348326</v>
      </c>
      <c r="B750" t="str">
        <f>"1551689028321102"</f>
        <v>1551689028321102</v>
      </c>
      <c r="C750" t="s">
        <v>40</v>
      </c>
      <c r="D750">
        <v>4.5602269999999896</v>
      </c>
      <c r="E750">
        <v>0.58113719999999902</v>
      </c>
      <c r="F750" t="s">
        <v>41</v>
      </c>
      <c r="G750">
        <v>-328.81950000000001</v>
      </c>
      <c r="H750">
        <v>1.0230440000000001</v>
      </c>
      <c r="I750">
        <v>367.4744</v>
      </c>
      <c r="J750">
        <v>-329.67399999999998</v>
      </c>
      <c r="K750">
        <v>1.1101080000000001</v>
      </c>
      <c r="L750">
        <v>367.55520000000001</v>
      </c>
      <c r="M750">
        <v>0.99989459999999997</v>
      </c>
      <c r="N750">
        <v>-1.289089E-2</v>
      </c>
      <c r="O750">
        <v>6.68806E-3</v>
      </c>
      <c r="P750">
        <v>0.95134070000000004</v>
      </c>
      <c r="Q750">
        <v>0.29230630000000002</v>
      </c>
      <c r="R750">
        <v>9.750926E-2</v>
      </c>
      <c r="S750">
        <v>3.259277</v>
      </c>
      <c r="T750">
        <v>-0.2649415</v>
      </c>
      <c r="U750">
        <v>-0.24166869999999999</v>
      </c>
      <c r="V750">
        <v>-9.1131790000000004E-2</v>
      </c>
      <c r="W750">
        <v>0.30455749999999998</v>
      </c>
      <c r="X750">
        <v>0.94812430000000003</v>
      </c>
      <c r="Y750">
        <v>8.0292550000000004E-2</v>
      </c>
      <c r="Z750">
        <v>-4.2289240000000002E-3</v>
      </c>
      <c r="AA750">
        <v>0.99676240000000005</v>
      </c>
      <c r="AB750">
        <v>41</v>
      </c>
      <c r="AC750">
        <v>0.85450000000003001</v>
      </c>
      <c r="AD750">
        <v>-8.7064000000000002E-2</v>
      </c>
      <c r="AE750">
        <v>-8.0800000000010599E-2</v>
      </c>
      <c r="AF750">
        <v>8.5632512989633994E-2</v>
      </c>
      <c r="AG750">
        <v>-8.7064000000000002E-2</v>
      </c>
      <c r="AH750">
        <v>0.84524345428681802</v>
      </c>
      <c r="AI750">
        <v>95.8512484530291</v>
      </c>
      <c r="AJ750">
        <v>84.215041917639496</v>
      </c>
      <c r="AK750">
        <v>0.85401965105706601</v>
      </c>
      <c r="AL750">
        <v>72.268455618814599</v>
      </c>
      <c r="AM750">
        <v>95.490288246326799</v>
      </c>
      <c r="AN750">
        <v>0.99999998110267196</v>
      </c>
    </row>
    <row r="751" spans="1:40" x14ac:dyDescent="0.25">
      <c r="A751" t="str">
        <f>"20190304164348337"</f>
        <v>20190304164348337</v>
      </c>
      <c r="B751" t="str">
        <f>"1551689028330860"</f>
        <v>1551689028330860</v>
      </c>
      <c r="C751" t="s">
        <v>40</v>
      </c>
      <c r="D751">
        <v>4.5620399999999997</v>
      </c>
      <c r="E751">
        <v>0.58109270000000002</v>
      </c>
      <c r="F751" t="s">
        <v>41</v>
      </c>
      <c r="G751">
        <v>-328.81119999999999</v>
      </c>
      <c r="H751">
        <v>1.040276</v>
      </c>
      <c r="I751">
        <v>367.49119999999999</v>
      </c>
      <c r="J751">
        <v>-329.47800000000001</v>
      </c>
      <c r="K751">
        <v>1.1101019999999999</v>
      </c>
      <c r="L751">
        <v>367.55650000000003</v>
      </c>
      <c r="M751">
        <v>0.99989490000000003</v>
      </c>
      <c r="N751">
        <v>-1.2876820000000001E-2</v>
      </c>
      <c r="O751">
        <v>6.6879740000000002E-3</v>
      </c>
      <c r="P751">
        <v>0.95140009999999997</v>
      </c>
      <c r="Q751">
        <v>0.2921569</v>
      </c>
      <c r="R751">
        <v>9.7379049999999995E-2</v>
      </c>
      <c r="S751">
        <v>3.259277</v>
      </c>
      <c r="T751">
        <v>-0.26376759999999999</v>
      </c>
      <c r="U751">
        <v>-0.24200440000000001</v>
      </c>
      <c r="V751">
        <v>-9.1001529999999997E-2</v>
      </c>
      <c r="W751">
        <v>0.3043959</v>
      </c>
      <c r="X751">
        <v>0.9481887</v>
      </c>
      <c r="Y751">
        <v>8.0396869999999995E-2</v>
      </c>
      <c r="Z751">
        <v>-4.216544E-3</v>
      </c>
      <c r="AA751">
        <v>0.99675400000000003</v>
      </c>
      <c r="AB751">
        <v>41</v>
      </c>
      <c r="AC751">
        <v>0.66680000000002304</v>
      </c>
      <c r="AD751">
        <v>-6.9826000000000096E-2</v>
      </c>
      <c r="AE751">
        <v>-6.5300000000036107E-2</v>
      </c>
      <c r="AF751">
        <v>6.9008895219927993E-2</v>
      </c>
      <c r="AG751">
        <v>-6.9826000000000096E-2</v>
      </c>
      <c r="AH751">
        <v>0.65918841469030698</v>
      </c>
      <c r="AI751">
        <v>96.014011992461405</v>
      </c>
      <c r="AJ751">
        <v>84.023608016607497</v>
      </c>
      <c r="AK751">
        <v>0.66645874887902501</v>
      </c>
      <c r="AL751">
        <v>72.278176067526999</v>
      </c>
      <c r="AM751">
        <v>95.482118408073305</v>
      </c>
      <c r="AN751">
        <v>0.99999997660341999</v>
      </c>
    </row>
    <row r="752" spans="1:40" x14ac:dyDescent="0.25">
      <c r="A752" t="str">
        <f>"20190304164348348"</f>
        <v>20190304164348348</v>
      </c>
      <c r="B752" t="str">
        <f>"1551689028340621"</f>
        <v>1551689028340621</v>
      </c>
      <c r="C752" t="s">
        <v>40</v>
      </c>
      <c r="D752">
        <v>4.5519350000000003</v>
      </c>
      <c r="E752">
        <v>0.58102100000000001</v>
      </c>
      <c r="F752" t="s">
        <v>41</v>
      </c>
      <c r="G752">
        <v>-328.44830000000002</v>
      </c>
      <c r="H752">
        <v>1.026748</v>
      </c>
      <c r="I752">
        <v>367.47969999999998</v>
      </c>
      <c r="J752">
        <v>-329.26650000000001</v>
      </c>
      <c r="K752">
        <v>1.110101</v>
      </c>
      <c r="L752">
        <v>367.55799999999999</v>
      </c>
      <c r="M752">
        <v>0.99989510000000004</v>
      </c>
      <c r="N752">
        <v>-1.2862409999999999E-2</v>
      </c>
      <c r="O752">
        <v>6.6880669999999998E-3</v>
      </c>
      <c r="P752">
        <v>0.95132090000000002</v>
      </c>
      <c r="Q752">
        <v>0.29236790000000001</v>
      </c>
      <c r="R752">
        <v>9.7519309999999998E-2</v>
      </c>
      <c r="S752">
        <v>3.259125</v>
      </c>
      <c r="T752">
        <v>-0.26401819999999998</v>
      </c>
      <c r="U752">
        <v>-0.2423401</v>
      </c>
      <c r="V752">
        <v>-9.1142029999999999E-2</v>
      </c>
      <c r="W752">
        <v>0.30459150000000002</v>
      </c>
      <c r="X752">
        <v>0.94811239999999997</v>
      </c>
      <c r="Y752">
        <v>8.050156E-2</v>
      </c>
      <c r="Z752">
        <v>-4.2247179999999997E-3</v>
      </c>
      <c r="AA752">
        <v>0.99674549999999995</v>
      </c>
      <c r="AB752">
        <v>41</v>
      </c>
      <c r="AC752">
        <v>0.81819999999999005</v>
      </c>
      <c r="AD752">
        <v>-8.3352999999999997E-2</v>
      </c>
      <c r="AE752">
        <v>-7.8300000000069703E-2</v>
      </c>
      <c r="AF752">
        <v>8.29181420042025E-2</v>
      </c>
      <c r="AG752">
        <v>-8.3352999999999997E-2</v>
      </c>
      <c r="AH752">
        <v>0.80933473721721705</v>
      </c>
      <c r="AI752">
        <v>95.849727138467799</v>
      </c>
      <c r="AJ752">
        <v>84.150330051957596</v>
      </c>
      <c r="AK752">
        <v>0.81782996872754199</v>
      </c>
      <c r="AL752">
        <v>72.266410503422904</v>
      </c>
      <c r="AM752">
        <v>95.490969887531904</v>
      </c>
      <c r="AN752">
        <v>0.99999998726926498</v>
      </c>
    </row>
    <row r="753" spans="1:40" x14ac:dyDescent="0.25">
      <c r="A753" t="str">
        <f>"20190304164348361"</f>
        <v>20190304164348361</v>
      </c>
      <c r="B753" t="str">
        <f>"1551689028350381"</f>
        <v>1551689028350381</v>
      </c>
      <c r="C753" t="s">
        <v>40</v>
      </c>
      <c r="D753">
        <v>4.5455610000000002</v>
      </c>
      <c r="E753">
        <v>0.58102339999999997</v>
      </c>
      <c r="F753" t="s">
        <v>41</v>
      </c>
      <c r="G753">
        <v>-328.44029999999998</v>
      </c>
      <c r="H753">
        <v>1.0432349999999999</v>
      </c>
      <c r="I753">
        <v>367.4966</v>
      </c>
      <c r="J753">
        <v>-329.05180000000001</v>
      </c>
      <c r="K753">
        <v>1.1100969999999999</v>
      </c>
      <c r="L753">
        <v>367.55939999999998</v>
      </c>
      <c r="M753">
        <v>0.99989519999999998</v>
      </c>
      <c r="N753">
        <v>-1.284853E-2</v>
      </c>
      <c r="O753">
        <v>6.6881569999999897E-3</v>
      </c>
      <c r="P753">
        <v>0.95132260000000002</v>
      </c>
      <c r="Q753">
        <v>0.29234850000000001</v>
      </c>
      <c r="R753">
        <v>9.7560380000000002E-2</v>
      </c>
      <c r="S753">
        <v>3.2593380000000001</v>
      </c>
      <c r="T753">
        <v>-0.2639804</v>
      </c>
      <c r="U753">
        <v>-0.24084469999999999</v>
      </c>
      <c r="V753">
        <v>-9.1182840000000001E-2</v>
      </c>
      <c r="W753">
        <v>0.30455890000000002</v>
      </c>
      <c r="X753">
        <v>0.94811900000000005</v>
      </c>
      <c r="Y753">
        <v>8.0043890000000006E-2</v>
      </c>
      <c r="Z753">
        <v>-4.2020929999999996E-3</v>
      </c>
      <c r="AA753">
        <v>0.99678250000000002</v>
      </c>
      <c r="AB753">
        <v>41</v>
      </c>
      <c r="AC753">
        <v>0.61150000000003502</v>
      </c>
      <c r="AD753">
        <v>-6.6861999999999699E-2</v>
      </c>
      <c r="AE753">
        <v>-6.2799999999981496E-2</v>
      </c>
      <c r="AF753">
        <v>6.6106654386164199E-2</v>
      </c>
      <c r="AG753">
        <v>-6.6861999999999699E-2</v>
      </c>
      <c r="AH753">
        <v>0.60392147483671799</v>
      </c>
      <c r="AI753">
        <v>96.280451050969205</v>
      </c>
      <c r="AJ753">
        <v>83.753140964220805</v>
      </c>
      <c r="AK753">
        <v>0.61119699325756605</v>
      </c>
      <c r="AL753">
        <v>72.268372410095793</v>
      </c>
      <c r="AM753">
        <v>95.493375495763104</v>
      </c>
      <c r="AN753">
        <v>1.0000000360203301</v>
      </c>
    </row>
    <row r="754" spans="1:40" x14ac:dyDescent="0.25">
      <c r="A754" t="str">
        <f>"20190304164348374"</f>
        <v>20190304164348374</v>
      </c>
      <c r="B754" t="str">
        <f>"1551689028361117"</f>
        <v>1551689028361117</v>
      </c>
      <c r="C754" t="s">
        <v>40</v>
      </c>
      <c r="D754">
        <v>4.5477259999999999</v>
      </c>
      <c r="E754">
        <v>0.58101119999999995</v>
      </c>
      <c r="F754" t="s">
        <v>41</v>
      </c>
      <c r="G754">
        <v>-328.07690000000002</v>
      </c>
      <c r="H754">
        <v>1.0308299999999999</v>
      </c>
      <c r="I754">
        <v>367.48719999999997</v>
      </c>
      <c r="J754">
        <v>-328.7989</v>
      </c>
      <c r="K754">
        <v>1.110096</v>
      </c>
      <c r="L754">
        <v>367.56110000000001</v>
      </c>
      <c r="M754">
        <v>0.99989530000000004</v>
      </c>
      <c r="N754">
        <v>-1.283288E-2</v>
      </c>
      <c r="O754">
        <v>6.6882590000000002E-3</v>
      </c>
      <c r="P754">
        <v>0.95127830000000002</v>
      </c>
      <c r="Q754">
        <v>0.29246460000000002</v>
      </c>
      <c r="R754">
        <v>9.764275E-2</v>
      </c>
      <c r="S754">
        <v>3.2597049999999999</v>
      </c>
      <c r="T754">
        <v>-0.26514880000000002</v>
      </c>
      <c r="U754">
        <v>-0.24084469999999999</v>
      </c>
      <c r="V754">
        <v>-9.126563E-2</v>
      </c>
      <c r="W754">
        <v>0.30465979999999998</v>
      </c>
      <c r="X754">
        <v>0.94807859999999999</v>
      </c>
      <c r="Y754">
        <v>8.0033240000000005E-2</v>
      </c>
      <c r="Z754">
        <v>-4.2173000000000002E-3</v>
      </c>
      <c r="AA754">
        <v>0.99678330000000004</v>
      </c>
      <c r="AB754">
        <v>41</v>
      </c>
      <c r="AC754">
        <v>0.72199999999997999</v>
      </c>
      <c r="AD754">
        <v>-7.9266000000000003E-2</v>
      </c>
      <c r="AE754">
        <v>-7.3900000000037297E-2</v>
      </c>
      <c r="AF754">
        <v>7.7799660983861305E-2</v>
      </c>
      <c r="AG754">
        <v>-7.9266000000000003E-2</v>
      </c>
      <c r="AH754">
        <v>0.71298495024759001</v>
      </c>
      <c r="AI754">
        <v>96.306668876448498</v>
      </c>
      <c r="AJ754">
        <v>83.772623564825693</v>
      </c>
      <c r="AK754">
        <v>0.72158396967003202</v>
      </c>
      <c r="AL754">
        <v>72.262302536575703</v>
      </c>
      <c r="AM754">
        <v>95.498565548777606</v>
      </c>
      <c r="AN754">
        <v>1.0000000203666399</v>
      </c>
    </row>
    <row r="755" spans="1:40" x14ac:dyDescent="0.25">
      <c r="A755" t="str">
        <f>"20190304164348388"</f>
        <v>20190304164348388</v>
      </c>
      <c r="B755" t="str">
        <f>"1551689028380636"</f>
        <v>1551689028380636</v>
      </c>
      <c r="C755" t="s">
        <v>40</v>
      </c>
      <c r="D755">
        <v>4.5553679999999996</v>
      </c>
      <c r="E755">
        <v>0.58101720000000001</v>
      </c>
      <c r="F755" t="s">
        <v>41</v>
      </c>
      <c r="G755">
        <v>-327.71199999999999</v>
      </c>
      <c r="H755">
        <v>1.021709</v>
      </c>
      <c r="I755">
        <v>367.48070000000001</v>
      </c>
      <c r="J755">
        <v>-328.52940000000001</v>
      </c>
      <c r="K755">
        <v>1.110098</v>
      </c>
      <c r="L755">
        <v>367.56290000000001</v>
      </c>
      <c r="M755">
        <v>0.99989550000000005</v>
      </c>
      <c r="N755">
        <v>-1.281758E-2</v>
      </c>
      <c r="O755">
        <v>6.6885369999999996E-3</v>
      </c>
      <c r="P755">
        <v>0.95124140000000001</v>
      </c>
      <c r="Q755">
        <v>0.29257850000000002</v>
      </c>
      <c r="R755">
        <v>9.7661510000000007E-2</v>
      </c>
      <c r="S755">
        <v>3.2598569999999998</v>
      </c>
      <c r="T755">
        <v>-0.26524619999999999</v>
      </c>
      <c r="U755">
        <v>-0.24038699999999999</v>
      </c>
      <c r="V755">
        <v>-9.1284299999999999E-2</v>
      </c>
      <c r="W755">
        <v>0.3047588</v>
      </c>
      <c r="X755">
        <v>0.94804500000000003</v>
      </c>
      <c r="Y755">
        <v>7.989127E-2</v>
      </c>
      <c r="Z755">
        <v>-4.2113619999999997E-3</v>
      </c>
      <c r="AA755">
        <v>0.99679470000000003</v>
      </c>
      <c r="AB755">
        <v>41</v>
      </c>
      <c r="AC755">
        <v>0.81740000000002</v>
      </c>
      <c r="AD755">
        <v>-8.8388999999999995E-2</v>
      </c>
      <c r="AE755">
        <v>-8.2200000000000203E-2</v>
      </c>
      <c r="AF755">
        <v>8.6662616639203799E-2</v>
      </c>
      <c r="AG755">
        <v>-8.8388999999999995E-2</v>
      </c>
      <c r="AH755">
        <v>0.80748445685938297</v>
      </c>
      <c r="AI755">
        <v>96.211460014963706</v>
      </c>
      <c r="AJ755">
        <v>83.874224842511296</v>
      </c>
      <c r="AK755">
        <v>0.816917482071014</v>
      </c>
      <c r="AL755">
        <v>72.256347326654904</v>
      </c>
      <c r="AM755">
        <v>95.499877203065395</v>
      </c>
      <c r="AN755">
        <v>1.0000000358144601</v>
      </c>
    </row>
    <row r="756" spans="1:40" x14ac:dyDescent="0.25">
      <c r="A756" t="str">
        <f>"20190304164348404"</f>
        <v>20190304164348404</v>
      </c>
      <c r="B756" t="str">
        <f>"1551689028390397"</f>
        <v>1551689028390397</v>
      </c>
      <c r="C756" t="s">
        <v>40</v>
      </c>
      <c r="D756">
        <v>4.552994</v>
      </c>
      <c r="E756">
        <v>0.58098959999999999</v>
      </c>
      <c r="F756" t="s">
        <v>41</v>
      </c>
      <c r="G756">
        <v>-327.70179999999999</v>
      </c>
      <c r="H756">
        <v>1.042835</v>
      </c>
      <c r="I756">
        <v>367.5016</v>
      </c>
      <c r="J756">
        <v>-328.25409999999999</v>
      </c>
      <c r="K756">
        <v>1.110107</v>
      </c>
      <c r="L756">
        <v>367.56470000000002</v>
      </c>
      <c r="M756">
        <v>0.99989570000000005</v>
      </c>
      <c r="N756">
        <v>-1.280443E-2</v>
      </c>
      <c r="O756">
        <v>6.6888E-3</v>
      </c>
      <c r="P756">
        <v>0.95119450000000005</v>
      </c>
      <c r="Q756">
        <v>0.29256300000000002</v>
      </c>
      <c r="R756">
        <v>9.8164630000000003E-2</v>
      </c>
      <c r="S756">
        <v>3.2600099999999999</v>
      </c>
      <c r="T756">
        <v>-0.26514080000000001</v>
      </c>
      <c r="U756">
        <v>-0.24047850000000001</v>
      </c>
      <c r="V756">
        <v>-9.1787850000000004E-2</v>
      </c>
      <c r="W756">
        <v>0.30473060000000002</v>
      </c>
      <c r="X756">
        <v>0.9480054</v>
      </c>
      <c r="Y756">
        <v>7.9916169999999995E-2</v>
      </c>
      <c r="Z756">
        <v>-4.2104330000000004E-3</v>
      </c>
      <c r="AA756">
        <v>0.99679269999999998</v>
      </c>
      <c r="AB756">
        <v>41</v>
      </c>
      <c r="AC756">
        <v>0.55230000000000201</v>
      </c>
      <c r="AD756">
        <v>-6.7271999999999998E-2</v>
      </c>
      <c r="AE756">
        <v>-6.3100000000019904E-2</v>
      </c>
      <c r="AF756">
        <v>6.5829055117931898E-2</v>
      </c>
      <c r="AG756">
        <v>-6.7271999999999998E-2</v>
      </c>
      <c r="AH756">
        <v>0.54390018057940503</v>
      </c>
      <c r="AI756">
        <v>97.000216070654403</v>
      </c>
      <c r="AJ756">
        <v>83.098972043929194</v>
      </c>
      <c r="AK756">
        <v>0.55198405132397599</v>
      </c>
      <c r="AL756">
        <v>72.258042978920599</v>
      </c>
      <c r="AM756">
        <v>95.5302580936374</v>
      </c>
      <c r="AN756">
        <v>0.99999999320657096</v>
      </c>
    </row>
    <row r="757" spans="1:40" x14ac:dyDescent="0.25">
      <c r="A757" t="str">
        <f>"20190304164348417"</f>
        <v>20190304164348417</v>
      </c>
      <c r="B757" t="str">
        <f>"1551689028410893"</f>
        <v>1551689028410893</v>
      </c>
      <c r="C757" t="s">
        <v>40</v>
      </c>
      <c r="D757">
        <v>4.5634059999999996</v>
      </c>
      <c r="E757">
        <v>0.58092390000000005</v>
      </c>
      <c r="F757" t="s">
        <v>41</v>
      </c>
      <c r="G757">
        <v>-327.33609999999999</v>
      </c>
      <c r="H757">
        <v>1.0352539999999999</v>
      </c>
      <c r="I757">
        <v>367.49770000000001</v>
      </c>
      <c r="J757">
        <v>-328.0061</v>
      </c>
      <c r="K757">
        <v>1.1101080000000001</v>
      </c>
      <c r="L757">
        <v>367.56639999999999</v>
      </c>
      <c r="M757">
        <v>0.9998958</v>
      </c>
      <c r="N757">
        <v>-1.279509E-2</v>
      </c>
      <c r="O757">
        <v>6.6888609999999999E-3</v>
      </c>
      <c r="P757">
        <v>0.95119290000000001</v>
      </c>
      <c r="Q757">
        <v>0.29251490000000002</v>
      </c>
      <c r="R757">
        <v>9.8322220000000002E-2</v>
      </c>
      <c r="S757">
        <v>3.260284</v>
      </c>
      <c r="T757">
        <v>-0.2657505</v>
      </c>
      <c r="U757">
        <v>-0.2381897</v>
      </c>
      <c r="V757">
        <v>-9.1945550000000001E-2</v>
      </c>
      <c r="W757">
        <v>0.30467379999999999</v>
      </c>
      <c r="X757">
        <v>0.94800839999999997</v>
      </c>
      <c r="Y757">
        <v>7.9215359999999999E-2</v>
      </c>
      <c r="Z757">
        <v>-4.1855870000000002E-3</v>
      </c>
      <c r="AA757">
        <v>0.99684879999999998</v>
      </c>
      <c r="AB757">
        <v>41</v>
      </c>
      <c r="AC757">
        <v>0.67000000000001503</v>
      </c>
      <c r="AD757">
        <v>-7.4853999999999907E-2</v>
      </c>
      <c r="AE757">
        <v>-6.8699999999978403E-2</v>
      </c>
      <c r="AF757">
        <v>7.2287469929189996E-2</v>
      </c>
      <c r="AG757">
        <v>-7.4853999999999907E-2</v>
      </c>
      <c r="AH757">
        <v>0.66135635721155706</v>
      </c>
      <c r="AI757">
        <v>96.419491702156407</v>
      </c>
      <c r="AJ757">
        <v>83.762227618675794</v>
      </c>
      <c r="AK757">
        <v>0.66949296549620596</v>
      </c>
      <c r="AL757">
        <v>72.261460305493102</v>
      </c>
      <c r="AM757">
        <v>95.539683112402003</v>
      </c>
      <c r="AN757">
        <v>1.0000000175209001</v>
      </c>
    </row>
    <row r="758" spans="1:40" x14ac:dyDescent="0.25">
      <c r="A758" t="str">
        <f>"20190304164348430"</f>
        <v>20190304164348430</v>
      </c>
      <c r="B758" t="str">
        <f>"1551689028420653"</f>
        <v>1551689028420653</v>
      </c>
      <c r="C758" t="s">
        <v>40</v>
      </c>
      <c r="D758">
        <v>4.572292</v>
      </c>
      <c r="E758">
        <v>0.580955</v>
      </c>
      <c r="F758" t="s">
        <v>41</v>
      </c>
      <c r="G758">
        <v>-326.97160000000002</v>
      </c>
      <c r="H758">
        <v>1.025406</v>
      </c>
      <c r="I758">
        <v>367.49110000000002</v>
      </c>
      <c r="J758">
        <v>-327.75990000000002</v>
      </c>
      <c r="K758">
        <v>1.1101099999999999</v>
      </c>
      <c r="L758">
        <v>367.56810000000002</v>
      </c>
      <c r="M758">
        <v>0.99989589999999995</v>
      </c>
      <c r="N758">
        <v>-1.2790070000000001E-2</v>
      </c>
      <c r="O758">
        <v>6.6888929999999996E-3</v>
      </c>
      <c r="P758">
        <v>0.9511617</v>
      </c>
      <c r="Q758">
        <v>0.29257539999999999</v>
      </c>
      <c r="R758">
        <v>9.8442619999999995E-2</v>
      </c>
      <c r="S758">
        <v>3.260529</v>
      </c>
      <c r="T758">
        <v>-0.26703860000000001</v>
      </c>
      <c r="U758">
        <v>-0.2367554</v>
      </c>
      <c r="V758">
        <v>-9.2065449999999993E-2</v>
      </c>
      <c r="W758">
        <v>0.30472870000000002</v>
      </c>
      <c r="X758">
        <v>0.94797909999999996</v>
      </c>
      <c r="Y758">
        <v>7.8772599999999998E-2</v>
      </c>
      <c r="Z758">
        <v>-4.1824599999999998E-3</v>
      </c>
      <c r="AA758">
        <v>0.99688379999999999</v>
      </c>
      <c r="AB758">
        <v>41</v>
      </c>
      <c r="AC758">
        <v>0.78829999999999201</v>
      </c>
      <c r="AD758">
        <v>-8.4703999999999793E-2</v>
      </c>
      <c r="AE758">
        <v>-7.6999999999998098E-2</v>
      </c>
      <c r="AF758">
        <v>8.1341286478008507E-2</v>
      </c>
      <c r="AG758">
        <v>-8.4703999999999793E-2</v>
      </c>
      <c r="AH758">
        <v>0.77885968958367902</v>
      </c>
      <c r="AI758">
        <v>96.173430160594506</v>
      </c>
      <c r="AJ758">
        <v>84.037849818369295</v>
      </c>
      <c r="AK758">
        <v>0.78766337261566399</v>
      </c>
      <c r="AL758">
        <v>72.258157417385902</v>
      </c>
      <c r="AM758">
        <v>95.547032389140497</v>
      </c>
      <c r="AN758">
        <v>1.0000000008620999</v>
      </c>
    </row>
    <row r="759" spans="1:40" x14ac:dyDescent="0.25">
      <c r="A759" t="str">
        <f>"20190304164348448"</f>
        <v>20190304164348448</v>
      </c>
      <c r="B759" t="str">
        <f>"1551689028441149"</f>
        <v>1551689028441149</v>
      </c>
      <c r="C759" t="s">
        <v>40</v>
      </c>
      <c r="D759">
        <v>4.5867170000000002</v>
      </c>
      <c r="E759">
        <v>0.5810244</v>
      </c>
      <c r="F759" t="s">
        <v>41</v>
      </c>
      <c r="G759">
        <v>-326.96199999999999</v>
      </c>
      <c r="H759">
        <v>1.044816</v>
      </c>
      <c r="I759">
        <v>367.5102</v>
      </c>
      <c r="J759">
        <v>-327.41199999999998</v>
      </c>
      <c r="K759">
        <v>1.1101129999999999</v>
      </c>
      <c r="L759">
        <v>367.57029999999997</v>
      </c>
      <c r="M759">
        <v>0.99989600000000001</v>
      </c>
      <c r="N759">
        <v>-1.279022E-2</v>
      </c>
      <c r="O759">
        <v>6.6888929999999996E-3</v>
      </c>
      <c r="P759">
        <v>0.9510729</v>
      </c>
      <c r="Q759">
        <v>0.29279949999999999</v>
      </c>
      <c r="R759">
        <v>9.8636489999999993E-2</v>
      </c>
      <c r="S759">
        <v>3.2605900000000001</v>
      </c>
      <c r="T759">
        <v>-0.26693139999999999</v>
      </c>
      <c r="U759">
        <v>-0.2361145</v>
      </c>
      <c r="V759">
        <v>-9.2260159999999994E-2</v>
      </c>
      <c r="W759">
        <v>0.30495169999999999</v>
      </c>
      <c r="X759">
        <v>0.94788839999999996</v>
      </c>
      <c r="Y759">
        <v>7.8577330000000001E-2</v>
      </c>
      <c r="Z759">
        <v>-4.1716890000000001E-3</v>
      </c>
      <c r="AA759">
        <v>0.99689930000000004</v>
      </c>
      <c r="AB759">
        <v>41</v>
      </c>
      <c r="AC759">
        <v>0.45000000000004498</v>
      </c>
      <c r="AD759">
        <v>-6.5296999999999897E-2</v>
      </c>
      <c r="AE759">
        <v>-6.0099999999977102E-2</v>
      </c>
      <c r="AF759">
        <v>6.18298706047887E-2</v>
      </c>
      <c r="AG759">
        <v>-6.5296999999999897E-2</v>
      </c>
      <c r="AH759">
        <v>0.44047606893209101</v>
      </c>
      <c r="AI759">
        <v>98.351518189632003</v>
      </c>
      <c r="AJ759">
        <v>82.009567517350405</v>
      </c>
      <c r="AK759">
        <v>0.44956178486374099</v>
      </c>
      <c r="AL759">
        <v>72.244740952238502</v>
      </c>
      <c r="AM759">
        <v>95.559219015219895</v>
      </c>
      <c r="AN759">
        <v>0.99999994765533595</v>
      </c>
    </row>
    <row r="760" spans="1:40" x14ac:dyDescent="0.25">
      <c r="A760" t="str">
        <f>"20190304164348462"</f>
        <v>20190304164348462</v>
      </c>
      <c r="B760" t="str">
        <f>"1551689028450910"</f>
        <v>1551689028450910</v>
      </c>
      <c r="C760" t="s">
        <v>40</v>
      </c>
      <c r="D760">
        <v>4.5795839999999997</v>
      </c>
      <c r="E760">
        <v>0.58101049999999999</v>
      </c>
      <c r="F760" t="s">
        <v>41</v>
      </c>
      <c r="G760">
        <v>-326.59370000000001</v>
      </c>
      <c r="H760">
        <v>1.04339</v>
      </c>
      <c r="I760">
        <v>367.51089999999999</v>
      </c>
      <c r="J760">
        <v>-327.17860000000002</v>
      </c>
      <c r="K760">
        <v>1.110114</v>
      </c>
      <c r="L760">
        <v>367.57190000000003</v>
      </c>
      <c r="M760">
        <v>0.9998958</v>
      </c>
      <c r="N760">
        <v>-1.2796470000000001E-2</v>
      </c>
      <c r="O760">
        <v>6.6888529999999998E-3</v>
      </c>
      <c r="P760">
        <v>0.95106630000000003</v>
      </c>
      <c r="Q760">
        <v>0.29283949999999997</v>
      </c>
      <c r="R760">
        <v>9.8579589999999995E-2</v>
      </c>
      <c r="S760">
        <v>3.2606809999999999</v>
      </c>
      <c r="T760">
        <v>-0.26591690000000001</v>
      </c>
      <c r="U760">
        <v>-0.2365112</v>
      </c>
      <c r="V760">
        <v>-9.2203579999999993E-2</v>
      </c>
      <c r="W760">
        <v>0.30499759999999998</v>
      </c>
      <c r="X760">
        <v>0.94787920000000003</v>
      </c>
      <c r="Y760">
        <v>7.869777E-2</v>
      </c>
      <c r="Z760">
        <v>-4.1632199999999996E-3</v>
      </c>
      <c r="AA760">
        <v>0.99688980000000005</v>
      </c>
      <c r="AB760">
        <v>41</v>
      </c>
      <c r="AC760">
        <v>0.58490000000000397</v>
      </c>
      <c r="AD760">
        <v>-6.6724000000000006E-2</v>
      </c>
      <c r="AE760">
        <v>-6.1000000000035401E-2</v>
      </c>
      <c r="AF760">
        <v>6.4086239676167195E-2</v>
      </c>
      <c r="AG760">
        <v>-6.6724000000000006E-2</v>
      </c>
      <c r="AH760">
        <v>0.57705010123025502</v>
      </c>
      <c r="AI760">
        <v>96.555837602206694</v>
      </c>
      <c r="AJ760">
        <v>83.662793652548004</v>
      </c>
      <c r="AK760">
        <v>0.58441933371653598</v>
      </c>
      <c r="AL760">
        <v>72.241980611193</v>
      </c>
      <c r="AM760">
        <v>95.555884660488303</v>
      </c>
      <c r="AN760">
        <v>1.0000000069816</v>
      </c>
    </row>
    <row r="761" spans="1:40" x14ac:dyDescent="0.25">
      <c r="A761" t="str">
        <f>"20190304164348476"</f>
        <v>20190304164348476</v>
      </c>
      <c r="B761" t="str">
        <f>"1551689028470429"</f>
        <v>1551689028470429</v>
      </c>
      <c r="C761" t="s">
        <v>40</v>
      </c>
      <c r="D761">
        <v>4.5769729999999997</v>
      </c>
      <c r="E761">
        <v>0.58097569999999998</v>
      </c>
      <c r="F761" t="s">
        <v>41</v>
      </c>
      <c r="G761">
        <v>-326.22969999999998</v>
      </c>
      <c r="H761">
        <v>1.0327539999999999</v>
      </c>
      <c r="I761">
        <v>367.50299999999999</v>
      </c>
      <c r="J761">
        <v>-326.93009999999998</v>
      </c>
      <c r="K761">
        <v>1.1101129999999999</v>
      </c>
      <c r="L761">
        <v>367.5736</v>
      </c>
      <c r="M761">
        <v>0.9998958</v>
      </c>
      <c r="N761">
        <v>-1.280718E-2</v>
      </c>
      <c r="O761">
        <v>6.6887839999999997E-3</v>
      </c>
      <c r="P761">
        <v>0.95100150000000006</v>
      </c>
      <c r="Q761">
        <v>0.29305009999999998</v>
      </c>
      <c r="R761">
        <v>9.8580230000000005E-2</v>
      </c>
      <c r="S761">
        <v>3.2607729999999999</v>
      </c>
      <c r="T761">
        <v>-0.26584340000000001</v>
      </c>
      <c r="U761">
        <v>-0.23702999999999999</v>
      </c>
      <c r="V761">
        <v>-9.2204449999999993E-2</v>
      </c>
      <c r="W761">
        <v>0.30521740000000003</v>
      </c>
      <c r="X761">
        <v>0.9478084</v>
      </c>
      <c r="Y761">
        <v>7.8853030000000005E-2</v>
      </c>
      <c r="Z761">
        <v>-4.1697189999999997E-3</v>
      </c>
      <c r="AA761">
        <v>0.99687760000000003</v>
      </c>
      <c r="AB761">
        <v>41</v>
      </c>
      <c r="AC761">
        <v>0.70040000000000102</v>
      </c>
      <c r="AD761">
        <v>-7.7358999999999706E-2</v>
      </c>
      <c r="AE761">
        <v>-7.0599999999956198E-2</v>
      </c>
      <c r="AF761">
        <v>7.4385318088934504E-2</v>
      </c>
      <c r="AG761">
        <v>-7.7358999999999706E-2</v>
      </c>
      <c r="AH761">
        <v>0.69156047232617701</v>
      </c>
      <c r="AI761">
        <v>96.346353499536704</v>
      </c>
      <c r="AJ761">
        <v>83.860780270860602</v>
      </c>
      <c r="AK761">
        <v>0.69983817937591597</v>
      </c>
      <c r="AL761">
        <v>72.228757095031995</v>
      </c>
      <c r="AM761">
        <v>95.556349179704</v>
      </c>
      <c r="AN761">
        <v>1.00000004248656</v>
      </c>
    </row>
    <row r="762" spans="1:40" x14ac:dyDescent="0.25">
      <c r="A762" t="str">
        <f>"20190304164348488"</f>
        <v>20190304164348488</v>
      </c>
      <c r="B762" t="str">
        <f>"1551689028481165"</f>
        <v>1551689028481165</v>
      </c>
      <c r="C762" t="s">
        <v>40</v>
      </c>
      <c r="D762">
        <v>4.5834250000000001</v>
      </c>
      <c r="E762">
        <v>0.58097159999999903</v>
      </c>
      <c r="F762" t="s">
        <v>41</v>
      </c>
      <c r="G762">
        <v>-325.86540000000002</v>
      </c>
      <c r="H762">
        <v>1.023258</v>
      </c>
      <c r="I762">
        <v>367.49630000000002</v>
      </c>
      <c r="J762">
        <v>-326.6739</v>
      </c>
      <c r="K762">
        <v>1.1101209999999999</v>
      </c>
      <c r="L762">
        <v>367.57530000000003</v>
      </c>
      <c r="M762">
        <v>0.99989539999999999</v>
      </c>
      <c r="N762">
        <v>-1.282575E-2</v>
      </c>
      <c r="O762">
        <v>6.6890219999999898E-3</v>
      </c>
      <c r="P762">
        <v>0.95100220000000002</v>
      </c>
      <c r="Q762">
        <v>0.29307879999999997</v>
      </c>
      <c r="R762">
        <v>9.8486840000000006E-2</v>
      </c>
      <c r="S762">
        <v>3.2611080000000001</v>
      </c>
      <c r="T762">
        <v>-0.26607989999999998</v>
      </c>
      <c r="U762">
        <v>-0.23672489999999999</v>
      </c>
      <c r="V762">
        <v>-9.2110800000000007E-2</v>
      </c>
      <c r="W762">
        <v>0.30526409999999998</v>
      </c>
      <c r="X762">
        <v>0.94780240000000004</v>
      </c>
      <c r="Y762">
        <v>7.8752909999999995E-2</v>
      </c>
      <c r="Z762">
        <v>-4.1685819999999997E-3</v>
      </c>
      <c r="AA762">
        <v>0.99688549999999998</v>
      </c>
      <c r="AB762">
        <v>41</v>
      </c>
      <c r="AC762">
        <v>0.80849999999998001</v>
      </c>
      <c r="AD762">
        <v>-8.6862999999999899E-2</v>
      </c>
      <c r="AE762">
        <v>-7.9000000000007703E-2</v>
      </c>
      <c r="AF762">
        <v>8.3452588263030605E-2</v>
      </c>
      <c r="AG762">
        <v>-8.6862999999999899E-2</v>
      </c>
      <c r="AH762">
        <v>0.79882004843503895</v>
      </c>
      <c r="AI762">
        <v>96.172579335020203</v>
      </c>
      <c r="AJ762">
        <v>84.035954410952698</v>
      </c>
      <c r="AK762">
        <v>0.80785084331116297</v>
      </c>
      <c r="AL762">
        <v>72.225946133943907</v>
      </c>
      <c r="AM762">
        <v>95.550775901697904</v>
      </c>
      <c r="AN762">
        <v>0.99999997983560396</v>
      </c>
    </row>
    <row r="763" spans="1:40" x14ac:dyDescent="0.25">
      <c r="A763" t="str">
        <f>"20190304164348504"</f>
        <v>20190304164348504</v>
      </c>
      <c r="B763" t="str">
        <f>"1551689028500685"</f>
        <v>1551689028500685</v>
      </c>
      <c r="C763" t="s">
        <v>40</v>
      </c>
      <c r="D763">
        <v>4.5779550000000002</v>
      </c>
      <c r="E763">
        <v>0.57491419999999904</v>
      </c>
      <c r="F763" t="s">
        <v>41</v>
      </c>
      <c r="G763">
        <v>-325.85570000000001</v>
      </c>
      <c r="H763">
        <v>1.043317</v>
      </c>
      <c r="I763">
        <v>367.51569999999998</v>
      </c>
      <c r="J763">
        <v>-326.3965</v>
      </c>
      <c r="K763">
        <v>1.110133</v>
      </c>
      <c r="L763">
        <v>367.5772</v>
      </c>
      <c r="M763">
        <v>0.99989499999999998</v>
      </c>
      <c r="N763">
        <v>-1.2852580000000001E-2</v>
      </c>
      <c r="O763">
        <v>6.689146E-3</v>
      </c>
      <c r="P763">
        <v>0.95108409999999999</v>
      </c>
      <c r="Q763">
        <v>0.29302080000000003</v>
      </c>
      <c r="R763">
        <v>9.7867179999999998E-2</v>
      </c>
      <c r="S763">
        <v>3.2612299999999999</v>
      </c>
      <c r="T763">
        <v>-0.26634380000000002</v>
      </c>
      <c r="U763">
        <v>-0.23742679999999999</v>
      </c>
      <c r="V763">
        <v>-9.1490340000000003E-2</v>
      </c>
      <c r="W763">
        <v>0.3052318</v>
      </c>
      <c r="X763">
        <v>0.94787290000000002</v>
      </c>
      <c r="Y763">
        <v>7.8962309999999994E-2</v>
      </c>
      <c r="Z763">
        <v>-4.1828899999999999E-3</v>
      </c>
      <c r="AA763">
        <v>0.9968688</v>
      </c>
      <c r="AB763">
        <v>41</v>
      </c>
      <c r="AC763">
        <v>0.54079999999998996</v>
      </c>
      <c r="AD763">
        <v>-6.6815999999999903E-2</v>
      </c>
      <c r="AE763">
        <v>-6.1500000000023598E-2</v>
      </c>
      <c r="AF763">
        <v>6.4149690692093406E-2</v>
      </c>
      <c r="AG763">
        <v>-6.6815999999999903E-2</v>
      </c>
      <c r="AH763">
        <v>0.53235402015745203</v>
      </c>
      <c r="AI763">
        <v>97.102958328612999</v>
      </c>
      <c r="AJ763">
        <v>83.128877640347696</v>
      </c>
      <c r="AK763">
        <v>0.54035207360543402</v>
      </c>
      <c r="AL763">
        <v>72.227889622803502</v>
      </c>
      <c r="AM763">
        <v>95.513209392926498</v>
      </c>
      <c r="AN763">
        <v>0.999999984299482</v>
      </c>
    </row>
    <row r="764" spans="1:40" x14ac:dyDescent="0.25">
      <c r="A764" t="str">
        <f>"20190304164348516"</f>
        <v>20190304164348516</v>
      </c>
      <c r="B764" t="str">
        <f>"1551689028510445"</f>
        <v>1551689028510445</v>
      </c>
      <c r="C764" t="s">
        <v>40</v>
      </c>
      <c r="D764">
        <v>4.614115</v>
      </c>
      <c r="E764">
        <v>0.57489429999999997</v>
      </c>
      <c r="F764" t="s">
        <v>41</v>
      </c>
      <c r="G764">
        <v>-325.49009999999998</v>
      </c>
      <c r="H764">
        <v>1.0367630000000001</v>
      </c>
      <c r="I764">
        <v>367.52370000000002</v>
      </c>
      <c r="J764">
        <v>-326.17180000000002</v>
      </c>
      <c r="K764">
        <v>1.110139</v>
      </c>
      <c r="L764">
        <v>367.57870000000003</v>
      </c>
      <c r="M764">
        <v>0.99989479999999997</v>
      </c>
      <c r="N764">
        <v>-1.2879389999999999E-2</v>
      </c>
      <c r="O764">
        <v>6.6891499999999996E-3</v>
      </c>
      <c r="P764">
        <v>0.95108680000000001</v>
      </c>
      <c r="Q764">
        <v>0.29310520000000001</v>
      </c>
      <c r="R764">
        <v>9.7589659999999995E-2</v>
      </c>
      <c r="S764">
        <v>3.255188</v>
      </c>
      <c r="T764">
        <v>-0.2636752</v>
      </c>
      <c r="U764">
        <v>-0.19134519999999999</v>
      </c>
      <c r="V764">
        <v>-9.1213050000000004E-2</v>
      </c>
      <c r="W764">
        <v>0.30534220000000001</v>
      </c>
      <c r="X764">
        <v>0.94786409999999999</v>
      </c>
      <c r="Y764">
        <v>6.5095280000000005E-2</v>
      </c>
      <c r="Z764">
        <v>-3.5047500000000001E-3</v>
      </c>
      <c r="AA764">
        <v>0.99787289999999995</v>
      </c>
      <c r="AB764">
        <v>41</v>
      </c>
      <c r="AC764">
        <v>0.68170000000003395</v>
      </c>
      <c r="AD764">
        <v>-7.3376000000000094E-2</v>
      </c>
      <c r="AE764">
        <v>-5.50000000000068E-2</v>
      </c>
      <c r="AF764">
        <v>5.8881371767442597E-2</v>
      </c>
      <c r="AG764">
        <v>-7.3376000000000094E-2</v>
      </c>
      <c r="AH764">
        <v>0.67356358961915397</v>
      </c>
      <c r="AI764">
        <v>96.193678640047807</v>
      </c>
      <c r="AJ764">
        <v>85.004035729024196</v>
      </c>
      <c r="AK764">
        <v>0.68010217069044598</v>
      </c>
      <c r="AL764">
        <v>72.221247634311894</v>
      </c>
      <c r="AM764">
        <v>95.496653098192596</v>
      </c>
      <c r="AN764">
        <v>1.00000001582997</v>
      </c>
    </row>
    <row r="765" spans="1:40" x14ac:dyDescent="0.25">
      <c r="A765" t="str">
        <f>"20190304164348528"</f>
        <v>20190304164348528</v>
      </c>
      <c r="B765" t="str">
        <f>"1551689028521181"</f>
        <v>1551689028521181</v>
      </c>
      <c r="C765" t="s">
        <v>40</v>
      </c>
      <c r="D765">
        <v>4.5639810000000001</v>
      </c>
      <c r="E765">
        <v>0.57458900000000002</v>
      </c>
      <c r="F765" t="s">
        <v>41</v>
      </c>
      <c r="G765">
        <v>-325.12670000000003</v>
      </c>
      <c r="H765">
        <v>1.0260739999999999</v>
      </c>
      <c r="I765">
        <v>367.51690000000002</v>
      </c>
      <c r="J765">
        <v>-325.95870000000002</v>
      </c>
      <c r="K765">
        <v>1.1101510000000001</v>
      </c>
      <c r="L765">
        <v>367.58010000000002</v>
      </c>
      <c r="M765">
        <v>0.99989439999999996</v>
      </c>
      <c r="N765">
        <v>-1.2914190000000001E-2</v>
      </c>
      <c r="O765">
        <v>6.689281E-3</v>
      </c>
      <c r="P765">
        <v>0.95116000000000001</v>
      </c>
      <c r="Q765">
        <v>0.29291080000000003</v>
      </c>
      <c r="R765">
        <v>9.745906E-2</v>
      </c>
      <c r="S765">
        <v>3.2547000000000001</v>
      </c>
      <c r="T765">
        <v>-0.26178990000000002</v>
      </c>
      <c r="U765">
        <v>-0.1922913</v>
      </c>
      <c r="V765">
        <v>-9.1081919999999997E-2</v>
      </c>
      <c r="W765">
        <v>0.30518190000000001</v>
      </c>
      <c r="X765">
        <v>0.94792829999999995</v>
      </c>
      <c r="Y765">
        <v>6.5395469999999997E-2</v>
      </c>
      <c r="Z765">
        <v>-3.4974899999999998E-3</v>
      </c>
      <c r="AA765">
        <v>0.99785330000000005</v>
      </c>
      <c r="AB765">
        <v>41</v>
      </c>
      <c r="AC765">
        <v>0.83199999999999297</v>
      </c>
      <c r="AD765">
        <v>-8.4077000000000096E-2</v>
      </c>
      <c r="AE765">
        <v>-6.3199999999994802E-2</v>
      </c>
      <c r="AF765">
        <v>6.8073358680948104E-2</v>
      </c>
      <c r="AG765">
        <v>-8.4077000000000096E-2</v>
      </c>
      <c r="AH765">
        <v>0.82320034968840605</v>
      </c>
      <c r="AI765">
        <v>95.811942260225507</v>
      </c>
      <c r="AJ765">
        <v>85.272764351887702</v>
      </c>
      <c r="AK765">
        <v>0.830278109923548</v>
      </c>
      <c r="AL765">
        <v>72.230891948810395</v>
      </c>
      <c r="AM765">
        <v>95.488429805839004</v>
      </c>
      <c r="AN765">
        <v>0.99999998508969301</v>
      </c>
    </row>
    <row r="766" spans="1:40" x14ac:dyDescent="0.25">
      <c r="A766" t="str">
        <f>"20190304164348538"</f>
        <v>20190304164348538</v>
      </c>
      <c r="B766" t="str">
        <f>"1551689028530942"</f>
        <v>1551689028530942</v>
      </c>
      <c r="C766" t="s">
        <v>40</v>
      </c>
      <c r="D766">
        <v>4.5442339999999897</v>
      </c>
      <c r="E766">
        <v>0.57436769999999904</v>
      </c>
      <c r="F766" t="s">
        <v>41</v>
      </c>
      <c r="G766">
        <v>-325.11829999999998</v>
      </c>
      <c r="H766">
        <v>1.0430729999999999</v>
      </c>
      <c r="I766">
        <v>367.5308</v>
      </c>
      <c r="J766">
        <v>-325.77089999999998</v>
      </c>
      <c r="K766">
        <v>1.110168</v>
      </c>
      <c r="L766">
        <v>367.58139999999997</v>
      </c>
      <c r="M766">
        <v>0.99989380000000005</v>
      </c>
      <c r="N766">
        <v>-1.294934E-2</v>
      </c>
      <c r="O766">
        <v>6.6893489999999998E-3</v>
      </c>
      <c r="P766">
        <v>0.95121739999999999</v>
      </c>
      <c r="Q766">
        <v>0.29264179999999901</v>
      </c>
      <c r="R766">
        <v>9.7704559999999996E-2</v>
      </c>
      <c r="S766">
        <v>3.2536320000000001</v>
      </c>
      <c r="T766">
        <v>-0.25970199999999999</v>
      </c>
      <c r="U766">
        <v>-0.19097900000000001</v>
      </c>
      <c r="V766">
        <v>-9.1326879999999999E-2</v>
      </c>
      <c r="W766">
        <v>0.30494719999999997</v>
      </c>
      <c r="X766">
        <v>0.9479803</v>
      </c>
      <c r="Y766">
        <v>6.5018809999999996E-2</v>
      </c>
      <c r="Z766">
        <v>-3.456888E-3</v>
      </c>
      <c r="AA766">
        <v>0.99787809999999999</v>
      </c>
      <c r="AB766">
        <v>41</v>
      </c>
      <c r="AC766">
        <v>0.65260000000000595</v>
      </c>
      <c r="AD766">
        <v>-6.7095000000000099E-2</v>
      </c>
      <c r="AE766">
        <v>-5.0599999999974402E-2</v>
      </c>
      <c r="AF766">
        <v>5.4393187853583103E-2</v>
      </c>
      <c r="AG766">
        <v>-6.7095000000000099E-2</v>
      </c>
      <c r="AH766">
        <v>0.64546491897958702</v>
      </c>
      <c r="AI766">
        <v>95.913676049985995</v>
      </c>
      <c r="AJ766">
        <v>85.183077942792096</v>
      </c>
      <c r="AK766">
        <v>0.65121833477198698</v>
      </c>
      <c r="AL766">
        <v>72.245013032972906</v>
      </c>
      <c r="AM766">
        <v>95.502800143777705</v>
      </c>
      <c r="AN766">
        <v>1.0000000214932301</v>
      </c>
    </row>
    <row r="767" spans="1:40" x14ac:dyDescent="0.25">
      <c r="A767" t="str">
        <f>"20190304164348549"</f>
        <v>20190304164348549</v>
      </c>
      <c r="B767" t="str">
        <f>"1551689028540701"</f>
        <v>1551689028540701</v>
      </c>
      <c r="C767" t="s">
        <v>40</v>
      </c>
      <c r="D767">
        <v>4.5613700000000001</v>
      </c>
      <c r="E767">
        <v>0.57429439999999998</v>
      </c>
      <c r="F767" t="s">
        <v>41</v>
      </c>
      <c r="G767">
        <v>-324.75709999999998</v>
      </c>
      <c r="H767">
        <v>1.0284879999999901</v>
      </c>
      <c r="I767">
        <v>367.5224</v>
      </c>
      <c r="J767">
        <v>-325.55990000000003</v>
      </c>
      <c r="K767">
        <v>1.1101780000000001</v>
      </c>
      <c r="L767">
        <v>367.58280000000002</v>
      </c>
      <c r="M767">
        <v>0.99989329999999998</v>
      </c>
      <c r="N767">
        <v>-1.299585E-2</v>
      </c>
      <c r="O767">
        <v>6.6894009999999898E-3</v>
      </c>
      <c r="P767">
        <v>0.95115830000000001</v>
      </c>
      <c r="Q767">
        <v>0.29282219999999998</v>
      </c>
      <c r="R767">
        <v>9.7741079999999994E-2</v>
      </c>
      <c r="S767">
        <v>3.2539060000000002</v>
      </c>
      <c r="T767">
        <v>-0.26219009999999998</v>
      </c>
      <c r="U767">
        <v>-0.1890869</v>
      </c>
      <c r="V767">
        <v>-9.1363420000000001E-2</v>
      </c>
      <c r="W767">
        <v>0.305170099999999</v>
      </c>
      <c r="X767">
        <v>0.947905</v>
      </c>
      <c r="Y767">
        <v>6.4433160000000003E-2</v>
      </c>
      <c r="Z767">
        <v>-3.4603479999999998E-3</v>
      </c>
      <c r="AA767">
        <v>0.99791600000000003</v>
      </c>
      <c r="AB767">
        <v>41</v>
      </c>
      <c r="AC767">
        <v>0.80280000000004703</v>
      </c>
      <c r="AD767">
        <v>-8.1690000000000207E-2</v>
      </c>
      <c r="AE767">
        <v>-6.0400000000015497E-2</v>
      </c>
      <c r="AF767">
        <v>6.5099087356941199E-2</v>
      </c>
      <c r="AG767">
        <v>-8.1690000000000207E-2</v>
      </c>
      <c r="AH767">
        <v>0.79420081081996197</v>
      </c>
      <c r="AI767">
        <v>95.853190314109398</v>
      </c>
      <c r="AJ767">
        <v>85.314052846856498</v>
      </c>
      <c r="AK767">
        <v>0.80104062018214295</v>
      </c>
      <c r="AL767">
        <v>72.231601753512606</v>
      </c>
      <c r="AM767">
        <v>95.505422919504099</v>
      </c>
      <c r="AN767">
        <v>0.99999997673655205</v>
      </c>
    </row>
    <row r="768" spans="1:40" x14ac:dyDescent="0.25">
      <c r="A768" t="str">
        <f>"20190304164348563"</f>
        <v>20190304164348563</v>
      </c>
      <c r="B768" t="str">
        <f>"1551689028550461"</f>
        <v>1551689028550461</v>
      </c>
      <c r="C768" t="s">
        <v>40</v>
      </c>
      <c r="D768">
        <v>4.5568850000000003</v>
      </c>
      <c r="E768">
        <v>0.57425109999999902</v>
      </c>
      <c r="F768" t="s">
        <v>41</v>
      </c>
      <c r="G768">
        <v>-324.74799999999999</v>
      </c>
      <c r="H768">
        <v>1.0453190000000001</v>
      </c>
      <c r="I768">
        <v>367.53559999999999</v>
      </c>
      <c r="J768">
        <v>-325.33170000000001</v>
      </c>
      <c r="K768">
        <v>1.1101909999999999</v>
      </c>
      <c r="L768">
        <v>367.58440000000002</v>
      </c>
      <c r="M768">
        <v>0.99989249999999996</v>
      </c>
      <c r="N768">
        <v>-1.3055570000000001E-2</v>
      </c>
      <c r="O768">
        <v>6.6893660000000004E-3</v>
      </c>
      <c r="P768">
        <v>0.95116579999999995</v>
      </c>
      <c r="Q768">
        <v>0.29269269999999997</v>
      </c>
      <c r="R768">
        <v>9.8055249999999997E-2</v>
      </c>
      <c r="S768">
        <v>3.253479</v>
      </c>
      <c r="T768">
        <v>-0.25994869999999998</v>
      </c>
      <c r="U768">
        <v>-0.18887329999999999</v>
      </c>
      <c r="V768">
        <v>-9.1677999999999996E-2</v>
      </c>
      <c r="W768">
        <v>0.30509750000000002</v>
      </c>
      <c r="X768">
        <v>0.94789800000000002</v>
      </c>
      <c r="Y768">
        <v>6.4379569999999997E-2</v>
      </c>
      <c r="Z768">
        <v>-3.4331370000000002E-3</v>
      </c>
      <c r="AA768">
        <v>0.99791960000000002</v>
      </c>
      <c r="AB768">
        <v>41</v>
      </c>
      <c r="AC768">
        <v>0.58370000000002098</v>
      </c>
      <c r="AD768">
        <v>-6.4871999999999805E-2</v>
      </c>
      <c r="AE768">
        <v>-4.88000000000283E-2</v>
      </c>
      <c r="AF768">
        <v>5.2065181214272699E-2</v>
      </c>
      <c r="AG768">
        <v>-6.4871999999999805E-2</v>
      </c>
      <c r="AH768">
        <v>0.57629155992445902</v>
      </c>
      <c r="AI768">
        <v>96.396799426769206</v>
      </c>
      <c r="AJ768">
        <v>84.837615972477096</v>
      </c>
      <c r="AK768">
        <v>0.58226379032105502</v>
      </c>
      <c r="AL768">
        <v>72.235969785655598</v>
      </c>
      <c r="AM768">
        <v>95.524302520476795</v>
      </c>
      <c r="AN768">
        <v>0.99999997929712403</v>
      </c>
    </row>
    <row r="769" spans="1:40" x14ac:dyDescent="0.25">
      <c r="A769" t="str">
        <f>"20190304164348576"</f>
        <v>20190304164348576</v>
      </c>
      <c r="B769" t="str">
        <f>"1551689028570957"</f>
        <v>1551689028570957</v>
      </c>
      <c r="C769" t="s">
        <v>40</v>
      </c>
      <c r="D769">
        <v>4.5798160000000001</v>
      </c>
      <c r="E769">
        <v>0.57412549999999996</v>
      </c>
      <c r="F769" t="s">
        <v>41</v>
      </c>
      <c r="G769">
        <v>-324.3861</v>
      </c>
      <c r="H769">
        <v>1.034486</v>
      </c>
      <c r="I769">
        <v>367.52980000000002</v>
      </c>
      <c r="J769">
        <v>-325.08150000000001</v>
      </c>
      <c r="K769">
        <v>1.110209</v>
      </c>
      <c r="L769">
        <v>367.58600000000001</v>
      </c>
      <c r="M769">
        <v>0.99989139999999999</v>
      </c>
      <c r="N769">
        <v>-1.312839E-2</v>
      </c>
      <c r="O769">
        <v>6.6897190000000002E-3</v>
      </c>
      <c r="P769">
        <v>0.95112129999999995</v>
      </c>
      <c r="Q769">
        <v>0.2928075</v>
      </c>
      <c r="R769">
        <v>9.8143140000000004E-2</v>
      </c>
      <c r="S769">
        <v>3.253479</v>
      </c>
      <c r="T769">
        <v>-0.26040770000000002</v>
      </c>
      <c r="U769">
        <v>-0.1876526</v>
      </c>
      <c r="V769">
        <v>-9.1765429999999995E-2</v>
      </c>
      <c r="W769">
        <v>0.30528100000000002</v>
      </c>
      <c r="X769">
        <v>0.94783050000000002</v>
      </c>
      <c r="Y769">
        <v>6.4007120000000001E-2</v>
      </c>
      <c r="Z769">
        <v>-3.42319E-3</v>
      </c>
      <c r="AA769">
        <v>0.99794360000000004</v>
      </c>
      <c r="AB769">
        <v>41</v>
      </c>
      <c r="AC769">
        <v>0.69540000000000601</v>
      </c>
      <c r="AD769">
        <v>-7.5722999999999901E-2</v>
      </c>
      <c r="AE769">
        <v>-5.61999999999898E-2</v>
      </c>
      <c r="AF769">
        <v>6.0142671025534798E-2</v>
      </c>
      <c r="AG769">
        <v>-7.5722999999999901E-2</v>
      </c>
      <c r="AH769">
        <v>0.68691631358579697</v>
      </c>
      <c r="AI769">
        <v>96.266883324646201</v>
      </c>
      <c r="AJ769">
        <v>84.996251833988595</v>
      </c>
      <c r="AK769">
        <v>0.69368950941857799</v>
      </c>
      <c r="AL769">
        <v>72.224930032761094</v>
      </c>
      <c r="AM769">
        <v>95.529929558867707</v>
      </c>
      <c r="AN769">
        <v>1.0000000199171599</v>
      </c>
    </row>
    <row r="770" spans="1:40" x14ac:dyDescent="0.25">
      <c r="A770" t="str">
        <f>"20190304164348589"</f>
        <v>20190304164348589</v>
      </c>
      <c r="B770" t="str">
        <f>"1551689028580716"</f>
        <v>1551689028580716</v>
      </c>
      <c r="C770" t="s">
        <v>40</v>
      </c>
      <c r="D770">
        <v>4.5579289999999997</v>
      </c>
      <c r="E770">
        <v>0.57412079999999999</v>
      </c>
      <c r="F770" t="s">
        <v>41</v>
      </c>
      <c r="G770">
        <v>-324.02280000000002</v>
      </c>
      <c r="H770">
        <v>1.0253570000000001</v>
      </c>
      <c r="I770">
        <v>367.52510000000001</v>
      </c>
      <c r="J770">
        <v>-324.8313</v>
      </c>
      <c r="K770">
        <v>1.1102259999999999</v>
      </c>
      <c r="L770">
        <v>367.58769999999998</v>
      </c>
      <c r="M770">
        <v>0.99989030000000001</v>
      </c>
      <c r="N770">
        <v>-1.3214699999999999E-2</v>
      </c>
      <c r="O770">
        <v>6.6898010000000004E-3</v>
      </c>
      <c r="P770">
        <v>0.95115240000000001</v>
      </c>
      <c r="Q770">
        <v>0.29257939999999999</v>
      </c>
      <c r="R770">
        <v>9.8520659999999996E-2</v>
      </c>
      <c r="S770">
        <v>3.2536930000000002</v>
      </c>
      <c r="T770">
        <v>-0.26090340000000001</v>
      </c>
      <c r="U770">
        <v>-0.18624879999999999</v>
      </c>
      <c r="V770">
        <v>-9.214282E-2</v>
      </c>
      <c r="W770">
        <v>0.3051352</v>
      </c>
      <c r="X770">
        <v>0.94784080000000004</v>
      </c>
      <c r="Y770">
        <v>6.3574839999999994E-2</v>
      </c>
      <c r="Z770">
        <v>-3.41093E-3</v>
      </c>
      <c r="AA770">
        <v>0.99797119999999995</v>
      </c>
      <c r="AB770">
        <v>41</v>
      </c>
      <c r="AC770">
        <v>0.80849999999998001</v>
      </c>
      <c r="AD770">
        <v>-8.4868999999999806E-2</v>
      </c>
      <c r="AE770">
        <v>-6.2599999999974898E-2</v>
      </c>
      <c r="AF770">
        <v>6.7270941148045604E-2</v>
      </c>
      <c r="AG770">
        <v>-8.4868999999999806E-2</v>
      </c>
      <c r="AH770">
        <v>0.79930807978387797</v>
      </c>
      <c r="AI770">
        <v>96.039654395146698</v>
      </c>
      <c r="AJ770">
        <v>85.189240176184001</v>
      </c>
      <c r="AK770">
        <v>0.80661114118993804</v>
      </c>
      <c r="AL770">
        <v>72.233701695602505</v>
      </c>
      <c r="AM770">
        <v>95.552469880811998</v>
      </c>
      <c r="AN770">
        <v>0.999999985850616</v>
      </c>
    </row>
    <row r="771" spans="1:40" x14ac:dyDescent="0.25">
      <c r="A771" t="str">
        <f>"20190304164348606"</f>
        <v>20190304164348606</v>
      </c>
      <c r="B771" t="str">
        <f>"1551689028601213"</f>
        <v>1551689028601213</v>
      </c>
      <c r="C771" t="s">
        <v>40</v>
      </c>
      <c r="D771">
        <v>4.5547259999999996</v>
      </c>
      <c r="E771">
        <v>0.57411089999999998</v>
      </c>
      <c r="F771" t="s">
        <v>41</v>
      </c>
      <c r="G771">
        <v>-324.01299999999998</v>
      </c>
      <c r="H771">
        <v>1.0443610000000001</v>
      </c>
      <c r="I771">
        <v>367.54090000000002</v>
      </c>
      <c r="J771">
        <v>-324.54309999999998</v>
      </c>
      <c r="K771">
        <v>1.1102430000000001</v>
      </c>
      <c r="L771">
        <v>367.58969999999999</v>
      </c>
      <c r="M771">
        <v>0.99988900000000003</v>
      </c>
      <c r="N771">
        <v>-1.3323669999999999E-2</v>
      </c>
      <c r="O771">
        <v>6.6899059999999998E-3</v>
      </c>
      <c r="P771">
        <v>0.95117030000000002</v>
      </c>
      <c r="Q771">
        <v>0.29231750000000001</v>
      </c>
      <c r="R771">
        <v>9.9124400000000001E-2</v>
      </c>
      <c r="S771">
        <v>3.253876</v>
      </c>
      <c r="T771">
        <v>-0.26207599999999998</v>
      </c>
      <c r="U771">
        <v>-0.18499760000000001</v>
      </c>
      <c r="V771">
        <v>-9.2746579999999995E-2</v>
      </c>
      <c r="W771">
        <v>0.304977099999999</v>
      </c>
      <c r="X771">
        <v>0.94783280000000003</v>
      </c>
      <c r="Y771">
        <v>6.3188330000000001E-2</v>
      </c>
      <c r="Z771">
        <v>-3.409226E-3</v>
      </c>
      <c r="AA771">
        <v>0.99799579999999999</v>
      </c>
      <c r="AB771">
        <v>41</v>
      </c>
      <c r="AC771">
        <v>0.53010000000000401</v>
      </c>
      <c r="AD771">
        <v>-6.5881999999999996E-2</v>
      </c>
      <c r="AE771">
        <v>-4.8799999999971498E-2</v>
      </c>
      <c r="AF771">
        <v>5.1555897347594901E-2</v>
      </c>
      <c r="AG771">
        <v>-6.5881999999999996E-2</v>
      </c>
      <c r="AH771">
        <v>0.52177006931355596</v>
      </c>
      <c r="AI771">
        <v>97.161932716234404</v>
      </c>
      <c r="AJ771">
        <v>84.356943792371993</v>
      </c>
      <c r="AK771">
        <v>0.52843396343042603</v>
      </c>
      <c r="AL771">
        <v>72.243213589859394</v>
      </c>
      <c r="AM771">
        <v>95.588669379599594</v>
      </c>
      <c r="AN771">
        <v>0.99999998819097302</v>
      </c>
    </row>
    <row r="772" spans="1:40" x14ac:dyDescent="0.25">
      <c r="A772" t="str">
        <f>"20190304164348618"</f>
        <v>20190304164348618</v>
      </c>
      <c r="B772" t="str">
        <f>"1551689028610973"</f>
        <v>1551689028610973</v>
      </c>
      <c r="C772" t="s">
        <v>40</v>
      </c>
      <c r="D772">
        <v>4.5736809999999997</v>
      </c>
      <c r="E772">
        <v>0.57406619999999997</v>
      </c>
      <c r="F772" t="s">
        <v>41</v>
      </c>
      <c r="G772">
        <v>-323.64929999999998</v>
      </c>
      <c r="H772">
        <v>1.0379039999999999</v>
      </c>
      <c r="I772">
        <v>367.5394</v>
      </c>
      <c r="J772">
        <v>-324.28480000000002</v>
      </c>
      <c r="K772">
        <v>1.1102609999999999</v>
      </c>
      <c r="L772">
        <v>367.59140000000002</v>
      </c>
      <c r="M772">
        <v>0.99988750000000004</v>
      </c>
      <c r="N772">
        <v>-1.342783E-2</v>
      </c>
      <c r="O772">
        <v>6.6900369999999898E-3</v>
      </c>
      <c r="P772">
        <v>0.95115919999999998</v>
      </c>
      <c r="Q772">
        <v>0.29217890000000002</v>
      </c>
      <c r="R772">
        <v>9.9638270000000001E-2</v>
      </c>
      <c r="S772">
        <v>3.2539669999999998</v>
      </c>
      <c r="T772">
        <v>-0.2634264</v>
      </c>
      <c r="U772">
        <v>-0.18243409999999999</v>
      </c>
      <c r="V772">
        <v>-9.326036E-2</v>
      </c>
      <c r="W772">
        <v>0.3049367</v>
      </c>
      <c r="X772">
        <v>0.94779539999999995</v>
      </c>
      <c r="Y772">
        <v>6.2403439999999998E-2</v>
      </c>
      <c r="Z772">
        <v>-3.3906399999999999E-3</v>
      </c>
      <c r="AA772">
        <v>0.99804530000000002</v>
      </c>
      <c r="AB772">
        <v>41</v>
      </c>
      <c r="AC772">
        <v>0.63550000000003504</v>
      </c>
      <c r="AD772">
        <v>-7.2357000000000005E-2</v>
      </c>
      <c r="AE772">
        <v>-5.2000000000020898E-2</v>
      </c>
      <c r="AF772">
        <v>5.5535577805002498E-2</v>
      </c>
      <c r="AG772">
        <v>-7.2357000000000005E-2</v>
      </c>
      <c r="AH772">
        <v>0.62706285402634199</v>
      </c>
      <c r="AI772">
        <v>96.556828854792002</v>
      </c>
      <c r="AJ772">
        <v>84.938826762864906</v>
      </c>
      <c r="AK772">
        <v>0.63366202249369297</v>
      </c>
      <c r="AL772">
        <v>72.245644386444894</v>
      </c>
      <c r="AM772">
        <v>95.619651146284397</v>
      </c>
      <c r="AN772">
        <v>1.0000000030076801</v>
      </c>
    </row>
    <row r="773" spans="1:40" x14ac:dyDescent="0.25">
      <c r="A773" t="str">
        <f>"20190304164348630"</f>
        <v>20190304164348630</v>
      </c>
      <c r="B773" t="str">
        <f>"1551689028620733"</f>
        <v>1551689028620733</v>
      </c>
      <c r="C773" t="s">
        <v>40</v>
      </c>
      <c r="D773">
        <v>4.4872829999999997</v>
      </c>
      <c r="E773">
        <v>0.57406619999999997</v>
      </c>
      <c r="F773" t="s">
        <v>41</v>
      </c>
      <c r="G773">
        <v>-323.2867</v>
      </c>
      <c r="H773">
        <v>1.029096</v>
      </c>
      <c r="I773">
        <v>367.53570000000002</v>
      </c>
      <c r="J773">
        <v>-324.06299999999999</v>
      </c>
      <c r="K773">
        <v>1.110276</v>
      </c>
      <c r="L773">
        <v>367.59289999999999</v>
      </c>
      <c r="M773">
        <v>0.99988619999999995</v>
      </c>
      <c r="N773">
        <v>-1.352157E-2</v>
      </c>
      <c r="O773">
        <v>6.6902339999999998E-3</v>
      </c>
      <c r="P773">
        <v>0.95117719999999994</v>
      </c>
      <c r="Q773">
        <v>0.29206130000000002</v>
      </c>
      <c r="R773">
        <v>9.9811209999999997E-2</v>
      </c>
      <c r="S773">
        <v>3.2542719999999998</v>
      </c>
      <c r="T773">
        <v>-0.26490010000000003</v>
      </c>
      <c r="U773">
        <v>-0.18026729999999999</v>
      </c>
      <c r="V773">
        <v>-9.3432989999999994E-2</v>
      </c>
      <c r="W773">
        <v>0.30490859999999997</v>
      </c>
      <c r="X773">
        <v>0.9477875</v>
      </c>
      <c r="Y773">
        <v>6.1735680000000001E-2</v>
      </c>
      <c r="Z773">
        <v>-3.3781549999999999E-3</v>
      </c>
      <c r="AA773">
        <v>0.99808680000000005</v>
      </c>
      <c r="AB773">
        <v>41</v>
      </c>
      <c r="AC773">
        <v>0.776299999999992</v>
      </c>
      <c r="AD773">
        <v>-8.1180000000000002E-2</v>
      </c>
      <c r="AE773">
        <v>-5.7199999999966097E-2</v>
      </c>
      <c r="AF773">
        <v>6.1721511763662598E-2</v>
      </c>
      <c r="AG773">
        <v>-8.1180000000000002E-2</v>
      </c>
      <c r="AH773">
        <v>0.76755166435781397</v>
      </c>
      <c r="AI773">
        <v>96.018152211372495</v>
      </c>
      <c r="AJ773">
        <v>85.402538670200101</v>
      </c>
      <c r="AK773">
        <v>0.77429664526771802</v>
      </c>
      <c r="AL773">
        <v>72.247335979366298</v>
      </c>
      <c r="AM773">
        <v>95.630033283499799</v>
      </c>
      <c r="AN773">
        <v>1.00000006156527</v>
      </c>
    </row>
    <row r="774" spans="1:40" x14ac:dyDescent="0.25">
      <c r="A774" t="str">
        <f>"20190304164348643"</f>
        <v>20190304164348643</v>
      </c>
      <c r="B774" t="str">
        <f>"1551689028630494"</f>
        <v>1551689028630494</v>
      </c>
      <c r="C774" t="s">
        <v>40</v>
      </c>
      <c r="D774">
        <v>4.5727890000000002</v>
      </c>
      <c r="E774">
        <v>0.5740594</v>
      </c>
      <c r="F774" t="s">
        <v>41</v>
      </c>
      <c r="G774">
        <v>-323.27670000000001</v>
      </c>
      <c r="H774">
        <v>1.0462769999999999</v>
      </c>
      <c r="I774">
        <v>367.54899999999998</v>
      </c>
      <c r="J774">
        <v>-323.86279999999999</v>
      </c>
      <c r="K774">
        <v>1.1102879999999999</v>
      </c>
      <c r="L774">
        <v>367.5942</v>
      </c>
      <c r="M774">
        <v>0.99988509999999997</v>
      </c>
      <c r="N774">
        <v>-1.3607309999999999E-2</v>
      </c>
      <c r="O774">
        <v>6.6901840000000001E-3</v>
      </c>
      <c r="P774">
        <v>0.95116140000000005</v>
      </c>
      <c r="Q774">
        <v>0.29196840000000002</v>
      </c>
      <c r="R774">
        <v>0.10023310000000001</v>
      </c>
      <c r="S774">
        <v>3.2543030000000002</v>
      </c>
      <c r="T774">
        <v>-0.2652427</v>
      </c>
      <c r="U774">
        <v>-0.1799316</v>
      </c>
      <c r="V774">
        <v>-9.3854999999999994E-2</v>
      </c>
      <c r="W774">
        <v>0.30489680000000002</v>
      </c>
      <c r="X774">
        <v>0.94774959999999997</v>
      </c>
      <c r="Y774">
        <v>6.163209E-2</v>
      </c>
      <c r="Z774">
        <v>-3.3792280000000002E-3</v>
      </c>
      <c r="AA774">
        <v>0.99809320000000001</v>
      </c>
      <c r="AB774">
        <v>41</v>
      </c>
      <c r="AC774">
        <v>0.58609999999998696</v>
      </c>
      <c r="AD774">
        <v>-6.4010999999999804E-2</v>
      </c>
      <c r="AE774">
        <v>-4.5199999999965698E-2</v>
      </c>
      <c r="AF774">
        <v>4.85448508681958E-2</v>
      </c>
      <c r="AG774">
        <v>-6.4010999999999804E-2</v>
      </c>
      <c r="AH774">
        <v>0.57891995533534102</v>
      </c>
      <c r="AI774">
        <v>96.287657579704401</v>
      </c>
      <c r="AJ774">
        <v>85.2067237973245</v>
      </c>
      <c r="AK774">
        <v>0.58446755714264298</v>
      </c>
      <c r="AL774">
        <v>72.248045879870901</v>
      </c>
      <c r="AM774">
        <v>95.655522741388097</v>
      </c>
      <c r="AN774">
        <v>1.0000000619876901</v>
      </c>
    </row>
    <row r="775" spans="1:40" x14ac:dyDescent="0.25">
      <c r="A775" t="str">
        <f>"20190304164348654"</f>
        <v>20190304164348654</v>
      </c>
      <c r="B775" t="str">
        <f>"1551689028650991"</f>
        <v>1551689028650991</v>
      </c>
      <c r="C775" t="s">
        <v>40</v>
      </c>
      <c r="D775">
        <v>4.5530039999999996</v>
      </c>
      <c r="E775">
        <v>0.57406740000000001</v>
      </c>
      <c r="F775" t="s">
        <v>41</v>
      </c>
      <c r="G775">
        <v>-322.91820000000001</v>
      </c>
      <c r="H775">
        <v>1.0329299999999999</v>
      </c>
      <c r="I775">
        <v>367.54219999999998</v>
      </c>
      <c r="J775">
        <v>-323.63639999999998</v>
      </c>
      <c r="K775">
        <v>1.110304</v>
      </c>
      <c r="L775">
        <v>367.59570000000002</v>
      </c>
      <c r="M775">
        <v>0.99988379999999999</v>
      </c>
      <c r="N775">
        <v>-1.370451E-2</v>
      </c>
      <c r="O775">
        <v>6.6901690000000002E-3</v>
      </c>
      <c r="P775">
        <v>0.95113859999999995</v>
      </c>
      <c r="Q775">
        <v>0.29204069999999999</v>
      </c>
      <c r="R775">
        <v>0.1002406</v>
      </c>
      <c r="S775">
        <v>3.2547000000000001</v>
      </c>
      <c r="T775">
        <v>-0.26658860000000001</v>
      </c>
      <c r="U775">
        <v>-0.17861939999999901</v>
      </c>
      <c r="V775">
        <v>-9.3862490000000007E-2</v>
      </c>
      <c r="W775">
        <v>0.30506070000000002</v>
      </c>
      <c r="X775">
        <v>0.94769599999999998</v>
      </c>
      <c r="Y775">
        <v>6.1223180000000002E-2</v>
      </c>
      <c r="Z775">
        <v>-3.3771539999999998E-3</v>
      </c>
      <c r="AA775">
        <v>0.99811839999999996</v>
      </c>
      <c r="AB775">
        <v>41</v>
      </c>
      <c r="AC775">
        <v>0.71819999999996698</v>
      </c>
      <c r="AD775">
        <v>-7.7374000000000207E-2</v>
      </c>
      <c r="AE775">
        <v>-5.3500000000042201E-2</v>
      </c>
      <c r="AF775">
        <v>5.7638842220656697E-2</v>
      </c>
      <c r="AG775">
        <v>-7.7374000000000207E-2</v>
      </c>
      <c r="AH775">
        <v>0.70963507593985897</v>
      </c>
      <c r="AI775">
        <v>96.202313366362304</v>
      </c>
      <c r="AJ775">
        <v>85.356446190040401</v>
      </c>
      <c r="AK775">
        <v>0.71616402661171696</v>
      </c>
      <c r="AL775">
        <v>72.238183338560404</v>
      </c>
      <c r="AM775">
        <v>95.656288965579407</v>
      </c>
      <c r="AN775">
        <v>0.99999995306474299</v>
      </c>
    </row>
    <row r="776" spans="1:40" x14ac:dyDescent="0.25">
      <c r="A776" t="str">
        <f>"20190304164348665"</f>
        <v>20190304164348665</v>
      </c>
      <c r="B776" t="str">
        <f>"1551689028660750"</f>
        <v>1551689028660750</v>
      </c>
      <c r="C776" t="s">
        <v>40</v>
      </c>
      <c r="D776">
        <v>4.5633369999999998</v>
      </c>
      <c r="E776">
        <v>0.57409409999999905</v>
      </c>
      <c r="F776" t="s">
        <v>41</v>
      </c>
      <c r="G776">
        <v>-322.55779999999999</v>
      </c>
      <c r="H776">
        <v>1.021428</v>
      </c>
      <c r="I776">
        <v>367.53649999999999</v>
      </c>
      <c r="J776">
        <v>-323.4221</v>
      </c>
      <c r="K776">
        <v>1.110317</v>
      </c>
      <c r="L776">
        <v>367.59710000000001</v>
      </c>
      <c r="M776">
        <v>0.99988259999999995</v>
      </c>
      <c r="N776">
        <v>-1.3793349999999999E-2</v>
      </c>
      <c r="O776">
        <v>6.6902079999999996E-3</v>
      </c>
      <c r="P776">
        <v>0.95109080000000001</v>
      </c>
      <c r="Q776">
        <v>0.2921165</v>
      </c>
      <c r="R776">
        <v>0.1004708</v>
      </c>
      <c r="S776">
        <v>3.2553100000000001</v>
      </c>
      <c r="T776">
        <v>-0.2683778</v>
      </c>
      <c r="U776">
        <v>-0.1782532</v>
      </c>
      <c r="V776">
        <v>-9.4092869999999995E-2</v>
      </c>
      <c r="W776">
        <v>0.30522059999999901</v>
      </c>
      <c r="X776">
        <v>0.94762170000000001</v>
      </c>
      <c r="Y776">
        <v>6.1098199999999998E-2</v>
      </c>
      <c r="Z776">
        <v>-3.3931220000000002E-3</v>
      </c>
      <c r="AA776">
        <v>0.99812599999999996</v>
      </c>
      <c r="AB776">
        <v>41</v>
      </c>
      <c r="AC776">
        <v>0.86430000000001395</v>
      </c>
      <c r="AD776">
        <v>-8.8888999999999996E-2</v>
      </c>
      <c r="AE776">
        <v>-6.0600000000022101E-2</v>
      </c>
      <c r="AF776">
        <v>6.5690127115703406E-2</v>
      </c>
      <c r="AG776">
        <v>-8.8888999999999996E-2</v>
      </c>
      <c r="AH776">
        <v>0.85487729150722802</v>
      </c>
      <c r="AI776">
        <v>95.918882536366098</v>
      </c>
      <c r="AJ776">
        <v>85.605936281282894</v>
      </c>
      <c r="AK776">
        <v>0.86199282517676001</v>
      </c>
      <c r="AL776">
        <v>72.228563497850701</v>
      </c>
      <c r="AM776">
        <v>95.670523317925202</v>
      </c>
      <c r="AN776">
        <v>0.99999998458004302</v>
      </c>
    </row>
    <row r="777" spans="1:40" x14ac:dyDescent="0.25">
      <c r="A777" t="str">
        <f>"20190304164348677"</f>
        <v>20190304164348677</v>
      </c>
      <c r="B777" t="str">
        <f>"1551689028670509"</f>
        <v>1551689028670509</v>
      </c>
      <c r="C777" t="s">
        <v>40</v>
      </c>
      <c r="D777">
        <v>4.5915229999999996</v>
      </c>
      <c r="E777">
        <v>0.57415499999999997</v>
      </c>
      <c r="F777" t="s">
        <v>41</v>
      </c>
      <c r="G777">
        <v>-322.54950000000002</v>
      </c>
      <c r="H777">
        <v>1.03823</v>
      </c>
      <c r="I777">
        <v>367.54910000000001</v>
      </c>
      <c r="J777">
        <v>-323.21850000000001</v>
      </c>
      <c r="K777">
        <v>1.1103289999999999</v>
      </c>
      <c r="L777">
        <v>367.5985</v>
      </c>
      <c r="M777">
        <v>0.99988129999999997</v>
      </c>
      <c r="N777">
        <v>-1.3876060000000001E-2</v>
      </c>
      <c r="O777">
        <v>6.6904649999999996E-3</v>
      </c>
      <c r="P777">
        <v>0.95112140000000001</v>
      </c>
      <c r="Q777">
        <v>0.29196559999999999</v>
      </c>
      <c r="R777">
        <v>0.1006186</v>
      </c>
      <c r="S777">
        <v>3.2557680000000002</v>
      </c>
      <c r="T777">
        <v>-0.26911079999999998</v>
      </c>
      <c r="U777">
        <v>-0.1784058</v>
      </c>
      <c r="V777">
        <v>-9.4240210000000005E-2</v>
      </c>
      <c r="W777">
        <v>0.30514790000000003</v>
      </c>
      <c r="X777">
        <v>0.94763050000000004</v>
      </c>
      <c r="Y777">
        <v>6.1135870000000002E-2</v>
      </c>
      <c r="Z777">
        <v>-3.404846E-3</v>
      </c>
      <c r="AA777">
        <v>0.9981236</v>
      </c>
      <c r="AB777">
        <v>41</v>
      </c>
      <c r="AC777">
        <v>0.66899999999998205</v>
      </c>
      <c r="AD777">
        <v>-7.2099000000000094E-2</v>
      </c>
      <c r="AE777">
        <v>-4.9399999999991402E-2</v>
      </c>
      <c r="AF777">
        <v>5.32600045466027E-2</v>
      </c>
      <c r="AG777">
        <v>-7.2099000000000094E-2</v>
      </c>
      <c r="AH777">
        <v>0.66101861629428305</v>
      </c>
      <c r="AI777">
        <v>96.204840165098005</v>
      </c>
      <c r="AJ777">
        <v>85.393479920677507</v>
      </c>
      <c r="AK777">
        <v>0.66706859090569803</v>
      </c>
      <c r="AL777">
        <v>72.232938064144406</v>
      </c>
      <c r="AM777">
        <v>95.679292389503303</v>
      </c>
      <c r="AN777">
        <v>1.0000000112927501</v>
      </c>
    </row>
    <row r="778" spans="1:40" x14ac:dyDescent="0.25">
      <c r="A778" t="str">
        <f>"20190304164348688"</f>
        <v>20190304164348688</v>
      </c>
      <c r="B778" t="str">
        <f>"1551689028681245"</f>
        <v>1551689028681245</v>
      </c>
      <c r="C778" t="s">
        <v>40</v>
      </c>
      <c r="D778">
        <v>4.5791490000000001</v>
      </c>
      <c r="E778">
        <v>0.57417510000000005</v>
      </c>
      <c r="F778" t="s">
        <v>41</v>
      </c>
      <c r="G778">
        <v>-322.19029999999998</v>
      </c>
      <c r="H778">
        <v>1.025067</v>
      </c>
      <c r="I778">
        <v>367.54199999999997</v>
      </c>
      <c r="J778">
        <v>-323.0077</v>
      </c>
      <c r="K778">
        <v>1.110339</v>
      </c>
      <c r="L778">
        <v>367.59989999999999</v>
      </c>
      <c r="M778">
        <v>0.99988030000000006</v>
      </c>
      <c r="N778">
        <v>-1.3957499999999999E-2</v>
      </c>
      <c r="O778">
        <v>6.6904299999999998E-3</v>
      </c>
      <c r="P778">
        <v>0.95110749999999999</v>
      </c>
      <c r="Q778">
        <v>0.29207490000000003</v>
      </c>
      <c r="R778">
        <v>0.1004348</v>
      </c>
      <c r="S778">
        <v>3.255951</v>
      </c>
      <c r="T778">
        <v>-0.27007189999999998</v>
      </c>
      <c r="U778">
        <v>-0.17843629999999999</v>
      </c>
      <c r="V778">
        <v>-9.4056730000000005E-2</v>
      </c>
      <c r="W778">
        <v>0.3053341</v>
      </c>
      <c r="X778">
        <v>0.94758869999999895</v>
      </c>
      <c r="Y778">
        <v>6.1140199999999902E-2</v>
      </c>
      <c r="Z778">
        <v>-3.4177740000000002E-3</v>
      </c>
      <c r="AA778">
        <v>0.99812330000000005</v>
      </c>
      <c r="AB778">
        <v>41</v>
      </c>
      <c r="AC778">
        <v>0.81740000000002</v>
      </c>
      <c r="AD778">
        <v>-8.5272000000000001E-2</v>
      </c>
      <c r="AE778">
        <v>-5.7900000000017798E-2</v>
      </c>
      <c r="AF778">
        <v>6.2689161364663598E-2</v>
      </c>
      <c r="AG778">
        <v>-8.5272000000000001E-2</v>
      </c>
      <c r="AH778">
        <v>0.80824220341914998</v>
      </c>
      <c r="AI778">
        <v>96.004696120849204</v>
      </c>
      <c r="AJ778">
        <v>85.564884470002497</v>
      </c>
      <c r="AK778">
        <v>0.81514213749777897</v>
      </c>
      <c r="AL778">
        <v>72.221734029358501</v>
      </c>
      <c r="AM778">
        <v>95.668555637025506</v>
      </c>
      <c r="AN778">
        <v>0.99999996272439495</v>
      </c>
    </row>
    <row r="779" spans="1:40" x14ac:dyDescent="0.25">
      <c r="A779" t="str">
        <f>"20190304164348699"</f>
        <v>20190304164348699</v>
      </c>
      <c r="B779" t="str">
        <f>"1551689028691005"</f>
        <v>1551689028691005</v>
      </c>
      <c r="C779" t="s">
        <v>40</v>
      </c>
      <c r="D779">
        <v>4.5931280000000001</v>
      </c>
      <c r="E779">
        <v>0.57426119999999903</v>
      </c>
      <c r="F779" t="s">
        <v>41</v>
      </c>
      <c r="G779">
        <v>-322.18200000000002</v>
      </c>
      <c r="H779">
        <v>1.0417920000000001</v>
      </c>
      <c r="I779">
        <v>367.55430000000001</v>
      </c>
      <c r="J779">
        <v>-322.79590000000002</v>
      </c>
      <c r="K779">
        <v>1.110347</v>
      </c>
      <c r="L779">
        <v>367.60129999999998</v>
      </c>
      <c r="M779">
        <v>0.99987919999999997</v>
      </c>
      <c r="N779">
        <v>-1.4035529999999999E-2</v>
      </c>
      <c r="O779">
        <v>6.6901769999999899E-3</v>
      </c>
      <c r="P779">
        <v>0.95109089999999996</v>
      </c>
      <c r="Q779">
        <v>0.29213699999999998</v>
      </c>
      <c r="R779">
        <v>0.1004111</v>
      </c>
      <c r="S779">
        <v>3.256195</v>
      </c>
      <c r="T779">
        <v>-0.27043509999999998</v>
      </c>
      <c r="U779">
        <v>-0.1792908</v>
      </c>
      <c r="V779">
        <v>-9.4032980000000002E-2</v>
      </c>
      <c r="W779">
        <v>0.30546980000000001</v>
      </c>
      <c r="X779">
        <v>0.94754740000000004</v>
      </c>
      <c r="Y779">
        <v>6.1395190000000002E-2</v>
      </c>
      <c r="Z779">
        <v>-3.435872E-3</v>
      </c>
      <c r="AA779">
        <v>0.99810759999999998</v>
      </c>
      <c r="AB779">
        <v>41</v>
      </c>
      <c r="AC779">
        <v>0.613900000000001</v>
      </c>
      <c r="AD779">
        <v>-6.8554999999999894E-2</v>
      </c>
      <c r="AE779">
        <v>-4.6999999999968602E-2</v>
      </c>
      <c r="AF779">
        <v>5.0480603103392502E-2</v>
      </c>
      <c r="AG779">
        <v>-6.8554999999999894E-2</v>
      </c>
      <c r="AH779">
        <v>0.60605799923848103</v>
      </c>
      <c r="AI779">
        <v>96.431566551131695</v>
      </c>
      <c r="AJ779">
        <v>85.238633201199804</v>
      </c>
      <c r="AK779">
        <v>0.61200847849979401</v>
      </c>
      <c r="AL779">
        <v>72.213570267276296</v>
      </c>
      <c r="AM779">
        <v>95.667379005291707</v>
      </c>
      <c r="AN779">
        <v>1.0000000376432301</v>
      </c>
    </row>
    <row r="780" spans="1:40" x14ac:dyDescent="0.25">
      <c r="A780" t="str">
        <f>"20190304164348710"</f>
        <v>20190304164348710</v>
      </c>
      <c r="B780" t="str">
        <f>"1551689028700766"</f>
        <v>1551689028700766</v>
      </c>
      <c r="C780" t="s">
        <v>40</v>
      </c>
      <c r="D780">
        <v>4.5862100000000003</v>
      </c>
      <c r="E780">
        <v>0.57433380000000001</v>
      </c>
      <c r="F780" t="s">
        <v>41</v>
      </c>
      <c r="G780">
        <v>-321.8227</v>
      </c>
      <c r="H780">
        <v>1.0298039999999999</v>
      </c>
      <c r="I780">
        <v>367.5471</v>
      </c>
      <c r="J780">
        <v>-322.59649999999999</v>
      </c>
      <c r="K780">
        <v>1.1103620000000001</v>
      </c>
      <c r="L780">
        <v>367.60270000000003</v>
      </c>
      <c r="M780">
        <v>0.99987820000000005</v>
      </c>
      <c r="N780">
        <v>-1.410602E-2</v>
      </c>
      <c r="O780">
        <v>6.6903910000000004E-3</v>
      </c>
      <c r="P780">
        <v>0.95113409999999998</v>
      </c>
      <c r="Q780">
        <v>0.29200479999999901</v>
      </c>
      <c r="R780">
        <v>0.1003851</v>
      </c>
      <c r="S780">
        <v>3.2562259999999998</v>
      </c>
      <c r="T780">
        <v>-0.26976349999999999</v>
      </c>
      <c r="U780">
        <v>-0.18060300000000001</v>
      </c>
      <c r="V780">
        <v>-9.4007019999999997E-2</v>
      </c>
      <c r="W780">
        <v>0.30540529999999999</v>
      </c>
      <c r="X780">
        <v>0.94757069999999999</v>
      </c>
      <c r="Y780">
        <v>6.17954E-2</v>
      </c>
      <c r="Z780">
        <v>-3.4492260000000001E-3</v>
      </c>
      <c r="AA780">
        <v>0.9980829</v>
      </c>
      <c r="AB780">
        <v>41</v>
      </c>
      <c r="AC780">
        <v>0.77379999999999405</v>
      </c>
      <c r="AD780">
        <v>-8.0557999999999894E-2</v>
      </c>
      <c r="AE780">
        <v>-5.5600000000026698E-2</v>
      </c>
      <c r="AF780">
        <v>6.0127958988491298E-2</v>
      </c>
      <c r="AG780">
        <v>-8.0557999999999894E-2</v>
      </c>
      <c r="AH780">
        <v>0.76516023938043498</v>
      </c>
      <c r="AI780">
        <v>95.991766708651397</v>
      </c>
      <c r="AJ780">
        <v>85.506806338674906</v>
      </c>
      <c r="AK780">
        <v>0.77173515842214002</v>
      </c>
      <c r="AL780">
        <v>72.217450147587897</v>
      </c>
      <c r="AM780">
        <v>95.665686162710003</v>
      </c>
      <c r="AN780">
        <v>0.99999997428792897</v>
      </c>
    </row>
    <row r="781" spans="1:40" x14ac:dyDescent="0.25">
      <c r="A781" t="str">
        <f>"20190304164348722"</f>
        <v>20190304164348722</v>
      </c>
      <c r="B781" t="str">
        <f>"1551689028710525"</f>
        <v>1551689028710525</v>
      </c>
      <c r="C781" t="s">
        <v>40</v>
      </c>
      <c r="D781">
        <v>4.6075439999999999</v>
      </c>
      <c r="E781">
        <v>0.57438400000000001</v>
      </c>
      <c r="F781" t="s">
        <v>41</v>
      </c>
      <c r="G781">
        <v>-321.81380000000001</v>
      </c>
      <c r="H781">
        <v>1.0453509999999999</v>
      </c>
      <c r="I781">
        <v>367.55889999999999</v>
      </c>
      <c r="J781">
        <v>-322.4049</v>
      </c>
      <c r="K781">
        <v>1.1103670000000001</v>
      </c>
      <c r="L781">
        <v>367.60390000000001</v>
      </c>
      <c r="M781">
        <v>0.99987729999999997</v>
      </c>
      <c r="N781">
        <v>-1.416922E-2</v>
      </c>
      <c r="O781">
        <v>6.6902389999999997E-3</v>
      </c>
      <c r="P781">
        <v>0.95114350000000003</v>
      </c>
      <c r="Q781">
        <v>0.29195169999999998</v>
      </c>
      <c r="R781">
        <v>0.1004514</v>
      </c>
      <c r="S781">
        <v>3.2564090000000001</v>
      </c>
      <c r="T781">
        <v>-0.27077820000000002</v>
      </c>
      <c r="U781">
        <v>-0.1811218</v>
      </c>
      <c r="V781">
        <v>-9.4073229999999994E-2</v>
      </c>
      <c r="W781">
        <v>0.30541220000000002</v>
      </c>
      <c r="X781">
        <v>0.94756189999999996</v>
      </c>
      <c r="Y781">
        <v>6.1948089999999997E-2</v>
      </c>
      <c r="Z781">
        <v>-3.4696359999999999E-3</v>
      </c>
      <c r="AA781">
        <v>0.99807330000000005</v>
      </c>
      <c r="AB781">
        <v>41</v>
      </c>
      <c r="AC781">
        <v>0.59109999999998297</v>
      </c>
      <c r="AD781">
        <v>-6.5016000000000101E-2</v>
      </c>
      <c r="AE781">
        <v>-4.5000000000015902E-2</v>
      </c>
      <c r="AF781">
        <v>4.83721488978524E-2</v>
      </c>
      <c r="AG781">
        <v>-6.5016000000000101E-2</v>
      </c>
      <c r="AH781">
        <v>0.58376391630680202</v>
      </c>
      <c r="AI781">
        <v>96.333529043502494</v>
      </c>
      <c r="AJ781">
        <v>85.263148957891303</v>
      </c>
      <c r="AK781">
        <v>0.589361735292385</v>
      </c>
      <c r="AL781">
        <v>72.217034880647205</v>
      </c>
      <c r="AM781">
        <v>95.669702878970497</v>
      </c>
      <c r="AN781">
        <v>0.99999996942154101</v>
      </c>
    </row>
    <row r="782" spans="1:40" x14ac:dyDescent="0.25">
      <c r="A782" t="str">
        <f>"20190304164348732"</f>
        <v>20190304164348732</v>
      </c>
      <c r="B782" t="str">
        <f>"1551689028721260"</f>
        <v>1551689028721260</v>
      </c>
      <c r="C782" t="s">
        <v>40</v>
      </c>
      <c r="D782">
        <v>4.6138870000000001</v>
      </c>
      <c r="E782">
        <v>0.57440429999999998</v>
      </c>
      <c r="F782" t="s">
        <v>41</v>
      </c>
      <c r="G782">
        <v>-321.45699999999999</v>
      </c>
      <c r="H782">
        <v>1.031366</v>
      </c>
      <c r="I782">
        <v>367.55110000000002</v>
      </c>
      <c r="J782">
        <v>-322.19779999999997</v>
      </c>
      <c r="K782">
        <v>1.1103719999999999</v>
      </c>
      <c r="L782">
        <v>367.6053</v>
      </c>
      <c r="M782">
        <v>0.9998764</v>
      </c>
      <c r="N782">
        <v>-1.4235869999999999E-2</v>
      </c>
      <c r="O782">
        <v>6.6902970000000004E-3</v>
      </c>
      <c r="P782">
        <v>0.95112099999999999</v>
      </c>
      <c r="Q782">
        <v>0.29199120000000001</v>
      </c>
      <c r="R782">
        <v>0.1005485</v>
      </c>
      <c r="S782">
        <v>3.2565919999999999</v>
      </c>
      <c r="T782">
        <v>-0.27153169999999999</v>
      </c>
      <c r="U782">
        <v>-0.1812744</v>
      </c>
      <c r="V782">
        <v>-9.4170729999999994E-2</v>
      </c>
      <c r="W782">
        <v>0.30551479999999998</v>
      </c>
      <c r="X782">
        <v>0.94751920000000001</v>
      </c>
      <c r="Y782">
        <v>6.198998E-2</v>
      </c>
      <c r="Z782">
        <v>-3.481797E-3</v>
      </c>
      <c r="AA782">
        <v>0.99807069999999998</v>
      </c>
      <c r="AB782">
        <v>41</v>
      </c>
      <c r="AC782">
        <v>0.74079999999997803</v>
      </c>
      <c r="AD782">
        <v>-7.9005999999999896E-2</v>
      </c>
      <c r="AE782">
        <v>-5.4199999999980202E-2</v>
      </c>
      <c r="AF782">
        <v>5.8493688091032003E-2</v>
      </c>
      <c r="AG782">
        <v>-7.9005999999999896E-2</v>
      </c>
      <c r="AH782">
        <v>0.73213767646529304</v>
      </c>
      <c r="AI782">
        <v>96.1396207403169</v>
      </c>
      <c r="AJ782">
        <v>85.432091703833294</v>
      </c>
      <c r="AK782">
        <v>0.738707680264994</v>
      </c>
      <c r="AL782">
        <v>72.210862314110997</v>
      </c>
      <c r="AM782">
        <v>95.675794864155407</v>
      </c>
      <c r="AN782">
        <v>1.0000000268882001</v>
      </c>
    </row>
    <row r="783" spans="1:40" x14ac:dyDescent="0.25">
      <c r="A783" t="str">
        <f>"20190304164348744"</f>
        <v>20190304164348744</v>
      </c>
      <c r="B783" t="str">
        <f>"1551689028731020"</f>
        <v>1551689028731020</v>
      </c>
      <c r="C783" t="s">
        <v>40</v>
      </c>
      <c r="D783">
        <v>4.8142909999999999</v>
      </c>
      <c r="E783">
        <v>0.57440429999999998</v>
      </c>
      <c r="F783" t="s">
        <v>41</v>
      </c>
      <c r="G783">
        <v>-321.44670000000002</v>
      </c>
      <c r="H783">
        <v>1.047609</v>
      </c>
      <c r="I783">
        <v>367.5634</v>
      </c>
      <c r="J783">
        <v>-322</v>
      </c>
      <c r="K783">
        <v>1.110379</v>
      </c>
      <c r="L783">
        <v>367.60660000000001</v>
      </c>
      <c r="M783">
        <v>0.99987550000000003</v>
      </c>
      <c r="N783">
        <v>-1.429364E-2</v>
      </c>
      <c r="O783">
        <v>6.6903580000000004E-3</v>
      </c>
      <c r="P783">
        <v>0.95112929999999996</v>
      </c>
      <c r="Q783">
        <v>0.29197580000000001</v>
      </c>
      <c r="R783">
        <v>0.10051499999999999</v>
      </c>
      <c r="S783">
        <v>3.256958</v>
      </c>
      <c r="T783">
        <v>-0.27231230000000001</v>
      </c>
      <c r="U783">
        <v>-0.1816101</v>
      </c>
      <c r="V783">
        <v>-9.4136490000000003E-2</v>
      </c>
      <c r="W783">
        <v>0.305554299999999</v>
      </c>
      <c r="X783">
        <v>0.94750979999999996</v>
      </c>
      <c r="Y783">
        <v>6.2084470000000003E-2</v>
      </c>
      <c r="Z783">
        <v>-3.496454E-3</v>
      </c>
      <c r="AA783">
        <v>0.99806479999999997</v>
      </c>
      <c r="AB783">
        <v>41</v>
      </c>
      <c r="AC783">
        <v>0.55329999999997803</v>
      </c>
      <c r="AD783">
        <v>-6.2769999999999895E-2</v>
      </c>
      <c r="AE783">
        <v>-4.3200000000012999E-2</v>
      </c>
      <c r="AF783">
        <v>4.6308797088418903E-2</v>
      </c>
      <c r="AG783">
        <v>-6.2769999999999895E-2</v>
      </c>
      <c r="AH783">
        <v>0.54601387081191</v>
      </c>
      <c r="AI783">
        <v>96.534703423918799</v>
      </c>
      <c r="AJ783">
        <v>85.152203598265402</v>
      </c>
      <c r="AK783">
        <v>0.551557544329493</v>
      </c>
      <c r="AL783">
        <v>72.208484335653793</v>
      </c>
      <c r="AM783">
        <v>95.673800561510006</v>
      </c>
      <c r="AN783">
        <v>0.99999996504702404</v>
      </c>
    </row>
    <row r="784" spans="1:40" x14ac:dyDescent="0.25">
      <c r="A784" t="str">
        <f>"20190304164348763"</f>
        <v>20190304164348763</v>
      </c>
      <c r="B784" t="str">
        <f>"1551689028750542"</f>
        <v>1551689028750542</v>
      </c>
      <c r="C784" t="s">
        <v>40</v>
      </c>
      <c r="D784">
        <v>4.5139880000000003</v>
      </c>
      <c r="E784">
        <v>0.55530170000000001</v>
      </c>
      <c r="F784" t="s">
        <v>41</v>
      </c>
      <c r="G784">
        <v>-321.09100000000001</v>
      </c>
      <c r="H784">
        <v>1.0343770000000001</v>
      </c>
      <c r="I784">
        <v>367.55599999999998</v>
      </c>
      <c r="J784">
        <v>-321.66489999999999</v>
      </c>
      <c r="K784">
        <v>1.110385</v>
      </c>
      <c r="L784">
        <v>367.60890000000001</v>
      </c>
      <c r="M784">
        <v>0.99987420000000005</v>
      </c>
      <c r="N784">
        <v>-1.4386100000000001E-2</v>
      </c>
      <c r="O784">
        <v>6.6904030000000001E-3</v>
      </c>
      <c r="P784">
        <v>0.95108630000000005</v>
      </c>
      <c r="Q784">
        <v>0.29205639999999999</v>
      </c>
      <c r="R784">
        <v>0.1006881</v>
      </c>
      <c r="S784">
        <v>3.2569270000000001</v>
      </c>
      <c r="T784">
        <v>-0.27242709999999998</v>
      </c>
      <c r="U784">
        <v>-0.18124390000000001</v>
      </c>
      <c r="V784">
        <v>-9.4310550000000007E-2</v>
      </c>
      <c r="W784">
        <v>0.30572129999999997</v>
      </c>
      <c r="X784">
        <v>0.94743869999999997</v>
      </c>
      <c r="Y784">
        <v>6.1973199999999999E-2</v>
      </c>
      <c r="Z784">
        <v>-3.4946349999999998E-3</v>
      </c>
      <c r="AA784">
        <v>0.99807170000000001</v>
      </c>
      <c r="AB784">
        <v>41</v>
      </c>
      <c r="AC784">
        <v>0.57389999999997998</v>
      </c>
      <c r="AD784">
        <v>-7.6007999999999798E-2</v>
      </c>
      <c r="AE784">
        <v>-5.2900000000022297E-2</v>
      </c>
      <c r="AF784">
        <v>5.5768853612308197E-2</v>
      </c>
      <c r="AG784">
        <v>-7.6007999999999798E-2</v>
      </c>
      <c r="AH784">
        <v>0.56372832859425304</v>
      </c>
      <c r="AI784">
        <v>97.642071600070594</v>
      </c>
      <c r="AJ784">
        <v>84.350192268890297</v>
      </c>
      <c r="AK784">
        <v>0.57155665472190997</v>
      </c>
      <c r="AL784">
        <v>72.198436470678303</v>
      </c>
      <c r="AM784">
        <v>95.684646653820195</v>
      </c>
      <c r="AN784">
        <v>1.0000000416863399</v>
      </c>
    </row>
    <row r="785" spans="1:40" x14ac:dyDescent="0.25">
      <c r="A785" t="str">
        <f>"20190304164348777"</f>
        <v>20190304164348777</v>
      </c>
      <c r="B785" t="str">
        <f>"1551689028771036"</f>
        <v>1551689028771036</v>
      </c>
      <c r="C785" t="s">
        <v>40</v>
      </c>
      <c r="D785">
        <v>4.5664740000000004</v>
      </c>
      <c r="E785">
        <v>0.55028250000000001</v>
      </c>
      <c r="F785" t="s">
        <v>41</v>
      </c>
      <c r="G785">
        <v>-320.71929999999998</v>
      </c>
      <c r="H785">
        <v>1.0433699999999999</v>
      </c>
      <c r="I785">
        <v>367.59930000000003</v>
      </c>
      <c r="J785">
        <v>-321.40390000000002</v>
      </c>
      <c r="K785">
        <v>1.1103889999999901</v>
      </c>
      <c r="L785">
        <v>367.61070000000001</v>
      </c>
      <c r="M785">
        <v>0.99987320000000002</v>
      </c>
      <c r="N785">
        <v>-1.4452380000000001E-2</v>
      </c>
      <c r="O785">
        <v>6.6905769999999996E-3</v>
      </c>
      <c r="P785">
        <v>0.95114920000000003</v>
      </c>
      <c r="Q785">
        <v>0.29191529999999999</v>
      </c>
      <c r="R785">
        <v>0.1005013</v>
      </c>
      <c r="S785">
        <v>3.2279659999999999</v>
      </c>
      <c r="T785">
        <v>-0.22877069999999999</v>
      </c>
      <c r="U785">
        <v>-3.2714840000000002E-2</v>
      </c>
      <c r="V785">
        <v>-9.4122330000000004E-2</v>
      </c>
      <c r="W785">
        <v>0.30564459999999999</v>
      </c>
      <c r="X785">
        <v>0.94748209999999999</v>
      </c>
      <c r="Y785">
        <v>1.6763730000000001E-2</v>
      </c>
      <c r="Z785">
        <v>-1.0915720000000001E-3</v>
      </c>
      <c r="AA785">
        <v>0.99985889999999999</v>
      </c>
      <c r="AB785">
        <v>41</v>
      </c>
      <c r="AC785">
        <v>0.68460000000004495</v>
      </c>
      <c r="AD785">
        <v>-6.7018999999999704E-2</v>
      </c>
      <c r="AE785">
        <v>-1.13999999999805E-2</v>
      </c>
      <c r="AF785">
        <v>1.5828938254295499E-2</v>
      </c>
      <c r="AG785">
        <v>-6.7018999999999704E-2</v>
      </c>
      <c r="AH785">
        <v>0.67801249263364105</v>
      </c>
      <c r="AI785">
        <v>95.643607973616</v>
      </c>
      <c r="AJ785">
        <v>88.662610720826706</v>
      </c>
      <c r="AK785">
        <v>0.681500580934852</v>
      </c>
      <c r="AL785">
        <v>72.203050891282999</v>
      </c>
      <c r="AM785">
        <v>95.673117445428801</v>
      </c>
      <c r="AN785">
        <v>0.99999998216709896</v>
      </c>
    </row>
    <row r="786" spans="1:40" x14ac:dyDescent="0.25">
      <c r="A786" t="str">
        <f>"20190304164348790"</f>
        <v>20190304164348790</v>
      </c>
      <c r="B786" t="str">
        <f>"1551689028780798"</f>
        <v>1551689028780798</v>
      </c>
      <c r="C786" t="s">
        <v>40</v>
      </c>
      <c r="D786">
        <v>4.5767879999999996</v>
      </c>
      <c r="E786">
        <v>0.54901889999999998</v>
      </c>
      <c r="F786" t="s">
        <v>41</v>
      </c>
      <c r="G786">
        <v>-320.35890000000001</v>
      </c>
      <c r="H786">
        <v>1.0381229999999999</v>
      </c>
      <c r="I786">
        <v>367.6123</v>
      </c>
      <c r="J786">
        <v>-321.15140000000002</v>
      </c>
      <c r="K786">
        <v>1.110392</v>
      </c>
      <c r="L786">
        <v>367.6123</v>
      </c>
      <c r="M786">
        <v>0.99987230000000005</v>
      </c>
      <c r="N786">
        <v>-1.4510759999999999E-2</v>
      </c>
      <c r="O786">
        <v>6.6906259999999999E-3</v>
      </c>
      <c r="P786">
        <v>0.95114299999999996</v>
      </c>
      <c r="Q786">
        <v>0.29195379999999999</v>
      </c>
      <c r="R786">
        <v>0.1004486</v>
      </c>
      <c r="S786">
        <v>3.221924</v>
      </c>
      <c r="T786">
        <v>-0.22308810000000001</v>
      </c>
      <c r="U786">
        <v>5.8288569999999998E-3</v>
      </c>
      <c r="V786">
        <v>-9.4070130000000002E-2</v>
      </c>
      <c r="W786">
        <v>0.30573820000000002</v>
      </c>
      <c r="X786">
        <v>0.94745710000000005</v>
      </c>
      <c r="Y786">
        <v>4.8581570000000001E-3</v>
      </c>
      <c r="Z786">
        <v>-5.6899629999999999E-4</v>
      </c>
      <c r="AA786">
        <v>0.99998799999999999</v>
      </c>
      <c r="AB786">
        <v>41</v>
      </c>
      <c r="AC786">
        <v>0.79250000000001797</v>
      </c>
      <c r="AD786">
        <v>-7.2269000000000097E-2</v>
      </c>
      <c r="AE786">
        <v>0</v>
      </c>
      <c r="AF786">
        <v>5.2591454246782498E-3</v>
      </c>
      <c r="AG786">
        <v>-7.2269000000000097E-2</v>
      </c>
      <c r="AH786">
        <v>0.78594646178213001</v>
      </c>
      <c r="AI786">
        <v>95.253545624895693</v>
      </c>
      <c r="AJ786">
        <v>89.616612130649898</v>
      </c>
      <c r="AK786">
        <v>0.78927961316598505</v>
      </c>
      <c r="AL786">
        <v>72.197418641988406</v>
      </c>
      <c r="AM786">
        <v>95.670140291828204</v>
      </c>
      <c r="AN786">
        <v>0.99999999631893299</v>
      </c>
    </row>
    <row r="787" spans="1:40" x14ac:dyDescent="0.25">
      <c r="A787" t="str">
        <f>"20190304164348806"</f>
        <v>20190304164348806</v>
      </c>
      <c r="B787" t="str">
        <f>"1551689028800320"</f>
        <v>1551689028800320</v>
      </c>
      <c r="C787" t="s">
        <v>40</v>
      </c>
      <c r="D787">
        <v>4.5497300000000003</v>
      </c>
      <c r="E787">
        <v>0.54733339999999997</v>
      </c>
      <c r="F787" t="s">
        <v>43</v>
      </c>
      <c r="G787">
        <v>-304.44889999999998</v>
      </c>
      <c r="H787">
        <v>-0.05</v>
      </c>
      <c r="I787">
        <v>367.69450000000001</v>
      </c>
      <c r="J787">
        <v>-320.875</v>
      </c>
      <c r="K787">
        <v>1.1102609999999999</v>
      </c>
      <c r="L787">
        <v>367.61419999999998</v>
      </c>
      <c r="M787">
        <v>0.99987859999999995</v>
      </c>
      <c r="N787">
        <v>-1.407662E-2</v>
      </c>
      <c r="O787">
        <v>6.6904209999999898E-3</v>
      </c>
      <c r="P787">
        <v>0.95106670000000004</v>
      </c>
      <c r="Q787">
        <v>0.29223890000000002</v>
      </c>
      <c r="R787">
        <v>0.10034419999999999</v>
      </c>
      <c r="S787">
        <v>3.22113</v>
      </c>
      <c r="T787">
        <v>-0.22378400000000001</v>
      </c>
      <c r="U787">
        <v>1.5838620000000001E-2</v>
      </c>
      <c r="V787">
        <v>-9.3966649999999999E-2</v>
      </c>
      <c r="W787">
        <v>0.30561059999999901</v>
      </c>
      <c r="X787">
        <v>0.94750860000000003</v>
      </c>
      <c r="Y787">
        <v>1.758719E-3</v>
      </c>
      <c r="Z787">
        <v>-4.435641E-4</v>
      </c>
      <c r="AA787">
        <v>0.99999830000000001</v>
      </c>
      <c r="AB787">
        <v>41</v>
      </c>
      <c r="AC787">
        <v>16.426100000000002</v>
      </c>
      <c r="AD787">
        <v>-1.160261</v>
      </c>
      <c r="AE787">
        <v>8.0300000000022395E-2</v>
      </c>
      <c r="AF787">
        <v>2.94632064854231E-2</v>
      </c>
      <c r="AG787">
        <v>-1.160261</v>
      </c>
      <c r="AH787">
        <v>16.344722278306499</v>
      </c>
      <c r="AI787">
        <v>94.060431385335505</v>
      </c>
      <c r="AJ787">
        <v>89.896718003198004</v>
      </c>
      <c r="AK787">
        <v>16.385878677191101</v>
      </c>
      <c r="AL787">
        <v>72.205098250147302</v>
      </c>
      <c r="AM787">
        <v>95.663637691818295</v>
      </c>
      <c r="AN787">
        <v>1.0000000586092599</v>
      </c>
    </row>
    <row r="788" spans="1:40" x14ac:dyDescent="0.25">
      <c r="A788" t="str">
        <f>"20190304164348817"</f>
        <v>20190304164348817</v>
      </c>
      <c r="B788" t="str">
        <f>"1551689028811054"</f>
        <v>1551689028811054</v>
      </c>
      <c r="C788" t="s">
        <v>40</v>
      </c>
      <c r="D788">
        <v>4.54</v>
      </c>
      <c r="E788">
        <v>0.54683609999999905</v>
      </c>
      <c r="F788" t="s">
        <v>43</v>
      </c>
      <c r="G788">
        <v>-304.2543</v>
      </c>
      <c r="H788">
        <v>-0.05</v>
      </c>
      <c r="I788">
        <v>367.76459999999997</v>
      </c>
      <c r="J788">
        <v>-320.65170000000001</v>
      </c>
      <c r="K788">
        <v>1.1101129999999999</v>
      </c>
      <c r="L788">
        <v>367.6157</v>
      </c>
      <c r="M788">
        <v>0.99988469999999996</v>
      </c>
      <c r="N788">
        <v>-1.363466E-2</v>
      </c>
      <c r="O788">
        <v>6.6902929999999999E-3</v>
      </c>
      <c r="P788">
        <v>0.95088399999999995</v>
      </c>
      <c r="Q788">
        <v>0.29280929999999999</v>
      </c>
      <c r="R788">
        <v>0.1004111</v>
      </c>
      <c r="S788">
        <v>3.220367</v>
      </c>
      <c r="T788">
        <v>-0.22480800000000001</v>
      </c>
      <c r="U788">
        <v>2.914429E-2</v>
      </c>
      <c r="V788">
        <v>-9.4034660000000006E-2</v>
      </c>
      <c r="W788">
        <v>0.30575950000000002</v>
      </c>
      <c r="X788">
        <v>0.94745369999999995</v>
      </c>
      <c r="Y788">
        <v>-2.3624399999999999E-3</v>
      </c>
      <c r="Z788">
        <v>-2.7683269999999999E-4</v>
      </c>
      <c r="AA788">
        <v>0.99999720000000003</v>
      </c>
      <c r="AB788">
        <v>41</v>
      </c>
      <c r="AC788">
        <v>16.397400000000001</v>
      </c>
      <c r="AD788">
        <v>-1.1601129999999999</v>
      </c>
      <c r="AE788">
        <v>0.148899999999969</v>
      </c>
      <c r="AF788">
        <v>-3.8987922822964698E-2</v>
      </c>
      <c r="AG788">
        <v>-1.1601129999999999</v>
      </c>
      <c r="AH788">
        <v>16.316363815565101</v>
      </c>
      <c r="AI788">
        <v>94.066942822988295</v>
      </c>
      <c r="AJ788">
        <v>90.136907904449501</v>
      </c>
      <c r="AK788">
        <v>16.357600997480599</v>
      </c>
      <c r="AL788">
        <v>72.196136033343194</v>
      </c>
      <c r="AM788">
        <v>95.668036445219599</v>
      </c>
      <c r="AN788">
        <v>0.99999995138262598</v>
      </c>
    </row>
    <row r="789" spans="1:40" x14ac:dyDescent="0.25">
      <c r="A789" t="str">
        <f>"20190304164348829"</f>
        <v>20190304164348829</v>
      </c>
      <c r="B789" t="str">
        <f>"1551689028820814"</f>
        <v>1551689028820814</v>
      </c>
      <c r="C789" t="s">
        <v>40</v>
      </c>
      <c r="D789">
        <v>4.538144</v>
      </c>
      <c r="E789">
        <v>0.54646939999999999</v>
      </c>
      <c r="F789" t="s">
        <v>41</v>
      </c>
      <c r="G789">
        <v>-319.62450000000001</v>
      </c>
      <c r="H789">
        <v>1.0383439999999999</v>
      </c>
      <c r="I789">
        <v>367.62630000000001</v>
      </c>
      <c r="J789">
        <v>-320.42349999999999</v>
      </c>
      <c r="K789">
        <v>1.1099380000000001</v>
      </c>
      <c r="L789">
        <v>367.61720000000003</v>
      </c>
      <c r="M789">
        <v>0.99989019999999995</v>
      </c>
      <c r="N789">
        <v>-1.322941E-2</v>
      </c>
      <c r="O789">
        <v>6.6898819999999899E-3</v>
      </c>
      <c r="P789">
        <v>0.950762</v>
      </c>
      <c r="Q789">
        <v>0.2933209</v>
      </c>
      <c r="R789">
        <v>0.1000737</v>
      </c>
      <c r="S789">
        <v>3.220764</v>
      </c>
      <c r="T789">
        <v>-0.22509609999999999</v>
      </c>
      <c r="U789">
        <v>3.3477779999999999E-2</v>
      </c>
      <c r="V789">
        <v>-9.3698610000000002E-2</v>
      </c>
      <c r="W789">
        <v>0.30588579999999999</v>
      </c>
      <c r="X789">
        <v>0.94744629999999996</v>
      </c>
      <c r="Y789">
        <v>-3.703437E-3</v>
      </c>
      <c r="Z789">
        <v>-2.24754E-4</v>
      </c>
      <c r="AA789">
        <v>0.99999309999999997</v>
      </c>
      <c r="AB789">
        <v>41</v>
      </c>
      <c r="AC789">
        <v>0.79899999999997795</v>
      </c>
      <c r="AD789">
        <v>-7.15939999999997E-2</v>
      </c>
      <c r="AE789">
        <v>9.0999999999894499E-3</v>
      </c>
      <c r="AF789">
        <v>-3.7242155613052101E-3</v>
      </c>
      <c r="AG789">
        <v>-7.15939999999997E-2</v>
      </c>
      <c r="AH789">
        <v>0.79267942862518204</v>
      </c>
      <c r="AI789">
        <v>95.160836931636297</v>
      </c>
      <c r="AJ789">
        <v>90.269188597477395</v>
      </c>
      <c r="AK789">
        <v>0.79591472356220005</v>
      </c>
      <c r="AL789">
        <v>72.188536714872498</v>
      </c>
      <c r="AM789">
        <v>95.647955705302095</v>
      </c>
      <c r="AN789">
        <v>1.00000002177063</v>
      </c>
    </row>
    <row r="790" spans="1:40" x14ac:dyDescent="0.25">
      <c r="A790" t="str">
        <f>"20190304164348842"</f>
        <v>20190304164348842</v>
      </c>
      <c r="B790" t="str">
        <f>"1551689028830573"</f>
        <v>1551689028830573</v>
      </c>
      <c r="C790" t="s">
        <v>40</v>
      </c>
      <c r="D790">
        <v>4.5398779999999999</v>
      </c>
      <c r="E790">
        <v>0.54616889999999996</v>
      </c>
      <c r="F790" t="s">
        <v>43</v>
      </c>
      <c r="G790">
        <v>-303.71319999999997</v>
      </c>
      <c r="H790">
        <v>-0.05</v>
      </c>
      <c r="I790">
        <v>367.8021</v>
      </c>
      <c r="J790">
        <v>-320.21179999999998</v>
      </c>
      <c r="K790">
        <v>1.109777</v>
      </c>
      <c r="L790">
        <v>367.61860000000001</v>
      </c>
      <c r="M790">
        <v>0.999892</v>
      </c>
      <c r="N790">
        <v>-1.3089099999999999E-2</v>
      </c>
      <c r="O790">
        <v>6.6894429999999998E-3</v>
      </c>
      <c r="P790">
        <v>0.95077489999999998</v>
      </c>
      <c r="Q790">
        <v>0.29338009999999998</v>
      </c>
      <c r="R790">
        <v>9.9776240000000002E-2</v>
      </c>
      <c r="S790">
        <v>3.220612</v>
      </c>
      <c r="T790">
        <v>-0.22355710000000001</v>
      </c>
      <c r="U790">
        <v>3.5644530000000001E-2</v>
      </c>
      <c r="V790">
        <v>-9.3401419999999999E-2</v>
      </c>
      <c r="W790">
        <v>0.30581170000000002</v>
      </c>
      <c r="X790">
        <v>0.94749950000000005</v>
      </c>
      <c r="Y790">
        <v>-4.3751770000000001E-3</v>
      </c>
      <c r="Z790">
        <v>-1.959497E-4</v>
      </c>
      <c r="AA790">
        <v>0.99999039999999995</v>
      </c>
      <c r="AB790">
        <v>41</v>
      </c>
      <c r="AC790">
        <v>16.4986</v>
      </c>
      <c r="AD790">
        <v>-1.1597770000000001</v>
      </c>
      <c r="AE790">
        <v>0.18349999999998001</v>
      </c>
      <c r="AF790">
        <v>-7.2760500283631693E-2</v>
      </c>
      <c r="AG790">
        <v>-1.1597770000000001</v>
      </c>
      <c r="AH790">
        <v>16.418337971016001</v>
      </c>
      <c r="AI790">
        <v>94.040572275581795</v>
      </c>
      <c r="AJ790">
        <v>90.253913782109294</v>
      </c>
      <c r="AK790">
        <v>16.4594106367948</v>
      </c>
      <c r="AL790">
        <v>72.192994917978893</v>
      </c>
      <c r="AM790">
        <v>95.629842902038703</v>
      </c>
      <c r="AN790">
        <v>0.999999961807577</v>
      </c>
    </row>
    <row r="791" spans="1:40" x14ac:dyDescent="0.25">
      <c r="A791" t="str">
        <f>"20190304164348853"</f>
        <v>20190304164348853</v>
      </c>
      <c r="B791" t="str">
        <f>"1551689028840333"</f>
        <v>1551689028840333</v>
      </c>
      <c r="C791" t="s">
        <v>40</v>
      </c>
      <c r="D791">
        <v>4.5524990000000001</v>
      </c>
      <c r="E791">
        <v>0.54601259999999996</v>
      </c>
      <c r="F791" t="s">
        <v>43</v>
      </c>
      <c r="G791">
        <v>-303.53699999999998</v>
      </c>
      <c r="H791">
        <v>-0.05</v>
      </c>
      <c r="I791">
        <v>367.81380000000001</v>
      </c>
      <c r="J791">
        <v>-320.0025</v>
      </c>
      <c r="K791">
        <v>1.1096170000000001</v>
      </c>
      <c r="L791">
        <v>367.62</v>
      </c>
      <c r="M791">
        <v>0.99989249999999996</v>
      </c>
      <c r="N791">
        <v>-1.305635E-2</v>
      </c>
      <c r="O791">
        <v>6.6890029999999998E-3</v>
      </c>
      <c r="P791">
        <v>0.95071719999999904</v>
      </c>
      <c r="Q791">
        <v>0.29362490000000002</v>
      </c>
      <c r="R791">
        <v>9.9607070000000006E-2</v>
      </c>
      <c r="S791">
        <v>3.2204899999999999</v>
      </c>
      <c r="T791">
        <v>-0.22399369999999999</v>
      </c>
      <c r="U791">
        <v>3.7689210000000001E-2</v>
      </c>
      <c r="V791">
        <v>-9.3232949999999995E-2</v>
      </c>
      <c r="W791">
        <v>0.30602459999999998</v>
      </c>
      <c r="X791">
        <v>0.94744740000000005</v>
      </c>
      <c r="Y791">
        <v>-5.0090500000000001E-3</v>
      </c>
      <c r="Z791">
        <v>-1.70673699999999E-4</v>
      </c>
      <c r="AA791">
        <v>0.99998739999999997</v>
      </c>
      <c r="AB791">
        <v>41</v>
      </c>
      <c r="AC791">
        <v>16.465499999999899</v>
      </c>
      <c r="AD791">
        <v>-1.1596169999999999</v>
      </c>
      <c r="AE791">
        <v>0.19380000000000999</v>
      </c>
      <c r="AF791">
        <v>-8.3235718585386406E-2</v>
      </c>
      <c r="AG791">
        <v>-1.1596169999999999</v>
      </c>
      <c r="AH791">
        <v>16.3851692784737</v>
      </c>
      <c r="AI791">
        <v>94.048155346076499</v>
      </c>
      <c r="AJ791">
        <v>90.291056764574193</v>
      </c>
      <c r="AK791">
        <v>16.4263633241133</v>
      </c>
      <c r="AL791">
        <v>72.180183222454701</v>
      </c>
      <c r="AM791">
        <v>95.620060353756003</v>
      </c>
      <c r="AN791">
        <v>1.00000000726881</v>
      </c>
    </row>
    <row r="792" spans="1:40" x14ac:dyDescent="0.25">
      <c r="A792" t="str">
        <f>"20190304164348865"</f>
        <v>20190304164348865</v>
      </c>
      <c r="B792" t="str">
        <f>"1551689028860830"</f>
        <v>1551689028860830</v>
      </c>
      <c r="C792" t="s">
        <v>40</v>
      </c>
      <c r="D792">
        <v>4.5937679999999999</v>
      </c>
      <c r="E792">
        <v>0.5454793</v>
      </c>
      <c r="F792" t="s">
        <v>43</v>
      </c>
      <c r="G792">
        <v>-303.2885</v>
      </c>
      <c r="H792">
        <v>-0.05</v>
      </c>
      <c r="I792">
        <v>367.82240000000002</v>
      </c>
      <c r="J792">
        <v>-319.78829999999999</v>
      </c>
      <c r="K792">
        <v>1.109399</v>
      </c>
      <c r="L792">
        <v>367.62150000000003</v>
      </c>
      <c r="M792">
        <v>0.99988909999999998</v>
      </c>
      <c r="N792">
        <v>-1.3301159999999999E-2</v>
      </c>
      <c r="O792">
        <v>6.6888629999999998E-3</v>
      </c>
      <c r="P792">
        <v>0.95073470000000004</v>
      </c>
      <c r="Q792">
        <v>0.29362509999999997</v>
      </c>
      <c r="R792">
        <v>9.9436549999999999E-2</v>
      </c>
      <c r="S792">
        <v>3.2204280000000001</v>
      </c>
      <c r="T792">
        <v>-0.2234334</v>
      </c>
      <c r="U792">
        <v>3.9001460000000002E-2</v>
      </c>
      <c r="V792">
        <v>-9.3062099999999995E-2</v>
      </c>
      <c r="W792">
        <v>0.30625750000000002</v>
      </c>
      <c r="X792">
        <v>0.94738889999999998</v>
      </c>
      <c r="Y792">
        <v>-5.4155050000000001E-3</v>
      </c>
      <c r="Z792">
        <v>-1.509045E-4</v>
      </c>
      <c r="AA792">
        <v>0.99998529999999997</v>
      </c>
      <c r="AB792">
        <v>41</v>
      </c>
      <c r="AC792">
        <v>16.499799999999901</v>
      </c>
      <c r="AD792">
        <v>-1.1593990000000001</v>
      </c>
      <c r="AE792">
        <v>0.20089999999999</v>
      </c>
      <c r="AF792">
        <v>-9.0076145579520997E-2</v>
      </c>
      <c r="AG792">
        <v>-1.1593990000000001</v>
      </c>
      <c r="AH792">
        <v>16.419714156464</v>
      </c>
      <c r="AI792">
        <v>94.038901248000897</v>
      </c>
      <c r="AJ792">
        <v>90.314313096788197</v>
      </c>
      <c r="AK792">
        <v>16.4608424065473</v>
      </c>
      <c r="AL792">
        <v>72.166165315781797</v>
      </c>
      <c r="AM792">
        <v>95.6101714976799</v>
      </c>
      <c r="AN792">
        <v>0.999999969302934</v>
      </c>
    </row>
    <row r="793" spans="1:40" x14ac:dyDescent="0.25">
      <c r="A793" t="str">
        <f>"20190304164348877"</f>
        <v>20190304164348877</v>
      </c>
      <c r="B793" t="str">
        <f>"1551689028870589"</f>
        <v>1551689028870589</v>
      </c>
      <c r="C793" t="s">
        <v>40</v>
      </c>
      <c r="D793">
        <v>4.5709960000000001</v>
      </c>
      <c r="E793">
        <v>0.54528149999999997</v>
      </c>
      <c r="F793" t="s">
        <v>43</v>
      </c>
      <c r="G793">
        <v>-302.51339999999999</v>
      </c>
      <c r="H793">
        <v>-0.05</v>
      </c>
      <c r="I793">
        <v>367.84640000000002</v>
      </c>
      <c r="J793">
        <v>-319.5609</v>
      </c>
      <c r="K793">
        <v>1.109127</v>
      </c>
      <c r="L793">
        <v>367.62290000000002</v>
      </c>
      <c r="M793">
        <v>0.99988469999999996</v>
      </c>
      <c r="N793">
        <v>-1.363493E-2</v>
      </c>
      <c r="O793">
        <v>6.6886180000000003E-3</v>
      </c>
      <c r="P793">
        <v>0.95075509999999996</v>
      </c>
      <c r="Q793">
        <v>0.29350330000000002</v>
      </c>
      <c r="R793">
        <v>9.9603079999999997E-2</v>
      </c>
      <c r="S793">
        <v>3.2178040000000001</v>
      </c>
      <c r="T793">
        <v>-0.21596180000000001</v>
      </c>
      <c r="U793">
        <v>4.1900630000000001E-2</v>
      </c>
      <c r="V793">
        <v>-9.3228530000000004E-2</v>
      </c>
      <c r="W793">
        <v>0.30645220000000001</v>
      </c>
      <c r="X793">
        <v>0.94730959999999997</v>
      </c>
      <c r="Y793">
        <v>-6.3238640000000002E-3</v>
      </c>
      <c r="Z793">
        <v>-1.021151E-4</v>
      </c>
      <c r="AA793">
        <v>0.99997999999999998</v>
      </c>
      <c r="AB793">
        <v>41</v>
      </c>
      <c r="AC793">
        <v>17.047499999999999</v>
      </c>
      <c r="AD793">
        <v>-1.159127</v>
      </c>
      <c r="AE793">
        <v>0.223500000000001</v>
      </c>
      <c r="AF793">
        <v>-0.10895654812067899</v>
      </c>
      <c r="AG793">
        <v>-1.159127</v>
      </c>
      <c r="AH793">
        <v>16.970170993839201</v>
      </c>
      <c r="AI793">
        <v>93.907369546346601</v>
      </c>
      <c r="AJ793">
        <v>90.367861029888402</v>
      </c>
      <c r="AK793">
        <v>17.0100602730163</v>
      </c>
      <c r="AL793">
        <v>72.154446803537297</v>
      </c>
      <c r="AM793">
        <v>95.620607869942901</v>
      </c>
      <c r="AN793">
        <v>0.99999999397147998</v>
      </c>
    </row>
    <row r="794" spans="1:40" x14ac:dyDescent="0.25">
      <c r="A794" t="str">
        <f>"20190304164348888"</f>
        <v>20190304164348888</v>
      </c>
      <c r="B794" t="str">
        <f>"1551689028880349"</f>
        <v>1551689028880349</v>
      </c>
      <c r="C794" t="s">
        <v>40</v>
      </c>
      <c r="D794">
        <v>4.5350570000000001</v>
      </c>
      <c r="E794">
        <v>0.5450855</v>
      </c>
      <c r="F794" t="s">
        <v>43</v>
      </c>
      <c r="G794">
        <v>-302.07100000000003</v>
      </c>
      <c r="H794">
        <v>-0.05</v>
      </c>
      <c r="I794">
        <v>367.85969999999998</v>
      </c>
      <c r="J794">
        <v>-319.36110000000002</v>
      </c>
      <c r="K794">
        <v>1.1088180000000001</v>
      </c>
      <c r="L794">
        <v>367.62430000000001</v>
      </c>
      <c r="M794">
        <v>0.99987879999999996</v>
      </c>
      <c r="N794">
        <v>-1.4056310000000001E-2</v>
      </c>
      <c r="O794">
        <v>6.6883510000000004E-3</v>
      </c>
      <c r="P794">
        <v>0.95082529999999998</v>
      </c>
      <c r="Q794">
        <v>0.29333550000000003</v>
      </c>
      <c r="R794">
        <v>9.9428039999999995E-2</v>
      </c>
      <c r="S794">
        <v>3.2166440000000001</v>
      </c>
      <c r="T794">
        <v>-0.21317910000000001</v>
      </c>
      <c r="U794">
        <v>4.3548580000000003E-2</v>
      </c>
      <c r="V794">
        <v>-9.3053620000000004E-2</v>
      </c>
      <c r="W794">
        <v>0.30668459999999997</v>
      </c>
      <c r="X794">
        <v>0.94725159999999997</v>
      </c>
      <c r="Y794">
        <v>-6.8394859999999997E-3</v>
      </c>
      <c r="Z794" s="1">
        <v>-7.4296609999999997E-5</v>
      </c>
      <c r="AA794">
        <v>0.99997659999999999</v>
      </c>
      <c r="AB794">
        <v>41</v>
      </c>
      <c r="AC794">
        <v>17.290099999999999</v>
      </c>
      <c r="AD794">
        <v>-1.1588179999999999</v>
      </c>
      <c r="AE794">
        <v>0.23539999999996999</v>
      </c>
      <c r="AF794">
        <v>-0.119205678585372</v>
      </c>
      <c r="AG794">
        <v>-1.1588179999999999</v>
      </c>
      <c r="AH794">
        <v>17.213977691441801</v>
      </c>
      <c r="AI794">
        <v>93.851159369903797</v>
      </c>
      <c r="AJ794">
        <v>90.396763213352301</v>
      </c>
      <c r="AK794">
        <v>17.2533503155876</v>
      </c>
      <c r="AL794">
        <v>72.140457906674399</v>
      </c>
      <c r="AM794">
        <v>95.610471457757697</v>
      </c>
      <c r="AN794">
        <v>1.00000000688741</v>
      </c>
    </row>
    <row r="795" spans="1:40" x14ac:dyDescent="0.25">
      <c r="A795" t="str">
        <f>"20190304164348898"</f>
        <v>20190304164348898</v>
      </c>
      <c r="B795" t="str">
        <f>"1551689028891086"</f>
        <v>1551689028891086</v>
      </c>
      <c r="C795" t="s">
        <v>40</v>
      </c>
      <c r="D795">
        <v>4.5730019999999998</v>
      </c>
      <c r="E795">
        <v>0.54492059999999998</v>
      </c>
      <c r="F795" t="s">
        <v>43</v>
      </c>
      <c r="G795">
        <v>-301.69779999999997</v>
      </c>
      <c r="H795">
        <v>-0.05</v>
      </c>
      <c r="I795">
        <v>367.86380000000003</v>
      </c>
      <c r="J795">
        <v>-319.1737</v>
      </c>
      <c r="K795">
        <v>1.108487</v>
      </c>
      <c r="L795">
        <v>367.62549999999999</v>
      </c>
      <c r="M795">
        <v>0.99987190000000004</v>
      </c>
      <c r="N795">
        <v>-1.454181E-2</v>
      </c>
      <c r="O795">
        <v>6.68836E-3</v>
      </c>
      <c r="P795">
        <v>0.95092469999999996</v>
      </c>
      <c r="Q795">
        <v>0.29297119999999999</v>
      </c>
      <c r="R795">
        <v>9.9548910000000004E-2</v>
      </c>
      <c r="S795">
        <v>3.2156370000000001</v>
      </c>
      <c r="T795">
        <v>-0.2109644</v>
      </c>
      <c r="U795">
        <v>4.3609620000000002E-2</v>
      </c>
      <c r="V795">
        <v>-9.3173409999999998E-2</v>
      </c>
      <c r="W795">
        <v>0.30678169999999999</v>
      </c>
      <c r="X795">
        <v>0.9472083</v>
      </c>
      <c r="Y795">
        <v>-6.8624130000000004E-3</v>
      </c>
      <c r="Z795" s="1">
        <v>-6.6293169999999995E-5</v>
      </c>
      <c r="AA795">
        <v>0.99997650000000005</v>
      </c>
      <c r="AB795">
        <v>41</v>
      </c>
      <c r="AC795">
        <v>17.475899999999999</v>
      </c>
      <c r="AD795">
        <v>-1.158487</v>
      </c>
      <c r="AE795">
        <v>0.23830000000003701</v>
      </c>
      <c r="AF795">
        <v>-0.120866158648467</v>
      </c>
      <c r="AG795">
        <v>-1.158487</v>
      </c>
      <c r="AH795">
        <v>17.400651185434398</v>
      </c>
      <c r="AI795">
        <v>93.808881009096794</v>
      </c>
      <c r="AJ795">
        <v>90.397974152332395</v>
      </c>
      <c r="AK795">
        <v>17.439591808142598</v>
      </c>
      <c r="AL795">
        <v>72.134611296944001</v>
      </c>
      <c r="AM795">
        <v>95.617902932460794</v>
      </c>
      <c r="AN795">
        <v>0.99999992968740103</v>
      </c>
    </row>
    <row r="796" spans="1:40" x14ac:dyDescent="0.25">
      <c r="A796" t="str">
        <f>"20190304164348910"</f>
        <v>20190304164348910</v>
      </c>
      <c r="B796" t="str">
        <f>"1551689028900375"</f>
        <v>1551689028900375</v>
      </c>
      <c r="C796" t="s">
        <v>40</v>
      </c>
      <c r="D796">
        <v>4.5578320000000003</v>
      </c>
      <c r="E796">
        <v>0.54476000000000002</v>
      </c>
      <c r="F796" t="s">
        <v>43</v>
      </c>
      <c r="G796">
        <v>-301.4153</v>
      </c>
      <c r="H796">
        <v>-0.05</v>
      </c>
      <c r="I796">
        <v>367.87569999999999</v>
      </c>
      <c r="J796">
        <v>-318.96069999999997</v>
      </c>
      <c r="K796">
        <v>1.108044</v>
      </c>
      <c r="L796">
        <v>367.62700000000001</v>
      </c>
      <c r="M796">
        <v>0.99986180000000002</v>
      </c>
      <c r="N796">
        <v>-1.5219109999999999E-2</v>
      </c>
      <c r="O796">
        <v>6.6893459999999997E-3</v>
      </c>
      <c r="P796">
        <v>0.95117130000000005</v>
      </c>
      <c r="Q796">
        <v>0.2923018</v>
      </c>
      <c r="R796">
        <v>9.9161200000000005E-2</v>
      </c>
      <c r="S796">
        <v>3.214661</v>
      </c>
      <c r="T796">
        <v>-0.20971129999999999</v>
      </c>
      <c r="U796">
        <v>4.5288090000000003E-2</v>
      </c>
      <c r="V796">
        <v>-9.2783009999999999E-2</v>
      </c>
      <c r="W796">
        <v>0.30675809999999998</v>
      </c>
      <c r="X796">
        <v>0.94725429999999999</v>
      </c>
      <c r="Y796">
        <v>-7.3858019999999899E-3</v>
      </c>
      <c r="Z796" s="1">
        <v>-3.7243110000000003E-5</v>
      </c>
      <c r="AA796">
        <v>0.99997270000000005</v>
      </c>
      <c r="AB796">
        <v>41</v>
      </c>
      <c r="AC796">
        <v>17.545399999999901</v>
      </c>
      <c r="AD796">
        <v>-1.1580440000000001</v>
      </c>
      <c r="AE796">
        <v>0.248700000000042</v>
      </c>
      <c r="AF796">
        <v>-0.13074413369562199</v>
      </c>
      <c r="AG796">
        <v>-1.1580440000000001</v>
      </c>
      <c r="AH796">
        <v>17.470578375336</v>
      </c>
      <c r="AI796">
        <v>93.792219191578198</v>
      </c>
      <c r="AJ796">
        <v>90.428774998372802</v>
      </c>
      <c r="AK796">
        <v>17.5094051498955</v>
      </c>
      <c r="AL796">
        <v>72.136032608508003</v>
      </c>
      <c r="AM796">
        <v>95.594243402062403</v>
      </c>
      <c r="AN796">
        <v>0.99999996386437895</v>
      </c>
    </row>
    <row r="797" spans="1:40" x14ac:dyDescent="0.25">
      <c r="A797" t="str">
        <f>"20190304164348920"</f>
        <v>20190304164348920</v>
      </c>
      <c r="B797" t="str">
        <f>"1551689028911111"</f>
        <v>1551689028911111</v>
      </c>
      <c r="C797" t="s">
        <v>40</v>
      </c>
      <c r="D797">
        <v>4.559717</v>
      </c>
      <c r="E797">
        <v>0.54460379999999997</v>
      </c>
      <c r="F797" t="s">
        <v>43</v>
      </c>
      <c r="G797">
        <v>-301.25670000000002</v>
      </c>
      <c r="H797">
        <v>-0.05</v>
      </c>
      <c r="I797">
        <v>367.87639999999999</v>
      </c>
      <c r="J797">
        <v>-318.7679</v>
      </c>
      <c r="K797">
        <v>1.1075950000000001</v>
      </c>
      <c r="L797">
        <v>367.62830000000002</v>
      </c>
      <c r="M797">
        <v>0.99984969999999995</v>
      </c>
      <c r="N797">
        <v>-1.599743E-2</v>
      </c>
      <c r="O797">
        <v>6.6904219999999997E-3</v>
      </c>
      <c r="P797">
        <v>0.95134439999999998</v>
      </c>
      <c r="Q797">
        <v>0.29175230000000002</v>
      </c>
      <c r="R797">
        <v>9.9118869999999998E-2</v>
      </c>
      <c r="S797">
        <v>3.2138979999999999</v>
      </c>
      <c r="T797">
        <v>-0.21022489999999999</v>
      </c>
      <c r="U797">
        <v>4.5288090000000003E-2</v>
      </c>
      <c r="V797">
        <v>-9.2738189999999998E-2</v>
      </c>
      <c r="W797">
        <v>0.30694880000000002</v>
      </c>
      <c r="X797">
        <v>0.94719699999999996</v>
      </c>
      <c r="Y797">
        <v>-7.3875039999999996E-3</v>
      </c>
      <c r="Z797" s="1">
        <v>-2.9666859999999999E-5</v>
      </c>
      <c r="AA797">
        <v>0.99997270000000005</v>
      </c>
      <c r="AB797">
        <v>41</v>
      </c>
      <c r="AC797">
        <v>17.511199999999899</v>
      </c>
      <c r="AD797">
        <v>-1.1575949999999999</v>
      </c>
      <c r="AE797">
        <v>0.24809999999996499</v>
      </c>
      <c r="AF797">
        <v>-0.13035261324464201</v>
      </c>
      <c r="AG797">
        <v>-1.1575949999999999</v>
      </c>
      <c r="AH797">
        <v>17.436286798872501</v>
      </c>
      <c r="AI797">
        <v>93.7981867622767</v>
      </c>
      <c r="AJ797">
        <v>90.428331762263497</v>
      </c>
      <c r="AK797">
        <v>17.4751570900047</v>
      </c>
      <c r="AL797">
        <v>72.124554004708699</v>
      </c>
      <c r="AM797">
        <v>95.591894275615502</v>
      </c>
      <c r="AN797">
        <v>1.00000004725745</v>
      </c>
    </row>
    <row r="798" spans="1:40" x14ac:dyDescent="0.25">
      <c r="A798" t="str">
        <f>"20190304164348932"</f>
        <v>20190304164348932</v>
      </c>
      <c r="B798" t="str">
        <f>"1551689028920872"</f>
        <v>1551689028920872</v>
      </c>
      <c r="C798" t="s">
        <v>40</v>
      </c>
      <c r="D798">
        <v>4.5775370000000004</v>
      </c>
      <c r="E798">
        <v>0.54445200000000005</v>
      </c>
      <c r="F798" t="s">
        <v>43</v>
      </c>
      <c r="G798">
        <v>-301.0949</v>
      </c>
      <c r="H798">
        <v>-0.05</v>
      </c>
      <c r="I798">
        <v>367.88630000000001</v>
      </c>
      <c r="J798">
        <v>-318.54390000000001</v>
      </c>
      <c r="K798">
        <v>1.10704</v>
      </c>
      <c r="L798">
        <v>367.62979999999999</v>
      </c>
      <c r="M798">
        <v>0.99983310000000003</v>
      </c>
      <c r="N798">
        <v>-1.7006139999999999E-2</v>
      </c>
      <c r="O798">
        <v>6.6916129999999999E-3</v>
      </c>
      <c r="P798">
        <v>0.95163889999999995</v>
      </c>
      <c r="Q798">
        <v>0.29089569999999998</v>
      </c>
      <c r="R798">
        <v>9.88092E-2</v>
      </c>
      <c r="S798">
        <v>3.2130740000000002</v>
      </c>
      <c r="T798">
        <v>-0.21045949999999999</v>
      </c>
      <c r="U798">
        <v>4.6905519999999999E-2</v>
      </c>
      <c r="V798">
        <v>-9.2425080000000007E-2</v>
      </c>
      <c r="W798">
        <v>0.30705270000000001</v>
      </c>
      <c r="X798">
        <v>0.94719390000000003</v>
      </c>
      <c r="Y798">
        <v>-7.8911329999999998E-3</v>
      </c>
      <c r="Z798" s="1">
        <v>1.251537E-6</v>
      </c>
      <c r="AA798">
        <v>0.99996890000000005</v>
      </c>
      <c r="AB798">
        <v>41</v>
      </c>
      <c r="AC798">
        <v>17.449000000000002</v>
      </c>
      <c r="AD798">
        <v>-1.1570400000000001</v>
      </c>
      <c r="AE798">
        <v>0.25650000000001599</v>
      </c>
      <c r="AF798">
        <v>-0.13910391820854001</v>
      </c>
      <c r="AG798">
        <v>-1.1570400000000001</v>
      </c>
      <c r="AH798">
        <v>17.373949257401499</v>
      </c>
      <c r="AI798">
        <v>93.809936768965301</v>
      </c>
      <c r="AJ798">
        <v>90.458726856659197</v>
      </c>
      <c r="AK798">
        <v>17.412989526799301</v>
      </c>
      <c r="AL798">
        <v>72.118298408329693</v>
      </c>
      <c r="AM798">
        <v>95.573151665537793</v>
      </c>
      <c r="AN798">
        <v>1.00000002009375</v>
      </c>
    </row>
    <row r="799" spans="1:40" x14ac:dyDescent="0.25">
      <c r="A799" t="str">
        <f>"20190304164348944"</f>
        <v>20190304164348944</v>
      </c>
      <c r="B799" t="str">
        <f>"1551689028940391"</f>
        <v>1551689028940391</v>
      </c>
      <c r="C799" t="s">
        <v>40</v>
      </c>
      <c r="D799">
        <v>4.6361059999999998</v>
      </c>
      <c r="E799">
        <v>0.54414689999999999</v>
      </c>
      <c r="F799" t="s">
        <v>43</v>
      </c>
      <c r="G799">
        <v>-300.99950000000001</v>
      </c>
      <c r="H799">
        <v>-0.05</v>
      </c>
      <c r="I799">
        <v>367.89150000000001</v>
      </c>
      <c r="J799">
        <v>-318.34480000000002</v>
      </c>
      <c r="K799">
        <v>1.10643799999999</v>
      </c>
      <c r="L799">
        <v>367.6311</v>
      </c>
      <c r="M799">
        <v>0.99981770000000003</v>
      </c>
      <c r="N799">
        <v>-1.7896760000000001E-2</v>
      </c>
      <c r="O799">
        <v>6.6921760000000002E-3</v>
      </c>
      <c r="P799">
        <v>0.95186040000000005</v>
      </c>
      <c r="Q799">
        <v>0.29023259999999901</v>
      </c>
      <c r="R799">
        <v>9.8627569999999998E-2</v>
      </c>
      <c r="S799">
        <v>3.2122799999999998</v>
      </c>
      <c r="T799">
        <v>-0.21184720000000001</v>
      </c>
      <c r="U799">
        <v>4.79126E-2</v>
      </c>
      <c r="V799">
        <v>-9.2241379999999998E-2</v>
      </c>
      <c r="W799">
        <v>0.30723640000000002</v>
      </c>
      <c r="X799">
        <v>0.9471522</v>
      </c>
      <c r="Y799">
        <v>-8.2059960000000001E-3</v>
      </c>
      <c r="Z799" s="1">
        <v>2.2669020000000001E-5</v>
      </c>
      <c r="AA799">
        <v>0.99996629999999997</v>
      </c>
      <c r="AB799">
        <v>41</v>
      </c>
      <c r="AC799">
        <v>17.345300000000002</v>
      </c>
      <c r="AD799">
        <v>-1.1564380000000001</v>
      </c>
      <c r="AE799">
        <v>0.26040000000000402</v>
      </c>
      <c r="AF799">
        <v>-0.14365936675475</v>
      </c>
      <c r="AG799">
        <v>-1.1564380000000001</v>
      </c>
      <c r="AH799">
        <v>17.269905309084798</v>
      </c>
      <c r="AI799">
        <v>93.830823852436197</v>
      </c>
      <c r="AJ799">
        <v>90.476602819041901</v>
      </c>
      <c r="AK799">
        <v>17.3091772261496</v>
      </c>
      <c r="AL799">
        <v>72.107237902151098</v>
      </c>
      <c r="AM799">
        <v>95.5623875938916</v>
      </c>
      <c r="AN799">
        <v>0.99999998381705202</v>
      </c>
    </row>
    <row r="800" spans="1:40" x14ac:dyDescent="0.25">
      <c r="A800" t="str">
        <f>"20190304164348956"</f>
        <v>20190304164348956</v>
      </c>
      <c r="B800" t="str">
        <f>"1551689028951128"</f>
        <v>1551689028951128</v>
      </c>
      <c r="C800" t="s">
        <v>40</v>
      </c>
      <c r="D800">
        <v>4.5837149999999998</v>
      </c>
      <c r="E800">
        <v>0.54402550000000005</v>
      </c>
      <c r="F800" t="s">
        <v>43</v>
      </c>
      <c r="G800">
        <v>-300.83460000000002</v>
      </c>
      <c r="H800">
        <v>-0.05</v>
      </c>
      <c r="I800">
        <v>367.90519999999998</v>
      </c>
      <c r="J800">
        <v>-318.12619999999998</v>
      </c>
      <c r="K800">
        <v>1.1057250000000001</v>
      </c>
      <c r="L800">
        <v>367.63260000000002</v>
      </c>
      <c r="M800">
        <v>0.99979980000000002</v>
      </c>
      <c r="N800">
        <v>-1.8858989999999999E-2</v>
      </c>
      <c r="O800">
        <v>6.6927929999999998E-3</v>
      </c>
      <c r="P800">
        <v>0.95215640000000001</v>
      </c>
      <c r="Q800">
        <v>0.2892904</v>
      </c>
      <c r="R800">
        <v>9.8536570000000004E-2</v>
      </c>
      <c r="S800">
        <v>3.211182</v>
      </c>
      <c r="T800">
        <v>-0.2120774</v>
      </c>
      <c r="U800">
        <v>5.026245E-2</v>
      </c>
      <c r="V800">
        <v>-9.2147759999999995E-2</v>
      </c>
      <c r="W800">
        <v>0.30721150000000003</v>
      </c>
      <c r="X800">
        <v>0.94716940000000005</v>
      </c>
      <c r="Y800">
        <v>-8.9392880000000001E-3</v>
      </c>
      <c r="Z800" s="1">
        <v>6.3903210000000002E-5</v>
      </c>
      <c r="AA800">
        <v>0.99996010000000002</v>
      </c>
      <c r="AB800">
        <v>41</v>
      </c>
      <c r="AC800">
        <v>17.291599999999899</v>
      </c>
      <c r="AD800">
        <v>-1.1557249999999999</v>
      </c>
      <c r="AE800">
        <v>0.27259999999995399</v>
      </c>
      <c r="AF800">
        <v>-0.156146841704525</v>
      </c>
      <c r="AG800">
        <v>-1.1557249999999999</v>
      </c>
      <c r="AH800">
        <v>17.216147918822099</v>
      </c>
      <c r="AI800">
        <v>93.840362652153601</v>
      </c>
      <c r="AJ800">
        <v>90.519646424419705</v>
      </c>
      <c r="AK800">
        <v>17.2556028951341</v>
      </c>
      <c r="AL800">
        <v>72.108737256612997</v>
      </c>
      <c r="AM800">
        <v>95.556677148078606</v>
      </c>
      <c r="AN800">
        <v>0.99999999385081395</v>
      </c>
    </row>
    <row r="801" spans="1:40" x14ac:dyDescent="0.25">
      <c r="A801" t="str">
        <f>"20190304164348968"</f>
        <v>20190304164348968</v>
      </c>
      <c r="B801" t="str">
        <f>"1551689028960887"</f>
        <v>1551689028960887</v>
      </c>
      <c r="C801" t="s">
        <v>40</v>
      </c>
      <c r="D801">
        <v>4.6510689999999997</v>
      </c>
      <c r="E801">
        <v>0.54396709999999904</v>
      </c>
      <c r="F801" t="s">
        <v>43</v>
      </c>
      <c r="G801">
        <v>-300.81959999999998</v>
      </c>
      <c r="H801">
        <v>-0.05</v>
      </c>
      <c r="I801">
        <v>367.90750000000003</v>
      </c>
      <c r="J801">
        <v>-317.89210000000003</v>
      </c>
      <c r="K801">
        <v>1.1048199999999999</v>
      </c>
      <c r="L801">
        <v>367.63420000000002</v>
      </c>
      <c r="M801">
        <v>0.99978140000000004</v>
      </c>
      <c r="N801">
        <v>-1.9813190000000001E-2</v>
      </c>
      <c r="O801">
        <v>6.6929090000000004E-3</v>
      </c>
      <c r="P801">
        <v>0.95247630000000005</v>
      </c>
      <c r="Q801">
        <v>0.28830869999999997</v>
      </c>
      <c r="R801">
        <v>9.8322919999999994E-2</v>
      </c>
      <c r="S801">
        <v>3.2106020000000002</v>
      </c>
      <c r="T801">
        <v>-0.21440139999999999</v>
      </c>
      <c r="U801">
        <v>5.0994869999999998E-2</v>
      </c>
      <c r="V801">
        <v>-9.1931849999999996E-2</v>
      </c>
      <c r="W801">
        <v>0.30714029999999998</v>
      </c>
      <c r="X801">
        <v>0.94721350000000004</v>
      </c>
      <c r="Y801">
        <v>-9.1684209999999995E-3</v>
      </c>
      <c r="Z801" s="1">
        <v>8.2841610000000004E-5</v>
      </c>
      <c r="AA801">
        <v>0.99995800000000001</v>
      </c>
      <c r="AB801">
        <v>41</v>
      </c>
      <c r="AC801">
        <v>17.072500000000002</v>
      </c>
      <c r="AD801">
        <v>-1.15482</v>
      </c>
      <c r="AE801">
        <v>0.27330000000000598</v>
      </c>
      <c r="AF801">
        <v>-0.15828273441038901</v>
      </c>
      <c r="AG801">
        <v>-1.15482</v>
      </c>
      <c r="AH801">
        <v>16.996201551748801</v>
      </c>
      <c r="AI801">
        <v>93.886863507677603</v>
      </c>
      <c r="AJ801">
        <v>90.533570425033901</v>
      </c>
      <c r="AK801">
        <v>17.036124261230299</v>
      </c>
      <c r="AL801">
        <v>72.113024482770101</v>
      </c>
      <c r="AM801">
        <v>95.543482089181794</v>
      </c>
      <c r="AN801">
        <v>1.0000000217553799</v>
      </c>
    </row>
    <row r="802" spans="1:40" x14ac:dyDescent="0.25">
      <c r="A802" t="str">
        <f>"20190304164348985"</f>
        <v>20190304164348985</v>
      </c>
      <c r="B802" t="str">
        <f>"1551689028980407"</f>
        <v>1551689028980407</v>
      </c>
      <c r="C802" t="s">
        <v>40</v>
      </c>
      <c r="D802">
        <v>4.6622250000000003</v>
      </c>
      <c r="E802">
        <v>0.54381440000000003</v>
      </c>
      <c r="F802" t="s">
        <v>43</v>
      </c>
      <c r="G802">
        <v>-300.78460000000001</v>
      </c>
      <c r="H802">
        <v>-0.05</v>
      </c>
      <c r="I802">
        <v>367.90609999999998</v>
      </c>
      <c r="J802">
        <v>-317.59800000000001</v>
      </c>
      <c r="K802">
        <v>1.1035330000000001</v>
      </c>
      <c r="L802">
        <v>367.6361</v>
      </c>
      <c r="M802">
        <v>0.99975950000000002</v>
      </c>
      <c r="N802">
        <v>-2.08893E-2</v>
      </c>
      <c r="O802">
        <v>6.691949E-3</v>
      </c>
      <c r="P802">
        <v>0.95285880000000001</v>
      </c>
      <c r="Q802">
        <v>0.28706029999999999</v>
      </c>
      <c r="R802">
        <v>9.8267789999999994E-2</v>
      </c>
      <c r="S802">
        <v>3.209991</v>
      </c>
      <c r="T802">
        <v>-0.2166855</v>
      </c>
      <c r="U802">
        <v>5.1025389999999997E-2</v>
      </c>
      <c r="V802">
        <v>-9.1875470000000001E-2</v>
      </c>
      <c r="W802">
        <v>0.3069192</v>
      </c>
      <c r="X802">
        <v>0.94729059999999998</v>
      </c>
      <c r="Y802">
        <v>-9.1807629999999998E-3</v>
      </c>
      <c r="Z802" s="1">
        <v>9.4054360000000003E-5</v>
      </c>
      <c r="AA802">
        <v>0.99995789999999996</v>
      </c>
      <c r="AB802">
        <v>41</v>
      </c>
      <c r="AC802">
        <v>16.813400000000001</v>
      </c>
      <c r="AD802">
        <v>-1.1535329999999999</v>
      </c>
      <c r="AE802">
        <v>0.26999999999998098</v>
      </c>
      <c r="AF802">
        <v>-0.15671750402110299</v>
      </c>
      <c r="AG802">
        <v>-1.1535329999999999</v>
      </c>
      <c r="AH802">
        <v>16.736073331215199</v>
      </c>
      <c r="AI802">
        <v>93.942700523947394</v>
      </c>
      <c r="AJ802">
        <v>90.536505125320204</v>
      </c>
      <c r="AK802">
        <v>16.7765118336909</v>
      </c>
      <c r="AL802">
        <v>72.126334899019795</v>
      </c>
      <c r="AM802">
        <v>95.539655433505004</v>
      </c>
      <c r="AN802">
        <v>0.99999998908235999</v>
      </c>
    </row>
    <row r="803" spans="1:40" x14ac:dyDescent="0.25">
      <c r="A803" t="str">
        <f>"20190304164348999"</f>
        <v>20190304164348999</v>
      </c>
      <c r="B803" t="str">
        <f>"1551689028991143"</f>
        <v>1551689028991143</v>
      </c>
      <c r="C803" t="s">
        <v>40</v>
      </c>
      <c r="D803">
        <v>4.6421979999999996</v>
      </c>
      <c r="E803">
        <v>0.54381939999999995</v>
      </c>
      <c r="F803" t="s">
        <v>43</v>
      </c>
      <c r="G803">
        <v>-300.87279999999998</v>
      </c>
      <c r="H803">
        <v>-0.05</v>
      </c>
      <c r="I803">
        <v>367.9076</v>
      </c>
      <c r="J803">
        <v>-317.34039999999999</v>
      </c>
      <c r="K803">
        <v>1.102277</v>
      </c>
      <c r="L803">
        <v>367.6379</v>
      </c>
      <c r="M803">
        <v>0.99974180000000001</v>
      </c>
      <c r="N803">
        <v>-2.1716369999999999E-2</v>
      </c>
      <c r="O803">
        <v>6.6909999999999999E-3</v>
      </c>
      <c r="P803">
        <v>0.95304949999999999</v>
      </c>
      <c r="Q803">
        <v>0.28646650000000001</v>
      </c>
      <c r="R803">
        <v>9.8151530000000001E-2</v>
      </c>
      <c r="S803">
        <v>3.2097470000000001</v>
      </c>
      <c r="T803">
        <v>-0.22137519999999999</v>
      </c>
      <c r="U803">
        <v>5.2093510000000003E-2</v>
      </c>
      <c r="V803">
        <v>-9.1759229999999997E-2</v>
      </c>
      <c r="W803">
        <v>0.30711349999999998</v>
      </c>
      <c r="X803">
        <v>0.94723889999999999</v>
      </c>
      <c r="Y803">
        <v>-9.5133130000000007E-3</v>
      </c>
      <c r="Z803">
        <v>1.154388E-4</v>
      </c>
      <c r="AA803">
        <v>0.99995480000000003</v>
      </c>
      <c r="AB803">
        <v>41</v>
      </c>
      <c r="AC803">
        <v>16.467600000000001</v>
      </c>
      <c r="AD803">
        <v>-1.152277</v>
      </c>
      <c r="AE803">
        <v>0.2697</v>
      </c>
      <c r="AF803">
        <v>-0.15870642026093101</v>
      </c>
      <c r="AG803">
        <v>-1.152277</v>
      </c>
      <c r="AH803">
        <v>16.388815889407098</v>
      </c>
      <c r="AI803">
        <v>94.021587879117007</v>
      </c>
      <c r="AJ803">
        <v>90.554824942630106</v>
      </c>
      <c r="AK803">
        <v>16.430040056842401</v>
      </c>
      <c r="AL803">
        <v>72.114637515234193</v>
      </c>
      <c r="AM803">
        <v>95.5329903258678</v>
      </c>
      <c r="AN803">
        <v>0.99999999592282596</v>
      </c>
    </row>
    <row r="804" spans="1:40" x14ac:dyDescent="0.25">
      <c r="A804" t="str">
        <f>"20190304164349012"</f>
        <v>20190304164349012</v>
      </c>
      <c r="B804" t="str">
        <f>"1551689029000435"</f>
        <v>1551689029000435</v>
      </c>
      <c r="C804" t="s">
        <v>40</v>
      </c>
      <c r="D804">
        <v>4.652666</v>
      </c>
      <c r="E804">
        <v>0.54379299999999997</v>
      </c>
      <c r="F804" t="s">
        <v>43</v>
      </c>
      <c r="G804">
        <v>-300.91109999999998</v>
      </c>
      <c r="H804">
        <v>-0.05</v>
      </c>
      <c r="I804">
        <v>367.90320000000003</v>
      </c>
      <c r="J804">
        <v>-317.09690000000001</v>
      </c>
      <c r="K804">
        <v>1.100981</v>
      </c>
      <c r="L804">
        <v>367.6395</v>
      </c>
      <c r="M804">
        <v>0.99972700000000003</v>
      </c>
      <c r="N804">
        <v>-2.2393179999999999E-2</v>
      </c>
      <c r="O804">
        <v>6.6902130000000004E-3</v>
      </c>
      <c r="P804">
        <v>0.95323570000000002</v>
      </c>
      <c r="Q804">
        <v>0.28594199999999997</v>
      </c>
      <c r="R804">
        <v>9.7872379999999995E-2</v>
      </c>
      <c r="S804">
        <v>3.2101440000000001</v>
      </c>
      <c r="T804">
        <v>-0.2251446</v>
      </c>
      <c r="U804">
        <v>5.1849369999999999E-2</v>
      </c>
      <c r="V804">
        <v>-9.1479519999999995E-2</v>
      </c>
      <c r="W804">
        <v>0.3072337</v>
      </c>
      <c r="X804">
        <v>0.94722700000000004</v>
      </c>
      <c r="Y804">
        <v>-9.4352599999999991E-3</v>
      </c>
      <c r="Z804">
        <v>1.173757E-4</v>
      </c>
      <c r="AA804">
        <v>0.9999555</v>
      </c>
      <c r="AB804">
        <v>41</v>
      </c>
      <c r="AC804">
        <v>16.1858</v>
      </c>
      <c r="AD804">
        <v>-1.150981</v>
      </c>
      <c r="AE804">
        <v>0.26370000000002802</v>
      </c>
      <c r="AF804">
        <v>-0.154598946507605</v>
      </c>
      <c r="AG804">
        <v>-1.150981</v>
      </c>
      <c r="AH804">
        <v>16.105781595412498</v>
      </c>
      <c r="AI804">
        <v>94.087439594910407</v>
      </c>
      <c r="AJ804">
        <v>90.549963692182004</v>
      </c>
      <c r="AK804">
        <v>16.14759607173</v>
      </c>
      <c r="AL804">
        <v>72.107401118900398</v>
      </c>
      <c r="AM804">
        <v>95.516297151887002</v>
      </c>
      <c r="AN804">
        <v>1.0000000192620599</v>
      </c>
    </row>
    <row r="805" spans="1:40" x14ac:dyDescent="0.25">
      <c r="A805" t="str">
        <f>"20190304164349024"</f>
        <v>20190304164349024</v>
      </c>
      <c r="B805" t="str">
        <f>"1551689029020931"</f>
        <v>1551689029020931</v>
      </c>
      <c r="C805" t="s">
        <v>40</v>
      </c>
      <c r="D805">
        <v>4.6433010000000001</v>
      </c>
      <c r="E805">
        <v>0.543728199999999</v>
      </c>
      <c r="F805" t="s">
        <v>43</v>
      </c>
      <c r="G805">
        <v>-300.93869999999998</v>
      </c>
      <c r="H805">
        <v>-0.05</v>
      </c>
      <c r="I805">
        <v>367.8956</v>
      </c>
      <c r="J805">
        <v>-316.88099999999997</v>
      </c>
      <c r="K805">
        <v>1.0997250000000001</v>
      </c>
      <c r="L805">
        <v>367.64089999999999</v>
      </c>
      <c r="M805">
        <v>0.99971650000000001</v>
      </c>
      <c r="N805">
        <v>-2.285531E-2</v>
      </c>
      <c r="O805">
        <v>6.689647E-3</v>
      </c>
      <c r="P805">
        <v>0.95329739999999996</v>
      </c>
      <c r="Q805">
        <v>0.28574729999999998</v>
      </c>
      <c r="R805">
        <v>9.7840300000000005E-2</v>
      </c>
      <c r="S805">
        <v>3.2105410000000001</v>
      </c>
      <c r="T805">
        <v>-0.22869349999999999</v>
      </c>
      <c r="U805">
        <v>5.0903320000000002E-2</v>
      </c>
      <c r="V805">
        <v>-9.1447059999999997E-2</v>
      </c>
      <c r="W805">
        <v>0.30747869999999999</v>
      </c>
      <c r="X805">
        <v>0.94715059999999995</v>
      </c>
      <c r="Y805">
        <v>-9.1393700000000008E-3</v>
      </c>
      <c r="Z805">
        <v>1.066125E-4</v>
      </c>
      <c r="AA805">
        <v>0.99995820000000002</v>
      </c>
      <c r="AB805">
        <v>41</v>
      </c>
      <c r="AC805">
        <v>15.9422999999999</v>
      </c>
      <c r="AD805">
        <v>-1.1497250000000001</v>
      </c>
      <c r="AE805">
        <v>0.25470000000001303</v>
      </c>
      <c r="AF805">
        <v>-0.14725242050614501</v>
      </c>
      <c r="AG805">
        <v>-1.1497250000000001</v>
      </c>
      <c r="AH805">
        <v>15.8611746323551</v>
      </c>
      <c r="AI805">
        <v>94.145755591252794</v>
      </c>
      <c r="AJ805">
        <v>90.531908892898898</v>
      </c>
      <c r="AK805">
        <v>15.9034716829073</v>
      </c>
      <c r="AL805">
        <v>72.092649009301297</v>
      </c>
      <c r="AM805">
        <v>95.514793913780096</v>
      </c>
      <c r="AN805">
        <v>0.99999998740834595</v>
      </c>
    </row>
    <row r="806" spans="1:40" x14ac:dyDescent="0.25">
      <c r="A806" t="str">
        <f>"20190304164349040"</f>
        <v>20190304164349040</v>
      </c>
      <c r="B806" t="str">
        <f>"1551689029030691"</f>
        <v>1551689029030691</v>
      </c>
      <c r="C806" t="s">
        <v>40</v>
      </c>
      <c r="D806">
        <v>4.6484209999999999</v>
      </c>
      <c r="E806">
        <v>0.54372379999999998</v>
      </c>
      <c r="F806" t="s">
        <v>43</v>
      </c>
      <c r="G806">
        <v>-301.00380000000001</v>
      </c>
      <c r="H806">
        <v>-0.05</v>
      </c>
      <c r="I806">
        <v>367.8981</v>
      </c>
      <c r="J806">
        <v>-316.60309999999998</v>
      </c>
      <c r="K806">
        <v>1.0980399999999999</v>
      </c>
      <c r="L806">
        <v>367.64280000000002</v>
      </c>
      <c r="M806">
        <v>0.99970490000000001</v>
      </c>
      <c r="N806">
        <v>-2.3352810000000002E-2</v>
      </c>
      <c r="O806">
        <v>6.6892089999999998E-3</v>
      </c>
      <c r="P806">
        <v>0.95342559999999998</v>
      </c>
      <c r="Q806">
        <v>0.28540110000000002</v>
      </c>
      <c r="R806">
        <v>9.760025E-2</v>
      </c>
      <c r="S806">
        <v>3.2113339999999999</v>
      </c>
      <c r="T806">
        <v>-0.2325439</v>
      </c>
      <c r="U806">
        <v>5.2032469999999997E-2</v>
      </c>
      <c r="V806">
        <v>-9.1206430000000005E-2</v>
      </c>
      <c r="W806">
        <v>0.30760710000000002</v>
      </c>
      <c r="X806">
        <v>0.94713210000000003</v>
      </c>
      <c r="Y806">
        <v>-9.4852840000000001E-3</v>
      </c>
      <c r="Z806">
        <v>1.263007E-4</v>
      </c>
      <c r="AA806">
        <v>0.99995500000000004</v>
      </c>
      <c r="AB806">
        <v>41</v>
      </c>
      <c r="AC806">
        <v>15.5992999999999</v>
      </c>
      <c r="AD806">
        <v>-1.1480399999999999</v>
      </c>
      <c r="AE806">
        <v>0.25529999999997699</v>
      </c>
      <c r="AF806">
        <v>-0.15010603803784001</v>
      </c>
      <c r="AG806">
        <v>-1.1480399999999999</v>
      </c>
      <c r="AH806">
        <v>15.5166385482715</v>
      </c>
      <c r="AI806">
        <v>94.231274176849695</v>
      </c>
      <c r="AJ806">
        <v>90.554254979886295</v>
      </c>
      <c r="AK806">
        <v>15.5597750466374</v>
      </c>
      <c r="AL806">
        <v>72.084917341232398</v>
      </c>
      <c r="AM806">
        <v>95.500478401143496</v>
      </c>
      <c r="AN806">
        <v>0.99999997784708206</v>
      </c>
    </row>
    <row r="807" spans="1:40" x14ac:dyDescent="0.25">
      <c r="A807" t="str">
        <f>"20190304164349052"</f>
        <v>20190304164349052</v>
      </c>
      <c r="B807" t="str">
        <f>"1551689029040451"</f>
        <v>1551689029040451</v>
      </c>
      <c r="C807" t="s">
        <v>40</v>
      </c>
      <c r="D807">
        <v>4.6371570000000002</v>
      </c>
      <c r="E807">
        <v>0.54370439999999998</v>
      </c>
      <c r="F807" t="s">
        <v>43</v>
      </c>
      <c r="G807">
        <v>-300.9323</v>
      </c>
      <c r="H807">
        <v>-0.05</v>
      </c>
      <c r="I807">
        <v>367.89409999999998</v>
      </c>
      <c r="J807">
        <v>-316.37580000000003</v>
      </c>
      <c r="K807">
        <v>1.0965959999999999</v>
      </c>
      <c r="L807">
        <v>367.64429999999999</v>
      </c>
      <c r="M807">
        <v>0.99969770000000002</v>
      </c>
      <c r="N807">
        <v>-2.3662570000000001E-2</v>
      </c>
      <c r="O807">
        <v>6.6890439999999999E-3</v>
      </c>
      <c r="P807">
        <v>0.95352009999999998</v>
      </c>
      <c r="Q807">
        <v>0.28505750000000002</v>
      </c>
      <c r="R807">
        <v>9.7684170000000001E-2</v>
      </c>
      <c r="S807">
        <v>3.2117</v>
      </c>
      <c r="T807">
        <v>-0.23528840000000001</v>
      </c>
      <c r="U807">
        <v>5.1513669999999998E-2</v>
      </c>
      <c r="V807">
        <v>-9.1289659999999995E-2</v>
      </c>
      <c r="W807">
        <v>0.30755949999999999</v>
      </c>
      <c r="X807">
        <v>0.94713959999999997</v>
      </c>
      <c r="Y807">
        <v>-9.3220379999999995E-3</v>
      </c>
      <c r="Z807">
        <v>1.203063E-4</v>
      </c>
      <c r="AA807">
        <v>0.99995650000000003</v>
      </c>
      <c r="AB807">
        <v>40</v>
      </c>
      <c r="AC807">
        <v>15.4435</v>
      </c>
      <c r="AD807">
        <v>-1.1465959999999999</v>
      </c>
      <c r="AE807">
        <v>0.249799999999993</v>
      </c>
      <c r="AF807">
        <v>-0.14566052461490001</v>
      </c>
      <c r="AG807">
        <v>-1.1465959999999999</v>
      </c>
      <c r="AH807">
        <v>15.3601786066563</v>
      </c>
      <c r="AI807">
        <v>94.268866902684906</v>
      </c>
      <c r="AJ807">
        <v>90.543319407915007</v>
      </c>
      <c r="AK807">
        <v>15.4036030266957</v>
      </c>
      <c r="AL807">
        <v>72.087784629945403</v>
      </c>
      <c r="AM807">
        <v>95.505423683891394</v>
      </c>
      <c r="AN807">
        <v>1.0000000349756599</v>
      </c>
    </row>
    <row r="808" spans="1:40" x14ac:dyDescent="0.25">
      <c r="A808" t="str">
        <f>"20190304164349064"</f>
        <v>20190304164349064</v>
      </c>
      <c r="B808" t="str">
        <f>"1551689029060947"</f>
        <v>1551689029060947</v>
      </c>
      <c r="C808" t="s">
        <v>40</v>
      </c>
      <c r="D808">
        <v>4.6247160000000003</v>
      </c>
      <c r="E808">
        <v>0.54366340000000002</v>
      </c>
      <c r="F808" t="s">
        <v>43</v>
      </c>
      <c r="G808">
        <v>-300.89609999999999</v>
      </c>
      <c r="H808">
        <v>-0.05</v>
      </c>
      <c r="I808">
        <v>367.89600000000002</v>
      </c>
      <c r="J808">
        <v>-316.16750000000002</v>
      </c>
      <c r="K808">
        <v>1.095197</v>
      </c>
      <c r="L808">
        <v>367.64569999999998</v>
      </c>
      <c r="M808">
        <v>0.99969390000000002</v>
      </c>
      <c r="N808">
        <v>-2.3819529999999998E-2</v>
      </c>
      <c r="O808">
        <v>6.6891819999999897E-3</v>
      </c>
      <c r="P808">
        <v>0.95351960000000002</v>
      </c>
      <c r="Q808">
        <v>0.28508</v>
      </c>
      <c r="R808">
        <v>9.761997E-2</v>
      </c>
      <c r="S808">
        <v>3.2120060000000001</v>
      </c>
      <c r="T808">
        <v>-0.2379172</v>
      </c>
      <c r="U808">
        <v>5.2246090000000002E-2</v>
      </c>
      <c r="V808">
        <v>-9.1225180000000003E-2</v>
      </c>
      <c r="W808">
        <v>0.30773060000000002</v>
      </c>
      <c r="X808">
        <v>0.94709019999999999</v>
      </c>
      <c r="Y808">
        <v>-9.5470120000000006E-3</v>
      </c>
      <c r="Z808">
        <v>1.3144909999999999E-4</v>
      </c>
      <c r="AA808">
        <v>0.99995440000000002</v>
      </c>
      <c r="AB808">
        <v>40</v>
      </c>
      <c r="AC808">
        <v>15.2714</v>
      </c>
      <c r="AD808">
        <v>-1.145197</v>
      </c>
      <c r="AE808">
        <v>0.25029999999998098</v>
      </c>
      <c r="AF808">
        <v>-0.14728420901783501</v>
      </c>
      <c r="AG808">
        <v>-1.145197</v>
      </c>
      <c r="AH808">
        <v>15.187350576757501</v>
      </c>
      <c r="AI808">
        <v>94.3120062318675</v>
      </c>
      <c r="AJ808">
        <v>90.555626801992801</v>
      </c>
      <c r="AK808">
        <v>15.231178101131</v>
      </c>
      <c r="AL808">
        <v>72.077481015472898</v>
      </c>
      <c r="AM808">
        <v>95.501844141034297</v>
      </c>
      <c r="AN808">
        <v>1.0000000012892101</v>
      </c>
    </row>
    <row r="809" spans="1:40" x14ac:dyDescent="0.25">
      <c r="A809" t="str">
        <f>"20190304164349076"</f>
        <v>20190304164349076</v>
      </c>
      <c r="B809" t="str">
        <f>"1551689029070707"</f>
        <v>1551689029070707</v>
      </c>
      <c r="C809" t="s">
        <v>40</v>
      </c>
      <c r="D809">
        <v>4.6404699999999997</v>
      </c>
      <c r="E809">
        <v>0.54365929999999996</v>
      </c>
      <c r="F809" t="s">
        <v>43</v>
      </c>
      <c r="G809">
        <v>-300.85059999999999</v>
      </c>
      <c r="H809">
        <v>-0.05</v>
      </c>
      <c r="I809">
        <v>367.8974</v>
      </c>
      <c r="J809">
        <v>-315.95100000000002</v>
      </c>
      <c r="K809">
        <v>1.0937209999999999</v>
      </c>
      <c r="L809">
        <v>367.64710000000002</v>
      </c>
      <c r="M809">
        <v>0.99969090000000005</v>
      </c>
      <c r="N809">
        <v>-2.3943840000000001E-2</v>
      </c>
      <c r="O809">
        <v>6.6896999999999903E-3</v>
      </c>
      <c r="P809">
        <v>0.95356730000000001</v>
      </c>
      <c r="Q809">
        <v>0.28488960000000002</v>
      </c>
      <c r="R809">
        <v>9.7710619999999998E-2</v>
      </c>
      <c r="S809">
        <v>3.2126459999999999</v>
      </c>
      <c r="T809">
        <v>-0.2401993</v>
      </c>
      <c r="U809">
        <v>5.2795410000000001E-2</v>
      </c>
      <c r="V809">
        <v>-9.1314549999999994E-2</v>
      </c>
      <c r="W809">
        <v>0.30765940000000003</v>
      </c>
      <c r="X809">
        <v>0.94710479999999997</v>
      </c>
      <c r="Y809">
        <v>-9.7131240000000001E-3</v>
      </c>
      <c r="Z809">
        <v>1.397161E-4</v>
      </c>
      <c r="AA809">
        <v>0.99995279999999998</v>
      </c>
      <c r="AB809">
        <v>40</v>
      </c>
      <c r="AC809">
        <v>15.100399999999899</v>
      </c>
      <c r="AD809">
        <v>-1.143721</v>
      </c>
      <c r="AE809">
        <v>0.25029999999998098</v>
      </c>
      <c r="AF809">
        <v>-0.148397199822357</v>
      </c>
      <c r="AG809">
        <v>-1.143721</v>
      </c>
      <c r="AH809">
        <v>15.0156201523729</v>
      </c>
      <c r="AI809">
        <v>94.355525422773397</v>
      </c>
      <c r="AJ809">
        <v>90.566227458795495</v>
      </c>
      <c r="AK809">
        <v>15.0598462148557</v>
      </c>
      <c r="AL809">
        <v>72.081769898942497</v>
      </c>
      <c r="AM809">
        <v>95.507116603826802</v>
      </c>
      <c r="AN809">
        <v>1.0000000778165401</v>
      </c>
    </row>
    <row r="810" spans="1:40" x14ac:dyDescent="0.25">
      <c r="A810" t="str">
        <f>"20190304164349087"</f>
        <v>20190304164349087</v>
      </c>
      <c r="B810" t="str">
        <f>"1551689029080467"</f>
        <v>1551689029080467</v>
      </c>
      <c r="C810" t="s">
        <v>40</v>
      </c>
      <c r="D810">
        <v>4.6263100000000001</v>
      </c>
      <c r="E810">
        <v>0.54361579999999998</v>
      </c>
      <c r="F810" t="s">
        <v>43</v>
      </c>
      <c r="G810">
        <v>-300.78429999999997</v>
      </c>
      <c r="H810">
        <v>-0.05</v>
      </c>
      <c r="I810">
        <v>367.89890000000003</v>
      </c>
      <c r="J810">
        <v>-315.75209999999998</v>
      </c>
      <c r="K810">
        <v>1.0923149999999999</v>
      </c>
      <c r="L810">
        <v>367.64839999999998</v>
      </c>
      <c r="M810">
        <v>0.99969039999999998</v>
      </c>
      <c r="N810">
        <v>-2.3969770000000001E-2</v>
      </c>
      <c r="O810">
        <v>6.6908660000000002E-3</v>
      </c>
      <c r="P810">
        <v>0.95347930000000003</v>
      </c>
      <c r="Q810">
        <v>0.28516279999999999</v>
      </c>
      <c r="R810">
        <v>9.7773479999999996E-2</v>
      </c>
      <c r="S810">
        <v>3.2130740000000002</v>
      </c>
      <c r="T810">
        <v>-0.2422976</v>
      </c>
      <c r="U810">
        <v>5.334473E-2</v>
      </c>
      <c r="V810">
        <v>-9.1376730000000003E-2</v>
      </c>
      <c r="W810">
        <v>0.30795460000000002</v>
      </c>
      <c r="X810">
        <v>0.94700280000000003</v>
      </c>
      <c r="Y810">
        <v>-9.8797139999999995E-3</v>
      </c>
      <c r="Z810">
        <v>1.4705499999999999E-4</v>
      </c>
      <c r="AA810">
        <v>0.99995120000000004</v>
      </c>
      <c r="AB810">
        <v>40</v>
      </c>
      <c r="AC810">
        <v>14.9678</v>
      </c>
      <c r="AD810">
        <v>-1.142315</v>
      </c>
      <c r="AE810">
        <v>0.25050000000004502</v>
      </c>
      <c r="AF810">
        <v>-0.14944786419207801</v>
      </c>
      <c r="AG810">
        <v>-1.142315</v>
      </c>
      <c r="AH810">
        <v>14.8824831250034</v>
      </c>
      <c r="AI810">
        <v>94.388949665855094</v>
      </c>
      <c r="AJ810">
        <v>90.575337059130007</v>
      </c>
      <c r="AK810">
        <v>14.9270064711364</v>
      </c>
      <c r="AL810">
        <v>72.063992081829994</v>
      </c>
      <c r="AM810">
        <v>95.511433467516099</v>
      </c>
      <c r="AN810">
        <v>1.0000000228272401</v>
      </c>
    </row>
    <row r="811" spans="1:40" x14ac:dyDescent="0.25">
      <c r="A811" t="str">
        <f>"20190304164349098"</f>
        <v>20190304164349098</v>
      </c>
      <c r="B811" t="str">
        <f>"1551689029091204"</f>
        <v>1551689029091204</v>
      </c>
      <c r="C811" t="s">
        <v>40</v>
      </c>
      <c r="D811">
        <v>4.6237469999999998</v>
      </c>
      <c r="E811">
        <v>0.54359299999999999</v>
      </c>
      <c r="F811" t="s">
        <v>43</v>
      </c>
      <c r="G811">
        <v>-300.62599999999998</v>
      </c>
      <c r="H811">
        <v>-0.05</v>
      </c>
      <c r="I811">
        <v>367.9033</v>
      </c>
      <c r="J811">
        <v>-315.5521</v>
      </c>
      <c r="K811">
        <v>1.090894</v>
      </c>
      <c r="L811">
        <v>367.64980000000003</v>
      </c>
      <c r="M811">
        <v>0.99968999999999997</v>
      </c>
      <c r="N811">
        <v>-2.398459E-2</v>
      </c>
      <c r="O811">
        <v>6.6921680000000001E-3</v>
      </c>
      <c r="P811">
        <v>0.95349159999999999</v>
      </c>
      <c r="Q811">
        <v>0.2851108</v>
      </c>
      <c r="R811">
        <v>9.7805459999999997E-2</v>
      </c>
      <c r="S811">
        <v>3.2134399999999999</v>
      </c>
      <c r="T811">
        <v>-0.24267749999999999</v>
      </c>
      <c r="U811">
        <v>5.4138180000000001E-2</v>
      </c>
      <c r="V811">
        <v>-9.1407260000000004E-2</v>
      </c>
      <c r="W811">
        <v>0.307917</v>
      </c>
      <c r="X811">
        <v>0.94701210000000002</v>
      </c>
      <c r="Y811">
        <v>-1.012238E-2</v>
      </c>
      <c r="Z811">
        <v>1.5903529999999999E-4</v>
      </c>
      <c r="AA811">
        <v>0.99994870000000002</v>
      </c>
      <c r="AB811">
        <v>40</v>
      </c>
      <c r="AC811">
        <v>14.9261</v>
      </c>
      <c r="AD811">
        <v>-1.1408940000000001</v>
      </c>
      <c r="AE811">
        <v>0.25349999999997402</v>
      </c>
      <c r="AF811">
        <v>-0.15268580735046999</v>
      </c>
      <c r="AG811">
        <v>-1.1408940000000001</v>
      </c>
      <c r="AH811">
        <v>14.8407804306089</v>
      </c>
      <c r="AI811">
        <v>94.395769778390999</v>
      </c>
      <c r="AJ811">
        <v>90.589453078340796</v>
      </c>
      <c r="AK811">
        <v>14.8853523930254</v>
      </c>
      <c r="AL811">
        <v>72.066256786426294</v>
      </c>
      <c r="AM811">
        <v>95.513209747330507</v>
      </c>
      <c r="AN811">
        <v>1.0000000418080499</v>
      </c>
    </row>
    <row r="812" spans="1:40" x14ac:dyDescent="0.25">
      <c r="A812" t="str">
        <f>"20190304164349109"</f>
        <v>20190304164349109</v>
      </c>
      <c r="B812" t="str">
        <f>"1551689029100496"</f>
        <v>1551689029100496</v>
      </c>
      <c r="C812" t="s">
        <v>40</v>
      </c>
      <c r="D812">
        <v>4.619065</v>
      </c>
      <c r="E812">
        <v>0.54357529999999998</v>
      </c>
      <c r="F812" t="s">
        <v>43</v>
      </c>
      <c r="G812">
        <v>-300.50110000000001</v>
      </c>
      <c r="H812">
        <v>-0.05</v>
      </c>
      <c r="I812">
        <v>367.90519999999998</v>
      </c>
      <c r="J812">
        <v>-315.34699999999998</v>
      </c>
      <c r="K812">
        <v>1.089426</v>
      </c>
      <c r="L812">
        <v>367.65120000000002</v>
      </c>
      <c r="M812">
        <v>0.99969010000000003</v>
      </c>
      <c r="N812">
        <v>-2.3981300000000001E-2</v>
      </c>
      <c r="O812">
        <v>6.6933969999999898E-3</v>
      </c>
      <c r="P812">
        <v>0.95339419999999997</v>
      </c>
      <c r="Q812">
        <v>0.285358</v>
      </c>
      <c r="R812">
        <v>9.8034250000000003E-2</v>
      </c>
      <c r="S812">
        <v>3.2135310000000001</v>
      </c>
      <c r="T812">
        <v>-0.243592</v>
      </c>
      <c r="U812">
        <v>5.4534909999999999E-2</v>
      </c>
      <c r="V812">
        <v>-9.1635439999999999E-2</v>
      </c>
      <c r="W812">
        <v>0.30815879999999901</v>
      </c>
      <c r="X812">
        <v>0.94691130000000001</v>
      </c>
      <c r="Y812">
        <v>-1.0243479999999999E-2</v>
      </c>
      <c r="Z812">
        <v>1.6451270000000001E-4</v>
      </c>
      <c r="AA812">
        <v>0.99994749999999999</v>
      </c>
      <c r="AB812">
        <v>40</v>
      </c>
      <c r="AC812">
        <v>14.845899999999901</v>
      </c>
      <c r="AD812">
        <v>-1.139426</v>
      </c>
      <c r="AE812">
        <v>0.25399999999996198</v>
      </c>
      <c r="AF812">
        <v>-0.153691160637424</v>
      </c>
      <c r="AG812">
        <v>-1.139426</v>
      </c>
      <c r="AH812">
        <v>14.760346075185099</v>
      </c>
      <c r="AI812">
        <v>94.413959289568695</v>
      </c>
      <c r="AJ812">
        <v>90.596567085127305</v>
      </c>
      <c r="AK812">
        <v>14.8050575426631</v>
      </c>
      <c r="AL812">
        <v>72.051692954694104</v>
      </c>
      <c r="AM812">
        <v>95.527471967157595</v>
      </c>
      <c r="AN812">
        <v>0.99999995497455996</v>
      </c>
    </row>
    <row r="813" spans="1:40" x14ac:dyDescent="0.25">
      <c r="A813" t="str">
        <f>"20190304164349120"</f>
        <v>20190304164349120</v>
      </c>
      <c r="B813" t="str">
        <f>"1551689029111232"</f>
        <v>1551689029111232</v>
      </c>
      <c r="C813" t="s">
        <v>40</v>
      </c>
      <c r="D813">
        <v>4.6115110000000001</v>
      </c>
      <c r="E813">
        <v>0.5435683</v>
      </c>
      <c r="F813" t="s">
        <v>43</v>
      </c>
      <c r="G813">
        <v>-300.34129999999999</v>
      </c>
      <c r="H813">
        <v>-0.05</v>
      </c>
      <c r="I813">
        <v>367.9092</v>
      </c>
      <c r="J813">
        <v>-315.149</v>
      </c>
      <c r="K813">
        <v>1.0880000000000001</v>
      </c>
      <c r="L813">
        <v>367.65249999999997</v>
      </c>
      <c r="M813">
        <v>0.99969070000000004</v>
      </c>
      <c r="N813">
        <v>-2.395883E-2</v>
      </c>
      <c r="O813">
        <v>6.6942080000000001E-3</v>
      </c>
      <c r="P813">
        <v>0.95331869999999996</v>
      </c>
      <c r="Q813">
        <v>0.2856303</v>
      </c>
      <c r="R813">
        <v>9.7975789999999993E-2</v>
      </c>
      <c r="S813">
        <v>3.2139890000000002</v>
      </c>
      <c r="T813">
        <v>-0.24404699999999999</v>
      </c>
      <c r="U813">
        <v>5.5267330000000003E-2</v>
      </c>
      <c r="V813">
        <v>-9.1577080000000005E-2</v>
      </c>
      <c r="W813">
        <v>0.30840830000000002</v>
      </c>
      <c r="X813">
        <v>0.94683580000000001</v>
      </c>
      <c r="Y813">
        <v>-1.046716E-2</v>
      </c>
      <c r="Z813">
        <v>1.7516529999999999E-4</v>
      </c>
      <c r="AA813">
        <v>0.99994519999999998</v>
      </c>
      <c r="AB813">
        <v>40</v>
      </c>
      <c r="AC813">
        <v>14.807700000000001</v>
      </c>
      <c r="AD813">
        <v>-1.1379999999999999</v>
      </c>
      <c r="AE813">
        <v>0.25670000000002302</v>
      </c>
      <c r="AF813">
        <v>-0.15661524951830799</v>
      </c>
      <c r="AG813">
        <v>-1.1379999999999999</v>
      </c>
      <c r="AH813">
        <v>14.7221607825653</v>
      </c>
      <c r="AI813">
        <v>94.419835616087298</v>
      </c>
      <c r="AJ813">
        <v>90.609493026121896</v>
      </c>
      <c r="AK813">
        <v>14.7669086285548</v>
      </c>
      <c r="AL813">
        <v>72.036667266373001</v>
      </c>
      <c r="AM813">
        <v>95.524411211477897</v>
      </c>
      <c r="AN813">
        <v>1.0000000366259201</v>
      </c>
    </row>
    <row r="814" spans="1:40" x14ac:dyDescent="0.25">
      <c r="A814" t="str">
        <f>"20190304164349133"</f>
        <v>20190304164349133</v>
      </c>
      <c r="B814" t="str">
        <f>"1551689029120992"</f>
        <v>1551689029120992</v>
      </c>
      <c r="C814" t="s">
        <v>40</v>
      </c>
      <c r="D814">
        <v>4.580667</v>
      </c>
      <c r="E814">
        <v>0.54355549999999997</v>
      </c>
      <c r="F814" t="s">
        <v>43</v>
      </c>
      <c r="G814">
        <v>-300.17869999999999</v>
      </c>
      <c r="H814">
        <v>-0.05</v>
      </c>
      <c r="I814">
        <v>367.90969999999999</v>
      </c>
      <c r="J814">
        <v>-314.9135</v>
      </c>
      <c r="K814">
        <v>1.0863069999999999</v>
      </c>
      <c r="L814">
        <v>367.65410000000003</v>
      </c>
      <c r="M814">
        <v>0.99969160000000001</v>
      </c>
      <c r="N814">
        <v>-2.3917399999999998E-2</v>
      </c>
      <c r="O814">
        <v>6.694836E-3</v>
      </c>
      <c r="P814">
        <v>0.95322099999999998</v>
      </c>
      <c r="Q814">
        <v>0.28594770000000003</v>
      </c>
      <c r="R814">
        <v>9.799977E-2</v>
      </c>
      <c r="S814">
        <v>3.2144469999999998</v>
      </c>
      <c r="T814">
        <v>-0.24435399999999999</v>
      </c>
      <c r="U814">
        <v>5.5236819999999999E-2</v>
      </c>
      <c r="V814">
        <v>-9.1600979999999999E-2</v>
      </c>
      <c r="W814">
        <v>0.3086836</v>
      </c>
      <c r="X814">
        <v>0.94674369999999997</v>
      </c>
      <c r="Y814">
        <v>-1.0454629999999999E-2</v>
      </c>
      <c r="Z814">
        <v>1.7388899999999999E-4</v>
      </c>
      <c r="AA814">
        <v>0.99994530000000004</v>
      </c>
      <c r="AB814">
        <v>40</v>
      </c>
      <c r="AC814">
        <v>14.7348</v>
      </c>
      <c r="AD814">
        <v>-1.136307</v>
      </c>
      <c r="AE814">
        <v>0.25559999999995803</v>
      </c>
      <c r="AF814">
        <v>-0.15599156629549199</v>
      </c>
      <c r="AG814">
        <v>-1.136307</v>
      </c>
      <c r="AH814">
        <v>14.649088372419</v>
      </c>
      <c r="AI814">
        <v>94.435212422232993</v>
      </c>
      <c r="AJ814">
        <v>90.610093977560496</v>
      </c>
      <c r="AK814">
        <v>14.6939210937703</v>
      </c>
      <c r="AL814">
        <v>72.020083406327203</v>
      </c>
      <c r="AM814">
        <v>95.526378293498297</v>
      </c>
      <c r="AN814">
        <v>0.99999996896780396</v>
      </c>
    </row>
    <row r="815" spans="1:40" x14ac:dyDescent="0.25">
      <c r="A815" t="str">
        <f>"20190304164349145"</f>
        <v>20190304164349145</v>
      </c>
      <c r="B815" t="str">
        <f>"1551689029140512"</f>
        <v>1551689029140512</v>
      </c>
      <c r="C815" t="s">
        <v>40</v>
      </c>
      <c r="D815">
        <v>4.5579789999999996</v>
      </c>
      <c r="E815">
        <v>0.5434831</v>
      </c>
      <c r="F815" t="s">
        <v>43</v>
      </c>
      <c r="G815">
        <v>-299.98360000000002</v>
      </c>
      <c r="H815">
        <v>-0.05</v>
      </c>
      <c r="I815">
        <v>367.91239999999999</v>
      </c>
      <c r="J815">
        <v>-314.7158</v>
      </c>
      <c r="K815">
        <v>1.0849089999999999</v>
      </c>
      <c r="L815">
        <v>367.65539999999999</v>
      </c>
      <c r="M815">
        <v>0.99969390000000002</v>
      </c>
      <c r="N815">
        <v>-2.3826199999999999E-2</v>
      </c>
      <c r="O815">
        <v>6.6946339999999997E-3</v>
      </c>
      <c r="P815">
        <v>0.95310229999999996</v>
      </c>
      <c r="Q815">
        <v>0.28634409999999999</v>
      </c>
      <c r="R815">
        <v>9.7997109999999998E-2</v>
      </c>
      <c r="S815">
        <v>3.2149350000000001</v>
      </c>
      <c r="T815">
        <v>-0.2446865</v>
      </c>
      <c r="U815">
        <v>5.5633540000000002E-2</v>
      </c>
      <c r="V815">
        <v>-9.1599959999999994E-2</v>
      </c>
      <c r="W815">
        <v>0.3089906</v>
      </c>
      <c r="X815">
        <v>0.94664369999999998</v>
      </c>
      <c r="Y815">
        <v>-1.057515E-2</v>
      </c>
      <c r="Z815">
        <v>1.7869540000000001E-4</v>
      </c>
      <c r="AA815">
        <v>0.9999441</v>
      </c>
      <c r="AB815">
        <v>40</v>
      </c>
      <c r="AC815">
        <v>14.732199999999899</v>
      </c>
      <c r="AD815">
        <v>-1.1349089999999999</v>
      </c>
      <c r="AE815">
        <v>0.257000000000005</v>
      </c>
      <c r="AF815">
        <v>-0.15740571781378199</v>
      </c>
      <c r="AG815">
        <v>-1.1349089999999999</v>
      </c>
      <c r="AH815">
        <v>14.646695764022899</v>
      </c>
      <c r="AI815">
        <v>94.430493611665497</v>
      </c>
      <c r="AJ815">
        <v>90.615724957234804</v>
      </c>
      <c r="AK815">
        <v>14.691442808728</v>
      </c>
      <c r="AL815">
        <v>72.001590461300694</v>
      </c>
      <c r="AM815">
        <v>95.526897302423095</v>
      </c>
      <c r="AN815">
        <v>1.00000001915502</v>
      </c>
    </row>
    <row r="816" spans="1:40" x14ac:dyDescent="0.25">
      <c r="A816" t="str">
        <f>"20190304164349157"</f>
        <v>20190304164349157</v>
      </c>
      <c r="B816" t="str">
        <f>"1551689029150272"</f>
        <v>1551689029150272</v>
      </c>
      <c r="C816" t="s">
        <v>40</v>
      </c>
      <c r="D816">
        <v>4.5853679999999999</v>
      </c>
      <c r="E816">
        <v>0.54347190000000001</v>
      </c>
      <c r="F816" t="s">
        <v>43</v>
      </c>
      <c r="G816">
        <v>-299.81619999999998</v>
      </c>
      <c r="H816">
        <v>-0.05</v>
      </c>
      <c r="I816">
        <v>367.91669999999999</v>
      </c>
      <c r="J816">
        <v>-314.4948</v>
      </c>
      <c r="K816">
        <v>1.083358</v>
      </c>
      <c r="L816">
        <v>367.65690000000001</v>
      </c>
      <c r="M816">
        <v>0.99969669999999999</v>
      </c>
      <c r="N816">
        <v>-2.3703309999999998E-2</v>
      </c>
      <c r="O816">
        <v>6.6940910000000001E-3</v>
      </c>
      <c r="P816">
        <v>0.95310050000000002</v>
      </c>
      <c r="Q816">
        <v>0.28642479999999998</v>
      </c>
      <c r="R816">
        <v>9.7776089999999996E-2</v>
      </c>
      <c r="S816">
        <v>3.2154240000000001</v>
      </c>
      <c r="T816">
        <v>-0.2449201</v>
      </c>
      <c r="U816">
        <v>5.6396479999999999E-2</v>
      </c>
      <c r="V816">
        <v>-9.1378989999999993E-2</v>
      </c>
      <c r="W816">
        <v>0.30895479999999997</v>
      </c>
      <c r="X816">
        <v>0.94667670000000004</v>
      </c>
      <c r="Y816">
        <v>-1.080945E-2</v>
      </c>
      <c r="Z816">
        <v>1.888564E-4</v>
      </c>
      <c r="AA816">
        <v>0.99994159999999999</v>
      </c>
      <c r="AB816">
        <v>40</v>
      </c>
      <c r="AC816">
        <v>14.678599999999999</v>
      </c>
      <c r="AD816">
        <v>-1.1333580000000001</v>
      </c>
      <c r="AE816">
        <v>0.25979999999998399</v>
      </c>
      <c r="AF816">
        <v>-0.16054984490664201</v>
      </c>
      <c r="AG816">
        <v>-1.1333580000000001</v>
      </c>
      <c r="AH816">
        <v>14.593039499683799</v>
      </c>
      <c r="AI816">
        <v>94.440653654982597</v>
      </c>
      <c r="AJ816">
        <v>90.630331837330303</v>
      </c>
      <c r="AK816">
        <v>14.6378645453562</v>
      </c>
      <c r="AL816">
        <v>72.003746471506204</v>
      </c>
      <c r="AM816">
        <v>95.5134558047924</v>
      </c>
      <c r="AN816">
        <v>0.99999998128967404</v>
      </c>
    </row>
    <row r="817" spans="1:40" x14ac:dyDescent="0.25">
      <c r="A817" t="str">
        <f>"20190304164349169"</f>
        <v>20190304164349169</v>
      </c>
      <c r="B817" t="str">
        <f>"1551689029161008"</f>
        <v>1551689029161008</v>
      </c>
      <c r="C817" t="s">
        <v>40</v>
      </c>
      <c r="D817">
        <v>4.5564099999999996</v>
      </c>
      <c r="E817">
        <v>0.54346559999999999</v>
      </c>
      <c r="F817" t="s">
        <v>43</v>
      </c>
      <c r="G817">
        <v>-299.65429999999998</v>
      </c>
      <c r="H817">
        <v>-0.05</v>
      </c>
      <c r="I817">
        <v>367.9171</v>
      </c>
      <c r="J817">
        <v>-314.2724</v>
      </c>
      <c r="K817">
        <v>1.0818289999999999</v>
      </c>
      <c r="L817">
        <v>367.65839999999997</v>
      </c>
      <c r="M817">
        <v>0.99970099999999995</v>
      </c>
      <c r="N817">
        <v>-2.3524300000000001E-2</v>
      </c>
      <c r="O817">
        <v>6.6935500000000004E-3</v>
      </c>
      <c r="P817">
        <v>0.95289650000000004</v>
      </c>
      <c r="Q817">
        <v>0.28705360000000002</v>
      </c>
      <c r="R817">
        <v>9.7920880000000002E-2</v>
      </c>
      <c r="S817">
        <v>3.2156370000000001</v>
      </c>
      <c r="T817">
        <v>-0.24557480000000001</v>
      </c>
      <c r="U817">
        <v>5.6396479999999999E-2</v>
      </c>
      <c r="V817">
        <v>-9.1526369999999996E-2</v>
      </c>
      <c r="W817">
        <v>0.3094092</v>
      </c>
      <c r="X817">
        <v>0.94651410000000002</v>
      </c>
      <c r="Y817">
        <v>-1.080887E-2</v>
      </c>
      <c r="Z817">
        <v>1.8643309999999999E-4</v>
      </c>
      <c r="AA817">
        <v>0.99994159999999999</v>
      </c>
      <c r="AB817">
        <v>40</v>
      </c>
      <c r="AC817">
        <v>14.6181</v>
      </c>
      <c r="AD817">
        <v>-1.131829</v>
      </c>
      <c r="AE817">
        <v>0.25870000000003301</v>
      </c>
      <c r="AF817">
        <v>-0.159862094532606</v>
      </c>
      <c r="AG817">
        <v>-1.131829</v>
      </c>
      <c r="AH817">
        <v>14.532411799360901</v>
      </c>
      <c r="AI817">
        <v>94.453113591438296</v>
      </c>
      <c r="AJ817">
        <v>90.630250093261793</v>
      </c>
      <c r="AK817">
        <v>14.577296919549701</v>
      </c>
      <c r="AL817">
        <v>71.9763709053735</v>
      </c>
      <c r="AM817">
        <v>95.523236020542598</v>
      </c>
      <c r="AN817">
        <v>1.0000000354744101</v>
      </c>
    </row>
    <row r="818" spans="1:40" x14ac:dyDescent="0.25">
      <c r="A818" t="str">
        <f>"20190304164349184"</f>
        <v>20190304164349184</v>
      </c>
      <c r="B818" t="str">
        <f>"1551689029170767"</f>
        <v>1551689029170767</v>
      </c>
      <c r="C818" t="s">
        <v>40</v>
      </c>
      <c r="D818">
        <v>4.5306540000000002</v>
      </c>
      <c r="E818">
        <v>0.54342440000000003</v>
      </c>
      <c r="F818" t="s">
        <v>43</v>
      </c>
      <c r="G818">
        <v>-299.3734</v>
      </c>
      <c r="H818">
        <v>-0.05</v>
      </c>
      <c r="I818">
        <v>367.92200000000003</v>
      </c>
      <c r="J818">
        <v>-314.04000000000002</v>
      </c>
      <c r="K818">
        <v>1.0802879999999999</v>
      </c>
      <c r="L818">
        <v>367.65989999999999</v>
      </c>
      <c r="M818">
        <v>0.9997064</v>
      </c>
      <c r="N818">
        <v>-2.328999E-2</v>
      </c>
      <c r="O818">
        <v>6.6928029999999998E-3</v>
      </c>
      <c r="P818">
        <v>0.95278890000000005</v>
      </c>
      <c r="Q818">
        <v>0.28747620000000002</v>
      </c>
      <c r="R818">
        <v>9.7728010000000004E-2</v>
      </c>
      <c r="S818">
        <v>3.2160030000000002</v>
      </c>
      <c r="T818">
        <v>-0.24430840000000001</v>
      </c>
      <c r="U818">
        <v>5.6915279999999999E-2</v>
      </c>
      <c r="V818">
        <v>-9.133513E-2</v>
      </c>
      <c r="W818">
        <v>0.30960739999999998</v>
      </c>
      <c r="X818">
        <v>0.94646779999999997</v>
      </c>
      <c r="Y818">
        <v>-1.0968729999999999E-2</v>
      </c>
      <c r="Z818">
        <v>1.9207919999999999E-4</v>
      </c>
      <c r="AA818">
        <v>0.99993980000000005</v>
      </c>
      <c r="AB818">
        <v>40</v>
      </c>
      <c r="AC818">
        <v>14.666600000000001</v>
      </c>
      <c r="AD818">
        <v>-1.130288</v>
      </c>
      <c r="AE818">
        <v>0.26209999999997502</v>
      </c>
      <c r="AF818">
        <v>-0.16293943223938001</v>
      </c>
      <c r="AG818">
        <v>-1.130288</v>
      </c>
      <c r="AH818">
        <v>14.581453190646</v>
      </c>
      <c r="AI818">
        <v>94.432169411763098</v>
      </c>
      <c r="AJ818">
        <v>90.640221047415196</v>
      </c>
      <c r="AK818">
        <v>14.626102603650899</v>
      </c>
      <c r="AL818">
        <v>71.964429156273894</v>
      </c>
      <c r="AM818">
        <v>95.512034590064303</v>
      </c>
      <c r="AN818">
        <v>1.0000000722718501</v>
      </c>
    </row>
    <row r="819" spans="1:40" x14ac:dyDescent="0.25">
      <c r="A819" t="str">
        <f>"20190304164349198"</f>
        <v>20190304164349198</v>
      </c>
      <c r="B819" t="str">
        <f>"1551689029190287"</f>
        <v>1551689029190287</v>
      </c>
      <c r="C819" t="s">
        <v>40</v>
      </c>
      <c r="D819">
        <v>4.5487630000000001</v>
      </c>
      <c r="E819">
        <v>0.54342139999999906</v>
      </c>
      <c r="F819" t="s">
        <v>43</v>
      </c>
      <c r="G819">
        <v>-299.09370000000001</v>
      </c>
      <c r="H819">
        <v>-0.05</v>
      </c>
      <c r="I819">
        <v>367.92290000000003</v>
      </c>
      <c r="J819">
        <v>-313.77210000000002</v>
      </c>
      <c r="K819">
        <v>1.078568</v>
      </c>
      <c r="L819">
        <v>367.6617</v>
      </c>
      <c r="M819">
        <v>0.99971359999999998</v>
      </c>
      <c r="N819">
        <v>-2.297853E-2</v>
      </c>
      <c r="O819">
        <v>6.6920269999999997E-3</v>
      </c>
      <c r="P819">
        <v>0.95256949999999996</v>
      </c>
      <c r="Q819">
        <v>0.28819210000000001</v>
      </c>
      <c r="R819">
        <v>9.7759689999999996E-2</v>
      </c>
      <c r="S819">
        <v>3.216278</v>
      </c>
      <c r="T819">
        <v>-0.24322469999999999</v>
      </c>
      <c r="U819">
        <v>5.6579589999999999E-2</v>
      </c>
      <c r="V819">
        <v>-9.1369049999999993E-2</v>
      </c>
      <c r="W819">
        <v>0.3100232</v>
      </c>
      <c r="X819">
        <v>0.94632830000000001</v>
      </c>
      <c r="Y819">
        <v>-1.0864550000000001E-2</v>
      </c>
      <c r="Z819">
        <v>1.836029E-4</v>
      </c>
      <c r="AA819">
        <v>0.99994099999999997</v>
      </c>
      <c r="AB819">
        <v>40</v>
      </c>
      <c r="AC819">
        <v>14.6784</v>
      </c>
      <c r="AD819">
        <v>-1.128568</v>
      </c>
      <c r="AE819">
        <v>0.26120000000003002</v>
      </c>
      <c r="AF819">
        <v>-0.161982701364036</v>
      </c>
      <c r="AG819">
        <v>-1.128568</v>
      </c>
      <c r="AH819">
        <v>14.593576882155</v>
      </c>
      <c r="AI819">
        <v>94.421793422377803</v>
      </c>
      <c r="AJ819">
        <v>90.635933473064895</v>
      </c>
      <c r="AK819">
        <v>14.63804598782</v>
      </c>
      <c r="AL819">
        <v>71.939370796594304</v>
      </c>
      <c r="AM819">
        <v>95.514876861332695</v>
      </c>
      <c r="AN819">
        <v>0.999999969608515</v>
      </c>
    </row>
    <row r="820" spans="1:40" x14ac:dyDescent="0.25">
      <c r="A820" t="str">
        <f>"20190304164349210"</f>
        <v>20190304164349210</v>
      </c>
      <c r="B820" t="str">
        <f>"1551689029200554"</f>
        <v>1551689029200554</v>
      </c>
      <c r="C820" t="s">
        <v>40</v>
      </c>
      <c r="D820">
        <v>4.5851220000000001</v>
      </c>
      <c r="E820">
        <v>0.54342139999999906</v>
      </c>
      <c r="F820" t="s">
        <v>43</v>
      </c>
      <c r="G820">
        <v>-298.75700000000001</v>
      </c>
      <c r="H820">
        <v>-0.05</v>
      </c>
      <c r="I820">
        <v>367.92259999999999</v>
      </c>
      <c r="J820">
        <v>-313.54270000000002</v>
      </c>
      <c r="K820">
        <v>1.0771599999999999</v>
      </c>
      <c r="L820">
        <v>367.66320000000002</v>
      </c>
      <c r="M820">
        <v>0.99972070000000002</v>
      </c>
      <c r="N820">
        <v>-2.2673929999999998E-2</v>
      </c>
      <c r="O820">
        <v>6.6918350000000001E-3</v>
      </c>
      <c r="P820">
        <v>0.95241900000000002</v>
      </c>
      <c r="Q820">
        <v>0.28864060000000002</v>
      </c>
      <c r="R820">
        <v>9.7903749999999998E-2</v>
      </c>
      <c r="S820">
        <v>3.2168269999999999</v>
      </c>
      <c r="T820">
        <v>-0.24178240000000001</v>
      </c>
      <c r="U820">
        <v>5.5908199999999998E-2</v>
      </c>
      <c r="V820">
        <v>-9.1513929999999993E-2</v>
      </c>
      <c r="W820">
        <v>0.3101796</v>
      </c>
      <c r="X820">
        <v>0.94626310000000002</v>
      </c>
      <c r="Y820">
        <v>-1.065442E-2</v>
      </c>
      <c r="Z820">
        <v>1.7022200000000001E-4</v>
      </c>
      <c r="AA820">
        <v>0.99994320000000003</v>
      </c>
      <c r="AB820">
        <v>40</v>
      </c>
      <c r="AC820">
        <v>14.7857</v>
      </c>
      <c r="AD820">
        <v>-1.1271599999999999</v>
      </c>
      <c r="AE820">
        <v>0.25939999999997099</v>
      </c>
      <c r="AF820">
        <v>-0.15949865931131099</v>
      </c>
      <c r="AG820">
        <v>-1.1271599999999999</v>
      </c>
      <c r="AH820">
        <v>14.7016926540947</v>
      </c>
      <c r="AI820">
        <v>94.383960402055806</v>
      </c>
      <c r="AJ820">
        <v>90.621577509249903</v>
      </c>
      <c r="AK820">
        <v>14.7457009458141</v>
      </c>
      <c r="AL820">
        <v>71.929946005386498</v>
      </c>
      <c r="AM820">
        <v>95.523945762202501</v>
      </c>
      <c r="AN820">
        <v>1.0000000190309</v>
      </c>
    </row>
    <row r="821" spans="1:40" x14ac:dyDescent="0.25">
      <c r="A821" t="str">
        <f>"20190304164349230"</f>
        <v>20190304164349230</v>
      </c>
      <c r="B821" t="str">
        <f>"1551689029221050"</f>
        <v>1551689029221050</v>
      </c>
      <c r="C821" t="s">
        <v>40</v>
      </c>
      <c r="D821">
        <v>4.5997949999999896</v>
      </c>
      <c r="E821">
        <v>0.55406540000000004</v>
      </c>
      <c r="F821" t="s">
        <v>43</v>
      </c>
      <c r="G821">
        <v>-298.44529999999997</v>
      </c>
      <c r="H821">
        <v>-0.05</v>
      </c>
      <c r="I821">
        <v>367.9255</v>
      </c>
      <c r="J821">
        <v>-313.19619999999998</v>
      </c>
      <c r="K821">
        <v>1.0751759999999999</v>
      </c>
      <c r="L821">
        <v>367.66559999999998</v>
      </c>
      <c r="M821">
        <v>0.99973190000000001</v>
      </c>
      <c r="N821">
        <v>-2.217044E-2</v>
      </c>
      <c r="O821">
        <v>6.6919800000000002E-3</v>
      </c>
      <c r="P821">
        <v>0.95235590000000003</v>
      </c>
      <c r="Q821">
        <v>0.28882289999999999</v>
      </c>
      <c r="R821">
        <v>9.7977640000000005E-2</v>
      </c>
      <c r="S821">
        <v>3.2169189999999999</v>
      </c>
      <c r="T821">
        <v>-0.24017260000000001</v>
      </c>
      <c r="U821">
        <v>5.5877690000000001E-2</v>
      </c>
      <c r="V821">
        <v>-9.1587740000000001E-2</v>
      </c>
      <c r="W821">
        <v>0.3098843</v>
      </c>
      <c r="X821">
        <v>0.94635270000000005</v>
      </c>
      <c r="Y821">
        <v>-1.064507E-2</v>
      </c>
      <c r="Z821">
        <v>1.643866E-4</v>
      </c>
      <c r="AA821">
        <v>0.99994329999999998</v>
      </c>
      <c r="AB821">
        <v>40</v>
      </c>
      <c r="AC821">
        <v>14.7509</v>
      </c>
      <c r="AD821">
        <v>-1.125176</v>
      </c>
      <c r="AE821">
        <v>0.25990000000001601</v>
      </c>
      <c r="AF821">
        <v>-0.160225224038061</v>
      </c>
      <c r="AG821">
        <v>-1.125176</v>
      </c>
      <c r="AH821">
        <v>14.666997182392</v>
      </c>
      <c r="AI821">
        <v>94.386582209833406</v>
      </c>
      <c r="AJ821">
        <v>90.625885710415503</v>
      </c>
      <c r="AK821">
        <v>14.7109652810987</v>
      </c>
      <c r="AL821">
        <v>71.947742233291294</v>
      </c>
      <c r="AM821">
        <v>95.527853296457707</v>
      </c>
      <c r="AN821">
        <v>1.00000001315104</v>
      </c>
    </row>
    <row r="822" spans="1:40" x14ac:dyDescent="0.25">
      <c r="A822" t="str">
        <f>"20190304164349243"</f>
        <v>20190304164349243</v>
      </c>
      <c r="B822" t="str">
        <f>"1551689029230811"</f>
        <v>1551689029230811</v>
      </c>
      <c r="C822" t="s">
        <v>40</v>
      </c>
      <c r="D822">
        <v>4.5680569999999996</v>
      </c>
      <c r="E822">
        <v>0.56370520000000002</v>
      </c>
      <c r="F822" t="s">
        <v>43</v>
      </c>
      <c r="G822">
        <v>-297.18579999999997</v>
      </c>
      <c r="H822">
        <v>-0.05</v>
      </c>
      <c r="I822">
        <v>367.51530000000002</v>
      </c>
      <c r="J822">
        <v>-312.97800000000001</v>
      </c>
      <c r="K822">
        <v>1.0740190000000001</v>
      </c>
      <c r="L822">
        <v>367.66699999999997</v>
      </c>
      <c r="M822">
        <v>0.9997393</v>
      </c>
      <c r="N822">
        <v>-2.1835739999999999E-2</v>
      </c>
      <c r="O822">
        <v>6.6921760000000002E-3</v>
      </c>
      <c r="P822">
        <v>0.95223840000000004</v>
      </c>
      <c r="Q822">
        <v>0.289132</v>
      </c>
      <c r="R822">
        <v>9.8209759999999993E-2</v>
      </c>
      <c r="S822">
        <v>3.221832</v>
      </c>
      <c r="T822">
        <v>-0.22642390000000001</v>
      </c>
      <c r="U822">
        <v>-3.024292E-2</v>
      </c>
      <c r="V822">
        <v>-9.1820929999999995E-2</v>
      </c>
      <c r="W822">
        <v>0.30987350000000002</v>
      </c>
      <c r="X822">
        <v>0.9463336</v>
      </c>
      <c r="Y822">
        <v>1.6020059999999999E-2</v>
      </c>
      <c r="Z822">
        <v>-1.061141E-3</v>
      </c>
      <c r="AA822">
        <v>0.99987110000000001</v>
      </c>
      <c r="AB822">
        <v>40</v>
      </c>
      <c r="AC822">
        <v>15.792199999999999</v>
      </c>
      <c r="AD822">
        <v>-1.1240190000000001</v>
      </c>
      <c r="AE822">
        <v>-0.15169999999994799</v>
      </c>
      <c r="AF822">
        <v>0.25610865661561999</v>
      </c>
      <c r="AG822">
        <v>-1.1240190000000001</v>
      </c>
      <c r="AH822">
        <v>15.711245505386</v>
      </c>
      <c r="AI822">
        <v>94.091559400527103</v>
      </c>
      <c r="AJ822">
        <v>89.066105510625903</v>
      </c>
      <c r="AK822">
        <v>15.753483604805201</v>
      </c>
      <c r="AL822">
        <v>71.948392367421405</v>
      </c>
      <c r="AM822">
        <v>95.541951319245499</v>
      </c>
      <c r="AN822">
        <v>0.99999997583863698</v>
      </c>
    </row>
    <row r="823" spans="1:40" x14ac:dyDescent="0.25">
      <c r="A823" t="str">
        <f>"20190304164349253"</f>
        <v>20190304164349253</v>
      </c>
      <c r="B823" t="str">
        <f>"1551689029240570"</f>
        <v>1551689029240570</v>
      </c>
      <c r="C823" t="s">
        <v>40</v>
      </c>
      <c r="D823">
        <v>4.5683109999999996</v>
      </c>
      <c r="E823">
        <v>0.56422709999999998</v>
      </c>
      <c r="F823" t="s">
        <v>41</v>
      </c>
      <c r="G823">
        <v>-312.0521</v>
      </c>
      <c r="H823">
        <v>0.99346889999999999</v>
      </c>
      <c r="I823">
        <v>367.63839999999999</v>
      </c>
      <c r="J823">
        <v>-312.78230000000002</v>
      </c>
      <c r="K823">
        <v>1.07301</v>
      </c>
      <c r="L823">
        <v>367.66829999999999</v>
      </c>
      <c r="M823">
        <v>0.99974580000000002</v>
      </c>
      <c r="N823">
        <v>-2.153097E-2</v>
      </c>
      <c r="O823">
        <v>6.6924669999999997E-3</v>
      </c>
      <c r="P823">
        <v>0.9522332</v>
      </c>
      <c r="Q823">
        <v>0.28910429999999998</v>
      </c>
      <c r="R823">
        <v>9.8339109999999993E-2</v>
      </c>
      <c r="S823">
        <v>3.2465519999999999</v>
      </c>
      <c r="T823">
        <v>-0.28248099999999998</v>
      </c>
      <c r="U823">
        <v>-0.1002502</v>
      </c>
      <c r="V823">
        <v>-9.1950009999999999E-2</v>
      </c>
      <c r="W823">
        <v>0.30955739999999998</v>
      </c>
      <c r="X823">
        <v>0.9464245</v>
      </c>
      <c r="Y823">
        <v>3.7364000000000001E-2</v>
      </c>
      <c r="Z823">
        <v>-2.4626079999999998E-3</v>
      </c>
      <c r="AA823">
        <v>0.99929869999999998</v>
      </c>
      <c r="AB823">
        <v>40</v>
      </c>
      <c r="AC823">
        <v>0.73020000000002405</v>
      </c>
      <c r="AD823">
        <v>-7.9541100000000003E-2</v>
      </c>
      <c r="AE823">
        <v>-2.98999999999978E-2</v>
      </c>
      <c r="AF823">
        <v>3.4380036400284898E-2</v>
      </c>
      <c r="AG823">
        <v>-7.9541100000000003E-2</v>
      </c>
      <c r="AH823">
        <v>0.72143733749132299</v>
      </c>
      <c r="AI823">
        <v>96.284582538104203</v>
      </c>
      <c r="AJ823">
        <v>87.271638498195202</v>
      </c>
      <c r="AK823">
        <v>0.72662273940378796</v>
      </c>
      <c r="AL823">
        <v>71.967439884526001</v>
      </c>
      <c r="AM823">
        <v>95.549163781740305</v>
      </c>
      <c r="AN823">
        <v>0.99999996121700396</v>
      </c>
    </row>
    <row r="824" spans="1:40" x14ac:dyDescent="0.25">
      <c r="A824" t="str">
        <f>"20190304164349266"</f>
        <v>20190304164349266</v>
      </c>
      <c r="B824" t="str">
        <f>"1551689029261067"</f>
        <v>1551689029261067</v>
      </c>
      <c r="C824" t="s">
        <v>40</v>
      </c>
      <c r="D824">
        <v>4.5773429999999999</v>
      </c>
      <c r="E824">
        <v>0.5648936</v>
      </c>
      <c r="F824" t="s">
        <v>43</v>
      </c>
      <c r="G824">
        <v>-299.58580000000001</v>
      </c>
      <c r="H824">
        <v>-0.05</v>
      </c>
      <c r="I824">
        <v>367.24239999999998</v>
      </c>
      <c r="J824">
        <v>-312.5711</v>
      </c>
      <c r="K824">
        <v>1.0720270000000001</v>
      </c>
      <c r="L824">
        <v>367.66980000000001</v>
      </c>
      <c r="M824">
        <v>0.999753</v>
      </c>
      <c r="N824">
        <v>-2.1196220000000002E-2</v>
      </c>
      <c r="O824">
        <v>6.6925589999999998E-3</v>
      </c>
      <c r="P824">
        <v>0.95222150000000005</v>
      </c>
      <c r="Q824">
        <v>0.2891051</v>
      </c>
      <c r="R824">
        <v>9.8450819999999994E-2</v>
      </c>
      <c r="S824">
        <v>3.2451479999999999</v>
      </c>
      <c r="T824">
        <v>-0.27615790000000001</v>
      </c>
      <c r="U824">
        <v>-0.1047363</v>
      </c>
      <c r="V824">
        <v>-9.2061980000000002E-2</v>
      </c>
      <c r="W824">
        <v>0.30924099999999999</v>
      </c>
      <c r="X824">
        <v>0.9465171</v>
      </c>
      <c r="Y824">
        <v>3.8759210000000002E-2</v>
      </c>
      <c r="Z824">
        <v>-2.4843560000000001E-3</v>
      </c>
      <c r="AA824">
        <v>0.99924550000000001</v>
      </c>
      <c r="AB824">
        <v>40</v>
      </c>
      <c r="AC824">
        <v>12.985299999999899</v>
      </c>
      <c r="AD824">
        <v>-1.1220270000000001</v>
      </c>
      <c r="AE824">
        <v>-0.42740000000003397</v>
      </c>
      <c r="AF824">
        <v>0.51050738150354802</v>
      </c>
      <c r="AG824">
        <v>-1.1220270000000001</v>
      </c>
      <c r="AH824">
        <v>12.886041697859101</v>
      </c>
      <c r="AI824">
        <v>94.972486258409006</v>
      </c>
      <c r="AJ824">
        <v>87.731294780900598</v>
      </c>
      <c r="AK824">
        <v>12.9448689840517</v>
      </c>
      <c r="AL824">
        <v>71.986504642028393</v>
      </c>
      <c r="AM824">
        <v>95.5553387493012</v>
      </c>
      <c r="AN824">
        <v>1.0000000124174599</v>
      </c>
    </row>
    <row r="825" spans="1:40" x14ac:dyDescent="0.25">
      <c r="A825" t="str">
        <f>"20190304164349277"</f>
        <v>20190304164349277</v>
      </c>
      <c r="B825" t="str">
        <f>"1551689029270827"</f>
        <v>1551689029270827</v>
      </c>
      <c r="C825" t="s">
        <v>40</v>
      </c>
      <c r="D825">
        <v>4.5813819999999996</v>
      </c>
      <c r="E825">
        <v>0.56485940000000001</v>
      </c>
      <c r="F825" t="s">
        <v>41</v>
      </c>
      <c r="G825">
        <v>-311.69459999999998</v>
      </c>
      <c r="H825">
        <v>0.99859620000000004</v>
      </c>
      <c r="I825">
        <v>367.63979999999998</v>
      </c>
      <c r="J825">
        <v>-312.36950000000002</v>
      </c>
      <c r="K825">
        <v>1.071107</v>
      </c>
      <c r="L825">
        <v>367.67110000000002</v>
      </c>
      <c r="M825">
        <v>0.99975979999999998</v>
      </c>
      <c r="N825">
        <v>-2.0877449999999999E-2</v>
      </c>
      <c r="O825">
        <v>6.6926049999999999E-3</v>
      </c>
      <c r="P825">
        <v>0.9521193</v>
      </c>
      <c r="Q825">
        <v>0.28930209999999901</v>
      </c>
      <c r="R825">
        <v>9.8860820000000002E-2</v>
      </c>
      <c r="S825">
        <v>3.244507</v>
      </c>
      <c r="T825">
        <v>-0.27201579999999997</v>
      </c>
      <c r="U825">
        <v>-0.11019900000000001</v>
      </c>
      <c r="V825">
        <v>-9.2472449999999998E-2</v>
      </c>
      <c r="W825">
        <v>0.30913400000000002</v>
      </c>
      <c r="X825">
        <v>0.94651200000000002</v>
      </c>
      <c r="Y825">
        <v>4.0444229999999998E-2</v>
      </c>
      <c r="Z825">
        <v>-2.5356799999999998E-3</v>
      </c>
      <c r="AA825">
        <v>0.99917860000000003</v>
      </c>
      <c r="AB825">
        <v>40</v>
      </c>
      <c r="AC825">
        <v>0.67490000000003603</v>
      </c>
      <c r="AD825">
        <v>-7.2510800000000097E-2</v>
      </c>
      <c r="AE825">
        <v>-3.1300000000044202E-2</v>
      </c>
      <c r="AF825">
        <v>3.5409262547832998E-2</v>
      </c>
      <c r="AG825">
        <v>-7.2510800000000097E-2</v>
      </c>
      <c r="AH825">
        <v>0.66699264361370403</v>
      </c>
      <c r="AI825">
        <v>96.195775964547195</v>
      </c>
      <c r="AJ825">
        <v>86.961138038898397</v>
      </c>
      <c r="AK825">
        <v>0.67185624848297598</v>
      </c>
      <c r="AL825">
        <v>71.992950466930694</v>
      </c>
      <c r="AM825">
        <v>95.579981831323295</v>
      </c>
      <c r="AN825">
        <v>0.999999975054501</v>
      </c>
    </row>
    <row r="826" spans="1:40" x14ac:dyDescent="0.25">
      <c r="A826" t="str">
        <f>"20190304164349288"</f>
        <v>20190304164349288</v>
      </c>
      <c r="B826" t="str">
        <f>"1551689029280587"</f>
        <v>1551689029280587</v>
      </c>
      <c r="C826" t="s">
        <v>40</v>
      </c>
      <c r="D826">
        <v>4.5493350000000001</v>
      </c>
      <c r="E826">
        <v>0.56477029999999995</v>
      </c>
      <c r="F826" t="s">
        <v>41</v>
      </c>
      <c r="G826">
        <v>-311.34750000000003</v>
      </c>
      <c r="H826">
        <v>0.98639759999999999</v>
      </c>
      <c r="I826">
        <v>367.63679999999999</v>
      </c>
      <c r="J826">
        <v>-312.15949999999998</v>
      </c>
      <c r="K826">
        <v>1.070233</v>
      </c>
      <c r="L826">
        <v>367.67250000000001</v>
      </c>
      <c r="M826">
        <v>0.9997665</v>
      </c>
      <c r="N826">
        <v>-2.05474E-2</v>
      </c>
      <c r="O826">
        <v>6.6928380000000004E-3</v>
      </c>
      <c r="P826">
        <v>0.95206420000000003</v>
      </c>
      <c r="Q826">
        <v>0.28939120000000002</v>
      </c>
      <c r="R826">
        <v>9.9130270000000006E-2</v>
      </c>
      <c r="S826">
        <v>3.2438959999999999</v>
      </c>
      <c r="T826">
        <v>-0.26894630000000003</v>
      </c>
      <c r="U826">
        <v>-0.10891720000000001</v>
      </c>
      <c r="V826">
        <v>-9.2742229999999995E-2</v>
      </c>
      <c r="W826">
        <v>0.3089095</v>
      </c>
      <c r="X826">
        <v>0.94655900000000004</v>
      </c>
      <c r="Y826">
        <v>4.0062390000000003E-2</v>
      </c>
      <c r="Z826">
        <v>-2.4865569999999999E-3</v>
      </c>
      <c r="AA826">
        <v>0.99919409999999997</v>
      </c>
      <c r="AB826">
        <v>40</v>
      </c>
      <c r="AC826">
        <v>0.81199999999995498</v>
      </c>
      <c r="AD826">
        <v>-8.3835399999999893E-2</v>
      </c>
      <c r="AE826">
        <v>-3.5700000000019799E-2</v>
      </c>
      <c r="AF826">
        <v>4.0701901142799597E-2</v>
      </c>
      <c r="AG826">
        <v>-8.3835399999999893E-2</v>
      </c>
      <c r="AH826">
        <v>0.80319753649113501</v>
      </c>
      <c r="AI826">
        <v>95.951206868647603</v>
      </c>
      <c r="AJ826">
        <v>87.099027408481504</v>
      </c>
      <c r="AK826">
        <v>0.80858598904212198</v>
      </c>
      <c r="AL826">
        <v>72.006477120611294</v>
      </c>
      <c r="AM826">
        <v>95.595881632142195</v>
      </c>
      <c r="AN826">
        <v>1.0000000704483001</v>
      </c>
    </row>
    <row r="827" spans="1:40" x14ac:dyDescent="0.25">
      <c r="A827" t="str">
        <f>"20190304164349299"</f>
        <v>20190304164349299</v>
      </c>
      <c r="B827" t="str">
        <f>"1551689029290346"</f>
        <v>1551689029290346</v>
      </c>
      <c r="C827" t="s">
        <v>40</v>
      </c>
      <c r="D827">
        <v>4.5411900000000003</v>
      </c>
      <c r="E827">
        <v>0.56473569999999995</v>
      </c>
      <c r="F827" t="s">
        <v>41</v>
      </c>
      <c r="G827">
        <v>-311.33659999999998</v>
      </c>
      <c r="H827">
        <v>1.002553</v>
      </c>
      <c r="I827">
        <v>367.64519999999999</v>
      </c>
      <c r="J827">
        <v>-311.964</v>
      </c>
      <c r="K827">
        <v>1.069472</v>
      </c>
      <c r="L827">
        <v>367.6739</v>
      </c>
      <c r="M827">
        <v>0.99977269999999896</v>
      </c>
      <c r="N827">
        <v>-2.024573E-2</v>
      </c>
      <c r="O827">
        <v>6.6927849999999997E-3</v>
      </c>
      <c r="P827">
        <v>0.95197489999999996</v>
      </c>
      <c r="Q827">
        <v>0.28958210000000001</v>
      </c>
      <c r="R827">
        <v>9.9429600000000007E-2</v>
      </c>
      <c r="S827">
        <v>3.2433779999999999</v>
      </c>
      <c r="T827">
        <v>-0.2667638</v>
      </c>
      <c r="U827">
        <v>-0.1078186</v>
      </c>
      <c r="V827">
        <v>-9.3042299999999994E-2</v>
      </c>
      <c r="W827">
        <v>0.3088129</v>
      </c>
      <c r="X827">
        <v>0.94656099999999999</v>
      </c>
      <c r="Y827">
        <v>3.973405E-2</v>
      </c>
      <c r="Z827">
        <v>-2.44816E-3</v>
      </c>
      <c r="AA827">
        <v>0.99920730000000002</v>
      </c>
      <c r="AB827">
        <v>40</v>
      </c>
      <c r="AC827">
        <v>0.62740000000002205</v>
      </c>
      <c r="AD827">
        <v>-6.6918999999999895E-2</v>
      </c>
      <c r="AE827">
        <v>-2.87000000000148E-2</v>
      </c>
      <c r="AF827">
        <v>3.2529965435783501E-2</v>
      </c>
      <c r="AG827">
        <v>-6.6918999999999895E-2</v>
      </c>
      <c r="AH827">
        <v>0.62015335865115795</v>
      </c>
      <c r="AI827">
        <v>96.150404844891895</v>
      </c>
      <c r="AJ827">
        <v>86.997318361173996</v>
      </c>
      <c r="AK827">
        <v>0.62460110427261095</v>
      </c>
      <c r="AL827">
        <v>72.012295136671099</v>
      </c>
      <c r="AM827">
        <v>95.613860001673302</v>
      </c>
      <c r="AN827">
        <v>1.0000000017583499</v>
      </c>
    </row>
    <row r="828" spans="1:40" x14ac:dyDescent="0.25">
      <c r="A828" t="str">
        <f>"20190304164349311"</f>
        <v>20190304164349311</v>
      </c>
      <c r="B828" t="str">
        <f>"1551689029300615"</f>
        <v>1551689029300615</v>
      </c>
      <c r="C828" t="s">
        <v>40</v>
      </c>
      <c r="D828">
        <v>4.6010910000000003</v>
      </c>
      <c r="E828">
        <v>0.56496930000000001</v>
      </c>
      <c r="F828" t="s">
        <v>41</v>
      </c>
      <c r="G828">
        <v>-310.99220000000003</v>
      </c>
      <c r="H828">
        <v>0.99004479999999995</v>
      </c>
      <c r="I828">
        <v>367.64190000000002</v>
      </c>
      <c r="J828">
        <v>-311.7604</v>
      </c>
      <c r="K828">
        <v>1.068727</v>
      </c>
      <c r="L828">
        <v>367.67520000000002</v>
      </c>
      <c r="M828">
        <v>0.99977890000000003</v>
      </c>
      <c r="N828">
        <v>-1.9936369999999998E-2</v>
      </c>
      <c r="O828">
        <v>6.6928839999999996E-3</v>
      </c>
      <c r="P828">
        <v>0.95193740000000004</v>
      </c>
      <c r="Q828">
        <v>0.28972229999999999</v>
      </c>
      <c r="R828">
        <v>9.9380579999999996E-2</v>
      </c>
      <c r="S828">
        <v>3.243134</v>
      </c>
      <c r="T828">
        <v>-0.2652004</v>
      </c>
      <c r="U828">
        <v>-0.1064758</v>
      </c>
      <c r="V828">
        <v>-9.2993889999999996E-2</v>
      </c>
      <c r="W828">
        <v>0.30865959999999998</v>
      </c>
      <c r="X828">
        <v>0.94661580000000001</v>
      </c>
      <c r="Y828">
        <v>3.9327349999999997E-2</v>
      </c>
      <c r="Z828">
        <v>-2.4108369999999999E-3</v>
      </c>
      <c r="AA828">
        <v>0.99922350000000004</v>
      </c>
      <c r="AB828">
        <v>40</v>
      </c>
      <c r="AC828">
        <v>0.76819999999997801</v>
      </c>
      <c r="AD828">
        <v>-7.8682199999999897E-2</v>
      </c>
      <c r="AE828">
        <v>-3.3299999999996999E-2</v>
      </c>
      <c r="AF828">
        <v>3.8043395907913002E-2</v>
      </c>
      <c r="AG828">
        <v>-7.8682199999999897E-2</v>
      </c>
      <c r="AH828">
        <v>0.76000187341574799</v>
      </c>
      <c r="AI828">
        <v>95.903375601328804</v>
      </c>
      <c r="AJ828">
        <v>87.134338411817197</v>
      </c>
      <c r="AK828">
        <v>0.76501048108146397</v>
      </c>
      <c r="AL828">
        <v>72.021530467949304</v>
      </c>
      <c r="AM828">
        <v>95.610635000318993</v>
      </c>
      <c r="AN828">
        <v>1.0000000425295601</v>
      </c>
    </row>
    <row r="829" spans="1:40" x14ac:dyDescent="0.25">
      <c r="A829" t="str">
        <f>"20190304164349323"</f>
        <v>20190304164349323</v>
      </c>
      <c r="B829" t="str">
        <f>"1551689029310374"</f>
        <v>1551689029310374</v>
      </c>
      <c r="C829" t="s">
        <v>40</v>
      </c>
      <c r="D829">
        <v>4.568784</v>
      </c>
      <c r="E829">
        <v>0.56505079999999996</v>
      </c>
      <c r="F829" t="s">
        <v>41</v>
      </c>
      <c r="G829">
        <v>-310.97160000000002</v>
      </c>
      <c r="H829">
        <v>1.0040560000000001</v>
      </c>
      <c r="I829">
        <v>367.64870000000002</v>
      </c>
      <c r="J829">
        <v>-311.5641</v>
      </c>
      <c r="K829">
        <v>1.0680719999999999</v>
      </c>
      <c r="L829">
        <v>367.67649999999998</v>
      </c>
      <c r="M829">
        <v>0.99978469999999997</v>
      </c>
      <c r="N829">
        <v>-1.9648780000000001E-2</v>
      </c>
      <c r="O829">
        <v>6.692422E-3</v>
      </c>
      <c r="P829">
        <v>0.95178459999999998</v>
      </c>
      <c r="Q829">
        <v>0.29018959999999999</v>
      </c>
      <c r="R829">
        <v>9.9480609999999997E-2</v>
      </c>
      <c r="S829">
        <v>3.2437740000000002</v>
      </c>
      <c r="T829">
        <v>-0.26603969999999999</v>
      </c>
      <c r="U829">
        <v>-0.108429</v>
      </c>
      <c r="V829">
        <v>-9.3095220000000006E-2</v>
      </c>
      <c r="W829">
        <v>0.3088515</v>
      </c>
      <c r="X829">
        <v>0.94654320000000003</v>
      </c>
      <c r="Y829">
        <v>3.9918259999999997E-2</v>
      </c>
      <c r="Z829">
        <v>-2.4434140000000001E-3</v>
      </c>
      <c r="AA829">
        <v>0.99919999999999998</v>
      </c>
      <c r="AB829">
        <v>40</v>
      </c>
      <c r="AC829">
        <v>0.59249999999997205</v>
      </c>
      <c r="AD829">
        <v>-6.4015999999999795E-2</v>
      </c>
      <c r="AE829">
        <v>-2.7799999999956498E-2</v>
      </c>
      <c r="AF829">
        <v>3.1399664076802197E-2</v>
      </c>
      <c r="AG829">
        <v>-6.4015999999999795E-2</v>
      </c>
      <c r="AH829">
        <v>0.58548105243554505</v>
      </c>
      <c r="AI829">
        <v>96.231000618619703</v>
      </c>
      <c r="AJ829">
        <v>86.930137456490399</v>
      </c>
      <c r="AK829">
        <v>0.58980679033151995</v>
      </c>
      <c r="AL829">
        <v>72.009969804986497</v>
      </c>
      <c r="AM829">
        <v>95.617137557406807</v>
      </c>
      <c r="AN829">
        <v>0.99999999925266903</v>
      </c>
    </row>
    <row r="830" spans="1:40" x14ac:dyDescent="0.25">
      <c r="A830" t="str">
        <f>"20190304164349334"</f>
        <v>20190304164349334</v>
      </c>
      <c r="B830" t="str">
        <f>"1551689029321112"</f>
        <v>1551689029321112</v>
      </c>
      <c r="C830" t="s">
        <v>40</v>
      </c>
      <c r="D830">
        <v>4.5319349999999998</v>
      </c>
      <c r="E830">
        <v>0.5650752</v>
      </c>
      <c r="F830" t="s">
        <v>41</v>
      </c>
      <c r="G830">
        <v>-310.63799999999998</v>
      </c>
      <c r="H830">
        <v>0.99241199999999996</v>
      </c>
      <c r="I830">
        <v>367.6454</v>
      </c>
      <c r="J830">
        <v>-311.36189999999999</v>
      </c>
      <c r="K830">
        <v>1.0674170000000001</v>
      </c>
      <c r="L830">
        <v>367.67790000000002</v>
      </c>
      <c r="M830">
        <v>0.99979039999999997</v>
      </c>
      <c r="N830">
        <v>-1.9356020000000002E-2</v>
      </c>
      <c r="O830">
        <v>6.6920900000000004E-3</v>
      </c>
      <c r="P830">
        <v>0.95163359999999997</v>
      </c>
      <c r="Q830">
        <v>0.29061679999999901</v>
      </c>
      <c r="R830">
        <v>9.9677409999999994E-2</v>
      </c>
      <c r="S830">
        <v>3.2441710000000001</v>
      </c>
      <c r="T830">
        <v>-0.26520440000000001</v>
      </c>
      <c r="U830">
        <v>-0.1088257</v>
      </c>
      <c r="V830">
        <v>-9.3293639999999997E-2</v>
      </c>
      <c r="W830">
        <v>0.308998299999999</v>
      </c>
      <c r="X830">
        <v>0.94647570000000003</v>
      </c>
      <c r="Y830">
        <v>4.0036820000000001E-2</v>
      </c>
      <c r="Z830">
        <v>-2.438375E-3</v>
      </c>
      <c r="AA830">
        <v>0.99919519999999995</v>
      </c>
      <c r="AB830">
        <v>40</v>
      </c>
      <c r="AC830">
        <v>0.72390000000001398</v>
      </c>
      <c r="AD830">
        <v>-7.5004999999999905E-2</v>
      </c>
      <c r="AE830">
        <v>-3.2500000000027202E-2</v>
      </c>
      <c r="AF830">
        <v>3.6948717039220001E-2</v>
      </c>
      <c r="AG830">
        <v>-7.5004999999999905E-2</v>
      </c>
      <c r="AH830">
        <v>0.71599512917349195</v>
      </c>
      <c r="AI830">
        <v>95.972392304049293</v>
      </c>
      <c r="AJ830">
        <v>87.045888682491807</v>
      </c>
      <c r="AK830">
        <v>0.72086058479848203</v>
      </c>
      <c r="AL830">
        <v>72.001125327318505</v>
      </c>
      <c r="AM830">
        <v>95.629431794259403</v>
      </c>
      <c r="AN830">
        <v>0.99999995167891298</v>
      </c>
    </row>
    <row r="831" spans="1:40" x14ac:dyDescent="0.25">
      <c r="A831" t="str">
        <f>"20190304164349345"</f>
        <v>20190304164349345</v>
      </c>
      <c r="B831" t="str">
        <f>"1551689029340630"</f>
        <v>1551689029340630</v>
      </c>
      <c r="C831" t="s">
        <v>40</v>
      </c>
      <c r="D831">
        <v>4.5872099999999998</v>
      </c>
      <c r="E831">
        <v>0.56505079999999996</v>
      </c>
      <c r="F831" t="s">
        <v>41</v>
      </c>
      <c r="G831">
        <v>-310.2912</v>
      </c>
      <c r="H831">
        <v>0.98025390000000001</v>
      </c>
      <c r="I831">
        <v>367.642</v>
      </c>
      <c r="J831">
        <v>-311.15550000000002</v>
      </c>
      <c r="K831">
        <v>1.066832</v>
      </c>
      <c r="L831">
        <v>367.67930000000001</v>
      </c>
      <c r="M831">
        <v>0.99979580000000001</v>
      </c>
      <c r="N831">
        <v>-1.907404E-2</v>
      </c>
      <c r="O831">
        <v>6.6919619999999897E-3</v>
      </c>
      <c r="P831">
        <v>0.95156260000000004</v>
      </c>
      <c r="Q831">
        <v>0.2908616</v>
      </c>
      <c r="R831">
        <v>9.964286E-2</v>
      </c>
      <c r="S831">
        <v>3.2444760000000001</v>
      </c>
      <c r="T831">
        <v>-0.26416329999999999</v>
      </c>
      <c r="U831">
        <v>-0.1081848</v>
      </c>
      <c r="V831">
        <v>-9.3260120000000002E-2</v>
      </c>
      <c r="W831">
        <v>0.30897479999999999</v>
      </c>
      <c r="X831">
        <v>0.94648670000000001</v>
      </c>
      <c r="Y831">
        <v>3.9838850000000002E-2</v>
      </c>
      <c r="Z831">
        <v>-2.4159210000000001E-3</v>
      </c>
      <c r="AA831">
        <v>0.99920319999999996</v>
      </c>
      <c r="AB831">
        <v>39</v>
      </c>
      <c r="AC831">
        <v>0.86430000000001395</v>
      </c>
      <c r="AD831">
        <v>-8.6578099999999797E-2</v>
      </c>
      <c r="AE831">
        <v>-3.7300000000016098E-2</v>
      </c>
      <c r="AF831">
        <v>4.2656843133309703E-2</v>
      </c>
      <c r="AG831">
        <v>-8.6578099999999797E-2</v>
      </c>
      <c r="AH831">
        <v>0.85546297015438699</v>
      </c>
      <c r="AI831">
        <v>95.771884391912494</v>
      </c>
      <c r="AJ831">
        <v>87.145365109227797</v>
      </c>
      <c r="AK831">
        <v>0.86089039196118</v>
      </c>
      <c r="AL831">
        <v>72.002541491673995</v>
      </c>
      <c r="AM831">
        <v>95.627357167025394</v>
      </c>
      <c r="AN831">
        <v>0.99999997514717098</v>
      </c>
    </row>
    <row r="832" spans="1:40" x14ac:dyDescent="0.25">
      <c r="A832" t="str">
        <f>"20190304164349358"</f>
        <v>20190304164349358</v>
      </c>
      <c r="B832" t="str">
        <f>"1551689029350390"</f>
        <v>1551689029350390</v>
      </c>
      <c r="C832" t="s">
        <v>40</v>
      </c>
      <c r="D832">
        <v>4.5568</v>
      </c>
      <c r="E832">
        <v>0.56506269999999903</v>
      </c>
      <c r="F832" t="s">
        <v>41</v>
      </c>
      <c r="G832">
        <v>-310.28250000000003</v>
      </c>
      <c r="H832">
        <v>0.99590919999999905</v>
      </c>
      <c r="I832">
        <v>367.6499</v>
      </c>
      <c r="J832">
        <v>-310.94450000000001</v>
      </c>
      <c r="K832">
        <v>1.066255</v>
      </c>
      <c r="L832">
        <v>367.6807</v>
      </c>
      <c r="M832">
        <v>0.99980100000000005</v>
      </c>
      <c r="N832">
        <v>-1.879173E-2</v>
      </c>
      <c r="O832">
        <v>6.6919769999999896E-3</v>
      </c>
      <c r="P832">
        <v>0.95148469999999996</v>
      </c>
      <c r="Q832">
        <v>0.29110599999999998</v>
      </c>
      <c r="R832">
        <v>9.9669400000000005E-2</v>
      </c>
      <c r="S832">
        <v>3.244659</v>
      </c>
      <c r="T832">
        <v>-0.26366719999999999</v>
      </c>
      <c r="U832">
        <v>-0.108429</v>
      </c>
      <c r="V832">
        <v>-9.3287040000000002E-2</v>
      </c>
      <c r="W832">
        <v>0.30895080000000003</v>
      </c>
      <c r="X832">
        <v>0.94649190000000005</v>
      </c>
      <c r="Y832">
        <v>3.991273E-2</v>
      </c>
      <c r="Z832">
        <v>-2.4116879999999999E-3</v>
      </c>
      <c r="AA832">
        <v>0.99920030000000004</v>
      </c>
      <c r="AB832">
        <v>39</v>
      </c>
      <c r="AC832">
        <v>0.66199999999997705</v>
      </c>
      <c r="AD832">
        <v>-7.0345800000000097E-2</v>
      </c>
      <c r="AE832">
        <v>-3.07999999999992E-2</v>
      </c>
      <c r="AF832">
        <v>3.4837653790065697E-2</v>
      </c>
      <c r="AG832">
        <v>-7.0345800000000097E-2</v>
      </c>
      <c r="AH832">
        <v>0.65440561354844395</v>
      </c>
      <c r="AI832">
        <v>96.126881089595898</v>
      </c>
      <c r="AJ832">
        <v>86.952703232577804</v>
      </c>
      <c r="AK832">
        <v>0.65909703439095502</v>
      </c>
      <c r="AL832">
        <v>72.003987656157904</v>
      </c>
      <c r="AM832">
        <v>95.628940374520894</v>
      </c>
      <c r="AN832">
        <v>0.999999992709105</v>
      </c>
    </row>
    <row r="833" spans="1:40" x14ac:dyDescent="0.25">
      <c r="A833" t="str">
        <f>"20190304164349368"</f>
        <v>20190304164349368</v>
      </c>
      <c r="B833" t="str">
        <f>"1551689029361126"</f>
        <v>1551689029361126</v>
      </c>
      <c r="C833" t="s">
        <v>40</v>
      </c>
      <c r="D833">
        <v>4.5670320000000002</v>
      </c>
      <c r="E833">
        <v>0.5651041</v>
      </c>
      <c r="F833" t="s">
        <v>41</v>
      </c>
      <c r="G833">
        <v>-309.9366</v>
      </c>
      <c r="H833">
        <v>0.98454010000000003</v>
      </c>
      <c r="I833">
        <v>367.64710000000002</v>
      </c>
      <c r="J833">
        <v>-310.74029999999999</v>
      </c>
      <c r="K833">
        <v>1.0657490000000001</v>
      </c>
      <c r="L833">
        <v>367.68200000000002</v>
      </c>
      <c r="M833">
        <v>0.99980599999999997</v>
      </c>
      <c r="N833">
        <v>-1.8530040000000001E-2</v>
      </c>
      <c r="O833">
        <v>6.6919369999999898E-3</v>
      </c>
      <c r="P833">
        <v>0.95137729999999998</v>
      </c>
      <c r="Q833">
        <v>0.29146359999999999</v>
      </c>
      <c r="R833">
        <v>9.9651320000000002E-2</v>
      </c>
      <c r="S833">
        <v>3.2447810000000001</v>
      </c>
      <c r="T833">
        <v>-0.2631423</v>
      </c>
      <c r="U833">
        <v>-0.1081848</v>
      </c>
      <c r="V833">
        <v>-9.3269640000000001E-2</v>
      </c>
      <c r="W833">
        <v>0.30905830000000001</v>
      </c>
      <c r="X833">
        <v>0.94645849999999998</v>
      </c>
      <c r="Y833">
        <v>3.9837589999999999E-2</v>
      </c>
      <c r="Z833">
        <v>-2.400087E-3</v>
      </c>
      <c r="AA833">
        <v>0.99920330000000002</v>
      </c>
      <c r="AB833">
        <v>39</v>
      </c>
      <c r="AC833">
        <v>0.80369999999999198</v>
      </c>
      <c r="AD833">
        <v>-8.1208900000000001E-2</v>
      </c>
      <c r="AE833">
        <v>-3.4899999999936399E-2</v>
      </c>
      <c r="AF833">
        <v>3.9872128915437503E-2</v>
      </c>
      <c r="AG833">
        <v>-8.1208900000000001E-2</v>
      </c>
      <c r="AH833">
        <v>0.79534335705630199</v>
      </c>
      <c r="AI833">
        <v>95.822745719588198</v>
      </c>
      <c r="AJ833">
        <v>87.130052384481999</v>
      </c>
      <c r="AK833">
        <v>0.80047219047075402</v>
      </c>
      <c r="AL833">
        <v>71.997511093657906</v>
      </c>
      <c r="AM833">
        <v>95.628094529599096</v>
      </c>
      <c r="AN833">
        <v>0.99999997538343399</v>
      </c>
    </row>
    <row r="834" spans="1:40" x14ac:dyDescent="0.25">
      <c r="A834" t="str">
        <f>"20190304164349382"</f>
        <v>20190304164349382</v>
      </c>
      <c r="B834" t="str">
        <f>"1551689029370886"</f>
        <v>1551689029370886</v>
      </c>
      <c r="C834" t="s">
        <v>40</v>
      </c>
      <c r="D834">
        <v>4.5637379999999999</v>
      </c>
      <c r="E834">
        <v>0.565191</v>
      </c>
      <c r="F834" t="s">
        <v>41</v>
      </c>
      <c r="G834">
        <v>-309.92610000000002</v>
      </c>
      <c r="H834">
        <v>0.99985930000000001</v>
      </c>
      <c r="I834">
        <v>367.65469999999999</v>
      </c>
      <c r="J834">
        <v>-310.51600000000002</v>
      </c>
      <c r="K834">
        <v>1.0652469999999901</v>
      </c>
      <c r="L834">
        <v>367.68349999999998</v>
      </c>
      <c r="M834">
        <v>0.99981089999999995</v>
      </c>
      <c r="N834">
        <v>-1.825595E-2</v>
      </c>
      <c r="O834">
        <v>6.6920959999999998E-3</v>
      </c>
      <c r="P834">
        <v>0.95132879999999997</v>
      </c>
      <c r="Q834">
        <v>0.29165740000000001</v>
      </c>
      <c r="R834">
        <v>9.9546800000000005E-2</v>
      </c>
      <c r="S834">
        <v>3.2451479999999999</v>
      </c>
      <c r="T834">
        <v>-0.26268780000000003</v>
      </c>
      <c r="U834">
        <v>-0.1087341</v>
      </c>
      <c r="V834">
        <v>-9.3165239999999996E-2</v>
      </c>
      <c r="W834">
        <v>0.30899159999999998</v>
      </c>
      <c r="X834">
        <v>0.94649059999999896</v>
      </c>
      <c r="Y834">
        <v>4.0003160000000003E-2</v>
      </c>
      <c r="Z834">
        <v>-2.4007E-3</v>
      </c>
      <c r="AA834">
        <v>0.99919659999999999</v>
      </c>
      <c r="AB834">
        <v>39</v>
      </c>
      <c r="AC834">
        <v>0.58989999999994303</v>
      </c>
      <c r="AD834">
        <v>-6.5387699999999702E-2</v>
      </c>
      <c r="AE834">
        <v>-2.8799999999989698E-2</v>
      </c>
      <c r="AF834">
        <v>3.2351136924124599E-2</v>
      </c>
      <c r="AG834">
        <v>-6.5387699999999702E-2</v>
      </c>
      <c r="AH834">
        <v>0.58255338219297803</v>
      </c>
      <c r="AI834">
        <v>96.394490181138195</v>
      </c>
      <c r="AJ834">
        <v>86.821438638190003</v>
      </c>
      <c r="AK834">
        <v>0.58710356026518096</v>
      </c>
      <c r="AL834">
        <v>72.001530109457093</v>
      </c>
      <c r="AM834">
        <v>95.621645740974699</v>
      </c>
      <c r="AN834">
        <v>1.0000000133515801</v>
      </c>
    </row>
    <row r="835" spans="1:40" x14ac:dyDescent="0.25">
      <c r="A835" t="str">
        <f>"20190304164349398"</f>
        <v>20190304164349398</v>
      </c>
      <c r="B835" t="str">
        <f>"1551689029390406"</f>
        <v>1551689029390406</v>
      </c>
      <c r="C835" t="s">
        <v>40</v>
      </c>
      <c r="D835">
        <v>4.5481749999999996</v>
      </c>
      <c r="E835">
        <v>0.56530859999999905</v>
      </c>
      <c r="F835" t="s">
        <v>41</v>
      </c>
      <c r="G835">
        <v>-309.58179999999999</v>
      </c>
      <c r="H835">
        <v>0.98996309999999998</v>
      </c>
      <c r="I835">
        <v>367.65170000000001</v>
      </c>
      <c r="J835">
        <v>-310.22919999999999</v>
      </c>
      <c r="K835">
        <v>1.0646549999999999</v>
      </c>
      <c r="L835">
        <v>367.68540000000002</v>
      </c>
      <c r="M835">
        <v>0.99981699999999996</v>
      </c>
      <c r="N835">
        <v>-1.7922090000000002E-2</v>
      </c>
      <c r="O835">
        <v>6.6922809999999996E-3</v>
      </c>
      <c r="P835">
        <v>0.95122530000000005</v>
      </c>
      <c r="Q835">
        <v>0.29205370000000003</v>
      </c>
      <c r="R835">
        <v>9.937472E-2</v>
      </c>
      <c r="S835">
        <v>3.2451780000000001</v>
      </c>
      <c r="T835">
        <v>-0.26154919999999998</v>
      </c>
      <c r="U835">
        <v>-0.1100464</v>
      </c>
      <c r="V835">
        <v>-9.2993960000000001E-2</v>
      </c>
      <c r="W835">
        <v>0.3090695</v>
      </c>
      <c r="X835">
        <v>0.94648200000000005</v>
      </c>
      <c r="Y835">
        <v>4.0406789999999998E-2</v>
      </c>
      <c r="Z835">
        <v>-2.4067509999999999E-3</v>
      </c>
      <c r="AA835">
        <v>0.99918039999999997</v>
      </c>
      <c r="AB835">
        <v>39</v>
      </c>
      <c r="AC835">
        <v>0.64740000000000397</v>
      </c>
      <c r="AD835">
        <v>-7.4691899999999894E-2</v>
      </c>
      <c r="AE835">
        <v>-3.3700000000010201E-2</v>
      </c>
      <c r="AF835">
        <v>3.7534265671099597E-2</v>
      </c>
      <c r="AG835">
        <v>-7.4691899999999894E-2</v>
      </c>
      <c r="AH835">
        <v>0.63868159172301897</v>
      </c>
      <c r="AI835">
        <v>96.658885501282498</v>
      </c>
      <c r="AJ835">
        <v>86.6366897821745</v>
      </c>
      <c r="AK835">
        <v>0.64412877332947005</v>
      </c>
      <c r="AL835">
        <v>71.9968368859614</v>
      </c>
      <c r="AM835">
        <v>95.611427286335896</v>
      </c>
      <c r="AN835">
        <v>1.0000000043753601</v>
      </c>
    </row>
    <row r="836" spans="1:40" x14ac:dyDescent="0.25">
      <c r="A836" t="str">
        <f>"20190304164349412"</f>
        <v>20190304164349412</v>
      </c>
      <c r="B836" t="str">
        <f>"1551689029400673"</f>
        <v>1551689029400673</v>
      </c>
      <c r="C836" t="s">
        <v>40</v>
      </c>
      <c r="D836">
        <v>4.5708650000000004</v>
      </c>
      <c r="E836">
        <v>0.56530959999999997</v>
      </c>
      <c r="F836" t="s">
        <v>41</v>
      </c>
      <c r="G836">
        <v>-309.23250000000002</v>
      </c>
      <c r="H836">
        <v>0.98468449999999996</v>
      </c>
      <c r="I836">
        <v>367.65109999999999</v>
      </c>
      <c r="J836">
        <v>-309.98610000000002</v>
      </c>
      <c r="K836">
        <v>1.064203</v>
      </c>
      <c r="L836">
        <v>367.68709999999999</v>
      </c>
      <c r="M836">
        <v>0.99982179999999998</v>
      </c>
      <c r="N836">
        <v>-1.765535E-2</v>
      </c>
      <c r="O836">
        <v>6.6925279999999997E-3</v>
      </c>
      <c r="P836">
        <v>0.95115269999999996</v>
      </c>
      <c r="Q836">
        <v>0.2922749</v>
      </c>
      <c r="R836">
        <v>9.9417809999999995E-2</v>
      </c>
      <c r="S836">
        <v>3.2454830000000001</v>
      </c>
      <c r="T836">
        <v>-0.26056360000000001</v>
      </c>
      <c r="U836">
        <v>-0.111419699999999</v>
      </c>
      <c r="V836">
        <v>-9.3037419999999996E-2</v>
      </c>
      <c r="W836">
        <v>0.30903740000000002</v>
      </c>
      <c r="X836">
        <v>0.9464882</v>
      </c>
      <c r="Y836">
        <v>4.0826050000000003E-2</v>
      </c>
      <c r="Z836">
        <v>-2.4153059999999999E-3</v>
      </c>
      <c r="AA836">
        <v>0.99916329999999998</v>
      </c>
      <c r="AB836">
        <v>39</v>
      </c>
      <c r="AC836">
        <v>0.75360000000000504</v>
      </c>
      <c r="AD836">
        <v>-7.9518500000000006E-2</v>
      </c>
      <c r="AE836">
        <v>-3.6000000000001302E-2</v>
      </c>
      <c r="AF836">
        <v>4.0592536767699701E-2</v>
      </c>
      <c r="AG836">
        <v>-7.9518500000000006E-2</v>
      </c>
      <c r="AH836">
        <v>0.74506541445387298</v>
      </c>
      <c r="AI836">
        <v>96.082985253621601</v>
      </c>
      <c r="AJ836">
        <v>86.881503424872193</v>
      </c>
      <c r="AK836">
        <v>0.750395507515077</v>
      </c>
      <c r="AL836">
        <v>71.998770568424902</v>
      </c>
      <c r="AM836">
        <v>95.613996454084202</v>
      </c>
      <c r="AN836">
        <v>0.99999999442912801</v>
      </c>
    </row>
    <row r="837" spans="1:40" x14ac:dyDescent="0.25">
      <c r="A837" t="str">
        <f>"20190304164349427"</f>
        <v>20190304164349427</v>
      </c>
      <c r="B837" t="str">
        <f>"1551689029421170"</f>
        <v>1551689029421170</v>
      </c>
      <c r="C837" t="s">
        <v>40</v>
      </c>
      <c r="D837">
        <v>4.5545770000000001</v>
      </c>
      <c r="E837">
        <v>0.5654323</v>
      </c>
      <c r="F837" t="s">
        <v>43</v>
      </c>
      <c r="G837">
        <v>-296.05090000000001</v>
      </c>
      <c r="H837">
        <v>-0.05</v>
      </c>
      <c r="I837">
        <v>367.20929999999998</v>
      </c>
      <c r="J837">
        <v>-309.74329999999998</v>
      </c>
      <c r="K837">
        <v>1.0638110000000001</v>
      </c>
      <c r="L837">
        <v>367.68869999999998</v>
      </c>
      <c r="M837">
        <v>0.9998262</v>
      </c>
      <c r="N837">
        <v>-1.740947E-2</v>
      </c>
      <c r="O837">
        <v>6.6926759999999998E-3</v>
      </c>
      <c r="P837">
        <v>0.9510537</v>
      </c>
      <c r="Q837">
        <v>0.29257880000000003</v>
      </c>
      <c r="R837">
        <v>9.9472270000000002E-2</v>
      </c>
      <c r="S837">
        <v>3.2454529999999999</v>
      </c>
      <c r="T837">
        <v>-0.25949369999999999</v>
      </c>
      <c r="U837">
        <v>-0.11126709999999999</v>
      </c>
      <c r="V837">
        <v>-9.3092069999999999E-2</v>
      </c>
      <c r="W837">
        <v>0.30910670000000001</v>
      </c>
      <c r="X837">
        <v>0.94646019999999997</v>
      </c>
      <c r="Y837">
        <v>4.0781360000000003E-2</v>
      </c>
      <c r="Z837">
        <v>-2.400878E-3</v>
      </c>
      <c r="AA837">
        <v>0.99916519999999998</v>
      </c>
      <c r="AB837">
        <v>39</v>
      </c>
      <c r="AC837">
        <v>13.6923999999999</v>
      </c>
      <c r="AD837">
        <v>-1.1138110000000001</v>
      </c>
      <c r="AE837">
        <v>-0.47939999999999799</v>
      </c>
      <c r="AF837">
        <v>0.56729272961789601</v>
      </c>
      <c r="AG837">
        <v>-1.1138110000000001</v>
      </c>
      <c r="AH837">
        <v>13.599009260956301</v>
      </c>
      <c r="AI837">
        <v>94.678242019622402</v>
      </c>
      <c r="AJ837">
        <v>87.611249174313002</v>
      </c>
      <c r="AK837">
        <v>13.656333653817001</v>
      </c>
      <c r="AL837">
        <v>71.9945956199481</v>
      </c>
      <c r="AM837">
        <v>95.617438138532293</v>
      </c>
      <c r="AN837">
        <v>0.99999999783290705</v>
      </c>
    </row>
    <row r="838" spans="1:40" x14ac:dyDescent="0.25">
      <c r="A838" t="str">
        <f>"20190304164349439"</f>
        <v>20190304164349439</v>
      </c>
      <c r="B838" t="str">
        <f>"1551689029430931"</f>
        <v>1551689029430931</v>
      </c>
      <c r="C838" t="s">
        <v>40</v>
      </c>
      <c r="D838">
        <v>4.564819</v>
      </c>
      <c r="E838">
        <v>0.56546629999999998</v>
      </c>
      <c r="F838" t="s">
        <v>41</v>
      </c>
      <c r="G838">
        <v>-308.87450000000001</v>
      </c>
      <c r="H838">
        <v>0.99507080000000003</v>
      </c>
      <c r="I838">
        <v>367.65839999999997</v>
      </c>
      <c r="J838">
        <v>-309.4991</v>
      </c>
      <c r="K838">
        <v>1.063447</v>
      </c>
      <c r="L838">
        <v>367.69029999999998</v>
      </c>
      <c r="M838">
        <v>0.99983010000000005</v>
      </c>
      <c r="N838">
        <v>-1.717457E-2</v>
      </c>
      <c r="O838">
        <v>6.6928780000000002E-3</v>
      </c>
      <c r="P838">
        <v>0.9510381</v>
      </c>
      <c r="Q838">
        <v>0.29259269999999998</v>
      </c>
      <c r="R838">
        <v>9.9580500000000002E-2</v>
      </c>
      <c r="S838">
        <v>3.2451780000000001</v>
      </c>
      <c r="T838">
        <v>-0.25687500000000002</v>
      </c>
      <c r="U838">
        <v>-0.1124573</v>
      </c>
      <c r="V838">
        <v>-9.3199820000000003E-2</v>
      </c>
      <c r="W838">
        <v>0.30889820000000001</v>
      </c>
      <c r="X838">
        <v>0.94651770000000002</v>
      </c>
      <c r="Y838">
        <v>4.1152519999999998E-2</v>
      </c>
      <c r="Z838">
        <v>-2.3939249999999999E-3</v>
      </c>
      <c r="AA838">
        <v>0.99914999999999998</v>
      </c>
      <c r="AB838">
        <v>39</v>
      </c>
      <c r="AC838">
        <v>0.62459999999998606</v>
      </c>
      <c r="AD838">
        <v>-6.8376199999999998E-2</v>
      </c>
      <c r="AE838">
        <v>-3.1900000000007298E-2</v>
      </c>
      <c r="AF838">
        <v>3.5654102373277402E-2</v>
      </c>
      <c r="AG838">
        <v>-6.8376199999999998E-2</v>
      </c>
      <c r="AH838">
        <v>0.61699753958731496</v>
      </c>
      <c r="AI838">
        <v>96.313317143251794</v>
      </c>
      <c r="AJ838">
        <v>86.692757837803299</v>
      </c>
      <c r="AK838">
        <v>0.62179778352715698</v>
      </c>
      <c r="AL838">
        <v>72.007157110364702</v>
      </c>
      <c r="AM838">
        <v>95.623558963555396</v>
      </c>
      <c r="AN838">
        <v>1.00000003041228</v>
      </c>
    </row>
    <row r="839" spans="1:40" x14ac:dyDescent="0.25">
      <c r="A839" t="str">
        <f>"20190304164349454"</f>
        <v>20190304164349454</v>
      </c>
      <c r="B839" t="str">
        <f>"1551689029440690"</f>
        <v>1551689029440690</v>
      </c>
      <c r="C839" t="s">
        <v>40</v>
      </c>
      <c r="D839">
        <v>4.5688409999999999</v>
      </c>
      <c r="E839">
        <v>0.56550019999999901</v>
      </c>
      <c r="F839" t="s">
        <v>41</v>
      </c>
      <c r="G839">
        <v>-308.52870000000001</v>
      </c>
      <c r="H839">
        <v>0.98671019999999998</v>
      </c>
      <c r="I839">
        <v>367.65660000000003</v>
      </c>
      <c r="J839">
        <v>-309.25630000000001</v>
      </c>
      <c r="K839">
        <v>1.0631170000000001</v>
      </c>
      <c r="L839">
        <v>367.69189999999998</v>
      </c>
      <c r="M839">
        <v>0.99983390000000005</v>
      </c>
      <c r="N839">
        <v>-1.6953220000000001E-2</v>
      </c>
      <c r="O839">
        <v>6.6931150000000003E-3</v>
      </c>
      <c r="P839">
        <v>0.9509514</v>
      </c>
      <c r="Q839">
        <v>0.29283419999999999</v>
      </c>
      <c r="R839">
        <v>9.9699250000000003E-2</v>
      </c>
      <c r="S839">
        <v>3.2451780000000001</v>
      </c>
      <c r="T839">
        <v>-0.2566755</v>
      </c>
      <c r="U839">
        <v>-0.1124573</v>
      </c>
      <c r="V839">
        <v>-9.3319360000000004E-2</v>
      </c>
      <c r="W839">
        <v>0.30892849999999999</v>
      </c>
      <c r="X839">
        <v>0.946496</v>
      </c>
      <c r="Y839">
        <v>4.1153250000000002E-2</v>
      </c>
      <c r="Z839">
        <v>-2.3892190000000002E-3</v>
      </c>
      <c r="AA839">
        <v>0.99914999999999998</v>
      </c>
      <c r="AB839">
        <v>39</v>
      </c>
      <c r="AC839">
        <v>0.72759999999999503</v>
      </c>
      <c r="AD839">
        <v>-7.6406800000000205E-2</v>
      </c>
      <c r="AE839">
        <v>-3.5299999999949698E-2</v>
      </c>
      <c r="AF839">
        <v>3.9732694466060502E-2</v>
      </c>
      <c r="AG839">
        <v>-7.6406800000000205E-2</v>
      </c>
      <c r="AH839">
        <v>0.71943245653677201</v>
      </c>
      <c r="AI839">
        <v>96.053175868395698</v>
      </c>
      <c r="AJ839">
        <v>86.838889649985006</v>
      </c>
      <c r="AK839">
        <v>0.72456866176664503</v>
      </c>
      <c r="AL839">
        <v>72.005331196748998</v>
      </c>
      <c r="AM839">
        <v>95.630853797748898</v>
      </c>
      <c r="AN839">
        <v>0.99999999953952901</v>
      </c>
    </row>
    <row r="840" spans="1:40" x14ac:dyDescent="0.25">
      <c r="A840" t="str">
        <f>"20190304164349468"</f>
        <v>20190304164349468</v>
      </c>
      <c r="B840" t="str">
        <f>"1551689029461186"</f>
        <v>1551689029461186</v>
      </c>
      <c r="C840" t="s">
        <v>40</v>
      </c>
      <c r="D840">
        <v>4.559126</v>
      </c>
      <c r="E840">
        <v>0.56552019999999903</v>
      </c>
      <c r="F840" t="s">
        <v>41</v>
      </c>
      <c r="G840">
        <v>-308.18169999999998</v>
      </c>
      <c r="H840">
        <v>0.97853230000000002</v>
      </c>
      <c r="I840">
        <v>367.6542</v>
      </c>
      <c r="J840">
        <v>-309.01339999999999</v>
      </c>
      <c r="K840">
        <v>1.0628340000000001</v>
      </c>
      <c r="L840">
        <v>367.69349999999997</v>
      </c>
      <c r="M840">
        <v>0.99983730000000004</v>
      </c>
      <c r="N840">
        <v>-1.67549E-2</v>
      </c>
      <c r="O840">
        <v>6.6932500000000004E-3</v>
      </c>
      <c r="P840">
        <v>0.95089179999999995</v>
      </c>
      <c r="Q840">
        <v>0.29305419999999999</v>
      </c>
      <c r="R840">
        <v>9.9620109999999998E-2</v>
      </c>
      <c r="S840">
        <v>3.2452999999999999</v>
      </c>
      <c r="T840">
        <v>-0.25571490000000002</v>
      </c>
      <c r="U840">
        <v>-0.112854</v>
      </c>
      <c r="V840">
        <v>-9.324027E-2</v>
      </c>
      <c r="W840">
        <v>0.30895980000000001</v>
      </c>
      <c r="X840">
        <v>0.94649360000000005</v>
      </c>
      <c r="Y840">
        <v>4.1275039999999999E-2</v>
      </c>
      <c r="Z840">
        <v>-2.3841510000000002E-3</v>
      </c>
      <c r="AA840">
        <v>0.99914499999999995</v>
      </c>
      <c r="AB840">
        <v>39</v>
      </c>
      <c r="AC840">
        <v>0.83170000000001199</v>
      </c>
      <c r="AD840">
        <v>-8.4301699999999993E-2</v>
      </c>
      <c r="AE840">
        <v>-3.9299999999968797E-2</v>
      </c>
      <c r="AF840">
        <v>4.44114105709843E-2</v>
      </c>
      <c r="AG840">
        <v>-8.4301699999999993E-2</v>
      </c>
      <c r="AH840">
        <v>0.82298181075541799</v>
      </c>
      <c r="AI840">
        <v>95.840224363228799</v>
      </c>
      <c r="AJ840">
        <v>86.911085253564195</v>
      </c>
      <c r="AK840">
        <v>0.82847945710564297</v>
      </c>
      <c r="AL840">
        <v>72.0034459839151</v>
      </c>
      <c r="AM840">
        <v>95.626126342595001</v>
      </c>
      <c r="AN840">
        <v>1.0000000204033299</v>
      </c>
    </row>
    <row r="841" spans="1:40" x14ac:dyDescent="0.25">
      <c r="A841" t="str">
        <f>"20190304164349480"</f>
        <v>20190304164349480</v>
      </c>
      <c r="B841" t="str">
        <f>"1551689029470946"</f>
        <v>1551689029470946</v>
      </c>
      <c r="C841" t="s">
        <v>40</v>
      </c>
      <c r="D841">
        <v>4.5594250000000001</v>
      </c>
      <c r="E841">
        <v>0.56552950000000002</v>
      </c>
      <c r="F841" t="s">
        <v>41</v>
      </c>
      <c r="G841">
        <v>-308.1705</v>
      </c>
      <c r="H841">
        <v>0.99675309999999995</v>
      </c>
      <c r="I841">
        <v>367.66390000000001</v>
      </c>
      <c r="J841">
        <v>-308.79390000000001</v>
      </c>
      <c r="K841">
        <v>1.0626009999999999</v>
      </c>
      <c r="L841">
        <v>367.69499999999999</v>
      </c>
      <c r="M841">
        <v>0.99984010000000001</v>
      </c>
      <c r="N841">
        <v>-1.6587859999999999E-2</v>
      </c>
      <c r="O841">
        <v>6.6933419999999997E-3</v>
      </c>
      <c r="P841">
        <v>0.95090629999999998</v>
      </c>
      <c r="Q841">
        <v>0.29300039999999999</v>
      </c>
      <c r="R841">
        <v>9.9639729999999996E-2</v>
      </c>
      <c r="S841">
        <v>3.2452999999999999</v>
      </c>
      <c r="T841">
        <v>-0.25471759999999999</v>
      </c>
      <c r="U841">
        <v>-0.1128845</v>
      </c>
      <c r="V841">
        <v>-9.3259649999999999E-2</v>
      </c>
      <c r="W841">
        <v>0.30874810000000003</v>
      </c>
      <c r="X841">
        <v>0.94656079999999998</v>
      </c>
      <c r="Y841">
        <v>4.1285879999999997E-2</v>
      </c>
      <c r="Z841">
        <v>-2.3739680000000002E-3</v>
      </c>
      <c r="AA841">
        <v>0.99914460000000005</v>
      </c>
      <c r="AB841">
        <v>39</v>
      </c>
      <c r="AC841">
        <v>0.62340000000000295</v>
      </c>
      <c r="AD841">
        <v>-6.5847900000000098E-2</v>
      </c>
      <c r="AE841">
        <v>-3.1099999999980799E-2</v>
      </c>
      <c r="AF841">
        <v>3.4884266301185199E-2</v>
      </c>
      <c r="AG841">
        <v>-6.5847900000000098E-2</v>
      </c>
      <c r="AH841">
        <v>0.61631859977451997</v>
      </c>
      <c r="AI841">
        <v>96.088714238003405</v>
      </c>
      <c r="AJ841">
        <v>86.760456513937797</v>
      </c>
      <c r="AK841">
        <v>0.62080711529250898</v>
      </c>
      <c r="AL841">
        <v>72.016199549288103</v>
      </c>
      <c r="AM841">
        <v>95.626891289751995</v>
      </c>
      <c r="AN841">
        <v>1.0000000498341799</v>
      </c>
    </row>
    <row r="842" spans="1:40" x14ac:dyDescent="0.25">
      <c r="A842" t="str">
        <f>"20190304164349492"</f>
        <v>20190304164349492</v>
      </c>
      <c r="B842" t="str">
        <f>"1551689029480706"</f>
        <v>1551689029480706</v>
      </c>
      <c r="C842" t="s">
        <v>40</v>
      </c>
      <c r="D842">
        <v>4.5736179999999997</v>
      </c>
      <c r="E842">
        <v>0.56557899999999905</v>
      </c>
      <c r="F842" t="s">
        <v>41</v>
      </c>
      <c r="G842">
        <v>-307.827</v>
      </c>
      <c r="H842">
        <v>0.98670100000000005</v>
      </c>
      <c r="I842">
        <v>367.66129999999998</v>
      </c>
      <c r="J842">
        <v>-308.57470000000001</v>
      </c>
      <c r="K842">
        <v>1.0623830000000001</v>
      </c>
      <c r="L842">
        <v>367.69639999999998</v>
      </c>
      <c r="M842">
        <v>0.99984260000000003</v>
      </c>
      <c r="N842">
        <v>-1.6432869999999999E-2</v>
      </c>
      <c r="O842">
        <v>6.6934389999999998E-3</v>
      </c>
      <c r="P842">
        <v>0.95087500000000003</v>
      </c>
      <c r="Q842">
        <v>0.2931935</v>
      </c>
      <c r="R842">
        <v>9.9370810000000004E-2</v>
      </c>
      <c r="S842">
        <v>3.2452390000000002</v>
      </c>
      <c r="T842">
        <v>-0.25490649999999998</v>
      </c>
      <c r="U842">
        <v>-0.11257929999999999</v>
      </c>
      <c r="V842">
        <v>-9.2990980000000001E-2</v>
      </c>
      <c r="W842">
        <v>0.30879380000000001</v>
      </c>
      <c r="X842">
        <v>0.94657219999999997</v>
      </c>
      <c r="Y842">
        <v>4.1193059999999997E-2</v>
      </c>
      <c r="Z842">
        <v>-2.3690270000000001E-3</v>
      </c>
      <c r="AA842">
        <v>0.99914840000000005</v>
      </c>
      <c r="AB842">
        <v>39</v>
      </c>
      <c r="AC842">
        <v>0.74770000000000802</v>
      </c>
      <c r="AD842">
        <v>-7.5681999999999999E-2</v>
      </c>
      <c r="AE842">
        <v>-3.5099999999999902E-2</v>
      </c>
      <c r="AF842">
        <v>3.9698737035475599E-2</v>
      </c>
      <c r="AG842">
        <v>-7.5681999999999999E-2</v>
      </c>
      <c r="AH842">
        <v>0.739884503896447</v>
      </c>
      <c r="AI842">
        <v>95.832080505206406</v>
      </c>
      <c r="AJ842">
        <v>86.928721865596998</v>
      </c>
      <c r="AK842">
        <v>0.744803889592625</v>
      </c>
      <c r="AL842">
        <v>72.013444413702004</v>
      </c>
      <c r="AM842">
        <v>95.610717324554599</v>
      </c>
      <c r="AN842">
        <v>0.99999993154631694</v>
      </c>
    </row>
    <row r="843" spans="1:40" x14ac:dyDescent="0.25">
      <c r="A843" t="str">
        <f>"20190304164349505"</f>
        <v>20190304164349505</v>
      </c>
      <c r="B843" t="str">
        <f>"1551689029500735"</f>
        <v>1551689029500735</v>
      </c>
      <c r="C843" t="s">
        <v>40</v>
      </c>
      <c r="D843">
        <v>4.581086</v>
      </c>
      <c r="E843">
        <v>0.56563560000000002</v>
      </c>
      <c r="F843" t="s">
        <v>43</v>
      </c>
      <c r="G843">
        <v>-294.36070000000001</v>
      </c>
      <c r="H843">
        <v>-0.05</v>
      </c>
      <c r="I843">
        <v>367.20030000000003</v>
      </c>
      <c r="J843">
        <v>-308.36500000000001</v>
      </c>
      <c r="K843">
        <v>1.062208</v>
      </c>
      <c r="L843">
        <v>367.6979</v>
      </c>
      <c r="M843">
        <v>0.99984470000000003</v>
      </c>
      <c r="N843">
        <v>-1.6306580000000001E-2</v>
      </c>
      <c r="O843">
        <v>6.6934669999999998E-3</v>
      </c>
      <c r="P843">
        <v>0.95086579999999998</v>
      </c>
      <c r="Q843">
        <v>0.29316599999999998</v>
      </c>
      <c r="R843">
        <v>9.9539840000000004E-2</v>
      </c>
      <c r="S843">
        <v>3.2451479999999999</v>
      </c>
      <c r="T843">
        <v>-0.25396489999999999</v>
      </c>
      <c r="U843">
        <v>-0.1132813</v>
      </c>
      <c r="V843">
        <v>-9.315996E-2</v>
      </c>
      <c r="W843">
        <v>0.3086469</v>
      </c>
      <c r="X843">
        <v>0.94660359999999999</v>
      </c>
      <c r="Y843">
        <v>4.1410389999999998E-2</v>
      </c>
      <c r="Z843">
        <v>-2.3696979999999999E-3</v>
      </c>
      <c r="AA843">
        <v>0.99913940000000001</v>
      </c>
      <c r="AB843">
        <v>39</v>
      </c>
      <c r="AC843">
        <v>14.004300000000001</v>
      </c>
      <c r="AD843">
        <v>-1.1122080000000001</v>
      </c>
      <c r="AE843">
        <v>-0.49759999999997701</v>
      </c>
      <c r="AF843">
        <v>0.58763685163445301</v>
      </c>
      <c r="AG843">
        <v>-1.1122080000000001</v>
      </c>
      <c r="AH843">
        <v>13.913011047336701</v>
      </c>
      <c r="AI843">
        <v>94.566459074425694</v>
      </c>
      <c r="AJ843">
        <v>87.581464446957995</v>
      </c>
      <c r="AK843">
        <v>13.969760202235999</v>
      </c>
      <c r="AL843">
        <v>72.022295266971696</v>
      </c>
      <c r="AM843">
        <v>95.620662438991801</v>
      </c>
      <c r="AN843">
        <v>1.00000003127988</v>
      </c>
    </row>
    <row r="844" spans="1:40" x14ac:dyDescent="0.25">
      <c r="A844" t="str">
        <f>"20190304164349520"</f>
        <v>20190304164349520</v>
      </c>
      <c r="B844" t="str">
        <f>"1551689029510495"</f>
        <v>1551689029510495</v>
      </c>
      <c r="C844" t="s">
        <v>40</v>
      </c>
      <c r="D844">
        <v>4.5562839999999998</v>
      </c>
      <c r="E844">
        <v>0.56567309999999904</v>
      </c>
      <c r="F844" t="s">
        <v>41</v>
      </c>
      <c r="G844">
        <v>-307.47320000000002</v>
      </c>
      <c r="H844">
        <v>0.99268540000000005</v>
      </c>
      <c r="I844">
        <v>367.66649999999998</v>
      </c>
      <c r="J844">
        <v>-308.09690000000001</v>
      </c>
      <c r="K844">
        <v>1.0619989999999999</v>
      </c>
      <c r="L844">
        <v>367.69970000000001</v>
      </c>
      <c r="M844">
        <v>0.99984709999999999</v>
      </c>
      <c r="N844">
        <v>-1.6160330000000001E-2</v>
      </c>
      <c r="O844">
        <v>6.6938290000000001E-3</v>
      </c>
      <c r="P844">
        <v>0.95076119999999997</v>
      </c>
      <c r="Q844">
        <v>0.29348239999999998</v>
      </c>
      <c r="R844">
        <v>9.9605559999999996E-2</v>
      </c>
      <c r="S844">
        <v>3.2449949999999999</v>
      </c>
      <c r="T844">
        <v>-0.25312040000000002</v>
      </c>
      <c r="U844">
        <v>-0.1135559</v>
      </c>
      <c r="V844">
        <v>-9.3226139999999999E-2</v>
      </c>
      <c r="W844">
        <v>0.30882290000000001</v>
      </c>
      <c r="X844">
        <v>0.94653960000000004</v>
      </c>
      <c r="Y844">
        <v>4.1497720000000002E-2</v>
      </c>
      <c r="Z844">
        <v>-2.3647669999999998E-3</v>
      </c>
      <c r="AA844">
        <v>0.99913580000000002</v>
      </c>
      <c r="AB844">
        <v>39</v>
      </c>
      <c r="AC844">
        <v>0.62369999999998504</v>
      </c>
      <c r="AD844">
        <v>-6.9313599999999906E-2</v>
      </c>
      <c r="AE844">
        <v>-3.3200000000022101E-2</v>
      </c>
      <c r="AF844">
        <v>3.6920048408488303E-2</v>
      </c>
      <c r="AG844">
        <v>-6.9313599999999906E-2</v>
      </c>
      <c r="AH844">
        <v>0.61587882399541305</v>
      </c>
      <c r="AI844">
        <v>96.409877477067695</v>
      </c>
      <c r="AJ844">
        <v>86.569399087886694</v>
      </c>
      <c r="AK844">
        <v>0.62086567868212705</v>
      </c>
      <c r="AL844">
        <v>72.011691874623295</v>
      </c>
      <c r="AM844">
        <v>95.625007581484994</v>
      </c>
      <c r="AN844">
        <v>0.99999995555593302</v>
      </c>
    </row>
    <row r="845" spans="1:40" x14ac:dyDescent="0.25">
      <c r="A845" t="str">
        <f>"20190304164349530"</f>
        <v>20190304164349530</v>
      </c>
      <c r="B845" t="str">
        <f>"1551689029521232"</f>
        <v>1551689029521232</v>
      </c>
      <c r="C845" t="s">
        <v>40</v>
      </c>
      <c r="D845">
        <v>4.6089969999999996</v>
      </c>
      <c r="E845">
        <v>0.56573569999999995</v>
      </c>
      <c r="F845" t="s">
        <v>41</v>
      </c>
      <c r="G845">
        <v>-307.1266</v>
      </c>
      <c r="H845">
        <v>0.98695699999999997</v>
      </c>
      <c r="I845">
        <v>367.66539999999998</v>
      </c>
      <c r="J845">
        <v>-307.8954</v>
      </c>
      <c r="K845">
        <v>1.061858</v>
      </c>
      <c r="L845">
        <v>367.70100000000002</v>
      </c>
      <c r="M845">
        <v>0.99984870000000003</v>
      </c>
      <c r="N845">
        <v>-1.6064189999999999E-2</v>
      </c>
      <c r="O845">
        <v>6.6939529999999999E-3</v>
      </c>
      <c r="P845">
        <v>0.95066700000000004</v>
      </c>
      <c r="Q845">
        <v>0.29373709999999997</v>
      </c>
      <c r="R845">
        <v>9.9754780000000001E-2</v>
      </c>
      <c r="S845">
        <v>3.2448429999999999</v>
      </c>
      <c r="T845">
        <v>-0.25100549999999999</v>
      </c>
      <c r="U845">
        <v>-0.11437990000000001</v>
      </c>
      <c r="V845">
        <v>-9.3375749999999993E-2</v>
      </c>
      <c r="W845">
        <v>0.30898520000000002</v>
      </c>
      <c r="X845">
        <v>0.94647190000000003</v>
      </c>
      <c r="Y845">
        <v>4.1754630000000001E-2</v>
      </c>
      <c r="Z845">
        <v>-2.357685E-3</v>
      </c>
      <c r="AA845">
        <v>0.99912509999999999</v>
      </c>
      <c r="AB845">
        <v>39</v>
      </c>
      <c r="AC845">
        <v>0.76879999999999804</v>
      </c>
      <c r="AD845">
        <v>-7.4900999999999995E-2</v>
      </c>
      <c r="AE845">
        <v>-3.5599999999988002E-2</v>
      </c>
      <c r="AF845">
        <v>4.03638707093174E-2</v>
      </c>
      <c r="AG845">
        <v>-7.4900999999999995E-2</v>
      </c>
      <c r="AH845">
        <v>0.76133347389471395</v>
      </c>
      <c r="AI845">
        <v>95.6109240300203</v>
      </c>
      <c r="AJ845">
        <v>86.965171889472401</v>
      </c>
      <c r="AK845">
        <v>0.76607314293886597</v>
      </c>
      <c r="AL845">
        <v>72.001914881130304</v>
      </c>
      <c r="AM845">
        <v>95.634377003592704</v>
      </c>
      <c r="AN845">
        <v>0.99999997099835503</v>
      </c>
    </row>
    <row r="846" spans="1:40" x14ac:dyDescent="0.25">
      <c r="A846" t="str">
        <f>"20190304164349542"</f>
        <v>20190304164349542</v>
      </c>
      <c r="B846" t="str">
        <f>"1551689029530991"</f>
        <v>1551689029530991</v>
      </c>
      <c r="C846" t="s">
        <v>40</v>
      </c>
      <c r="D846">
        <v>4.5634940000000004</v>
      </c>
      <c r="E846">
        <v>0.5657797</v>
      </c>
      <c r="F846" t="s">
        <v>43</v>
      </c>
      <c r="G846">
        <v>-293.44260000000003</v>
      </c>
      <c r="H846">
        <v>-0.05</v>
      </c>
      <c r="I846">
        <v>367.1891</v>
      </c>
      <c r="J846">
        <v>-307.70699999999999</v>
      </c>
      <c r="K846">
        <v>1.0617379999999901</v>
      </c>
      <c r="L846">
        <v>367.70229999999998</v>
      </c>
      <c r="M846">
        <v>0.99984989999999996</v>
      </c>
      <c r="N846">
        <v>-1.5987620000000001E-2</v>
      </c>
      <c r="O846">
        <v>6.6940350000000001E-3</v>
      </c>
      <c r="P846">
        <v>0.95077330000000004</v>
      </c>
      <c r="Q846">
        <v>0.29340719999999998</v>
      </c>
      <c r="R846">
        <v>9.9712700000000001E-2</v>
      </c>
      <c r="S846">
        <v>3.2448730000000001</v>
      </c>
      <c r="T846">
        <v>-0.24962760000000001</v>
      </c>
      <c r="U846">
        <v>-0.1149292</v>
      </c>
      <c r="V846">
        <v>-9.3333009999999994E-2</v>
      </c>
      <c r="W846">
        <v>0.30858429999999998</v>
      </c>
      <c r="X846">
        <v>0.94660690000000003</v>
      </c>
      <c r="Y846">
        <v>4.1924469999999998E-2</v>
      </c>
      <c r="Z846">
        <v>-2.3527959999999999E-3</v>
      </c>
      <c r="AA846">
        <v>0.99911799999999995</v>
      </c>
      <c r="AB846">
        <v>39</v>
      </c>
      <c r="AC846">
        <v>14.264399999999901</v>
      </c>
      <c r="AD846">
        <v>-1.1117379999999999</v>
      </c>
      <c r="AE846">
        <v>-0.513199999999983</v>
      </c>
      <c r="AF846">
        <v>0.60501676944629401</v>
      </c>
      <c r="AG846">
        <v>-1.1117379999999999</v>
      </c>
      <c r="AH846">
        <v>14.1746543782773</v>
      </c>
      <c r="AI846">
        <v>94.4805447002459</v>
      </c>
      <c r="AJ846">
        <v>87.555927771258894</v>
      </c>
      <c r="AK846">
        <v>14.231051732587099</v>
      </c>
      <c r="AL846">
        <v>72.026064945243107</v>
      </c>
      <c r="AM846">
        <v>95.631016599603299</v>
      </c>
      <c r="AN846">
        <v>0.999999972044879</v>
      </c>
    </row>
    <row r="847" spans="1:40" x14ac:dyDescent="0.25">
      <c r="A847" t="str">
        <f>"20190304164349554"</f>
        <v>20190304164349554</v>
      </c>
      <c r="B847" t="str">
        <f>"1551689029540751"</f>
        <v>1551689029540751</v>
      </c>
      <c r="C847" t="s">
        <v>40</v>
      </c>
      <c r="D847">
        <v>4.5666419999999999</v>
      </c>
      <c r="E847">
        <v>0.56582889999999997</v>
      </c>
      <c r="F847" t="s">
        <v>41</v>
      </c>
      <c r="G847">
        <v>-306.77569999999997</v>
      </c>
      <c r="H847">
        <v>0.98982859999999995</v>
      </c>
      <c r="I847">
        <v>367.66899999999998</v>
      </c>
      <c r="J847">
        <v>-307.50110000000001</v>
      </c>
      <c r="K847">
        <v>1.0616190000000001</v>
      </c>
      <c r="L847">
        <v>367.70370000000003</v>
      </c>
      <c r="M847">
        <v>0.99985109999999999</v>
      </c>
      <c r="N847">
        <v>-1.5908220000000001E-2</v>
      </c>
      <c r="O847">
        <v>6.6941960000000003E-3</v>
      </c>
      <c r="P847">
        <v>0.95076890000000003</v>
      </c>
      <c r="Q847">
        <v>0.29346080000000002</v>
      </c>
      <c r="R847">
        <v>9.9595840000000005E-2</v>
      </c>
      <c r="S847">
        <v>3.2447810000000001</v>
      </c>
      <c r="T847">
        <v>-0.25065470000000001</v>
      </c>
      <c r="U847">
        <v>-0.1152039</v>
      </c>
      <c r="V847">
        <v>-9.3215889999999996E-2</v>
      </c>
      <c r="W847">
        <v>0.30856299999999998</v>
      </c>
      <c r="X847">
        <v>0.94662539999999995</v>
      </c>
      <c r="Y847">
        <v>4.2008610000000002E-2</v>
      </c>
      <c r="Z847">
        <v>-2.364358E-3</v>
      </c>
      <c r="AA847">
        <v>0.99911450000000002</v>
      </c>
      <c r="AB847">
        <v>39</v>
      </c>
      <c r="AC847">
        <v>0.72540000000003502</v>
      </c>
      <c r="AD847">
        <v>-7.1790400000000004E-2</v>
      </c>
      <c r="AE847">
        <v>-3.4699999999986603E-2</v>
      </c>
      <c r="AF847">
        <v>3.9173006412420802E-2</v>
      </c>
      <c r="AG847">
        <v>-7.1790400000000004E-2</v>
      </c>
      <c r="AH847">
        <v>0.718133795884074</v>
      </c>
      <c r="AI847">
        <v>95.700359338070001</v>
      </c>
      <c r="AJ847">
        <v>86.877704708011095</v>
      </c>
      <c r="AK847">
        <v>0.72277557703232997</v>
      </c>
      <c r="AL847">
        <v>72.027348243363605</v>
      </c>
      <c r="AM847">
        <v>95.623886576244004</v>
      </c>
      <c r="AN847">
        <v>0.99999998752132502</v>
      </c>
    </row>
    <row r="848" spans="1:40" x14ac:dyDescent="0.25">
      <c r="A848" t="str">
        <f>"20190304164349565"</f>
        <v>20190304164349565</v>
      </c>
      <c r="B848" t="str">
        <f>"1551689029550511"</f>
        <v>1551689029550511</v>
      </c>
      <c r="C848" t="s">
        <v>40</v>
      </c>
      <c r="D848">
        <v>4.5732720000000002</v>
      </c>
      <c r="E848">
        <v>0.5658976</v>
      </c>
      <c r="F848" t="s">
        <v>41</v>
      </c>
      <c r="G848">
        <v>-306.43180000000001</v>
      </c>
      <c r="H848">
        <v>0.97918150000000004</v>
      </c>
      <c r="I848">
        <v>367.66539999999998</v>
      </c>
      <c r="J848">
        <v>-307.30919999999998</v>
      </c>
      <c r="K848">
        <v>1.0615239999999999</v>
      </c>
      <c r="L848">
        <v>367.70499999999998</v>
      </c>
      <c r="M848">
        <v>0.99985219999999997</v>
      </c>
      <c r="N848">
        <v>-1.5846079999999998E-2</v>
      </c>
      <c r="O848">
        <v>6.6941569999999897E-3</v>
      </c>
      <c r="P848">
        <v>0.95066349999999999</v>
      </c>
      <c r="Q848">
        <v>0.29377170000000002</v>
      </c>
      <c r="R848">
        <v>9.9685389999999999E-2</v>
      </c>
      <c r="S848">
        <v>3.2446899999999999</v>
      </c>
      <c r="T848">
        <v>-0.25025249999999999</v>
      </c>
      <c r="U848">
        <v>-0.1157837</v>
      </c>
      <c r="V848">
        <v>-9.3305860000000004E-2</v>
      </c>
      <c r="W848">
        <v>0.30881340000000002</v>
      </c>
      <c r="X848">
        <v>0.94653489999999996</v>
      </c>
      <c r="Y848">
        <v>4.2187799999999998E-2</v>
      </c>
      <c r="Z848">
        <v>-2.3684180000000002E-3</v>
      </c>
      <c r="AA848">
        <v>0.99910690000000002</v>
      </c>
      <c r="AB848">
        <v>39</v>
      </c>
      <c r="AC848">
        <v>0.87739999999996499</v>
      </c>
      <c r="AD848">
        <v>-8.2342499999999805E-2</v>
      </c>
      <c r="AE848">
        <v>-3.9600000000007102E-2</v>
      </c>
      <c r="AF848">
        <v>4.5077092840085597E-2</v>
      </c>
      <c r="AG848">
        <v>-8.2342499999999805E-2</v>
      </c>
      <c r="AH848">
        <v>0.86947289583527398</v>
      </c>
      <c r="AI848">
        <v>95.402787221226802</v>
      </c>
      <c r="AJ848">
        <v>87.032205439241395</v>
      </c>
      <c r="AK848">
        <v>0.87452578475270804</v>
      </c>
      <c r="AL848">
        <v>72.012265136873495</v>
      </c>
      <c r="AM848">
        <v>95.6298145537789</v>
      </c>
      <c r="AN848">
        <v>1.00000000822395</v>
      </c>
    </row>
    <row r="849" spans="1:40" x14ac:dyDescent="0.25">
      <c r="A849" t="str">
        <f>"20190304164349578"</f>
        <v>20190304164349578</v>
      </c>
      <c r="B849" t="str">
        <f>"1551689029571007"</f>
        <v>1551689029571007</v>
      </c>
      <c r="C849" t="s">
        <v>40</v>
      </c>
      <c r="D849">
        <v>4.597245</v>
      </c>
      <c r="E849">
        <v>0.56596919999999995</v>
      </c>
      <c r="F849" t="s">
        <v>41</v>
      </c>
      <c r="G849">
        <v>-306.42380000000003</v>
      </c>
      <c r="H849">
        <v>0.99341360000000001</v>
      </c>
      <c r="I849">
        <v>367.67340000000002</v>
      </c>
      <c r="J849">
        <v>-307.08879999999999</v>
      </c>
      <c r="K849">
        <v>1.06142</v>
      </c>
      <c r="L849">
        <v>367.70639999999997</v>
      </c>
      <c r="M849">
        <v>0.99985310000000005</v>
      </c>
      <c r="N849">
        <v>-1.5777759999999998E-2</v>
      </c>
      <c r="O849">
        <v>6.6944040000000002E-3</v>
      </c>
      <c r="P849">
        <v>0.95074780000000003</v>
      </c>
      <c r="Q849">
        <v>0.29362820000000001</v>
      </c>
      <c r="R849">
        <v>9.9302699999999994E-2</v>
      </c>
      <c r="S849">
        <v>3.244904</v>
      </c>
      <c r="T849">
        <v>-0.24968019999999999</v>
      </c>
      <c r="U849">
        <v>-0.1152039</v>
      </c>
      <c r="V849">
        <v>-9.2922459999999998E-2</v>
      </c>
      <c r="W849">
        <v>0.30860609999999999</v>
      </c>
      <c r="X849">
        <v>0.94664020000000004</v>
      </c>
      <c r="Y849">
        <v>4.2008829999999997E-2</v>
      </c>
      <c r="Z849">
        <v>-2.3541410000000001E-3</v>
      </c>
      <c r="AA849">
        <v>0.99911450000000002</v>
      </c>
      <c r="AB849">
        <v>39</v>
      </c>
      <c r="AC849">
        <v>0.66499999999996295</v>
      </c>
      <c r="AD849">
        <v>-6.8006399999999995E-2</v>
      </c>
      <c r="AE849">
        <v>-3.2999999999958597E-2</v>
      </c>
      <c r="AF849">
        <v>3.7064913813800698E-2</v>
      </c>
      <c r="AG849">
        <v>-6.8006399999999995E-2</v>
      </c>
      <c r="AH849">
        <v>0.65790060843559495</v>
      </c>
      <c r="AI849">
        <v>95.892358135341198</v>
      </c>
      <c r="AJ849">
        <v>86.775469510545307</v>
      </c>
      <c r="AK849">
        <v>0.66244387600528798</v>
      </c>
      <c r="AL849">
        <v>72.024752111399593</v>
      </c>
      <c r="AM849">
        <v>95.606209268337807</v>
      </c>
      <c r="AN849">
        <v>0.99999998839284998</v>
      </c>
    </row>
    <row r="850" spans="1:40" x14ac:dyDescent="0.25">
      <c r="A850" t="str">
        <f>"20190304164349590"</f>
        <v>20190304164349590</v>
      </c>
      <c r="B850" t="str">
        <f>"1551689029580767"</f>
        <v>1551689029580767</v>
      </c>
      <c r="C850" t="s">
        <v>40</v>
      </c>
      <c r="D850">
        <v>4.7644520000000004</v>
      </c>
      <c r="E850">
        <v>0.56596919999999995</v>
      </c>
      <c r="F850" t="s">
        <v>41</v>
      </c>
      <c r="G850">
        <v>-306.08080000000001</v>
      </c>
      <c r="H850">
        <v>0.98381819999999998</v>
      </c>
      <c r="I850">
        <v>367.6703</v>
      </c>
      <c r="J850">
        <v>-306.85640000000001</v>
      </c>
      <c r="K850">
        <v>1.0613239999999999</v>
      </c>
      <c r="L850">
        <v>367.70800000000003</v>
      </c>
      <c r="M850">
        <v>0.99985420000000003</v>
      </c>
      <c r="N850">
        <v>-1.5713009999999999E-2</v>
      </c>
      <c r="O850">
        <v>6.6943819999999996E-3</v>
      </c>
      <c r="P850">
        <v>0.95079800000000003</v>
      </c>
      <c r="Q850">
        <v>0.29343570000000002</v>
      </c>
      <c r="R850">
        <v>9.9393010000000004E-2</v>
      </c>
      <c r="S850">
        <v>3.2446899999999999</v>
      </c>
      <c r="T850">
        <v>-0.2498503</v>
      </c>
      <c r="U850">
        <v>-0.1160278</v>
      </c>
      <c r="V850">
        <v>-9.3012639999999994E-2</v>
      </c>
      <c r="W850">
        <v>0.3083534</v>
      </c>
      <c r="X850">
        <v>0.94671369999999999</v>
      </c>
      <c r="Y850">
        <v>4.2263490000000001E-2</v>
      </c>
      <c r="Z850">
        <v>-2.3665800000000001E-3</v>
      </c>
      <c r="AA850">
        <v>0.99910370000000004</v>
      </c>
      <c r="AB850">
        <v>39</v>
      </c>
      <c r="AC850">
        <v>0.77559999999999696</v>
      </c>
      <c r="AD850">
        <v>-7.75058E-2</v>
      </c>
      <c r="AE850">
        <v>-3.77000000000293E-2</v>
      </c>
      <c r="AF850">
        <v>4.24688628069377E-2</v>
      </c>
      <c r="AG850">
        <v>-7.75058E-2</v>
      </c>
      <c r="AH850">
        <v>0.76768218072160299</v>
      </c>
      <c r="AI850">
        <v>95.756349750640695</v>
      </c>
      <c r="AJ850">
        <v>86.8335739306074</v>
      </c>
      <c r="AK850">
        <v>0.77275266673058496</v>
      </c>
      <c r="AL850">
        <v>72.039973285271898</v>
      </c>
      <c r="AM850">
        <v>95.611182420551103</v>
      </c>
      <c r="AN850">
        <v>1.0000000001295</v>
      </c>
    </row>
    <row r="851" spans="1:40" x14ac:dyDescent="0.25">
      <c r="A851" t="str">
        <f>"20190304164349604"</f>
        <v>20190304164349604</v>
      </c>
      <c r="B851" t="str">
        <f>"1551689029590529"</f>
        <v>1551689029590529</v>
      </c>
      <c r="C851" t="s">
        <v>40</v>
      </c>
      <c r="D851">
        <v>4.7937779999999997</v>
      </c>
      <c r="E851">
        <v>0.56148339999999997</v>
      </c>
      <c r="F851" t="s">
        <v>41</v>
      </c>
      <c r="G851">
        <v>-306.06220000000002</v>
      </c>
      <c r="H851">
        <v>0.99999090000000002</v>
      </c>
      <c r="I851">
        <v>367.67970000000003</v>
      </c>
      <c r="J851">
        <v>-306.63470000000001</v>
      </c>
      <c r="K851">
        <v>1.0612440000000001</v>
      </c>
      <c r="L851">
        <v>367.70949999999999</v>
      </c>
      <c r="M851">
        <v>0.9998551</v>
      </c>
      <c r="N851">
        <v>-1.5657310000000001E-2</v>
      </c>
      <c r="O851">
        <v>6.6945249999999998E-3</v>
      </c>
      <c r="P851">
        <v>0.95088229999999996</v>
      </c>
      <c r="Q851">
        <v>0.2932283</v>
      </c>
      <c r="R851">
        <v>9.9198800000000004E-2</v>
      </c>
      <c r="S851">
        <v>3.244659</v>
      </c>
      <c r="T851">
        <v>-0.25066660000000002</v>
      </c>
      <c r="U851">
        <v>-0.115387</v>
      </c>
      <c r="V851">
        <v>-9.2817659999999996E-2</v>
      </c>
      <c r="W851">
        <v>0.30809439999999999</v>
      </c>
      <c r="X851">
        <v>0.94681720000000003</v>
      </c>
      <c r="Y851">
        <v>4.2066630000000001E-2</v>
      </c>
      <c r="Z851">
        <v>-2.3636450000000002E-3</v>
      </c>
      <c r="AA851">
        <v>0.999112</v>
      </c>
      <c r="AB851">
        <v>39</v>
      </c>
      <c r="AC851">
        <v>0.57249999999999002</v>
      </c>
      <c r="AD851">
        <v>-6.1253099999999998E-2</v>
      </c>
      <c r="AE851">
        <v>-2.9799999999966E-2</v>
      </c>
      <c r="AF851">
        <v>3.3252789221986101E-2</v>
      </c>
      <c r="AG851">
        <v>-6.1253099999999998E-2</v>
      </c>
      <c r="AH851">
        <v>0.56582791577771496</v>
      </c>
      <c r="AI851">
        <v>96.167874220949201</v>
      </c>
      <c r="AJ851">
        <v>86.636688354709094</v>
      </c>
      <c r="AK851">
        <v>0.57010430670536505</v>
      </c>
      <c r="AL851">
        <v>72.055573160487896</v>
      </c>
      <c r="AM851">
        <v>95.598886463574303</v>
      </c>
      <c r="AN851">
        <v>1.00000004376753</v>
      </c>
    </row>
    <row r="852" spans="1:40" x14ac:dyDescent="0.25">
      <c r="A852" t="str">
        <f>"20190304164349618"</f>
        <v>20190304164349618</v>
      </c>
      <c r="B852" t="str">
        <f>"1551689029610555"</f>
        <v>1551689029610555</v>
      </c>
      <c r="C852" t="s">
        <v>40</v>
      </c>
      <c r="D852">
        <v>4.7362010000000003</v>
      </c>
      <c r="E852">
        <v>0.54314929999999995</v>
      </c>
      <c r="F852" t="s">
        <v>41</v>
      </c>
      <c r="G852">
        <v>-305.77789999999999</v>
      </c>
      <c r="H852">
        <v>0.89017749999999995</v>
      </c>
      <c r="I852">
        <v>367.6995</v>
      </c>
      <c r="J852">
        <v>-306.39010000000002</v>
      </c>
      <c r="K852">
        <v>1.0611710000000001</v>
      </c>
      <c r="L852">
        <v>367.71109999999999</v>
      </c>
      <c r="M852">
        <v>0.99985590000000002</v>
      </c>
      <c r="N852">
        <v>-1.559991E-2</v>
      </c>
      <c r="O852">
        <v>6.6946200000000001E-3</v>
      </c>
      <c r="P852">
        <v>0.95089509999999999</v>
      </c>
      <c r="Q852">
        <v>0.29316690000000001</v>
      </c>
      <c r="R852">
        <v>9.9255469999999998E-2</v>
      </c>
      <c r="S852">
        <v>3.366333</v>
      </c>
      <c r="T852">
        <v>-0.67218719999999998</v>
      </c>
      <c r="U852">
        <v>-3.8940429999999998E-2</v>
      </c>
      <c r="V852">
        <v>-9.2874150000000003E-2</v>
      </c>
      <c r="W852">
        <v>0.30797869999999999</v>
      </c>
      <c r="X852">
        <v>0.9468493</v>
      </c>
      <c r="Y852">
        <v>1.777053E-2</v>
      </c>
      <c r="Z852">
        <v>-3.1170669999999998E-3</v>
      </c>
      <c r="AA852">
        <v>0.99983719999999998</v>
      </c>
      <c r="AB852">
        <v>39</v>
      </c>
      <c r="AC852">
        <v>0.61220000000002905</v>
      </c>
      <c r="AD852">
        <v>-0.17099349999999899</v>
      </c>
      <c r="AE852">
        <v>-1.15999999999871E-2</v>
      </c>
      <c r="AF852">
        <v>1.4562976807227899E-2</v>
      </c>
      <c r="AG852">
        <v>-0.17099349999999899</v>
      </c>
      <c r="AH852">
        <v>0.56782612160753099</v>
      </c>
      <c r="AI852">
        <v>106.75379576605501</v>
      </c>
      <c r="AJ852">
        <v>88.530863228402794</v>
      </c>
      <c r="AK852">
        <v>0.59319251657079097</v>
      </c>
      <c r="AL852">
        <v>72.062541071326393</v>
      </c>
      <c r="AM852">
        <v>95.602083626296604</v>
      </c>
      <c r="AN852">
        <v>1.0000000421512001</v>
      </c>
    </row>
    <row r="853" spans="1:40" x14ac:dyDescent="0.25">
      <c r="A853" t="str">
        <f>"20190304164349632"</f>
        <v>20190304164349632</v>
      </c>
      <c r="B853" t="str">
        <f>"1551689029620315"</f>
        <v>1551689029620315</v>
      </c>
      <c r="C853" t="s">
        <v>40</v>
      </c>
      <c r="D853">
        <v>4.7408400000000004</v>
      </c>
      <c r="E853">
        <v>0.54181489999999999</v>
      </c>
      <c r="F853" t="s">
        <v>41</v>
      </c>
      <c r="G853">
        <v>-305.50049999999999</v>
      </c>
      <c r="H853">
        <v>0.71735909999999903</v>
      </c>
      <c r="I853">
        <v>367.75450000000001</v>
      </c>
      <c r="J853">
        <v>-306.14179999999999</v>
      </c>
      <c r="K853">
        <v>1.0611010000000001</v>
      </c>
      <c r="L853">
        <v>367.71280000000002</v>
      </c>
      <c r="M853">
        <v>0.99985670000000004</v>
      </c>
      <c r="N853">
        <v>-1.554723E-2</v>
      </c>
      <c r="O853">
        <v>6.6948550000000004E-3</v>
      </c>
      <c r="P853">
        <v>0.95084210000000002</v>
      </c>
      <c r="Q853">
        <v>0.29325420000000002</v>
      </c>
      <c r="R853">
        <v>9.9504659999999995E-2</v>
      </c>
      <c r="S853">
        <v>3.5610050000000002</v>
      </c>
      <c r="T853">
        <v>-1.376258</v>
      </c>
      <c r="U853">
        <v>0.17468259999999999</v>
      </c>
      <c r="V853">
        <v>-9.3123549999999999E-2</v>
      </c>
      <c r="W853">
        <v>0.30801590000000001</v>
      </c>
      <c r="X853">
        <v>0.9468126</v>
      </c>
      <c r="Y853">
        <v>-3.976669E-2</v>
      </c>
      <c r="Z853">
        <v>5.3383170000000004E-3</v>
      </c>
      <c r="AA853">
        <v>0.99919469999999999</v>
      </c>
      <c r="AB853">
        <v>39</v>
      </c>
      <c r="AC853">
        <v>0.64130000000000098</v>
      </c>
      <c r="AD853">
        <v>-0.34374189999999999</v>
      </c>
      <c r="AE853">
        <v>4.1699999999991598E-2</v>
      </c>
      <c r="AF853">
        <v>-2.9084273930765701E-2</v>
      </c>
      <c r="AG853">
        <v>-0.34374189999999999</v>
      </c>
      <c r="AH853">
        <v>0.49884720482766498</v>
      </c>
      <c r="AI853">
        <v>124.52425128815</v>
      </c>
      <c r="AJ853">
        <v>93.336736785399793</v>
      </c>
      <c r="AK853">
        <v>0.60650879842757799</v>
      </c>
      <c r="AL853">
        <v>72.060298956135199</v>
      </c>
      <c r="AM853">
        <v>95.617247462047601</v>
      </c>
      <c r="AN853">
        <v>0.99999994486808397</v>
      </c>
    </row>
    <row r="854" spans="1:40" x14ac:dyDescent="0.25">
      <c r="A854" t="str">
        <f>"20190304164349643"</f>
        <v>20190304164349643</v>
      </c>
      <c r="B854" t="str">
        <f>"1551689029631051"</f>
        <v>1551689029631051</v>
      </c>
      <c r="C854" t="s">
        <v>40</v>
      </c>
      <c r="D854">
        <v>5.031955</v>
      </c>
      <c r="E854">
        <v>0.54107209999999994</v>
      </c>
      <c r="F854" t="s">
        <v>41</v>
      </c>
      <c r="G854">
        <v>-305.46969999999999</v>
      </c>
      <c r="H854">
        <v>0.79555799999999999</v>
      </c>
      <c r="I854">
        <v>367.74799999999999</v>
      </c>
      <c r="J854">
        <v>-305.947</v>
      </c>
      <c r="K854">
        <v>1.0610470000000001</v>
      </c>
      <c r="L854">
        <v>367.71409999999997</v>
      </c>
      <c r="M854">
        <v>0.99985729999999995</v>
      </c>
      <c r="N854">
        <v>-1.5510060000000001E-2</v>
      </c>
      <c r="O854">
        <v>6.6949669999999996E-3</v>
      </c>
      <c r="P854">
        <v>0.95084460000000004</v>
      </c>
      <c r="Q854">
        <v>0.29328609999999999</v>
      </c>
      <c r="R854">
        <v>9.9388359999999995E-2</v>
      </c>
      <c r="S854">
        <v>3.5703130000000001</v>
      </c>
      <c r="T854">
        <v>-1.4102650000000001</v>
      </c>
      <c r="U854">
        <v>0.1882935</v>
      </c>
      <c r="V854">
        <v>-9.3007179999999995E-2</v>
      </c>
      <c r="W854">
        <v>0.30801230000000002</v>
      </c>
      <c r="X854">
        <v>0.94682529999999998</v>
      </c>
      <c r="Y854">
        <v>-4.3074649999999999E-2</v>
      </c>
      <c r="Z854">
        <v>6.0939449999999999E-3</v>
      </c>
      <c r="AA854">
        <v>0.99905330000000003</v>
      </c>
      <c r="AB854">
        <v>39</v>
      </c>
      <c r="AC854">
        <v>0.47730000000001299</v>
      </c>
      <c r="AD854">
        <v>-0.26548899999999898</v>
      </c>
      <c r="AE854">
        <v>3.3900000000073698E-2</v>
      </c>
      <c r="AF854">
        <v>-2.3476381063114199E-2</v>
      </c>
      <c r="AG854">
        <v>-0.26548899999999898</v>
      </c>
      <c r="AH854">
        <v>0.36511830426893099</v>
      </c>
      <c r="AI854">
        <v>125.965878291577</v>
      </c>
      <c r="AJ854">
        <v>93.678940421436295</v>
      </c>
      <c r="AK854">
        <v>0.45204748168863801</v>
      </c>
      <c r="AL854">
        <v>72.060517351973303</v>
      </c>
      <c r="AM854">
        <v>95.6101980178601</v>
      </c>
      <c r="AN854">
        <v>1.00000003060146</v>
      </c>
    </row>
    <row r="855" spans="1:40" x14ac:dyDescent="0.25">
      <c r="A855" t="str">
        <f>"20190304164349655"</f>
        <v>20190304164349655</v>
      </c>
      <c r="B855" t="str">
        <f>"1551689029650572"</f>
        <v>1551689029650572</v>
      </c>
      <c r="C855" t="s">
        <v>40</v>
      </c>
      <c r="D855">
        <v>4.7128399999999999</v>
      </c>
      <c r="E855">
        <v>0.54061680000000001</v>
      </c>
      <c r="F855" t="s">
        <v>41</v>
      </c>
      <c r="G855">
        <v>-305.1454</v>
      </c>
      <c r="H855">
        <v>0.74058760000000001</v>
      </c>
      <c r="I855">
        <v>367.75779999999997</v>
      </c>
      <c r="J855">
        <v>-305.74669999999998</v>
      </c>
      <c r="K855">
        <v>1.0609959999999901</v>
      </c>
      <c r="L855">
        <v>367.71539999999999</v>
      </c>
      <c r="M855">
        <v>0.99985800000000002</v>
      </c>
      <c r="N855">
        <v>-1.547304E-2</v>
      </c>
      <c r="O855">
        <v>6.6949590000000003E-3</v>
      </c>
      <c r="P855">
        <v>0.95075050000000005</v>
      </c>
      <c r="Q855">
        <v>0.29361900000000002</v>
      </c>
      <c r="R855">
        <v>9.9305920000000006E-2</v>
      </c>
      <c r="S855">
        <v>3.5755620000000001</v>
      </c>
      <c r="T855">
        <v>-1.429332</v>
      </c>
      <c r="U855">
        <v>0.1951599</v>
      </c>
      <c r="V855">
        <v>-9.2925099999999997E-2</v>
      </c>
      <c r="W855">
        <v>0.3083089</v>
      </c>
      <c r="X855">
        <v>0.94673680000000004</v>
      </c>
      <c r="Y855">
        <v>-4.471435E-2</v>
      </c>
      <c r="Z855">
        <v>6.4845329999999998E-3</v>
      </c>
      <c r="AA855">
        <v>0.99897879999999994</v>
      </c>
      <c r="AB855">
        <v>39</v>
      </c>
      <c r="AC855">
        <v>0.60129999999997996</v>
      </c>
      <c r="AD855">
        <v>-0.32040839999999898</v>
      </c>
      <c r="AE855">
        <v>4.23999999999864E-2</v>
      </c>
      <c r="AF855">
        <v>-2.99195790166287E-2</v>
      </c>
      <c r="AG855">
        <v>-0.32040839999999898</v>
      </c>
      <c r="AH855">
        <v>0.46904817739507498</v>
      </c>
      <c r="AI855">
        <v>124.282953682228</v>
      </c>
      <c r="AJ855">
        <v>93.649830212507894</v>
      </c>
      <c r="AK855">
        <v>0.56882591072904998</v>
      </c>
      <c r="AL855">
        <v>72.042653719466102</v>
      </c>
      <c r="AM855">
        <v>95.605799130268593</v>
      </c>
      <c r="AN855">
        <v>1.0000000102517299</v>
      </c>
    </row>
    <row r="856" spans="1:40" x14ac:dyDescent="0.25">
      <c r="A856" t="str">
        <f>"20190304164349666"</f>
        <v>20190304164349666</v>
      </c>
      <c r="B856" t="str">
        <f>"1551689029660331"</f>
        <v>1551689029660331</v>
      </c>
      <c r="C856" t="s">
        <v>40</v>
      </c>
      <c r="D856">
        <v>4.7219249999999997</v>
      </c>
      <c r="E856">
        <v>0.54037060000000003</v>
      </c>
      <c r="F856" t="s">
        <v>43</v>
      </c>
      <c r="G856">
        <v>-302.9862</v>
      </c>
      <c r="H856">
        <v>-0.05</v>
      </c>
      <c r="I856">
        <v>367.86939999999998</v>
      </c>
      <c r="J856">
        <v>-305.54070000000002</v>
      </c>
      <c r="K856">
        <v>1.060951</v>
      </c>
      <c r="L856">
        <v>367.71679999999998</v>
      </c>
      <c r="M856">
        <v>0.99985840000000004</v>
      </c>
      <c r="N856">
        <v>-1.5439100000000001E-2</v>
      </c>
      <c r="O856">
        <v>6.6950439999999998E-3</v>
      </c>
      <c r="P856">
        <v>0.95075180000000004</v>
      </c>
      <c r="Q856">
        <v>0.29361530000000002</v>
      </c>
      <c r="R856">
        <v>9.930427E-2</v>
      </c>
      <c r="S856">
        <v>3.579437</v>
      </c>
      <c r="T856">
        <v>-1.4406099999999999</v>
      </c>
      <c r="U856">
        <v>0.19967650000000001</v>
      </c>
      <c r="V856">
        <v>-9.2924010000000001E-2</v>
      </c>
      <c r="W856">
        <v>0.30827270000000001</v>
      </c>
      <c r="X856">
        <v>0.9467487</v>
      </c>
      <c r="Y856">
        <v>-4.5786319999999998E-2</v>
      </c>
      <c r="Z856">
        <v>6.7375389999999999E-3</v>
      </c>
      <c r="AA856">
        <v>0.9989285</v>
      </c>
      <c r="AB856">
        <v>39</v>
      </c>
      <c r="AC856">
        <v>2.5545000000000102</v>
      </c>
      <c r="AD856">
        <v>-1.110951</v>
      </c>
      <c r="AE856">
        <v>0.15260000000000601</v>
      </c>
      <c r="AF856">
        <v>-0.11400591481667099</v>
      </c>
      <c r="AG856">
        <v>-1.110951</v>
      </c>
      <c r="AH856">
        <v>2.1502226080767599</v>
      </c>
      <c r="AI856">
        <v>117.291164150988</v>
      </c>
      <c r="AJ856">
        <v>93.035010011437294</v>
      </c>
      <c r="AK856">
        <v>2.4229458799772199</v>
      </c>
      <c r="AL856">
        <v>72.044834114171806</v>
      </c>
      <c r="AM856">
        <v>95.605663782200196</v>
      </c>
      <c r="AN856">
        <v>1.00000001507572</v>
      </c>
    </row>
    <row r="857" spans="1:40" x14ac:dyDescent="0.25">
      <c r="A857" t="str">
        <f>"20190304164349677"</f>
        <v>20190304164349677</v>
      </c>
      <c r="B857" t="str">
        <f>"1551689029671067"</f>
        <v>1551689029671067</v>
      </c>
      <c r="C857" t="s">
        <v>40</v>
      </c>
      <c r="D857">
        <v>4.7185180000000004</v>
      </c>
      <c r="E857">
        <v>0.54017669999999995</v>
      </c>
      <c r="F857" t="s">
        <v>41</v>
      </c>
      <c r="G857">
        <v>-304.791</v>
      </c>
      <c r="H857">
        <v>0.75798430000000006</v>
      </c>
      <c r="I857">
        <v>367.75909999999999</v>
      </c>
      <c r="J857">
        <v>-305.35129999999998</v>
      </c>
      <c r="K857">
        <v>1.0609090000000001</v>
      </c>
      <c r="L857">
        <v>367.71800000000002</v>
      </c>
      <c r="M857">
        <v>0.99985889999999999</v>
      </c>
      <c r="N857">
        <v>-1.54091E-2</v>
      </c>
      <c r="O857">
        <v>6.6950990000000004E-3</v>
      </c>
      <c r="P857">
        <v>0.95086040000000005</v>
      </c>
      <c r="Q857">
        <v>0.29336509999999999</v>
      </c>
      <c r="R857">
        <v>9.9002300000000001E-2</v>
      </c>
      <c r="S857">
        <v>3.5809630000000001</v>
      </c>
      <c r="T857">
        <v>-1.4468000000000001</v>
      </c>
      <c r="U857">
        <v>0.20324710000000001</v>
      </c>
      <c r="V857">
        <v>-9.262078E-2</v>
      </c>
      <c r="W857">
        <v>0.30799549999999998</v>
      </c>
      <c r="X857">
        <v>0.94686859999999995</v>
      </c>
      <c r="Y857">
        <v>-4.6661269999999998E-2</v>
      </c>
      <c r="Z857">
        <v>6.9359929999999997E-3</v>
      </c>
      <c r="AA857">
        <v>0.99888670000000002</v>
      </c>
      <c r="AB857">
        <v>39</v>
      </c>
      <c r="AC857">
        <v>0.56029999999998303</v>
      </c>
      <c r="AD857">
        <v>-0.30292469999999999</v>
      </c>
      <c r="AE857">
        <v>4.1099999999971701E-2</v>
      </c>
      <c r="AF857">
        <v>-2.8934959226555802E-2</v>
      </c>
      <c r="AG857">
        <v>-0.30292469999999999</v>
      </c>
      <c r="AH857">
        <v>0.43429717845869198</v>
      </c>
      <c r="AI857">
        <v>124.836474621718</v>
      </c>
      <c r="AJ857">
        <v>93.811686208081895</v>
      </c>
      <c r="AK857">
        <v>0.530296751784049</v>
      </c>
      <c r="AL857">
        <v>72.061528378207697</v>
      </c>
      <c r="AM857">
        <v>95.5867842454618</v>
      </c>
      <c r="AN857">
        <v>0.999999991287009</v>
      </c>
    </row>
    <row r="858" spans="1:40" x14ac:dyDescent="0.25">
      <c r="A858" t="str">
        <f>"20190304164349688"</f>
        <v>20190304164349688</v>
      </c>
      <c r="B858" t="str">
        <f>"1551689029680827"</f>
        <v>1551689029680827</v>
      </c>
      <c r="C858" t="s">
        <v>40</v>
      </c>
      <c r="D858">
        <v>4.7466530000000002</v>
      </c>
      <c r="E858">
        <v>0.54005110000000001</v>
      </c>
      <c r="F858" t="s">
        <v>43</v>
      </c>
      <c r="G858">
        <v>-302.61189999999999</v>
      </c>
      <c r="H858">
        <v>-0.05</v>
      </c>
      <c r="I858">
        <v>367.87380000000002</v>
      </c>
      <c r="J858">
        <v>-305.15190000000001</v>
      </c>
      <c r="K858">
        <v>1.060875</v>
      </c>
      <c r="L858">
        <v>367.71940000000001</v>
      </c>
      <c r="M858">
        <v>0.99985939999999995</v>
      </c>
      <c r="N858">
        <v>-1.537994E-2</v>
      </c>
      <c r="O858">
        <v>6.6951469999999898E-3</v>
      </c>
      <c r="P858">
        <v>0.95095989999999997</v>
      </c>
      <c r="Q858">
        <v>0.29293000000000002</v>
      </c>
      <c r="R858">
        <v>9.9333240000000003E-2</v>
      </c>
      <c r="S858">
        <v>3.582001</v>
      </c>
      <c r="T858">
        <v>-1.452591</v>
      </c>
      <c r="U858">
        <v>0.20373540000000001</v>
      </c>
      <c r="V858">
        <v>-9.2950920000000006E-2</v>
      </c>
      <c r="W858">
        <v>0.307535</v>
      </c>
      <c r="X858">
        <v>0.94698590000000005</v>
      </c>
      <c r="Y858">
        <v>-4.6750489999999999E-2</v>
      </c>
      <c r="Z858">
        <v>6.9754709999999996E-3</v>
      </c>
      <c r="AA858">
        <v>0.99888220000000005</v>
      </c>
      <c r="AB858">
        <v>39</v>
      </c>
      <c r="AC858">
        <v>2.54000000000002</v>
      </c>
      <c r="AD858">
        <v>-1.1108750000000001</v>
      </c>
      <c r="AE858">
        <v>0.154400000000009</v>
      </c>
      <c r="AF858">
        <v>-0.115397263858826</v>
      </c>
      <c r="AG858">
        <v>-1.1108750000000001</v>
      </c>
      <c r="AH858">
        <v>2.1342472253503</v>
      </c>
      <c r="AI858">
        <v>117.462727118225</v>
      </c>
      <c r="AJ858">
        <v>93.094929318921302</v>
      </c>
      <c r="AK858">
        <v>2.40881112025134</v>
      </c>
      <c r="AL858">
        <v>72.089258716537501</v>
      </c>
      <c r="AM858">
        <v>95.605881233429002</v>
      </c>
      <c r="AN858">
        <v>0.99999997227632798</v>
      </c>
    </row>
    <row r="859" spans="1:40" x14ac:dyDescent="0.25">
      <c r="A859" t="str">
        <f>"20190304164349700"</f>
        <v>20190304164349700</v>
      </c>
      <c r="B859" t="str">
        <f>"1551689029690587"</f>
        <v>1551689029690587</v>
      </c>
      <c r="C859" t="s">
        <v>40</v>
      </c>
      <c r="D859">
        <v>4.8851750000000003</v>
      </c>
      <c r="E859">
        <v>0.54004259999999904</v>
      </c>
      <c r="F859" t="s">
        <v>41</v>
      </c>
      <c r="G859">
        <v>-304.43860000000001</v>
      </c>
      <c r="H859">
        <v>0.77068729999999996</v>
      </c>
      <c r="I859">
        <v>367.76029999999997</v>
      </c>
      <c r="J859">
        <v>-304.95389999999998</v>
      </c>
      <c r="K859">
        <v>1.06084</v>
      </c>
      <c r="L859">
        <v>367.72070000000002</v>
      </c>
      <c r="M859">
        <v>0.99985970000000002</v>
      </c>
      <c r="N859">
        <v>-1.5352869999999999E-2</v>
      </c>
      <c r="O859">
        <v>6.6953569999999999E-3</v>
      </c>
      <c r="P859">
        <v>0.9509765</v>
      </c>
      <c r="Q859">
        <v>0.29284450000000001</v>
      </c>
      <c r="R859">
        <v>9.9428059999999999E-2</v>
      </c>
      <c r="S859">
        <v>3.582001</v>
      </c>
      <c r="T859">
        <v>-1.457214</v>
      </c>
      <c r="U859">
        <v>0.206543</v>
      </c>
      <c r="V859">
        <v>-9.3045660000000002E-2</v>
      </c>
      <c r="W859">
        <v>0.30742380000000002</v>
      </c>
      <c r="X859">
        <v>0.94701270000000004</v>
      </c>
      <c r="Y859">
        <v>-4.7453120000000001E-2</v>
      </c>
      <c r="Z859">
        <v>7.1366310000000001E-3</v>
      </c>
      <c r="AA859">
        <v>0.99884799999999996</v>
      </c>
      <c r="AB859">
        <v>39</v>
      </c>
      <c r="AC859">
        <v>0.51529999999996701</v>
      </c>
      <c r="AD859">
        <v>-0.29015269999999899</v>
      </c>
      <c r="AE859">
        <v>3.95999999999503E-2</v>
      </c>
      <c r="AF859">
        <v>-2.7485399846068001E-2</v>
      </c>
      <c r="AG859">
        <v>-0.29015269999999899</v>
      </c>
      <c r="AH859">
        <v>0.39199863776301702</v>
      </c>
      <c r="AI859">
        <v>126.441241718509</v>
      </c>
      <c r="AJ859">
        <v>94.010790187306796</v>
      </c>
      <c r="AK859">
        <v>0.488474122682102</v>
      </c>
      <c r="AL859">
        <v>72.095954353411699</v>
      </c>
      <c r="AM859">
        <v>95.611400773080106</v>
      </c>
      <c r="AN859">
        <v>0.999999970806282</v>
      </c>
    </row>
    <row r="860" spans="1:40" x14ac:dyDescent="0.25">
      <c r="A860" t="str">
        <f>"20190304164349721"</f>
        <v>20190304164349721</v>
      </c>
      <c r="B860" t="str">
        <f>"1551689029710615"</f>
        <v>1551689029710615</v>
      </c>
      <c r="C860" t="s">
        <v>40</v>
      </c>
      <c r="D860">
        <v>4.7391670000000001</v>
      </c>
      <c r="E860">
        <v>0.548788099999999</v>
      </c>
      <c r="F860" t="s">
        <v>41</v>
      </c>
      <c r="G860">
        <v>-304.1114</v>
      </c>
      <c r="H860">
        <v>0.71802509999999997</v>
      </c>
      <c r="I860">
        <v>367.76920000000001</v>
      </c>
      <c r="J860">
        <v>-304.59809999999999</v>
      </c>
      <c r="K860">
        <v>1.0607960000000001</v>
      </c>
      <c r="L860">
        <v>367.72309999999999</v>
      </c>
      <c r="M860">
        <v>0.99986050000000004</v>
      </c>
      <c r="N860">
        <v>-1.530837E-2</v>
      </c>
      <c r="O860">
        <v>6.6954029999999999E-3</v>
      </c>
      <c r="P860">
        <v>0.95108870000000001</v>
      </c>
      <c r="Q860">
        <v>0.29244239999999999</v>
      </c>
      <c r="R860">
        <v>9.9537979999999998E-2</v>
      </c>
      <c r="S860">
        <v>3.5819399999999999</v>
      </c>
      <c r="T860">
        <v>-1.4575659999999999</v>
      </c>
      <c r="U860">
        <v>0.20611570000000001</v>
      </c>
      <c r="V860">
        <v>-9.3154920000000002E-2</v>
      </c>
      <c r="W860">
        <v>0.30698140000000002</v>
      </c>
      <c r="X860">
        <v>0.94714549999999997</v>
      </c>
      <c r="Y860">
        <v>-4.734327E-2</v>
      </c>
      <c r="Z860">
        <v>7.1144930000000004E-3</v>
      </c>
      <c r="AA860">
        <v>0.99885330000000006</v>
      </c>
      <c r="AB860">
        <v>39</v>
      </c>
      <c r="AC860">
        <v>0.48669999999998398</v>
      </c>
      <c r="AD860">
        <v>-0.34277089999999899</v>
      </c>
      <c r="AE860">
        <v>4.6100000000023997E-2</v>
      </c>
      <c r="AF860">
        <v>-2.8720915522403401E-2</v>
      </c>
      <c r="AG860">
        <v>-0.34277089999999899</v>
      </c>
      <c r="AH860">
        <v>0.32649496492534902</v>
      </c>
      <c r="AI860">
        <v>136.28281113230901</v>
      </c>
      <c r="AJ860">
        <v>95.027220495844702</v>
      </c>
      <c r="AK860">
        <v>0.47425282602938601</v>
      </c>
      <c r="AL860">
        <v>72.122590695732299</v>
      </c>
      <c r="AM860">
        <v>95.617165242218604</v>
      </c>
      <c r="AN860">
        <v>1.0000000086181999</v>
      </c>
    </row>
    <row r="861" spans="1:40" x14ac:dyDescent="0.25">
      <c r="A861" t="str">
        <f>"20190304164349733"</f>
        <v>20190304164349733</v>
      </c>
      <c r="B861" t="str">
        <f>"1551689029720376"</f>
        <v>1551689029720376</v>
      </c>
      <c r="C861" t="s">
        <v>40</v>
      </c>
      <c r="D861">
        <v>4.7312510000000003</v>
      </c>
      <c r="E861">
        <v>0.54882159999999902</v>
      </c>
      <c r="F861" t="s">
        <v>41</v>
      </c>
      <c r="G861">
        <v>-303.75369999999998</v>
      </c>
      <c r="H861">
        <v>0.75406269999999997</v>
      </c>
      <c r="I861">
        <v>367.7518</v>
      </c>
      <c r="J861">
        <v>-304.38839999999999</v>
      </c>
      <c r="K861">
        <v>1.0607690000000001</v>
      </c>
      <c r="L861">
        <v>367.72449999999998</v>
      </c>
      <c r="M861">
        <v>0.99986079999999999</v>
      </c>
      <c r="N861">
        <v>-1.528404E-2</v>
      </c>
      <c r="O861">
        <v>6.6954120000000004E-3</v>
      </c>
      <c r="P861">
        <v>0.95107589999999997</v>
      </c>
      <c r="Q861">
        <v>0.29249269999999999</v>
      </c>
      <c r="R861">
        <v>9.9512790000000004E-2</v>
      </c>
      <c r="S861">
        <v>3.5367130000000002</v>
      </c>
      <c r="T861">
        <v>-1.2847390000000001</v>
      </c>
      <c r="U861">
        <v>0.1206055</v>
      </c>
      <c r="V861">
        <v>-9.3129680000000006E-2</v>
      </c>
      <c r="W861">
        <v>0.30700820000000001</v>
      </c>
      <c r="X861">
        <v>0.94713930000000002</v>
      </c>
      <c r="Y861">
        <v>-2.604277E-2</v>
      </c>
      <c r="Z861">
        <v>2.531068E-3</v>
      </c>
      <c r="AA861">
        <v>0.99965760000000004</v>
      </c>
      <c r="AB861">
        <v>39</v>
      </c>
      <c r="AC861">
        <v>0.63470000000000903</v>
      </c>
      <c r="AD861">
        <v>-0.30670629999999999</v>
      </c>
      <c r="AE861">
        <v>2.73000000000252E-2</v>
      </c>
      <c r="AF861">
        <v>-1.8692466865299E-2</v>
      </c>
      <c r="AG861">
        <v>-0.30670629999999999</v>
      </c>
      <c r="AH861">
        <v>0.51486391427869604</v>
      </c>
      <c r="AI861">
        <v>120.76582128043999</v>
      </c>
      <c r="AJ861">
        <v>92.0792470413015</v>
      </c>
      <c r="AK861">
        <v>0.59958570113335796</v>
      </c>
      <c r="AL861">
        <v>72.120977336714205</v>
      </c>
      <c r="AM861">
        <v>95.615689545634396</v>
      </c>
      <c r="AN861">
        <v>1.0000000128843101</v>
      </c>
    </row>
    <row r="862" spans="1:40" x14ac:dyDescent="0.25">
      <c r="A862" t="str">
        <f>"20190304164349744"</f>
        <v>20190304164349744</v>
      </c>
      <c r="B862" t="str">
        <f>"1551689029740872"</f>
        <v>1551689029740872</v>
      </c>
      <c r="C862" t="s">
        <v>40</v>
      </c>
      <c r="D862">
        <v>4.7387449999999998</v>
      </c>
      <c r="E862">
        <v>0.54917299999999902</v>
      </c>
      <c r="F862" t="s">
        <v>41</v>
      </c>
      <c r="G862">
        <v>-303.72539999999998</v>
      </c>
      <c r="H862">
        <v>0.82004149999999998</v>
      </c>
      <c r="I862">
        <v>367.74709999999999</v>
      </c>
      <c r="J862">
        <v>-304.20170000000002</v>
      </c>
      <c r="K862">
        <v>1.060751</v>
      </c>
      <c r="L862">
        <v>367.72579999999999</v>
      </c>
      <c r="M862">
        <v>0.99986109999999995</v>
      </c>
      <c r="N862">
        <v>-1.526449E-2</v>
      </c>
      <c r="O862">
        <v>6.6953840000000004E-3</v>
      </c>
      <c r="P862">
        <v>0.95111820000000002</v>
      </c>
      <c r="Q862">
        <v>0.29231259999999998</v>
      </c>
      <c r="R862">
        <v>9.9636749999999996E-2</v>
      </c>
      <c r="S862">
        <v>3.5366209999999998</v>
      </c>
      <c r="T862">
        <v>-1.284065</v>
      </c>
      <c r="U862">
        <v>0.12048339999999901</v>
      </c>
      <c r="V862">
        <v>-9.3253340000000004E-2</v>
      </c>
      <c r="W862">
        <v>0.30681079999999999</v>
      </c>
      <c r="X862">
        <v>0.94719109999999995</v>
      </c>
      <c r="Y862">
        <v>-2.601262E-2</v>
      </c>
      <c r="Z862">
        <v>2.5241009999999999E-3</v>
      </c>
      <c r="AA862">
        <v>0.99965839999999995</v>
      </c>
      <c r="AB862">
        <v>39</v>
      </c>
      <c r="AC862">
        <v>0.47630000000003703</v>
      </c>
      <c r="AD862">
        <v>-0.24070949999999899</v>
      </c>
      <c r="AE862">
        <v>2.1299999999996499E-2</v>
      </c>
      <c r="AF862">
        <v>-1.4431622318177699E-2</v>
      </c>
      <c r="AG862">
        <v>-0.24070949999999899</v>
      </c>
      <c r="AH862">
        <v>0.379659468648403</v>
      </c>
      <c r="AI862">
        <v>122.35657521997101</v>
      </c>
      <c r="AJ862">
        <v>92.1768801021542</v>
      </c>
      <c r="AK862">
        <v>0.44976732567781302</v>
      </c>
      <c r="AL862">
        <v>72.132861107371596</v>
      </c>
      <c r="AM862">
        <v>95.622792901127099</v>
      </c>
      <c r="AN862">
        <v>1.0000000161685001</v>
      </c>
    </row>
    <row r="863" spans="1:40" x14ac:dyDescent="0.25">
      <c r="A863" t="str">
        <f>"20190304164349755"</f>
        <v>20190304164349755</v>
      </c>
      <c r="B863" t="str">
        <f>"1551689029750632"</f>
        <v>1551689029750632</v>
      </c>
      <c r="C863" t="s">
        <v>40</v>
      </c>
      <c r="D863">
        <v>4.7382330000000001</v>
      </c>
      <c r="E863">
        <v>0.54923279999999997</v>
      </c>
      <c r="F863" t="s">
        <v>41</v>
      </c>
      <c r="G863">
        <v>-303.40109999999999</v>
      </c>
      <c r="H863">
        <v>0.77104499999999998</v>
      </c>
      <c r="I863">
        <v>367.75229999999999</v>
      </c>
      <c r="J863">
        <v>-304.00290000000001</v>
      </c>
      <c r="K863">
        <v>1.060729</v>
      </c>
      <c r="L863">
        <v>367.72710000000001</v>
      </c>
      <c r="M863">
        <v>0.99986140000000001</v>
      </c>
      <c r="N863">
        <v>-1.52441E-2</v>
      </c>
      <c r="O863">
        <v>6.6953630000000002E-3</v>
      </c>
      <c r="P863">
        <v>0.95109949999999999</v>
      </c>
      <c r="Q863">
        <v>0.29234840000000001</v>
      </c>
      <c r="R863">
        <v>9.9710660000000007E-2</v>
      </c>
      <c r="S863">
        <v>3.5348820000000001</v>
      </c>
      <c r="T863">
        <v>-1.2789459999999999</v>
      </c>
      <c r="U863">
        <v>0.117981</v>
      </c>
      <c r="V863">
        <v>-9.3327370000000007E-2</v>
      </c>
      <c r="W863">
        <v>0.30682670000000001</v>
      </c>
      <c r="X863">
        <v>0.94717870000000004</v>
      </c>
      <c r="Y863">
        <v>-2.5373639999999999E-2</v>
      </c>
      <c r="Z863">
        <v>2.3993640000000002E-3</v>
      </c>
      <c r="AA863">
        <v>0.99967519999999999</v>
      </c>
      <c r="AB863">
        <v>39</v>
      </c>
      <c r="AC863">
        <v>0.60180000000002498</v>
      </c>
      <c r="AD863">
        <v>-0.289684</v>
      </c>
      <c r="AE863">
        <v>2.5199999999983898E-2</v>
      </c>
      <c r="AF863">
        <v>-1.7192903941719899E-2</v>
      </c>
      <c r="AG863">
        <v>-0.289684</v>
      </c>
      <c r="AH863">
        <v>0.48887608608163702</v>
      </c>
      <c r="AI863">
        <v>120.633375804539</v>
      </c>
      <c r="AJ863">
        <v>92.014160735747197</v>
      </c>
      <c r="AK863">
        <v>0.56851758402396801</v>
      </c>
      <c r="AL863">
        <v>72.131904669912998</v>
      </c>
      <c r="AM863">
        <v>95.6273011639705</v>
      </c>
      <c r="AN863">
        <v>1.00000005577884</v>
      </c>
    </row>
    <row r="864" spans="1:40" x14ac:dyDescent="0.25">
      <c r="A864" t="str">
        <f>"20190304164349767"</f>
        <v>20190304164349767</v>
      </c>
      <c r="B864" t="str">
        <f>"1551689029760392"</f>
        <v>1551689029760392</v>
      </c>
      <c r="C864" t="s">
        <v>40</v>
      </c>
      <c r="D864">
        <v>4.7464550000000001</v>
      </c>
      <c r="E864">
        <v>0.54921739999999997</v>
      </c>
      <c r="F864" t="s">
        <v>41</v>
      </c>
      <c r="G864">
        <v>-303.07459999999998</v>
      </c>
      <c r="H864">
        <v>0.72514609999999902</v>
      </c>
      <c r="I864">
        <v>367.75790000000001</v>
      </c>
      <c r="J864">
        <v>-303.79599999999999</v>
      </c>
      <c r="K864">
        <v>1.060711</v>
      </c>
      <c r="L864">
        <v>367.7285</v>
      </c>
      <c r="M864">
        <v>0.99986180000000002</v>
      </c>
      <c r="N864">
        <v>-1.5224649999999999E-2</v>
      </c>
      <c r="O864">
        <v>6.6953339999999998E-3</v>
      </c>
      <c r="P864">
        <v>0.95110309999999998</v>
      </c>
      <c r="Q864">
        <v>0.292352</v>
      </c>
      <c r="R864">
        <v>9.966651E-2</v>
      </c>
      <c r="S864">
        <v>3.5346980000000001</v>
      </c>
      <c r="T864">
        <v>-1.277881</v>
      </c>
      <c r="U864">
        <v>0.1174622</v>
      </c>
      <c r="V864">
        <v>-9.3283110000000002E-2</v>
      </c>
      <c r="W864">
        <v>0.30681209999999998</v>
      </c>
      <c r="X864">
        <v>0.94718769999999997</v>
      </c>
      <c r="Y864">
        <v>-2.52397E-2</v>
      </c>
      <c r="Z864">
        <v>2.3729340000000002E-3</v>
      </c>
      <c r="AA864">
        <v>0.99967859999999997</v>
      </c>
      <c r="AB864">
        <v>39</v>
      </c>
      <c r="AC864">
        <v>0.72140000000001603</v>
      </c>
      <c r="AD864">
        <v>-0.3355649</v>
      </c>
      <c r="AE864">
        <v>2.9400000000009599E-2</v>
      </c>
      <c r="AF864">
        <v>-2.0204361228131101E-2</v>
      </c>
      <c r="AG864">
        <v>-0.3355649</v>
      </c>
      <c r="AH864">
        <v>0.59339878928543499</v>
      </c>
      <c r="AI864">
        <v>119.4737845706</v>
      </c>
      <c r="AJ864">
        <v>91.950084179567895</v>
      </c>
      <c r="AK864">
        <v>0.68200743504016703</v>
      </c>
      <c r="AL864">
        <v>72.132782017424603</v>
      </c>
      <c r="AM864">
        <v>95.624596461959698</v>
      </c>
      <c r="AN864">
        <v>0.99999997117448503</v>
      </c>
    </row>
    <row r="865" spans="1:40" x14ac:dyDescent="0.25">
      <c r="A865" t="str">
        <f>"20190304164349778"</f>
        <v>20190304164349778</v>
      </c>
      <c r="B865" t="str">
        <f>"1551689029771128"</f>
        <v>1551689029771128</v>
      </c>
      <c r="C865" t="s">
        <v>40</v>
      </c>
      <c r="D865">
        <v>4.7651659999999998</v>
      </c>
      <c r="E865">
        <v>0.54918239999999996</v>
      </c>
      <c r="F865" t="s">
        <v>41</v>
      </c>
      <c r="G865">
        <v>-303.04750000000001</v>
      </c>
      <c r="H865">
        <v>0.79008869999999998</v>
      </c>
      <c r="I865">
        <v>367.7534</v>
      </c>
      <c r="J865">
        <v>-303.60579999999999</v>
      </c>
      <c r="K865">
        <v>1.0606949999999999</v>
      </c>
      <c r="L865">
        <v>367.72969999999998</v>
      </c>
      <c r="M865">
        <v>0.99986200000000003</v>
      </c>
      <c r="N865">
        <v>-1.520755E-2</v>
      </c>
      <c r="O865">
        <v>6.6953469999999999E-3</v>
      </c>
      <c r="P865">
        <v>0.95105079999999997</v>
      </c>
      <c r="Q865">
        <v>0.2925065</v>
      </c>
      <c r="R865">
        <v>9.9711170000000002E-2</v>
      </c>
      <c r="S865">
        <v>3.5346980000000001</v>
      </c>
      <c r="T865">
        <v>-1.2780290000000001</v>
      </c>
      <c r="U865">
        <v>0.1178284</v>
      </c>
      <c r="V865">
        <v>-9.3328449999999993E-2</v>
      </c>
      <c r="W865">
        <v>0.30694959999999999</v>
      </c>
      <c r="X865">
        <v>0.9471387</v>
      </c>
      <c r="Y865">
        <v>-2.5336580000000001E-2</v>
      </c>
      <c r="Z865">
        <v>2.3905530000000001E-3</v>
      </c>
      <c r="AA865">
        <v>0.99967609999999996</v>
      </c>
      <c r="AB865">
        <v>39</v>
      </c>
      <c r="AC865">
        <v>0.55829999999997404</v>
      </c>
      <c r="AD865">
        <v>-0.27060630000000002</v>
      </c>
      <c r="AE865">
        <v>2.3700000000019299E-2</v>
      </c>
      <c r="AF865">
        <v>-1.61692072966583E-2</v>
      </c>
      <c r="AG865">
        <v>-0.27060630000000002</v>
      </c>
      <c r="AH865">
        <v>0.45236316137777099</v>
      </c>
      <c r="AI865">
        <v>120.871999411115</v>
      </c>
      <c r="AJ865">
        <v>92.047101036357105</v>
      </c>
      <c r="AK865">
        <v>0.52737239464725805</v>
      </c>
      <c r="AL865">
        <v>72.1245047255439</v>
      </c>
      <c r="AM865">
        <v>95.627601998082895</v>
      </c>
      <c r="AN865">
        <v>0.999999986778626</v>
      </c>
    </row>
    <row r="866" spans="1:40" x14ac:dyDescent="0.25">
      <c r="A866" t="str">
        <f>"20190304164349791"</f>
        <v>20190304164349791</v>
      </c>
      <c r="B866" t="str">
        <f>"1551689029780888"</f>
        <v>1551689029780888</v>
      </c>
      <c r="C866" t="s">
        <v>40</v>
      </c>
      <c r="D866">
        <v>5.0525469999999997</v>
      </c>
      <c r="E866">
        <v>0.54924549999999905</v>
      </c>
      <c r="F866" t="s">
        <v>41</v>
      </c>
      <c r="G866">
        <v>-302.72300000000001</v>
      </c>
      <c r="H866">
        <v>0.74161239999999995</v>
      </c>
      <c r="I866">
        <v>367.75889999999998</v>
      </c>
      <c r="J866">
        <v>-303.38170000000002</v>
      </c>
      <c r="K866">
        <v>1.060676</v>
      </c>
      <c r="L866">
        <v>367.7312</v>
      </c>
      <c r="M866">
        <v>0.99986220000000003</v>
      </c>
      <c r="N866">
        <v>-1.518865E-2</v>
      </c>
      <c r="O866">
        <v>6.6954919999999999E-3</v>
      </c>
      <c r="P866">
        <v>0.95101460000000004</v>
      </c>
      <c r="Q866">
        <v>0.29274529999999999</v>
      </c>
      <c r="R866">
        <v>9.9355310000000002E-2</v>
      </c>
      <c r="S866">
        <v>3.5350649999999999</v>
      </c>
      <c r="T866">
        <v>-1.2777419999999999</v>
      </c>
      <c r="U866">
        <v>0.1177063</v>
      </c>
      <c r="V866">
        <v>-9.2972379999999993E-2</v>
      </c>
      <c r="W866">
        <v>0.30716969999999999</v>
      </c>
      <c r="X866">
        <v>0.94710240000000001</v>
      </c>
      <c r="Y866">
        <v>-2.530174E-2</v>
      </c>
      <c r="Z866">
        <v>2.3831120000000002E-3</v>
      </c>
      <c r="AA866">
        <v>0.99967700000000004</v>
      </c>
      <c r="AB866">
        <v>39</v>
      </c>
      <c r="AC866">
        <v>0.65870000000001006</v>
      </c>
      <c r="AD866">
        <v>-0.3190636</v>
      </c>
      <c r="AE866">
        <v>2.76999999999816E-2</v>
      </c>
      <c r="AF866">
        <v>-1.8869142246067502E-2</v>
      </c>
      <c r="AG866">
        <v>-0.3190636</v>
      </c>
      <c r="AH866">
        <v>0.53383854301313705</v>
      </c>
      <c r="AI866">
        <v>120.850086712622</v>
      </c>
      <c r="AJ866">
        <v>92.024342999158407</v>
      </c>
      <c r="AK866">
        <v>0.62220673042040597</v>
      </c>
      <c r="AL866">
        <v>72.111254426930699</v>
      </c>
      <c r="AM866">
        <v>95.606481916792703</v>
      </c>
      <c r="AN866">
        <v>1.00000002206335</v>
      </c>
    </row>
    <row r="867" spans="1:40" x14ac:dyDescent="0.25">
      <c r="A867" t="str">
        <f>"20190304164349804"</f>
        <v>20190304164349804</v>
      </c>
      <c r="B867" t="str">
        <f>"1551689029800916"</f>
        <v>1551689029800916</v>
      </c>
      <c r="C867" t="s">
        <v>40</v>
      </c>
      <c r="D867">
        <v>4.6476550000000003</v>
      </c>
      <c r="E867">
        <v>0.54925819999999903</v>
      </c>
      <c r="F867" t="s">
        <v>41</v>
      </c>
      <c r="G867">
        <v>-302.69310000000002</v>
      </c>
      <c r="H867">
        <v>0.81210550000000004</v>
      </c>
      <c r="I867">
        <v>367.75400000000002</v>
      </c>
      <c r="J867">
        <v>-303.16019999999997</v>
      </c>
      <c r="K867">
        <v>1.0606629999999999</v>
      </c>
      <c r="L867">
        <v>367.73270000000002</v>
      </c>
      <c r="M867">
        <v>0.99986260000000005</v>
      </c>
      <c r="N867">
        <v>-1.5171530000000001E-2</v>
      </c>
      <c r="O867">
        <v>6.6954450000000004E-3</v>
      </c>
      <c r="P867">
        <v>0.95105329999999999</v>
      </c>
      <c r="Q867">
        <v>0.2927633</v>
      </c>
      <c r="R867">
        <v>9.8930879999999999E-2</v>
      </c>
      <c r="S867">
        <v>3.5350039999999998</v>
      </c>
      <c r="T867">
        <v>-1.275965</v>
      </c>
      <c r="U867">
        <v>0.1178589</v>
      </c>
      <c r="V867">
        <v>-9.2547790000000005E-2</v>
      </c>
      <c r="W867">
        <v>0.307172</v>
      </c>
      <c r="X867">
        <v>0.94714319999999996</v>
      </c>
      <c r="Y867">
        <v>-2.5345960000000001E-2</v>
      </c>
      <c r="Z867">
        <v>2.3881689999999999E-3</v>
      </c>
      <c r="AA867">
        <v>0.99967589999999995</v>
      </c>
      <c r="AB867">
        <v>39</v>
      </c>
      <c r="AC867">
        <v>0.46709999999995899</v>
      </c>
      <c r="AD867">
        <v>-0.24855749999999899</v>
      </c>
      <c r="AE867">
        <v>2.1299999999996499E-2</v>
      </c>
      <c r="AF867">
        <v>-1.41681676596429E-2</v>
      </c>
      <c r="AG867">
        <v>-0.24855749999999899</v>
      </c>
      <c r="AH867">
        <v>0.36429261356263098</v>
      </c>
      <c r="AI867">
        <v>124.285631545361</v>
      </c>
      <c r="AJ867">
        <v>92.227240551203096</v>
      </c>
      <c r="AK867">
        <v>0.44123766393789898</v>
      </c>
      <c r="AL867">
        <v>72.111115288034696</v>
      </c>
      <c r="AM867">
        <v>95.580801130843994</v>
      </c>
      <c r="AN867">
        <v>0.99999998616206198</v>
      </c>
    </row>
    <row r="868" spans="1:40" x14ac:dyDescent="0.25">
      <c r="A868" t="str">
        <f>"20190304164349819"</f>
        <v>20190304164349819</v>
      </c>
      <c r="B868" t="str">
        <f>"1551689029810675"</f>
        <v>1551689029810675</v>
      </c>
      <c r="C868" t="s">
        <v>40</v>
      </c>
      <c r="D868">
        <v>4.6545880000000004</v>
      </c>
      <c r="E868">
        <v>0.54916529999999997</v>
      </c>
      <c r="F868" t="s">
        <v>41</v>
      </c>
      <c r="G868">
        <v>-302.36529999999999</v>
      </c>
      <c r="H868">
        <v>0.77359330000000004</v>
      </c>
      <c r="I868">
        <v>367.75920000000002</v>
      </c>
      <c r="J868">
        <v>-302.90010000000001</v>
      </c>
      <c r="K868">
        <v>1.0606450000000001</v>
      </c>
      <c r="L868">
        <v>367.73450000000003</v>
      </c>
      <c r="M868">
        <v>0.9998629</v>
      </c>
      <c r="N868">
        <v>-1.5152479999999999E-2</v>
      </c>
      <c r="O868">
        <v>6.6954120000000004E-3</v>
      </c>
      <c r="P868">
        <v>0.95107609999999998</v>
      </c>
      <c r="Q868">
        <v>0.29274230000000001</v>
      </c>
      <c r="R868">
        <v>9.8774600000000004E-2</v>
      </c>
      <c r="S868">
        <v>3.5350649999999999</v>
      </c>
      <c r="T868">
        <v>-1.2765629999999999</v>
      </c>
      <c r="U868">
        <v>0.1181946</v>
      </c>
      <c r="V868">
        <v>-9.2391390000000004E-2</v>
      </c>
      <c r="W868">
        <v>0.30713299999999999</v>
      </c>
      <c r="X868">
        <v>0.94717119999999999</v>
      </c>
      <c r="Y868">
        <v>-2.5433509999999999E-2</v>
      </c>
      <c r="Z868">
        <v>2.4047000000000001E-3</v>
      </c>
      <c r="AA868">
        <v>0.99967360000000005</v>
      </c>
      <c r="AB868">
        <v>39</v>
      </c>
      <c r="AC868">
        <v>0.53480000000001804</v>
      </c>
      <c r="AD868">
        <v>-0.28705170000000002</v>
      </c>
      <c r="AE868">
        <v>2.4699999999995701E-2</v>
      </c>
      <c r="AF868">
        <v>-1.6402803429842999E-2</v>
      </c>
      <c r="AG868">
        <v>-0.28705170000000002</v>
      </c>
      <c r="AH868">
        <v>0.415503303866672</v>
      </c>
      <c r="AI868">
        <v>124.61791216324799</v>
      </c>
      <c r="AJ868">
        <v>92.260688774277</v>
      </c>
      <c r="AK868">
        <v>0.50528281779352802</v>
      </c>
      <c r="AL868">
        <v>72.113464791637298</v>
      </c>
      <c r="AM868">
        <v>95.571265648872497</v>
      </c>
      <c r="AN868">
        <v>1.00000006537228</v>
      </c>
    </row>
    <row r="869" spans="1:40" x14ac:dyDescent="0.25">
      <c r="A869" t="str">
        <f>"20190304164349833"</f>
        <v>20190304164349833</v>
      </c>
      <c r="B869" t="str">
        <f>"1551689029820436"</f>
        <v>1551689029820436</v>
      </c>
      <c r="C869" t="s">
        <v>40</v>
      </c>
      <c r="D869">
        <v>4.6627169999999998</v>
      </c>
      <c r="E869">
        <v>0.54909739999999996</v>
      </c>
      <c r="F869" t="s">
        <v>41</v>
      </c>
      <c r="G869">
        <v>-302.03230000000002</v>
      </c>
      <c r="H869">
        <v>0.74674079999999998</v>
      </c>
      <c r="I869">
        <v>367.76369999999997</v>
      </c>
      <c r="J869">
        <v>-302.66579999999999</v>
      </c>
      <c r="K869">
        <v>1.0606340000000001</v>
      </c>
      <c r="L869">
        <v>367.73610000000002</v>
      </c>
      <c r="M869">
        <v>0.99986299999999995</v>
      </c>
      <c r="N869">
        <v>-1.513632E-2</v>
      </c>
      <c r="O869">
        <v>6.6955360000000002E-3</v>
      </c>
      <c r="P869">
        <v>0.95091040000000004</v>
      </c>
      <c r="Q869">
        <v>0.29345830000000001</v>
      </c>
      <c r="R869">
        <v>9.8242209999999996E-2</v>
      </c>
      <c r="S869">
        <v>3.5355219999999998</v>
      </c>
      <c r="T869">
        <v>-1.278794</v>
      </c>
      <c r="U869">
        <v>0.1196289</v>
      </c>
      <c r="V869">
        <v>-9.1860150000000002E-2</v>
      </c>
      <c r="W869">
        <v>0.30783129999999997</v>
      </c>
      <c r="X869">
        <v>0.94699610000000001</v>
      </c>
      <c r="Y869">
        <v>-2.5805789999999999E-2</v>
      </c>
      <c r="Z869">
        <v>2.4756919999999998E-3</v>
      </c>
      <c r="AA869">
        <v>0.99966390000000005</v>
      </c>
      <c r="AB869">
        <v>39</v>
      </c>
      <c r="AC869">
        <v>0.63349999999996898</v>
      </c>
      <c r="AD869">
        <v>-0.31389319999999998</v>
      </c>
      <c r="AE869">
        <v>2.75999999999498E-2</v>
      </c>
      <c r="AF869">
        <v>-1.8760173901439699E-2</v>
      </c>
      <c r="AG869">
        <v>-0.31389319999999998</v>
      </c>
      <c r="AH869">
        <v>0.50895371608213003</v>
      </c>
      <c r="AI869">
        <v>121.646507316295</v>
      </c>
      <c r="AJ869">
        <v>92.110982481526506</v>
      </c>
      <c r="AK869">
        <v>0.59825978491359599</v>
      </c>
      <c r="AL869">
        <v>72.071417031985007</v>
      </c>
      <c r="AM869">
        <v>95.540449193864902</v>
      </c>
      <c r="AN869">
        <v>1.0000000049164599</v>
      </c>
    </row>
    <row r="870" spans="1:40" x14ac:dyDescent="0.25">
      <c r="A870" t="str">
        <f>"20190304164349845"</f>
        <v>20190304164349845</v>
      </c>
      <c r="B870" t="str">
        <f>"1551689029840931"</f>
        <v>1551689029840931</v>
      </c>
      <c r="C870" t="s">
        <v>40</v>
      </c>
      <c r="D870">
        <v>4.5026570000000001</v>
      </c>
      <c r="E870">
        <v>0.54909739999999996</v>
      </c>
      <c r="F870" t="s">
        <v>41</v>
      </c>
      <c r="G870">
        <v>-302.0009</v>
      </c>
      <c r="H870">
        <v>0.82039769999999901</v>
      </c>
      <c r="I870">
        <v>367.75810000000001</v>
      </c>
      <c r="J870">
        <v>-302.45479999999998</v>
      </c>
      <c r="K870">
        <v>1.060624</v>
      </c>
      <c r="L870">
        <v>367.73750000000001</v>
      </c>
      <c r="M870">
        <v>0.99986319999999995</v>
      </c>
      <c r="N870">
        <v>-1.5123050000000001E-2</v>
      </c>
      <c r="O870">
        <v>6.695459E-3</v>
      </c>
      <c r="P870">
        <v>0.9509261</v>
      </c>
      <c r="Q870">
        <v>0.2935432</v>
      </c>
      <c r="R870">
        <v>9.7837140000000003E-2</v>
      </c>
      <c r="S870">
        <v>3.5370180000000002</v>
      </c>
      <c r="T870">
        <v>-1.2778719999999999</v>
      </c>
      <c r="U870">
        <v>0.11828610000000001</v>
      </c>
      <c r="V870">
        <v>-9.1455090000000003E-2</v>
      </c>
      <c r="W870">
        <v>0.30790380000000001</v>
      </c>
      <c r="X870">
        <v>0.94701170000000001</v>
      </c>
      <c r="Y870">
        <v>-2.543956E-2</v>
      </c>
      <c r="Z870">
        <v>2.4061500000000001E-3</v>
      </c>
      <c r="AA870">
        <v>0.99967349999999999</v>
      </c>
      <c r="AB870">
        <v>39</v>
      </c>
      <c r="AC870">
        <v>0.45389999999997599</v>
      </c>
      <c r="AD870">
        <v>-0.2402263</v>
      </c>
      <c r="AE870">
        <v>2.06000000000017E-2</v>
      </c>
      <c r="AF870">
        <v>-1.3723893272195E-2</v>
      </c>
      <c r="AG870">
        <v>-0.2402263</v>
      </c>
      <c r="AH870">
        <v>0.35483971717282797</v>
      </c>
      <c r="AI870">
        <v>124.078103302831</v>
      </c>
      <c r="AJ870">
        <v>92.214885768617407</v>
      </c>
      <c r="AK870">
        <v>0.428728638350098</v>
      </c>
      <c r="AL870">
        <v>72.067050412599002</v>
      </c>
      <c r="AM870">
        <v>95.5160791311352</v>
      </c>
      <c r="AN870">
        <v>0.99999997173911803</v>
      </c>
    </row>
    <row r="871" spans="1:40" x14ac:dyDescent="0.25">
      <c r="A871" t="str">
        <f>"20190304164349857"</f>
        <v>20190304164349857</v>
      </c>
      <c r="B871" t="str">
        <f>"1551689029850691"</f>
        <v>1551689029850691</v>
      </c>
      <c r="C871" t="s">
        <v>40</v>
      </c>
      <c r="D871">
        <v>4.4913540000000003</v>
      </c>
      <c r="E871">
        <v>0.54909739999999996</v>
      </c>
      <c r="F871" t="s">
        <v>41</v>
      </c>
      <c r="G871">
        <v>-301.67500000000001</v>
      </c>
      <c r="H871">
        <v>0.778991199999999</v>
      </c>
      <c r="I871">
        <v>367.76310000000001</v>
      </c>
      <c r="J871">
        <v>-302.2484</v>
      </c>
      <c r="K871">
        <v>1.0606120000000001</v>
      </c>
      <c r="L871">
        <v>367.7389</v>
      </c>
      <c r="M871">
        <v>0.99986339999999996</v>
      </c>
      <c r="N871">
        <v>-1.5110480000000001E-2</v>
      </c>
      <c r="O871">
        <v>6.6960980000000002E-3</v>
      </c>
      <c r="P871">
        <v>0.95095669999999999</v>
      </c>
      <c r="Q871">
        <v>0.29350389999999998</v>
      </c>
      <c r="R871">
        <v>9.7657830000000001E-2</v>
      </c>
      <c r="S871">
        <v>3.537201</v>
      </c>
      <c r="T871">
        <v>-1.2775369999999999</v>
      </c>
      <c r="U871">
        <v>0.1167908</v>
      </c>
      <c r="V871">
        <v>-9.1275129999999996E-2</v>
      </c>
      <c r="W871">
        <v>0.30785309999999999</v>
      </c>
      <c r="X871">
        <v>0.94704560000000004</v>
      </c>
      <c r="Y871">
        <v>-2.5042120000000001E-2</v>
      </c>
      <c r="Z871">
        <v>2.3324209999999999E-3</v>
      </c>
      <c r="AA871">
        <v>0.99968369999999995</v>
      </c>
      <c r="AB871">
        <v>38</v>
      </c>
      <c r="AC871">
        <v>0.57339999999999203</v>
      </c>
      <c r="AD871">
        <v>-0.2816208</v>
      </c>
      <c r="AE871">
        <v>2.42000000000075E-2</v>
      </c>
      <c r="AF871">
        <v>-1.6408458547576402E-2</v>
      </c>
      <c r="AG871">
        <v>-0.2816208</v>
      </c>
      <c r="AH871">
        <v>0.46224461937761302</v>
      </c>
      <c r="AI871">
        <v>121.335678752953</v>
      </c>
      <c r="AJ871">
        <v>92.032994665012595</v>
      </c>
      <c r="AK871">
        <v>0.541525253933832</v>
      </c>
      <c r="AL871">
        <v>72.070104594210505</v>
      </c>
      <c r="AM871">
        <v>95.505095806604601</v>
      </c>
      <c r="AN871">
        <v>1.0000000245077401</v>
      </c>
    </row>
    <row r="872" spans="1:40" x14ac:dyDescent="0.25">
      <c r="A872" t="str">
        <f>"20190304164349868"</f>
        <v>20190304164349868</v>
      </c>
      <c r="B872" t="str">
        <f>"1551689029860451"</f>
        <v>1551689029860451</v>
      </c>
      <c r="C872" t="s">
        <v>40</v>
      </c>
      <c r="D872">
        <v>4.489592</v>
      </c>
      <c r="E872">
        <v>0.54909739999999996</v>
      </c>
      <c r="F872" t="s">
        <v>41</v>
      </c>
      <c r="G872">
        <v>-301.34969999999998</v>
      </c>
      <c r="H872">
        <v>0.73595149999999998</v>
      </c>
      <c r="I872">
        <v>367.76850000000002</v>
      </c>
      <c r="J872">
        <v>-302.06020000000001</v>
      </c>
      <c r="K872">
        <v>1.060605</v>
      </c>
      <c r="L872">
        <v>367.74009999999998</v>
      </c>
      <c r="M872">
        <v>0.99986370000000002</v>
      </c>
      <c r="N872">
        <v>-1.509979E-2</v>
      </c>
      <c r="O872">
        <v>6.6985229999999996E-3</v>
      </c>
      <c r="P872">
        <v>0.95100269999999998</v>
      </c>
      <c r="Q872">
        <v>0.29342639999999998</v>
      </c>
      <c r="R872">
        <v>9.7442520000000005E-2</v>
      </c>
      <c r="S872">
        <v>3.5370789999999999</v>
      </c>
      <c r="T872">
        <v>-1.2777670000000001</v>
      </c>
      <c r="U872">
        <v>0.1173096</v>
      </c>
      <c r="V872">
        <v>-9.1057899999999997E-2</v>
      </c>
      <c r="W872">
        <v>0.30776550000000003</v>
      </c>
      <c r="X872">
        <v>0.94709500000000002</v>
      </c>
      <c r="Y872">
        <v>-2.517805E-2</v>
      </c>
      <c r="Z872">
        <v>2.3566609999999999E-3</v>
      </c>
      <c r="AA872">
        <v>0.99968020000000002</v>
      </c>
      <c r="AB872">
        <v>38</v>
      </c>
      <c r="AC872">
        <v>0.710500000000024</v>
      </c>
      <c r="AD872">
        <v>-0.32465349999999998</v>
      </c>
      <c r="AE872">
        <v>2.8400000000033201E-2</v>
      </c>
      <c r="AF872">
        <v>-1.9561721735078801E-2</v>
      </c>
      <c r="AG872">
        <v>-0.32465349999999998</v>
      </c>
      <c r="AH872">
        <v>0.58808356221516001</v>
      </c>
      <c r="AI872">
        <v>118.88763822043001</v>
      </c>
      <c r="AJ872">
        <v>91.905156114411099</v>
      </c>
      <c r="AK872">
        <v>0.67203038039002605</v>
      </c>
      <c r="AL872">
        <v>72.075380143560906</v>
      </c>
      <c r="AM872">
        <v>95.491789457778395</v>
      </c>
      <c r="AN872">
        <v>1.0000000415838199</v>
      </c>
    </row>
    <row r="873" spans="1:40" x14ac:dyDescent="0.25">
      <c r="A873" t="str">
        <f>"20190304164349878"</f>
        <v>20190304164349878</v>
      </c>
      <c r="B873" t="str">
        <f>"1551689029871187"</f>
        <v>1551689029871187</v>
      </c>
      <c r="C873" t="s">
        <v>40</v>
      </c>
      <c r="D873">
        <v>4.4876500000000004</v>
      </c>
      <c r="E873">
        <v>0.54909739999999996</v>
      </c>
      <c r="F873" t="s">
        <v>41</v>
      </c>
      <c r="G873">
        <v>-301.32490000000001</v>
      </c>
      <c r="H873">
        <v>0.79491210000000001</v>
      </c>
      <c r="I873">
        <v>367.76429999999999</v>
      </c>
      <c r="J873">
        <v>-301.87090000000001</v>
      </c>
      <c r="K873">
        <v>1.0605960000000001</v>
      </c>
      <c r="L873">
        <v>367.7414</v>
      </c>
      <c r="M873">
        <v>0.99986379999999997</v>
      </c>
      <c r="N873">
        <v>-1.508954E-2</v>
      </c>
      <c r="O873">
        <v>6.7031640000000002E-3</v>
      </c>
      <c r="P873">
        <v>0.95108630000000005</v>
      </c>
      <c r="Q873">
        <v>0.29329329999999998</v>
      </c>
      <c r="R873">
        <v>9.7025890000000004E-2</v>
      </c>
      <c r="S873">
        <v>3.536896</v>
      </c>
      <c r="T873">
        <v>-1.2781260000000001</v>
      </c>
      <c r="U873">
        <v>0.117218</v>
      </c>
      <c r="V873">
        <v>-9.0637759999999998E-2</v>
      </c>
      <c r="W873">
        <v>0.30762339999999999</v>
      </c>
      <c r="X873">
        <v>0.94718139999999995</v>
      </c>
      <c r="Y873">
        <v>-2.515063E-2</v>
      </c>
      <c r="Z873">
        <v>2.3505370000000002E-3</v>
      </c>
      <c r="AA873">
        <v>0.99968089999999998</v>
      </c>
      <c r="AB873">
        <v>38</v>
      </c>
      <c r="AC873">
        <v>0.54599999999999205</v>
      </c>
      <c r="AD873">
        <v>-0.26568389999999897</v>
      </c>
      <c r="AE873">
        <v>2.2899999999992801E-2</v>
      </c>
      <c r="AF873">
        <v>-1.55610618915662E-2</v>
      </c>
      <c r="AG873">
        <v>-0.26568389999999897</v>
      </c>
      <c r="AH873">
        <v>0.44173165273451898</v>
      </c>
      <c r="AI873">
        <v>121.009533487203</v>
      </c>
      <c r="AJ873">
        <v>92.017547600536105</v>
      </c>
      <c r="AK873">
        <v>0.51571012632483104</v>
      </c>
      <c r="AL873">
        <v>72.083935906642694</v>
      </c>
      <c r="AM873">
        <v>95.466108626883994</v>
      </c>
      <c r="AN873">
        <v>0.99999998213566799</v>
      </c>
    </row>
    <row r="874" spans="1:40" x14ac:dyDescent="0.25">
      <c r="A874" t="str">
        <f>"20190304164349890"</f>
        <v>20190304164349890</v>
      </c>
      <c r="B874" t="str">
        <f>"1551689029880946"</f>
        <v>1551689029880946</v>
      </c>
      <c r="C874" t="s">
        <v>40</v>
      </c>
      <c r="D874">
        <v>4.4809549999999998</v>
      </c>
      <c r="E874">
        <v>0.54909739999999996</v>
      </c>
      <c r="F874" t="s">
        <v>41</v>
      </c>
      <c r="G874">
        <v>-301.00240000000002</v>
      </c>
      <c r="H874">
        <v>0.74655559999999999</v>
      </c>
      <c r="I874">
        <v>367.76960000000003</v>
      </c>
      <c r="J874">
        <v>-301.67680000000001</v>
      </c>
      <c r="K874">
        <v>1.060592</v>
      </c>
      <c r="L874">
        <v>367.74270000000001</v>
      </c>
      <c r="M874">
        <v>0.99986390000000003</v>
      </c>
      <c r="N874">
        <v>-1.5079530000000001E-2</v>
      </c>
      <c r="O874">
        <v>6.7100220000000004E-3</v>
      </c>
      <c r="P874">
        <v>0.95116449999999997</v>
      </c>
      <c r="Q874">
        <v>0.29315419999999998</v>
      </c>
      <c r="R874">
        <v>9.6680039999999995E-2</v>
      </c>
      <c r="S874">
        <v>3.5368040000000001</v>
      </c>
      <c r="T874">
        <v>-1.278705</v>
      </c>
      <c r="U874">
        <v>0.1156311</v>
      </c>
      <c r="V874">
        <v>-9.0286839999999993E-2</v>
      </c>
      <c r="W874">
        <v>0.30747550000000001</v>
      </c>
      <c r="X874">
        <v>0.94726290000000002</v>
      </c>
      <c r="Y874">
        <v>-2.4724070000000001E-2</v>
      </c>
      <c r="Z874">
        <v>2.2709370000000002E-3</v>
      </c>
      <c r="AA874">
        <v>0.99969169999999996</v>
      </c>
      <c r="AB874">
        <v>38</v>
      </c>
      <c r="AC874">
        <v>0.67439999999999101</v>
      </c>
      <c r="AD874">
        <v>-0.31403639999999999</v>
      </c>
      <c r="AE874">
        <v>2.6900000000011901E-2</v>
      </c>
      <c r="AF874">
        <v>-1.839199049329E-2</v>
      </c>
      <c r="AG874">
        <v>-0.31403639999999999</v>
      </c>
      <c r="AH874">
        <v>0.55451855163836405</v>
      </c>
      <c r="AI874">
        <v>119.510354792008</v>
      </c>
      <c r="AJ874">
        <v>91.899661007857404</v>
      </c>
      <c r="AK874">
        <v>0.63753270500451498</v>
      </c>
      <c r="AL874">
        <v>72.092840981758599</v>
      </c>
      <c r="AM874">
        <v>95.444607401197402</v>
      </c>
      <c r="AN874">
        <v>0.99999994914692103</v>
      </c>
    </row>
    <row r="875" spans="1:40" x14ac:dyDescent="0.25">
      <c r="A875" t="str">
        <f>"20190304164349902"</f>
        <v>20190304164349902</v>
      </c>
      <c r="B875" t="str">
        <f>"1551689029890707"</f>
        <v>1551689029890707</v>
      </c>
      <c r="C875" t="s">
        <v>40</v>
      </c>
      <c r="D875">
        <v>4.7574639999999997</v>
      </c>
      <c r="E875">
        <v>0.54889200000000005</v>
      </c>
      <c r="F875" t="s">
        <v>41</v>
      </c>
      <c r="G875">
        <v>-300.97660000000002</v>
      </c>
      <c r="H875">
        <v>0.80730550000000001</v>
      </c>
      <c r="I875">
        <v>367.76530000000002</v>
      </c>
      <c r="J875">
        <v>-301.49040000000002</v>
      </c>
      <c r="K875">
        <v>1.060589</v>
      </c>
      <c r="L875">
        <v>367.74400000000003</v>
      </c>
      <c r="M875">
        <v>0.99986390000000003</v>
      </c>
      <c r="N875">
        <v>-1.507053E-2</v>
      </c>
      <c r="O875">
        <v>6.7204150000000004E-3</v>
      </c>
      <c r="P875">
        <v>0.95122490000000004</v>
      </c>
      <c r="Q875">
        <v>0.2930102</v>
      </c>
      <c r="R875">
        <v>9.6522700000000003E-2</v>
      </c>
      <c r="S875">
        <v>3.5366209999999998</v>
      </c>
      <c r="T875">
        <v>-1.2792269999999999</v>
      </c>
      <c r="U875">
        <v>0.1149597</v>
      </c>
      <c r="V875">
        <v>-9.0122090000000002E-2</v>
      </c>
      <c r="W875">
        <v>0.30732359999999997</v>
      </c>
      <c r="X875">
        <v>0.9473279</v>
      </c>
      <c r="Y875">
        <v>-2.4537719999999999E-2</v>
      </c>
      <c r="Z875">
        <v>2.2340279999999999E-3</v>
      </c>
      <c r="AA875">
        <v>0.99969640000000004</v>
      </c>
      <c r="AB875">
        <v>38</v>
      </c>
      <c r="AC875">
        <v>0.51380000000000303</v>
      </c>
      <c r="AD875">
        <v>-0.25328349999999999</v>
      </c>
      <c r="AE875">
        <v>2.1299999999996499E-2</v>
      </c>
      <c r="AF875">
        <v>-1.43620355245523E-2</v>
      </c>
      <c r="AG875">
        <v>-0.25328349999999999</v>
      </c>
      <c r="AH875">
        <v>0.413595751578204</v>
      </c>
      <c r="AI875">
        <v>121.46767351937901</v>
      </c>
      <c r="AJ875">
        <v>91.988786172776699</v>
      </c>
      <c r="AK875">
        <v>0.485201241919472</v>
      </c>
      <c r="AL875">
        <v>72.101987411353406</v>
      </c>
      <c r="AM875">
        <v>95.434361280930105</v>
      </c>
      <c r="AN875">
        <v>0.99999996817066805</v>
      </c>
    </row>
    <row r="876" spans="1:40" x14ac:dyDescent="0.25">
      <c r="A876" t="str">
        <f>"20190304164349913"</f>
        <v>20190304164349913</v>
      </c>
      <c r="B876" t="str">
        <f>"1551689029900467"</f>
        <v>1551689029900467</v>
      </c>
      <c r="C876" t="s">
        <v>40</v>
      </c>
      <c r="D876">
        <v>4.7489650000000001</v>
      </c>
      <c r="E876">
        <v>0.54908489999999999</v>
      </c>
      <c r="F876" t="s">
        <v>41</v>
      </c>
      <c r="G876">
        <v>-300.65530000000001</v>
      </c>
      <c r="H876">
        <v>0.75761319999999999</v>
      </c>
      <c r="I876">
        <v>367.77109999999999</v>
      </c>
      <c r="J876">
        <v>-301.28410000000002</v>
      </c>
      <c r="K876">
        <v>1.0605819999999999</v>
      </c>
      <c r="L876">
        <v>367.74540000000002</v>
      </c>
      <c r="M876">
        <v>0.99986390000000003</v>
      </c>
      <c r="N876">
        <v>-1.5060860000000001E-2</v>
      </c>
      <c r="O876">
        <v>6.7338729999999996E-3</v>
      </c>
      <c r="P876">
        <v>0.9513547</v>
      </c>
      <c r="Q876">
        <v>0.29267389999999999</v>
      </c>
      <c r="R876">
        <v>9.6261520000000003E-2</v>
      </c>
      <c r="S876">
        <v>3.5373540000000001</v>
      </c>
      <c r="T876">
        <v>-1.283309</v>
      </c>
      <c r="U876">
        <v>0.1159058</v>
      </c>
      <c r="V876">
        <v>-8.9851180000000003E-2</v>
      </c>
      <c r="W876">
        <v>0.30697909999999901</v>
      </c>
      <c r="X876">
        <v>0.94746540000000001</v>
      </c>
      <c r="Y876">
        <v>-2.47636E-2</v>
      </c>
      <c r="Z876">
        <v>2.2762250000000002E-3</v>
      </c>
      <c r="AA876">
        <v>0.99969079999999999</v>
      </c>
      <c r="AB876">
        <v>38</v>
      </c>
      <c r="AC876">
        <v>0.62880000000001202</v>
      </c>
      <c r="AD876">
        <v>-0.30296879999999898</v>
      </c>
      <c r="AE876">
        <v>2.5699999999971999E-2</v>
      </c>
      <c r="AF876">
        <v>-1.7425966733879E-2</v>
      </c>
      <c r="AG876">
        <v>-0.30296879999999898</v>
      </c>
      <c r="AH876">
        <v>0.51061635907109804</v>
      </c>
      <c r="AI876">
        <v>120.667693725937</v>
      </c>
      <c r="AJ876">
        <v>91.954592687677504</v>
      </c>
      <c r="AK876">
        <v>0.59398890919029301</v>
      </c>
      <c r="AL876">
        <v>72.122729802511898</v>
      </c>
      <c r="AM876">
        <v>95.417341147225997</v>
      </c>
      <c r="AN876">
        <v>1.0000000432906799</v>
      </c>
    </row>
    <row r="877" spans="1:40" x14ac:dyDescent="0.25">
      <c r="A877" t="str">
        <f>"20190304164349924"</f>
        <v>20190304164349924</v>
      </c>
      <c r="B877" t="str">
        <f>"1551689029920963"</f>
        <v>1551689029920963</v>
      </c>
      <c r="C877" t="s">
        <v>40</v>
      </c>
      <c r="D877">
        <v>4.4529439999999996</v>
      </c>
      <c r="E877">
        <v>0.54921949999999997</v>
      </c>
      <c r="F877" t="s">
        <v>41</v>
      </c>
      <c r="G877">
        <v>-300.62740000000002</v>
      </c>
      <c r="H877">
        <v>0.82263399999999998</v>
      </c>
      <c r="I877">
        <v>367.76609999999999</v>
      </c>
      <c r="J877">
        <v>-301.1044</v>
      </c>
      <c r="K877">
        <v>1.0605850000000001</v>
      </c>
      <c r="L877">
        <v>367.7466</v>
      </c>
      <c r="M877">
        <v>0.99986410000000003</v>
      </c>
      <c r="N877">
        <v>-1.5053169999999999E-2</v>
      </c>
      <c r="O877">
        <v>6.7517990000000002E-3</v>
      </c>
      <c r="P877">
        <v>0.95147369999999998</v>
      </c>
      <c r="Q877">
        <v>0.29235830000000002</v>
      </c>
      <c r="R877">
        <v>9.604538E-2</v>
      </c>
      <c r="S877">
        <v>3.5361630000000002</v>
      </c>
      <c r="T877">
        <v>-1.281293</v>
      </c>
      <c r="U877">
        <v>0.1127319</v>
      </c>
      <c r="V877">
        <v>-8.9621530000000005E-2</v>
      </c>
      <c r="W877">
        <v>0.3066565</v>
      </c>
      <c r="X877">
        <v>0.94759159999999998</v>
      </c>
      <c r="Y877">
        <v>-2.3920279999999999E-2</v>
      </c>
      <c r="Z877">
        <v>2.1131629999999999E-3</v>
      </c>
      <c r="AA877">
        <v>0.99971160000000003</v>
      </c>
      <c r="AB877">
        <v>38</v>
      </c>
      <c r="AC877">
        <v>0.476999999999975</v>
      </c>
      <c r="AD877">
        <v>-0.237951</v>
      </c>
      <c r="AE877">
        <v>1.9499999999993599E-2</v>
      </c>
      <c r="AF877">
        <v>-1.30391894537857E-2</v>
      </c>
      <c r="AG877">
        <v>-0.237951</v>
      </c>
      <c r="AH877">
        <v>0.382175064271362</v>
      </c>
      <c r="AI877">
        <v>121.89239218425701</v>
      </c>
      <c r="AJ877">
        <v>91.954080496793694</v>
      </c>
      <c r="AK877">
        <v>0.450387032021829</v>
      </c>
      <c r="AL877">
        <v>72.1421499232233</v>
      </c>
      <c r="AM877">
        <v>95.402861675180901</v>
      </c>
      <c r="AN877">
        <v>1.0000000340111701</v>
      </c>
    </row>
    <row r="878" spans="1:40" x14ac:dyDescent="0.25">
      <c r="A878" t="str">
        <f>"20190304164349936"</f>
        <v>20190304164349936</v>
      </c>
      <c r="B878" t="str">
        <f>"1551689029930723"</f>
        <v>1551689029930723</v>
      </c>
      <c r="C878" t="s">
        <v>40</v>
      </c>
      <c r="D878">
        <v>4.7517170000000002</v>
      </c>
      <c r="E878">
        <v>0.54937100000000005</v>
      </c>
      <c r="F878" t="s">
        <v>41</v>
      </c>
      <c r="G878">
        <v>-300.3073</v>
      </c>
      <c r="H878">
        <v>0.77190829999999999</v>
      </c>
      <c r="I878">
        <v>367.7713</v>
      </c>
      <c r="J878">
        <v>-300.90679999999998</v>
      </c>
      <c r="K878">
        <v>1.060586</v>
      </c>
      <c r="L878">
        <v>367.74790000000002</v>
      </c>
      <c r="M878">
        <v>0.99986390000000003</v>
      </c>
      <c r="N878">
        <v>-1.504483E-2</v>
      </c>
      <c r="O878">
        <v>6.7733189999999999E-3</v>
      </c>
      <c r="P878">
        <v>0.95152559999999997</v>
      </c>
      <c r="Q878">
        <v>0.29229339999999998</v>
      </c>
      <c r="R878">
        <v>9.5726549999999994E-2</v>
      </c>
      <c r="S878">
        <v>3.5352480000000002</v>
      </c>
      <c r="T878">
        <v>-1.28027</v>
      </c>
      <c r="U878">
        <v>0.1105042</v>
      </c>
      <c r="V878">
        <v>-8.9286660000000004E-2</v>
      </c>
      <c r="W878">
        <v>0.30658289999999999</v>
      </c>
      <c r="X878">
        <v>0.94764700000000002</v>
      </c>
      <c r="Y878">
        <v>-2.3319929999999999E-2</v>
      </c>
      <c r="Z878">
        <v>1.9948560000000001E-3</v>
      </c>
      <c r="AA878">
        <v>0.99972609999999995</v>
      </c>
      <c r="AB878">
        <v>38</v>
      </c>
      <c r="AC878">
        <v>0.59949999999997705</v>
      </c>
      <c r="AD878">
        <v>-0.28867769999999898</v>
      </c>
      <c r="AE878">
        <v>2.3399999999980901E-2</v>
      </c>
      <c r="AF878">
        <v>-1.5702881004461201E-2</v>
      </c>
      <c r="AG878">
        <v>-0.28867769999999898</v>
      </c>
      <c r="AH878">
        <v>0.48691468075234501</v>
      </c>
      <c r="AI878">
        <v>120.649419507307</v>
      </c>
      <c r="AJ878">
        <v>91.847134877364596</v>
      </c>
      <c r="AK878">
        <v>0.56627493435723197</v>
      </c>
      <c r="AL878">
        <v>72.146579840205007</v>
      </c>
      <c r="AM878">
        <v>95.3824798976502</v>
      </c>
      <c r="AN878">
        <v>1.00000000941768</v>
      </c>
    </row>
    <row r="879" spans="1:40" x14ac:dyDescent="0.25">
      <c r="A879" t="str">
        <f>"20190304164349947"</f>
        <v>20190304164349947</v>
      </c>
      <c r="B879" t="str">
        <f>"1551689029940484"</f>
        <v>1551689029940484</v>
      </c>
      <c r="C879" t="s">
        <v>40</v>
      </c>
      <c r="D879">
        <v>4.5939560000000004</v>
      </c>
      <c r="E879">
        <v>0.55027749999999997</v>
      </c>
      <c r="F879" t="s">
        <v>41</v>
      </c>
      <c r="G879">
        <v>-299.98399999999998</v>
      </c>
      <c r="H879">
        <v>0.72700889999999996</v>
      </c>
      <c r="I879">
        <v>367.77589999999998</v>
      </c>
      <c r="J879">
        <v>-300.69970000000001</v>
      </c>
      <c r="K879">
        <v>1.060589</v>
      </c>
      <c r="L879">
        <v>367.74930000000001</v>
      </c>
      <c r="M879">
        <v>0.99986390000000003</v>
      </c>
      <c r="N879">
        <v>-1.503673E-2</v>
      </c>
      <c r="O879">
        <v>6.8015860000000001E-3</v>
      </c>
      <c r="P879">
        <v>0.95154910000000004</v>
      </c>
      <c r="Q879">
        <v>0.29207149999999998</v>
      </c>
      <c r="R879">
        <v>9.6170539999999999E-2</v>
      </c>
      <c r="S879">
        <v>3.5345460000000002</v>
      </c>
      <c r="T879">
        <v>-1.2777799999999999</v>
      </c>
      <c r="U879">
        <v>0.1074219</v>
      </c>
      <c r="V879">
        <v>-8.9708919999999998E-2</v>
      </c>
      <c r="W879">
        <v>0.30635230000000002</v>
      </c>
      <c r="X879">
        <v>0.94768169999999996</v>
      </c>
      <c r="Y879">
        <v>-2.2487300000000002E-2</v>
      </c>
      <c r="Z879">
        <v>1.830094E-3</v>
      </c>
      <c r="AA879">
        <v>0.99974540000000001</v>
      </c>
      <c r="AB879">
        <v>38</v>
      </c>
      <c r="AC879">
        <v>0.71569999999996903</v>
      </c>
      <c r="AD879">
        <v>-0.33358009999999999</v>
      </c>
      <c r="AE879">
        <v>2.6599999999973499E-2</v>
      </c>
      <c r="AF879">
        <v>-1.7857041021475901E-2</v>
      </c>
      <c r="AG879">
        <v>-0.33358009999999999</v>
      </c>
      <c r="AH879">
        <v>0.58824974724242496</v>
      </c>
      <c r="AI879">
        <v>119.545047533545</v>
      </c>
      <c r="AJ879">
        <v>91.738749555054</v>
      </c>
      <c r="AK879">
        <v>0.67648527120760704</v>
      </c>
      <c r="AL879">
        <v>72.160460223549507</v>
      </c>
      <c r="AM879">
        <v>95.4075876655439</v>
      </c>
      <c r="AN879">
        <v>1.00000001327887</v>
      </c>
    </row>
    <row r="880" spans="1:40" x14ac:dyDescent="0.25">
      <c r="A880" t="str">
        <f>"20190304164349958"</f>
        <v>20190304164349958</v>
      </c>
      <c r="B880" t="str">
        <f>"1551689029951220"</f>
        <v>1551689029951220</v>
      </c>
      <c r="C880" t="s">
        <v>40</v>
      </c>
      <c r="D880">
        <v>4.6505789999999996</v>
      </c>
      <c r="E880">
        <v>0.55029259999999902</v>
      </c>
      <c r="F880" t="s">
        <v>41</v>
      </c>
      <c r="G880">
        <v>-299.95600000000002</v>
      </c>
      <c r="H880">
        <v>0.79430749999999894</v>
      </c>
      <c r="I880">
        <v>367.77019999999999</v>
      </c>
      <c r="J880">
        <v>-300.51960000000003</v>
      </c>
      <c r="K880">
        <v>1.060592</v>
      </c>
      <c r="L880">
        <v>367.75060000000002</v>
      </c>
      <c r="M880">
        <v>0.99986370000000002</v>
      </c>
      <c r="N880">
        <v>-1.502994E-2</v>
      </c>
      <c r="O880">
        <v>6.8284510000000001E-3</v>
      </c>
      <c r="P880">
        <v>0.95154589999999994</v>
      </c>
      <c r="Q880">
        <v>0.29197630000000002</v>
      </c>
      <c r="R880">
        <v>9.6490560000000003E-2</v>
      </c>
      <c r="S880">
        <v>3.5307309999999998</v>
      </c>
      <c r="T880">
        <v>-1.2641020000000001</v>
      </c>
      <c r="U880">
        <v>9.9395750000000005E-2</v>
      </c>
      <c r="V880">
        <v>-9.0008039999999997E-2</v>
      </c>
      <c r="W880">
        <v>0.3062493</v>
      </c>
      <c r="X880">
        <v>0.94768660000000005</v>
      </c>
      <c r="Y880">
        <v>-2.0380160000000001E-2</v>
      </c>
      <c r="Z880">
        <v>1.424811E-3</v>
      </c>
      <c r="AA880">
        <v>0.99979130000000005</v>
      </c>
      <c r="AB880">
        <v>38</v>
      </c>
      <c r="AC880">
        <v>0.56360000000006405</v>
      </c>
      <c r="AD880">
        <v>-0.26628449999999998</v>
      </c>
      <c r="AE880">
        <v>1.95999999999685E-2</v>
      </c>
      <c r="AF880">
        <v>-1.28790857942961E-2</v>
      </c>
      <c r="AG880">
        <v>-0.26628449999999998</v>
      </c>
      <c r="AH880">
        <v>0.46094819073036303</v>
      </c>
      <c r="AI880">
        <v>120.00485296081099</v>
      </c>
      <c r="AJ880">
        <v>91.600451725743</v>
      </c>
      <c r="AK880">
        <v>0.532490882859736</v>
      </c>
      <c r="AL880">
        <v>72.166659171233206</v>
      </c>
      <c r="AM880">
        <v>95.425483099086904</v>
      </c>
      <c r="AN880">
        <v>0.999999986417345</v>
      </c>
    </row>
    <row r="881" spans="1:40" x14ac:dyDescent="0.25">
      <c r="A881" t="str">
        <f>"20190304164349969"</f>
        <v>20190304164349969</v>
      </c>
      <c r="B881" t="str">
        <f>"1551689029960979"</f>
        <v>1551689029960979</v>
      </c>
      <c r="C881" t="s">
        <v>40</v>
      </c>
      <c r="D881">
        <v>4.6500719999999998</v>
      </c>
      <c r="E881">
        <v>0.55029790000000001</v>
      </c>
      <c r="F881" t="s">
        <v>41</v>
      </c>
      <c r="G881">
        <v>-299.63569999999999</v>
      </c>
      <c r="H881">
        <v>0.74404079999999995</v>
      </c>
      <c r="I881">
        <v>367.77530000000002</v>
      </c>
      <c r="J881">
        <v>-300.32850000000002</v>
      </c>
      <c r="K881">
        <v>1.060595</v>
      </c>
      <c r="L881">
        <v>367.75200000000001</v>
      </c>
      <c r="M881">
        <v>0.99986359999999996</v>
      </c>
      <c r="N881">
        <v>-1.5023079999999999E-2</v>
      </c>
      <c r="O881">
        <v>6.8600240000000002E-3</v>
      </c>
      <c r="P881">
        <v>0.95150009999999996</v>
      </c>
      <c r="Q881">
        <v>0.29202339999999999</v>
      </c>
      <c r="R881">
        <v>9.6799270000000007E-2</v>
      </c>
      <c r="S881">
        <v>3.5307010000000001</v>
      </c>
      <c r="T881">
        <v>-1.2644629999999999</v>
      </c>
      <c r="U881">
        <v>9.9121089999999995E-2</v>
      </c>
      <c r="V881">
        <v>-9.0292010000000006E-2</v>
      </c>
      <c r="W881">
        <v>0.3062879</v>
      </c>
      <c r="X881">
        <v>0.94764720000000002</v>
      </c>
      <c r="Y881">
        <v>-2.027901E-2</v>
      </c>
      <c r="Z881">
        <v>1.3961679999999999E-3</v>
      </c>
      <c r="AA881">
        <v>0.99979340000000005</v>
      </c>
      <c r="AB881">
        <v>38</v>
      </c>
      <c r="AC881">
        <v>0.69280000000003295</v>
      </c>
      <c r="AD881">
        <v>-0.31655420000000001</v>
      </c>
      <c r="AE881">
        <v>2.3300000000062899E-2</v>
      </c>
      <c r="AF881">
        <v>-1.53460290006076E-2</v>
      </c>
      <c r="AG881">
        <v>-0.31655420000000001</v>
      </c>
      <c r="AH881">
        <v>0.57337243915069902</v>
      </c>
      <c r="AI881">
        <v>118.894047936277</v>
      </c>
      <c r="AJ881">
        <v>91.533127116388897</v>
      </c>
      <c r="AK881">
        <v>0.65513206006220603</v>
      </c>
      <c r="AL881">
        <v>72.164337454873007</v>
      </c>
      <c r="AM881">
        <v>95.442722477604306</v>
      </c>
      <c r="AN881">
        <v>1.00000007021204</v>
      </c>
    </row>
    <row r="882" spans="1:40" x14ac:dyDescent="0.25">
      <c r="A882" t="str">
        <f>"20190304164349983"</f>
        <v>20190304164349983</v>
      </c>
      <c r="B882" t="str">
        <f>"1551689029970739"</f>
        <v>1551689029970739</v>
      </c>
      <c r="C882" t="s">
        <v>40</v>
      </c>
      <c r="D882">
        <v>4.5966719999999999</v>
      </c>
      <c r="E882">
        <v>0.55075169999999996</v>
      </c>
      <c r="F882" t="s">
        <v>41</v>
      </c>
      <c r="G882">
        <v>-299.61059999999998</v>
      </c>
      <c r="H882">
        <v>0.80349720000000002</v>
      </c>
      <c r="I882">
        <v>367.77210000000002</v>
      </c>
      <c r="J882">
        <v>-300.11169999999998</v>
      </c>
      <c r="K882">
        <v>1.0605979999999999</v>
      </c>
      <c r="L882">
        <v>367.75349999999997</v>
      </c>
      <c r="M882">
        <v>0.99986350000000002</v>
      </c>
      <c r="N882">
        <v>-1.50157E-2</v>
      </c>
      <c r="O882">
        <v>6.8991699999999996E-3</v>
      </c>
      <c r="P882">
        <v>0.9513741</v>
      </c>
      <c r="Q882">
        <v>0.29218889999999997</v>
      </c>
      <c r="R882">
        <v>9.7535830000000004E-2</v>
      </c>
      <c r="S882">
        <v>3.5308229999999998</v>
      </c>
      <c r="T882">
        <v>-1.2644930000000001</v>
      </c>
      <c r="U882">
        <v>9.9884029999999999E-2</v>
      </c>
      <c r="V882">
        <v>-9.0996179999999996E-2</v>
      </c>
      <c r="W882">
        <v>0.30644310000000002</v>
      </c>
      <c r="X882">
        <v>0.94752959999999997</v>
      </c>
      <c r="Y882">
        <v>-2.0446209999999999E-2</v>
      </c>
      <c r="Z882">
        <v>1.413332E-3</v>
      </c>
      <c r="AA882">
        <v>0.99978999999999996</v>
      </c>
      <c r="AB882">
        <v>38</v>
      </c>
      <c r="AC882">
        <v>0.50110000000000798</v>
      </c>
      <c r="AD882">
        <v>-0.25710079999999902</v>
      </c>
      <c r="AE882">
        <v>1.8600000000049001E-2</v>
      </c>
      <c r="AF882">
        <v>-1.1990034617588199E-2</v>
      </c>
      <c r="AG882">
        <v>-0.25710079999999902</v>
      </c>
      <c r="AH882">
        <v>0.39688315270833002</v>
      </c>
      <c r="AI882">
        <v>122.92323130298099</v>
      </c>
      <c r="AJ882">
        <v>91.730407284321799</v>
      </c>
      <c r="AK882">
        <v>0.47303363431628698</v>
      </c>
      <c r="AL882">
        <v>72.154994855118005</v>
      </c>
      <c r="AM882">
        <v>95.485587954724593</v>
      </c>
      <c r="AN882">
        <v>1.00000001059418</v>
      </c>
    </row>
    <row r="883" spans="1:40" x14ac:dyDescent="0.25">
      <c r="A883" t="str">
        <f>"20190304164349997"</f>
        <v>20190304164349997</v>
      </c>
      <c r="B883" t="str">
        <f>"1551689029991236"</f>
        <v>1551689029991236</v>
      </c>
      <c r="C883" t="s">
        <v>40</v>
      </c>
      <c r="D883">
        <v>4.6088829999999996</v>
      </c>
      <c r="E883">
        <v>0.55156859999999996</v>
      </c>
      <c r="F883" t="s">
        <v>41</v>
      </c>
      <c r="G883">
        <v>-299.28559999999999</v>
      </c>
      <c r="H883">
        <v>0.76639930000000001</v>
      </c>
      <c r="I883">
        <v>367.77629999999999</v>
      </c>
      <c r="J883">
        <v>-299.87650000000002</v>
      </c>
      <c r="K883">
        <v>1.060602</v>
      </c>
      <c r="L883">
        <v>367.75510000000003</v>
      </c>
      <c r="M883">
        <v>0.99986330000000001</v>
      </c>
      <c r="N883">
        <v>-1.5007990000000001E-2</v>
      </c>
      <c r="O883">
        <v>6.9443939999999996E-3</v>
      </c>
      <c r="P883">
        <v>0.9512815</v>
      </c>
      <c r="Q883">
        <v>0.2922535</v>
      </c>
      <c r="R883">
        <v>9.8242360000000001E-2</v>
      </c>
      <c r="S883">
        <v>3.5292970000000001</v>
      </c>
      <c r="T883">
        <v>-1.256748</v>
      </c>
      <c r="U883">
        <v>9.8114010000000001E-2</v>
      </c>
      <c r="V883">
        <v>-9.1664949999999995E-2</v>
      </c>
      <c r="W883">
        <v>0.30649799999999999</v>
      </c>
      <c r="X883">
        <v>0.94744740000000005</v>
      </c>
      <c r="Y883">
        <v>-1.9956060000000001E-2</v>
      </c>
      <c r="Z883">
        <v>1.3035900000000001E-3</v>
      </c>
      <c r="AA883">
        <v>0.99980000000000002</v>
      </c>
      <c r="AB883">
        <v>38</v>
      </c>
      <c r="AC883">
        <v>0.59090000000003295</v>
      </c>
      <c r="AD883">
        <v>-0.29420269999999998</v>
      </c>
      <c r="AE883">
        <v>2.1199999999964799E-2</v>
      </c>
      <c r="AF883">
        <v>-1.37030520740426E-2</v>
      </c>
      <c r="AG883">
        <v>-0.29420269999999998</v>
      </c>
      <c r="AH883">
        <v>0.47374548147743201</v>
      </c>
      <c r="AI883">
        <v>121.830134245029</v>
      </c>
      <c r="AJ883">
        <v>91.656814115717594</v>
      </c>
      <c r="AK883">
        <v>0.55783311442018002</v>
      </c>
      <c r="AL883">
        <v>72.151690686354598</v>
      </c>
      <c r="AM883">
        <v>95.526131715762403</v>
      </c>
      <c r="AN883">
        <v>1.00000003141463</v>
      </c>
    </row>
    <row r="884" spans="1:40" x14ac:dyDescent="0.25">
      <c r="A884" t="str">
        <f>"20190304164350012"</f>
        <v>20190304164350012</v>
      </c>
      <c r="B884" t="str">
        <f>"1551689030000996"</f>
        <v>1551689030000996</v>
      </c>
      <c r="C884" t="s">
        <v>40</v>
      </c>
      <c r="D884">
        <v>4.6109920000000004</v>
      </c>
      <c r="E884">
        <v>0.5519463</v>
      </c>
      <c r="F884" t="s">
        <v>41</v>
      </c>
      <c r="G884">
        <v>-298.95729999999998</v>
      </c>
      <c r="H884">
        <v>0.73642949999999996</v>
      </c>
      <c r="I884">
        <v>367.77910000000003</v>
      </c>
      <c r="J884">
        <v>-299.6044</v>
      </c>
      <c r="K884">
        <v>1.0606120000000001</v>
      </c>
      <c r="L884">
        <v>367.75709999999998</v>
      </c>
      <c r="M884">
        <v>0.99986299999999995</v>
      </c>
      <c r="N884">
        <v>-1.499961E-2</v>
      </c>
      <c r="O884">
        <v>7.000994E-3</v>
      </c>
      <c r="P884">
        <v>0.95102540000000002</v>
      </c>
      <c r="Q884">
        <v>0.29254390000000002</v>
      </c>
      <c r="R884">
        <v>9.9845059999999999E-2</v>
      </c>
      <c r="S884">
        <v>3.526154</v>
      </c>
      <c r="T884">
        <v>-1.2436119999999999</v>
      </c>
      <c r="U884">
        <v>9.2407230000000007E-2</v>
      </c>
      <c r="V884">
        <v>-9.3219239999999995E-2</v>
      </c>
      <c r="W884">
        <v>0.30677589999999999</v>
      </c>
      <c r="X884">
        <v>0.94720579999999999</v>
      </c>
      <c r="Y884">
        <v>-1.842278E-2</v>
      </c>
      <c r="Z884">
        <v>1.0011620000000001E-3</v>
      </c>
      <c r="AA884">
        <v>0.99982979999999999</v>
      </c>
      <c r="AB884">
        <v>38</v>
      </c>
      <c r="AC884">
        <v>0.64710000000002299</v>
      </c>
      <c r="AD884">
        <v>-0.32418249999999998</v>
      </c>
      <c r="AE884">
        <v>2.20000000000482E-2</v>
      </c>
      <c r="AF884">
        <v>-1.39671916343844E-2</v>
      </c>
      <c r="AG884">
        <v>-0.32418249999999998</v>
      </c>
      <c r="AH884">
        <v>0.51750544410782096</v>
      </c>
      <c r="AI884">
        <v>122.05500372862799</v>
      </c>
      <c r="AJ884">
        <v>91.546006741872503</v>
      </c>
      <c r="AK884">
        <v>0.61082015391572897</v>
      </c>
      <c r="AL884">
        <v>72.134962735519906</v>
      </c>
      <c r="AM884">
        <v>95.620663308162605</v>
      </c>
      <c r="AN884">
        <v>1.00000005354031</v>
      </c>
    </row>
    <row r="885" spans="1:40" x14ac:dyDescent="0.25">
      <c r="A885" t="str">
        <f>"20190304164350027"</f>
        <v>20190304164350027</v>
      </c>
      <c r="B885" t="str">
        <f>"1551689030020515"</f>
        <v>1551689030020515</v>
      </c>
      <c r="C885" t="s">
        <v>40</v>
      </c>
      <c r="D885">
        <v>4.7153179999999999</v>
      </c>
      <c r="E885">
        <v>0.55225800000000003</v>
      </c>
      <c r="F885" t="s">
        <v>41</v>
      </c>
      <c r="G885">
        <v>-298.92149999999998</v>
      </c>
      <c r="H885">
        <v>0.82098289999999996</v>
      </c>
      <c r="I885">
        <v>367.77569999999997</v>
      </c>
      <c r="J885">
        <v>-299.36180000000002</v>
      </c>
      <c r="K885">
        <v>1.060613</v>
      </c>
      <c r="L885">
        <v>367.75889999999998</v>
      </c>
      <c r="M885">
        <v>0.99986280000000005</v>
      </c>
      <c r="N885">
        <v>-1.4992719999999999E-2</v>
      </c>
      <c r="O885">
        <v>7.0546890000000003E-3</v>
      </c>
      <c r="P885">
        <v>0.95079000000000002</v>
      </c>
      <c r="Q885">
        <v>0.2930526</v>
      </c>
      <c r="R885">
        <v>0.10059269999999999</v>
      </c>
      <c r="S885">
        <v>3.5248110000000001</v>
      </c>
      <c r="T885">
        <v>-1.236836</v>
      </c>
      <c r="U885">
        <v>9.6466060000000006E-2</v>
      </c>
      <c r="V885">
        <v>-9.3920569999999995E-2</v>
      </c>
      <c r="W885">
        <v>0.30727369999999998</v>
      </c>
      <c r="X885">
        <v>0.94697509999999996</v>
      </c>
      <c r="Y885">
        <v>-1.9474109999999999E-2</v>
      </c>
      <c r="Z885">
        <v>1.1670949999999999E-3</v>
      </c>
      <c r="AA885">
        <v>0.99980970000000002</v>
      </c>
      <c r="AB885">
        <v>38</v>
      </c>
      <c r="AC885">
        <v>0.440300000000036</v>
      </c>
      <c r="AD885">
        <v>-0.23963010000000001</v>
      </c>
      <c r="AE885">
        <v>1.6799999999989199E-2</v>
      </c>
      <c r="AF885">
        <v>-1.0567506168900301E-2</v>
      </c>
      <c r="AG885">
        <v>-0.23963010000000001</v>
      </c>
      <c r="AH885">
        <v>0.33988107809999901</v>
      </c>
      <c r="AI885">
        <v>125.17237144676101</v>
      </c>
      <c r="AJ885">
        <v>91.780853810640807</v>
      </c>
      <c r="AK885">
        <v>0.41599688011216801</v>
      </c>
      <c r="AL885">
        <v>72.104992806785702</v>
      </c>
      <c r="AM885">
        <v>95.664046816020303</v>
      </c>
      <c r="AN885">
        <v>1.00000002010041</v>
      </c>
    </row>
    <row r="886" spans="1:40" x14ac:dyDescent="0.25">
      <c r="A886" t="str">
        <f>"20190304164350039"</f>
        <v>20190304164350039</v>
      </c>
      <c r="B886" t="str">
        <f>"1551689030031251"</f>
        <v>1551689030031251</v>
      </c>
      <c r="C886" t="s">
        <v>40</v>
      </c>
      <c r="D886">
        <v>4.436445</v>
      </c>
      <c r="E886">
        <v>0.55225800000000003</v>
      </c>
      <c r="F886" t="s">
        <v>41</v>
      </c>
      <c r="G886">
        <v>-298.59359999999998</v>
      </c>
      <c r="H886">
        <v>0.79257540000000004</v>
      </c>
      <c r="I886">
        <v>367.78019999999998</v>
      </c>
      <c r="J886">
        <v>-299.14280000000002</v>
      </c>
      <c r="K886">
        <v>1.0606150000000001</v>
      </c>
      <c r="L886">
        <v>367.7604</v>
      </c>
      <c r="M886">
        <v>0.99986260000000005</v>
      </c>
      <c r="N886">
        <v>-1.498671E-2</v>
      </c>
      <c r="O886">
        <v>7.103954E-3</v>
      </c>
      <c r="P886">
        <v>0.95057400000000003</v>
      </c>
      <c r="Q886">
        <v>0.29360199999999997</v>
      </c>
      <c r="R886">
        <v>0.1010318</v>
      </c>
      <c r="S886">
        <v>3.5238040000000002</v>
      </c>
      <c r="T886">
        <v>-1.229498</v>
      </c>
      <c r="U886">
        <v>9.8419190000000004E-2</v>
      </c>
      <c r="V886">
        <v>-9.4316010000000006E-2</v>
      </c>
      <c r="W886">
        <v>0.30781310000000001</v>
      </c>
      <c r="X886">
        <v>0.94676059999999995</v>
      </c>
      <c r="Y886">
        <v>-1.996728E-2</v>
      </c>
      <c r="Z886">
        <v>1.2334869999999999E-3</v>
      </c>
      <c r="AA886">
        <v>0.99979980000000002</v>
      </c>
      <c r="AB886">
        <v>38</v>
      </c>
      <c r="AC886">
        <v>0.54920000000004099</v>
      </c>
      <c r="AD886">
        <v>-0.26803959999999899</v>
      </c>
      <c r="AE886">
        <v>1.9799999999975101E-2</v>
      </c>
      <c r="AF886">
        <v>-1.2842494310529799E-2</v>
      </c>
      <c r="AG886">
        <v>-0.26803959999999899</v>
      </c>
      <c r="AH886">
        <v>0.44376127866017301</v>
      </c>
      <c r="AI886">
        <v>121.12209993539</v>
      </c>
      <c r="AJ886">
        <v>91.657682716308699</v>
      </c>
      <c r="AK886">
        <v>0.51858868987511397</v>
      </c>
      <c r="AL886">
        <v>72.072513386300002</v>
      </c>
      <c r="AM886">
        <v>95.689018662810199</v>
      </c>
      <c r="AN886">
        <v>1.0000000239931399</v>
      </c>
    </row>
    <row r="887" spans="1:40" x14ac:dyDescent="0.25">
      <c r="A887" t="str">
        <f>"20190304164350050"</f>
        <v>20190304164350050</v>
      </c>
      <c r="B887" t="str">
        <f>"1551689030041012"</f>
        <v>1551689030041012</v>
      </c>
      <c r="C887" t="s">
        <v>40</v>
      </c>
      <c r="D887">
        <v>4.4413489999999998</v>
      </c>
      <c r="E887">
        <v>0.55225800000000003</v>
      </c>
      <c r="F887" t="s">
        <v>41</v>
      </c>
      <c r="G887">
        <v>-298.26909999999998</v>
      </c>
      <c r="H887">
        <v>0.75630500000000001</v>
      </c>
      <c r="I887">
        <v>367.78550000000001</v>
      </c>
      <c r="J887">
        <v>-298.94200000000001</v>
      </c>
      <c r="K887">
        <v>1.060627</v>
      </c>
      <c r="L887">
        <v>367.76190000000003</v>
      </c>
      <c r="M887">
        <v>0.99986229999999998</v>
      </c>
      <c r="N887">
        <v>-1.4981370000000001E-2</v>
      </c>
      <c r="O887">
        <v>7.1501050000000003E-3</v>
      </c>
      <c r="P887">
        <v>0.95040210000000003</v>
      </c>
      <c r="Q887">
        <v>0.29396119999999998</v>
      </c>
      <c r="R887">
        <v>0.1016001</v>
      </c>
      <c r="S887">
        <v>3.5243530000000001</v>
      </c>
      <c r="T887">
        <v>-1.227576</v>
      </c>
      <c r="U887">
        <v>0.1014709</v>
      </c>
      <c r="V887">
        <v>-9.4843250000000004E-2</v>
      </c>
      <c r="W887">
        <v>0.3081642</v>
      </c>
      <c r="X887">
        <v>0.94659360000000003</v>
      </c>
      <c r="Y887">
        <v>-2.0739520000000001E-2</v>
      </c>
      <c r="Z887">
        <v>1.3534339999999999E-3</v>
      </c>
      <c r="AA887">
        <v>0.99978400000000001</v>
      </c>
      <c r="AB887">
        <v>38</v>
      </c>
      <c r="AC887">
        <v>0.67290000000002603</v>
      </c>
      <c r="AD887">
        <v>-0.30432199999999998</v>
      </c>
      <c r="AE887">
        <v>2.35999999999876E-2</v>
      </c>
      <c r="AF887">
        <v>-1.56006144272596E-2</v>
      </c>
      <c r="AG887">
        <v>-0.30432199999999998</v>
      </c>
      <c r="AH887">
        <v>0.558881656349829</v>
      </c>
      <c r="AI887">
        <v>118.559786477963</v>
      </c>
      <c r="AJ887">
        <v>91.598938349734695</v>
      </c>
      <c r="AK887">
        <v>0.63655633266729506</v>
      </c>
      <c r="AL887">
        <v>72.051367264667306</v>
      </c>
      <c r="AM887">
        <v>95.7216132860557</v>
      </c>
      <c r="AN887">
        <v>0.99999992989657804</v>
      </c>
    </row>
    <row r="888" spans="1:40" x14ac:dyDescent="0.25">
      <c r="A888" t="str">
        <f>"20190304164350063"</f>
        <v>20190304164350063</v>
      </c>
      <c r="B888" t="str">
        <f>"1551689030050773"</f>
        <v>1551689030050773</v>
      </c>
      <c r="C888" t="s">
        <v>40</v>
      </c>
      <c r="D888">
        <v>4.7551990000000002</v>
      </c>
      <c r="E888">
        <v>0.55227959999999998</v>
      </c>
      <c r="F888" t="s">
        <v>41</v>
      </c>
      <c r="G888">
        <v>-298.24299999999999</v>
      </c>
      <c r="H888">
        <v>0.8173802</v>
      </c>
      <c r="I888">
        <v>367.78269999999998</v>
      </c>
      <c r="J888">
        <v>-298.73559999999998</v>
      </c>
      <c r="K888">
        <v>1.0606260000000001</v>
      </c>
      <c r="L888">
        <v>367.76339999999999</v>
      </c>
      <c r="M888">
        <v>0.99986209999999998</v>
      </c>
      <c r="N888">
        <v>-1.497618E-2</v>
      </c>
      <c r="O888">
        <v>7.1975030000000001E-3</v>
      </c>
      <c r="P888">
        <v>0.95028159999999895</v>
      </c>
      <c r="Q888">
        <v>0.2941414</v>
      </c>
      <c r="R888">
        <v>0.1022067</v>
      </c>
      <c r="S888">
        <v>3.524689</v>
      </c>
      <c r="T888">
        <v>-1.226518</v>
      </c>
      <c r="U888">
        <v>0.1049805</v>
      </c>
      <c r="V888">
        <v>-9.5406790000000005E-2</v>
      </c>
      <c r="W888">
        <v>0.30833709999999998</v>
      </c>
      <c r="X888">
        <v>0.94648080000000001</v>
      </c>
      <c r="Y888">
        <v>-2.1633280000000001E-2</v>
      </c>
      <c r="Z888">
        <v>1.494942E-3</v>
      </c>
      <c r="AA888">
        <v>0.99976489999999996</v>
      </c>
      <c r="AB888">
        <v>38</v>
      </c>
      <c r="AC888">
        <v>0.492599999999981</v>
      </c>
      <c r="AD888">
        <v>-0.24324580000000001</v>
      </c>
      <c r="AE888">
        <v>1.9299999999986901E-2</v>
      </c>
      <c r="AF888">
        <v>-1.26691291020727E-2</v>
      </c>
      <c r="AG888">
        <v>-0.24324580000000001</v>
      </c>
      <c r="AH888">
        <v>0.39625268478918502</v>
      </c>
      <c r="AI888">
        <v>121.531274156918</v>
      </c>
      <c r="AJ888">
        <v>91.831256835520506</v>
      </c>
      <c r="AK888">
        <v>0.46512924682552698</v>
      </c>
      <c r="AL888">
        <v>72.040956225386907</v>
      </c>
      <c r="AM888">
        <v>95.756063739053005</v>
      </c>
      <c r="AN888">
        <v>1.00000006379157</v>
      </c>
    </row>
    <row r="889" spans="1:40" x14ac:dyDescent="0.25">
      <c r="A889" t="str">
        <f>"20190304164350075"</f>
        <v>20190304164350075</v>
      </c>
      <c r="B889" t="str">
        <f>"1551689030071268"</f>
        <v>1551689030071268</v>
      </c>
      <c r="C889" t="s">
        <v>40</v>
      </c>
      <c r="D889">
        <v>4.7374700000000001</v>
      </c>
      <c r="E889">
        <v>0.55232440000000005</v>
      </c>
      <c r="F889" t="s">
        <v>41</v>
      </c>
      <c r="G889">
        <v>-297.92079999999999</v>
      </c>
      <c r="H889">
        <v>0.77740189999999998</v>
      </c>
      <c r="I889">
        <v>367.78809999999999</v>
      </c>
      <c r="J889">
        <v>-298.54109999999997</v>
      </c>
      <c r="K889">
        <v>1.060627</v>
      </c>
      <c r="L889">
        <v>367.76490000000001</v>
      </c>
      <c r="M889">
        <v>0.99986169999999996</v>
      </c>
      <c r="N889">
        <v>-1.4971399999999999E-2</v>
      </c>
      <c r="O889">
        <v>7.2426290000000004E-3</v>
      </c>
      <c r="P889">
        <v>0.95024310000000001</v>
      </c>
      <c r="Q889">
        <v>0.29400809999999999</v>
      </c>
      <c r="R889">
        <v>0.1029451</v>
      </c>
      <c r="S889">
        <v>3.524597</v>
      </c>
      <c r="T889">
        <v>-1.2251669999999999</v>
      </c>
      <c r="U889">
        <v>0.10772710000000001</v>
      </c>
      <c r="V889">
        <v>-9.6104090000000003E-2</v>
      </c>
      <c r="W889">
        <v>0.30819829999999998</v>
      </c>
      <c r="X889">
        <v>0.94645539999999995</v>
      </c>
      <c r="Y889">
        <v>-2.232899E-2</v>
      </c>
      <c r="Z889">
        <v>1.60182799999999E-3</v>
      </c>
      <c r="AA889">
        <v>0.99974940000000001</v>
      </c>
      <c r="AB889">
        <v>38</v>
      </c>
      <c r="AC889">
        <v>0.62029999999998597</v>
      </c>
      <c r="AD889">
        <v>-0.28322509999999901</v>
      </c>
      <c r="AE889">
        <v>2.31999999999743E-2</v>
      </c>
      <c r="AF889">
        <v>-1.54829433408647E-2</v>
      </c>
      <c r="AG889">
        <v>-0.28322509999999901</v>
      </c>
      <c r="AH889">
        <v>0.51353968160179997</v>
      </c>
      <c r="AI889">
        <v>118.86641112517999</v>
      </c>
      <c r="AJ889">
        <v>91.726913606937003</v>
      </c>
      <c r="AK889">
        <v>0.58666786462544995</v>
      </c>
      <c r="AL889">
        <v>72.049314934361902</v>
      </c>
      <c r="AM889">
        <v>95.798002072732103</v>
      </c>
      <c r="AN889">
        <v>1.00000000621338</v>
      </c>
    </row>
    <row r="890" spans="1:40" x14ac:dyDescent="0.25">
      <c r="A890" t="str">
        <f>"20190304164350088"</f>
        <v>20190304164350088</v>
      </c>
      <c r="B890" t="str">
        <f>"1551689030081027"</f>
        <v>1551689030081027</v>
      </c>
      <c r="C890" t="s">
        <v>40</v>
      </c>
      <c r="D890">
        <v>4.7193120000000004</v>
      </c>
      <c r="E890">
        <v>0.55218639999999997</v>
      </c>
      <c r="F890" t="s">
        <v>41</v>
      </c>
      <c r="G890">
        <v>-297.59989999999999</v>
      </c>
      <c r="H890">
        <v>0.73357329999999998</v>
      </c>
      <c r="I890">
        <v>367.79399999999998</v>
      </c>
      <c r="J890">
        <v>-298.28919999999999</v>
      </c>
      <c r="K890">
        <v>1.060632</v>
      </c>
      <c r="L890">
        <v>367.76679999999999</v>
      </c>
      <c r="M890">
        <v>0.99986140000000001</v>
      </c>
      <c r="N890">
        <v>-1.4965559999999999E-2</v>
      </c>
      <c r="O890">
        <v>7.300646E-3</v>
      </c>
      <c r="P890">
        <v>0.95013060000000005</v>
      </c>
      <c r="Q890">
        <v>0.29395700000000002</v>
      </c>
      <c r="R890">
        <v>0.1041199</v>
      </c>
      <c r="S890">
        <v>3.5241090000000002</v>
      </c>
      <c r="T890">
        <v>-1.224464</v>
      </c>
      <c r="U890">
        <v>0.109191899999999</v>
      </c>
      <c r="V890">
        <v>-9.7226069999999998E-2</v>
      </c>
      <c r="W890">
        <v>0.30814019999999998</v>
      </c>
      <c r="X890">
        <v>0.94635970000000003</v>
      </c>
      <c r="Y890">
        <v>-2.2673240000000001E-2</v>
      </c>
      <c r="Z890">
        <v>1.643177E-3</v>
      </c>
      <c r="AA890">
        <v>0.99974160000000001</v>
      </c>
      <c r="AB890">
        <v>38</v>
      </c>
      <c r="AC890">
        <v>0.68930000000000202</v>
      </c>
      <c r="AD890">
        <v>-0.32705869999999998</v>
      </c>
      <c r="AE890">
        <v>2.7200000000050201E-2</v>
      </c>
      <c r="AF890">
        <v>-1.8098240098399599E-2</v>
      </c>
      <c r="AG890">
        <v>-0.32705869999999998</v>
      </c>
      <c r="AH890">
        <v>0.56294175144474201</v>
      </c>
      <c r="AI890">
        <v>120.142938727287</v>
      </c>
      <c r="AJ890">
        <v>91.841390754413993</v>
      </c>
      <c r="AK890">
        <v>0.65130511671567803</v>
      </c>
      <c r="AL890">
        <v>72.052813756229497</v>
      </c>
      <c r="AM890">
        <v>95.865811401018306</v>
      </c>
      <c r="AN890">
        <v>0.99999998666388701</v>
      </c>
    </row>
    <row r="891" spans="1:40" x14ac:dyDescent="0.25">
      <c r="A891" t="str">
        <f>"20190304164350101"</f>
        <v>20190304164350101</v>
      </c>
      <c r="B891" t="str">
        <f>"1551689030090788"</f>
        <v>1551689030090788</v>
      </c>
      <c r="C891" t="s">
        <v>40</v>
      </c>
      <c r="D891">
        <v>4.8143129999999896</v>
      </c>
      <c r="E891">
        <v>0.55193400000000004</v>
      </c>
      <c r="F891" t="s">
        <v>41</v>
      </c>
      <c r="G891">
        <v>-297.5677</v>
      </c>
      <c r="H891">
        <v>0.80956349999999999</v>
      </c>
      <c r="I891">
        <v>367.78960000000001</v>
      </c>
      <c r="J891">
        <v>-298.08589999999998</v>
      </c>
      <c r="K891">
        <v>1.0606340000000001</v>
      </c>
      <c r="L891">
        <v>367.76819999999998</v>
      </c>
      <c r="M891">
        <v>0.99986109999999995</v>
      </c>
      <c r="N891">
        <v>-1.496102E-2</v>
      </c>
      <c r="O891">
        <v>7.3470799999999998E-3</v>
      </c>
      <c r="P891">
        <v>0.9500478</v>
      </c>
      <c r="Q891">
        <v>0.29405700000000001</v>
      </c>
      <c r="R891">
        <v>0.10459309999999999</v>
      </c>
      <c r="S891">
        <v>3.5247190000000002</v>
      </c>
      <c r="T891">
        <v>-1.226623</v>
      </c>
      <c r="U891">
        <v>0.1116028</v>
      </c>
      <c r="V891">
        <v>-9.7657049999999995E-2</v>
      </c>
      <c r="W891">
        <v>0.3082337</v>
      </c>
      <c r="X891">
        <v>0.94628489999999998</v>
      </c>
      <c r="Y891">
        <v>-2.3267679999999999E-2</v>
      </c>
      <c r="Z891">
        <v>1.7351510000000001E-3</v>
      </c>
      <c r="AA891">
        <v>0.99972780000000006</v>
      </c>
      <c r="AB891">
        <v>38</v>
      </c>
      <c r="AC891">
        <v>0.51819999999997801</v>
      </c>
      <c r="AD891">
        <v>-0.25107049999999997</v>
      </c>
      <c r="AE891">
        <v>2.1400000000028199E-2</v>
      </c>
      <c r="AF891">
        <v>-1.42518767939613E-2</v>
      </c>
      <c r="AG891">
        <v>-0.25107049999999997</v>
      </c>
      <c r="AH891">
        <v>0.41993370198761398</v>
      </c>
      <c r="AI891">
        <v>120.859890181567</v>
      </c>
      <c r="AJ891">
        <v>91.943780862712899</v>
      </c>
      <c r="AK891">
        <v>0.48947300847689501</v>
      </c>
      <c r="AL891">
        <v>72.047182985623493</v>
      </c>
      <c r="AM891">
        <v>95.892093075547194</v>
      </c>
      <c r="AN891">
        <v>1.0000000125991999</v>
      </c>
    </row>
    <row r="892" spans="1:40" x14ac:dyDescent="0.25">
      <c r="A892" t="str">
        <f>"20190304164350113"</f>
        <v>20190304164350113</v>
      </c>
      <c r="B892" t="str">
        <f>"1551689030100547"</f>
        <v>1551689030100547</v>
      </c>
      <c r="C892" t="s">
        <v>40</v>
      </c>
      <c r="D892">
        <v>4.7168429999999999</v>
      </c>
      <c r="E892">
        <v>0.55185189999999995</v>
      </c>
      <c r="F892" t="s">
        <v>41</v>
      </c>
      <c r="G892">
        <v>-297.24709999999999</v>
      </c>
      <c r="H892">
        <v>0.76784370000000002</v>
      </c>
      <c r="I892">
        <v>367.7953</v>
      </c>
      <c r="J892">
        <v>-297.88990000000001</v>
      </c>
      <c r="K892">
        <v>1.0606340000000001</v>
      </c>
      <c r="L892">
        <v>367.76979999999998</v>
      </c>
      <c r="M892">
        <v>0.99986090000000005</v>
      </c>
      <c r="N892">
        <v>-1.495674E-2</v>
      </c>
      <c r="O892">
        <v>7.3916040000000004E-3</v>
      </c>
      <c r="P892">
        <v>0.95005580000000001</v>
      </c>
      <c r="Q892">
        <v>0.29391009999999901</v>
      </c>
      <c r="R892">
        <v>0.1049339</v>
      </c>
      <c r="S892">
        <v>3.5260009999999999</v>
      </c>
      <c r="T892">
        <v>-1.2306549999999901</v>
      </c>
      <c r="U892">
        <v>0.1148682</v>
      </c>
      <c r="V892">
        <v>-9.7956749999999995E-2</v>
      </c>
      <c r="W892">
        <v>0.30808259999999998</v>
      </c>
      <c r="X892">
        <v>0.94630309999999995</v>
      </c>
      <c r="Y892">
        <v>-2.4083029999999998E-2</v>
      </c>
      <c r="Z892">
        <v>1.8690689999999999E-3</v>
      </c>
      <c r="AA892">
        <v>0.99970820000000005</v>
      </c>
      <c r="AB892">
        <v>38</v>
      </c>
      <c r="AC892">
        <v>0.64280000000002202</v>
      </c>
      <c r="AD892">
        <v>-0.2927903</v>
      </c>
      <c r="AE892">
        <v>2.5500000000022199E-2</v>
      </c>
      <c r="AF892">
        <v>-1.7187176464712399E-2</v>
      </c>
      <c r="AG892">
        <v>-0.2927903</v>
      </c>
      <c r="AH892">
        <v>0.53263680972875505</v>
      </c>
      <c r="AI892">
        <v>118.78499883191699</v>
      </c>
      <c r="AJ892">
        <v>91.848184511189501</v>
      </c>
      <c r="AK892">
        <v>0.60804895352836996</v>
      </c>
      <c r="AL892">
        <v>72.056282731677697</v>
      </c>
      <c r="AM892">
        <v>95.909934679166</v>
      </c>
      <c r="AN892">
        <v>0.99999998518146604</v>
      </c>
    </row>
    <row r="893" spans="1:40" x14ac:dyDescent="0.25">
      <c r="A893" t="str">
        <f>"20190304164350123"</f>
        <v>20190304164350123</v>
      </c>
      <c r="B893" t="str">
        <f>"1551689030111283"</f>
        <v>1551689030111283</v>
      </c>
      <c r="C893" t="s">
        <v>40</v>
      </c>
      <c r="D893">
        <v>4.6779250000000001</v>
      </c>
      <c r="E893">
        <v>0.55178950000000004</v>
      </c>
      <c r="F893" t="s">
        <v>41</v>
      </c>
      <c r="G893">
        <v>-297.22149999999999</v>
      </c>
      <c r="H893">
        <v>0.82703649999999995</v>
      </c>
      <c r="I893">
        <v>367.79140000000001</v>
      </c>
      <c r="J893">
        <v>-297.71870000000001</v>
      </c>
      <c r="K893">
        <v>1.060635</v>
      </c>
      <c r="L893">
        <v>367.77109999999999</v>
      </c>
      <c r="M893">
        <v>0.99986059999999999</v>
      </c>
      <c r="N893">
        <v>-1.495319E-2</v>
      </c>
      <c r="O893">
        <v>7.4302739999999997E-3</v>
      </c>
      <c r="P893">
        <v>0.95000779999999996</v>
      </c>
      <c r="Q893">
        <v>0.2940643</v>
      </c>
      <c r="R893">
        <v>0.10493719999999999</v>
      </c>
      <c r="S893">
        <v>3.5262150000000001</v>
      </c>
      <c r="T893">
        <v>-1.2323729999999999</v>
      </c>
      <c r="U893">
        <v>0.1153259</v>
      </c>
      <c r="V893">
        <v>-9.792468E-2</v>
      </c>
      <c r="W893">
        <v>0.30823230000000001</v>
      </c>
      <c r="X893">
        <v>0.94625769999999998</v>
      </c>
      <c r="Y893">
        <v>-2.4166300000000002E-2</v>
      </c>
      <c r="Z893">
        <v>1.8732009999999999E-3</v>
      </c>
      <c r="AA893">
        <v>0.99970619999999999</v>
      </c>
      <c r="AB893">
        <v>38</v>
      </c>
      <c r="AC893">
        <v>0.49720000000002001</v>
      </c>
      <c r="AD893">
        <v>-0.23359849999999999</v>
      </c>
      <c r="AE893">
        <v>2.0300000000020101E-2</v>
      </c>
      <c r="AF893">
        <v>-1.3606267112143701E-2</v>
      </c>
      <c r="AG893">
        <v>-0.23359849999999999</v>
      </c>
      <c r="AH893">
        <v>0.40752944038790401</v>
      </c>
      <c r="AI893">
        <v>119.807844362257</v>
      </c>
      <c r="AJ893">
        <v>91.912235359950003</v>
      </c>
      <c r="AK893">
        <v>0.46992939308991399</v>
      </c>
      <c r="AL893">
        <v>72.047267336040704</v>
      </c>
      <c r="AM893">
        <v>95.908294969652005</v>
      </c>
      <c r="AN893">
        <v>1.00000001426284</v>
      </c>
    </row>
    <row r="894" spans="1:40" x14ac:dyDescent="0.25">
      <c r="A894" t="str">
        <f>"20190304164350135"</f>
        <v>20190304164350135</v>
      </c>
      <c r="B894" t="str">
        <f>"1551689030130804"</f>
        <v>1551689030130804</v>
      </c>
      <c r="C894" t="s">
        <v>40</v>
      </c>
      <c r="D894">
        <v>4.766146</v>
      </c>
      <c r="E894">
        <v>0.55165649999999999</v>
      </c>
      <c r="F894" t="s">
        <v>41</v>
      </c>
      <c r="G894">
        <v>-296.90519999999998</v>
      </c>
      <c r="H894">
        <v>0.77620819999999902</v>
      </c>
      <c r="I894">
        <v>367.79790000000003</v>
      </c>
      <c r="J894">
        <v>-297.51029999999997</v>
      </c>
      <c r="K894">
        <v>1.060635</v>
      </c>
      <c r="L894">
        <v>367.77269999999999</v>
      </c>
      <c r="M894">
        <v>0.99986039999999998</v>
      </c>
      <c r="N894">
        <v>-1.4948919999999999E-2</v>
      </c>
      <c r="O894">
        <v>7.4772369999999899E-3</v>
      </c>
      <c r="P894">
        <v>0.94997880000000001</v>
      </c>
      <c r="Q894">
        <v>0.29414050000000003</v>
      </c>
      <c r="R894">
        <v>0.104986</v>
      </c>
      <c r="S894">
        <v>3.526672</v>
      </c>
      <c r="T894">
        <v>-1.2330139999999901</v>
      </c>
      <c r="U894">
        <v>0.11633300000000001</v>
      </c>
      <c r="V894">
        <v>-9.792998E-2</v>
      </c>
      <c r="W894">
        <v>0.30830360000000001</v>
      </c>
      <c r="X894">
        <v>0.94623389999999996</v>
      </c>
      <c r="Y894">
        <v>-2.4388320000000002E-2</v>
      </c>
      <c r="Z894">
        <v>1.8978300000000001E-3</v>
      </c>
      <c r="AA894">
        <v>0.99970079999999995</v>
      </c>
      <c r="AB894">
        <v>38</v>
      </c>
      <c r="AC894">
        <v>0.60509999999999298</v>
      </c>
      <c r="AD894">
        <v>-0.28442679999999998</v>
      </c>
      <c r="AE894">
        <v>2.52000000000407E-2</v>
      </c>
      <c r="AF894">
        <v>-1.6938332027207698E-2</v>
      </c>
      <c r="AG894">
        <v>-0.28442679999999998</v>
      </c>
      <c r="AH894">
        <v>0.495895054317813</v>
      </c>
      <c r="AI894">
        <v>119.82255046730501</v>
      </c>
      <c r="AJ894">
        <v>91.956296528893901</v>
      </c>
      <c r="AK894">
        <v>0.57192431015560996</v>
      </c>
      <c r="AL894">
        <v>72.042972600635196</v>
      </c>
      <c r="AM894">
        <v>95.9087600473826</v>
      </c>
      <c r="AN894">
        <v>0.99999999213248503</v>
      </c>
    </row>
    <row r="895" spans="1:40" x14ac:dyDescent="0.25">
      <c r="A895" t="str">
        <f>"20190304164350146"</f>
        <v>20190304164350146</v>
      </c>
      <c r="B895" t="str">
        <f>"1551689030140564"</f>
        <v>1551689030140564</v>
      </c>
      <c r="C895" t="s">
        <v>40</v>
      </c>
      <c r="D895">
        <v>4.6061670000000001</v>
      </c>
      <c r="E895">
        <v>0.55193329999999996</v>
      </c>
      <c r="F895" t="s">
        <v>41</v>
      </c>
      <c r="G895">
        <v>-296.5838</v>
      </c>
      <c r="H895">
        <v>0.73622080000000001</v>
      </c>
      <c r="I895">
        <v>367.80360000000002</v>
      </c>
      <c r="J895">
        <v>-297.31400000000002</v>
      </c>
      <c r="K895">
        <v>1.0606340000000001</v>
      </c>
      <c r="L895">
        <v>367.77420000000001</v>
      </c>
      <c r="M895">
        <v>0.99985999999999997</v>
      </c>
      <c r="N895">
        <v>-1.494507E-2</v>
      </c>
      <c r="O895">
        <v>7.5215689999999997E-3</v>
      </c>
      <c r="P895">
        <v>0.94995099999999999</v>
      </c>
      <c r="Q895">
        <v>0.29423890000000003</v>
      </c>
      <c r="R895">
        <v>0.1049601</v>
      </c>
      <c r="S895">
        <v>3.5273129999999999</v>
      </c>
      <c r="T895">
        <v>-1.2350540000000001</v>
      </c>
      <c r="U895">
        <v>0.118103</v>
      </c>
      <c r="V895">
        <v>-9.7862770000000002E-2</v>
      </c>
      <c r="W895">
        <v>0.3083979</v>
      </c>
      <c r="X895">
        <v>0.94621010000000005</v>
      </c>
      <c r="Y895">
        <v>-2.48122E-2</v>
      </c>
      <c r="Z895">
        <v>1.9608590000000001E-3</v>
      </c>
      <c r="AA895">
        <v>0.99969019999999997</v>
      </c>
      <c r="AB895">
        <v>38</v>
      </c>
      <c r="AC895">
        <v>0.73020000000002405</v>
      </c>
      <c r="AD895">
        <v>-0.32441320000000001</v>
      </c>
      <c r="AE895">
        <v>2.9400000000009599E-2</v>
      </c>
      <c r="AF895">
        <v>-1.9970762775291299E-2</v>
      </c>
      <c r="AG895">
        <v>-0.32441320000000001</v>
      </c>
      <c r="AH895">
        <v>0.61015933525701005</v>
      </c>
      <c r="AI895">
        <v>117.98624257421299</v>
      </c>
      <c r="AJ895">
        <v>91.874644894528899</v>
      </c>
      <c r="AK895">
        <v>0.69133000086886398</v>
      </c>
      <c r="AL895">
        <v>72.037292437048094</v>
      </c>
      <c r="AM895">
        <v>95.904880959867398</v>
      </c>
      <c r="AN895">
        <v>0.999999969909246</v>
      </c>
    </row>
    <row r="896" spans="1:40" x14ac:dyDescent="0.25">
      <c r="A896" t="str">
        <f>"20190304164350158"</f>
        <v>20190304164350158</v>
      </c>
      <c r="B896" t="str">
        <f>"1551689030150323"</f>
        <v>1551689030150323</v>
      </c>
      <c r="C896" t="s">
        <v>40</v>
      </c>
      <c r="D896">
        <v>4.7190770000000004</v>
      </c>
      <c r="E896">
        <v>0.55193599999999998</v>
      </c>
      <c r="F896" t="s">
        <v>41</v>
      </c>
      <c r="G896">
        <v>-296.55829999999997</v>
      </c>
      <c r="H896">
        <v>0.79694259999999995</v>
      </c>
      <c r="I896">
        <v>367.7989</v>
      </c>
      <c r="J896">
        <v>-297.13290000000001</v>
      </c>
      <c r="K896">
        <v>1.0606359999999999</v>
      </c>
      <c r="L896">
        <v>367.7756</v>
      </c>
      <c r="M896">
        <v>0.99985990000000002</v>
      </c>
      <c r="N896">
        <v>-1.4941579999999999E-2</v>
      </c>
      <c r="O896">
        <v>7.5624380000000003E-3</v>
      </c>
      <c r="P896">
        <v>0.95000700000000005</v>
      </c>
      <c r="Q896">
        <v>0.29395739999999998</v>
      </c>
      <c r="R896">
        <v>0.1052423</v>
      </c>
      <c r="S896">
        <v>3.5264280000000001</v>
      </c>
      <c r="T896">
        <v>-1.2305219999999999</v>
      </c>
      <c r="U896">
        <v>0.1159058</v>
      </c>
      <c r="V896">
        <v>-9.8106410000000005E-2</v>
      </c>
      <c r="W896">
        <v>0.30811440000000001</v>
      </c>
      <c r="X896">
        <v>0.94627729999999999</v>
      </c>
      <c r="Y896">
        <v>-2.4204440000000001E-2</v>
      </c>
      <c r="Z896">
        <v>1.83453E-3</v>
      </c>
      <c r="AA896">
        <v>0.99970539999999997</v>
      </c>
      <c r="AB896">
        <v>38</v>
      </c>
      <c r="AC896">
        <v>0.57460000000003197</v>
      </c>
      <c r="AD896">
        <v>-0.26369340000000002</v>
      </c>
      <c r="AE896">
        <v>2.3300000000006E-2</v>
      </c>
      <c r="AF896">
        <v>-1.5660679662223901E-2</v>
      </c>
      <c r="AG896">
        <v>-0.26369340000000002</v>
      </c>
      <c r="AH896">
        <v>0.47490659696792098</v>
      </c>
      <c r="AI896">
        <v>119.02815140384</v>
      </c>
      <c r="AJ896">
        <v>91.888720470745398</v>
      </c>
      <c r="AK896">
        <v>0.54342961083722197</v>
      </c>
      <c r="AL896">
        <v>72.054368575506601</v>
      </c>
      <c r="AM896">
        <v>95.919060156284701</v>
      </c>
      <c r="AN896">
        <v>1.0000000398328599</v>
      </c>
    </row>
    <row r="897" spans="1:40" x14ac:dyDescent="0.25">
      <c r="A897" t="str">
        <f>"20190304164350168"</f>
        <v>20190304164350168</v>
      </c>
      <c r="B897" t="str">
        <f>"1551689030161060"</f>
        <v>1551689030161060</v>
      </c>
      <c r="C897" t="s">
        <v>40</v>
      </c>
      <c r="D897">
        <v>4.7316710000000004</v>
      </c>
      <c r="E897">
        <v>0.55195349999999999</v>
      </c>
      <c r="F897" t="s">
        <v>41</v>
      </c>
      <c r="G897">
        <v>-296.24099999999999</v>
      </c>
      <c r="H897">
        <v>0.74912889999999999</v>
      </c>
      <c r="I897">
        <v>367.80509999999998</v>
      </c>
      <c r="J897">
        <v>-296.94830000000002</v>
      </c>
      <c r="K897">
        <v>1.060635</v>
      </c>
      <c r="L897">
        <v>367.77699999999999</v>
      </c>
      <c r="M897">
        <v>0.99985950000000001</v>
      </c>
      <c r="N897">
        <v>-1.4938119999999999E-2</v>
      </c>
      <c r="O897">
        <v>7.6041379999999999E-3</v>
      </c>
      <c r="P897">
        <v>0.94996970000000003</v>
      </c>
      <c r="Q897">
        <v>0.29402820000000002</v>
      </c>
      <c r="R897">
        <v>0.1053801</v>
      </c>
      <c r="S897">
        <v>3.5259089999999902</v>
      </c>
      <c r="T897">
        <v>-1.2314769999999999</v>
      </c>
      <c r="U897">
        <v>0.1176147</v>
      </c>
      <c r="V897">
        <v>-9.8205689999999998E-2</v>
      </c>
      <c r="W897">
        <v>0.30818099999999998</v>
      </c>
      <c r="X897">
        <v>0.94624529999999996</v>
      </c>
      <c r="Y897">
        <v>-2.462597E-2</v>
      </c>
      <c r="Z897">
        <v>1.8969810000000001E-3</v>
      </c>
      <c r="AA897">
        <v>0.99969490000000005</v>
      </c>
      <c r="AB897">
        <v>38</v>
      </c>
      <c r="AC897">
        <v>0.70730000000003201</v>
      </c>
      <c r="AD897">
        <v>-0.31150609999999901</v>
      </c>
      <c r="AE897">
        <v>2.80999999999949E-2</v>
      </c>
      <c r="AF897">
        <v>-1.90340402020466E-2</v>
      </c>
      <c r="AG897">
        <v>-0.31150609999999901</v>
      </c>
      <c r="AH897">
        <v>0.592708978115281</v>
      </c>
      <c r="AI897">
        <v>117.71261042801601</v>
      </c>
      <c r="AJ897">
        <v>91.839343668276697</v>
      </c>
      <c r="AK897">
        <v>0.66985242983965099</v>
      </c>
      <c r="AL897">
        <v>72.050357254073305</v>
      </c>
      <c r="AM897">
        <v>95.925206377870794</v>
      </c>
      <c r="AN897">
        <v>1.0000000270407301</v>
      </c>
    </row>
    <row r="898" spans="1:40" x14ac:dyDescent="0.25">
      <c r="A898" t="str">
        <f>"20190304164350180"</f>
        <v>20190304164350180</v>
      </c>
      <c r="B898" t="str">
        <f>"1551689030170820"</f>
        <v>1551689030170820</v>
      </c>
      <c r="C898" t="s">
        <v>40</v>
      </c>
      <c r="D898">
        <v>5.0037890000000003</v>
      </c>
      <c r="E898">
        <v>0.55204739999999997</v>
      </c>
      <c r="F898" t="s">
        <v>41</v>
      </c>
      <c r="G898">
        <v>-296.21710000000002</v>
      </c>
      <c r="H898">
        <v>0.80540749999999905</v>
      </c>
      <c r="I898">
        <v>367.80110000000002</v>
      </c>
      <c r="J898">
        <v>-296.755</v>
      </c>
      <c r="K898">
        <v>1.0606370000000001</v>
      </c>
      <c r="L898">
        <v>367.77850000000001</v>
      </c>
      <c r="M898">
        <v>0.99985930000000001</v>
      </c>
      <c r="N898">
        <v>-1.4934589999999999E-2</v>
      </c>
      <c r="O898">
        <v>7.6476840000000001E-3</v>
      </c>
      <c r="P898">
        <v>0.94993970000000005</v>
      </c>
      <c r="Q898">
        <v>0.29384680000000002</v>
      </c>
      <c r="R898">
        <v>0.106154</v>
      </c>
      <c r="S898">
        <v>3.5259089999999902</v>
      </c>
      <c r="T898">
        <v>-1.2306790000000001</v>
      </c>
      <c r="U898">
        <v>0.1172791</v>
      </c>
      <c r="V898">
        <v>-9.8938810000000002E-2</v>
      </c>
      <c r="W898">
        <v>0.30799549999999998</v>
      </c>
      <c r="X898">
        <v>0.94622930000000005</v>
      </c>
      <c r="Y898">
        <v>-2.449892E-2</v>
      </c>
      <c r="Z898">
        <v>1.8593010000000001E-3</v>
      </c>
      <c r="AA898">
        <v>0.99969810000000003</v>
      </c>
      <c r="AB898">
        <v>38</v>
      </c>
      <c r="AC898">
        <v>0.53789999999997895</v>
      </c>
      <c r="AD898">
        <v>-0.2552295</v>
      </c>
      <c r="AE898">
        <v>2.2600000000011201E-2</v>
      </c>
      <c r="AF898">
        <v>-1.50930769999443E-2</v>
      </c>
      <c r="AG898">
        <v>-0.2552295</v>
      </c>
      <c r="AH898">
        <v>0.439321265820871</v>
      </c>
      <c r="AI898">
        <v>120.140336328134</v>
      </c>
      <c r="AJ898">
        <v>91.967648032930597</v>
      </c>
      <c r="AK898">
        <v>0.50830411492140104</v>
      </c>
      <c r="AL898">
        <v>72.061528579913102</v>
      </c>
      <c r="AM898">
        <v>95.969220931817901</v>
      </c>
      <c r="AN898">
        <v>1.0000000021614699</v>
      </c>
    </row>
    <row r="899" spans="1:40" x14ac:dyDescent="0.25">
      <c r="A899" t="str">
        <f>"20190304164350192"</f>
        <v>20190304164350192</v>
      </c>
      <c r="B899" t="str">
        <f>"1551689030180580"</f>
        <v>1551689030180580</v>
      </c>
      <c r="C899" t="s">
        <v>40</v>
      </c>
      <c r="D899">
        <v>4.6535419999999998</v>
      </c>
      <c r="E899">
        <v>0.55198619999999898</v>
      </c>
      <c r="F899" t="s">
        <v>41</v>
      </c>
      <c r="G899">
        <v>-295.89870000000002</v>
      </c>
      <c r="H899">
        <v>0.76194469999999903</v>
      </c>
      <c r="I899">
        <v>367.80680000000001</v>
      </c>
      <c r="J899">
        <v>-296.54599999999999</v>
      </c>
      <c r="K899">
        <v>1.0606359999999999</v>
      </c>
      <c r="L899">
        <v>367.78019999999998</v>
      </c>
      <c r="M899">
        <v>0.99985900000000005</v>
      </c>
      <c r="N899">
        <v>-1.4930860000000001E-2</v>
      </c>
      <c r="O899">
        <v>7.6948669999999898E-3</v>
      </c>
      <c r="P899">
        <v>0.95007620000000004</v>
      </c>
      <c r="Q899">
        <v>0.29329040000000001</v>
      </c>
      <c r="R899">
        <v>0.1064715</v>
      </c>
      <c r="S899">
        <v>3.5252379999999999</v>
      </c>
      <c r="T899">
        <v>-1.2296199999999999</v>
      </c>
      <c r="U899">
        <v>0.11791989999999899</v>
      </c>
      <c r="V899">
        <v>-9.9210279999999998E-2</v>
      </c>
      <c r="W899">
        <v>0.30743740000000003</v>
      </c>
      <c r="X899">
        <v>0.94638230000000001</v>
      </c>
      <c r="Y899">
        <v>-2.463516E-2</v>
      </c>
      <c r="Z899">
        <v>1.867058E-3</v>
      </c>
      <c r="AA899">
        <v>0.99969479999999999</v>
      </c>
      <c r="AB899">
        <v>38</v>
      </c>
      <c r="AC899">
        <v>0.64729999999997201</v>
      </c>
      <c r="AD899">
        <v>-0.29869129999999999</v>
      </c>
      <c r="AE899">
        <v>2.6600000000030301E-2</v>
      </c>
      <c r="AF899">
        <v>-1.78280652797396E-2</v>
      </c>
      <c r="AG899">
        <v>-0.29869129999999999</v>
      </c>
      <c r="AH899">
        <v>0.53397803911427599</v>
      </c>
      <c r="AI899">
        <v>119.207744138165</v>
      </c>
      <c r="AJ899">
        <v>91.912238945814195</v>
      </c>
      <c r="AK899">
        <v>0.61210038299582503</v>
      </c>
      <c r="AL899">
        <v>72.095135016664003</v>
      </c>
      <c r="AM899">
        <v>95.984520002711704</v>
      </c>
      <c r="AN899">
        <v>0.99999994616486199</v>
      </c>
    </row>
    <row r="900" spans="1:40" x14ac:dyDescent="0.25">
      <c r="A900" t="str">
        <f>"20190304164350205"</f>
        <v>20190304164350205</v>
      </c>
      <c r="B900" t="str">
        <f>"1551689030201076"</f>
        <v>1551689030201076</v>
      </c>
      <c r="C900" t="s">
        <v>40</v>
      </c>
      <c r="D900">
        <v>4.6450990000000001</v>
      </c>
      <c r="E900">
        <v>0.55187889999999995</v>
      </c>
      <c r="F900" t="s">
        <v>41</v>
      </c>
      <c r="G900">
        <v>-295.8716</v>
      </c>
      <c r="H900">
        <v>0.82478459999999998</v>
      </c>
      <c r="I900">
        <v>367.80270000000002</v>
      </c>
      <c r="J900">
        <v>-296.33440000000002</v>
      </c>
      <c r="K900">
        <v>1.060635</v>
      </c>
      <c r="L900">
        <v>367.78179999999998</v>
      </c>
      <c r="M900">
        <v>0.99985869999999999</v>
      </c>
      <c r="N900">
        <v>-1.492724E-2</v>
      </c>
      <c r="O900">
        <v>7.7427619999999898E-3</v>
      </c>
      <c r="P900">
        <v>0.95026149999999998</v>
      </c>
      <c r="Q900">
        <v>0.29261690000000001</v>
      </c>
      <c r="R900">
        <v>0.10667119999999999</v>
      </c>
      <c r="S900">
        <v>3.5247799999999998</v>
      </c>
      <c r="T900">
        <v>-1.2327079999999999</v>
      </c>
      <c r="U900">
        <v>0.119751</v>
      </c>
      <c r="V900">
        <v>-9.9363850000000004E-2</v>
      </c>
      <c r="W900">
        <v>0.30676360000000003</v>
      </c>
      <c r="X900">
        <v>0.94658489999999995</v>
      </c>
      <c r="Y900">
        <v>-2.507999E-2</v>
      </c>
      <c r="Z900">
        <v>1.9342649999999999E-3</v>
      </c>
      <c r="AA900">
        <v>0.99968360000000001</v>
      </c>
      <c r="AB900">
        <v>38</v>
      </c>
      <c r="AC900">
        <v>0.46280000000001498</v>
      </c>
      <c r="AD900">
        <v>-0.23585039999999999</v>
      </c>
      <c r="AE900">
        <v>2.0900000000040098E-2</v>
      </c>
      <c r="AF900">
        <v>-1.37515066758174E-2</v>
      </c>
      <c r="AG900">
        <v>-0.23585039999999999</v>
      </c>
      <c r="AH900">
        <v>0.36765824793298002</v>
      </c>
      <c r="AI900">
        <v>122.661711696179</v>
      </c>
      <c r="AJ900">
        <v>92.142033223280905</v>
      </c>
      <c r="AK900">
        <v>0.437020711624934</v>
      </c>
      <c r="AL900">
        <v>72.135702683545105</v>
      </c>
      <c r="AM900">
        <v>95.992442688254499</v>
      </c>
      <c r="AN900">
        <v>1.0000000269398901</v>
      </c>
    </row>
    <row r="901" spans="1:40" x14ac:dyDescent="0.25">
      <c r="A901" t="str">
        <f>"20190304164350220"</f>
        <v>20190304164350220</v>
      </c>
      <c r="B901" t="str">
        <f>"1551689030210837"</f>
        <v>1551689030210837</v>
      </c>
      <c r="C901" t="s">
        <v>40</v>
      </c>
      <c r="D901">
        <v>4.6646460000000003</v>
      </c>
      <c r="E901">
        <v>0.55199219999999904</v>
      </c>
      <c r="F901" t="s">
        <v>41</v>
      </c>
      <c r="G901">
        <v>-295.55160000000001</v>
      </c>
      <c r="H901">
        <v>0.7858948</v>
      </c>
      <c r="I901">
        <v>367.80869999999999</v>
      </c>
      <c r="J901">
        <v>-296.08319999999998</v>
      </c>
      <c r="K901">
        <v>1.060629</v>
      </c>
      <c r="L901">
        <v>367.78379999999999</v>
      </c>
      <c r="M901">
        <v>0.99985820000000003</v>
      </c>
      <c r="N901">
        <v>-1.492301E-2</v>
      </c>
      <c r="O901">
        <v>7.7997199999999996E-3</v>
      </c>
      <c r="P901">
        <v>0.95027490000000003</v>
      </c>
      <c r="Q901">
        <v>0.29247529999999999</v>
      </c>
      <c r="R901">
        <v>0.1069392</v>
      </c>
      <c r="S901">
        <v>3.5243229999999999</v>
      </c>
      <c r="T901">
        <v>-1.237115</v>
      </c>
      <c r="U901">
        <v>0.1216125</v>
      </c>
      <c r="V901">
        <v>-9.9577289999999999E-2</v>
      </c>
      <c r="W901">
        <v>0.3066179</v>
      </c>
      <c r="X901">
        <v>0.9466097</v>
      </c>
      <c r="Y901">
        <v>-2.552258E-2</v>
      </c>
      <c r="Z901">
        <v>2.0001070000000001E-3</v>
      </c>
      <c r="AA901">
        <v>0.99967220000000001</v>
      </c>
      <c r="AB901">
        <v>38</v>
      </c>
      <c r="AC901">
        <v>0.53159999999996899</v>
      </c>
      <c r="AD901">
        <v>-0.27473419999999998</v>
      </c>
      <c r="AE901">
        <v>2.4900000000002299E-2</v>
      </c>
      <c r="AF901">
        <v>-1.6385616994952602E-2</v>
      </c>
      <c r="AG901">
        <v>-0.27473419999999998</v>
      </c>
      <c r="AH901">
        <v>0.41987870735232802</v>
      </c>
      <c r="AI901">
        <v>123.17747555906099</v>
      </c>
      <c r="AJ901">
        <v>92.234813364522694</v>
      </c>
      <c r="AK901">
        <v>0.502041330949761</v>
      </c>
      <c r="AL901">
        <v>72.144473745147096</v>
      </c>
      <c r="AM901">
        <v>96.005064701147901</v>
      </c>
      <c r="AN901">
        <v>1.0000000487091201</v>
      </c>
    </row>
    <row r="902" spans="1:40" x14ac:dyDescent="0.25">
      <c r="A902" t="str">
        <f>"20190304164350235"</f>
        <v>20190304164350235</v>
      </c>
      <c r="B902" t="str">
        <f>"1551689030230355"</f>
        <v>1551689030230355</v>
      </c>
      <c r="C902" t="s">
        <v>40</v>
      </c>
      <c r="D902">
        <v>4.6909179999999999</v>
      </c>
      <c r="E902">
        <v>0.55204659999999905</v>
      </c>
      <c r="F902" t="s">
        <v>41</v>
      </c>
      <c r="G902">
        <v>-295.22620000000001</v>
      </c>
      <c r="H902">
        <v>0.76008399999999998</v>
      </c>
      <c r="I902">
        <v>367.81319999999999</v>
      </c>
      <c r="J902">
        <v>-295.82799999999997</v>
      </c>
      <c r="K902">
        <v>1.0606260000000001</v>
      </c>
      <c r="L902">
        <v>367.78590000000003</v>
      </c>
      <c r="M902">
        <v>0.99985789999999997</v>
      </c>
      <c r="N902">
        <v>-1.4918829999999999E-2</v>
      </c>
      <c r="O902">
        <v>7.857691E-3</v>
      </c>
      <c r="P902">
        <v>0.95034030000000003</v>
      </c>
      <c r="Q902">
        <v>0.292298</v>
      </c>
      <c r="R902">
        <v>0.1068423</v>
      </c>
      <c r="S902">
        <v>3.5236510000000001</v>
      </c>
      <c r="T902">
        <v>-1.235771</v>
      </c>
      <c r="U902">
        <v>0.12155150000000001</v>
      </c>
      <c r="V902">
        <v>-9.9424910000000005E-2</v>
      </c>
      <c r="W902">
        <v>0.30643809999999999</v>
      </c>
      <c r="X902">
        <v>0.94668390000000002</v>
      </c>
      <c r="Y902">
        <v>-2.5462769999999999E-2</v>
      </c>
      <c r="Z902">
        <v>1.9690509999999999E-3</v>
      </c>
      <c r="AA902">
        <v>0.99967379999999995</v>
      </c>
      <c r="AB902">
        <v>38</v>
      </c>
      <c r="AC902">
        <v>0.60179999999996803</v>
      </c>
      <c r="AD902">
        <v>-0.30054199999999998</v>
      </c>
      <c r="AE902">
        <v>2.7299999999968301E-2</v>
      </c>
      <c r="AF902">
        <v>-1.8071898487401501E-2</v>
      </c>
      <c r="AG902">
        <v>-0.30054199999999998</v>
      </c>
      <c r="AH902">
        <v>0.482023537392749</v>
      </c>
      <c r="AI902">
        <v>121.925503557512</v>
      </c>
      <c r="AJ902">
        <v>92.147112515006398</v>
      </c>
      <c r="AK902">
        <v>0.56832981435039798</v>
      </c>
      <c r="AL902">
        <v>72.155295879488094</v>
      </c>
      <c r="AM902">
        <v>95.995475802139296</v>
      </c>
      <c r="AN902">
        <v>1.0000000141896599</v>
      </c>
    </row>
    <row r="903" spans="1:40" x14ac:dyDescent="0.25">
      <c r="A903" t="str">
        <f>"20190304164350246"</f>
        <v>20190304164350246</v>
      </c>
      <c r="B903" t="str">
        <f>"1551689030241091"</f>
        <v>1551689030241091</v>
      </c>
      <c r="C903" t="s">
        <v>40</v>
      </c>
      <c r="D903">
        <v>4.3829289999999999</v>
      </c>
      <c r="E903">
        <v>0.55302169999999995</v>
      </c>
      <c r="F903" t="s">
        <v>41</v>
      </c>
      <c r="G903">
        <v>-294.90039999999999</v>
      </c>
      <c r="H903">
        <v>0.73533490000000001</v>
      </c>
      <c r="I903">
        <v>367.81779999999998</v>
      </c>
      <c r="J903">
        <v>-295.62959999999998</v>
      </c>
      <c r="K903">
        <v>1.0606260000000001</v>
      </c>
      <c r="L903">
        <v>367.78750000000002</v>
      </c>
      <c r="M903">
        <v>0.99985769999999996</v>
      </c>
      <c r="N903">
        <v>-1.49157E-2</v>
      </c>
      <c r="O903">
        <v>7.9034350000000003E-3</v>
      </c>
      <c r="P903">
        <v>0.95045299999999999</v>
      </c>
      <c r="Q903">
        <v>0.29206799999999999</v>
      </c>
      <c r="R903">
        <v>0.1064696</v>
      </c>
      <c r="S903">
        <v>3.5230709999999998</v>
      </c>
      <c r="T903">
        <v>-1.2353860000000001</v>
      </c>
      <c r="U903">
        <v>0.1216431</v>
      </c>
      <c r="V903">
        <v>-9.9008310000000002E-2</v>
      </c>
      <c r="W903">
        <v>0.3062066</v>
      </c>
      <c r="X903">
        <v>0.94680240000000004</v>
      </c>
      <c r="Y903">
        <v>-2.545215E-2</v>
      </c>
      <c r="Z903">
        <v>1.95196E-3</v>
      </c>
      <c r="AA903">
        <v>0.99967410000000001</v>
      </c>
      <c r="AB903">
        <v>38</v>
      </c>
      <c r="AC903">
        <v>0.72919999999999097</v>
      </c>
      <c r="AD903">
        <v>-0.3252911</v>
      </c>
      <c r="AE903">
        <v>3.02999999999542E-2</v>
      </c>
      <c r="AF903">
        <v>-2.0468947796862799E-2</v>
      </c>
      <c r="AG903">
        <v>-0.3252911</v>
      </c>
      <c r="AH903">
        <v>0.60852878498278895</v>
      </c>
      <c r="AI903">
        <v>118.113415004527</v>
      </c>
      <c r="AJ903">
        <v>91.926519073355095</v>
      </c>
      <c r="AK903">
        <v>0.69031917235127505</v>
      </c>
      <c r="AL903">
        <v>72.169228607523493</v>
      </c>
      <c r="AM903">
        <v>95.969794156893997</v>
      </c>
      <c r="AN903">
        <v>0.99999995598918701</v>
      </c>
    </row>
    <row r="904" spans="1:40" x14ac:dyDescent="0.25">
      <c r="A904" t="str">
        <f>"20190304164350258"</f>
        <v>20190304164350258</v>
      </c>
      <c r="B904" t="str">
        <f>"1551689030250852"</f>
        <v>1551689030250852</v>
      </c>
      <c r="C904" t="s">
        <v>40</v>
      </c>
      <c r="D904">
        <v>4.6963160000000004</v>
      </c>
      <c r="E904">
        <v>0.55304229999999999</v>
      </c>
      <c r="F904" t="s">
        <v>41</v>
      </c>
      <c r="G904">
        <v>-294.87400000000002</v>
      </c>
      <c r="H904">
        <v>0.79829319999999904</v>
      </c>
      <c r="I904">
        <v>367.81110000000001</v>
      </c>
      <c r="J904">
        <v>-295.44299999999998</v>
      </c>
      <c r="K904">
        <v>1.0606230000000001</v>
      </c>
      <c r="L904">
        <v>367.78899999999999</v>
      </c>
      <c r="M904">
        <v>0.9998572</v>
      </c>
      <c r="N904">
        <v>-1.491279E-2</v>
      </c>
      <c r="O904">
        <v>7.9469139999999994E-3</v>
      </c>
      <c r="P904">
        <v>0.95045029999999997</v>
      </c>
      <c r="Q904">
        <v>0.29204649999999999</v>
      </c>
      <c r="R904">
        <v>0.1065509</v>
      </c>
      <c r="S904">
        <v>3.5195310000000002</v>
      </c>
      <c r="T904">
        <v>-1.2218850000000001</v>
      </c>
      <c r="U904">
        <v>0.1101379</v>
      </c>
      <c r="V904">
        <v>-9.9048399999999995E-2</v>
      </c>
      <c r="W904">
        <v>0.30618260000000003</v>
      </c>
      <c r="X904">
        <v>0.94680600000000004</v>
      </c>
      <c r="Y904">
        <v>-2.2389599999999999E-2</v>
      </c>
      <c r="Z904">
        <v>1.3825879999999999E-3</v>
      </c>
      <c r="AA904">
        <v>0.99974830000000003</v>
      </c>
      <c r="AB904">
        <v>38</v>
      </c>
      <c r="AC904">
        <v>0.56899999999995998</v>
      </c>
      <c r="AD904">
        <v>-0.262329799999999</v>
      </c>
      <c r="AE904">
        <v>2.2100000000023101E-2</v>
      </c>
      <c r="AF904">
        <v>-1.4499673449262101E-2</v>
      </c>
      <c r="AG904">
        <v>-0.262329799999999</v>
      </c>
      <c r="AH904">
        <v>0.46951118509696999</v>
      </c>
      <c r="AI904">
        <v>119.18175821314099</v>
      </c>
      <c r="AJ904">
        <v>91.7688740135941</v>
      </c>
      <c r="AK904">
        <v>0.53802222763500795</v>
      </c>
      <c r="AL904">
        <v>72.170673636606296</v>
      </c>
      <c r="AM904">
        <v>95.972171408176195</v>
      </c>
      <c r="AN904">
        <v>0.99999998586065997</v>
      </c>
    </row>
    <row r="905" spans="1:40" x14ac:dyDescent="0.25">
      <c r="A905" t="str">
        <f>"20190304164350269"</f>
        <v>20190304164350269</v>
      </c>
      <c r="B905" t="str">
        <f>"1551689030260612"</f>
        <v>1551689030260612</v>
      </c>
      <c r="C905" t="s">
        <v>40</v>
      </c>
      <c r="D905">
        <v>4.9611419999999997</v>
      </c>
      <c r="E905">
        <v>0.55310680000000001</v>
      </c>
      <c r="F905" t="s">
        <v>41</v>
      </c>
      <c r="G905">
        <v>-294.55739999999997</v>
      </c>
      <c r="H905">
        <v>0.7532877</v>
      </c>
      <c r="I905">
        <v>367.81630000000001</v>
      </c>
      <c r="J905">
        <v>-295.2561</v>
      </c>
      <c r="K905">
        <v>1.060622</v>
      </c>
      <c r="L905">
        <v>367.79059999999998</v>
      </c>
      <c r="M905">
        <v>0.99985690000000005</v>
      </c>
      <c r="N905">
        <v>-1.490996E-2</v>
      </c>
      <c r="O905">
        <v>7.9912899999999999E-3</v>
      </c>
      <c r="P905">
        <v>0.95039770000000001</v>
      </c>
      <c r="Q905">
        <v>0.29227340000000002</v>
      </c>
      <c r="R905">
        <v>0.106397699999999</v>
      </c>
      <c r="S905">
        <v>3.5194399999999999</v>
      </c>
      <c r="T905">
        <v>-1.2213670000000001</v>
      </c>
      <c r="U905">
        <v>0.1092224</v>
      </c>
      <c r="V905">
        <v>-9.8854499999999998E-2</v>
      </c>
      <c r="W905">
        <v>0.3064055</v>
      </c>
      <c r="X905">
        <v>0.94675419999999999</v>
      </c>
      <c r="Y905">
        <v>-2.2106600000000001E-2</v>
      </c>
      <c r="Z905">
        <v>1.3179379999999901E-3</v>
      </c>
      <c r="AA905">
        <v>0.9997547</v>
      </c>
      <c r="AB905">
        <v>38</v>
      </c>
      <c r="AC905">
        <v>0.69870000000002996</v>
      </c>
      <c r="AD905">
        <v>-0.30733429999999901</v>
      </c>
      <c r="AE905">
        <v>2.5700000000028901E-2</v>
      </c>
      <c r="AF905">
        <v>-1.68577749677787E-2</v>
      </c>
      <c r="AG905">
        <v>-0.30733429999999901</v>
      </c>
      <c r="AH905">
        <v>0.58571155472548397</v>
      </c>
      <c r="AI905">
        <v>117.677115581233</v>
      </c>
      <c r="AJ905">
        <v>91.648614877483993</v>
      </c>
      <c r="AK905">
        <v>0.66166198460565795</v>
      </c>
      <c r="AL905">
        <v>72.157258384967307</v>
      </c>
      <c r="AM905">
        <v>95.960888139490095</v>
      </c>
      <c r="AN905">
        <v>1.00000002890906</v>
      </c>
    </row>
    <row r="906" spans="1:40" x14ac:dyDescent="0.25">
      <c r="A906" t="str">
        <f>"20190304164350281"</f>
        <v>20190304164350281</v>
      </c>
      <c r="B906" t="str">
        <f>"1551689030270371"</f>
        <v>1551689030270371</v>
      </c>
      <c r="C906" t="s">
        <v>40</v>
      </c>
      <c r="D906">
        <v>4.6737659999999996</v>
      </c>
      <c r="E906">
        <v>0.55308190000000002</v>
      </c>
      <c r="F906" t="s">
        <v>41</v>
      </c>
      <c r="G906">
        <v>-294.53320000000002</v>
      </c>
      <c r="H906">
        <v>0.81019350000000001</v>
      </c>
      <c r="I906">
        <v>367.81220000000002</v>
      </c>
      <c r="J906">
        <v>-295.0718</v>
      </c>
      <c r="K906">
        <v>1.06062099999999</v>
      </c>
      <c r="L906">
        <v>367.79199999999997</v>
      </c>
      <c r="M906">
        <v>0.99985670000000004</v>
      </c>
      <c r="N906">
        <v>-1.4907210000000001E-2</v>
      </c>
      <c r="O906">
        <v>8.0354880000000004E-3</v>
      </c>
      <c r="P906">
        <v>0.95045880000000005</v>
      </c>
      <c r="Q906">
        <v>0.29218070000000002</v>
      </c>
      <c r="R906">
        <v>0.1061067</v>
      </c>
      <c r="S906">
        <v>3.5196529999999999</v>
      </c>
      <c r="T906">
        <v>-1.219212</v>
      </c>
      <c r="U906">
        <v>0.10632320000000001</v>
      </c>
      <c r="V906">
        <v>-9.8521280000000003E-2</v>
      </c>
      <c r="W906">
        <v>0.306311</v>
      </c>
      <c r="X906">
        <v>0.94681950000000004</v>
      </c>
      <c r="Y906">
        <v>-2.1292800000000001E-2</v>
      </c>
      <c r="Z906">
        <v>1.158701E-3</v>
      </c>
      <c r="AA906">
        <v>0.99977260000000001</v>
      </c>
      <c r="AB906">
        <v>38</v>
      </c>
      <c r="AC906">
        <v>0.53859999999997399</v>
      </c>
      <c r="AD906">
        <v>-0.25042749999999903</v>
      </c>
      <c r="AE906">
        <v>2.0200000000045199E-2</v>
      </c>
      <c r="AF906">
        <v>-1.30530137331812E-2</v>
      </c>
      <c r="AG906">
        <v>-0.25042749999999903</v>
      </c>
      <c r="AH906">
        <v>0.44308901747208401</v>
      </c>
      <c r="AI906">
        <v>119.463861503752</v>
      </c>
      <c r="AJ906">
        <v>91.687395382153895</v>
      </c>
      <c r="AK906">
        <v>0.50912885532853602</v>
      </c>
      <c r="AL906">
        <v>72.162946140938104</v>
      </c>
      <c r="AM906">
        <v>95.940532249053405</v>
      </c>
      <c r="AN906">
        <v>1.0000000184570399</v>
      </c>
    </row>
    <row r="907" spans="1:40" x14ac:dyDescent="0.25">
      <c r="A907" t="str">
        <f>"20190304164350290"</f>
        <v>20190304164350290</v>
      </c>
      <c r="B907" t="str">
        <f>"1551689030281108"</f>
        <v>1551689030281108</v>
      </c>
      <c r="C907" t="s">
        <v>40</v>
      </c>
      <c r="D907">
        <v>4.6850009999999997</v>
      </c>
      <c r="E907">
        <v>0.55305019999999905</v>
      </c>
      <c r="F907" t="s">
        <v>41</v>
      </c>
      <c r="G907">
        <v>-294.2176</v>
      </c>
      <c r="H907">
        <v>0.76456309999999905</v>
      </c>
      <c r="I907">
        <v>367.81700000000001</v>
      </c>
      <c r="J907">
        <v>-294.887</v>
      </c>
      <c r="K907">
        <v>1.0606199999999999</v>
      </c>
      <c r="L907">
        <v>367.79360000000003</v>
      </c>
      <c r="M907">
        <v>0.99985639999999998</v>
      </c>
      <c r="N907">
        <v>-1.4904479999999999E-2</v>
      </c>
      <c r="O907">
        <v>8.0803449999999992E-3</v>
      </c>
      <c r="P907">
        <v>0.95049110000000003</v>
      </c>
      <c r="Q907">
        <v>0.29214430000000002</v>
      </c>
      <c r="R907">
        <v>0.1059181</v>
      </c>
      <c r="S907">
        <v>3.519714</v>
      </c>
      <c r="T907">
        <v>-1.219822</v>
      </c>
      <c r="U907">
        <v>0.104126</v>
      </c>
      <c r="V907">
        <v>-9.8290509999999998E-2</v>
      </c>
      <c r="W907">
        <v>0.30627290000000001</v>
      </c>
      <c r="X907">
        <v>0.94685580000000003</v>
      </c>
      <c r="Y907">
        <v>-2.0663810000000001E-2</v>
      </c>
      <c r="Z907">
        <v>1.0338960000000001E-3</v>
      </c>
      <c r="AA907">
        <v>0.99978599999999995</v>
      </c>
      <c r="AB907">
        <v>38</v>
      </c>
      <c r="AC907">
        <v>0.669399999999996</v>
      </c>
      <c r="AD907">
        <v>-0.29605690000000001</v>
      </c>
      <c r="AE907">
        <v>2.33999999999241E-2</v>
      </c>
      <c r="AF907">
        <v>-1.50494956784114E-2</v>
      </c>
      <c r="AG907">
        <v>-0.29605690000000001</v>
      </c>
      <c r="AH907">
        <v>0.56013584337324795</v>
      </c>
      <c r="AI907">
        <v>117.849919557569</v>
      </c>
      <c r="AJ907">
        <v>91.539028798389197</v>
      </c>
      <c r="AK907">
        <v>0.633741539106633</v>
      </c>
      <c r="AL907">
        <v>72.165239166653194</v>
      </c>
      <c r="AM907">
        <v>95.926491086179894</v>
      </c>
      <c r="AN907">
        <v>1.0000000098120501</v>
      </c>
    </row>
    <row r="908" spans="1:40" x14ac:dyDescent="0.25">
      <c r="A908" t="str">
        <f>"20190304164350303"</f>
        <v>20190304164350303</v>
      </c>
      <c r="B908" t="str">
        <f>"1551689030290868"</f>
        <v>1551689030290868</v>
      </c>
      <c r="C908" t="s">
        <v>40</v>
      </c>
      <c r="D908">
        <v>4.7599769999999904</v>
      </c>
      <c r="E908">
        <v>0.55305019999999905</v>
      </c>
      <c r="F908" t="s">
        <v>41</v>
      </c>
      <c r="G908">
        <v>-294.19369999999998</v>
      </c>
      <c r="H908">
        <v>0.82024959999999902</v>
      </c>
      <c r="I908">
        <v>367.81360000000001</v>
      </c>
      <c r="J908">
        <v>-294.6909</v>
      </c>
      <c r="K908">
        <v>1.06062099999999</v>
      </c>
      <c r="L908">
        <v>367.79520000000002</v>
      </c>
      <c r="M908">
        <v>0.99985590000000002</v>
      </c>
      <c r="N908">
        <v>-1.4901650000000001E-2</v>
      </c>
      <c r="O908">
        <v>8.1297399999999999E-3</v>
      </c>
      <c r="P908">
        <v>0.95044479999999998</v>
      </c>
      <c r="Q908">
        <v>0.2922825</v>
      </c>
      <c r="R908">
        <v>0.105951</v>
      </c>
      <c r="S908">
        <v>3.5198670000000001</v>
      </c>
      <c r="T908">
        <v>-1.220262</v>
      </c>
      <c r="U908">
        <v>0.1028442</v>
      </c>
      <c r="V908">
        <v>-9.8277459999999997E-2</v>
      </c>
      <c r="W908">
        <v>0.30640729999999999</v>
      </c>
      <c r="X908">
        <v>0.94681360000000003</v>
      </c>
      <c r="Y908">
        <v>-2.027524E-2</v>
      </c>
      <c r="Z908">
        <v>9.4974369999999998E-4</v>
      </c>
      <c r="AA908">
        <v>0.99979399999999996</v>
      </c>
      <c r="AB908">
        <v>38</v>
      </c>
      <c r="AC908">
        <v>0.49720000000002001</v>
      </c>
      <c r="AD908">
        <v>-0.24037139999999901</v>
      </c>
      <c r="AE908">
        <v>1.8399999999985501E-2</v>
      </c>
      <c r="AF908">
        <v>-1.16400075880477E-2</v>
      </c>
      <c r="AG908">
        <v>-0.24037139999999901</v>
      </c>
      <c r="AH908">
        <v>0.403219887955722</v>
      </c>
      <c r="AI908">
        <v>120.78993560871</v>
      </c>
      <c r="AJ908">
        <v>91.653534864362101</v>
      </c>
      <c r="AK908">
        <v>0.469574464550229</v>
      </c>
      <c r="AL908">
        <v>72.157148454900494</v>
      </c>
      <c r="AM908">
        <v>95.925972059882994</v>
      </c>
      <c r="AN908">
        <v>0.99999994289114902</v>
      </c>
    </row>
    <row r="909" spans="1:40" x14ac:dyDescent="0.25">
      <c r="A909" t="str">
        <f>"20190304164350314"</f>
        <v>20190304164350314</v>
      </c>
      <c r="B909" t="str">
        <f>"1551689030300627"</f>
        <v>1551689030300627</v>
      </c>
      <c r="C909" t="s">
        <v>40</v>
      </c>
      <c r="D909">
        <v>4.7334959999999997</v>
      </c>
      <c r="E909">
        <v>0.5652218</v>
      </c>
      <c r="F909" t="s">
        <v>41</v>
      </c>
      <c r="G909">
        <v>-293.87689999999998</v>
      </c>
      <c r="H909">
        <v>0.77857339999999997</v>
      </c>
      <c r="I909">
        <v>367.81849999999997</v>
      </c>
      <c r="J909">
        <v>-294.51080000000002</v>
      </c>
      <c r="K909">
        <v>1.0606199999999999</v>
      </c>
      <c r="L909">
        <v>367.79669999999999</v>
      </c>
      <c r="M909">
        <v>0.99985559999999996</v>
      </c>
      <c r="N909">
        <v>-1.489907E-2</v>
      </c>
      <c r="O909">
        <v>8.1754380000000001E-3</v>
      </c>
      <c r="P909">
        <v>0.95039370000000001</v>
      </c>
      <c r="Q909">
        <v>0.29244009999999998</v>
      </c>
      <c r="R909">
        <v>0.1059745</v>
      </c>
      <c r="S909">
        <v>3.520111</v>
      </c>
      <c r="T909">
        <v>-1.219606</v>
      </c>
      <c r="U909">
        <v>0.10186770000000001</v>
      </c>
      <c r="V909">
        <v>-9.8259250000000006E-2</v>
      </c>
      <c r="W909">
        <v>0.30656109999999998</v>
      </c>
      <c r="X909">
        <v>0.94676579999999999</v>
      </c>
      <c r="Y909">
        <v>-1.9972199999999999E-2</v>
      </c>
      <c r="Z909">
        <v>8.8126649999999997E-4</v>
      </c>
      <c r="AA909">
        <v>0.99980009999999997</v>
      </c>
      <c r="AB909">
        <v>37</v>
      </c>
      <c r="AC909">
        <v>0.63390000000003899</v>
      </c>
      <c r="AD909">
        <v>-0.28204659999999998</v>
      </c>
      <c r="AE909">
        <v>2.17999999999847E-2</v>
      </c>
      <c r="AF909">
        <v>-1.38730727383687E-2</v>
      </c>
      <c r="AG909">
        <v>-0.28204659999999998</v>
      </c>
      <c r="AH909">
        <v>0.52937940938102901</v>
      </c>
      <c r="AI909">
        <v>118.03996095733299</v>
      </c>
      <c r="AJ909">
        <v>91.501166486135304</v>
      </c>
      <c r="AK909">
        <v>0.59998775470452004</v>
      </c>
      <c r="AL909">
        <v>72.147892531968296</v>
      </c>
      <c r="AM909">
        <v>95.925178843458099</v>
      </c>
      <c r="AN909">
        <v>1.0000000341466999</v>
      </c>
    </row>
    <row r="910" spans="1:40" x14ac:dyDescent="0.25">
      <c r="A910" t="str">
        <f>"20190304164350324"</f>
        <v>20190304164350324</v>
      </c>
      <c r="B910" t="str">
        <f>"1551689030321123"</f>
        <v>1551689030321123</v>
      </c>
      <c r="C910" t="s">
        <v>40</v>
      </c>
      <c r="D910">
        <v>4.6570919999999996</v>
      </c>
      <c r="E910">
        <v>0.56717910000000005</v>
      </c>
      <c r="F910" t="s">
        <v>41</v>
      </c>
      <c r="G910">
        <v>-293.82909999999998</v>
      </c>
      <c r="H910">
        <v>0.89003089999999996</v>
      </c>
      <c r="I910">
        <v>367.7903</v>
      </c>
      <c r="J910">
        <v>-294.33819999999997</v>
      </c>
      <c r="K910">
        <v>1.0606260000000001</v>
      </c>
      <c r="L910">
        <v>367.79820000000001</v>
      </c>
      <c r="M910">
        <v>0.9998553</v>
      </c>
      <c r="N910">
        <v>-1.4896639999999999E-2</v>
      </c>
      <c r="O910">
        <v>8.2206650000000003E-3</v>
      </c>
      <c r="P910">
        <v>0.95045619999999997</v>
      </c>
      <c r="Q910">
        <v>0.29214800000000002</v>
      </c>
      <c r="R910">
        <v>0.1062207</v>
      </c>
      <c r="S910">
        <v>3.4237669999999998</v>
      </c>
      <c r="T910">
        <v>-0.85696329999999998</v>
      </c>
      <c r="U910">
        <v>-3.0853269999999999E-2</v>
      </c>
      <c r="V910">
        <v>-9.8463170000000003E-2</v>
      </c>
      <c r="W910">
        <v>0.30626700000000001</v>
      </c>
      <c r="X910">
        <v>0.94683969999999995</v>
      </c>
      <c r="Y910">
        <v>1.6468590000000002E-2</v>
      </c>
      <c r="Z910">
        <v>-4.0599440000000002E-3</v>
      </c>
      <c r="AA910">
        <v>0.99985610000000003</v>
      </c>
      <c r="AB910">
        <v>37</v>
      </c>
      <c r="AC910">
        <v>0.50909999999998901</v>
      </c>
      <c r="AD910">
        <v>-0.1705951</v>
      </c>
      <c r="AE910">
        <v>-7.9000000000064505E-3</v>
      </c>
      <c r="AF910">
        <v>1.08655757763341E-2</v>
      </c>
      <c r="AG910">
        <v>-0.1705951</v>
      </c>
      <c r="AH910">
        <v>0.45764314217542301</v>
      </c>
      <c r="AI910">
        <v>110.438603959709</v>
      </c>
      <c r="AJ910">
        <v>88.639912548129104</v>
      </c>
      <c r="AK910">
        <v>0.48852634981253101</v>
      </c>
      <c r="AL910">
        <v>72.165593069331905</v>
      </c>
      <c r="AM910">
        <v>95.936927671273196</v>
      </c>
      <c r="AN910">
        <v>0.999999944315767</v>
      </c>
    </row>
    <row r="911" spans="1:40" x14ac:dyDescent="0.25">
      <c r="A911" t="str">
        <f>"20190304164350336"</f>
        <v>20190304164350336</v>
      </c>
      <c r="B911" t="str">
        <f>"1551689030330883"</f>
        <v>1551689030330883</v>
      </c>
      <c r="C911" t="s">
        <v>40</v>
      </c>
      <c r="D911">
        <v>4.5790850000000001</v>
      </c>
      <c r="E911">
        <v>0.56715289999999996</v>
      </c>
      <c r="F911" t="s">
        <v>41</v>
      </c>
      <c r="G911">
        <v>-293.48660000000001</v>
      </c>
      <c r="H911">
        <v>0.90749840000000004</v>
      </c>
      <c r="I911">
        <v>367.78</v>
      </c>
      <c r="J911">
        <v>-294.12799999999999</v>
      </c>
      <c r="K911">
        <v>1.060629</v>
      </c>
      <c r="L911">
        <v>367.79989999999998</v>
      </c>
      <c r="M911">
        <v>0.99985489999999999</v>
      </c>
      <c r="N911">
        <v>-1.4893689999999999E-2</v>
      </c>
      <c r="O911">
        <v>8.2762719999999994E-3</v>
      </c>
      <c r="P911">
        <v>0.95037159999999998</v>
      </c>
      <c r="Q911">
        <v>0.29226010000000002</v>
      </c>
      <c r="R911">
        <v>0.1066685</v>
      </c>
      <c r="S911">
        <v>3.3494259999999998</v>
      </c>
      <c r="T911">
        <v>-0.60241369999999905</v>
      </c>
      <c r="U911">
        <v>-7.0434570000000002E-2</v>
      </c>
      <c r="V911">
        <v>-9.8860009999999998E-2</v>
      </c>
      <c r="W911">
        <v>0.30637510000000001</v>
      </c>
      <c r="X911">
        <v>0.94676349999999998</v>
      </c>
      <c r="Y911">
        <v>2.8688290000000002E-2</v>
      </c>
      <c r="Z911">
        <v>-4.1287759999999998E-3</v>
      </c>
      <c r="AA911">
        <v>0.99957989999999997</v>
      </c>
      <c r="AB911">
        <v>37</v>
      </c>
      <c r="AC911">
        <v>0.64139999999997599</v>
      </c>
      <c r="AD911">
        <v>-0.15313060000000001</v>
      </c>
      <c r="AE911">
        <v>-1.9900000000006898E-2</v>
      </c>
      <c r="AF911">
        <v>2.38501821411881E-2</v>
      </c>
      <c r="AG911">
        <v>-0.15313060000000001</v>
      </c>
      <c r="AH911">
        <v>0.60666723424067304</v>
      </c>
      <c r="AI911">
        <v>104.15578799389201</v>
      </c>
      <c r="AJ911">
        <v>87.748664592541402</v>
      </c>
      <c r="AK911">
        <v>0.62614929924560003</v>
      </c>
      <c r="AL911">
        <v>72.159088829638705</v>
      </c>
      <c r="AM911">
        <v>95.961159862866396</v>
      </c>
      <c r="AN911">
        <v>1.00000006420472</v>
      </c>
    </row>
    <row r="912" spans="1:40" x14ac:dyDescent="0.25">
      <c r="A912" t="str">
        <f>"20190304164350347"</f>
        <v>20190304164350347</v>
      </c>
      <c r="B912" t="str">
        <f>"1551689030340645"</f>
        <v>1551689030340645</v>
      </c>
      <c r="C912" t="s">
        <v>40</v>
      </c>
      <c r="D912">
        <v>4.5963880000000001</v>
      </c>
      <c r="E912">
        <v>0.56694909999999998</v>
      </c>
      <c r="F912" t="s">
        <v>41</v>
      </c>
      <c r="G912">
        <v>-293.15289999999999</v>
      </c>
      <c r="H912">
        <v>0.90697919999999999</v>
      </c>
      <c r="I912">
        <v>367.77719999999999</v>
      </c>
      <c r="J912">
        <v>-293.93959999999998</v>
      </c>
      <c r="K912">
        <v>1.0606310000000001</v>
      </c>
      <c r="L912">
        <v>367.80149999999998</v>
      </c>
      <c r="M912">
        <v>0.99985460000000004</v>
      </c>
      <c r="N912">
        <v>-1.4891110000000001E-2</v>
      </c>
      <c r="O912">
        <v>8.3275199999999997E-3</v>
      </c>
      <c r="P912">
        <v>0.95037309999999997</v>
      </c>
      <c r="Q912">
        <v>0.29217199999999999</v>
      </c>
      <c r="R912">
        <v>0.1068959</v>
      </c>
      <c r="S912">
        <v>3.3264770000000001</v>
      </c>
      <c r="T912">
        <v>-0.52432409999999996</v>
      </c>
      <c r="U912">
        <v>-7.6446529999999999E-2</v>
      </c>
      <c r="V912">
        <v>-9.9040030000000001E-2</v>
      </c>
      <c r="W912">
        <v>0.30628430000000001</v>
      </c>
      <c r="X912">
        <v>0.946774</v>
      </c>
      <c r="Y912">
        <v>3.0799900000000002E-2</v>
      </c>
      <c r="Z912">
        <v>-3.824151E-3</v>
      </c>
      <c r="AA912">
        <v>0.99951829999999997</v>
      </c>
      <c r="AB912">
        <v>37</v>
      </c>
      <c r="AC912">
        <v>0.78669999999999596</v>
      </c>
      <c r="AD912">
        <v>-0.15365179999999901</v>
      </c>
      <c r="AE912">
        <v>-2.4299999999982402E-2</v>
      </c>
      <c r="AF912">
        <v>2.9718558251334098E-2</v>
      </c>
      <c r="AG912">
        <v>-0.15365179999999901</v>
      </c>
      <c r="AH912">
        <v>0.75759801533817805</v>
      </c>
      <c r="AI912">
        <v>101.45632258325899</v>
      </c>
      <c r="AJ912">
        <v>87.753590499670906</v>
      </c>
      <c r="AK912">
        <v>0.77359344696818899</v>
      </c>
      <c r="AL912">
        <v>72.164552903929703</v>
      </c>
      <c r="AM912">
        <v>95.971870759801504</v>
      </c>
      <c r="AN912">
        <v>1.0000000035224399</v>
      </c>
    </row>
    <row r="913" spans="1:40" x14ac:dyDescent="0.25">
      <c r="A913" t="str">
        <f>"20190304164350358"</f>
        <v>20190304164350358</v>
      </c>
      <c r="B913" t="str">
        <f>"1551689030350404"</f>
        <v>1551689030350404</v>
      </c>
      <c r="C913" t="s">
        <v>40</v>
      </c>
      <c r="D913">
        <v>4.5933440000000001</v>
      </c>
      <c r="E913">
        <v>0.56700620000000002</v>
      </c>
      <c r="F913" t="s">
        <v>41</v>
      </c>
      <c r="G913">
        <v>-293.13400000000001</v>
      </c>
      <c r="H913">
        <v>0.94541949999999997</v>
      </c>
      <c r="I913">
        <v>367.7817</v>
      </c>
      <c r="J913">
        <v>-293.7697</v>
      </c>
      <c r="K913">
        <v>1.0606329999999999</v>
      </c>
      <c r="L913">
        <v>367.803</v>
      </c>
      <c r="M913">
        <v>0.99985409999999997</v>
      </c>
      <c r="N913">
        <v>-1.4888810000000001E-2</v>
      </c>
      <c r="O913">
        <v>8.3742299999999999E-3</v>
      </c>
      <c r="P913">
        <v>0.95022629999999997</v>
      </c>
      <c r="Q913">
        <v>0.29241909999999999</v>
      </c>
      <c r="R913">
        <v>0.10752340000000001</v>
      </c>
      <c r="S913">
        <v>3.3113709999999998</v>
      </c>
      <c r="T913">
        <v>-0.4738098</v>
      </c>
      <c r="U913">
        <v>-8.0108639999999995E-2</v>
      </c>
      <c r="V913">
        <v>-9.962551E-2</v>
      </c>
      <c r="W913">
        <v>0.30652669999999999</v>
      </c>
      <c r="X913">
        <v>0.94663410000000003</v>
      </c>
      <c r="Y913">
        <v>3.2126910000000002E-2</v>
      </c>
      <c r="Z913">
        <v>-3.5949340000000002E-3</v>
      </c>
      <c r="AA913">
        <v>0.99947730000000001</v>
      </c>
      <c r="AB913">
        <v>37</v>
      </c>
      <c r="AC913">
        <v>0.63569999999998505</v>
      </c>
      <c r="AD913">
        <v>-0.115213499999999</v>
      </c>
      <c r="AE913">
        <v>-2.1300000000053301E-2</v>
      </c>
      <c r="AF913">
        <v>2.5777562122267499E-2</v>
      </c>
      <c r="AG913">
        <v>-0.115213499999999</v>
      </c>
      <c r="AH913">
        <v>0.61531056553320695</v>
      </c>
      <c r="AI913">
        <v>100.59642709627801</v>
      </c>
      <c r="AJ913">
        <v>87.601077474384695</v>
      </c>
      <c r="AK913">
        <v>0.62653469604485001</v>
      </c>
      <c r="AL913">
        <v>72.149962375014297</v>
      </c>
      <c r="AM913">
        <v>96.007797646072504</v>
      </c>
      <c r="AN913">
        <v>0.99999998966922998</v>
      </c>
    </row>
    <row r="914" spans="1:40" x14ac:dyDescent="0.25">
      <c r="A914" t="str">
        <f>"20190304164350367"</f>
        <v>20190304164350367</v>
      </c>
      <c r="B914" t="str">
        <f>"1551689030361140"</f>
        <v>1551689030361140</v>
      </c>
      <c r="C914" t="s">
        <v>40</v>
      </c>
      <c r="D914">
        <v>4.5699209999999999</v>
      </c>
      <c r="E914">
        <v>0.56712390000000001</v>
      </c>
      <c r="F914" t="s">
        <v>41</v>
      </c>
      <c r="G914">
        <v>-292.80619999999999</v>
      </c>
      <c r="H914">
        <v>0.93343339999999997</v>
      </c>
      <c r="I914">
        <v>367.77870000000001</v>
      </c>
      <c r="J914">
        <v>-293.59519999999998</v>
      </c>
      <c r="K914">
        <v>1.0606340000000001</v>
      </c>
      <c r="L914">
        <v>367.80450000000002</v>
      </c>
      <c r="M914">
        <v>0.99985369999999996</v>
      </c>
      <c r="N914">
        <v>-1.488649E-2</v>
      </c>
      <c r="O914">
        <v>8.4231429999999993E-3</v>
      </c>
      <c r="P914">
        <v>0.95017220000000002</v>
      </c>
      <c r="Q914">
        <v>0.29245500000000002</v>
      </c>
      <c r="R914">
        <v>0.10790279999999999</v>
      </c>
      <c r="S914">
        <v>3.3006289999999998</v>
      </c>
      <c r="T914">
        <v>-0.43573669999999998</v>
      </c>
      <c r="U914">
        <v>-8.3038329999999994E-2</v>
      </c>
      <c r="V914">
        <v>-9.9959329999999999E-2</v>
      </c>
      <c r="W914">
        <v>0.30655939999999998</v>
      </c>
      <c r="X914">
        <v>0.94658830000000005</v>
      </c>
      <c r="Y914">
        <v>3.3192810000000003E-2</v>
      </c>
      <c r="Z914">
        <v>-3.4116329999999999E-3</v>
      </c>
      <c r="AA914">
        <v>0.99944319999999998</v>
      </c>
      <c r="AB914">
        <v>37</v>
      </c>
      <c r="AC914">
        <v>0.78899999999998705</v>
      </c>
      <c r="AD914">
        <v>-0.1272006</v>
      </c>
      <c r="AE914">
        <v>-2.5800000000003799E-2</v>
      </c>
      <c r="AF914">
        <v>3.1624601373815203E-2</v>
      </c>
      <c r="AG914">
        <v>-0.1272006</v>
      </c>
      <c r="AH914">
        <v>0.76879421427738703</v>
      </c>
      <c r="AI914">
        <v>99.386946916669203</v>
      </c>
      <c r="AJ914">
        <v>87.644447399038199</v>
      </c>
      <c r="AK914">
        <v>0.77988758930938096</v>
      </c>
      <c r="AL914">
        <v>72.147993706554004</v>
      </c>
      <c r="AM914">
        <v>96.028069801566005</v>
      </c>
      <c r="AN914">
        <v>0.99999997153964904</v>
      </c>
    </row>
    <row r="915" spans="1:40" x14ac:dyDescent="0.25">
      <c r="A915" t="str">
        <f>"20190304164350379"</f>
        <v>20190304164350379</v>
      </c>
      <c r="B915" t="str">
        <f>"1551689030370900"</f>
        <v>1551689030370900</v>
      </c>
      <c r="C915" t="s">
        <v>40</v>
      </c>
      <c r="D915">
        <v>4.7539949999999997</v>
      </c>
      <c r="E915">
        <v>0.56737930000000003</v>
      </c>
      <c r="F915" t="s">
        <v>41</v>
      </c>
      <c r="G915">
        <v>-292.7928</v>
      </c>
      <c r="H915">
        <v>0.96064349999999998</v>
      </c>
      <c r="I915">
        <v>367.78359999999998</v>
      </c>
      <c r="J915">
        <v>-293.40730000000002</v>
      </c>
      <c r="K915">
        <v>1.0606450000000001</v>
      </c>
      <c r="L915">
        <v>367.80610000000001</v>
      </c>
      <c r="M915">
        <v>0.99985349999999995</v>
      </c>
      <c r="N915">
        <v>-1.488402E-2</v>
      </c>
      <c r="O915">
        <v>8.4758719999999902E-3</v>
      </c>
      <c r="P915">
        <v>0.95010030000000001</v>
      </c>
      <c r="Q915">
        <v>0.2925546</v>
      </c>
      <c r="R915">
        <v>0.1082655</v>
      </c>
      <c r="S915">
        <v>3.2933650000000001</v>
      </c>
      <c r="T915">
        <v>-0.41042909999999999</v>
      </c>
      <c r="U915">
        <v>-8.5449220000000006E-2</v>
      </c>
      <c r="V915">
        <v>-0.1002738</v>
      </c>
      <c r="W915">
        <v>0.30665510000000001</v>
      </c>
      <c r="X915">
        <v>0.94652409999999998</v>
      </c>
      <c r="Y915">
        <v>3.4064289999999997E-2</v>
      </c>
      <c r="Z915">
        <v>-3.295077E-3</v>
      </c>
      <c r="AA915">
        <v>0.99941420000000003</v>
      </c>
      <c r="AB915">
        <v>37</v>
      </c>
      <c r="AC915">
        <v>0.61450000000002003</v>
      </c>
      <c r="AD915">
        <v>-0.10000149999999999</v>
      </c>
      <c r="AE915">
        <v>-2.25000000000363E-2</v>
      </c>
      <c r="AF915">
        <v>2.69942557924834E-2</v>
      </c>
      <c r="AG915">
        <v>-0.10000149999999999</v>
      </c>
      <c r="AH915">
        <v>0.59845933908889304</v>
      </c>
      <c r="AI915">
        <v>99.476918538405201</v>
      </c>
      <c r="AJ915">
        <v>87.417352898494798</v>
      </c>
      <c r="AK915">
        <v>0.60735703699780696</v>
      </c>
      <c r="AL915">
        <v>72.142234097754496</v>
      </c>
      <c r="AM915">
        <v>96.047300801448699</v>
      </c>
      <c r="AN915">
        <v>1.00000002860162</v>
      </c>
    </row>
    <row r="916" spans="1:40" x14ac:dyDescent="0.25">
      <c r="A916" t="str">
        <f>"20190304164350390"</f>
        <v>20190304164350390</v>
      </c>
      <c r="B916" t="str">
        <f>"1551689030380660"</f>
        <v>1551689030380660</v>
      </c>
      <c r="C916" t="s">
        <v>40</v>
      </c>
      <c r="D916">
        <v>4.5651900000000003</v>
      </c>
      <c r="E916">
        <v>0.56740550000000001</v>
      </c>
      <c r="F916" t="s">
        <v>41</v>
      </c>
      <c r="G916">
        <v>-292.464</v>
      </c>
      <c r="H916">
        <v>0.95140769999999997</v>
      </c>
      <c r="I916">
        <v>367.7801</v>
      </c>
      <c r="J916">
        <v>-293.22359999999998</v>
      </c>
      <c r="K916">
        <v>1.0606469999999999</v>
      </c>
      <c r="L916">
        <v>367.80770000000001</v>
      </c>
      <c r="M916">
        <v>0.99985290000000004</v>
      </c>
      <c r="N916">
        <v>-1.488162E-2</v>
      </c>
      <c r="O916">
        <v>8.5282999999999904E-3</v>
      </c>
      <c r="P916">
        <v>0.9500691</v>
      </c>
      <c r="Q916">
        <v>0.29256110000000002</v>
      </c>
      <c r="R916">
        <v>0.10852150000000001</v>
      </c>
      <c r="S916">
        <v>3.2849729999999999</v>
      </c>
      <c r="T916">
        <v>-0.38065159999999998</v>
      </c>
      <c r="U916">
        <v>-8.9721679999999998E-2</v>
      </c>
      <c r="V916">
        <v>-0.1004809</v>
      </c>
      <c r="W916">
        <v>0.30665870000000001</v>
      </c>
      <c r="X916">
        <v>0.94650100000000004</v>
      </c>
      <c r="Y916">
        <v>3.5516109999999997E-2</v>
      </c>
      <c r="Z916">
        <v>-3.1740760000000001E-3</v>
      </c>
      <c r="AA916">
        <v>0.99936409999999998</v>
      </c>
      <c r="AB916">
        <v>37</v>
      </c>
      <c r="AC916">
        <v>0.75959999999997696</v>
      </c>
      <c r="AD916">
        <v>-0.109239299999999</v>
      </c>
      <c r="AE916">
        <v>-2.7600000000006699E-2</v>
      </c>
      <c r="AF916">
        <v>3.3388193329563103E-2</v>
      </c>
      <c r="AG916">
        <v>-0.109239299999999</v>
      </c>
      <c r="AH916">
        <v>0.74397061347726401</v>
      </c>
      <c r="AI916">
        <v>98.344929589111601</v>
      </c>
      <c r="AJ916">
        <v>87.430382635664202</v>
      </c>
      <c r="AK916">
        <v>0.75268869384097903</v>
      </c>
      <c r="AL916">
        <v>72.142017902957306</v>
      </c>
      <c r="AM916">
        <v>96.059844521409303</v>
      </c>
      <c r="AN916">
        <v>1.0000000562757401</v>
      </c>
    </row>
    <row r="917" spans="1:40" x14ac:dyDescent="0.25">
      <c r="A917" t="str">
        <f>"20190304164350405"</f>
        <v>20190304164350405</v>
      </c>
      <c r="B917" t="str">
        <f>"1551689030401155"</f>
        <v>1551689030401155</v>
      </c>
      <c r="C917" t="s">
        <v>40</v>
      </c>
      <c r="D917">
        <v>4.5540640000000003</v>
      </c>
      <c r="E917">
        <v>0.56763759999999996</v>
      </c>
      <c r="F917" t="s">
        <v>41</v>
      </c>
      <c r="G917">
        <v>-292.45170000000002</v>
      </c>
      <c r="H917">
        <v>0.97639880000000001</v>
      </c>
      <c r="I917">
        <v>367.78590000000003</v>
      </c>
      <c r="J917">
        <v>-293.00479999999999</v>
      </c>
      <c r="K917">
        <v>1.060646</v>
      </c>
      <c r="L917">
        <v>367.80959999999999</v>
      </c>
      <c r="M917">
        <v>0.99985239999999997</v>
      </c>
      <c r="N917">
        <v>-1.4878769999999999E-2</v>
      </c>
      <c r="O917">
        <v>8.5912780000000008E-3</v>
      </c>
      <c r="P917">
        <v>0.95012430000000003</v>
      </c>
      <c r="Q917">
        <v>0.29243550000000001</v>
      </c>
      <c r="R917">
        <v>0.1083771</v>
      </c>
      <c r="S917">
        <v>3.2784119999999999</v>
      </c>
      <c r="T917">
        <v>-0.35802319999999999</v>
      </c>
      <c r="U917">
        <v>-9.1766360000000005E-2</v>
      </c>
      <c r="V917">
        <v>-0.10027709999999999</v>
      </c>
      <c r="W917">
        <v>0.30653069999999999</v>
      </c>
      <c r="X917">
        <v>0.94656399999999996</v>
      </c>
      <c r="Y917">
        <v>3.6284749999999998E-2</v>
      </c>
      <c r="Z917">
        <v>-3.0537170000000001E-3</v>
      </c>
      <c r="AA917">
        <v>0.99933680000000003</v>
      </c>
      <c r="AB917">
        <v>37</v>
      </c>
      <c r="AC917">
        <v>0.55309999999997195</v>
      </c>
      <c r="AD917">
        <v>-8.42471999999998E-2</v>
      </c>
      <c r="AE917">
        <v>-2.3699999999962501E-2</v>
      </c>
      <c r="AF917">
        <v>2.78075119026359E-2</v>
      </c>
      <c r="AG917">
        <v>-8.42471999999998E-2</v>
      </c>
      <c r="AH917">
        <v>0.54036207164444305</v>
      </c>
      <c r="AI917">
        <v>98.850049556578796</v>
      </c>
      <c r="AJ917">
        <v>87.054106949714495</v>
      </c>
      <c r="AK917">
        <v>0.54759658225552299</v>
      </c>
      <c r="AL917">
        <v>72.149721542205398</v>
      </c>
      <c r="AM917">
        <v>96.047245314703702</v>
      </c>
      <c r="AN917">
        <v>0.99999998646144905</v>
      </c>
    </row>
    <row r="918" spans="1:40" x14ac:dyDescent="0.25">
      <c r="A918" t="str">
        <f>"20190304164350419"</f>
        <v>20190304164350419</v>
      </c>
      <c r="B918" t="str">
        <f>"1551689030410916"</f>
        <v>1551689030410916</v>
      </c>
      <c r="C918" t="s">
        <v>40</v>
      </c>
      <c r="D918">
        <v>4.5556729999999996</v>
      </c>
      <c r="E918">
        <v>0.56765399999999999</v>
      </c>
      <c r="F918" t="s">
        <v>41</v>
      </c>
      <c r="G918">
        <v>-292.1207</v>
      </c>
      <c r="H918">
        <v>0.9725009</v>
      </c>
      <c r="I918">
        <v>367.78320000000002</v>
      </c>
      <c r="J918">
        <v>-292.75119999999998</v>
      </c>
      <c r="K918">
        <v>1.060648</v>
      </c>
      <c r="L918">
        <v>367.81189999999998</v>
      </c>
      <c r="M918">
        <v>0.99985190000000002</v>
      </c>
      <c r="N918">
        <v>-1.487548E-2</v>
      </c>
      <c r="O918">
        <v>8.6646880000000003E-3</v>
      </c>
      <c r="P918">
        <v>0.95010819999999996</v>
      </c>
      <c r="Q918">
        <v>0.29239670000000001</v>
      </c>
      <c r="R918">
        <v>0.10862189999999999</v>
      </c>
      <c r="S918">
        <v>3.2688600000000001</v>
      </c>
      <c r="T918">
        <v>-0.325997599999999</v>
      </c>
      <c r="U918">
        <v>-9.6984860000000006E-2</v>
      </c>
      <c r="V918">
        <v>-0.100452399999999</v>
      </c>
      <c r="W918">
        <v>0.3064885</v>
      </c>
      <c r="X918">
        <v>0.94655909999999999</v>
      </c>
      <c r="Y918">
        <v>3.8068909999999997E-2</v>
      </c>
      <c r="Z918">
        <v>-2.9104030000000002E-3</v>
      </c>
      <c r="AA918">
        <v>0.99927089999999996</v>
      </c>
      <c r="AB918">
        <v>37</v>
      </c>
      <c r="AC918">
        <v>0.63049999999998296</v>
      </c>
      <c r="AD918">
        <v>-8.8147100000000006E-2</v>
      </c>
      <c r="AE918">
        <v>-2.8699999999957902E-2</v>
      </c>
      <c r="AF918">
        <v>3.3509017353614098E-2</v>
      </c>
      <c r="AG918">
        <v>-8.8147100000000006E-2</v>
      </c>
      <c r="AH918">
        <v>0.61817018547333302</v>
      </c>
      <c r="AI918">
        <v>98.103564247408102</v>
      </c>
      <c r="AJ918">
        <v>86.897216759350201</v>
      </c>
      <c r="AK918">
        <v>0.625321632194625</v>
      </c>
      <c r="AL918">
        <v>72.152262076474898</v>
      </c>
      <c r="AM918">
        <v>96.0577694302048</v>
      </c>
      <c r="AN918">
        <v>1.0000000075454001</v>
      </c>
    </row>
    <row r="919" spans="1:40" x14ac:dyDescent="0.25">
      <c r="A919" t="str">
        <f>"20190304164350432"</f>
        <v>20190304164350432</v>
      </c>
      <c r="B919" t="str">
        <f>"1551689030420676"</f>
        <v>1551689030420676</v>
      </c>
      <c r="C919" t="s">
        <v>40</v>
      </c>
      <c r="D919">
        <v>4.626995</v>
      </c>
      <c r="E919">
        <v>0.56781719999999902</v>
      </c>
      <c r="F919" t="s">
        <v>41</v>
      </c>
      <c r="G919">
        <v>-291.7903</v>
      </c>
      <c r="H919">
        <v>0.96808830000000001</v>
      </c>
      <c r="I919">
        <v>367.78280000000001</v>
      </c>
      <c r="J919">
        <v>-292.54059999999998</v>
      </c>
      <c r="K919">
        <v>1.0606500000000001</v>
      </c>
      <c r="L919">
        <v>367.81369999999998</v>
      </c>
      <c r="M919">
        <v>0.9998513</v>
      </c>
      <c r="N919">
        <v>-1.487278E-2</v>
      </c>
      <c r="O919">
        <v>8.7264639999999997E-3</v>
      </c>
      <c r="P919">
        <v>0.95012030000000003</v>
      </c>
      <c r="Q919">
        <v>0.29237540000000001</v>
      </c>
      <c r="R919">
        <v>0.1085737</v>
      </c>
      <c r="S919">
        <v>3.2655940000000001</v>
      </c>
      <c r="T919">
        <v>-0.31486560000000002</v>
      </c>
      <c r="U919">
        <v>-9.7412109999999996E-2</v>
      </c>
      <c r="V919">
        <v>-0.1003462</v>
      </c>
      <c r="W919">
        <v>0.3064654</v>
      </c>
      <c r="X919">
        <v>0.94657780000000002</v>
      </c>
      <c r="Y919">
        <v>3.8305029999999997E-2</v>
      </c>
      <c r="Z919">
        <v>-2.8374559999999999E-3</v>
      </c>
      <c r="AA919">
        <v>0.99926199999999998</v>
      </c>
      <c r="AB919">
        <v>37</v>
      </c>
      <c r="AC919">
        <v>0.75029999999998098</v>
      </c>
      <c r="AD919">
        <v>-9.2561699999999997E-2</v>
      </c>
      <c r="AE919">
        <v>-3.0899999999974101E-2</v>
      </c>
      <c r="AF919">
        <v>3.6886578606126201E-2</v>
      </c>
      <c r="AG919">
        <v>-9.2561699999999997E-2</v>
      </c>
      <c r="AH919">
        <v>0.73877716385215997</v>
      </c>
      <c r="AI919">
        <v>97.132606193019498</v>
      </c>
      <c r="AJ919">
        <v>87.141639214515905</v>
      </c>
      <c r="AK919">
        <v>0.74546628751245203</v>
      </c>
      <c r="AL919">
        <v>72.1536517598892</v>
      </c>
      <c r="AM919">
        <v>96.051293937358096</v>
      </c>
      <c r="AN919">
        <v>0.99999996635221899</v>
      </c>
    </row>
    <row r="920" spans="1:40" x14ac:dyDescent="0.25">
      <c r="A920" t="str">
        <f>"20190304164350448"</f>
        <v>20190304164350448</v>
      </c>
      <c r="B920" t="str">
        <f>"1551689030441171"</f>
        <v>1551689030441171</v>
      </c>
      <c r="C920" t="s">
        <v>40</v>
      </c>
      <c r="D920">
        <v>4.5843499999999997</v>
      </c>
      <c r="E920">
        <v>0.56802339999999996</v>
      </c>
      <c r="F920" t="s">
        <v>41</v>
      </c>
      <c r="G920">
        <v>-291.78050000000002</v>
      </c>
      <c r="H920">
        <v>0.98788770000000004</v>
      </c>
      <c r="I920">
        <v>367.79020000000003</v>
      </c>
      <c r="J920">
        <v>-292.27420000000001</v>
      </c>
      <c r="K920">
        <v>1.060654</v>
      </c>
      <c r="L920">
        <v>367.81610000000001</v>
      </c>
      <c r="M920">
        <v>0.99985080000000004</v>
      </c>
      <c r="N920">
        <v>-1.486941E-2</v>
      </c>
      <c r="O920">
        <v>8.8043989999999992E-3</v>
      </c>
      <c r="P920">
        <v>0.95001360000000001</v>
      </c>
      <c r="Q920">
        <v>0.29285850000000002</v>
      </c>
      <c r="R920">
        <v>0.1082042</v>
      </c>
      <c r="S920">
        <v>3.2651669999999999</v>
      </c>
      <c r="T920">
        <v>-0.31296350000000001</v>
      </c>
      <c r="U920">
        <v>-9.9548339999999999E-2</v>
      </c>
      <c r="V920">
        <v>-9.9904350000000003E-2</v>
      </c>
      <c r="W920">
        <v>0.30694329999999997</v>
      </c>
      <c r="X920">
        <v>0.94646969999999997</v>
      </c>
      <c r="Y920">
        <v>3.9038490000000002E-2</v>
      </c>
      <c r="Z920">
        <v>-2.8684370000000002E-3</v>
      </c>
      <c r="AA920">
        <v>0.99923360000000006</v>
      </c>
      <c r="AB920">
        <v>37</v>
      </c>
      <c r="AC920">
        <v>0.49369999999998898</v>
      </c>
      <c r="AD920">
        <v>-7.2766299999999895E-2</v>
      </c>
      <c r="AE920">
        <v>-2.58999999999787E-2</v>
      </c>
      <c r="AF920">
        <v>2.9604845344584602E-2</v>
      </c>
      <c r="AG920">
        <v>-7.2766299999999895E-2</v>
      </c>
      <c r="AH920">
        <v>0.48298927144206799</v>
      </c>
      <c r="AI920">
        <v>98.551833004471803</v>
      </c>
      <c r="AJ920">
        <v>86.492441400753194</v>
      </c>
      <c r="AK920">
        <v>0.48933630318187699</v>
      </c>
      <c r="AL920">
        <v>72.124883886999399</v>
      </c>
      <c r="AM920">
        <v>96.025528011005605</v>
      </c>
      <c r="AN920">
        <v>0.99999998079095098</v>
      </c>
    </row>
    <row r="921" spans="1:40" x14ac:dyDescent="0.25">
      <c r="A921" t="str">
        <f>"20190304164350460"</f>
        <v>20190304164350460</v>
      </c>
      <c r="B921" t="str">
        <f>"1551689030450931"</f>
        <v>1551689030450931</v>
      </c>
      <c r="C921" t="s">
        <v>40</v>
      </c>
      <c r="D921">
        <v>4.6222289999999999</v>
      </c>
      <c r="E921">
        <v>0.56815729999999998</v>
      </c>
      <c r="F921" t="s">
        <v>41</v>
      </c>
      <c r="G921">
        <v>-291.45069999999998</v>
      </c>
      <c r="H921">
        <v>0.98297299999999999</v>
      </c>
      <c r="I921">
        <v>367.79020000000003</v>
      </c>
      <c r="J921">
        <v>-292.06830000000002</v>
      </c>
      <c r="K921">
        <v>1.0606549999999999</v>
      </c>
      <c r="L921">
        <v>367.81799999999998</v>
      </c>
      <c r="M921">
        <v>0.99985029999999997</v>
      </c>
      <c r="N921">
        <v>-1.4866839999999999E-2</v>
      </c>
      <c r="O921">
        <v>8.8647999999999904E-3</v>
      </c>
      <c r="P921">
        <v>0.95001809999999998</v>
      </c>
      <c r="Q921">
        <v>0.29291089999999997</v>
      </c>
      <c r="R921">
        <v>0.1080242</v>
      </c>
      <c r="S921">
        <v>3.264465</v>
      </c>
      <c r="T921">
        <v>-0.30802449999999998</v>
      </c>
      <c r="U921">
        <v>-0.10229489999999999</v>
      </c>
      <c r="V921">
        <v>-9.9666630000000006E-2</v>
      </c>
      <c r="W921">
        <v>0.30699369999999998</v>
      </c>
      <c r="X921">
        <v>0.94647840000000005</v>
      </c>
      <c r="Y921">
        <v>3.9947440000000001E-2</v>
      </c>
      <c r="Z921">
        <v>-2.8807189999999999E-3</v>
      </c>
      <c r="AA921">
        <v>0.99919760000000002</v>
      </c>
      <c r="AB921">
        <v>37</v>
      </c>
      <c r="AC921">
        <v>0.61760000000003801</v>
      </c>
      <c r="AD921">
        <v>-7.7681999999999904E-2</v>
      </c>
      <c r="AE921">
        <v>-2.78000000000133E-2</v>
      </c>
      <c r="AF921">
        <v>3.2757217581692699E-2</v>
      </c>
      <c r="AG921">
        <v>-7.7681999999999904E-2</v>
      </c>
      <c r="AH921">
        <v>0.60773391275101396</v>
      </c>
      <c r="AI921">
        <v>97.273738593196896</v>
      </c>
      <c r="AJ921">
        <v>86.914709134278695</v>
      </c>
      <c r="AK921">
        <v>0.61355361390456398</v>
      </c>
      <c r="AL921">
        <v>72.121849401597302</v>
      </c>
      <c r="AM921">
        <v>96.011240667810597</v>
      </c>
      <c r="AN921">
        <v>0.99999996532090296</v>
      </c>
    </row>
    <row r="922" spans="1:40" x14ac:dyDescent="0.25">
      <c r="A922" t="str">
        <f>"20190304164350474"</f>
        <v>20190304164350474</v>
      </c>
      <c r="B922" t="str">
        <f>"1551689030460692"</f>
        <v>1551689030460692</v>
      </c>
      <c r="C922" t="s">
        <v>40</v>
      </c>
      <c r="D922">
        <v>4.6098499999999998</v>
      </c>
      <c r="E922">
        <v>0.56823129999999999</v>
      </c>
      <c r="F922" t="s">
        <v>41</v>
      </c>
      <c r="G922">
        <v>-291.12430000000001</v>
      </c>
      <c r="H922">
        <v>0.97191939999999999</v>
      </c>
      <c r="I922">
        <v>367.7878</v>
      </c>
      <c r="J922">
        <v>-291.8458</v>
      </c>
      <c r="K922">
        <v>1.060659</v>
      </c>
      <c r="L922">
        <v>367.82</v>
      </c>
      <c r="M922">
        <v>0.99984969999999995</v>
      </c>
      <c r="N922">
        <v>-1.48641E-2</v>
      </c>
      <c r="O922">
        <v>8.9302679999999999E-3</v>
      </c>
      <c r="P922">
        <v>0.94995490000000005</v>
      </c>
      <c r="Q922">
        <v>0.29324060000000002</v>
      </c>
      <c r="R922">
        <v>0.10768460000000001</v>
      </c>
      <c r="S922">
        <v>3.264313</v>
      </c>
      <c r="T922">
        <v>-0.30714130000000001</v>
      </c>
      <c r="U922">
        <v>-0.1036682</v>
      </c>
      <c r="V922">
        <v>-9.9265679999999995E-2</v>
      </c>
      <c r="W922">
        <v>0.30731950000000002</v>
      </c>
      <c r="X922">
        <v>0.9464148</v>
      </c>
      <c r="Y922">
        <v>4.0432849999999999E-2</v>
      </c>
      <c r="Z922">
        <v>-2.9046179999999999E-3</v>
      </c>
      <c r="AA922">
        <v>0.99917809999999996</v>
      </c>
      <c r="AB922">
        <v>37</v>
      </c>
      <c r="AC922">
        <v>0.72149999999999104</v>
      </c>
      <c r="AD922">
        <v>-8.8739600000000002E-2</v>
      </c>
      <c r="AE922">
        <v>-3.2199999999988897E-2</v>
      </c>
      <c r="AF922">
        <v>3.8067894747577401E-2</v>
      </c>
      <c r="AG922">
        <v>-8.8739600000000002E-2</v>
      </c>
      <c r="AH922">
        <v>0.71045767341204202</v>
      </c>
      <c r="AI922">
        <v>97.109553686478606</v>
      </c>
      <c r="AJ922">
        <v>86.932898336011903</v>
      </c>
      <c r="AK922">
        <v>0.716989530557262</v>
      </c>
      <c r="AL922">
        <v>72.102234156130507</v>
      </c>
      <c r="AM922">
        <v>95.987633415881206</v>
      </c>
      <c r="AN922">
        <v>0.99999996198257501</v>
      </c>
    </row>
    <row r="923" spans="1:40" x14ac:dyDescent="0.25">
      <c r="A923" t="str">
        <f>"20190304164350487"</f>
        <v>20190304164350487</v>
      </c>
      <c r="B923" t="str">
        <f>"1551689030481188"</f>
        <v>1551689030481188</v>
      </c>
      <c r="C923" t="s">
        <v>40</v>
      </c>
      <c r="D923">
        <v>4.5662989999999999</v>
      </c>
      <c r="E923">
        <v>0.56834269999999998</v>
      </c>
      <c r="F923" t="s">
        <v>41</v>
      </c>
      <c r="G923">
        <v>-291.11320000000001</v>
      </c>
      <c r="H923">
        <v>0.99225280000000005</v>
      </c>
      <c r="I923">
        <v>367.7962</v>
      </c>
      <c r="J923">
        <v>-291.62779999999998</v>
      </c>
      <c r="K923">
        <v>1.0606610000000001</v>
      </c>
      <c r="L923">
        <v>367.822</v>
      </c>
      <c r="M923">
        <v>0.99984919999999999</v>
      </c>
      <c r="N923">
        <v>-1.486143E-2</v>
      </c>
      <c r="O923">
        <v>8.9942430000000007E-3</v>
      </c>
      <c r="P923">
        <v>0.94991499999999995</v>
      </c>
      <c r="Q923">
        <v>0.29350510000000002</v>
      </c>
      <c r="R923">
        <v>0.1073151</v>
      </c>
      <c r="S923">
        <v>3.2641300000000002</v>
      </c>
      <c r="T923">
        <v>-0.30514289999999999</v>
      </c>
      <c r="U923">
        <v>-0.1049805</v>
      </c>
      <c r="V923">
        <v>-9.8836320000000005E-2</v>
      </c>
      <c r="W923">
        <v>0.3075813</v>
      </c>
      <c r="X923">
        <v>0.94637470000000001</v>
      </c>
      <c r="Y923">
        <v>4.0900180000000001E-2</v>
      </c>
      <c r="Z923">
        <v>-2.91728E-3</v>
      </c>
      <c r="AA923">
        <v>0.99915900000000002</v>
      </c>
      <c r="AB923">
        <v>37</v>
      </c>
      <c r="AC923">
        <v>0.51459999999997297</v>
      </c>
      <c r="AD923">
        <v>-6.8408200000000002E-2</v>
      </c>
      <c r="AE923">
        <v>-2.57999999999469E-2</v>
      </c>
      <c r="AF923">
        <v>2.9900832642932099E-2</v>
      </c>
      <c r="AG923">
        <v>-6.8408200000000002E-2</v>
      </c>
      <c r="AH923">
        <v>0.50543758920145998</v>
      </c>
      <c r="AI923">
        <v>97.694541258440594</v>
      </c>
      <c r="AJ923">
        <v>86.614424447514693</v>
      </c>
      <c r="AK923">
        <v>0.51092161649098899</v>
      </c>
      <c r="AL923">
        <v>72.086470812258696</v>
      </c>
      <c r="AM923">
        <v>95.962172475069906</v>
      </c>
      <c r="AN923">
        <v>0.99999997353046</v>
      </c>
    </row>
    <row r="924" spans="1:40" x14ac:dyDescent="0.25">
      <c r="A924" t="str">
        <f>"20190304164350503"</f>
        <v>20190304164350503</v>
      </c>
      <c r="B924" t="str">
        <f>"1551689030490949"</f>
        <v>1551689030490949</v>
      </c>
      <c r="C924" t="s">
        <v>40</v>
      </c>
      <c r="D924">
        <v>4.8287430000000002</v>
      </c>
      <c r="E924">
        <v>0.56838710000000003</v>
      </c>
      <c r="F924" t="s">
        <v>41</v>
      </c>
      <c r="G924">
        <v>-290.78739999999999</v>
      </c>
      <c r="H924">
        <v>0.98292570000000001</v>
      </c>
      <c r="I924">
        <v>367.79410000000001</v>
      </c>
      <c r="J924">
        <v>-291.36439999999999</v>
      </c>
      <c r="K924">
        <v>1.0606719999999901</v>
      </c>
      <c r="L924">
        <v>367.82440000000003</v>
      </c>
      <c r="M924">
        <v>0.99984850000000003</v>
      </c>
      <c r="N924">
        <v>-1.485822E-2</v>
      </c>
      <c r="O924">
        <v>9.0719890000000008E-3</v>
      </c>
      <c r="P924">
        <v>0.949797</v>
      </c>
      <c r="Q924">
        <v>0.29392430000000003</v>
      </c>
      <c r="R924">
        <v>0.107211</v>
      </c>
      <c r="S924">
        <v>3.2636720000000001</v>
      </c>
      <c r="T924">
        <v>-0.30215599999999998</v>
      </c>
      <c r="U924">
        <v>-0.1075134</v>
      </c>
      <c r="V924">
        <v>-9.8659040000000003E-2</v>
      </c>
      <c r="W924">
        <v>0.30799549999999998</v>
      </c>
      <c r="X924">
        <v>0.9462585</v>
      </c>
      <c r="Y924">
        <v>4.1756849999999998E-2</v>
      </c>
      <c r="Z924">
        <v>-2.942783E-3</v>
      </c>
      <c r="AA924">
        <v>0.99912350000000005</v>
      </c>
      <c r="AB924">
        <v>37</v>
      </c>
      <c r="AC924">
        <v>0.57699999999999796</v>
      </c>
      <c r="AD924">
        <v>-7.7746299999999796E-2</v>
      </c>
      <c r="AE924">
        <v>-3.0300000000010999E-2</v>
      </c>
      <c r="AF924">
        <v>3.49019489669418E-2</v>
      </c>
      <c r="AG924">
        <v>-7.7746299999999796E-2</v>
      </c>
      <c r="AH924">
        <v>0.566445527646535</v>
      </c>
      <c r="AI924">
        <v>97.800571064385494</v>
      </c>
      <c r="AJ924">
        <v>86.474136766370407</v>
      </c>
      <c r="AK924">
        <v>0.57282036363605504</v>
      </c>
      <c r="AL924">
        <v>72.061528382308794</v>
      </c>
      <c r="AM924">
        <v>95.952280718527106</v>
      </c>
      <c r="AN924">
        <v>0.99999999150811003</v>
      </c>
    </row>
    <row r="925" spans="1:40" x14ac:dyDescent="0.25">
      <c r="A925" t="str">
        <f>"20190304164350513"</f>
        <v>20190304164350513</v>
      </c>
      <c r="B925" t="str">
        <f>"1551689030500707"</f>
        <v>1551689030500707</v>
      </c>
      <c r="C925" t="s">
        <v>40</v>
      </c>
      <c r="D925">
        <v>4.5562630000000004</v>
      </c>
      <c r="E925">
        <v>0.56844839999999996</v>
      </c>
      <c r="F925" t="s">
        <v>41</v>
      </c>
      <c r="G925">
        <v>-290.45850000000002</v>
      </c>
      <c r="H925">
        <v>0.97854569999999996</v>
      </c>
      <c r="I925">
        <v>367.79399999999998</v>
      </c>
      <c r="J925">
        <v>-291.1841</v>
      </c>
      <c r="K925">
        <v>1.060675</v>
      </c>
      <c r="L925">
        <v>367.8261</v>
      </c>
      <c r="M925">
        <v>0.99984810000000002</v>
      </c>
      <c r="N925">
        <v>-1.4856029999999999E-2</v>
      </c>
      <c r="O925">
        <v>9.1249899999999995E-3</v>
      </c>
      <c r="P925">
        <v>0.94971349999999999</v>
      </c>
      <c r="Q925">
        <v>0.29436099999999998</v>
      </c>
      <c r="R925">
        <v>0.1067529</v>
      </c>
      <c r="S925">
        <v>3.2624209999999998</v>
      </c>
      <c r="T925">
        <v>-0.29599890000000001</v>
      </c>
      <c r="U925">
        <v>-0.1088562</v>
      </c>
      <c r="V925">
        <v>-9.8151360000000007E-2</v>
      </c>
      <c r="W925">
        <v>0.30842920000000001</v>
      </c>
      <c r="X925">
        <v>0.94616999999999996</v>
      </c>
      <c r="Y925">
        <v>4.2239640000000002E-2</v>
      </c>
      <c r="Z925">
        <v>-2.9170630000000001E-3</v>
      </c>
      <c r="AA925">
        <v>0.99910319999999997</v>
      </c>
      <c r="AB925">
        <v>37</v>
      </c>
      <c r="AC925">
        <v>0.72559999999998503</v>
      </c>
      <c r="AD925">
        <v>-8.2129299999999905E-2</v>
      </c>
      <c r="AE925">
        <v>-3.20999999999571E-2</v>
      </c>
      <c r="AF925">
        <v>3.8231636337219099E-2</v>
      </c>
      <c r="AG925">
        <v>-8.2129299999999905E-2</v>
      </c>
      <c r="AH925">
        <v>0.71612015067519796</v>
      </c>
      <c r="AI925">
        <v>96.5332436497727</v>
      </c>
      <c r="AJ925">
        <v>86.944040982119404</v>
      </c>
      <c r="AK925">
        <v>0.72182750719169697</v>
      </c>
      <c r="AL925">
        <v>72.035407083926799</v>
      </c>
      <c r="AM925">
        <v>95.922419640887</v>
      </c>
      <c r="AN925">
        <v>0.99999996489124399</v>
      </c>
    </row>
    <row r="926" spans="1:40" x14ac:dyDescent="0.25">
      <c r="A926" t="str">
        <f>"20190304164350526"</f>
        <v>20190304164350526</v>
      </c>
      <c r="B926" t="str">
        <f>"1551689030521204"</f>
        <v>1551689030521204</v>
      </c>
      <c r="C926" t="s">
        <v>40</v>
      </c>
      <c r="D926">
        <v>4.6298659999999998</v>
      </c>
      <c r="E926">
        <v>0.56853169999999897</v>
      </c>
      <c r="F926" t="s">
        <v>41</v>
      </c>
      <c r="G926">
        <v>-290.44819999999999</v>
      </c>
      <c r="H926">
        <v>0.99524279999999998</v>
      </c>
      <c r="I926">
        <v>367.80079999999998</v>
      </c>
      <c r="J926">
        <v>-290.9871</v>
      </c>
      <c r="K926">
        <v>1.060678</v>
      </c>
      <c r="L926">
        <v>367.82799999999997</v>
      </c>
      <c r="M926">
        <v>0.9998475</v>
      </c>
      <c r="N926">
        <v>-1.4853649999999999E-2</v>
      </c>
      <c r="O926">
        <v>9.1829419999999995E-3</v>
      </c>
      <c r="P926">
        <v>0.94958830000000005</v>
      </c>
      <c r="Q926">
        <v>0.29485280000000003</v>
      </c>
      <c r="R926">
        <v>0.10650900000000001</v>
      </c>
      <c r="S926">
        <v>3.2613530000000002</v>
      </c>
      <c r="T926">
        <v>-0.29031069999999998</v>
      </c>
      <c r="U926">
        <v>-0.11126709999999999</v>
      </c>
      <c r="V926">
        <v>-9.7854010000000005E-2</v>
      </c>
      <c r="W926">
        <v>0.30891679999999999</v>
      </c>
      <c r="X926">
        <v>0.94604180000000004</v>
      </c>
      <c r="Y926">
        <v>4.3050459999999999E-2</v>
      </c>
      <c r="Z926">
        <v>-2.9117769999999999E-3</v>
      </c>
      <c r="AA926">
        <v>0.99906870000000003</v>
      </c>
      <c r="AB926">
        <v>37</v>
      </c>
      <c r="AC926">
        <v>0.53890000000001204</v>
      </c>
      <c r="AD926">
        <v>-6.5435199999999999E-2</v>
      </c>
      <c r="AE926">
        <v>-2.7200000000050201E-2</v>
      </c>
      <c r="AF926">
        <v>3.1682161052093899E-2</v>
      </c>
      <c r="AG926">
        <v>-6.5435199999999999E-2</v>
      </c>
      <c r="AH926">
        <v>0.530821089078923</v>
      </c>
      <c r="AI926">
        <v>97.015133676718605</v>
      </c>
      <c r="AJ926">
        <v>86.584342182434</v>
      </c>
      <c r="AK926">
        <v>0.53577658901719905</v>
      </c>
      <c r="AL926">
        <v>72.006036822552502</v>
      </c>
      <c r="AM926">
        <v>95.905399087195093</v>
      </c>
      <c r="AN926">
        <v>1.00000004197127</v>
      </c>
    </row>
    <row r="927" spans="1:40" x14ac:dyDescent="0.25">
      <c r="A927" t="str">
        <f>"20190304164350536"</f>
        <v>20190304164350536</v>
      </c>
      <c r="B927" t="str">
        <f>"1551689030530964"</f>
        <v>1551689030530964</v>
      </c>
      <c r="C927" t="s">
        <v>40</v>
      </c>
      <c r="D927">
        <v>4.6271630000000004</v>
      </c>
      <c r="E927">
        <v>0.56856410000000002</v>
      </c>
      <c r="F927" t="s">
        <v>41</v>
      </c>
      <c r="G927">
        <v>-290.12389999999999</v>
      </c>
      <c r="H927">
        <v>0.98640499999999998</v>
      </c>
      <c r="I927">
        <v>367.7978</v>
      </c>
      <c r="J927">
        <v>-290.80169999999998</v>
      </c>
      <c r="K927">
        <v>1.0606789999999999</v>
      </c>
      <c r="L927">
        <v>367.8297</v>
      </c>
      <c r="M927">
        <v>0.99984709999999999</v>
      </c>
      <c r="N927">
        <v>-1.4851410000000001E-2</v>
      </c>
      <c r="O927">
        <v>9.2374950000000001E-3</v>
      </c>
      <c r="P927">
        <v>0.94947680000000001</v>
      </c>
      <c r="Q927">
        <v>0.29532320000000001</v>
      </c>
      <c r="R927">
        <v>0.10619720000000001</v>
      </c>
      <c r="S927">
        <v>3.2590940000000002</v>
      </c>
      <c r="T927">
        <v>-0.2806921</v>
      </c>
      <c r="U927">
        <v>-0.1130676</v>
      </c>
      <c r="V927">
        <v>-9.7491079999999994E-2</v>
      </c>
      <c r="W927">
        <v>0.30938379999999999</v>
      </c>
      <c r="X927">
        <v>0.94592659999999995</v>
      </c>
      <c r="Y927">
        <v>4.3690640000000003E-2</v>
      </c>
      <c r="Z927">
        <v>-2.8596189999999999E-3</v>
      </c>
      <c r="AA927">
        <v>0.99904099999999996</v>
      </c>
      <c r="AB927">
        <v>37</v>
      </c>
      <c r="AC927">
        <v>0.67779999999998997</v>
      </c>
      <c r="AD927">
        <v>-7.4274000000000104E-2</v>
      </c>
      <c r="AE927">
        <v>-3.1900000000007298E-2</v>
      </c>
      <c r="AF927">
        <v>3.77086978885144E-2</v>
      </c>
      <c r="AG927">
        <v>-7.4274000000000104E-2</v>
      </c>
      <c r="AH927">
        <v>0.66945531637899203</v>
      </c>
      <c r="AI927">
        <v>96.320960113004404</v>
      </c>
      <c r="AJ927">
        <v>86.776082667379796</v>
      </c>
      <c r="AK927">
        <v>0.674617664755782</v>
      </c>
      <c r="AL927">
        <v>71.977900453014698</v>
      </c>
      <c r="AM927">
        <v>95.884362045401403</v>
      </c>
      <c r="AN927">
        <v>0.99999998948478297</v>
      </c>
    </row>
    <row r="928" spans="1:40" x14ac:dyDescent="0.25">
      <c r="A928" t="str">
        <f>"20190304164350548"</f>
        <v>20190304164350548</v>
      </c>
      <c r="B928" t="str">
        <f>"1551689030540723"</f>
        <v>1551689030540723</v>
      </c>
      <c r="C928" t="s">
        <v>40</v>
      </c>
      <c r="D928">
        <v>4.6525449999999999</v>
      </c>
      <c r="E928">
        <v>0.568569199999999</v>
      </c>
      <c r="F928" t="s">
        <v>41</v>
      </c>
      <c r="G928">
        <v>-289.7989</v>
      </c>
      <c r="H928">
        <v>0.97578480000000001</v>
      </c>
      <c r="I928">
        <v>367.79450000000003</v>
      </c>
      <c r="J928">
        <v>-290.59989999999999</v>
      </c>
      <c r="K928">
        <v>1.060683</v>
      </c>
      <c r="L928">
        <v>367.83159999999998</v>
      </c>
      <c r="M928">
        <v>0.99984660000000003</v>
      </c>
      <c r="N928">
        <v>-1.4848989999999999E-2</v>
      </c>
      <c r="O928">
        <v>9.2967580000000005E-3</v>
      </c>
      <c r="P928">
        <v>0.9494764</v>
      </c>
      <c r="Q928">
        <v>0.29545919999999998</v>
      </c>
      <c r="R928">
        <v>0.10582370000000001</v>
      </c>
      <c r="S928">
        <v>3.2582089999999999</v>
      </c>
      <c r="T928">
        <v>-0.27599259999999998</v>
      </c>
      <c r="U928">
        <v>-0.1138306</v>
      </c>
      <c r="V928">
        <v>-9.7061739999999994E-2</v>
      </c>
      <c r="W928">
        <v>0.3095176</v>
      </c>
      <c r="X928">
        <v>0.94592699999999996</v>
      </c>
      <c r="Y928">
        <v>4.3998130000000003E-2</v>
      </c>
      <c r="Z928">
        <v>-2.8351140000000001E-3</v>
      </c>
      <c r="AA928">
        <v>0.99902760000000002</v>
      </c>
      <c r="AB928">
        <v>37</v>
      </c>
      <c r="AC928">
        <v>0.80099999999998694</v>
      </c>
      <c r="AD928">
        <v>-8.4898199999999993E-2</v>
      </c>
      <c r="AE928">
        <v>-3.7099999999952601E-2</v>
      </c>
      <c r="AF928">
        <v>4.4052100971517197E-2</v>
      </c>
      <c r="AG928">
        <v>-8.4898199999999993E-2</v>
      </c>
      <c r="AH928">
        <v>0.79174505587472199</v>
      </c>
      <c r="AI928">
        <v>96.111015224363896</v>
      </c>
      <c r="AJ928">
        <v>86.815389328033405</v>
      </c>
      <c r="AK928">
        <v>0.79750142662274304</v>
      </c>
      <c r="AL928">
        <v>71.969838903521904</v>
      </c>
      <c r="AM928">
        <v>95.858626149037804</v>
      </c>
      <c r="AN928">
        <v>1.00000000770529</v>
      </c>
    </row>
    <row r="929" spans="1:40" x14ac:dyDescent="0.25">
      <c r="A929" t="str">
        <f>"20190304164350560"</f>
        <v>20190304164350560</v>
      </c>
      <c r="B929" t="str">
        <f>"1551689030550484"</f>
        <v>1551689030550484</v>
      </c>
      <c r="C929" t="s">
        <v>40</v>
      </c>
      <c r="D929">
        <v>4.5958809999999897</v>
      </c>
      <c r="E929">
        <v>0.56858940000000002</v>
      </c>
      <c r="F929" t="s">
        <v>41</v>
      </c>
      <c r="G929">
        <v>-289.78949999999998</v>
      </c>
      <c r="H929">
        <v>0.99292659999999999</v>
      </c>
      <c r="I929">
        <v>367.80279999999999</v>
      </c>
      <c r="J929">
        <v>-290.42610000000002</v>
      </c>
      <c r="K929">
        <v>1.060686</v>
      </c>
      <c r="L929">
        <v>367.83330000000001</v>
      </c>
      <c r="M929">
        <v>0.99984609999999996</v>
      </c>
      <c r="N929">
        <v>-1.4846959999999999E-2</v>
      </c>
      <c r="O929">
        <v>9.3480899999999999E-3</v>
      </c>
      <c r="P929">
        <v>0.94932850000000002</v>
      </c>
      <c r="Q929">
        <v>0.29603940000000001</v>
      </c>
      <c r="R929">
        <v>0.1055276</v>
      </c>
      <c r="S929">
        <v>3.2572329999999998</v>
      </c>
      <c r="T929">
        <v>-0.27253569999999999</v>
      </c>
      <c r="U929">
        <v>-0.1150818</v>
      </c>
      <c r="V929">
        <v>-9.6718330000000005E-2</v>
      </c>
      <c r="W929">
        <v>0.31009330000000002</v>
      </c>
      <c r="X929">
        <v>0.94577359999999999</v>
      </c>
      <c r="Y929">
        <v>4.4446010000000001E-2</v>
      </c>
      <c r="Z929">
        <v>-2.828372E-3</v>
      </c>
      <c r="AA929">
        <v>0.9990078</v>
      </c>
      <c r="AB929">
        <v>37</v>
      </c>
      <c r="AC929">
        <v>0.63660000000004302</v>
      </c>
      <c r="AD929">
        <v>-6.7759399999999997E-2</v>
      </c>
      <c r="AE929">
        <v>-3.05000000000177E-2</v>
      </c>
      <c r="AF929">
        <v>3.6042908663693099E-2</v>
      </c>
      <c r="AG929">
        <v>-6.7759399999999997E-2</v>
      </c>
      <c r="AH929">
        <v>0.62917519488612195</v>
      </c>
      <c r="AI929">
        <v>96.136827771468404</v>
      </c>
      <c r="AJ929">
        <v>86.7213393112049</v>
      </c>
      <c r="AK929">
        <v>0.63383898066724298</v>
      </c>
      <c r="AL929">
        <v>71.935146660088506</v>
      </c>
      <c r="AM929">
        <v>95.838981777512501</v>
      </c>
      <c r="AN929">
        <v>0.99999999625991898</v>
      </c>
    </row>
    <row r="930" spans="1:40" x14ac:dyDescent="0.25">
      <c r="A930" t="str">
        <f>"20190304164350570"</f>
        <v>20190304164350570</v>
      </c>
      <c r="B930" t="str">
        <f>"1551689030561220"</f>
        <v>1551689030561220</v>
      </c>
      <c r="C930" t="s">
        <v>40</v>
      </c>
      <c r="D930">
        <v>4.7040790000000001</v>
      </c>
      <c r="E930">
        <v>0.56861980000000001</v>
      </c>
      <c r="F930" t="s">
        <v>41</v>
      </c>
      <c r="G930">
        <v>-289.46600000000001</v>
      </c>
      <c r="H930">
        <v>0.98170040000000003</v>
      </c>
      <c r="I930">
        <v>367.7989</v>
      </c>
      <c r="J930">
        <v>-290.24169999999998</v>
      </c>
      <c r="K930">
        <v>1.0606899999999999</v>
      </c>
      <c r="L930">
        <v>367.83510000000001</v>
      </c>
      <c r="M930">
        <v>0.99984569999999995</v>
      </c>
      <c r="N930">
        <v>-1.484485E-2</v>
      </c>
      <c r="O930">
        <v>9.4024590000000002E-3</v>
      </c>
      <c r="P930">
        <v>0.94925740000000003</v>
      </c>
      <c r="Q930">
        <v>0.29634860000000002</v>
      </c>
      <c r="R930">
        <v>0.1052995</v>
      </c>
      <c r="S930">
        <v>3.2566220000000001</v>
      </c>
      <c r="T930">
        <v>-0.26814159999999998</v>
      </c>
      <c r="U930">
        <v>-0.1158752</v>
      </c>
      <c r="V930">
        <v>-9.6439410000000003E-2</v>
      </c>
      <c r="W930">
        <v>0.3103998</v>
      </c>
      <c r="X930">
        <v>0.94570149999999997</v>
      </c>
      <c r="Y930">
        <v>4.4754870000000002E-2</v>
      </c>
      <c r="Z930">
        <v>-2.8050839999999998E-3</v>
      </c>
      <c r="AA930">
        <v>0.9989941</v>
      </c>
      <c r="AB930">
        <v>37</v>
      </c>
      <c r="AC930">
        <v>0.77569999999997197</v>
      </c>
      <c r="AD930">
        <v>-7.8989599999999799E-2</v>
      </c>
      <c r="AE930">
        <v>-3.6200000000007997E-2</v>
      </c>
      <c r="AF930">
        <v>4.3047286849989902E-2</v>
      </c>
      <c r="AG930">
        <v>-7.8989599999999799E-2</v>
      </c>
      <c r="AH930">
        <v>0.76738528934196704</v>
      </c>
      <c r="AI930">
        <v>95.867792903670903</v>
      </c>
      <c r="AJ930">
        <v>86.789297798208693</v>
      </c>
      <c r="AK930">
        <v>0.77264002492218897</v>
      </c>
      <c r="AL930">
        <v>71.916673337781901</v>
      </c>
      <c r="AM930">
        <v>95.822699782427605</v>
      </c>
      <c r="AN930">
        <v>0.99999996137171798</v>
      </c>
    </row>
    <row r="931" spans="1:40" x14ac:dyDescent="0.25">
      <c r="A931" t="str">
        <f>"20190304164350581"</f>
        <v>20190304164350581</v>
      </c>
      <c r="B931" t="str">
        <f>"1551689030570980"</f>
        <v>1551689030570980</v>
      </c>
      <c r="C931" t="s">
        <v>40</v>
      </c>
      <c r="D931">
        <v>4.7265860000000002</v>
      </c>
      <c r="E931">
        <v>0.56865250000000001</v>
      </c>
      <c r="F931" t="s">
        <v>41</v>
      </c>
      <c r="G931">
        <v>-289.45679999999999</v>
      </c>
      <c r="H931">
        <v>0.99597100000000005</v>
      </c>
      <c r="I931">
        <v>367.80680000000001</v>
      </c>
      <c r="J931">
        <v>-290.06990000000002</v>
      </c>
      <c r="K931">
        <v>1.060692</v>
      </c>
      <c r="L931">
        <v>367.83670000000001</v>
      </c>
      <c r="M931">
        <v>0.99984510000000004</v>
      </c>
      <c r="N931">
        <v>-1.4842849999999999E-2</v>
      </c>
      <c r="O931">
        <v>9.4529569999999997E-3</v>
      </c>
      <c r="P931">
        <v>0.949183</v>
      </c>
      <c r="Q931">
        <v>0.29671059999999999</v>
      </c>
      <c r="R931">
        <v>0.104949</v>
      </c>
      <c r="S931">
        <v>3.2572019999999999</v>
      </c>
      <c r="T931">
        <v>-0.26885959999999998</v>
      </c>
      <c r="U931">
        <v>-0.11621090000000001</v>
      </c>
      <c r="V931">
        <v>-9.6041539999999995E-2</v>
      </c>
      <c r="W931">
        <v>0.310758799999999</v>
      </c>
      <c r="X931">
        <v>0.94562409999999997</v>
      </c>
      <c r="Y931">
        <v>4.490019E-2</v>
      </c>
      <c r="Z931">
        <v>-2.8220419999999999E-3</v>
      </c>
      <c r="AA931">
        <v>0.99898750000000003</v>
      </c>
      <c r="AB931">
        <v>37</v>
      </c>
      <c r="AC931">
        <v>0.61310000000003095</v>
      </c>
      <c r="AD931">
        <v>-6.4721000000000001E-2</v>
      </c>
      <c r="AE931">
        <v>-2.98999999999978E-2</v>
      </c>
      <c r="AF931">
        <v>3.5302445557094102E-2</v>
      </c>
      <c r="AG931">
        <v>-6.4721000000000001E-2</v>
      </c>
      <c r="AH931">
        <v>0.606052310366888</v>
      </c>
      <c r="AI931">
        <v>96.085340451296204</v>
      </c>
      <c r="AJ931">
        <v>86.666297500946101</v>
      </c>
      <c r="AK931">
        <v>0.61051983866566895</v>
      </c>
      <c r="AL931">
        <v>71.895034267222201</v>
      </c>
      <c r="AM931">
        <v>95.799313124855999</v>
      </c>
      <c r="AN931">
        <v>0.99999997384190997</v>
      </c>
    </row>
    <row r="932" spans="1:40" x14ac:dyDescent="0.25">
      <c r="A932" t="str">
        <f>"20190304164350591"</f>
        <v>20190304164350591</v>
      </c>
      <c r="B932" t="str">
        <f>"1551689030580740"</f>
        <v>1551689030580740</v>
      </c>
      <c r="C932" t="s">
        <v>40</v>
      </c>
      <c r="D932">
        <v>4.7069489999999998</v>
      </c>
      <c r="E932">
        <v>0.568666</v>
      </c>
      <c r="F932" t="s">
        <v>41</v>
      </c>
      <c r="G932">
        <v>-289.13549999999998</v>
      </c>
      <c r="H932">
        <v>0.98352530000000005</v>
      </c>
      <c r="I932">
        <v>367.80290000000002</v>
      </c>
      <c r="J932">
        <v>-289.89589999999998</v>
      </c>
      <c r="K932">
        <v>1.060694</v>
      </c>
      <c r="L932">
        <v>367.83839999999998</v>
      </c>
      <c r="M932">
        <v>0.99984470000000003</v>
      </c>
      <c r="N932">
        <v>-1.4840819999999999E-2</v>
      </c>
      <c r="O932">
        <v>9.5039900000000004E-3</v>
      </c>
      <c r="P932">
        <v>0.94916279999999997</v>
      </c>
      <c r="Q932">
        <v>0.29691509999999999</v>
      </c>
      <c r="R932">
        <v>0.1045541</v>
      </c>
      <c r="S932">
        <v>3.2577210000000001</v>
      </c>
      <c r="T932">
        <v>-0.26931769999999999</v>
      </c>
      <c r="U932">
        <v>-0.1168213</v>
      </c>
      <c r="V932">
        <v>-9.55984E-2</v>
      </c>
      <c r="W932">
        <v>0.31096089999999998</v>
      </c>
      <c r="X932">
        <v>0.94560259999999996</v>
      </c>
      <c r="Y932">
        <v>4.5130799999999999E-2</v>
      </c>
      <c r="Z932">
        <v>-2.8407390000000001E-3</v>
      </c>
      <c r="AA932">
        <v>0.99897709999999995</v>
      </c>
      <c r="AB932">
        <v>37</v>
      </c>
      <c r="AC932">
        <v>0.76040000000000396</v>
      </c>
      <c r="AD932">
        <v>-7.7168699999999896E-2</v>
      </c>
      <c r="AE932">
        <v>-3.5499999999956303E-2</v>
      </c>
      <c r="AF932">
        <v>4.2291411240467897E-2</v>
      </c>
      <c r="AG932">
        <v>-7.7168699999999896E-2</v>
      </c>
      <c r="AH932">
        <v>0.75229710842748598</v>
      </c>
      <c r="AI932">
        <v>95.847600333105405</v>
      </c>
      <c r="AJ932">
        <v>86.782425989378297</v>
      </c>
      <c r="AK932">
        <v>0.75742624134152903</v>
      </c>
      <c r="AL932">
        <v>71.882851796336098</v>
      </c>
      <c r="AM932">
        <v>95.772866332750297</v>
      </c>
      <c r="AN932">
        <v>1.0000000062690599</v>
      </c>
    </row>
    <row r="933" spans="1:40" x14ac:dyDescent="0.25">
      <c r="A933" t="str">
        <f>"20190304164350605"</f>
        <v>20190304164350605</v>
      </c>
      <c r="B933" t="str">
        <f>"1551689030590500"</f>
        <v>1551689030590500</v>
      </c>
      <c r="C933" t="s">
        <v>40</v>
      </c>
      <c r="D933">
        <v>4.712815</v>
      </c>
      <c r="E933">
        <v>0.568666</v>
      </c>
      <c r="F933" t="s">
        <v>41</v>
      </c>
      <c r="G933">
        <v>-289.12630000000001</v>
      </c>
      <c r="H933">
        <v>0.99700920000000004</v>
      </c>
      <c r="I933">
        <v>367.81049999999999</v>
      </c>
      <c r="J933">
        <v>-289.69130000000001</v>
      </c>
      <c r="K933">
        <v>1.060689</v>
      </c>
      <c r="L933">
        <v>367.84039999999999</v>
      </c>
      <c r="M933">
        <v>0.99984430000000002</v>
      </c>
      <c r="N933">
        <v>-1.483842E-2</v>
      </c>
      <c r="O933">
        <v>9.5642620000000005E-3</v>
      </c>
      <c r="P933">
        <v>0.94921409999999995</v>
      </c>
      <c r="Q933">
        <v>0.29690329999999998</v>
      </c>
      <c r="R933">
        <v>0.10412159999999999</v>
      </c>
      <c r="S933">
        <v>3.258057</v>
      </c>
      <c r="T933">
        <v>-0.26990710000000001</v>
      </c>
      <c r="U933">
        <v>-0.11724850000000001</v>
      </c>
      <c r="V933">
        <v>-9.5108239999999997E-2</v>
      </c>
      <c r="W933">
        <v>0.3109478</v>
      </c>
      <c r="X933">
        <v>0.94565639999999995</v>
      </c>
      <c r="Y933">
        <v>4.5316469999999998E-2</v>
      </c>
      <c r="Z933">
        <v>-2.8593500000000001E-3</v>
      </c>
      <c r="AA933">
        <v>0.99896859999999998</v>
      </c>
      <c r="AB933">
        <v>37</v>
      </c>
      <c r="AC933">
        <v>0.56499999999999695</v>
      </c>
      <c r="AD933">
        <v>-6.3679799999999995E-2</v>
      </c>
      <c r="AE933">
        <v>-2.98999999999978E-2</v>
      </c>
      <c r="AF933">
        <v>3.4861426256132498E-2</v>
      </c>
      <c r="AG933">
        <v>-6.3679799999999995E-2</v>
      </c>
      <c r="AH933">
        <v>0.55762442539673795</v>
      </c>
      <c r="AI933">
        <v>96.502276169250607</v>
      </c>
      <c r="AJ933">
        <v>86.422652395393598</v>
      </c>
      <c r="AK933">
        <v>0.562330361769391</v>
      </c>
      <c r="AL933">
        <v>71.883642702411805</v>
      </c>
      <c r="AM933">
        <v>95.743141036797795</v>
      </c>
      <c r="AN933">
        <v>1.00000006925084</v>
      </c>
    </row>
    <row r="934" spans="1:40" x14ac:dyDescent="0.25">
      <c r="A934" t="str">
        <f>"20190304164350617"</f>
        <v>20190304164350617</v>
      </c>
      <c r="B934" t="str">
        <f>"1551689030610996"</f>
        <v>1551689030610996</v>
      </c>
      <c r="C934" t="s">
        <v>40</v>
      </c>
      <c r="D934">
        <v>4.737514</v>
      </c>
      <c r="E934">
        <v>0.56894809999999996</v>
      </c>
      <c r="F934" t="s">
        <v>41</v>
      </c>
      <c r="G934">
        <v>-288.80470000000003</v>
      </c>
      <c r="H934">
        <v>0.98686289999999999</v>
      </c>
      <c r="I934">
        <v>367.80799999999999</v>
      </c>
      <c r="J934">
        <v>-289.47320000000002</v>
      </c>
      <c r="K934">
        <v>1.060689</v>
      </c>
      <c r="L934">
        <v>367.8426</v>
      </c>
      <c r="M934">
        <v>0.9998437</v>
      </c>
      <c r="N934">
        <v>-1.483583E-2</v>
      </c>
      <c r="O934">
        <v>9.6286480000000001E-3</v>
      </c>
      <c r="P934">
        <v>0.9491733</v>
      </c>
      <c r="Q934">
        <v>0.29710609999999998</v>
      </c>
      <c r="R934">
        <v>0.1039142</v>
      </c>
      <c r="S934">
        <v>3.258362</v>
      </c>
      <c r="T934">
        <v>-0.2715302</v>
      </c>
      <c r="U934">
        <v>-0.1181335</v>
      </c>
      <c r="V934">
        <v>-9.4839690000000004E-2</v>
      </c>
      <c r="W934">
        <v>0.31114799999999998</v>
      </c>
      <c r="X934">
        <v>0.94561740000000005</v>
      </c>
      <c r="Y934">
        <v>4.56446E-2</v>
      </c>
      <c r="Z934">
        <v>-2.8955159999999999E-3</v>
      </c>
      <c r="AA934">
        <v>0.99895350000000005</v>
      </c>
      <c r="AB934">
        <v>37</v>
      </c>
      <c r="AC934">
        <v>0.66849999999999399</v>
      </c>
      <c r="AD934">
        <v>-7.3826099999999895E-2</v>
      </c>
      <c r="AE934">
        <v>-3.4599999999954799E-2</v>
      </c>
      <c r="AF934">
        <v>4.0542717129356899E-2</v>
      </c>
      <c r="AG934">
        <v>-7.3826099999999895E-2</v>
      </c>
      <c r="AH934">
        <v>0.66010667112104604</v>
      </c>
      <c r="AI934">
        <v>96.369518278208105</v>
      </c>
      <c r="AJ934">
        <v>86.485397876172598</v>
      </c>
      <c r="AK934">
        <v>0.66545835497944605</v>
      </c>
      <c r="AL934">
        <v>71.871571254760894</v>
      </c>
      <c r="AM934">
        <v>95.727267138797203</v>
      </c>
      <c r="AN934">
        <v>0.99999995594302704</v>
      </c>
    </row>
    <row r="935" spans="1:40" x14ac:dyDescent="0.25">
      <c r="A935" t="str">
        <f>"20190304164350631"</f>
        <v>20190304164350631</v>
      </c>
      <c r="B935" t="str">
        <f>"1551689030620756"</f>
        <v>1551689030620756</v>
      </c>
      <c r="C935" t="s">
        <v>40</v>
      </c>
      <c r="D935">
        <v>4.7694919999999996</v>
      </c>
      <c r="E935">
        <v>0.56915780000000005</v>
      </c>
      <c r="F935" t="s">
        <v>41</v>
      </c>
      <c r="G935">
        <v>-288.48039999999997</v>
      </c>
      <c r="H935">
        <v>0.97770440000000003</v>
      </c>
      <c r="I935">
        <v>367.80579999999998</v>
      </c>
      <c r="J935">
        <v>-289.2362</v>
      </c>
      <c r="K935">
        <v>1.0606899999999999</v>
      </c>
      <c r="L935">
        <v>367.8449</v>
      </c>
      <c r="M935">
        <v>0.99984289999999998</v>
      </c>
      <c r="N935">
        <v>-1.4832959999999999E-2</v>
      </c>
      <c r="O935">
        <v>9.6983429999999999E-3</v>
      </c>
      <c r="P935">
        <v>0.94924679999999995</v>
      </c>
      <c r="Q935">
        <v>0.2970566</v>
      </c>
      <c r="R935">
        <v>0.10338269999999999</v>
      </c>
      <c r="S935">
        <v>3.2591549999999998</v>
      </c>
      <c r="T935">
        <v>-0.272588</v>
      </c>
      <c r="U935">
        <v>-0.12023929999999999</v>
      </c>
      <c r="V935">
        <v>-9.4241640000000002E-2</v>
      </c>
      <c r="W935">
        <v>0.31109690000000001</v>
      </c>
      <c r="X935">
        <v>0.94569400000000003</v>
      </c>
      <c r="Y935">
        <v>4.6345490000000003E-2</v>
      </c>
      <c r="Z935">
        <v>-2.944524E-3</v>
      </c>
      <c r="AA935">
        <v>0.99892119999999995</v>
      </c>
      <c r="AB935">
        <v>37</v>
      </c>
      <c r="AC935">
        <v>0.75580000000002101</v>
      </c>
      <c r="AD935">
        <v>-8.2985599999999798E-2</v>
      </c>
      <c r="AE935">
        <v>-3.9100000000019002E-2</v>
      </c>
      <c r="AF935">
        <v>4.5877368643637499E-2</v>
      </c>
      <c r="AG935">
        <v>-8.2985599999999798E-2</v>
      </c>
      <c r="AH935">
        <v>0.74641072987205703</v>
      </c>
      <c r="AI935">
        <v>96.332212104705704</v>
      </c>
      <c r="AJ935">
        <v>86.482798443213994</v>
      </c>
      <c r="AK935">
        <v>0.75240967592739105</v>
      </c>
      <c r="AL935">
        <v>71.874651943376506</v>
      </c>
      <c r="AM935">
        <v>95.690931419542693</v>
      </c>
      <c r="AN935">
        <v>0.99999995476774795</v>
      </c>
    </row>
    <row r="936" spans="1:40" x14ac:dyDescent="0.25">
      <c r="A936" t="str">
        <f>"20190304164350647"</f>
        <v>20190304164350647</v>
      </c>
      <c r="B936" t="str">
        <f>"1551689030641252"</f>
        <v>1551689030641252</v>
      </c>
      <c r="C936" t="s">
        <v>40</v>
      </c>
      <c r="D936">
        <v>4.8093250000000003</v>
      </c>
      <c r="E936">
        <v>0.56948269999999901</v>
      </c>
      <c r="F936" t="s">
        <v>41</v>
      </c>
      <c r="G936">
        <v>-288.46870000000001</v>
      </c>
      <c r="H936">
        <v>0.99658570000000002</v>
      </c>
      <c r="I936">
        <v>367.81569999999999</v>
      </c>
      <c r="J936">
        <v>-289.00299999999999</v>
      </c>
      <c r="K936">
        <v>1.0606930000000001</v>
      </c>
      <c r="L936">
        <v>367.84719999999999</v>
      </c>
      <c r="M936">
        <v>0.99984249999999997</v>
      </c>
      <c r="N936">
        <v>-1.483024E-2</v>
      </c>
      <c r="O936">
        <v>9.7667840000000006E-3</v>
      </c>
      <c r="P936">
        <v>0.94940100000000005</v>
      </c>
      <c r="Q936">
        <v>0.29671419999999998</v>
      </c>
      <c r="R936">
        <v>0.1029513</v>
      </c>
      <c r="S936">
        <v>3.2590940000000002</v>
      </c>
      <c r="T936">
        <v>-0.2724819</v>
      </c>
      <c r="U936">
        <v>-0.1233215</v>
      </c>
      <c r="V936">
        <v>-9.3743119999999999E-2</v>
      </c>
      <c r="W936">
        <v>0.31075469999999999</v>
      </c>
      <c r="X936">
        <v>0.94585609999999998</v>
      </c>
      <c r="Y936">
        <v>4.7353779999999998E-2</v>
      </c>
      <c r="Z936">
        <v>-2.997689E-3</v>
      </c>
      <c r="AA936">
        <v>0.99887369999999998</v>
      </c>
      <c r="AB936">
        <v>37</v>
      </c>
      <c r="AC936">
        <v>0.53429999999997302</v>
      </c>
      <c r="AD936">
        <v>-6.4107300000000006E-2</v>
      </c>
      <c r="AE936">
        <v>-3.1499999999993998E-2</v>
      </c>
      <c r="AF936">
        <v>3.6198155961379201E-2</v>
      </c>
      <c r="AG936">
        <v>-6.4107300000000006E-2</v>
      </c>
      <c r="AH936">
        <v>0.52641475663696702</v>
      </c>
      <c r="AI936">
        <v>96.927147223627699</v>
      </c>
      <c r="AJ936">
        <v>86.066330099663702</v>
      </c>
      <c r="AK936">
        <v>0.531537908726604</v>
      </c>
      <c r="AL936">
        <v>71.895282075254897</v>
      </c>
      <c r="AM936">
        <v>95.660059666036403</v>
      </c>
      <c r="AN936">
        <v>1.0000000090133101</v>
      </c>
    </row>
    <row r="937" spans="1:40" x14ac:dyDescent="0.25">
      <c r="A937" t="str">
        <f>"20190304164350659"</f>
        <v>20190304164350659</v>
      </c>
      <c r="B937" t="str">
        <f>"1551689030651012"</f>
        <v>1551689030651012</v>
      </c>
      <c r="C937" t="s">
        <v>40</v>
      </c>
      <c r="D937">
        <v>4.8033789999999996</v>
      </c>
      <c r="E937">
        <v>0.56965880000000002</v>
      </c>
      <c r="F937" t="s">
        <v>41</v>
      </c>
      <c r="G937">
        <v>-288.14640000000003</v>
      </c>
      <c r="H937">
        <v>0.9889405</v>
      </c>
      <c r="I937">
        <v>367.81369999999998</v>
      </c>
      <c r="J937">
        <v>-288.78210000000001</v>
      </c>
      <c r="K937">
        <v>1.060692</v>
      </c>
      <c r="L937">
        <v>367.8494</v>
      </c>
      <c r="M937">
        <v>0.99984170000000006</v>
      </c>
      <c r="N937">
        <v>-1.4827689999999999E-2</v>
      </c>
      <c r="O937">
        <v>9.8318859999999998E-3</v>
      </c>
      <c r="P937">
        <v>0.94972809999999996</v>
      </c>
      <c r="Q937">
        <v>0.29610789999999998</v>
      </c>
      <c r="R937">
        <v>0.10166989999999999</v>
      </c>
      <c r="S937">
        <v>3.2590330000000001</v>
      </c>
      <c r="T937">
        <v>-0.27321030000000002</v>
      </c>
      <c r="U937">
        <v>-0.12689210000000001</v>
      </c>
      <c r="V937">
        <v>-9.2396939999999997E-2</v>
      </c>
      <c r="W937">
        <v>0.31015100000000001</v>
      </c>
      <c r="X937">
        <v>0.94618670000000005</v>
      </c>
      <c r="Y937">
        <v>4.8506229999999997E-2</v>
      </c>
      <c r="Z937">
        <v>-3.066348E-3</v>
      </c>
      <c r="AA937">
        <v>0.99881819999999999</v>
      </c>
      <c r="AB937">
        <v>37</v>
      </c>
      <c r="AC937">
        <v>0.63569999999998505</v>
      </c>
      <c r="AD937">
        <v>-7.1751499999999802E-2</v>
      </c>
      <c r="AE937">
        <v>-3.5700000000019799E-2</v>
      </c>
      <c r="AF937">
        <v>4.1423035398107003E-2</v>
      </c>
      <c r="AG937">
        <v>-7.1751499999999802E-2</v>
      </c>
      <c r="AH937">
        <v>0.62735112218842304</v>
      </c>
      <c r="AI937">
        <v>96.510635707709199</v>
      </c>
      <c r="AJ937">
        <v>86.222330823184095</v>
      </c>
      <c r="AK937">
        <v>0.63279821122133195</v>
      </c>
      <c r="AL937">
        <v>71.931670330353498</v>
      </c>
      <c r="AM937">
        <v>95.577358883587806</v>
      </c>
      <c r="AN937">
        <v>1.0000000542896199</v>
      </c>
    </row>
    <row r="938" spans="1:40" x14ac:dyDescent="0.25">
      <c r="A938" t="str">
        <f>"20190304164350670"</f>
        <v>20190304164350670</v>
      </c>
      <c r="B938" t="str">
        <f>"1551689030660772"</f>
        <v>1551689030660772</v>
      </c>
      <c r="C938" t="s">
        <v>40</v>
      </c>
      <c r="D938">
        <v>4.809183</v>
      </c>
      <c r="E938">
        <v>0.56981870000000001</v>
      </c>
      <c r="F938" t="s">
        <v>41</v>
      </c>
      <c r="G938">
        <v>-287.82279999999997</v>
      </c>
      <c r="H938">
        <v>0.9797939</v>
      </c>
      <c r="I938">
        <v>367.81049999999999</v>
      </c>
      <c r="J938">
        <v>-288.5976</v>
      </c>
      <c r="K938">
        <v>1.0606930000000001</v>
      </c>
      <c r="L938">
        <v>367.85129999999998</v>
      </c>
      <c r="M938">
        <v>0.99984130000000004</v>
      </c>
      <c r="N938">
        <v>-1.482556E-2</v>
      </c>
      <c r="O938">
        <v>9.886255E-3</v>
      </c>
      <c r="P938">
        <v>0.94986269999999995</v>
      </c>
      <c r="Q938">
        <v>0.295819</v>
      </c>
      <c r="R938">
        <v>0.1012518</v>
      </c>
      <c r="S938">
        <v>3.2586059999999999</v>
      </c>
      <c r="T938">
        <v>-0.27497890000000003</v>
      </c>
      <c r="U938">
        <v>-0.1317749</v>
      </c>
      <c r="V938">
        <v>-9.1925519999999997E-2</v>
      </c>
      <c r="W938">
        <v>0.30986219999999998</v>
      </c>
      <c r="X938">
        <v>0.94632720000000004</v>
      </c>
      <c r="Y938">
        <v>5.0050509999999999E-2</v>
      </c>
      <c r="Z938">
        <v>-3.1652939999999999E-3</v>
      </c>
      <c r="AA938">
        <v>0.99874169999999995</v>
      </c>
      <c r="AB938">
        <v>37</v>
      </c>
      <c r="AC938">
        <v>0.77480000000002702</v>
      </c>
      <c r="AD938">
        <v>-8.0899100000000099E-2</v>
      </c>
      <c r="AE938">
        <v>-4.0799999999990101E-2</v>
      </c>
      <c r="AF938">
        <v>4.7937545049169299E-2</v>
      </c>
      <c r="AG938">
        <v>-8.0899100000000099E-2</v>
      </c>
      <c r="AH938">
        <v>0.76603051447651604</v>
      </c>
      <c r="AI938">
        <v>96.016874390563501</v>
      </c>
      <c r="AJ938">
        <v>86.419147841911794</v>
      </c>
      <c r="AK938">
        <v>0.77178068239319597</v>
      </c>
      <c r="AL938">
        <v>71.9490742791196</v>
      </c>
      <c r="AM938">
        <v>95.548261883810994</v>
      </c>
      <c r="AN938">
        <v>1.0000000268379701</v>
      </c>
    </row>
    <row r="939" spans="1:40" x14ac:dyDescent="0.25">
      <c r="A939" t="str">
        <f>"20190304164350683"</f>
        <v>20190304164350683</v>
      </c>
      <c r="B939" t="str">
        <f>"1551689030670532"</f>
        <v>1551689030670532</v>
      </c>
      <c r="C939" t="s">
        <v>40</v>
      </c>
      <c r="D939">
        <v>4.8001940000000003</v>
      </c>
      <c r="E939">
        <v>0.56997069999999905</v>
      </c>
      <c r="F939" t="s">
        <v>41</v>
      </c>
      <c r="G939">
        <v>-287.8141</v>
      </c>
      <c r="H939">
        <v>0.99451100000000003</v>
      </c>
      <c r="I939">
        <v>367.81900000000002</v>
      </c>
      <c r="J939">
        <v>-288.40499999999997</v>
      </c>
      <c r="K939">
        <v>1.060694</v>
      </c>
      <c r="L939">
        <v>367.85320000000002</v>
      </c>
      <c r="M939">
        <v>0.99984070000000003</v>
      </c>
      <c r="N939">
        <v>-1.4823340000000001E-2</v>
      </c>
      <c r="O939">
        <v>9.9427739999999997E-3</v>
      </c>
      <c r="P939">
        <v>0.95007419999999998</v>
      </c>
      <c r="Q939">
        <v>0.2954774</v>
      </c>
      <c r="R939">
        <v>0.1002609</v>
      </c>
      <c r="S939">
        <v>3.2583920000000002</v>
      </c>
      <c r="T939">
        <v>-0.27546169999999998</v>
      </c>
      <c r="U939">
        <v>-0.1338501</v>
      </c>
      <c r="V939">
        <v>-9.0878340000000002E-2</v>
      </c>
      <c r="W939">
        <v>0.30952210000000002</v>
      </c>
      <c r="X939">
        <v>0.94653960000000004</v>
      </c>
      <c r="Y939">
        <v>5.0740769999999998E-2</v>
      </c>
      <c r="Z939">
        <v>-3.2087420000000001E-3</v>
      </c>
      <c r="AA939">
        <v>0.99870669999999995</v>
      </c>
      <c r="AB939">
        <v>37</v>
      </c>
      <c r="AC939">
        <v>0.590899999999976</v>
      </c>
      <c r="AD939">
        <v>-6.6182999999999895E-2</v>
      </c>
      <c r="AE939">
        <v>-3.4199999999998398E-2</v>
      </c>
      <c r="AF939">
        <v>3.9579281973811498E-2</v>
      </c>
      <c r="AG939">
        <v>-6.6182999999999895E-2</v>
      </c>
      <c r="AH939">
        <v>0.58323850233559904</v>
      </c>
      <c r="AI939">
        <v>96.459217241641099</v>
      </c>
      <c r="AJ939">
        <v>86.117790027054895</v>
      </c>
      <c r="AK939">
        <v>0.58831442244537502</v>
      </c>
      <c r="AL939">
        <v>71.969567776238804</v>
      </c>
      <c r="AM939">
        <v>95.484222527211102</v>
      </c>
      <c r="AN939">
        <v>1.0000000087188601</v>
      </c>
    </row>
    <row r="940" spans="1:40" x14ac:dyDescent="0.25">
      <c r="A940" t="str">
        <f>"20190304164350694"</f>
        <v>20190304164350694</v>
      </c>
      <c r="B940" t="str">
        <f>"1551689030691028"</f>
        <v>1551689030691028</v>
      </c>
      <c r="C940" t="s">
        <v>40</v>
      </c>
      <c r="D940">
        <v>4.7912290000000004</v>
      </c>
      <c r="E940">
        <v>0.57023809999999997</v>
      </c>
      <c r="F940" t="s">
        <v>41</v>
      </c>
      <c r="G940">
        <v>-287.4932</v>
      </c>
      <c r="H940">
        <v>0.98348740000000001</v>
      </c>
      <c r="I940">
        <v>367.81450000000001</v>
      </c>
      <c r="J940">
        <v>-288.21159999999998</v>
      </c>
      <c r="K940">
        <v>1.0606949999999999</v>
      </c>
      <c r="L940">
        <v>367.85520000000002</v>
      </c>
      <c r="M940">
        <v>0.99984030000000002</v>
      </c>
      <c r="N940">
        <v>-1.482112E-2</v>
      </c>
      <c r="O940">
        <v>9.9991750000000008E-3</v>
      </c>
      <c r="P940">
        <v>0.95022459999999997</v>
      </c>
      <c r="Q940">
        <v>0.2953247</v>
      </c>
      <c r="R940">
        <v>9.9281099999999997E-2</v>
      </c>
      <c r="S940">
        <v>3.258057</v>
      </c>
      <c r="T940">
        <v>-0.27610810000000002</v>
      </c>
      <c r="U940">
        <v>-0.13757320000000001</v>
      </c>
      <c r="V940">
        <v>-8.9843519999999996E-2</v>
      </c>
      <c r="W940">
        <v>0.30936979999999997</v>
      </c>
      <c r="X940">
        <v>0.94668819999999998</v>
      </c>
      <c r="Y940">
        <v>5.1934349999999997E-2</v>
      </c>
      <c r="Z940">
        <v>-3.279194E-3</v>
      </c>
      <c r="AA940">
        <v>0.99864509999999995</v>
      </c>
      <c r="AB940">
        <v>37</v>
      </c>
      <c r="AC940">
        <v>0.71839999999997395</v>
      </c>
      <c r="AD940">
        <v>-7.7207600000000098E-2</v>
      </c>
      <c r="AE940">
        <v>-4.0700000000015203E-2</v>
      </c>
      <c r="AF940">
        <v>4.7337158463292499E-2</v>
      </c>
      <c r="AG940">
        <v>-7.7207600000000098E-2</v>
      </c>
      <c r="AH940">
        <v>0.70978517283002696</v>
      </c>
      <c r="AI940">
        <v>96.194345178746701</v>
      </c>
      <c r="AJ940">
        <v>86.184466779712693</v>
      </c>
      <c r="AK940">
        <v>0.71553952486112904</v>
      </c>
      <c r="AL940">
        <v>71.978744912332502</v>
      </c>
      <c r="AM940">
        <v>95.421302653069105</v>
      </c>
      <c r="AN940">
        <v>1.0000000396286299</v>
      </c>
    </row>
    <row r="941" spans="1:40" x14ac:dyDescent="0.25">
      <c r="A941" t="str">
        <f>"20190304164350705"</f>
        <v>20190304164350705</v>
      </c>
      <c r="B941" t="str">
        <f>"1551689030700788"</f>
        <v>1551689030700788</v>
      </c>
      <c r="C941" t="s">
        <v>40</v>
      </c>
      <c r="D941">
        <v>4.8123829999999996</v>
      </c>
      <c r="E941">
        <v>0.57035170000000002</v>
      </c>
      <c r="F941" t="s">
        <v>41</v>
      </c>
      <c r="G941">
        <v>-287.1712</v>
      </c>
      <c r="H941">
        <v>0.97273480000000001</v>
      </c>
      <c r="I941">
        <v>367.80939999999998</v>
      </c>
      <c r="J941">
        <v>-288.02890000000002</v>
      </c>
      <c r="K941">
        <v>1.0606869999999999</v>
      </c>
      <c r="L941">
        <v>367.8571</v>
      </c>
      <c r="M941">
        <v>0.9998397</v>
      </c>
      <c r="N941">
        <v>-1.481903E-2</v>
      </c>
      <c r="O941">
        <v>1.005283E-2</v>
      </c>
      <c r="P941">
        <v>0.95042479999999996</v>
      </c>
      <c r="Q941">
        <v>0.29494490000000001</v>
      </c>
      <c r="R941">
        <v>9.8489629999999995E-2</v>
      </c>
      <c r="S941">
        <v>3.2577509999999998</v>
      </c>
      <c r="T941">
        <v>-0.2756093</v>
      </c>
      <c r="U941">
        <v>-0.14279169999999999</v>
      </c>
      <c r="V941">
        <v>-8.8999120000000001E-2</v>
      </c>
      <c r="W941">
        <v>0.30899070000000001</v>
      </c>
      <c r="X941">
        <v>0.9468917</v>
      </c>
      <c r="Y941">
        <v>5.3582329999999997E-2</v>
      </c>
      <c r="Z941">
        <v>-3.359412E-3</v>
      </c>
      <c r="AA941">
        <v>0.99855780000000005</v>
      </c>
      <c r="AB941">
        <v>37</v>
      </c>
      <c r="AC941">
        <v>0.857700000000022</v>
      </c>
      <c r="AD941">
        <v>-8.7952200000000105E-2</v>
      </c>
      <c r="AE941">
        <v>-4.7700000000020198E-2</v>
      </c>
      <c r="AF941">
        <v>5.5736567101212602E-2</v>
      </c>
      <c r="AG941">
        <v>-8.7952200000000105E-2</v>
      </c>
      <c r="AH941">
        <v>0.84828459496686204</v>
      </c>
      <c r="AI941">
        <v>95.906768109016696</v>
      </c>
      <c r="AJ941">
        <v>86.240782420042905</v>
      </c>
      <c r="AK941">
        <v>0.85465133736229604</v>
      </c>
      <c r="AL941">
        <v>72.001583964720197</v>
      </c>
      <c r="AM941">
        <v>95.369502051569697</v>
      </c>
      <c r="AN941">
        <v>0.99999999378807702</v>
      </c>
    </row>
    <row r="942" spans="1:40" x14ac:dyDescent="0.25">
      <c r="A942" t="str">
        <f>"20190304164350716"</f>
        <v>20190304164350716</v>
      </c>
      <c r="B942" t="str">
        <f>"1551689030710548"</f>
        <v>1551689030710548</v>
      </c>
      <c r="C942" t="s">
        <v>40</v>
      </c>
      <c r="D942">
        <v>4.7633449999999904</v>
      </c>
      <c r="E942">
        <v>0.57043959999999905</v>
      </c>
      <c r="F942" t="s">
        <v>41</v>
      </c>
      <c r="G942">
        <v>-287.16390000000001</v>
      </c>
      <c r="H942">
        <v>0.98746129999999999</v>
      </c>
      <c r="I942">
        <v>367.81819999999999</v>
      </c>
      <c r="J942">
        <v>-287.86090000000002</v>
      </c>
      <c r="K942">
        <v>1.0606869999999999</v>
      </c>
      <c r="L942">
        <v>367.85879999999997</v>
      </c>
      <c r="M942">
        <v>0.99983909999999998</v>
      </c>
      <c r="N942">
        <v>-1.481711E-2</v>
      </c>
      <c r="O942">
        <v>1.010219E-2</v>
      </c>
      <c r="P942">
        <v>0.95052329999999996</v>
      </c>
      <c r="Q942">
        <v>0.29486420000000002</v>
      </c>
      <c r="R942">
        <v>9.7778660000000003E-2</v>
      </c>
      <c r="S942">
        <v>3.257263</v>
      </c>
      <c r="T942">
        <v>-0.27599600000000002</v>
      </c>
      <c r="U942">
        <v>-0.1459656</v>
      </c>
      <c r="V942">
        <v>-8.8240299999999994E-2</v>
      </c>
      <c r="W942">
        <v>0.3089095</v>
      </c>
      <c r="X942">
        <v>0.94698919999999998</v>
      </c>
      <c r="Y942">
        <v>5.4604069999999998E-2</v>
      </c>
      <c r="Z942">
        <v>-3.4183640000000001E-3</v>
      </c>
      <c r="AA942">
        <v>0.99850229999999995</v>
      </c>
      <c r="AB942">
        <v>37</v>
      </c>
      <c r="AC942">
        <v>0.69700000000000195</v>
      </c>
      <c r="AD942">
        <v>-7.3225700000000005E-2</v>
      </c>
      <c r="AE942">
        <v>-4.0599999999983503E-2</v>
      </c>
      <c r="AF942">
        <v>4.7121593062420503E-2</v>
      </c>
      <c r="AG942">
        <v>-7.3225700000000005E-2</v>
      </c>
      <c r="AH942">
        <v>0.68897553977467996</v>
      </c>
      <c r="AI942">
        <v>96.052701061302102</v>
      </c>
      <c r="AJ942">
        <v>86.087422118550904</v>
      </c>
      <c r="AK942">
        <v>0.69445643641703103</v>
      </c>
      <c r="AL942">
        <v>72.006475573748205</v>
      </c>
      <c r="AM942">
        <v>95.323440057938896</v>
      </c>
      <c r="AN942">
        <v>0.99999998732549</v>
      </c>
    </row>
    <row r="943" spans="1:40" x14ac:dyDescent="0.25">
      <c r="A943" t="str">
        <f>"20190304164350728"</f>
        <v>20190304164350728</v>
      </c>
      <c r="B943" t="str">
        <f>"1551689030721284"</f>
        <v>1551689030721284</v>
      </c>
      <c r="C943" t="s">
        <v>40</v>
      </c>
      <c r="D943">
        <v>4.7649189999999999</v>
      </c>
      <c r="E943">
        <v>0.57052979999999998</v>
      </c>
      <c r="F943" t="s">
        <v>41</v>
      </c>
      <c r="G943">
        <v>-286.84339999999997</v>
      </c>
      <c r="H943">
        <v>0.97435070000000001</v>
      </c>
      <c r="I943">
        <v>367.81220000000002</v>
      </c>
      <c r="J943">
        <v>-287.66030000000001</v>
      </c>
      <c r="K943">
        <v>1.0606850000000001</v>
      </c>
      <c r="L943">
        <v>367.86079999999998</v>
      </c>
      <c r="M943">
        <v>0.99983860000000002</v>
      </c>
      <c r="N943">
        <v>-1.4814809999999999E-2</v>
      </c>
      <c r="O943">
        <v>1.016074E-2</v>
      </c>
      <c r="P943">
        <v>0.95065679999999997</v>
      </c>
      <c r="Q943">
        <v>0.29476920000000001</v>
      </c>
      <c r="R943">
        <v>9.6759949999999997E-2</v>
      </c>
      <c r="S943">
        <v>3.2572019999999999</v>
      </c>
      <c r="T943">
        <v>-0.27654889999999999</v>
      </c>
      <c r="U943">
        <v>-0.14840699999999901</v>
      </c>
      <c r="V943">
        <v>-8.7164249999999999E-2</v>
      </c>
      <c r="W943">
        <v>0.30881510000000001</v>
      </c>
      <c r="X943">
        <v>0.94711970000000001</v>
      </c>
      <c r="Y943">
        <v>5.5405759999999998E-2</v>
      </c>
      <c r="Z943">
        <v>-3.4686589999999998E-3</v>
      </c>
      <c r="AA943">
        <v>0.99845790000000001</v>
      </c>
      <c r="AB943">
        <v>37</v>
      </c>
      <c r="AC943">
        <v>0.81690000000003204</v>
      </c>
      <c r="AD943">
        <v>-8.6334300000000003E-2</v>
      </c>
      <c r="AE943">
        <v>-4.8599999999964803E-2</v>
      </c>
      <c r="AF943">
        <v>5.62723995324882E-2</v>
      </c>
      <c r="AG943">
        <v>-8.6334300000000003E-2</v>
      </c>
      <c r="AH943">
        <v>0.80737785295339703</v>
      </c>
      <c r="AI943">
        <v>96.088883225771696</v>
      </c>
      <c r="AJ943">
        <v>86.013062056110698</v>
      </c>
      <c r="AK943">
        <v>0.81392824729534397</v>
      </c>
      <c r="AL943">
        <v>72.012163492660704</v>
      </c>
      <c r="AM943">
        <v>95.258168813304707</v>
      </c>
      <c r="AN943">
        <v>1.00000004929708</v>
      </c>
    </row>
    <row r="944" spans="1:40" x14ac:dyDescent="0.25">
      <c r="A944" t="str">
        <f>"20190304164350738"</f>
        <v>20190304164350738</v>
      </c>
      <c r="B944" t="str">
        <f>"1551689030731044"</f>
        <v>1551689030731044</v>
      </c>
      <c r="C944" t="s">
        <v>40</v>
      </c>
      <c r="D944">
        <v>4.7930339999999996</v>
      </c>
      <c r="E944">
        <v>0.57061499999999998</v>
      </c>
      <c r="F944" t="s">
        <v>41</v>
      </c>
      <c r="G944">
        <v>-286.83539999999999</v>
      </c>
      <c r="H944">
        <v>0.99067369999999999</v>
      </c>
      <c r="I944">
        <v>367.822</v>
      </c>
      <c r="J944">
        <v>-287.4905</v>
      </c>
      <c r="K944">
        <v>1.0606869999999999</v>
      </c>
      <c r="L944">
        <v>367.86259999999999</v>
      </c>
      <c r="M944">
        <v>0.99983820000000001</v>
      </c>
      <c r="N944">
        <v>-1.4812870000000001E-2</v>
      </c>
      <c r="O944">
        <v>1.0210230000000001E-2</v>
      </c>
      <c r="P944">
        <v>0.95070929999999998</v>
      </c>
      <c r="Q944">
        <v>0.29483619999999999</v>
      </c>
      <c r="R944">
        <v>9.6039269999999996E-2</v>
      </c>
      <c r="S944">
        <v>3.2570190000000001</v>
      </c>
      <c r="T944">
        <v>-0.27660750000000001</v>
      </c>
      <c r="U944">
        <v>-0.15252689999999999</v>
      </c>
      <c r="V944">
        <v>-8.6396349999999997E-2</v>
      </c>
      <c r="W944">
        <v>0.30888090000000001</v>
      </c>
      <c r="X944">
        <v>0.94716849999999997</v>
      </c>
      <c r="Y944">
        <v>5.6712209999999999E-2</v>
      </c>
      <c r="Z944">
        <v>-3.5379180000000001E-3</v>
      </c>
      <c r="AA944">
        <v>0.9983843</v>
      </c>
      <c r="AB944">
        <v>37</v>
      </c>
      <c r="AC944">
        <v>0.65510000000000401</v>
      </c>
      <c r="AD944">
        <v>-7.0013300000000195E-2</v>
      </c>
      <c r="AE944">
        <v>-4.0600000000040298E-2</v>
      </c>
      <c r="AF944">
        <v>4.6755337835715997E-2</v>
      </c>
      <c r="AG944">
        <v>-7.0013300000000195E-2</v>
      </c>
      <c r="AH944">
        <v>0.64728618638356294</v>
      </c>
      <c r="AI944">
        <v>96.157442296541205</v>
      </c>
      <c r="AJ944">
        <v>85.868536958576399</v>
      </c>
      <c r="AK944">
        <v>0.65273833262341696</v>
      </c>
      <c r="AL944">
        <v>72.008197861691997</v>
      </c>
      <c r="AM944">
        <v>95.211834574704596</v>
      </c>
      <c r="AN944">
        <v>0.99999995353519</v>
      </c>
    </row>
    <row r="945" spans="1:40" x14ac:dyDescent="0.25">
      <c r="A945" t="str">
        <f>"20190304164350749"</f>
        <v>20190304164350749</v>
      </c>
      <c r="B945" t="str">
        <f>"1551689030740804"</f>
        <v>1551689030740804</v>
      </c>
      <c r="C945" t="s">
        <v>40</v>
      </c>
      <c r="D945">
        <v>4.7553710000000002</v>
      </c>
      <c r="E945">
        <v>0.57066609999999995</v>
      </c>
      <c r="F945" t="s">
        <v>41</v>
      </c>
      <c r="G945">
        <v>-286.51499999999999</v>
      </c>
      <c r="H945">
        <v>0.97808039999999996</v>
      </c>
      <c r="I945">
        <v>367.81569999999999</v>
      </c>
      <c r="J945">
        <v>-287.30540000000002</v>
      </c>
      <c r="K945">
        <v>1.0606869999999999</v>
      </c>
      <c r="L945">
        <v>367.8646</v>
      </c>
      <c r="M945">
        <v>0.99983770000000005</v>
      </c>
      <c r="N945">
        <v>-1.4810749999999999E-2</v>
      </c>
      <c r="O945">
        <v>1.0264240000000001E-2</v>
      </c>
      <c r="P945">
        <v>0.95087200000000005</v>
      </c>
      <c r="Q945">
        <v>0.2945895</v>
      </c>
      <c r="R945">
        <v>9.5182639999999999E-2</v>
      </c>
      <c r="S945">
        <v>3.2568969999999999</v>
      </c>
      <c r="T945">
        <v>-0.27601219999999999</v>
      </c>
      <c r="U945">
        <v>-0.15588379999999999</v>
      </c>
      <c r="V945">
        <v>-8.5486629999999994E-2</v>
      </c>
      <c r="W945">
        <v>0.308635099999999</v>
      </c>
      <c r="X945">
        <v>0.94733120000000004</v>
      </c>
      <c r="Y945">
        <v>5.7791019999999999E-2</v>
      </c>
      <c r="Z945">
        <v>-3.588309E-3</v>
      </c>
      <c r="AA945">
        <v>0.99832220000000005</v>
      </c>
      <c r="AB945">
        <v>37</v>
      </c>
      <c r="AC945">
        <v>0.79040000000003297</v>
      </c>
      <c r="AD945">
        <v>-8.2606600000000197E-2</v>
      </c>
      <c r="AE945">
        <v>-4.8900000000003198E-2</v>
      </c>
      <c r="AF945">
        <v>5.6397496100798403E-2</v>
      </c>
      <c r="AG945">
        <v>-8.2606600000000197E-2</v>
      </c>
      <c r="AH945">
        <v>0.78135431028948199</v>
      </c>
      <c r="AI945">
        <v>96.019480703398898</v>
      </c>
      <c r="AJ945">
        <v>85.871598377640396</v>
      </c>
      <c r="AK945">
        <v>0.78773033846485296</v>
      </c>
      <c r="AL945">
        <v>72.023005397112598</v>
      </c>
      <c r="AM945">
        <v>95.156372519038399</v>
      </c>
      <c r="AN945">
        <v>0.99999999567710296</v>
      </c>
    </row>
    <row r="946" spans="1:40" x14ac:dyDescent="0.25">
      <c r="A946" t="str">
        <f>"20190304164350761"</f>
        <v>20190304164350761</v>
      </c>
      <c r="B946" t="str">
        <f>"1551689030750564"</f>
        <v>1551689030750564</v>
      </c>
      <c r="C946" t="s">
        <v>40</v>
      </c>
      <c r="D946">
        <v>4.7927499999999998</v>
      </c>
      <c r="E946">
        <v>0.57073949999999996</v>
      </c>
      <c r="F946" t="s">
        <v>41</v>
      </c>
      <c r="G946">
        <v>-286.50740000000002</v>
      </c>
      <c r="H946">
        <v>0.99287009999999998</v>
      </c>
      <c r="I946">
        <v>367.8252</v>
      </c>
      <c r="J946">
        <v>-287.13040000000001</v>
      </c>
      <c r="K946">
        <v>1.0606799999999901</v>
      </c>
      <c r="L946">
        <v>367.8664</v>
      </c>
      <c r="M946">
        <v>0.99983719999999998</v>
      </c>
      <c r="N946">
        <v>-1.4808750000000001E-2</v>
      </c>
      <c r="O946">
        <v>1.031557E-2</v>
      </c>
      <c r="P946">
        <v>0.95086110000000001</v>
      </c>
      <c r="Q946">
        <v>0.29479300000000003</v>
      </c>
      <c r="R946">
        <v>9.4659640000000003E-2</v>
      </c>
      <c r="S946">
        <v>3.2568049999999999</v>
      </c>
      <c r="T946">
        <v>-0.277039799999999</v>
      </c>
      <c r="U946">
        <v>-0.15963749999999999</v>
      </c>
      <c r="V946">
        <v>-8.4914799999999999E-2</v>
      </c>
      <c r="W946">
        <v>0.308836</v>
      </c>
      <c r="X946">
        <v>0.94731719999999997</v>
      </c>
      <c r="Y946">
        <v>5.8984420000000003E-2</v>
      </c>
      <c r="Z946">
        <v>-3.6636759999999998E-3</v>
      </c>
      <c r="AA946">
        <v>0.99825220000000003</v>
      </c>
      <c r="AB946">
        <v>37</v>
      </c>
      <c r="AC946">
        <v>0.62299999999999001</v>
      </c>
      <c r="AD946">
        <v>-6.7809899999999895E-2</v>
      </c>
      <c r="AE946">
        <v>-4.1200000000003401E-2</v>
      </c>
      <c r="AF946">
        <v>4.7069900681618301E-2</v>
      </c>
      <c r="AG946">
        <v>-6.7809899999999895E-2</v>
      </c>
      <c r="AH946">
        <v>0.61528423561116796</v>
      </c>
      <c r="AI946">
        <v>96.270956795387804</v>
      </c>
      <c r="AJ946">
        <v>85.625332561342205</v>
      </c>
      <c r="AK946">
        <v>0.62079662424968696</v>
      </c>
      <c r="AL946">
        <v>72.010904254011606</v>
      </c>
      <c r="AM946">
        <v>95.122140323971195</v>
      </c>
      <c r="AN946">
        <v>1.0000000377854299</v>
      </c>
    </row>
    <row r="947" spans="1:40" x14ac:dyDescent="0.25">
      <c r="A947" t="str">
        <f>"20190304164350772"</f>
        <v>20190304164350772</v>
      </c>
      <c r="B947" t="str">
        <f>"1551689030761300"</f>
        <v>1551689030761300</v>
      </c>
      <c r="C947" t="s">
        <v>40</v>
      </c>
      <c r="D947">
        <v>4.7877580000000002</v>
      </c>
      <c r="E947">
        <v>0.57077800000000001</v>
      </c>
      <c r="F947" t="s">
        <v>41</v>
      </c>
      <c r="G947">
        <v>-286.18740000000003</v>
      </c>
      <c r="H947">
        <v>0.98083600000000004</v>
      </c>
      <c r="I947">
        <v>367.8193</v>
      </c>
      <c r="J947">
        <v>-286.94389999999999</v>
      </c>
      <c r="K947">
        <v>1.060678</v>
      </c>
      <c r="L947">
        <v>367.86840000000001</v>
      </c>
      <c r="M947">
        <v>0.99983659999999996</v>
      </c>
      <c r="N947">
        <v>-1.480661E-2</v>
      </c>
      <c r="O947">
        <v>1.037042E-2</v>
      </c>
      <c r="P947">
        <v>0.95098229999999995</v>
      </c>
      <c r="Q947">
        <v>0.29452979999999901</v>
      </c>
      <c r="R947">
        <v>9.4260800000000006E-2</v>
      </c>
      <c r="S947">
        <v>3.2567140000000001</v>
      </c>
      <c r="T947">
        <v>-0.27581050000000001</v>
      </c>
      <c r="U947">
        <v>-0.16226199999999999</v>
      </c>
      <c r="V947">
        <v>-8.4462510000000005E-2</v>
      </c>
      <c r="W947">
        <v>0.3085734</v>
      </c>
      <c r="X947">
        <v>0.94744320000000004</v>
      </c>
      <c r="Y947">
        <v>5.9841619999999998E-2</v>
      </c>
      <c r="Z947">
        <v>-3.6951280000000002E-3</v>
      </c>
      <c r="AA947">
        <v>0.99820109999999995</v>
      </c>
      <c r="AB947">
        <v>37</v>
      </c>
      <c r="AC947">
        <v>0.75649999999995898</v>
      </c>
      <c r="AD947">
        <v>-7.9841999999999899E-2</v>
      </c>
      <c r="AE947">
        <v>-4.91000000000099E-2</v>
      </c>
      <c r="AF947">
        <v>5.63187408636001E-2</v>
      </c>
      <c r="AG947">
        <v>-7.9841999999999899E-2</v>
      </c>
      <c r="AH947">
        <v>0.74765687699342798</v>
      </c>
      <c r="AI947">
        <v>96.078402943690804</v>
      </c>
      <c r="AJ947">
        <v>85.692216868913903</v>
      </c>
      <c r="AK947">
        <v>0.75401415852225695</v>
      </c>
      <c r="AL947">
        <v>72.026722736444597</v>
      </c>
      <c r="AM947">
        <v>95.094327731049304</v>
      </c>
      <c r="AN947">
        <v>1.0000000380046401</v>
      </c>
    </row>
    <row r="948" spans="1:40" x14ac:dyDescent="0.25">
      <c r="A948" t="str">
        <f>"20190304164350783"</f>
        <v>20190304164350783</v>
      </c>
      <c r="B948" t="str">
        <f>"1551689030771060"</f>
        <v>1551689030771060</v>
      </c>
      <c r="C948" t="s">
        <v>40</v>
      </c>
      <c r="D948">
        <v>4.7962069999999999</v>
      </c>
      <c r="E948">
        <v>0.57085189999999997</v>
      </c>
      <c r="F948" t="s">
        <v>41</v>
      </c>
      <c r="G948">
        <v>-286.17849999999999</v>
      </c>
      <c r="H948">
        <v>0.99573739999999999</v>
      </c>
      <c r="I948">
        <v>367.82960000000003</v>
      </c>
      <c r="J948">
        <v>-286.75619999999998</v>
      </c>
      <c r="K948">
        <v>1.060675</v>
      </c>
      <c r="L948">
        <v>367.87040000000002</v>
      </c>
      <c r="M948">
        <v>0.99983610000000001</v>
      </c>
      <c r="N948">
        <v>-1.480448E-2</v>
      </c>
      <c r="O948">
        <v>1.042562E-2</v>
      </c>
      <c r="P948">
        <v>0.95115380000000005</v>
      </c>
      <c r="Q948">
        <v>0.29408840000000003</v>
      </c>
      <c r="R948">
        <v>9.3906920000000005E-2</v>
      </c>
      <c r="S948">
        <v>3.256561</v>
      </c>
      <c r="T948">
        <v>-0.27636640000000001</v>
      </c>
      <c r="U948">
        <v>-0.16464229999999899</v>
      </c>
      <c r="V948">
        <v>-8.4053619999999996E-2</v>
      </c>
      <c r="W948">
        <v>0.30813249999999998</v>
      </c>
      <c r="X948">
        <v>0.94762299999999999</v>
      </c>
      <c r="Y948">
        <v>6.0622349999999998E-2</v>
      </c>
      <c r="Z948">
        <v>-3.7447359999999998E-3</v>
      </c>
      <c r="AA948">
        <v>0.99815370000000003</v>
      </c>
      <c r="AB948">
        <v>37</v>
      </c>
      <c r="AC948">
        <v>0.577699999999992</v>
      </c>
      <c r="AD948">
        <v>-6.4937599999999998E-2</v>
      </c>
      <c r="AE948">
        <v>-4.0799999999990101E-2</v>
      </c>
      <c r="AF948">
        <v>4.62399636411552E-2</v>
      </c>
      <c r="AG948">
        <v>-6.4937599999999998E-2</v>
      </c>
      <c r="AH948">
        <v>0.57007581909773997</v>
      </c>
      <c r="AI948">
        <v>96.477486131860402</v>
      </c>
      <c r="AJ948">
        <v>85.362779239887203</v>
      </c>
      <c r="AK948">
        <v>0.57562267645676901</v>
      </c>
      <c r="AL948">
        <v>72.053277734023794</v>
      </c>
      <c r="AM948">
        <v>95.068837585232799</v>
      </c>
      <c r="AN948">
        <v>0.99999999936017703</v>
      </c>
    </row>
    <row r="949" spans="1:40" x14ac:dyDescent="0.25">
      <c r="A949" t="str">
        <f>"20190304164350794"</f>
        <v>20190304164350794</v>
      </c>
      <c r="B949" t="str">
        <f>"1551689030790581"</f>
        <v>1551689030790581</v>
      </c>
      <c r="C949" t="s">
        <v>40</v>
      </c>
      <c r="D949">
        <v>4.8263930000000004</v>
      </c>
      <c r="E949">
        <v>0.57096000000000002</v>
      </c>
      <c r="F949" t="s">
        <v>41</v>
      </c>
      <c r="G949">
        <v>-285.85989999999998</v>
      </c>
      <c r="H949">
        <v>0.98427030000000004</v>
      </c>
      <c r="I949">
        <v>367.82409999999999</v>
      </c>
      <c r="J949">
        <v>-286.5822</v>
      </c>
      <c r="K949">
        <v>1.06067</v>
      </c>
      <c r="L949">
        <v>367.87220000000002</v>
      </c>
      <c r="M949">
        <v>0.99983569999999999</v>
      </c>
      <c r="N949">
        <v>-1.48025E-2</v>
      </c>
      <c r="O949">
        <v>1.0476589999999999E-2</v>
      </c>
      <c r="P949">
        <v>0.95122399999999996</v>
      </c>
      <c r="Q949">
        <v>0.29391119999999998</v>
      </c>
      <c r="R949">
        <v>9.3751979999999999E-2</v>
      </c>
      <c r="S949">
        <v>3.2564700000000002</v>
      </c>
      <c r="T949">
        <v>-0.27795799999999998</v>
      </c>
      <c r="U949">
        <v>-0.16656489999999999</v>
      </c>
      <c r="V949">
        <v>-8.3849480000000004E-2</v>
      </c>
      <c r="W949">
        <v>0.30795470000000003</v>
      </c>
      <c r="X949">
        <v>0.94769890000000001</v>
      </c>
      <c r="Y949">
        <v>6.1256489999999997E-2</v>
      </c>
      <c r="Z949">
        <v>-3.7998469999999999E-3</v>
      </c>
      <c r="AA949">
        <v>0.99811479999999997</v>
      </c>
      <c r="AB949">
        <v>36</v>
      </c>
      <c r="AC949">
        <v>0.72230000000001804</v>
      </c>
      <c r="AD949">
        <v>-7.6399699999999807E-2</v>
      </c>
      <c r="AE949">
        <v>-4.8100000000033498E-2</v>
      </c>
      <c r="AF949">
        <v>5.5052229810190798E-2</v>
      </c>
      <c r="AG949">
        <v>-7.6399699999999807E-2</v>
      </c>
      <c r="AH949">
        <v>0.71380565288543096</v>
      </c>
      <c r="AI949">
        <v>96.091243730165303</v>
      </c>
      <c r="AJ949">
        <v>85.589796024645906</v>
      </c>
      <c r="AK949">
        <v>0.71999039733760295</v>
      </c>
      <c r="AL949">
        <v>72.063985984977194</v>
      </c>
      <c r="AM949">
        <v>95.056187985551105</v>
      </c>
      <c r="AN949">
        <v>1.00000001880478</v>
      </c>
    </row>
    <row r="950" spans="1:40" x14ac:dyDescent="0.25">
      <c r="A950" t="str">
        <f>"20190304164350806"</f>
        <v>20190304164350806</v>
      </c>
      <c r="B950" t="str">
        <f>"1551689030801316"</f>
        <v>1551689030801316</v>
      </c>
      <c r="C950" t="s">
        <v>40</v>
      </c>
      <c r="D950">
        <v>4.7861570000000002</v>
      </c>
      <c r="E950">
        <v>0.57099560000000005</v>
      </c>
      <c r="F950" t="s">
        <v>41</v>
      </c>
      <c r="G950">
        <v>-285.54059999999998</v>
      </c>
      <c r="H950">
        <v>0.9717711</v>
      </c>
      <c r="I950">
        <v>367.8184</v>
      </c>
      <c r="J950">
        <v>-286.38619999999997</v>
      </c>
      <c r="K950">
        <v>1.0606580000000001</v>
      </c>
      <c r="L950">
        <v>367.87430000000001</v>
      </c>
      <c r="M950">
        <v>0.99983509999999998</v>
      </c>
      <c r="N950">
        <v>-1.4800280000000001E-2</v>
      </c>
      <c r="O950">
        <v>1.053459E-2</v>
      </c>
      <c r="P950">
        <v>0.95133889999999999</v>
      </c>
      <c r="Q950">
        <v>0.29344300000000001</v>
      </c>
      <c r="R950">
        <v>9.40526E-2</v>
      </c>
      <c r="S950">
        <v>3.2563170000000001</v>
      </c>
      <c r="T950">
        <v>-0.27807080000000001</v>
      </c>
      <c r="U950">
        <v>-0.167968799999999</v>
      </c>
      <c r="V950">
        <v>-8.4093340000000003E-2</v>
      </c>
      <c r="W950">
        <v>0.30748599999999998</v>
      </c>
      <c r="X950">
        <v>0.94782940000000004</v>
      </c>
      <c r="Y950">
        <v>6.1743489999999998E-2</v>
      </c>
      <c r="Z950">
        <v>-3.8297909999999999E-3</v>
      </c>
      <c r="AA950">
        <v>0.99808470000000005</v>
      </c>
      <c r="AB950">
        <v>36</v>
      </c>
      <c r="AC950">
        <v>0.84559999999999003</v>
      </c>
      <c r="AD950">
        <v>-8.8886900000000199E-2</v>
      </c>
      <c r="AE950">
        <v>-5.59000000000082E-2</v>
      </c>
      <c r="AF950">
        <v>6.4100717540424706E-2</v>
      </c>
      <c r="AG950">
        <v>-8.8886900000000199E-2</v>
      </c>
      <c r="AH950">
        <v>0.83576940446094194</v>
      </c>
      <c r="AI950">
        <v>96.053134681688306</v>
      </c>
      <c r="AJ950">
        <v>85.6141915858571</v>
      </c>
      <c r="AK950">
        <v>0.84292365040601702</v>
      </c>
      <c r="AL950">
        <v>72.092208776967894</v>
      </c>
      <c r="AM950">
        <v>95.070121848985295</v>
      </c>
      <c r="AN950">
        <v>0.99999995076635595</v>
      </c>
    </row>
    <row r="951" spans="1:40" x14ac:dyDescent="0.25">
      <c r="A951" t="str">
        <f>"20190304164350818"</f>
        <v>20190304164350818</v>
      </c>
      <c r="B951" t="str">
        <f>"1551689030811077"</f>
        <v>1551689030811077</v>
      </c>
      <c r="C951" t="s">
        <v>40</v>
      </c>
      <c r="D951">
        <v>4.8198600000000003</v>
      </c>
      <c r="E951">
        <v>0.57101109999999999</v>
      </c>
      <c r="F951" t="s">
        <v>41</v>
      </c>
      <c r="G951">
        <v>-285.53280000000001</v>
      </c>
      <c r="H951">
        <v>0.98752799999999996</v>
      </c>
      <c r="I951">
        <v>367.83019999999999</v>
      </c>
      <c r="J951">
        <v>-286.19439999999997</v>
      </c>
      <c r="K951">
        <v>1.0606549999999999</v>
      </c>
      <c r="L951">
        <v>367.87639999999999</v>
      </c>
      <c r="M951">
        <v>0.99983449999999996</v>
      </c>
      <c r="N951">
        <v>-1.479812E-2</v>
      </c>
      <c r="O951">
        <v>1.059128E-2</v>
      </c>
      <c r="P951">
        <v>0.95144059999999997</v>
      </c>
      <c r="Q951">
        <v>0.29310930000000002</v>
      </c>
      <c r="R951">
        <v>9.4065220000000005E-2</v>
      </c>
      <c r="S951">
        <v>3.2562259999999998</v>
      </c>
      <c r="T951">
        <v>-0.27922649999999999</v>
      </c>
      <c r="U951">
        <v>-0.16790769999999999</v>
      </c>
      <c r="V951">
        <v>-8.4050449999999999E-2</v>
      </c>
      <c r="W951">
        <v>0.30715160000000002</v>
      </c>
      <c r="X951">
        <v>0.9479417</v>
      </c>
      <c r="Y951">
        <v>6.1780259999999997E-2</v>
      </c>
      <c r="Z951">
        <v>-3.8503209999999999E-3</v>
      </c>
      <c r="AA951">
        <v>0.99808229999999998</v>
      </c>
      <c r="AB951">
        <v>36</v>
      </c>
      <c r="AC951">
        <v>0.66159999999996399</v>
      </c>
      <c r="AD951">
        <v>-7.3126999999999803E-2</v>
      </c>
      <c r="AE951">
        <v>-4.6199999999998902E-2</v>
      </c>
      <c r="AF951">
        <v>5.2566279893044701E-2</v>
      </c>
      <c r="AG951">
        <v>-7.3126999999999803E-2</v>
      </c>
      <c r="AH951">
        <v>0.65313290980206495</v>
      </c>
      <c r="AI951">
        <v>96.368004582295299</v>
      </c>
      <c r="AJ951">
        <v>85.398565892939502</v>
      </c>
      <c r="AK951">
        <v>0.65931280116292801</v>
      </c>
      <c r="AL951">
        <v>72.112344216256403</v>
      </c>
      <c r="AM951">
        <v>95.066952197294597</v>
      </c>
      <c r="AN951">
        <v>1.0000000250633201</v>
      </c>
    </row>
    <row r="952" spans="1:40" x14ac:dyDescent="0.25">
      <c r="A952" t="str">
        <f>"20190304164350834"</f>
        <v>20190304164350834</v>
      </c>
      <c r="B952" t="str">
        <f>"1551689030830596"</f>
        <v>1551689030830596</v>
      </c>
      <c r="C952" t="s">
        <v>40</v>
      </c>
      <c r="D952">
        <v>4.8343720000000001</v>
      </c>
      <c r="E952">
        <v>0.57110069999999902</v>
      </c>
      <c r="F952" t="s">
        <v>41</v>
      </c>
      <c r="G952">
        <v>-285.21319999999997</v>
      </c>
      <c r="H952">
        <v>0.97634759999999998</v>
      </c>
      <c r="I952">
        <v>367.82530000000003</v>
      </c>
      <c r="J952">
        <v>-285.93389999999999</v>
      </c>
      <c r="K952">
        <v>1.060654</v>
      </c>
      <c r="L952">
        <v>367.8793</v>
      </c>
      <c r="M952">
        <v>0.99983359999999999</v>
      </c>
      <c r="N952">
        <v>-1.4795259999999999E-2</v>
      </c>
      <c r="O952">
        <v>1.066843E-2</v>
      </c>
      <c r="P952">
        <v>0.95154130000000003</v>
      </c>
      <c r="Q952">
        <v>0.2928154</v>
      </c>
      <c r="R952">
        <v>9.3959169999999995E-2</v>
      </c>
      <c r="S952">
        <v>3.2560730000000002</v>
      </c>
      <c r="T952">
        <v>-0.28003990000000001</v>
      </c>
      <c r="U952">
        <v>-0.16879269999999999</v>
      </c>
      <c r="V952">
        <v>-8.3869429999999995E-2</v>
      </c>
      <c r="W952">
        <v>0.30685699999999999</v>
      </c>
      <c r="X952">
        <v>0.94805309999999998</v>
      </c>
      <c r="Y952">
        <v>6.2126889999999997E-2</v>
      </c>
      <c r="Z952">
        <v>-3.8836330000000001E-3</v>
      </c>
      <c r="AA952">
        <v>0.99806070000000002</v>
      </c>
      <c r="AB952">
        <v>36</v>
      </c>
      <c r="AC952">
        <v>0.72070000000002199</v>
      </c>
      <c r="AD952">
        <v>-8.4306399999999795E-2</v>
      </c>
      <c r="AE952">
        <v>-5.3999999999973597E-2</v>
      </c>
      <c r="AF952">
        <v>6.0858370837407597E-2</v>
      </c>
      <c r="AG952">
        <v>-8.4306399999999795E-2</v>
      </c>
      <c r="AH952">
        <v>0.71041578292756502</v>
      </c>
      <c r="AI952">
        <v>96.743278751286397</v>
      </c>
      <c r="AJ952">
        <v>85.103662564236004</v>
      </c>
      <c r="AK952">
        <v>0.71798460639106199</v>
      </c>
      <c r="AL952">
        <v>72.130079402835193</v>
      </c>
      <c r="AM952">
        <v>95.055505063050504</v>
      </c>
      <c r="AN952">
        <v>0.99999999007856699</v>
      </c>
    </row>
    <row r="953" spans="1:40" x14ac:dyDescent="0.25">
      <c r="A953" t="str">
        <f>"20190304164350850"</f>
        <v>20190304164350850</v>
      </c>
      <c r="B953" t="str">
        <f>"1551689030841332"</f>
        <v>1551689030841332</v>
      </c>
      <c r="C953" t="s">
        <v>40</v>
      </c>
      <c r="D953">
        <v>4.837523</v>
      </c>
      <c r="E953">
        <v>0.57111880000000004</v>
      </c>
      <c r="F953" t="s">
        <v>41</v>
      </c>
      <c r="G953">
        <v>-284.8913</v>
      </c>
      <c r="H953">
        <v>0.97057179999999998</v>
      </c>
      <c r="I953">
        <v>367.82470000000001</v>
      </c>
      <c r="J953">
        <v>-285.6721</v>
      </c>
      <c r="K953">
        <v>1.060649</v>
      </c>
      <c r="L953">
        <v>367.88209999999998</v>
      </c>
      <c r="M953">
        <v>0.99983290000000002</v>
      </c>
      <c r="N953">
        <v>-1.479244E-2</v>
      </c>
      <c r="O953">
        <v>1.07461E-2</v>
      </c>
      <c r="P953">
        <v>0.95189749999999995</v>
      </c>
      <c r="Q953">
        <v>0.29177769999999997</v>
      </c>
      <c r="R953">
        <v>9.3578610000000007E-2</v>
      </c>
      <c r="S953">
        <v>3.2561650000000002</v>
      </c>
      <c r="T953">
        <v>-0.2814429</v>
      </c>
      <c r="U953">
        <v>-0.17007449999999999</v>
      </c>
      <c r="V953">
        <v>-8.3410810000000002E-2</v>
      </c>
      <c r="W953">
        <v>0.305822599999999</v>
      </c>
      <c r="X953">
        <v>0.94842769999999998</v>
      </c>
      <c r="Y953">
        <v>6.2589790000000006E-2</v>
      </c>
      <c r="Z953">
        <v>-3.930266E-3</v>
      </c>
      <c r="AA953">
        <v>0.99803160000000002</v>
      </c>
      <c r="AB953">
        <v>36</v>
      </c>
      <c r="AC953">
        <v>0.78079999999999905</v>
      </c>
      <c r="AD953">
        <v>-9.0077199999999802E-2</v>
      </c>
      <c r="AE953">
        <v>-5.7399999999972799E-2</v>
      </c>
      <c r="AF953">
        <v>6.4928657598737394E-2</v>
      </c>
      <c r="AG953">
        <v>-9.0077199999999802E-2</v>
      </c>
      <c r="AH953">
        <v>0.76994577514856999</v>
      </c>
      <c r="AI953">
        <v>96.649403736473502</v>
      </c>
      <c r="AJ953">
        <v>85.179716293744306</v>
      </c>
      <c r="AK953">
        <v>0.77791138904540202</v>
      </c>
      <c r="AL953">
        <v>72.192339008104099</v>
      </c>
      <c r="AM953">
        <v>95.026026600286599</v>
      </c>
      <c r="AN953">
        <v>0.99999996401145197</v>
      </c>
    </row>
    <row r="954" spans="1:40" x14ac:dyDescent="0.25">
      <c r="A954" t="str">
        <f>"20190304164350861"</f>
        <v>20190304164350861</v>
      </c>
      <c r="B954" t="str">
        <f>"1551689030851092"</f>
        <v>1551689030851092</v>
      </c>
      <c r="C954" t="s">
        <v>40</v>
      </c>
      <c r="D954">
        <v>4.8141160000000003</v>
      </c>
      <c r="E954">
        <v>0.57114019999999899</v>
      </c>
      <c r="F954" t="s">
        <v>41</v>
      </c>
      <c r="G954">
        <v>-284.88099999999997</v>
      </c>
      <c r="H954">
        <v>0.99150479999999996</v>
      </c>
      <c r="I954">
        <v>367.84019999999998</v>
      </c>
      <c r="J954">
        <v>-285.49079999999998</v>
      </c>
      <c r="K954">
        <v>1.0606500000000001</v>
      </c>
      <c r="L954">
        <v>367.88409999999999</v>
      </c>
      <c r="M954">
        <v>0.99983239999999995</v>
      </c>
      <c r="N954">
        <v>-1.479049E-2</v>
      </c>
      <c r="O954">
        <v>1.0799400000000001E-2</v>
      </c>
      <c r="P954">
        <v>0.95205280000000003</v>
      </c>
      <c r="Q954">
        <v>0.29138789999999998</v>
      </c>
      <c r="R954">
        <v>9.3214939999999996E-2</v>
      </c>
      <c r="S954">
        <v>3.2557369999999999</v>
      </c>
      <c r="T954">
        <v>-0.28465879999999999</v>
      </c>
      <c r="U954">
        <v>-0.17181399999999999</v>
      </c>
      <c r="V954">
        <v>-8.2994299999999993E-2</v>
      </c>
      <c r="W954">
        <v>0.30543310000000001</v>
      </c>
      <c r="X954">
        <v>0.94858980000000004</v>
      </c>
      <c r="Y954">
        <v>6.3172199999999998E-2</v>
      </c>
      <c r="Z954">
        <v>-4.0055280000000004E-3</v>
      </c>
      <c r="AA954">
        <v>0.99799459999999995</v>
      </c>
      <c r="AB954">
        <v>36</v>
      </c>
      <c r="AC954">
        <v>0.609800000000007</v>
      </c>
      <c r="AD954">
        <v>-6.9145200000000004E-2</v>
      </c>
      <c r="AE954">
        <v>-4.3900000000007801E-2</v>
      </c>
      <c r="AF954">
        <v>4.9846052772383097E-2</v>
      </c>
      <c r="AG954">
        <v>-6.9145200000000004E-2</v>
      </c>
      <c r="AH954">
        <v>0.60159528545047403</v>
      </c>
      <c r="AI954">
        <v>96.534403307403494</v>
      </c>
      <c r="AJ954">
        <v>85.263494051621095</v>
      </c>
      <c r="AK954">
        <v>0.60760396240994397</v>
      </c>
      <c r="AL954">
        <v>72.215778247482604</v>
      </c>
      <c r="AM954">
        <v>95.000206570545998</v>
      </c>
      <c r="AN954">
        <v>1.00000002053607</v>
      </c>
    </row>
    <row r="955" spans="1:40" x14ac:dyDescent="0.25">
      <c r="A955" t="str">
        <f>"20190304164350872"</f>
        <v>20190304164350872</v>
      </c>
      <c r="B955" t="str">
        <f>"1551689030860852"</f>
        <v>1551689030860852</v>
      </c>
      <c r="C955" t="s">
        <v>40</v>
      </c>
      <c r="D955">
        <v>4.807366</v>
      </c>
      <c r="E955">
        <v>0.57113740000000002</v>
      </c>
      <c r="F955" t="s">
        <v>41</v>
      </c>
      <c r="G955">
        <v>-284.56270000000001</v>
      </c>
      <c r="H955">
        <v>0.97925189999999995</v>
      </c>
      <c r="I955">
        <v>367.83440000000002</v>
      </c>
      <c r="J955">
        <v>-285.31389999999999</v>
      </c>
      <c r="K955">
        <v>1.0606549999999999</v>
      </c>
      <c r="L955">
        <v>367.88600000000002</v>
      </c>
      <c r="M955">
        <v>0.9998319</v>
      </c>
      <c r="N955">
        <v>-1.4788610000000001E-2</v>
      </c>
      <c r="O955">
        <v>1.0851380000000001E-2</v>
      </c>
      <c r="P955">
        <v>0.9522119</v>
      </c>
      <c r="Q955">
        <v>0.29106779999999999</v>
      </c>
      <c r="R955">
        <v>9.2586730000000006E-2</v>
      </c>
      <c r="S955">
        <v>3.2555239999999999</v>
      </c>
      <c r="T955">
        <v>-0.28589589999999998</v>
      </c>
      <c r="U955">
        <v>-0.17297360000000001</v>
      </c>
      <c r="V955">
        <v>-8.2315159999999998E-2</v>
      </c>
      <c r="W955">
        <v>0.30511379999999999</v>
      </c>
      <c r="X955">
        <v>0.94875169999999998</v>
      </c>
      <c r="Y955">
        <v>6.3577480000000006E-2</v>
      </c>
      <c r="Z955">
        <v>-4.046259E-3</v>
      </c>
      <c r="AA955">
        <v>0.99796870000000004</v>
      </c>
      <c r="AB955">
        <v>36</v>
      </c>
      <c r="AC955">
        <v>0.75119999999998199</v>
      </c>
      <c r="AD955">
        <v>-8.1403099999999798E-2</v>
      </c>
      <c r="AE955">
        <v>-5.1599999999950803E-2</v>
      </c>
      <c r="AF955">
        <v>5.9059146886928898E-2</v>
      </c>
      <c r="AG955">
        <v>-8.1403099999999798E-2</v>
      </c>
      <c r="AH955">
        <v>0.74192443160513299</v>
      </c>
      <c r="AI955">
        <v>96.241794221698797</v>
      </c>
      <c r="AJ955">
        <v>85.448701457134504</v>
      </c>
      <c r="AK955">
        <v>0.748709763348403</v>
      </c>
      <c r="AL955">
        <v>72.234989527885901</v>
      </c>
      <c r="AM955">
        <v>94.958652836295997</v>
      </c>
      <c r="AN955">
        <v>1.0000000023845701</v>
      </c>
    </row>
    <row r="956" spans="1:40" x14ac:dyDescent="0.25">
      <c r="A956" t="str">
        <f>"20190304164350885"</f>
        <v>20190304164350885</v>
      </c>
      <c r="B956" t="str">
        <f>"1551689030881348"</f>
        <v>1551689030881348</v>
      </c>
      <c r="C956" t="s">
        <v>40</v>
      </c>
      <c r="D956">
        <v>4.8294079999999999</v>
      </c>
      <c r="E956">
        <v>0.57115159999999998</v>
      </c>
      <c r="F956" t="s">
        <v>41</v>
      </c>
      <c r="G956">
        <v>-284.55489999999998</v>
      </c>
      <c r="H956">
        <v>0.99381050000000004</v>
      </c>
      <c r="I956">
        <v>367.84500000000003</v>
      </c>
      <c r="J956">
        <v>-285.11219999999997</v>
      </c>
      <c r="K956">
        <v>1.0606549999999999</v>
      </c>
      <c r="L956">
        <v>367.88830000000002</v>
      </c>
      <c r="M956">
        <v>0.99983129999999998</v>
      </c>
      <c r="N956">
        <v>-1.478645E-2</v>
      </c>
      <c r="O956">
        <v>1.090927E-2</v>
      </c>
      <c r="P956">
        <v>0.95229330000000001</v>
      </c>
      <c r="Q956">
        <v>0.29097079999999997</v>
      </c>
      <c r="R956">
        <v>9.2052330000000002E-2</v>
      </c>
      <c r="S956">
        <v>3.25528</v>
      </c>
      <c r="T956">
        <v>-0.28716029999999998</v>
      </c>
      <c r="U956">
        <v>-0.1743469</v>
      </c>
      <c r="V956">
        <v>-8.1724740000000004E-2</v>
      </c>
      <c r="W956">
        <v>0.30501620000000002</v>
      </c>
      <c r="X956">
        <v>0.94883410000000001</v>
      </c>
      <c r="Y956">
        <v>6.4054040000000007E-2</v>
      </c>
      <c r="Z956">
        <v>-4.0916609999999999E-3</v>
      </c>
      <c r="AA956">
        <v>0.99793799999999999</v>
      </c>
      <c r="AB956">
        <v>36</v>
      </c>
      <c r="AC956">
        <v>0.55729999999999702</v>
      </c>
      <c r="AD956">
        <v>-6.6844499999999904E-2</v>
      </c>
      <c r="AE956">
        <v>-4.3299999999987897E-2</v>
      </c>
      <c r="AF956">
        <v>4.8681669452041998E-2</v>
      </c>
      <c r="AG956">
        <v>-6.6844499999999904E-2</v>
      </c>
      <c r="AH956">
        <v>0.54894443872913801</v>
      </c>
      <c r="AI956">
        <v>96.915801332285298</v>
      </c>
      <c r="AJ956">
        <v>84.932134778703997</v>
      </c>
      <c r="AK956">
        <v>0.55513790082513403</v>
      </c>
      <c r="AL956">
        <v>72.240861136542506</v>
      </c>
      <c r="AM956">
        <v>94.922836011879596</v>
      </c>
      <c r="AN956">
        <v>0.99999998235665799</v>
      </c>
    </row>
    <row r="957" spans="1:40" x14ac:dyDescent="0.25">
      <c r="A957" t="str">
        <f>"20190304164350896"</f>
        <v>20190304164350896</v>
      </c>
      <c r="B957" t="str">
        <f>"1551689030891108"</f>
        <v>1551689030891108</v>
      </c>
      <c r="C957" t="s">
        <v>40</v>
      </c>
      <c r="D957">
        <v>4.8223880000000001</v>
      </c>
      <c r="E957">
        <v>0.57114299999999996</v>
      </c>
      <c r="F957" t="s">
        <v>41</v>
      </c>
      <c r="G957">
        <v>-284.23680000000002</v>
      </c>
      <c r="H957">
        <v>0.98318170000000005</v>
      </c>
      <c r="I957">
        <v>367.84109999999998</v>
      </c>
      <c r="J957">
        <v>-284.91410000000002</v>
      </c>
      <c r="K957">
        <v>1.060657</v>
      </c>
      <c r="L957">
        <v>367.8904</v>
      </c>
      <c r="M957">
        <v>0.99983069999999996</v>
      </c>
      <c r="N957">
        <v>-1.478434E-2</v>
      </c>
      <c r="O957">
        <v>1.0964939999999999E-2</v>
      </c>
      <c r="P957">
        <v>0.95240480000000005</v>
      </c>
      <c r="Q957">
        <v>0.29087269999999998</v>
      </c>
      <c r="R957">
        <v>9.1205309999999998E-2</v>
      </c>
      <c r="S957">
        <v>3.2552189999999999</v>
      </c>
      <c r="T957">
        <v>-0.2881068</v>
      </c>
      <c r="U957">
        <v>-0.175293</v>
      </c>
      <c r="V957">
        <v>-8.082251E-2</v>
      </c>
      <c r="W957">
        <v>0.30491770000000001</v>
      </c>
      <c r="X957">
        <v>0.94894310000000004</v>
      </c>
      <c r="Y957">
        <v>6.4396079999999994E-2</v>
      </c>
      <c r="Z957">
        <v>-4.1257990000000003E-3</v>
      </c>
      <c r="AA957">
        <v>0.99791589999999997</v>
      </c>
      <c r="AB957">
        <v>36</v>
      </c>
      <c r="AC957">
        <v>0.67730000000000201</v>
      </c>
      <c r="AD957">
        <v>-7.7475299999999997E-2</v>
      </c>
      <c r="AE957">
        <v>-4.9300000000016497E-2</v>
      </c>
      <c r="AF957">
        <v>5.59955755033026E-2</v>
      </c>
      <c r="AG957">
        <v>-7.7475299999999997E-2</v>
      </c>
      <c r="AH957">
        <v>0.66802380736011802</v>
      </c>
      <c r="AI957">
        <v>96.592514163962207</v>
      </c>
      <c r="AJ957">
        <v>85.208512775662399</v>
      </c>
      <c r="AK957">
        <v>0.674828669949598</v>
      </c>
      <c r="AL957">
        <v>72.246788204119795</v>
      </c>
      <c r="AM957">
        <v>94.868194706579899</v>
      </c>
      <c r="AN957">
        <v>1.00000004446679</v>
      </c>
    </row>
    <row r="958" spans="1:40" x14ac:dyDescent="0.25">
      <c r="A958" t="str">
        <f>"20190304164350907"</f>
        <v>20190304164350907</v>
      </c>
      <c r="B958" t="str">
        <f>"1551689030900869"</f>
        <v>1551689030900869</v>
      </c>
      <c r="C958" t="s">
        <v>40</v>
      </c>
      <c r="D958">
        <v>4.8176199999999998</v>
      </c>
      <c r="E958">
        <v>0.57114030000000005</v>
      </c>
      <c r="F958" t="s">
        <v>41</v>
      </c>
      <c r="G958">
        <v>-283.91849999999999</v>
      </c>
      <c r="H958">
        <v>0.97232070000000004</v>
      </c>
      <c r="I958">
        <v>367.83620000000002</v>
      </c>
      <c r="J958">
        <v>-284.73570000000001</v>
      </c>
      <c r="K958">
        <v>1.0606580000000001</v>
      </c>
      <c r="L958">
        <v>367.89249999999998</v>
      </c>
      <c r="M958">
        <v>0.9998302</v>
      </c>
      <c r="N958">
        <v>-1.4782440000000001E-2</v>
      </c>
      <c r="O958">
        <v>1.1013200000000001E-2</v>
      </c>
      <c r="P958">
        <v>0.95252919999999996</v>
      </c>
      <c r="Q958">
        <v>0.29079579999999999</v>
      </c>
      <c r="R958">
        <v>9.0144989999999994E-2</v>
      </c>
      <c r="S958">
        <v>3.2550659999999998</v>
      </c>
      <c r="T958">
        <v>-0.28896379999999999</v>
      </c>
      <c r="U958">
        <v>-0.17675779999999999</v>
      </c>
      <c r="V958">
        <v>-7.9713619999999999E-2</v>
      </c>
      <c r="W958">
        <v>0.30484139999999998</v>
      </c>
      <c r="X958">
        <v>0.9490613</v>
      </c>
      <c r="Y958">
        <v>6.4890290000000003E-2</v>
      </c>
      <c r="Z958">
        <v>-4.166299E-3</v>
      </c>
      <c r="AA958">
        <v>0.99788370000000004</v>
      </c>
      <c r="AB958">
        <v>36</v>
      </c>
      <c r="AC958">
        <v>0.81720000000001303</v>
      </c>
      <c r="AD958">
        <v>-8.8337299999999994E-2</v>
      </c>
      <c r="AE958">
        <v>-5.6299999999964698E-2</v>
      </c>
      <c r="AF958">
        <v>6.4546882043282405E-2</v>
      </c>
      <c r="AG958">
        <v>-8.8337299999999994E-2</v>
      </c>
      <c r="AH958">
        <v>0.80714334046931302</v>
      </c>
      <c r="AI958">
        <v>96.226122484471404</v>
      </c>
      <c r="AJ958">
        <v>85.427812847661201</v>
      </c>
      <c r="AK958">
        <v>0.81452449356465695</v>
      </c>
      <c r="AL958">
        <v>72.251376597105093</v>
      </c>
      <c r="AM958">
        <v>94.801121989043594</v>
      </c>
      <c r="AN958">
        <v>0.999999945762575</v>
      </c>
    </row>
    <row r="959" spans="1:40" x14ac:dyDescent="0.25">
      <c r="A959" t="str">
        <f>"20190304164350918"</f>
        <v>20190304164350918</v>
      </c>
      <c r="B959" t="str">
        <f>"1551689030910628"</f>
        <v>1551689030910628</v>
      </c>
      <c r="C959" t="s">
        <v>40</v>
      </c>
      <c r="D959">
        <v>4.8419629999999998</v>
      </c>
      <c r="E959">
        <v>0.57112909999999995</v>
      </c>
      <c r="F959" t="s">
        <v>41</v>
      </c>
      <c r="G959">
        <v>-283.911</v>
      </c>
      <c r="H959">
        <v>0.98736239999999997</v>
      </c>
      <c r="I959">
        <v>367.84679999999997</v>
      </c>
      <c r="J959">
        <v>-284.57060000000001</v>
      </c>
      <c r="K959">
        <v>1.060657</v>
      </c>
      <c r="L959">
        <v>367.89429999999999</v>
      </c>
      <c r="M959">
        <v>0.99982979999999999</v>
      </c>
      <c r="N959">
        <v>-1.4780679999999999E-2</v>
      </c>
      <c r="O959">
        <v>1.105627E-2</v>
      </c>
      <c r="P959">
        <v>0.95266490000000004</v>
      </c>
      <c r="Q959">
        <v>0.29060629999999998</v>
      </c>
      <c r="R959">
        <v>8.9319839999999998E-2</v>
      </c>
      <c r="S959">
        <v>3.254883</v>
      </c>
      <c r="T959">
        <v>-0.28952709999999998</v>
      </c>
      <c r="U959">
        <v>-0.1792908</v>
      </c>
      <c r="V959">
        <v>-7.8844709999999998E-2</v>
      </c>
      <c r="W959">
        <v>0.3046528</v>
      </c>
      <c r="X959">
        <v>0.94919450000000005</v>
      </c>
      <c r="Y959">
        <v>6.570542E-2</v>
      </c>
      <c r="Z959">
        <v>-4.2192699999999998E-3</v>
      </c>
      <c r="AA959">
        <v>0.9978302</v>
      </c>
      <c r="AB959">
        <v>36</v>
      </c>
      <c r="AC959">
        <v>0.65960000000001096</v>
      </c>
      <c r="AD959">
        <v>-7.3294599999999904E-2</v>
      </c>
      <c r="AE959">
        <v>-4.7500000000013601E-2</v>
      </c>
      <c r="AF959">
        <v>5.4125732180159099E-2</v>
      </c>
      <c r="AG959">
        <v>-7.3294599999999904E-2</v>
      </c>
      <c r="AH959">
        <v>0.65103716935656297</v>
      </c>
      <c r="AI959">
        <v>96.4014849036855</v>
      </c>
      <c r="AJ959">
        <v>85.247490211206696</v>
      </c>
      <c r="AK959">
        <v>0.65738199637425798</v>
      </c>
      <c r="AL959">
        <v>72.262723394920798</v>
      </c>
      <c r="AM959">
        <v>94.748365152787898</v>
      </c>
      <c r="AN959">
        <v>1.0000000078365301</v>
      </c>
    </row>
    <row r="960" spans="1:40" x14ac:dyDescent="0.25">
      <c r="A960" t="str">
        <f>"20190304164350929"</f>
        <v>20190304164350929</v>
      </c>
      <c r="B960" t="str">
        <f>"1551689030921364"</f>
        <v>1551689030921364</v>
      </c>
      <c r="C960" t="s">
        <v>40</v>
      </c>
      <c r="D960">
        <v>4.8364690000000001</v>
      </c>
      <c r="E960">
        <v>0.57112280000000004</v>
      </c>
      <c r="F960" t="s">
        <v>41</v>
      </c>
      <c r="G960">
        <v>-283.59449999999998</v>
      </c>
      <c r="H960">
        <v>0.97357559999999999</v>
      </c>
      <c r="I960">
        <v>367.83960000000002</v>
      </c>
      <c r="J960">
        <v>-284.3886</v>
      </c>
      <c r="K960">
        <v>1.0606549999999999</v>
      </c>
      <c r="L960">
        <v>367.8963</v>
      </c>
      <c r="M960">
        <v>0.99982919999999997</v>
      </c>
      <c r="N960">
        <v>-1.477872E-2</v>
      </c>
      <c r="O960">
        <v>1.1102010000000001E-2</v>
      </c>
      <c r="P960">
        <v>0.95270129999999997</v>
      </c>
      <c r="Q960">
        <v>0.29099199999999997</v>
      </c>
      <c r="R960">
        <v>8.7656799999999896E-2</v>
      </c>
      <c r="S960">
        <v>3.2547000000000001</v>
      </c>
      <c r="T960">
        <v>-0.29060439999999998</v>
      </c>
      <c r="U960">
        <v>-0.1816101</v>
      </c>
      <c r="V960">
        <v>-7.7135499999999996E-2</v>
      </c>
      <c r="W960">
        <v>0.30503799999999998</v>
      </c>
      <c r="X960">
        <v>0.94921120000000003</v>
      </c>
      <c r="Y960">
        <v>6.645703E-2</v>
      </c>
      <c r="Z960">
        <v>-4.2762620000000003E-3</v>
      </c>
      <c r="AA960">
        <v>0.99778009999999995</v>
      </c>
      <c r="AB960">
        <v>36</v>
      </c>
      <c r="AC960">
        <v>0.79410000000001402</v>
      </c>
      <c r="AD960">
        <v>-8.7079399999999904E-2</v>
      </c>
      <c r="AE960">
        <v>-5.66999999999779E-2</v>
      </c>
      <c r="AF960">
        <v>6.4739043492615306E-2</v>
      </c>
      <c r="AG960">
        <v>-8.7079399999999904E-2</v>
      </c>
      <c r="AH960">
        <v>0.78404132216559697</v>
      </c>
      <c r="AI960">
        <v>96.316250394998704</v>
      </c>
      <c r="AJ960">
        <v>85.279740649862504</v>
      </c>
      <c r="AK960">
        <v>0.79151422003642802</v>
      </c>
      <c r="AL960">
        <v>72.239549624206603</v>
      </c>
      <c r="AM960">
        <v>94.645803409241495</v>
      </c>
      <c r="AN960">
        <v>0.99999998450484395</v>
      </c>
    </row>
    <row r="961" spans="1:40" x14ac:dyDescent="0.25">
      <c r="A961" t="str">
        <f>"20190304164350940"</f>
        <v>20190304164350940</v>
      </c>
      <c r="B961" t="str">
        <f>"1551689030931124"</f>
        <v>1551689030931124</v>
      </c>
      <c r="C961" t="s">
        <v>40</v>
      </c>
      <c r="D961">
        <v>4.8544140000000002</v>
      </c>
      <c r="E961">
        <v>0.57111369999999995</v>
      </c>
      <c r="F961" t="s">
        <v>41</v>
      </c>
      <c r="G961">
        <v>-283.58679999999998</v>
      </c>
      <c r="H961">
        <v>0.98937929999999996</v>
      </c>
      <c r="I961">
        <v>367.85019999999997</v>
      </c>
      <c r="J961">
        <v>-284.2122</v>
      </c>
      <c r="K961">
        <v>1.0606519999999999</v>
      </c>
      <c r="L961">
        <v>367.89830000000001</v>
      </c>
      <c r="M961">
        <v>0.99982879999999996</v>
      </c>
      <c r="N961">
        <v>-1.4776829999999999E-2</v>
      </c>
      <c r="O961">
        <v>1.1142839999999999E-2</v>
      </c>
      <c r="P961">
        <v>0.95271649999999997</v>
      </c>
      <c r="Q961">
        <v>0.2913712</v>
      </c>
      <c r="R961">
        <v>8.6222839999999995E-2</v>
      </c>
      <c r="S961">
        <v>3.2545169999999999</v>
      </c>
      <c r="T961">
        <v>-0.28957650000000001</v>
      </c>
      <c r="U961">
        <v>-0.18634029999999999</v>
      </c>
      <c r="V961">
        <v>-7.5659740000000003E-2</v>
      </c>
      <c r="W961">
        <v>0.30541629999999997</v>
      </c>
      <c r="X961">
        <v>0.94920839999999995</v>
      </c>
      <c r="Y961">
        <v>6.7941760000000004E-2</v>
      </c>
      <c r="Z961">
        <v>-4.3422879999999997E-3</v>
      </c>
      <c r="AA961">
        <v>0.99767980000000001</v>
      </c>
      <c r="AB961">
        <v>36</v>
      </c>
      <c r="AC961">
        <v>0.62540000000001295</v>
      </c>
      <c r="AD961">
        <v>-7.1272700000000105E-2</v>
      </c>
      <c r="AE961">
        <v>-4.8100000000033498E-2</v>
      </c>
      <c r="AF961">
        <v>5.4364589328972701E-2</v>
      </c>
      <c r="AG961">
        <v>-7.1272700000000105E-2</v>
      </c>
      <c r="AH961">
        <v>0.61686067515847698</v>
      </c>
      <c r="AI961">
        <v>96.565562168476205</v>
      </c>
      <c r="AJ961">
        <v>84.963474639989599</v>
      </c>
      <c r="AK961">
        <v>0.62333971387612497</v>
      </c>
      <c r="AL961">
        <v>72.216789653895802</v>
      </c>
      <c r="AM961">
        <v>94.557311106873499</v>
      </c>
      <c r="AN961">
        <v>1.00000004959655</v>
      </c>
    </row>
    <row r="962" spans="1:40" x14ac:dyDescent="0.25">
      <c r="A962" t="str">
        <f>"20190304164350952"</f>
        <v>20190304164350952</v>
      </c>
      <c r="B962" t="str">
        <f>"1551689030940887"</f>
        <v>1551689030940887</v>
      </c>
      <c r="C962" t="s">
        <v>40</v>
      </c>
      <c r="D962">
        <v>4.8650219999999997</v>
      </c>
      <c r="E962">
        <v>0.57109759999999998</v>
      </c>
      <c r="F962" t="s">
        <v>41</v>
      </c>
      <c r="G962">
        <v>-283.26990000000001</v>
      </c>
      <c r="H962">
        <v>0.97709299999999999</v>
      </c>
      <c r="I962">
        <v>367.84309999999999</v>
      </c>
      <c r="J962">
        <v>-284.02050000000003</v>
      </c>
      <c r="K962">
        <v>1.060648</v>
      </c>
      <c r="L962">
        <v>367.90050000000002</v>
      </c>
      <c r="M962">
        <v>0.9998283</v>
      </c>
      <c r="N962">
        <v>-1.4774789999999999E-2</v>
      </c>
      <c r="O962">
        <v>1.118502E-2</v>
      </c>
      <c r="P962">
        <v>0.95285759999999997</v>
      </c>
      <c r="Q962">
        <v>0.29147519999999999</v>
      </c>
      <c r="R962">
        <v>8.4289149999999993E-2</v>
      </c>
      <c r="S962">
        <v>3.2544559999999998</v>
      </c>
      <c r="T962">
        <v>-0.28877770000000003</v>
      </c>
      <c r="U962">
        <v>-0.19015499999999999</v>
      </c>
      <c r="V962">
        <v>-7.3680850000000006E-2</v>
      </c>
      <c r="W962">
        <v>0.30552119999999999</v>
      </c>
      <c r="X962">
        <v>0.94933029999999996</v>
      </c>
      <c r="Y962">
        <v>6.9146589999999994E-2</v>
      </c>
      <c r="Z962">
        <v>-4.3965439999999996E-3</v>
      </c>
      <c r="AA962">
        <v>0.99759679999999995</v>
      </c>
      <c r="AB962">
        <v>36</v>
      </c>
      <c r="AC962">
        <v>0.75060000000001903</v>
      </c>
      <c r="AD962">
        <v>-8.3555000000000004E-2</v>
      </c>
      <c r="AE962">
        <v>-5.7400000000029601E-2</v>
      </c>
      <c r="AF962">
        <v>6.4992126185964005E-2</v>
      </c>
      <c r="AG962">
        <v>-8.3555000000000004E-2</v>
      </c>
      <c r="AH962">
        <v>0.74078479892921101</v>
      </c>
      <c r="AI962">
        <v>96.410918260912894</v>
      </c>
      <c r="AJ962">
        <v>84.986041684353907</v>
      </c>
      <c r="AK962">
        <v>0.74830978399040304</v>
      </c>
      <c r="AL962">
        <v>72.210477538944303</v>
      </c>
      <c r="AM962">
        <v>94.438029070626101</v>
      </c>
      <c r="AN962">
        <v>1.00000004490212</v>
      </c>
    </row>
    <row r="963" spans="1:40" x14ac:dyDescent="0.25">
      <c r="A963" t="str">
        <f>"20190304164350963"</f>
        <v>20190304164350963</v>
      </c>
      <c r="B963" t="str">
        <f>"1551689030950644"</f>
        <v>1551689030950644</v>
      </c>
      <c r="C963" t="s">
        <v>40</v>
      </c>
      <c r="D963">
        <v>4.9230859999999996</v>
      </c>
      <c r="E963">
        <v>0.57113530000000001</v>
      </c>
      <c r="F963" t="s">
        <v>41</v>
      </c>
      <c r="G963">
        <v>-283.26170000000002</v>
      </c>
      <c r="H963">
        <v>0.99331800000000003</v>
      </c>
      <c r="I963">
        <v>367.85469999999998</v>
      </c>
      <c r="J963">
        <v>-283.84039999999999</v>
      </c>
      <c r="K963">
        <v>1.0606370000000001</v>
      </c>
      <c r="L963">
        <v>367.90260000000001</v>
      </c>
      <c r="M963">
        <v>0.99982800000000005</v>
      </c>
      <c r="N963">
        <v>-1.477287E-2</v>
      </c>
      <c r="O963">
        <v>1.121806E-2</v>
      </c>
      <c r="P963">
        <v>0.95288070000000002</v>
      </c>
      <c r="Q963">
        <v>0.29205199999999998</v>
      </c>
      <c r="R963">
        <v>8.2001699999999997E-2</v>
      </c>
      <c r="S963">
        <v>3.2541199999999999</v>
      </c>
      <c r="T963">
        <v>-0.28899370000000002</v>
      </c>
      <c r="U963">
        <v>-0.19543460000000001</v>
      </c>
      <c r="V963">
        <v>-7.1356729999999993E-2</v>
      </c>
      <c r="W963">
        <v>0.30609769999999997</v>
      </c>
      <c r="X963">
        <v>0.949322</v>
      </c>
      <c r="Y963">
        <v>7.0790160000000005E-2</v>
      </c>
      <c r="Z963">
        <v>-4.4871659999999999E-3</v>
      </c>
      <c r="AA963">
        <v>0.99748110000000001</v>
      </c>
      <c r="AB963">
        <v>36</v>
      </c>
      <c r="AC963">
        <v>0.57869999999996902</v>
      </c>
      <c r="AD963">
        <v>-6.7319000000000004E-2</v>
      </c>
      <c r="AE963">
        <v>-4.79000000000269E-2</v>
      </c>
      <c r="AF963">
        <v>5.3668276766381501E-2</v>
      </c>
      <c r="AG963">
        <v>-6.7319000000000004E-2</v>
      </c>
      <c r="AH963">
        <v>0.57045913605975695</v>
      </c>
      <c r="AI963">
        <v>96.700941192515103</v>
      </c>
      <c r="AJ963">
        <v>84.625484303179604</v>
      </c>
      <c r="AK963">
        <v>0.57691919504044697</v>
      </c>
      <c r="AL963">
        <v>72.175782214090106</v>
      </c>
      <c r="AM963">
        <v>94.298610663126894</v>
      </c>
      <c r="AN963">
        <v>0.999999922272788</v>
      </c>
    </row>
    <row r="964" spans="1:40" x14ac:dyDescent="0.25">
      <c r="A964" t="str">
        <f>"20190304164350975"</f>
        <v>20190304164350975</v>
      </c>
      <c r="B964" t="str">
        <f>"1551689030971140"</f>
        <v>1551689030971140</v>
      </c>
      <c r="C964" t="s">
        <v>40</v>
      </c>
      <c r="D964">
        <v>4.9423440000000003</v>
      </c>
      <c r="E964">
        <v>0.58534310000000001</v>
      </c>
      <c r="F964" t="s">
        <v>41</v>
      </c>
      <c r="G964">
        <v>-282.9452</v>
      </c>
      <c r="H964">
        <v>0.98148469999999999</v>
      </c>
      <c r="I964">
        <v>367.84679999999997</v>
      </c>
      <c r="J964">
        <v>-283.65499999999997</v>
      </c>
      <c r="K964">
        <v>1.0606359999999999</v>
      </c>
      <c r="L964">
        <v>367.90460000000002</v>
      </c>
      <c r="M964">
        <v>0.99982769999999999</v>
      </c>
      <c r="N964">
        <v>-1.477087E-2</v>
      </c>
      <c r="O964">
        <v>1.1250130000000001E-2</v>
      </c>
      <c r="P964">
        <v>0.95306749999999996</v>
      </c>
      <c r="Q964">
        <v>0.29208410000000001</v>
      </c>
      <c r="R964">
        <v>7.968372E-2</v>
      </c>
      <c r="S964">
        <v>3.2539669999999998</v>
      </c>
      <c r="T964">
        <v>-0.28774509999999998</v>
      </c>
      <c r="U964">
        <v>-0.20239260000000001</v>
      </c>
      <c r="V964">
        <v>-6.9000919999999993E-2</v>
      </c>
      <c r="W964">
        <v>0.30613220000000002</v>
      </c>
      <c r="X964">
        <v>0.94948509999999997</v>
      </c>
      <c r="Y964">
        <v>7.2942850000000004E-2</v>
      </c>
      <c r="Z964">
        <v>-4.5825240000000001E-3</v>
      </c>
      <c r="AA964">
        <v>0.99732560000000003</v>
      </c>
      <c r="AB964">
        <v>36</v>
      </c>
      <c r="AC964">
        <v>0.70979999999997201</v>
      </c>
      <c r="AD964">
        <v>-7.9151300000000105E-2</v>
      </c>
      <c r="AE964">
        <v>-5.78000000000429E-2</v>
      </c>
      <c r="AF964">
        <v>6.4979855548833607E-2</v>
      </c>
      <c r="AG964">
        <v>-7.9151300000000105E-2</v>
      </c>
      <c r="AH964">
        <v>0.70045203163297698</v>
      </c>
      <c r="AI964">
        <v>96.419759399005997</v>
      </c>
      <c r="AJ964">
        <v>84.699928210060705</v>
      </c>
      <c r="AK964">
        <v>0.70789855102097998</v>
      </c>
      <c r="AL964">
        <v>72.173707318881299</v>
      </c>
      <c r="AM964">
        <v>94.156488376619805</v>
      </c>
      <c r="AN964">
        <v>1.0000000029798399</v>
      </c>
    </row>
    <row r="965" spans="1:40" x14ac:dyDescent="0.25">
      <c r="A965" t="str">
        <f>"20190304164350986"</f>
        <v>20190304164350986</v>
      </c>
      <c r="B965" t="str">
        <f>"1551689030980901"</f>
        <v>1551689030980901</v>
      </c>
      <c r="C965" t="s">
        <v>40</v>
      </c>
      <c r="D965">
        <v>4.939387</v>
      </c>
      <c r="E965">
        <v>0.58596510000000002</v>
      </c>
      <c r="F965" t="s">
        <v>41</v>
      </c>
      <c r="G965">
        <v>-282.63339999999999</v>
      </c>
      <c r="H965">
        <v>0.95876150000000004</v>
      </c>
      <c r="I965">
        <v>367.80509999999998</v>
      </c>
      <c r="J965">
        <v>-283.45670000000001</v>
      </c>
      <c r="K965">
        <v>1.0606260000000001</v>
      </c>
      <c r="L965">
        <v>367.90690000000001</v>
      </c>
      <c r="M965">
        <v>0.99982740000000003</v>
      </c>
      <c r="N965">
        <v>-1.476864E-2</v>
      </c>
      <c r="O965">
        <v>1.127598E-2</v>
      </c>
      <c r="P965">
        <v>0.95322490000000004</v>
      </c>
      <c r="Q965">
        <v>0.292189799999999</v>
      </c>
      <c r="R965">
        <v>7.7378269999999999E-2</v>
      </c>
      <c r="S965">
        <v>3.2744749999999998</v>
      </c>
      <c r="T965">
        <v>-0.32673980000000002</v>
      </c>
      <c r="U965">
        <v>-0.31826779999999999</v>
      </c>
      <c r="V965">
        <v>-6.6662559999999996E-2</v>
      </c>
      <c r="W965">
        <v>0.30623929999999999</v>
      </c>
      <c r="X965">
        <v>0.94961759999999995</v>
      </c>
      <c r="Y965">
        <v>0.1073114</v>
      </c>
      <c r="Z965">
        <v>-7.0789240000000003E-3</v>
      </c>
      <c r="AA965">
        <v>0.99420030000000004</v>
      </c>
      <c r="AB965">
        <v>36</v>
      </c>
      <c r="AC965">
        <v>0.82330000000001702</v>
      </c>
      <c r="AD965">
        <v>-0.1018645</v>
      </c>
      <c r="AE965">
        <v>-0.101800000000025</v>
      </c>
      <c r="AF965">
        <v>0.10942811097736101</v>
      </c>
      <c r="AG965">
        <v>-0.1018645</v>
      </c>
      <c r="AH965">
        <v>0.80988824247307201</v>
      </c>
      <c r="AI965">
        <v>97.1048976364319</v>
      </c>
      <c r="AJ965">
        <v>82.305077004828604</v>
      </c>
      <c r="AK965">
        <v>0.82357140135415396</v>
      </c>
      <c r="AL965">
        <v>72.167261224033993</v>
      </c>
      <c r="AM965">
        <v>94.015540306648404</v>
      </c>
      <c r="AN965">
        <v>0.999999996000001</v>
      </c>
    </row>
    <row r="966" spans="1:40" x14ac:dyDescent="0.25">
      <c r="A966" t="str">
        <f>"20190304164350998"</f>
        <v>20190304164350998</v>
      </c>
      <c r="B966" t="str">
        <f>"1551689030990660"</f>
        <v>1551689030990660</v>
      </c>
      <c r="C966" t="s">
        <v>40</v>
      </c>
      <c r="D966">
        <v>4.9330740000000004</v>
      </c>
      <c r="E966">
        <v>0.58650409999999997</v>
      </c>
      <c r="F966" t="s">
        <v>41</v>
      </c>
      <c r="G966">
        <v>-282.62450000000001</v>
      </c>
      <c r="H966">
        <v>0.97767210000000004</v>
      </c>
      <c r="I966">
        <v>367.8229</v>
      </c>
      <c r="J966">
        <v>-283.28359999999998</v>
      </c>
      <c r="K966">
        <v>1.0606150000000001</v>
      </c>
      <c r="L966">
        <v>367.90879999999999</v>
      </c>
      <c r="M966">
        <v>0.99982709999999997</v>
      </c>
      <c r="N966">
        <v>-1.4766690000000001E-2</v>
      </c>
      <c r="O966">
        <v>1.129582E-2</v>
      </c>
      <c r="P966">
        <v>0.95331619999999995</v>
      </c>
      <c r="Q966">
        <v>0.29248390000000002</v>
      </c>
      <c r="R966">
        <v>7.5108739999999993E-2</v>
      </c>
      <c r="S966">
        <v>3.2740779999999998</v>
      </c>
      <c r="T966">
        <v>-0.32657380000000003</v>
      </c>
      <c r="U966">
        <v>-0.3294067</v>
      </c>
      <c r="V966">
        <v>-6.4367439999999998E-2</v>
      </c>
      <c r="W966">
        <v>0.30653390000000003</v>
      </c>
      <c r="X966">
        <v>0.94968090000000005</v>
      </c>
      <c r="Y966">
        <v>0.11067340000000001</v>
      </c>
      <c r="Z966">
        <v>-7.2689209999999898E-3</v>
      </c>
      <c r="AA966">
        <v>0.99383030000000006</v>
      </c>
      <c r="AB966">
        <v>36</v>
      </c>
      <c r="AC966">
        <v>0.65909999999996605</v>
      </c>
      <c r="AD966">
        <v>-8.2942899999999903E-2</v>
      </c>
      <c r="AE966">
        <v>-8.5899999999980894E-2</v>
      </c>
      <c r="AF966">
        <v>9.1909206816512906E-2</v>
      </c>
      <c r="AG966">
        <v>-8.2942899999999903E-2</v>
      </c>
      <c r="AH966">
        <v>0.647996994229455</v>
      </c>
      <c r="AI966">
        <v>97.222620365535406</v>
      </c>
      <c r="AJ966">
        <v>81.927251079082694</v>
      </c>
      <c r="AK966">
        <v>0.65971731179987902</v>
      </c>
      <c r="AL966">
        <v>72.149529274416594</v>
      </c>
      <c r="AM966">
        <v>93.877461171773007</v>
      </c>
      <c r="AN966">
        <v>1.00000000550308</v>
      </c>
    </row>
    <row r="967" spans="1:40" x14ac:dyDescent="0.25">
      <c r="A967" t="str">
        <f>"20190304164351009"</f>
        <v>20190304164351009</v>
      </c>
      <c r="B967" t="str">
        <f>"1551689031000420"</f>
        <v>1551689031000420</v>
      </c>
      <c r="C967" t="s">
        <v>40</v>
      </c>
      <c r="D967">
        <v>4.9116169999999997</v>
      </c>
      <c r="E967">
        <v>0.58681949999999905</v>
      </c>
      <c r="F967" t="s">
        <v>41</v>
      </c>
      <c r="G967">
        <v>-282.3091</v>
      </c>
      <c r="H967">
        <v>0.9637926</v>
      </c>
      <c r="I967">
        <v>367.80739999999997</v>
      </c>
      <c r="J967">
        <v>-283.10250000000002</v>
      </c>
      <c r="K967">
        <v>1.060608</v>
      </c>
      <c r="L967">
        <v>367.91090000000003</v>
      </c>
      <c r="M967">
        <v>0.99982709999999997</v>
      </c>
      <c r="N967">
        <v>-1.4764650000000001E-2</v>
      </c>
      <c r="O967">
        <v>1.1311969999999999E-2</v>
      </c>
      <c r="P967">
        <v>0.95341480000000001</v>
      </c>
      <c r="Q967">
        <v>0.29276590000000002</v>
      </c>
      <c r="R967">
        <v>7.2723250000000003E-2</v>
      </c>
      <c r="S967">
        <v>3.2735599999999998</v>
      </c>
      <c r="T967">
        <v>-0.32534560000000001</v>
      </c>
      <c r="U967">
        <v>-0.34030149999999998</v>
      </c>
      <c r="V967">
        <v>-6.1959889999999997E-2</v>
      </c>
      <c r="W967">
        <v>0.3068167</v>
      </c>
      <c r="X967">
        <v>0.94974970000000003</v>
      </c>
      <c r="Y967">
        <v>0.1139641</v>
      </c>
      <c r="Z967">
        <v>-7.4326369999999998E-3</v>
      </c>
      <c r="AA967">
        <v>0.99345709999999998</v>
      </c>
      <c r="AB967">
        <v>36</v>
      </c>
      <c r="AC967">
        <v>0.79340000000001898</v>
      </c>
      <c r="AD967">
        <v>-9.6815399999999996E-2</v>
      </c>
      <c r="AE967">
        <v>-0.10350000000005299</v>
      </c>
      <c r="AF967">
        <v>0.110846349663186</v>
      </c>
      <c r="AG967">
        <v>-9.6815399999999996E-2</v>
      </c>
      <c r="AH967">
        <v>0.780747248404701</v>
      </c>
      <c r="AI967">
        <v>96.999309892734203</v>
      </c>
      <c r="AJ967">
        <v>81.919453284302506</v>
      </c>
      <c r="AK967">
        <v>0.79449757759374295</v>
      </c>
      <c r="AL967">
        <v>72.132505707430496</v>
      </c>
      <c r="AM967">
        <v>93.732579940677098</v>
      </c>
      <c r="AN967">
        <v>1.0000000040088901</v>
      </c>
    </row>
    <row r="968" spans="1:40" x14ac:dyDescent="0.25">
      <c r="A968" t="str">
        <f>"20190304164351021"</f>
        <v>20190304164351021</v>
      </c>
      <c r="B968" t="str">
        <f>"1551689031011157"</f>
        <v>1551689031011157</v>
      </c>
      <c r="C968" t="s">
        <v>40</v>
      </c>
      <c r="D968">
        <v>4.9149599999999998</v>
      </c>
      <c r="E968">
        <v>0.58702749999999904</v>
      </c>
      <c r="F968" t="s">
        <v>41</v>
      </c>
      <c r="G968">
        <v>-282.30169999999998</v>
      </c>
      <c r="H968">
        <v>0.97949759999999997</v>
      </c>
      <c r="I968">
        <v>367.82530000000003</v>
      </c>
      <c r="J968">
        <v>-282.90609999999998</v>
      </c>
      <c r="K968">
        <v>1.0606009999999999</v>
      </c>
      <c r="L968">
        <v>367.91309999999999</v>
      </c>
      <c r="M968">
        <v>0.99982680000000002</v>
      </c>
      <c r="N968">
        <v>-1.476249E-2</v>
      </c>
      <c r="O968">
        <v>1.132555E-2</v>
      </c>
      <c r="P968">
        <v>0.95353469999999996</v>
      </c>
      <c r="Q968">
        <v>0.29295490000000002</v>
      </c>
      <c r="R968">
        <v>7.0348279999999999E-2</v>
      </c>
      <c r="S968">
        <v>3.2751459999999999</v>
      </c>
      <c r="T968">
        <v>-0.33188250000000002</v>
      </c>
      <c r="U968">
        <v>-0.34930420000000001</v>
      </c>
      <c r="V968">
        <v>-5.9565130000000001E-2</v>
      </c>
      <c r="W968">
        <v>0.30700640000000001</v>
      </c>
      <c r="X968">
        <v>0.94984159999999995</v>
      </c>
      <c r="Y968">
        <v>0.116588</v>
      </c>
      <c r="Z968">
        <v>-7.7163839999999997E-3</v>
      </c>
      <c r="AA968">
        <v>0.99315039999999999</v>
      </c>
      <c r="AB968">
        <v>36</v>
      </c>
      <c r="AC968">
        <v>0.60439999999999805</v>
      </c>
      <c r="AD968">
        <v>-8.1103400000000006E-2</v>
      </c>
      <c r="AE968">
        <v>-8.77999999999588E-2</v>
      </c>
      <c r="AF968">
        <v>9.3000276134238002E-2</v>
      </c>
      <c r="AG968">
        <v>-8.1103400000000006E-2</v>
      </c>
      <c r="AH968">
        <v>0.59291112671372403</v>
      </c>
      <c r="AI968">
        <v>97.696110448162898</v>
      </c>
      <c r="AJ968">
        <v>81.0855814715962</v>
      </c>
      <c r="AK968">
        <v>0.60561573380613398</v>
      </c>
      <c r="AL968">
        <v>72.121085459121801</v>
      </c>
      <c r="AM968">
        <v>93.588353358046604</v>
      </c>
      <c r="AN968">
        <v>0.99999999972171805</v>
      </c>
    </row>
    <row r="969" spans="1:40" x14ac:dyDescent="0.25">
      <c r="A969" t="str">
        <f>"20190304164351040"</f>
        <v>20190304164351040</v>
      </c>
      <c r="B969" t="str">
        <f>"1551689031030676"</f>
        <v>1551689031030676</v>
      </c>
      <c r="C969" t="s">
        <v>40</v>
      </c>
      <c r="D969">
        <v>4.9568110000000001</v>
      </c>
      <c r="E969">
        <v>0.58628649999999904</v>
      </c>
      <c r="F969" t="s">
        <v>41</v>
      </c>
      <c r="G969">
        <v>-281.98590000000002</v>
      </c>
      <c r="H969">
        <v>0.9673524</v>
      </c>
      <c r="I969">
        <v>367.81240000000003</v>
      </c>
      <c r="J969">
        <v>-282.60550000000001</v>
      </c>
      <c r="K969">
        <v>1.0605929999999999</v>
      </c>
      <c r="L969">
        <v>367.91649999999998</v>
      </c>
      <c r="M969">
        <v>0.99982680000000002</v>
      </c>
      <c r="N969">
        <v>-1.475925E-2</v>
      </c>
      <c r="O969">
        <v>1.1339810000000001E-2</v>
      </c>
      <c r="P969">
        <v>0.95369649999999995</v>
      </c>
      <c r="Q969">
        <v>0.2935432</v>
      </c>
      <c r="R969">
        <v>6.5540970000000004E-2</v>
      </c>
      <c r="S969">
        <v>3.2745669999999998</v>
      </c>
      <c r="T969">
        <v>-0.33192159999999998</v>
      </c>
      <c r="U969">
        <v>-0.3577881</v>
      </c>
      <c r="V969">
        <v>-5.4734379999999999E-2</v>
      </c>
      <c r="W969">
        <v>0.3075949</v>
      </c>
      <c r="X969">
        <v>0.94994190000000001</v>
      </c>
      <c r="Y969">
        <v>0.11914859999999999</v>
      </c>
      <c r="Z969">
        <v>-7.8667649999999995E-3</v>
      </c>
      <c r="AA969">
        <v>0.99284519999999998</v>
      </c>
      <c r="AB969">
        <v>36</v>
      </c>
      <c r="AC969">
        <v>0.61959999999999105</v>
      </c>
      <c r="AD969">
        <v>-9.3240600000000201E-2</v>
      </c>
      <c r="AE969">
        <v>-0.104099999999959</v>
      </c>
      <c r="AF969">
        <v>0.108725633799411</v>
      </c>
      <c r="AG969">
        <v>-9.3240600000000201E-2</v>
      </c>
      <c r="AH969">
        <v>0.60505379228048395</v>
      </c>
      <c r="AI969">
        <v>98.624524508225093</v>
      </c>
      <c r="AJ969">
        <v>79.812908775472096</v>
      </c>
      <c r="AK969">
        <v>0.62177581529554504</v>
      </c>
      <c r="AL969">
        <v>72.085653195267</v>
      </c>
      <c r="AM969">
        <v>93.297659991689102</v>
      </c>
      <c r="AN969">
        <v>1.0000000441178001</v>
      </c>
    </row>
    <row r="970" spans="1:40" x14ac:dyDescent="0.25">
      <c r="A970" t="str">
        <f>"20190304164351056"</f>
        <v>20190304164351056</v>
      </c>
      <c r="B970" t="str">
        <f>"1551689031040436"</f>
        <v>1551689031040436</v>
      </c>
      <c r="C970" t="s">
        <v>40</v>
      </c>
      <c r="D970">
        <v>4.9659610000000001</v>
      </c>
      <c r="E970">
        <v>0.58599029999999996</v>
      </c>
      <c r="F970" t="s">
        <v>41</v>
      </c>
      <c r="G970">
        <v>-281.66469999999998</v>
      </c>
      <c r="H970">
        <v>0.96744870000000005</v>
      </c>
      <c r="I970">
        <v>367.81079999999997</v>
      </c>
      <c r="J970">
        <v>-282.35550000000001</v>
      </c>
      <c r="K970">
        <v>1.0605869999999999</v>
      </c>
      <c r="L970">
        <v>367.91930000000002</v>
      </c>
      <c r="M970">
        <v>0.99982680000000002</v>
      </c>
      <c r="N970">
        <v>-1.475652E-2</v>
      </c>
      <c r="O970">
        <v>1.134691E-2</v>
      </c>
      <c r="P970">
        <v>0.95378689999999999</v>
      </c>
      <c r="Q970">
        <v>0.29379349999999999</v>
      </c>
      <c r="R970">
        <v>6.3057260000000004E-2</v>
      </c>
      <c r="S970">
        <v>3.2705690000000001</v>
      </c>
      <c r="T970">
        <v>-0.32384819999999997</v>
      </c>
      <c r="U970">
        <v>-0.36737059999999999</v>
      </c>
      <c r="V970">
        <v>-5.2237989999999998E-2</v>
      </c>
      <c r="W970">
        <v>0.30784450000000002</v>
      </c>
      <c r="X970">
        <v>0.9500016</v>
      </c>
      <c r="Y970">
        <v>0.12217509999999999</v>
      </c>
      <c r="Z970">
        <v>-7.8730369999999994E-3</v>
      </c>
      <c r="AA970">
        <v>0.99247739999999995</v>
      </c>
      <c r="AB970">
        <v>36</v>
      </c>
      <c r="AC970">
        <v>0.69080000000002395</v>
      </c>
      <c r="AD970">
        <v>-9.3138300000000201E-2</v>
      </c>
      <c r="AE970">
        <v>-0.108500000000049</v>
      </c>
      <c r="AF970">
        <v>0.114304481920168</v>
      </c>
      <c r="AG970">
        <v>-9.3138300000000201E-2</v>
      </c>
      <c r="AH970">
        <v>0.67750490132837204</v>
      </c>
      <c r="AI970">
        <v>97.719775519646802</v>
      </c>
      <c r="AJ970">
        <v>80.423589208107899</v>
      </c>
      <c r="AK970">
        <v>0.69336364833894704</v>
      </c>
      <c r="AL970">
        <v>72.070622811585196</v>
      </c>
      <c r="AM970">
        <v>93.147368654130304</v>
      </c>
      <c r="AN970">
        <v>1.00000004189102</v>
      </c>
    </row>
    <row r="971" spans="1:40" x14ac:dyDescent="0.25">
      <c r="A971" t="str">
        <f>"20190304164351074"</f>
        <v>20190304164351074</v>
      </c>
      <c r="B971" t="str">
        <f>"1551689031070692"</f>
        <v>1551689031070692</v>
      </c>
      <c r="C971" t="s">
        <v>40</v>
      </c>
      <c r="D971">
        <v>4.9995229999999999</v>
      </c>
      <c r="E971">
        <v>0.58495330000000001</v>
      </c>
      <c r="F971" t="s">
        <v>41</v>
      </c>
      <c r="G971">
        <v>-281.34660000000002</v>
      </c>
      <c r="H971">
        <v>0.96154030000000001</v>
      </c>
      <c r="I971">
        <v>367.8039</v>
      </c>
      <c r="J971">
        <v>-282.06319999999999</v>
      </c>
      <c r="K971">
        <v>1.0605869999999999</v>
      </c>
      <c r="L971">
        <v>367.92270000000002</v>
      </c>
      <c r="M971">
        <v>0.99982680000000002</v>
      </c>
      <c r="N971">
        <v>-1.475336E-2</v>
      </c>
      <c r="O971">
        <v>1.134922E-2</v>
      </c>
      <c r="P971">
        <v>0.95399800000000001</v>
      </c>
      <c r="Q971">
        <v>0.29407349999999999</v>
      </c>
      <c r="R971">
        <v>5.8383450000000003E-2</v>
      </c>
      <c r="S971">
        <v>3.2689509999999999</v>
      </c>
      <c r="T971">
        <v>-0.32111139999999999</v>
      </c>
      <c r="U971">
        <v>-0.37335210000000002</v>
      </c>
      <c r="V971">
        <v>-4.7555210000000001E-2</v>
      </c>
      <c r="W971">
        <v>0.30812430000000002</v>
      </c>
      <c r="X971">
        <v>0.95015669999999997</v>
      </c>
      <c r="Y971">
        <v>0.12402539999999999</v>
      </c>
      <c r="Z971">
        <v>-7.9199950000000009E-3</v>
      </c>
      <c r="AA971">
        <v>0.99224749999999995</v>
      </c>
      <c r="AB971">
        <v>36</v>
      </c>
      <c r="AC971">
        <v>0.71659999999997104</v>
      </c>
      <c r="AD971">
        <v>-9.9046700000000099E-2</v>
      </c>
      <c r="AE971">
        <v>-0.118800000000021</v>
      </c>
      <c r="AF971">
        <v>0.124609213776921</v>
      </c>
      <c r="AG971">
        <v>-9.9046700000000099E-2</v>
      </c>
      <c r="AH971">
        <v>0.70215026683549997</v>
      </c>
      <c r="AI971">
        <v>97.907322695448698</v>
      </c>
      <c r="AJ971">
        <v>79.936607312090999</v>
      </c>
      <c r="AK971">
        <v>0.71996715352587903</v>
      </c>
      <c r="AL971">
        <v>72.053770085636501</v>
      </c>
      <c r="AM971">
        <v>92.865254873725306</v>
      </c>
      <c r="AN971">
        <v>0.99999991840175795</v>
      </c>
    </row>
    <row r="972" spans="1:40" x14ac:dyDescent="0.25">
      <c r="A972" t="str">
        <f>"20190304164351086"</f>
        <v>20190304164351086</v>
      </c>
      <c r="B972" t="str">
        <f>"1551689031080453"</f>
        <v>1551689031080453</v>
      </c>
      <c r="C972" t="s">
        <v>40</v>
      </c>
      <c r="D972">
        <v>4.9805409999999997</v>
      </c>
      <c r="E972">
        <v>0.58455769999999996</v>
      </c>
      <c r="F972" t="s">
        <v>41</v>
      </c>
      <c r="G972">
        <v>-281.02710000000002</v>
      </c>
      <c r="H972">
        <v>0.95928049999999998</v>
      </c>
      <c r="I972">
        <v>367.80180000000001</v>
      </c>
      <c r="J972">
        <v>-281.86099999999999</v>
      </c>
      <c r="K972">
        <v>1.060586</v>
      </c>
      <c r="L972">
        <v>367.92500000000001</v>
      </c>
      <c r="M972">
        <v>0.99982680000000002</v>
      </c>
      <c r="N972">
        <v>-1.4751159999999999E-2</v>
      </c>
      <c r="O972">
        <v>1.134865E-2</v>
      </c>
      <c r="P972">
        <v>0.95412110000000006</v>
      </c>
      <c r="Q972">
        <v>0.29411759999999998</v>
      </c>
      <c r="R972">
        <v>5.6108699999999997E-2</v>
      </c>
      <c r="S972">
        <v>3.2663880000000001</v>
      </c>
      <c r="T972">
        <v>-0.31950119999999999</v>
      </c>
      <c r="U972">
        <v>-0.38046259999999998</v>
      </c>
      <c r="V972">
        <v>-4.5277709999999999E-2</v>
      </c>
      <c r="W972">
        <v>0.30816840000000001</v>
      </c>
      <c r="X972">
        <v>0.95025380000000004</v>
      </c>
      <c r="Y972">
        <v>0.12623789999999999</v>
      </c>
      <c r="Z972">
        <v>-8.012847E-3</v>
      </c>
      <c r="AA972">
        <v>0.99196759999999995</v>
      </c>
      <c r="AB972">
        <v>36</v>
      </c>
      <c r="AC972">
        <v>0.833899999999971</v>
      </c>
      <c r="AD972">
        <v>-0.10130550000000001</v>
      </c>
      <c r="AE972">
        <v>-0.12319999999999701</v>
      </c>
      <c r="AF972">
        <v>0.13076803616257099</v>
      </c>
      <c r="AG972">
        <v>-0.10130550000000001</v>
      </c>
      <c r="AH972">
        <v>0.82059602183833702</v>
      </c>
      <c r="AI972">
        <v>96.950927286555</v>
      </c>
      <c r="AJ972">
        <v>80.945626760357001</v>
      </c>
      <c r="AK972">
        <v>0.83710269063536702</v>
      </c>
      <c r="AL972">
        <v>72.051116709772401</v>
      </c>
      <c r="AM972">
        <v>92.727967106755202</v>
      </c>
      <c r="AN972">
        <v>1.0000000590979199</v>
      </c>
    </row>
    <row r="973" spans="1:40" x14ac:dyDescent="0.25">
      <c r="A973" t="str">
        <f>"20190304164351098"</f>
        <v>20190304164351098</v>
      </c>
      <c r="B973" t="str">
        <f>"1551689031091189"</f>
        <v>1551689031091189</v>
      </c>
      <c r="C973" t="s">
        <v>40</v>
      </c>
      <c r="D973">
        <v>4.9750769999999997</v>
      </c>
      <c r="E973">
        <v>0.58433649999999904</v>
      </c>
      <c r="F973" t="s">
        <v>41</v>
      </c>
      <c r="G973">
        <v>-281.01859999999999</v>
      </c>
      <c r="H973">
        <v>0.97805310000000001</v>
      </c>
      <c r="I973">
        <v>367.8254</v>
      </c>
      <c r="J973">
        <v>-281.68849999999998</v>
      </c>
      <c r="K973">
        <v>1.0605880000000001</v>
      </c>
      <c r="L973">
        <v>367.92689999999999</v>
      </c>
      <c r="M973">
        <v>0.99982700000000002</v>
      </c>
      <c r="N973">
        <v>-1.474929E-2</v>
      </c>
      <c r="O973">
        <v>1.134779E-2</v>
      </c>
      <c r="P973">
        <v>0.95416979999999996</v>
      </c>
      <c r="Q973">
        <v>0.29437940000000001</v>
      </c>
      <c r="R973">
        <v>5.3862840000000002E-2</v>
      </c>
      <c r="S973">
        <v>3.2655639999999999</v>
      </c>
      <c r="T973">
        <v>-0.32005119999999998</v>
      </c>
      <c r="U973">
        <v>-0.38513180000000002</v>
      </c>
      <c r="V973">
        <v>-4.3031310000000003E-2</v>
      </c>
      <c r="W973">
        <v>0.3084287</v>
      </c>
      <c r="X973">
        <v>0.9502737</v>
      </c>
      <c r="Y973">
        <v>0.1276545</v>
      </c>
      <c r="Z973">
        <v>-8.1059319999999997E-3</v>
      </c>
      <c r="AA973">
        <v>0.99178560000000004</v>
      </c>
      <c r="AB973">
        <v>36</v>
      </c>
      <c r="AC973">
        <v>0.66989999999998395</v>
      </c>
      <c r="AD973">
        <v>-8.2534899999999897E-2</v>
      </c>
      <c r="AE973">
        <v>-0.101499999999987</v>
      </c>
      <c r="AF973">
        <v>0.10750099058476199</v>
      </c>
      <c r="AG973">
        <v>-8.2534899999999897E-2</v>
      </c>
      <c r="AH973">
        <v>0.65892725911130001</v>
      </c>
      <c r="AI973">
        <v>97.047268829128299</v>
      </c>
      <c r="AJ973">
        <v>80.734086762102706</v>
      </c>
      <c r="AK973">
        <v>0.67272104582408099</v>
      </c>
      <c r="AL973">
        <v>72.035438423871</v>
      </c>
      <c r="AM973">
        <v>92.592757535200505</v>
      </c>
      <c r="AN973">
        <v>1.0000000307678401</v>
      </c>
    </row>
    <row r="974" spans="1:40" x14ac:dyDescent="0.25">
      <c r="A974" t="str">
        <f>"20190304164351108"</f>
        <v>20190304164351108</v>
      </c>
      <c r="B974" t="str">
        <f>"1551689031100948"</f>
        <v>1551689031100948</v>
      </c>
      <c r="C974" t="s">
        <v>40</v>
      </c>
      <c r="D974">
        <v>4.979177</v>
      </c>
      <c r="E974">
        <v>0.58408110000000002</v>
      </c>
      <c r="F974" t="s">
        <v>41</v>
      </c>
      <c r="G974">
        <v>-280.7047</v>
      </c>
      <c r="H974">
        <v>0.96461839999999999</v>
      </c>
      <c r="I974">
        <v>367.80869999999999</v>
      </c>
      <c r="J974">
        <v>-281.49209999999999</v>
      </c>
      <c r="K974">
        <v>1.0605850000000001</v>
      </c>
      <c r="L974">
        <v>367.92910000000001</v>
      </c>
      <c r="M974">
        <v>0.99982700000000002</v>
      </c>
      <c r="N974">
        <v>-1.4747150000000001E-2</v>
      </c>
      <c r="O974">
        <v>1.134628E-2</v>
      </c>
      <c r="P974">
        <v>0.95429540000000002</v>
      </c>
      <c r="Q974">
        <v>0.29432639999999999</v>
      </c>
      <c r="R974">
        <v>5.1890239999999997E-2</v>
      </c>
      <c r="S974">
        <v>3.264526</v>
      </c>
      <c r="T974">
        <v>-0.31866679999999997</v>
      </c>
      <c r="U974">
        <v>-0.39105220000000002</v>
      </c>
      <c r="V974">
        <v>-4.1056780000000001E-2</v>
      </c>
      <c r="W974">
        <v>0.30837569999999997</v>
      </c>
      <c r="X974">
        <v>0.95037819999999995</v>
      </c>
      <c r="Y974">
        <v>0.12945909999999999</v>
      </c>
      <c r="Z974">
        <v>-8.1767230000000003E-3</v>
      </c>
      <c r="AA974">
        <v>0.99155099999999996</v>
      </c>
      <c r="AB974">
        <v>36</v>
      </c>
      <c r="AC974">
        <v>0.78739999999999</v>
      </c>
      <c r="AD974">
        <v>-9.5966599999999999E-2</v>
      </c>
      <c r="AE974">
        <v>-0.12040000000001699</v>
      </c>
      <c r="AF974">
        <v>0.12747697237845701</v>
      </c>
      <c r="AG974">
        <v>-9.5966599999999999E-2</v>
      </c>
      <c r="AH974">
        <v>0.77473787121642401</v>
      </c>
      <c r="AI974">
        <v>96.968483290351401</v>
      </c>
      <c r="AJ974">
        <v>80.656158901536799</v>
      </c>
      <c r="AK974">
        <v>0.79099856883517505</v>
      </c>
      <c r="AL974">
        <v>72.038629711044905</v>
      </c>
      <c r="AM974">
        <v>92.473666221204795</v>
      </c>
      <c r="AN974">
        <v>0.99999997728484802</v>
      </c>
    </row>
    <row r="975" spans="1:40" x14ac:dyDescent="0.25">
      <c r="A975" t="str">
        <f>"20190304164351120"</f>
        <v>20190304164351120</v>
      </c>
      <c r="B975" t="str">
        <f>"1551689031110708"</f>
        <v>1551689031110708</v>
      </c>
      <c r="C975" t="s">
        <v>40</v>
      </c>
      <c r="D975">
        <v>4.9770139999999996</v>
      </c>
      <c r="E975">
        <v>0.583735</v>
      </c>
      <c r="F975" t="s">
        <v>41</v>
      </c>
      <c r="G975">
        <v>-280.69630000000001</v>
      </c>
      <c r="H975">
        <v>0.98291119999999998</v>
      </c>
      <c r="I975">
        <v>367.83229999999998</v>
      </c>
      <c r="J975">
        <v>-281.32369999999997</v>
      </c>
      <c r="K975">
        <v>1.060584</v>
      </c>
      <c r="L975">
        <v>367.93099999999998</v>
      </c>
      <c r="M975">
        <v>0.99982700000000002</v>
      </c>
      <c r="N975">
        <v>-1.4745299999999999E-2</v>
      </c>
      <c r="O975">
        <v>1.1345070000000001E-2</v>
      </c>
      <c r="P975">
        <v>0.95440389999999997</v>
      </c>
      <c r="Q975">
        <v>0.2943171</v>
      </c>
      <c r="R975">
        <v>4.9907640000000003E-2</v>
      </c>
      <c r="S975">
        <v>3.2635190000000001</v>
      </c>
      <c r="T975">
        <v>-0.31880330000000001</v>
      </c>
      <c r="U975">
        <v>-0.39553830000000001</v>
      </c>
      <c r="V975">
        <v>-3.9072809999999999E-2</v>
      </c>
      <c r="W975">
        <v>0.30836609999999998</v>
      </c>
      <c r="X975">
        <v>0.950465</v>
      </c>
      <c r="Y975">
        <v>0.1308291</v>
      </c>
      <c r="Z975">
        <v>-8.2581019999999998E-3</v>
      </c>
      <c r="AA975">
        <v>0.99137059999999999</v>
      </c>
      <c r="AB975">
        <v>36</v>
      </c>
      <c r="AC975">
        <v>0.62739999999996598</v>
      </c>
      <c r="AD975">
        <v>-7.7672800000000097E-2</v>
      </c>
      <c r="AE975">
        <v>-9.8700000000008004E-2</v>
      </c>
      <c r="AF975">
        <v>0.104253049910541</v>
      </c>
      <c r="AG975">
        <v>-7.7672800000000097E-2</v>
      </c>
      <c r="AH975">
        <v>0.61701136641426302</v>
      </c>
      <c r="AI975">
        <v>97.075713643442796</v>
      </c>
      <c r="AJ975">
        <v>80.409624872380206</v>
      </c>
      <c r="AK975">
        <v>0.630559107903363</v>
      </c>
      <c r="AL975">
        <v>72.039208837225502</v>
      </c>
      <c r="AM975">
        <v>92.354055408310998</v>
      </c>
      <c r="AN975">
        <v>1.00000002616775</v>
      </c>
    </row>
    <row r="976" spans="1:40" x14ac:dyDescent="0.25">
      <c r="A976" t="str">
        <f>"20190304164351133"</f>
        <v>20190304164351133</v>
      </c>
      <c r="B976" t="str">
        <f>"1551689031120468"</f>
        <v>1551689031120468</v>
      </c>
      <c r="C976" t="s">
        <v>40</v>
      </c>
      <c r="D976">
        <v>4.9722460000000002</v>
      </c>
      <c r="E976">
        <v>0.58341829999999995</v>
      </c>
      <c r="F976" t="s">
        <v>41</v>
      </c>
      <c r="G976">
        <v>-280.38330000000002</v>
      </c>
      <c r="H976">
        <v>0.96849019999999997</v>
      </c>
      <c r="I976">
        <v>367.81580000000002</v>
      </c>
      <c r="J976">
        <v>-281.12110000000001</v>
      </c>
      <c r="K976">
        <v>1.0605830000000001</v>
      </c>
      <c r="L976">
        <v>367.93329999999997</v>
      </c>
      <c r="M976">
        <v>0.99982700000000002</v>
      </c>
      <c r="N976">
        <v>-1.474307E-2</v>
      </c>
      <c r="O976">
        <v>1.134339E-2</v>
      </c>
      <c r="P976">
        <v>0.95453200000000005</v>
      </c>
      <c r="Q976">
        <v>0.29425000000000001</v>
      </c>
      <c r="R976">
        <v>4.7810329999999998E-2</v>
      </c>
      <c r="S976">
        <v>3.2627869999999999</v>
      </c>
      <c r="T976">
        <v>-0.31969059999999999</v>
      </c>
      <c r="U976">
        <v>-0.39926149999999999</v>
      </c>
      <c r="V976">
        <v>-3.6974729999999997E-2</v>
      </c>
      <c r="W976">
        <v>0.30829810000000002</v>
      </c>
      <c r="X976">
        <v>0.9505709</v>
      </c>
      <c r="Y976">
        <v>0.131958299999999</v>
      </c>
      <c r="Z976">
        <v>-8.3431010000000003E-3</v>
      </c>
      <c r="AA976">
        <v>0.9912202</v>
      </c>
      <c r="AB976">
        <v>36</v>
      </c>
      <c r="AC976">
        <v>0.73779999999999202</v>
      </c>
      <c r="AD976">
        <v>-9.2092800000000002E-2</v>
      </c>
      <c r="AE976">
        <v>-0.11749999999994901</v>
      </c>
      <c r="AF976">
        <v>0.12397866378424401</v>
      </c>
      <c r="AG976">
        <v>-9.2092800000000002E-2</v>
      </c>
      <c r="AH976">
        <v>0.72539722446933896</v>
      </c>
      <c r="AI976">
        <v>97.132938415351603</v>
      </c>
      <c r="AJ976">
        <v>80.301209056462696</v>
      </c>
      <c r="AK976">
        <v>0.74165553065650802</v>
      </c>
      <c r="AL976">
        <v>72.0433029424523</v>
      </c>
      <c r="AM976">
        <v>92.227533488874698</v>
      </c>
      <c r="AN976">
        <v>0.99999994252449398</v>
      </c>
    </row>
    <row r="977" spans="1:40" x14ac:dyDescent="0.25">
      <c r="A977" t="str">
        <f>"20190304164351145"</f>
        <v>20190304164351145</v>
      </c>
      <c r="B977" t="str">
        <f>"1551689031140964"</f>
        <v>1551689031140964</v>
      </c>
      <c r="C977" t="s">
        <v>40</v>
      </c>
      <c r="D977">
        <v>4.9672010000000002</v>
      </c>
      <c r="E977">
        <v>0.58291939999999998</v>
      </c>
      <c r="F977" t="s">
        <v>41</v>
      </c>
      <c r="G977">
        <v>-280.37459999999999</v>
      </c>
      <c r="H977">
        <v>0.98731139999999995</v>
      </c>
      <c r="I977">
        <v>367.84089999999998</v>
      </c>
      <c r="J977">
        <v>-280.92669999999998</v>
      </c>
      <c r="K977">
        <v>1.0607139999999999</v>
      </c>
      <c r="L977">
        <v>367.93549999999999</v>
      </c>
      <c r="M977">
        <v>0.99981960000000003</v>
      </c>
      <c r="N977">
        <v>-1.524234E-2</v>
      </c>
      <c r="O977">
        <v>1.1342079999999999E-2</v>
      </c>
      <c r="P977">
        <v>0.9548681</v>
      </c>
      <c r="Q977">
        <v>0.29340250000000001</v>
      </c>
      <c r="R977">
        <v>4.6285939999999998E-2</v>
      </c>
      <c r="S977">
        <v>3.261841</v>
      </c>
      <c r="T977">
        <v>-0.32041979999999998</v>
      </c>
      <c r="U977">
        <v>-0.4033813</v>
      </c>
      <c r="V977">
        <v>-3.5447069999999997E-2</v>
      </c>
      <c r="W977">
        <v>0.30793019999999999</v>
      </c>
      <c r="X977">
        <v>0.95074840000000005</v>
      </c>
      <c r="Y977">
        <v>0.13321169999999999</v>
      </c>
      <c r="Z977">
        <v>-8.4601199999999998E-3</v>
      </c>
      <c r="AA977">
        <v>0.99105149999999997</v>
      </c>
      <c r="AB977">
        <v>36</v>
      </c>
      <c r="AC977">
        <v>0.55209999999999504</v>
      </c>
      <c r="AD977">
        <v>-7.3402599999999901E-2</v>
      </c>
      <c r="AE977">
        <v>-9.4600000000014006E-2</v>
      </c>
      <c r="AF977">
        <v>9.9153933516894596E-2</v>
      </c>
      <c r="AG977">
        <v>-7.3402599999999901E-2</v>
      </c>
      <c r="AH977">
        <v>0.54168951209232397</v>
      </c>
      <c r="AI977">
        <v>97.592324930904496</v>
      </c>
      <c r="AJ977">
        <v>79.627087515285695</v>
      </c>
      <c r="AK977">
        <v>0.55556005231608696</v>
      </c>
      <c r="AL977">
        <v>72.065461294899094</v>
      </c>
      <c r="AM977">
        <v>92.135188704429197</v>
      </c>
      <c r="AN977">
        <v>1.00000001147309</v>
      </c>
    </row>
    <row r="978" spans="1:40" x14ac:dyDescent="0.25">
      <c r="A978" t="str">
        <f>"20190304164351158"</f>
        <v>20190304164351158</v>
      </c>
      <c r="B978" t="str">
        <f>"1551689031150724"</f>
        <v>1551689031150724</v>
      </c>
      <c r="C978" t="s">
        <v>40</v>
      </c>
      <c r="D978">
        <v>4.9809720000000004</v>
      </c>
      <c r="E978">
        <v>0.58265440000000002</v>
      </c>
      <c r="F978" t="s">
        <v>41</v>
      </c>
      <c r="G978">
        <v>-280.0641</v>
      </c>
      <c r="H978">
        <v>0.97510110000000005</v>
      </c>
      <c r="I978">
        <v>367.82819999999998</v>
      </c>
      <c r="J978">
        <v>-280.7201</v>
      </c>
      <c r="K978">
        <v>1.0609470000000001</v>
      </c>
      <c r="L978">
        <v>367.93790000000001</v>
      </c>
      <c r="M978">
        <v>0.99980959999999997</v>
      </c>
      <c r="N978">
        <v>-1.5877499999999999E-2</v>
      </c>
      <c r="O978">
        <v>1.134074E-2</v>
      </c>
      <c r="P978">
        <v>0.95515570000000005</v>
      </c>
      <c r="Q978">
        <v>0.2926877</v>
      </c>
      <c r="R978">
        <v>4.485128E-2</v>
      </c>
      <c r="S978">
        <v>3.2609859999999999</v>
      </c>
      <c r="T978">
        <v>-0.32398529999999998</v>
      </c>
      <c r="U978">
        <v>-0.40444950000000002</v>
      </c>
      <c r="V978">
        <v>-3.4008869999999997E-2</v>
      </c>
      <c r="W978">
        <v>0.30782399999999999</v>
      </c>
      <c r="X978">
        <v>0.95083530000000005</v>
      </c>
      <c r="Y978">
        <v>0.13353979999999999</v>
      </c>
      <c r="Z978">
        <v>-8.6004789999999994E-3</v>
      </c>
      <c r="AA978">
        <v>0.9910061</v>
      </c>
      <c r="AB978">
        <v>36</v>
      </c>
      <c r="AC978">
        <v>0.65600000000000502</v>
      </c>
      <c r="AD978">
        <v>-8.5845899999999795E-2</v>
      </c>
      <c r="AE978">
        <v>-0.10970000000003199</v>
      </c>
      <c r="AF978">
        <v>0.115214036933805</v>
      </c>
      <c r="AG978">
        <v>-8.5845899999999795E-2</v>
      </c>
      <c r="AH978">
        <v>0.64398530636801998</v>
      </c>
      <c r="AI978">
        <v>97.475675070759394</v>
      </c>
      <c r="AJ978">
        <v>79.856648672394101</v>
      </c>
      <c r="AK978">
        <v>0.65981881427502997</v>
      </c>
      <c r="AL978">
        <v>72.071856416031096</v>
      </c>
      <c r="AM978">
        <v>92.048445633635495</v>
      </c>
      <c r="AN978">
        <v>0.999999992970383</v>
      </c>
    </row>
    <row r="979" spans="1:40" x14ac:dyDescent="0.25">
      <c r="A979" t="str">
        <f>"20190304164351173"</f>
        <v>20190304164351173</v>
      </c>
      <c r="B979" t="str">
        <f>"1551689031160484"</f>
        <v>1551689031160484</v>
      </c>
      <c r="C979" t="s">
        <v>40</v>
      </c>
      <c r="D979">
        <v>4.9602440000000003</v>
      </c>
      <c r="E979">
        <v>0.58241269999999901</v>
      </c>
      <c r="F979" t="s">
        <v>41</v>
      </c>
      <c r="G979">
        <v>-279.7568</v>
      </c>
      <c r="H979">
        <v>0.96426979999999995</v>
      </c>
      <c r="I979">
        <v>367.81740000000002</v>
      </c>
      <c r="J979">
        <v>-280.48970000000003</v>
      </c>
      <c r="K979">
        <v>1.0613790000000001</v>
      </c>
      <c r="L979">
        <v>367.94040000000001</v>
      </c>
      <c r="M979">
        <v>0.99979620000000002</v>
      </c>
      <c r="N979">
        <v>-1.6708850000000001E-2</v>
      </c>
      <c r="O979">
        <v>1.1338010000000001E-2</v>
      </c>
      <c r="P979">
        <v>0.95555690000000004</v>
      </c>
      <c r="Q979">
        <v>0.29161479999999901</v>
      </c>
      <c r="R979">
        <v>4.3268269999999998E-2</v>
      </c>
      <c r="S979">
        <v>3.260284</v>
      </c>
      <c r="T979">
        <v>-0.327312099999999</v>
      </c>
      <c r="U979">
        <v>-0.40740969999999999</v>
      </c>
      <c r="V979">
        <v>-3.2422270000000003E-2</v>
      </c>
      <c r="W979">
        <v>0.30754809999999999</v>
      </c>
      <c r="X979">
        <v>0.95098000000000005</v>
      </c>
      <c r="Y979">
        <v>0.13442379999999901</v>
      </c>
      <c r="Z979">
        <v>-8.7784860000000003E-3</v>
      </c>
      <c r="AA979">
        <v>0.99088500000000002</v>
      </c>
      <c r="AB979">
        <v>35</v>
      </c>
      <c r="AC979">
        <v>0.73290000000002897</v>
      </c>
      <c r="AD979">
        <v>-9.7109199999999896E-2</v>
      </c>
      <c r="AE979">
        <v>-0.12299999999999001</v>
      </c>
      <c r="AF979">
        <v>0.12909848410496599</v>
      </c>
      <c r="AG979">
        <v>-9.7109199999999896E-2</v>
      </c>
      <c r="AH979">
        <v>0.71917793350522696</v>
      </c>
      <c r="AI979">
        <v>97.570458029942998</v>
      </c>
      <c r="AJ979">
        <v>79.823310957691703</v>
      </c>
      <c r="AK979">
        <v>0.73709803646712302</v>
      </c>
      <c r="AL979">
        <v>72.088470405211893</v>
      </c>
      <c r="AM979">
        <v>91.952659333399197</v>
      </c>
      <c r="AN979">
        <v>0.99999999890278102</v>
      </c>
    </row>
    <row r="980" spans="1:40" x14ac:dyDescent="0.25">
      <c r="A980" t="str">
        <f>"20190304164351187"</f>
        <v>20190304164351187</v>
      </c>
      <c r="B980" t="str">
        <f>"1551689031180980"</f>
        <v>1551689031180980</v>
      </c>
      <c r="C980" t="s">
        <v>40</v>
      </c>
      <c r="D980">
        <v>4.9743029999999999</v>
      </c>
      <c r="E980">
        <v>0.58197129999999997</v>
      </c>
      <c r="F980" t="s">
        <v>41</v>
      </c>
      <c r="G980">
        <v>-279.74680000000001</v>
      </c>
      <c r="H980">
        <v>0.98607160000000005</v>
      </c>
      <c r="I980">
        <v>367.84640000000002</v>
      </c>
      <c r="J980">
        <v>-280.25220000000002</v>
      </c>
      <c r="K980">
        <v>1.0618890000000001</v>
      </c>
      <c r="L980">
        <v>367.94319999999999</v>
      </c>
      <c r="M980">
        <v>0.99979410000000002</v>
      </c>
      <c r="N980">
        <v>-1.6834350000000001E-2</v>
      </c>
      <c r="O980">
        <v>1.133047E-2</v>
      </c>
      <c r="P980">
        <v>0.95569150000000003</v>
      </c>
      <c r="Q980">
        <v>0.29126809999999997</v>
      </c>
      <c r="R980">
        <v>4.262469E-2</v>
      </c>
      <c r="S980">
        <v>3.259064</v>
      </c>
      <c r="T980">
        <v>-0.33052520000000002</v>
      </c>
      <c r="U980">
        <v>-0.41180420000000001</v>
      </c>
      <c r="V980">
        <v>-3.1781219999999999E-2</v>
      </c>
      <c r="W980">
        <v>0.30732359999999997</v>
      </c>
      <c r="X980">
        <v>0.95107419999999998</v>
      </c>
      <c r="Y980">
        <v>0.13575309999999999</v>
      </c>
      <c r="Z980">
        <v>-8.9421640000000007E-3</v>
      </c>
      <c r="AA980">
        <v>0.99070230000000004</v>
      </c>
      <c r="AB980">
        <v>35</v>
      </c>
      <c r="AC980">
        <v>0.50540000000000795</v>
      </c>
      <c r="AD980">
        <v>-7.5817399999999799E-2</v>
      </c>
      <c r="AE980">
        <v>-9.6799999999973296E-2</v>
      </c>
      <c r="AF980">
        <v>0.10034276986386501</v>
      </c>
      <c r="AG980">
        <v>-7.5817399999999799E-2</v>
      </c>
      <c r="AH980">
        <v>0.493556455974269</v>
      </c>
      <c r="AI980">
        <v>98.560736465670402</v>
      </c>
      <c r="AJ980">
        <v>78.508073803102604</v>
      </c>
      <c r="AK980">
        <v>0.50932791484523299</v>
      </c>
      <c r="AL980">
        <v>72.101987768717606</v>
      </c>
      <c r="AM980">
        <v>91.913891108076896</v>
      </c>
      <c r="AN980">
        <v>0.99999998748364405</v>
      </c>
    </row>
    <row r="981" spans="1:40" x14ac:dyDescent="0.25">
      <c r="A981" t="str">
        <f>"20190304164351200"</f>
        <v>20190304164351200</v>
      </c>
      <c r="B981" t="str">
        <f>"1551689031190741"</f>
        <v>1551689031190741</v>
      </c>
      <c r="C981" t="s">
        <v>40</v>
      </c>
      <c r="D981">
        <v>4.9636959999999997</v>
      </c>
      <c r="E981">
        <v>0.58176649999999996</v>
      </c>
      <c r="F981" t="s">
        <v>41</v>
      </c>
      <c r="G981">
        <v>-279.4391</v>
      </c>
      <c r="H981">
        <v>0.97893819999999998</v>
      </c>
      <c r="I981">
        <v>367.84039999999999</v>
      </c>
      <c r="J981">
        <v>-280.06630000000001</v>
      </c>
      <c r="K981">
        <v>1.0622670000000001</v>
      </c>
      <c r="L981">
        <v>367.94529999999997</v>
      </c>
      <c r="M981">
        <v>0.99980170000000002</v>
      </c>
      <c r="N981">
        <v>-1.63914E-2</v>
      </c>
      <c r="O981">
        <v>1.131974E-2</v>
      </c>
      <c r="P981">
        <v>0.95564009999999999</v>
      </c>
      <c r="Q981">
        <v>0.29143920000000001</v>
      </c>
      <c r="R981">
        <v>4.2608840000000002E-2</v>
      </c>
      <c r="S981">
        <v>3.2588499999999998</v>
      </c>
      <c r="T981">
        <v>-0.33279449999999999</v>
      </c>
      <c r="U981">
        <v>-0.41058349999999999</v>
      </c>
      <c r="V981">
        <v>-3.1772590000000003E-2</v>
      </c>
      <c r="W981">
        <v>0.30707259999999997</v>
      </c>
      <c r="X981">
        <v>0.95115550000000004</v>
      </c>
      <c r="Y981">
        <v>0.1353791</v>
      </c>
      <c r="Z981">
        <v>-8.9491299999999996E-3</v>
      </c>
      <c r="AA981">
        <v>0.99075349999999995</v>
      </c>
      <c r="AB981">
        <v>35</v>
      </c>
      <c r="AC981">
        <v>0.62720000000001597</v>
      </c>
      <c r="AD981">
        <v>-8.3328799999999995E-2</v>
      </c>
      <c r="AE981">
        <v>-0.104899999999986</v>
      </c>
      <c r="AF981">
        <v>0.110103382270705</v>
      </c>
      <c r="AG981">
        <v>-8.3328799999999995E-2</v>
      </c>
      <c r="AH981">
        <v>0.61540506281812501</v>
      </c>
      <c r="AI981">
        <v>97.592111344190997</v>
      </c>
      <c r="AJ981">
        <v>79.856416303961794</v>
      </c>
      <c r="AK981">
        <v>0.630705822899289</v>
      </c>
      <c r="AL981">
        <v>72.117098717383598</v>
      </c>
      <c r="AM981">
        <v>91.913208364883999</v>
      </c>
      <c r="AN981">
        <v>0.99999993216315597</v>
      </c>
    </row>
    <row r="982" spans="1:40" x14ac:dyDescent="0.25">
      <c r="A982" t="str">
        <f>"20190304164351213"</f>
        <v>20190304164351213</v>
      </c>
      <c r="B982" t="str">
        <f>"1551689031200501"</f>
        <v>1551689031200501</v>
      </c>
      <c r="C982" t="s">
        <v>40</v>
      </c>
      <c r="D982">
        <v>4.9611599999999996</v>
      </c>
      <c r="E982">
        <v>0.58158650000000001</v>
      </c>
      <c r="F982" t="s">
        <v>41</v>
      </c>
      <c r="G982">
        <v>-279.13099999999997</v>
      </c>
      <c r="H982">
        <v>0.96706769999999997</v>
      </c>
      <c r="I982">
        <v>367.82760000000002</v>
      </c>
      <c r="J982">
        <v>-279.86290000000002</v>
      </c>
      <c r="K982">
        <v>1.0626599999999999</v>
      </c>
      <c r="L982">
        <v>367.94749999999999</v>
      </c>
      <c r="M982">
        <v>0.99981739999999997</v>
      </c>
      <c r="N982">
        <v>-1.541491E-2</v>
      </c>
      <c r="O982">
        <v>1.1304369999999999E-2</v>
      </c>
      <c r="P982">
        <v>0.95541609999999999</v>
      </c>
      <c r="Q982">
        <v>0.29215229999999998</v>
      </c>
      <c r="R982">
        <v>4.274998E-2</v>
      </c>
      <c r="S982">
        <v>3.2587280000000001</v>
      </c>
      <c r="T982">
        <v>-0.33185530000000002</v>
      </c>
      <c r="U982">
        <v>-0.40948489999999999</v>
      </c>
      <c r="V982">
        <v>-3.192644E-2</v>
      </c>
      <c r="W982">
        <v>0.30685390000000001</v>
      </c>
      <c r="X982">
        <v>0.95122099999999998</v>
      </c>
      <c r="Y982">
        <v>0.1350517</v>
      </c>
      <c r="Z982">
        <v>-8.8510099999999994E-3</v>
      </c>
      <c r="AA982">
        <v>0.99079899999999999</v>
      </c>
      <c r="AB982">
        <v>35</v>
      </c>
      <c r="AC982">
        <v>0.73190000000005195</v>
      </c>
      <c r="AD982">
        <v>-9.5592299999999894E-2</v>
      </c>
      <c r="AE982">
        <v>-0.119899999999972</v>
      </c>
      <c r="AF982">
        <v>0.126072578877342</v>
      </c>
      <c r="AG982">
        <v>-9.5592299999999894E-2</v>
      </c>
      <c r="AH982">
        <v>0.71856042374721196</v>
      </c>
      <c r="AI982">
        <v>97.465026664561805</v>
      </c>
      <c r="AJ982">
        <v>80.048650295059105</v>
      </c>
      <c r="AK982">
        <v>0.735772563731379</v>
      </c>
      <c r="AL982">
        <v>72.1302662465541</v>
      </c>
      <c r="AM982">
        <v>91.922333334042705</v>
      </c>
      <c r="AN982">
        <v>1.0000000021786399</v>
      </c>
    </row>
    <row r="983" spans="1:40" x14ac:dyDescent="0.25">
      <c r="A983" t="str">
        <f>"20190304164351226"</f>
        <v>20190304164351226</v>
      </c>
      <c r="B983" t="str">
        <f>"1551689031220996"</f>
        <v>1551689031220996</v>
      </c>
      <c r="C983" t="s">
        <v>40</v>
      </c>
      <c r="D983">
        <v>4.9582439999999997</v>
      </c>
      <c r="E983">
        <v>0.58120459999999996</v>
      </c>
      <c r="F983" t="s">
        <v>41</v>
      </c>
      <c r="G983">
        <v>-279.12150000000003</v>
      </c>
      <c r="H983">
        <v>0.98773659999999996</v>
      </c>
      <c r="I983">
        <v>367.8546</v>
      </c>
      <c r="J983">
        <v>-279.66609999999997</v>
      </c>
      <c r="K983">
        <v>1.0631619999999999</v>
      </c>
      <c r="L983">
        <v>367.94970000000001</v>
      </c>
      <c r="M983">
        <v>0.99983580000000005</v>
      </c>
      <c r="N983">
        <v>-1.4181030000000001E-2</v>
      </c>
      <c r="O983">
        <v>1.1281970000000001E-2</v>
      </c>
      <c r="P983">
        <v>0.95510700000000004</v>
      </c>
      <c r="Q983">
        <v>0.29308149999999999</v>
      </c>
      <c r="R983">
        <v>4.3285619999999997E-2</v>
      </c>
      <c r="S983">
        <v>3.2589419999999998</v>
      </c>
      <c r="T983">
        <v>-0.32946880000000001</v>
      </c>
      <c r="U983">
        <v>-0.40774539999999998</v>
      </c>
      <c r="V983">
        <v>-3.2480259999999997E-2</v>
      </c>
      <c r="W983">
        <v>0.30660520000000002</v>
      </c>
      <c r="X983">
        <v>0.95128239999999997</v>
      </c>
      <c r="Y983">
        <v>0.13452220000000001</v>
      </c>
      <c r="Z983">
        <v>-8.6912369999999992E-3</v>
      </c>
      <c r="AA983">
        <v>0.99087239999999999</v>
      </c>
      <c r="AB983">
        <v>35</v>
      </c>
      <c r="AC983">
        <v>0.54459999999994502</v>
      </c>
      <c r="AD983">
        <v>-7.5425400000000198E-2</v>
      </c>
      <c r="AE983">
        <v>-9.51000000000021E-2</v>
      </c>
      <c r="AF983">
        <v>9.9388724387512603E-2</v>
      </c>
      <c r="AG983">
        <v>-7.5425400000000198E-2</v>
      </c>
      <c r="AH983">
        <v>0.53356072349138195</v>
      </c>
      <c r="AI983">
        <v>97.911827644130398</v>
      </c>
      <c r="AJ983">
        <v>79.448194420061</v>
      </c>
      <c r="AK983">
        <v>0.54795451923784999</v>
      </c>
      <c r="AL983">
        <v>72.145236590227896</v>
      </c>
      <c r="AM983">
        <v>91.955527769672102</v>
      </c>
      <c r="AN983">
        <v>0.99999996025323301</v>
      </c>
    </row>
    <row r="984" spans="1:40" x14ac:dyDescent="0.25">
      <c r="A984" t="str">
        <f>"20190304164351240"</f>
        <v>20190304164351240</v>
      </c>
      <c r="B984" t="str">
        <f>"1551689031230757"</f>
        <v>1551689031230757</v>
      </c>
      <c r="C984" t="s">
        <v>40</v>
      </c>
      <c r="D984">
        <v>4.9866140000000003</v>
      </c>
      <c r="E984">
        <v>0.58103649999999996</v>
      </c>
      <c r="F984" t="s">
        <v>41</v>
      </c>
      <c r="G984">
        <v>-278.81139999999999</v>
      </c>
      <c r="H984">
        <v>0.97774740000000004</v>
      </c>
      <c r="I984">
        <v>367.84359999999998</v>
      </c>
      <c r="J984">
        <v>-279.43450000000001</v>
      </c>
      <c r="K984">
        <v>1.0638620000000001</v>
      </c>
      <c r="L984">
        <v>367.95229999999998</v>
      </c>
      <c r="M984">
        <v>0.99985550000000001</v>
      </c>
      <c r="N984">
        <v>-1.275189E-2</v>
      </c>
      <c r="O984">
        <v>1.1248859999999999E-2</v>
      </c>
      <c r="P984">
        <v>0.95470390000000005</v>
      </c>
      <c r="Q984">
        <v>0.29417700000000002</v>
      </c>
      <c r="R984">
        <v>4.4729209999999998E-2</v>
      </c>
      <c r="S984">
        <v>3.2593380000000001</v>
      </c>
      <c r="T984">
        <v>-0.32585170000000002</v>
      </c>
      <c r="U984">
        <v>-0.4040222</v>
      </c>
      <c r="V984">
        <v>-3.3952990000000002E-2</v>
      </c>
      <c r="W984">
        <v>0.30633650000000001</v>
      </c>
      <c r="X984">
        <v>0.95131759999999999</v>
      </c>
      <c r="Y984">
        <v>0.13339119999999999</v>
      </c>
      <c r="Z984">
        <v>-8.4574219999999992E-3</v>
      </c>
      <c r="AA984">
        <v>0.9910274</v>
      </c>
      <c r="AB984">
        <v>35</v>
      </c>
      <c r="AC984">
        <v>0.62310000000002197</v>
      </c>
      <c r="AD984">
        <v>-8.6114599999999999E-2</v>
      </c>
      <c r="AE984">
        <v>-0.10869999999999801</v>
      </c>
      <c r="AF984">
        <v>0.11359720630116101</v>
      </c>
      <c r="AG984">
        <v>-8.6114599999999999E-2</v>
      </c>
      <c r="AH984">
        <v>0.61052104065599599</v>
      </c>
      <c r="AI984">
        <v>97.894913665615206</v>
      </c>
      <c r="AJ984">
        <v>79.459737179551794</v>
      </c>
      <c r="AK984">
        <v>0.62694177616128699</v>
      </c>
      <c r="AL984">
        <v>72.161411277896804</v>
      </c>
      <c r="AM984">
        <v>92.044046752967901</v>
      </c>
      <c r="AN984">
        <v>1.0000000164159699</v>
      </c>
    </row>
    <row r="985" spans="1:40" x14ac:dyDescent="0.25">
      <c r="A985" t="str">
        <f>"20190304164351256"</f>
        <v>20190304164351256</v>
      </c>
      <c r="B985" t="str">
        <f>"1551689031251252"</f>
        <v>1551689031251252</v>
      </c>
      <c r="C985" t="s">
        <v>40</v>
      </c>
      <c r="D985">
        <v>4.965179</v>
      </c>
      <c r="E985">
        <v>0.58073940000000002</v>
      </c>
      <c r="F985" t="s">
        <v>41</v>
      </c>
      <c r="G985">
        <v>-278.49979999999999</v>
      </c>
      <c r="H985">
        <v>0.97166189999999997</v>
      </c>
      <c r="I985">
        <v>367.83800000000002</v>
      </c>
      <c r="J985">
        <v>-279.20030000000003</v>
      </c>
      <c r="K985">
        <v>1.0647089999999999</v>
      </c>
      <c r="L985">
        <v>367.95499999999998</v>
      </c>
      <c r="M985">
        <v>0.9998726</v>
      </c>
      <c r="N985">
        <v>-1.1377109999999999E-2</v>
      </c>
      <c r="O985">
        <v>1.120519E-2</v>
      </c>
      <c r="P985">
        <v>0.95429379999999997</v>
      </c>
      <c r="Q985">
        <v>0.29535169999999999</v>
      </c>
      <c r="R985">
        <v>4.5726500000000003E-2</v>
      </c>
      <c r="S985">
        <v>3.260132</v>
      </c>
      <c r="T985">
        <v>-0.3216792</v>
      </c>
      <c r="U985">
        <v>-0.3984375</v>
      </c>
      <c r="V985">
        <v>-3.4987949999999997E-2</v>
      </c>
      <c r="W985">
        <v>0.30619980000000002</v>
      </c>
      <c r="X985">
        <v>0.95132410000000001</v>
      </c>
      <c r="Y985">
        <v>0.13168189999999999</v>
      </c>
      <c r="Z985">
        <v>-8.1831919999999902E-3</v>
      </c>
      <c r="AA985">
        <v>0.99125830000000004</v>
      </c>
      <c r="AB985">
        <v>35</v>
      </c>
      <c r="AC985">
        <v>0.70050000000003299</v>
      </c>
      <c r="AD985">
        <v>-9.3047099999999799E-2</v>
      </c>
      <c r="AE985">
        <v>-0.116999999999961</v>
      </c>
      <c r="AF985">
        <v>0.122735658158069</v>
      </c>
      <c r="AG985">
        <v>-9.3047099999999799E-2</v>
      </c>
      <c r="AH985">
        <v>0.68734672554563903</v>
      </c>
      <c r="AI985">
        <v>97.590713053766294</v>
      </c>
      <c r="AJ985">
        <v>79.875718404454702</v>
      </c>
      <c r="AK985">
        <v>0.70439145772802803</v>
      </c>
      <c r="AL985">
        <v>72.169638849124198</v>
      </c>
      <c r="AM985">
        <v>92.106284014413006</v>
      </c>
      <c r="AN985">
        <v>1.0000000087030201</v>
      </c>
    </row>
    <row r="986" spans="1:40" x14ac:dyDescent="0.25">
      <c r="A986" t="str">
        <f>"20190304164351267"</f>
        <v>20190304164351267</v>
      </c>
      <c r="B986" t="str">
        <f>"1551689031261013"</f>
        <v>1551689031261013</v>
      </c>
      <c r="C986" t="s">
        <v>40</v>
      </c>
      <c r="D986">
        <v>4.9761610000000003</v>
      </c>
      <c r="E986">
        <v>0.58057250000000005</v>
      </c>
      <c r="F986" t="s">
        <v>41</v>
      </c>
      <c r="G986">
        <v>-278.18849999999998</v>
      </c>
      <c r="H986">
        <v>0.96618190000000004</v>
      </c>
      <c r="I986">
        <v>367.8329</v>
      </c>
      <c r="J986">
        <v>-278.99380000000002</v>
      </c>
      <c r="K986">
        <v>1.06558</v>
      </c>
      <c r="L986">
        <v>367.9572</v>
      </c>
      <c r="M986">
        <v>0.99988509999999997</v>
      </c>
      <c r="N986">
        <v>-1.0268269999999999E-2</v>
      </c>
      <c r="O986">
        <v>1.1149310000000001E-2</v>
      </c>
      <c r="P986">
        <v>0.9540035</v>
      </c>
      <c r="Q986">
        <v>0.29614289999999999</v>
      </c>
      <c r="R986">
        <v>4.6656019999999999E-2</v>
      </c>
      <c r="S986">
        <v>3.2608950000000001</v>
      </c>
      <c r="T986">
        <v>-0.31780120000000001</v>
      </c>
      <c r="U986">
        <v>-0.3925476</v>
      </c>
      <c r="V986">
        <v>-3.59651E-2</v>
      </c>
      <c r="W986">
        <v>0.30593379999999998</v>
      </c>
      <c r="X986">
        <v>0.95137320000000003</v>
      </c>
      <c r="Y986">
        <v>0.1298667</v>
      </c>
      <c r="Z986">
        <v>-7.9281739999999996E-3</v>
      </c>
      <c r="AA986">
        <v>0.99149980000000004</v>
      </c>
      <c r="AB986">
        <v>35</v>
      </c>
      <c r="AC986">
        <v>0.80530000000004498</v>
      </c>
      <c r="AD986">
        <v>-9.9398100000000003E-2</v>
      </c>
      <c r="AE986">
        <v>-0.124300000000005</v>
      </c>
      <c r="AF986">
        <v>0.13131723066870901</v>
      </c>
      <c r="AG986">
        <v>-9.9398100000000003E-2</v>
      </c>
      <c r="AH986">
        <v>0.79207756207731395</v>
      </c>
      <c r="AI986">
        <v>97.057338460276</v>
      </c>
      <c r="AJ986">
        <v>80.5866485892562</v>
      </c>
      <c r="AK986">
        <v>0.80901857932957899</v>
      </c>
      <c r="AL986">
        <v>72.185647120056103</v>
      </c>
      <c r="AM986">
        <v>92.164941855281498</v>
      </c>
      <c r="AN986">
        <v>0.99999997203934399</v>
      </c>
    </row>
    <row r="987" spans="1:40" x14ac:dyDescent="0.25">
      <c r="A987" t="str">
        <f>"20190304164351279"</f>
        <v>20190304164351279</v>
      </c>
      <c r="B987" t="str">
        <f>"1551689031270772"</f>
        <v>1551689031270772</v>
      </c>
      <c r="C987" t="s">
        <v>40</v>
      </c>
      <c r="D987">
        <v>5.0684459999999998</v>
      </c>
      <c r="E987">
        <v>0.58057250000000005</v>
      </c>
      <c r="F987" t="s">
        <v>41</v>
      </c>
      <c r="G987">
        <v>-278.17919999999998</v>
      </c>
      <c r="H987">
        <v>0.98696110000000004</v>
      </c>
      <c r="I987">
        <v>367.85989999999998</v>
      </c>
      <c r="J987">
        <v>-278.81670000000003</v>
      </c>
      <c r="K987">
        <v>1.066354</v>
      </c>
      <c r="L987">
        <v>367.95920000000001</v>
      </c>
      <c r="M987">
        <v>0.99989470000000003</v>
      </c>
      <c r="N987">
        <v>-9.3397889999999994E-3</v>
      </c>
      <c r="O987">
        <v>1.1096180000000001E-2</v>
      </c>
      <c r="P987">
        <v>0.95369150000000003</v>
      </c>
      <c r="Q987">
        <v>0.2969753</v>
      </c>
      <c r="R987">
        <v>4.7728909999999999E-2</v>
      </c>
      <c r="S987">
        <v>3.2614749999999999</v>
      </c>
      <c r="T987">
        <v>-0.31510850000000001</v>
      </c>
      <c r="U987">
        <v>-0.3883972</v>
      </c>
      <c r="V987">
        <v>-3.7085340000000001E-2</v>
      </c>
      <c r="W987">
        <v>0.30588110000000002</v>
      </c>
      <c r="X987">
        <v>0.95134719999999995</v>
      </c>
      <c r="Y987">
        <v>0.1285723</v>
      </c>
      <c r="Z987">
        <v>-7.7419430000000003E-3</v>
      </c>
      <c r="AA987">
        <v>0.99166989999999999</v>
      </c>
      <c r="AB987">
        <v>35</v>
      </c>
      <c r="AC987">
        <v>0.63750000000004503</v>
      </c>
      <c r="AD987">
        <v>-7.93929000000001E-2</v>
      </c>
      <c r="AE987">
        <v>-9.9300000000027894E-2</v>
      </c>
      <c r="AF987">
        <v>0.10478137996909399</v>
      </c>
      <c r="AG987">
        <v>-7.93929000000001E-2</v>
      </c>
      <c r="AH987">
        <v>0.62686665237406003</v>
      </c>
      <c r="AI987">
        <v>97.120353152112898</v>
      </c>
      <c r="AJ987">
        <v>80.510680362727101</v>
      </c>
      <c r="AK987">
        <v>0.64050306011548297</v>
      </c>
      <c r="AL987">
        <v>72.188819757196796</v>
      </c>
      <c r="AM987">
        <v>92.232369162517102</v>
      </c>
      <c r="AN987">
        <v>1.0000000323639799</v>
      </c>
    </row>
    <row r="988" spans="1:40" x14ac:dyDescent="0.25">
      <c r="A988" t="str">
        <f>"20190304164351291"</f>
        <v>20190304164351291</v>
      </c>
      <c r="B988" t="str">
        <f>"1551689031280533"</f>
        <v>1551689031280533</v>
      </c>
      <c r="C988" t="s">
        <v>40</v>
      </c>
      <c r="D988">
        <v>4.9099019999999998</v>
      </c>
      <c r="E988">
        <v>0.56444249999999996</v>
      </c>
      <c r="F988" t="s">
        <v>41</v>
      </c>
      <c r="G988">
        <v>-277.87060000000002</v>
      </c>
      <c r="H988">
        <v>0.97579979999999999</v>
      </c>
      <c r="I988">
        <v>367.8476</v>
      </c>
      <c r="J988">
        <v>-278.62869999999998</v>
      </c>
      <c r="K988">
        <v>1.0672060000000001</v>
      </c>
      <c r="L988">
        <v>367.96120000000002</v>
      </c>
      <c r="M988">
        <v>0.99990400000000002</v>
      </c>
      <c r="N988">
        <v>-8.3803780000000008E-3</v>
      </c>
      <c r="O988">
        <v>1.103443E-2</v>
      </c>
      <c r="P988">
        <v>0.9533161</v>
      </c>
      <c r="Q988">
        <v>0.29800589999999999</v>
      </c>
      <c r="R988">
        <v>4.8796199999999998E-2</v>
      </c>
      <c r="S988">
        <v>3.2621769999999999</v>
      </c>
      <c r="T988">
        <v>-0.3123572</v>
      </c>
      <c r="U988">
        <v>-0.3843994</v>
      </c>
      <c r="V988">
        <v>-3.8208840000000001E-2</v>
      </c>
      <c r="W988">
        <v>0.30599690000000002</v>
      </c>
      <c r="X988">
        <v>0.95126549999999999</v>
      </c>
      <c r="Y988">
        <v>0.12731049999999999</v>
      </c>
      <c r="Z988">
        <v>-7.5556859999999998E-3</v>
      </c>
      <c r="AA988">
        <v>0.9918342</v>
      </c>
      <c r="AB988">
        <v>35</v>
      </c>
      <c r="AC988">
        <v>0.75809999999995603</v>
      </c>
      <c r="AD988">
        <v>-9.1406199999999799E-2</v>
      </c>
      <c r="AE988">
        <v>-0.11360000000001901</v>
      </c>
      <c r="AF988">
        <v>0.120248818623859</v>
      </c>
      <c r="AG988">
        <v>-9.1406199999999799E-2</v>
      </c>
      <c r="AH988">
        <v>0.74619056382832105</v>
      </c>
      <c r="AI988">
        <v>96.895683770519298</v>
      </c>
      <c r="AJ988">
        <v>80.845473506113393</v>
      </c>
      <c r="AK988">
        <v>0.761324654352728</v>
      </c>
      <c r="AL988">
        <v>72.181850796327296</v>
      </c>
      <c r="AM988">
        <v>92.300124522729803</v>
      </c>
      <c r="AN988">
        <v>1.000000034877</v>
      </c>
    </row>
    <row r="989" spans="1:40" x14ac:dyDescent="0.25">
      <c r="A989" t="str">
        <f>"20190304164351303"</f>
        <v>20190304164351303</v>
      </c>
      <c r="B989" t="str">
        <f>"1551689031301028"</f>
        <v>1551689031301028</v>
      </c>
      <c r="C989" t="s">
        <v>40</v>
      </c>
      <c r="D989">
        <v>4.8543399999999997</v>
      </c>
      <c r="E989">
        <v>0.56266510000000003</v>
      </c>
      <c r="F989" t="s">
        <v>41</v>
      </c>
      <c r="G989">
        <v>-277.86009999999999</v>
      </c>
      <c r="H989">
        <v>0.99947079999999999</v>
      </c>
      <c r="I989">
        <v>367.90089999999998</v>
      </c>
      <c r="J989">
        <v>-278.44490000000002</v>
      </c>
      <c r="K989">
        <v>1.068147</v>
      </c>
      <c r="L989">
        <v>367.9631</v>
      </c>
      <c r="M989">
        <v>0.99990939999999995</v>
      </c>
      <c r="N989">
        <v>-7.7989819999999899E-3</v>
      </c>
      <c r="O989">
        <v>1.096725E-2</v>
      </c>
      <c r="P989">
        <v>0.95309330000000003</v>
      </c>
      <c r="Q989">
        <v>0.2985563</v>
      </c>
      <c r="R989">
        <v>4.9770250000000002E-2</v>
      </c>
      <c r="S989">
        <v>3.2494809999999998</v>
      </c>
      <c r="T989">
        <v>-0.28650100000000001</v>
      </c>
      <c r="U989">
        <v>-0.25424190000000002</v>
      </c>
      <c r="V989">
        <v>-3.9244429999999997E-2</v>
      </c>
      <c r="W989">
        <v>0.30599330000000002</v>
      </c>
      <c r="X989">
        <v>0.95122439999999997</v>
      </c>
      <c r="Y989">
        <v>8.852488E-2</v>
      </c>
      <c r="Z989">
        <v>-5.1140049999999996E-3</v>
      </c>
      <c r="AA989">
        <v>0.99606079999999997</v>
      </c>
      <c r="AB989">
        <v>35</v>
      </c>
      <c r="AC989">
        <v>0.58480000000002896</v>
      </c>
      <c r="AD989">
        <v>-6.8676199999999799E-2</v>
      </c>
      <c r="AE989">
        <v>-6.22000000000184E-2</v>
      </c>
      <c r="AF989">
        <v>6.7687067380177504E-2</v>
      </c>
      <c r="AG989">
        <v>-6.8676199999999799E-2</v>
      </c>
      <c r="AH989">
        <v>0.57622478351364603</v>
      </c>
      <c r="AI989">
        <v>96.750641369474494</v>
      </c>
      <c r="AJ989">
        <v>83.300371468497801</v>
      </c>
      <c r="AK989">
        <v>0.58423707574264405</v>
      </c>
      <c r="AL989">
        <v>72.182065743924397</v>
      </c>
      <c r="AM989">
        <v>92.362498005956397</v>
      </c>
      <c r="AN989">
        <v>0.99999994204313503</v>
      </c>
    </row>
    <row r="990" spans="1:40" x14ac:dyDescent="0.25">
      <c r="A990" t="str">
        <f>"20190304164351315"</f>
        <v>20190304164351315</v>
      </c>
      <c r="B990" t="str">
        <f>"1551689031310789"</f>
        <v>1551689031310789</v>
      </c>
      <c r="C990" t="s">
        <v>40</v>
      </c>
      <c r="D990">
        <v>4.8532820000000001</v>
      </c>
      <c r="E990">
        <v>0.56221069999999995</v>
      </c>
      <c r="F990" t="s">
        <v>41</v>
      </c>
      <c r="G990">
        <v>-277.55149999999998</v>
      </c>
      <c r="H990">
        <v>0.99429829999999997</v>
      </c>
      <c r="I990">
        <v>367.8972</v>
      </c>
      <c r="J990">
        <v>-278.25220000000002</v>
      </c>
      <c r="K990">
        <v>1.0692029999999999</v>
      </c>
      <c r="L990">
        <v>367.96519999999998</v>
      </c>
      <c r="M990">
        <v>0.99991359999999996</v>
      </c>
      <c r="N990">
        <v>-7.3563069999999899E-3</v>
      </c>
      <c r="O990">
        <v>1.089384E-2</v>
      </c>
      <c r="P990">
        <v>0.95287270000000002</v>
      </c>
      <c r="Q990">
        <v>0.29909520000000001</v>
      </c>
      <c r="R990">
        <v>5.0754790000000001E-2</v>
      </c>
      <c r="S990">
        <v>3.244202</v>
      </c>
      <c r="T990">
        <v>-0.2685322</v>
      </c>
      <c r="U990">
        <v>-0.2380371</v>
      </c>
      <c r="V990">
        <v>-4.0296480000000003E-2</v>
      </c>
      <c r="W990">
        <v>0.3061104</v>
      </c>
      <c r="X990">
        <v>0.95114279999999995</v>
      </c>
      <c r="Y990">
        <v>8.369596E-2</v>
      </c>
      <c r="Z990">
        <v>-4.5813319999999996E-3</v>
      </c>
      <c r="AA990">
        <v>0.99648080000000006</v>
      </c>
      <c r="AB990">
        <v>35</v>
      </c>
      <c r="AC990">
        <v>0.70070000000003996</v>
      </c>
      <c r="AD990">
        <v>-7.4904700000000102E-2</v>
      </c>
      <c r="AE990">
        <v>-6.7999999999983601E-2</v>
      </c>
      <c r="AF990">
        <v>7.4782871711422796E-2</v>
      </c>
      <c r="AG990">
        <v>-7.4904700000000102E-2</v>
      </c>
      <c r="AH990">
        <v>0.69208258436652703</v>
      </c>
      <c r="AI990">
        <v>96.141652609310896</v>
      </c>
      <c r="AJ990">
        <v>83.832841800661001</v>
      </c>
      <c r="AK990">
        <v>0.70012962768829301</v>
      </c>
      <c r="AL990">
        <v>72.175019384984097</v>
      </c>
      <c r="AM990">
        <v>92.425964161264901</v>
      </c>
      <c r="AN990">
        <v>1.00000000464019</v>
      </c>
    </row>
    <row r="991" spans="1:40" x14ac:dyDescent="0.25">
      <c r="A991" t="str">
        <f>"20190304164351328"</f>
        <v>20190304164351328</v>
      </c>
      <c r="B991" t="str">
        <f>"1551689031320990"</f>
        <v>1551689031320990</v>
      </c>
      <c r="C991" t="s">
        <v>40</v>
      </c>
      <c r="D991">
        <v>4.9109129999999999</v>
      </c>
      <c r="E991">
        <v>0.5620039</v>
      </c>
      <c r="F991" t="s">
        <v>41</v>
      </c>
      <c r="G991">
        <v>-277.24619999999999</v>
      </c>
      <c r="H991">
        <v>0.98695409999999995</v>
      </c>
      <c r="I991">
        <v>367.89330000000001</v>
      </c>
      <c r="J991">
        <v>-278.04239999999999</v>
      </c>
      <c r="K991">
        <v>1.070638</v>
      </c>
      <c r="L991">
        <v>367.9674</v>
      </c>
      <c r="M991">
        <v>0.99991470000000005</v>
      </c>
      <c r="N991">
        <v>-7.3481730000000004E-3</v>
      </c>
      <c r="O991">
        <v>1.08056E-2</v>
      </c>
      <c r="P991">
        <v>0.95265599999999995</v>
      </c>
      <c r="Q991">
        <v>0.29958119999999999</v>
      </c>
      <c r="R991">
        <v>5.1941250000000001E-2</v>
      </c>
      <c r="S991">
        <v>3.2439879999999999</v>
      </c>
      <c r="T991">
        <v>-0.26529789999999998</v>
      </c>
      <c r="U991">
        <v>-0.2314148</v>
      </c>
      <c r="V991">
        <v>-4.1565079999999997E-2</v>
      </c>
      <c r="W991">
        <v>0.30658800000000003</v>
      </c>
      <c r="X991">
        <v>0.95093439999999996</v>
      </c>
      <c r="Y991">
        <v>8.1604659999999996E-2</v>
      </c>
      <c r="Z991">
        <v>-4.4298609999999898E-3</v>
      </c>
      <c r="AA991">
        <v>0.99665490000000001</v>
      </c>
      <c r="AB991">
        <v>35</v>
      </c>
      <c r="AC991">
        <v>0.79619999999999802</v>
      </c>
      <c r="AD991">
        <v>-8.3683900000000006E-2</v>
      </c>
      <c r="AE991">
        <v>-7.4099999999987107E-2</v>
      </c>
      <c r="AF991">
        <v>8.1803411727314201E-2</v>
      </c>
      <c r="AG991">
        <v>-8.3683900000000006E-2</v>
      </c>
      <c r="AH991">
        <v>0.786736447470329</v>
      </c>
      <c r="AI991">
        <v>96.039314089299296</v>
      </c>
      <c r="AJ991">
        <v>84.063821600248502</v>
      </c>
      <c r="AK991">
        <v>0.79539237554031905</v>
      </c>
      <c r="AL991">
        <v>72.1462735112882</v>
      </c>
      <c r="AM991">
        <v>92.502789616925298</v>
      </c>
      <c r="AN991">
        <v>1.00000004536138</v>
      </c>
    </row>
    <row r="992" spans="1:40" x14ac:dyDescent="0.25">
      <c r="A992" t="str">
        <f>"20190304164351341"</f>
        <v>20190304164351341</v>
      </c>
      <c r="B992" t="str">
        <f>"1551689031331309"</f>
        <v>1551689031331309</v>
      </c>
      <c r="C992" t="s">
        <v>40</v>
      </c>
      <c r="D992">
        <v>4.9089159999999996</v>
      </c>
      <c r="E992">
        <v>0.56199980000000005</v>
      </c>
      <c r="F992" t="s">
        <v>41</v>
      </c>
      <c r="G992">
        <v>-277.23719999999997</v>
      </c>
      <c r="H992">
        <v>1.0058940000000001</v>
      </c>
      <c r="I992">
        <v>367.911</v>
      </c>
      <c r="J992">
        <v>-277.8646</v>
      </c>
      <c r="K992">
        <v>1.0719540000000001</v>
      </c>
      <c r="L992">
        <v>367.96929999999998</v>
      </c>
      <c r="M992">
        <v>0.99991540000000001</v>
      </c>
      <c r="N992">
        <v>-7.3673840000000003E-3</v>
      </c>
      <c r="O992">
        <v>1.0728E-2</v>
      </c>
      <c r="P992">
        <v>0.95261589999999996</v>
      </c>
      <c r="Q992">
        <v>0.29950979999999999</v>
      </c>
      <c r="R992">
        <v>5.30746E-2</v>
      </c>
      <c r="S992">
        <v>3.2435</v>
      </c>
      <c r="T992">
        <v>-0.2608955</v>
      </c>
      <c r="U992">
        <v>-0.22662350000000001</v>
      </c>
      <c r="V992">
        <v>-4.2769700000000001E-2</v>
      </c>
      <c r="W992">
        <v>0.30653530000000001</v>
      </c>
      <c r="X992">
        <v>0.95089789999999996</v>
      </c>
      <c r="Y992">
        <v>8.0088679999999995E-2</v>
      </c>
      <c r="Z992">
        <v>-4.2895700000000004E-3</v>
      </c>
      <c r="AA992">
        <v>0.99677850000000001</v>
      </c>
      <c r="AB992">
        <v>35</v>
      </c>
      <c r="AC992">
        <v>0.62740000000002205</v>
      </c>
      <c r="AD992">
        <v>-6.6059999999999994E-2</v>
      </c>
      <c r="AE992">
        <v>-5.8299999999974199E-2</v>
      </c>
      <c r="AF992">
        <v>6.4320598774567098E-2</v>
      </c>
      <c r="AG992">
        <v>-6.6059999999999994E-2</v>
      </c>
      <c r="AH992">
        <v>0.619924576382482</v>
      </c>
      <c r="AI992">
        <v>96.050325302192903</v>
      </c>
      <c r="AJ992">
        <v>84.076441853115597</v>
      </c>
      <c r="AK992">
        <v>0.626743602623687</v>
      </c>
      <c r="AL992">
        <v>72.149444473948094</v>
      </c>
      <c r="AM992">
        <v>92.575326752914805</v>
      </c>
      <c r="AN992">
        <v>0.99999997680429398</v>
      </c>
    </row>
    <row r="993" spans="1:40" x14ac:dyDescent="0.25">
      <c r="A993" t="str">
        <f>"20190304164351352"</f>
        <v>20190304164351352</v>
      </c>
      <c r="B993" t="str">
        <f>"1551689031341070"</f>
        <v>1551689031341070</v>
      </c>
      <c r="C993" t="s">
        <v>40</v>
      </c>
      <c r="D993">
        <v>4.9535729999999996</v>
      </c>
      <c r="E993">
        <v>0.5617974</v>
      </c>
      <c r="F993" t="s">
        <v>41</v>
      </c>
      <c r="G993">
        <v>-276.93279999999999</v>
      </c>
      <c r="H993">
        <v>0.99733320000000003</v>
      </c>
      <c r="I993">
        <v>367.90480000000002</v>
      </c>
      <c r="J993">
        <v>-277.67399999999998</v>
      </c>
      <c r="K993">
        <v>1.0734349999999999</v>
      </c>
      <c r="L993">
        <v>367.97129999999999</v>
      </c>
      <c r="M993">
        <v>0.99991600000000003</v>
      </c>
      <c r="N993">
        <v>-7.40808099999999E-3</v>
      </c>
      <c r="O993">
        <v>1.064263E-2</v>
      </c>
      <c r="P993">
        <v>0.95255610000000002</v>
      </c>
      <c r="Q993">
        <v>0.29960910000000002</v>
      </c>
      <c r="R993">
        <v>5.3586549999999997E-2</v>
      </c>
      <c r="S993">
        <v>3.2434690000000002</v>
      </c>
      <c r="T993">
        <v>-0.26012109999999999</v>
      </c>
      <c r="U993">
        <v>-0.22311400000000001</v>
      </c>
      <c r="V993">
        <v>-4.3360290000000003E-2</v>
      </c>
      <c r="W993">
        <v>0.30667369999999999</v>
      </c>
      <c r="X993">
        <v>0.95082659999999997</v>
      </c>
      <c r="Y993">
        <v>7.8936679999999995E-2</v>
      </c>
      <c r="Z993">
        <v>-4.2223460000000001E-3</v>
      </c>
      <c r="AA993">
        <v>0.9968707</v>
      </c>
      <c r="AB993">
        <v>35</v>
      </c>
      <c r="AC993">
        <v>0.74120000000004804</v>
      </c>
      <c r="AD993">
        <v>-7.6101800000000094E-2</v>
      </c>
      <c r="AE993">
        <v>-6.64999999999622E-2</v>
      </c>
      <c r="AF993">
        <v>7.3614922331146707E-2</v>
      </c>
      <c r="AG993">
        <v>-7.6101800000000094E-2</v>
      </c>
      <c r="AH993">
        <v>0.73278698247476104</v>
      </c>
      <c r="AI993">
        <v>95.899574916937397</v>
      </c>
      <c r="AJ993">
        <v>84.2633793554552</v>
      </c>
      <c r="AK993">
        <v>0.74039678716045698</v>
      </c>
      <c r="AL993">
        <v>72.141114809811995</v>
      </c>
      <c r="AM993">
        <v>92.611035065829896</v>
      </c>
      <c r="AN993">
        <v>1.0000000481440601</v>
      </c>
    </row>
    <row r="994" spans="1:40" x14ac:dyDescent="0.25">
      <c r="A994" t="str">
        <f>"20190304164351364"</f>
        <v>20190304164351364</v>
      </c>
      <c r="B994" t="str">
        <f>"1551689031350830"</f>
        <v>1551689031350830</v>
      </c>
      <c r="C994" t="s">
        <v>40</v>
      </c>
      <c r="D994">
        <v>4.9590379999999996</v>
      </c>
      <c r="E994">
        <v>0.56164740000000002</v>
      </c>
      <c r="F994" t="s">
        <v>41</v>
      </c>
      <c r="G994">
        <v>-276.92410000000001</v>
      </c>
      <c r="H994">
        <v>1.0136339999999999</v>
      </c>
      <c r="I994">
        <v>367.91980000000001</v>
      </c>
      <c r="J994">
        <v>-277.50630000000001</v>
      </c>
      <c r="K994">
        <v>1.0747990000000001</v>
      </c>
      <c r="L994">
        <v>367.97300000000001</v>
      </c>
      <c r="M994">
        <v>0.99991770000000002</v>
      </c>
      <c r="N994">
        <v>-7.3108929999999997E-3</v>
      </c>
      <c r="O994">
        <v>1.056029E-2</v>
      </c>
      <c r="P994">
        <v>0.95243520000000004</v>
      </c>
      <c r="Q994">
        <v>0.29993540000000002</v>
      </c>
      <c r="R994">
        <v>5.3911559999999997E-2</v>
      </c>
      <c r="S994">
        <v>3.2433169999999998</v>
      </c>
      <c r="T994">
        <v>-0.25912489999999999</v>
      </c>
      <c r="U994">
        <v>-0.22070310000000001</v>
      </c>
      <c r="V994">
        <v>-4.376124E-2</v>
      </c>
      <c r="W994">
        <v>0.30690689999999998</v>
      </c>
      <c r="X994">
        <v>0.95073289999999999</v>
      </c>
      <c r="Y994">
        <v>7.8125669999999994E-2</v>
      </c>
      <c r="Z994">
        <v>-4.1632600000000002E-3</v>
      </c>
      <c r="AA994">
        <v>0.99693480000000001</v>
      </c>
      <c r="AB994">
        <v>35</v>
      </c>
      <c r="AC994">
        <v>0.58220000000000005</v>
      </c>
      <c r="AD994">
        <v>-6.1165000000000101E-2</v>
      </c>
      <c r="AE994">
        <v>-5.3200000000003897E-2</v>
      </c>
      <c r="AF994">
        <v>5.8702843590327701E-2</v>
      </c>
      <c r="AG994">
        <v>-6.1165000000000101E-2</v>
      </c>
      <c r="AH994">
        <v>0.57530845956370202</v>
      </c>
      <c r="AI994">
        <v>96.037595806137702</v>
      </c>
      <c r="AJ994">
        <v>84.173865081762202</v>
      </c>
      <c r="AK994">
        <v>0.58152128483500098</v>
      </c>
      <c r="AL994">
        <v>72.127075008169896</v>
      </c>
      <c r="AM994">
        <v>92.635404615077903</v>
      </c>
      <c r="AN994">
        <v>0.99999996926817802</v>
      </c>
    </row>
    <row r="995" spans="1:40" x14ac:dyDescent="0.25">
      <c r="A995" t="str">
        <f>"20190304164351376"</f>
        <v>20190304164351376</v>
      </c>
      <c r="B995" t="str">
        <f>"1551689031371325"</f>
        <v>1551689031371325</v>
      </c>
      <c r="C995" t="s">
        <v>40</v>
      </c>
      <c r="D995">
        <v>4.9680489999999997</v>
      </c>
      <c r="E995">
        <v>0.56142069999999999</v>
      </c>
      <c r="F995" t="s">
        <v>41</v>
      </c>
      <c r="G995">
        <v>-276.62</v>
      </c>
      <c r="H995">
        <v>1.003968</v>
      </c>
      <c r="I995">
        <v>367.9128</v>
      </c>
      <c r="J995">
        <v>-277.33179999999999</v>
      </c>
      <c r="K995">
        <v>1.076222</v>
      </c>
      <c r="L995">
        <v>367.97480000000002</v>
      </c>
      <c r="M995">
        <v>0.99991929999999996</v>
      </c>
      <c r="N995">
        <v>-7.194181E-3</v>
      </c>
      <c r="O995">
        <v>1.0474209999999999E-2</v>
      </c>
      <c r="P995">
        <v>0.95234759999999996</v>
      </c>
      <c r="Q995">
        <v>0.3001296</v>
      </c>
      <c r="R995">
        <v>5.4373159999999997E-2</v>
      </c>
      <c r="S995">
        <v>3.2438959999999999</v>
      </c>
      <c r="T995">
        <v>-0.2594303</v>
      </c>
      <c r="U995">
        <v>-0.21948239999999999</v>
      </c>
      <c r="V995">
        <v>-4.4303099999999998E-2</v>
      </c>
      <c r="W995">
        <v>0.30699009999999999</v>
      </c>
      <c r="X995">
        <v>0.950681</v>
      </c>
      <c r="Y995">
        <v>7.7655870000000002E-2</v>
      </c>
      <c r="Z995">
        <v>-4.1372249999999996E-3</v>
      </c>
      <c r="AA995">
        <v>0.99697170000000002</v>
      </c>
      <c r="AB995">
        <v>35</v>
      </c>
      <c r="AC995">
        <v>0.711799999999982</v>
      </c>
      <c r="AD995">
        <v>-7.2253999999999999E-2</v>
      </c>
      <c r="AE995">
        <v>-6.2000000000011803E-2</v>
      </c>
      <c r="AF995">
        <v>6.8749272478011603E-2</v>
      </c>
      <c r="AG995">
        <v>-7.2253999999999999E-2</v>
      </c>
      <c r="AH995">
        <v>0.70391299616689096</v>
      </c>
      <c r="AI995">
        <v>95.833106944329401</v>
      </c>
      <c r="AJ995">
        <v>84.421768505726604</v>
      </c>
      <c r="AK995">
        <v>0.71094346410590503</v>
      </c>
      <c r="AL995">
        <v>72.122067234164106</v>
      </c>
      <c r="AM995">
        <v>92.668135275041607</v>
      </c>
      <c r="AN995">
        <v>1.0000000249643</v>
      </c>
    </row>
    <row r="996" spans="1:40" x14ac:dyDescent="0.25">
      <c r="A996" t="str">
        <f>"20190304164351386"</f>
        <v>20190304164351386</v>
      </c>
      <c r="B996" t="str">
        <f>"1551689031381086"</f>
        <v>1551689031381086</v>
      </c>
      <c r="C996" t="s">
        <v>40</v>
      </c>
      <c r="D996">
        <v>4.9769329999999998</v>
      </c>
      <c r="E996">
        <v>0.56134589999999995</v>
      </c>
      <c r="F996" t="s">
        <v>41</v>
      </c>
      <c r="G996">
        <v>-276.31369999999998</v>
      </c>
      <c r="H996">
        <v>0.99462689999999998</v>
      </c>
      <c r="I996">
        <v>367.90640000000002</v>
      </c>
      <c r="J996">
        <v>-277.1463</v>
      </c>
      <c r="K996">
        <v>1.0778129999999999</v>
      </c>
      <c r="L996">
        <v>367.97669999999999</v>
      </c>
      <c r="M996">
        <v>0.99992130000000001</v>
      </c>
      <c r="N996">
        <v>-7.0556960000000002E-3</v>
      </c>
      <c r="O996">
        <v>1.038465E-2</v>
      </c>
      <c r="P996">
        <v>0.95230049999999999</v>
      </c>
      <c r="Q996">
        <v>0.30019359999999901</v>
      </c>
      <c r="R996">
        <v>5.4841910000000001E-2</v>
      </c>
      <c r="S996">
        <v>3.2444760000000001</v>
      </c>
      <c r="T996">
        <v>-0.26012420000000003</v>
      </c>
      <c r="U996">
        <v>-0.21749879999999999</v>
      </c>
      <c r="V996">
        <v>-4.4855350000000002E-2</v>
      </c>
      <c r="W996">
        <v>0.3069229</v>
      </c>
      <c r="X996">
        <v>0.95067679999999999</v>
      </c>
      <c r="Y996">
        <v>7.6949340000000005E-2</v>
      </c>
      <c r="Z996">
        <v>-4.1058589999999999E-3</v>
      </c>
      <c r="AA996">
        <v>0.99702659999999999</v>
      </c>
      <c r="AB996">
        <v>35</v>
      </c>
      <c r="AC996">
        <v>0.832600000000013</v>
      </c>
      <c r="AD996">
        <v>-8.3186099999999902E-2</v>
      </c>
      <c r="AE996">
        <v>-7.0299999999974702E-2</v>
      </c>
      <c r="AF996">
        <v>7.8167914214369194E-2</v>
      </c>
      <c r="AG996">
        <v>-8.3186099999999902E-2</v>
      </c>
      <c r="AH996">
        <v>0.82366124670073604</v>
      </c>
      <c r="AI996">
        <v>95.741438290822799</v>
      </c>
      <c r="AJ996">
        <v>84.578696158871594</v>
      </c>
      <c r="AK996">
        <v>0.83153352269312997</v>
      </c>
      <c r="AL996">
        <v>72.126112790015995</v>
      </c>
      <c r="AM996">
        <v>92.701357249410705</v>
      </c>
      <c r="AN996">
        <v>1.0000000235131301</v>
      </c>
    </row>
    <row r="997" spans="1:40" x14ac:dyDescent="0.25">
      <c r="A997" t="str">
        <f>"20190304164351397"</f>
        <v>20190304164351397</v>
      </c>
      <c r="B997" t="str">
        <f>"1551689031390846"</f>
        <v>1551689031390846</v>
      </c>
      <c r="C997" t="s">
        <v>40</v>
      </c>
      <c r="D997">
        <v>4.9368660000000002</v>
      </c>
      <c r="E997">
        <v>0.56128990000000001</v>
      </c>
      <c r="F997" t="s">
        <v>41</v>
      </c>
      <c r="G997">
        <v>-276.30619999999999</v>
      </c>
      <c r="H997">
        <v>1.010381</v>
      </c>
      <c r="I997">
        <v>367.92059999999998</v>
      </c>
      <c r="J997">
        <v>-276.9796</v>
      </c>
      <c r="K997">
        <v>1.079256</v>
      </c>
      <c r="L997">
        <v>367.97840000000002</v>
      </c>
      <c r="M997">
        <v>0.99992289999999995</v>
      </c>
      <c r="N997">
        <v>-6.9573469999999896E-3</v>
      </c>
      <c r="O997">
        <v>1.03053E-2</v>
      </c>
      <c r="P997">
        <v>0.95224569999999997</v>
      </c>
      <c r="Q997">
        <v>0.3003344</v>
      </c>
      <c r="R997">
        <v>5.5023460000000003E-2</v>
      </c>
      <c r="S997">
        <v>3.2448429999999999</v>
      </c>
      <c r="T997">
        <v>-0.26061479999999998</v>
      </c>
      <c r="U997">
        <v>-0.21621699999999999</v>
      </c>
      <c r="V997">
        <v>-4.5111209999999999E-2</v>
      </c>
      <c r="W997">
        <v>0.30696960000000001</v>
      </c>
      <c r="X997">
        <v>0.95064959999999998</v>
      </c>
      <c r="Y997">
        <v>7.6471689999999995E-2</v>
      </c>
      <c r="Z997">
        <v>-4.0834340000000004E-3</v>
      </c>
      <c r="AA997">
        <v>0.99706340000000004</v>
      </c>
      <c r="AB997">
        <v>35</v>
      </c>
      <c r="AC997">
        <v>0.67340000000001499</v>
      </c>
      <c r="AD997">
        <v>-6.8875000000000006E-2</v>
      </c>
      <c r="AE997">
        <v>-5.78000000000429E-2</v>
      </c>
      <c r="AF997">
        <v>6.4071331984023303E-2</v>
      </c>
      <c r="AG997">
        <v>-6.8875000000000006E-2</v>
      </c>
      <c r="AH997">
        <v>0.66585396240508998</v>
      </c>
      <c r="AI997">
        <v>95.878631164844904</v>
      </c>
      <c r="AJ997">
        <v>84.503675694589305</v>
      </c>
      <c r="AK997">
        <v>0.67246591025699198</v>
      </c>
      <c r="AL997">
        <v>72.123301097711504</v>
      </c>
      <c r="AM997">
        <v>92.716820692358098</v>
      </c>
      <c r="AN997">
        <v>1.00000000928599</v>
      </c>
    </row>
    <row r="998" spans="1:40" x14ac:dyDescent="0.25">
      <c r="A998" t="str">
        <f>"20190304164351407"</f>
        <v>20190304164351407</v>
      </c>
      <c r="B998" t="str">
        <f>"1551689031400606"</f>
        <v>1551689031400606</v>
      </c>
      <c r="C998" t="s">
        <v>40</v>
      </c>
      <c r="D998">
        <v>4.9548220000000001</v>
      </c>
      <c r="E998">
        <v>0.56127569999999904</v>
      </c>
      <c r="F998" t="s">
        <v>41</v>
      </c>
      <c r="G998">
        <v>-275.99979999999999</v>
      </c>
      <c r="H998">
        <v>1.000265</v>
      </c>
      <c r="I998">
        <v>367.91289999999998</v>
      </c>
      <c r="J998">
        <v>-276.81229999999999</v>
      </c>
      <c r="K998">
        <v>1.0807420000000001</v>
      </c>
      <c r="L998">
        <v>367.98009999999999</v>
      </c>
      <c r="M998">
        <v>0.99992389999999998</v>
      </c>
      <c r="N998">
        <v>-6.9106369999999999E-3</v>
      </c>
      <c r="O998">
        <v>1.022851E-2</v>
      </c>
      <c r="P998">
        <v>0.95222010000000001</v>
      </c>
      <c r="Q998">
        <v>0.30034179999999999</v>
      </c>
      <c r="R998">
        <v>5.5425450000000001E-2</v>
      </c>
      <c r="S998">
        <v>3.2455440000000002</v>
      </c>
      <c r="T998">
        <v>-0.26178879999999999</v>
      </c>
      <c r="U998">
        <v>-0.21640010000000001</v>
      </c>
      <c r="V998">
        <v>-4.5585920000000002E-2</v>
      </c>
      <c r="W998">
        <v>0.30693330000000002</v>
      </c>
      <c r="X998">
        <v>0.95063869999999895</v>
      </c>
      <c r="Y998">
        <v>7.6434810000000006E-2</v>
      </c>
      <c r="Z998">
        <v>-4.0914810000000001E-3</v>
      </c>
      <c r="AA998">
        <v>0.99706620000000001</v>
      </c>
      <c r="AB998">
        <v>35</v>
      </c>
      <c r="AC998">
        <v>0.8125</v>
      </c>
      <c r="AD998">
        <v>-8.0477000000000104E-2</v>
      </c>
      <c r="AE998">
        <v>-6.7200000000013901E-2</v>
      </c>
      <c r="AF998">
        <v>7.4778704735447801E-2</v>
      </c>
      <c r="AG998">
        <v>-8.0477000000000104E-2</v>
      </c>
      <c r="AH998">
        <v>0.80393658465054996</v>
      </c>
      <c r="AI998">
        <v>95.692065718193604</v>
      </c>
      <c r="AJ998">
        <v>84.685884906264803</v>
      </c>
      <c r="AK998">
        <v>0.81140768689389597</v>
      </c>
      <c r="AL998">
        <v>72.125486857144793</v>
      </c>
      <c r="AM998">
        <v>92.745398000055999</v>
      </c>
      <c r="AN998">
        <v>1.00000003234441</v>
      </c>
    </row>
    <row r="999" spans="1:40" x14ac:dyDescent="0.25">
      <c r="A999" t="str">
        <f>"20190304164351421"</f>
        <v>20190304164351421</v>
      </c>
      <c r="B999" t="str">
        <f>"1551689031410872"</f>
        <v>1551689031410872</v>
      </c>
      <c r="C999" t="s">
        <v>40</v>
      </c>
      <c r="D999">
        <v>4.9342930000000003</v>
      </c>
      <c r="E999">
        <v>0.56125999999999998</v>
      </c>
      <c r="F999" t="s">
        <v>41</v>
      </c>
      <c r="G999">
        <v>-275.99290000000002</v>
      </c>
      <c r="H999">
        <v>1.0146580000000001</v>
      </c>
      <c r="I999">
        <v>367.92540000000002</v>
      </c>
      <c r="J999">
        <v>-276.61649999999997</v>
      </c>
      <c r="K999">
        <v>1.0824800000000001</v>
      </c>
      <c r="L999">
        <v>367.98200000000003</v>
      </c>
      <c r="M999">
        <v>0.9999247</v>
      </c>
      <c r="N999">
        <v>-6.9216649999999996E-3</v>
      </c>
      <c r="O999">
        <v>1.0140069999999999E-2</v>
      </c>
      <c r="P999">
        <v>0.95226</v>
      </c>
      <c r="Q999">
        <v>0.300126</v>
      </c>
      <c r="R999">
        <v>5.5904860000000001E-2</v>
      </c>
      <c r="S999">
        <v>3.2457889999999998</v>
      </c>
      <c r="T999">
        <v>-0.26197160000000003</v>
      </c>
      <c r="U999">
        <v>-0.2161255</v>
      </c>
      <c r="V999">
        <v>-4.6148040000000001E-2</v>
      </c>
      <c r="W999">
        <v>0.30672870000000002</v>
      </c>
      <c r="X999">
        <v>0.95067760000000001</v>
      </c>
      <c r="Y999">
        <v>7.6258099999999995E-2</v>
      </c>
      <c r="Z999">
        <v>-4.0799870000000002E-3</v>
      </c>
      <c r="AA999">
        <v>0.99707979999999996</v>
      </c>
      <c r="AB999">
        <v>35</v>
      </c>
      <c r="AC999">
        <v>0.62359999999995297</v>
      </c>
      <c r="AD999">
        <v>-6.7821999999999799E-2</v>
      </c>
      <c r="AE999">
        <v>-5.65999999999462E-2</v>
      </c>
      <c r="AF999">
        <v>6.2190974446548503E-2</v>
      </c>
      <c r="AG999">
        <v>-6.7821999999999799E-2</v>
      </c>
      <c r="AH999">
        <v>0.61576988612150896</v>
      </c>
      <c r="AI999">
        <v>96.253764855796007</v>
      </c>
      <c r="AJ999">
        <v>84.232848327711395</v>
      </c>
      <c r="AK999">
        <v>0.622607495650917</v>
      </c>
      <c r="AL999">
        <v>72.1378034241622</v>
      </c>
      <c r="AM999">
        <v>92.779085208543606</v>
      </c>
      <c r="AN999">
        <v>1.0000000180706401</v>
      </c>
    </row>
    <row r="1000" spans="1:40" x14ac:dyDescent="0.25">
      <c r="A1000" t="str">
        <f>"20190304164351436"</f>
        <v>20190304164351436</v>
      </c>
      <c r="B1000" t="str">
        <f>"1551689031431368"</f>
        <v>1551689031431368</v>
      </c>
      <c r="C1000" t="s">
        <v>40</v>
      </c>
      <c r="D1000">
        <v>4.9566109999999997</v>
      </c>
      <c r="E1000">
        <v>0.56138009999999905</v>
      </c>
      <c r="F1000" t="s">
        <v>41</v>
      </c>
      <c r="G1000">
        <v>-275.68529999999998</v>
      </c>
      <c r="H1000">
        <v>1.0067189999999999</v>
      </c>
      <c r="I1000">
        <v>367.9203</v>
      </c>
      <c r="J1000">
        <v>-276.38679999999999</v>
      </c>
      <c r="K1000">
        <v>1.0845180000000001</v>
      </c>
      <c r="L1000">
        <v>367.98430000000002</v>
      </c>
      <c r="M1000">
        <v>0.99992510000000001</v>
      </c>
      <c r="N1000">
        <v>-7.0112819999999998E-3</v>
      </c>
      <c r="O1000">
        <v>1.003774E-2</v>
      </c>
      <c r="P1000">
        <v>0.95216060000000002</v>
      </c>
      <c r="Q1000">
        <v>0.30034349999999999</v>
      </c>
      <c r="R1000">
        <v>5.6429559999999997E-2</v>
      </c>
      <c r="S1000">
        <v>3.2463069999999998</v>
      </c>
      <c r="T1000">
        <v>-0.26428600000000002</v>
      </c>
      <c r="U1000">
        <v>-0.21490480000000001</v>
      </c>
      <c r="V1000">
        <v>-4.677017E-2</v>
      </c>
      <c r="W1000">
        <v>0.30703079999999999</v>
      </c>
      <c r="X1000">
        <v>0.95054970000000005</v>
      </c>
      <c r="Y1000">
        <v>7.5769039999999996E-2</v>
      </c>
      <c r="Z1000">
        <v>-4.0869870000000003E-3</v>
      </c>
      <c r="AA1000">
        <v>0.99711700000000003</v>
      </c>
      <c r="AB1000">
        <v>35</v>
      </c>
      <c r="AC1000">
        <v>0.70150000000001</v>
      </c>
      <c r="AD1000">
        <v>-7.7798999999999896E-2</v>
      </c>
      <c r="AE1000">
        <v>-6.4000000000021304E-2</v>
      </c>
      <c r="AF1000">
        <v>7.0182330536082499E-2</v>
      </c>
      <c r="AG1000">
        <v>-7.7798999999999896E-2</v>
      </c>
      <c r="AH1000">
        <v>0.69237653589716697</v>
      </c>
      <c r="AI1000">
        <v>96.378742640937702</v>
      </c>
      <c r="AJ1000">
        <v>84.212017137101995</v>
      </c>
      <c r="AK1000">
        <v>0.70025960284842703</v>
      </c>
      <c r="AL1000">
        <v>72.1196173621437</v>
      </c>
      <c r="AM1000">
        <v>92.816868988241296</v>
      </c>
      <c r="AN1000">
        <v>1.0000000465602701</v>
      </c>
    </row>
    <row r="1001" spans="1:40" x14ac:dyDescent="0.25">
      <c r="A1001" t="str">
        <f>"20190304164351449"</f>
        <v>20190304164351449</v>
      </c>
      <c r="B1001" t="str">
        <f>"1551689031441129"</f>
        <v>1551689031441129</v>
      </c>
      <c r="C1001" t="s">
        <v>40</v>
      </c>
      <c r="D1001">
        <v>4.964251</v>
      </c>
      <c r="E1001">
        <v>0.56144850000000002</v>
      </c>
      <c r="F1001" t="s">
        <v>41</v>
      </c>
      <c r="G1001">
        <v>-275.37610000000001</v>
      </c>
      <c r="H1001">
        <v>1.002041</v>
      </c>
      <c r="I1001">
        <v>367.9171</v>
      </c>
      <c r="J1001">
        <v>-276.14670000000001</v>
      </c>
      <c r="K1001">
        <v>1.0866100000000001</v>
      </c>
      <c r="L1001">
        <v>367.98660000000001</v>
      </c>
      <c r="M1001">
        <v>0.9999247</v>
      </c>
      <c r="N1001">
        <v>-7.2144540000000004E-3</v>
      </c>
      <c r="O1001">
        <v>9.9312859999999992E-3</v>
      </c>
      <c r="P1001">
        <v>0.95229359999999996</v>
      </c>
      <c r="Q1001">
        <v>0.29982920000000002</v>
      </c>
      <c r="R1001">
        <v>5.6916649999999999E-2</v>
      </c>
      <c r="S1001">
        <v>3.2470699999999999</v>
      </c>
      <c r="T1001">
        <v>-0.26503710000000003</v>
      </c>
      <c r="U1001">
        <v>-0.2153931</v>
      </c>
      <c r="V1001">
        <v>-4.7355920000000003E-2</v>
      </c>
      <c r="W1001">
        <v>0.30671090000000001</v>
      </c>
      <c r="X1001">
        <v>0.95062389999999997</v>
      </c>
      <c r="Y1001">
        <v>7.5794940000000005E-2</v>
      </c>
      <c r="Z1001">
        <v>-4.0960140000000003E-3</v>
      </c>
      <c r="AA1001">
        <v>0.99711499999999997</v>
      </c>
      <c r="AB1001">
        <v>35</v>
      </c>
      <c r="AC1001">
        <v>0.77060000000000095</v>
      </c>
      <c r="AD1001">
        <v>-8.4569000000000102E-2</v>
      </c>
      <c r="AE1001">
        <v>-6.9500000000005002E-2</v>
      </c>
      <c r="AF1001">
        <v>7.6239019458237897E-2</v>
      </c>
      <c r="AG1001">
        <v>-8.4569000000000102E-2</v>
      </c>
      <c r="AH1001">
        <v>0.76078294657627499</v>
      </c>
      <c r="AI1001">
        <v>96.311630606241593</v>
      </c>
      <c r="AJ1001">
        <v>84.277422517720694</v>
      </c>
      <c r="AK1001">
        <v>0.76925613136993098</v>
      </c>
      <c r="AL1001">
        <v>72.138874220117401</v>
      </c>
      <c r="AM1001">
        <v>92.851867340332603</v>
      </c>
      <c r="AN1001">
        <v>0.99999997929453299</v>
      </c>
    </row>
    <row r="1002" spans="1:40" x14ac:dyDescent="0.25">
      <c r="A1002" t="str">
        <f>"20190304164351464"</f>
        <v>20190304164351464</v>
      </c>
      <c r="B1002" t="str">
        <f>"1551689031450889"</f>
        <v>1551689031450889</v>
      </c>
      <c r="C1002" t="s">
        <v>40</v>
      </c>
      <c r="D1002">
        <v>4.9723069999999998</v>
      </c>
      <c r="E1002">
        <v>0.56142619999999999</v>
      </c>
      <c r="F1002" t="s">
        <v>41</v>
      </c>
      <c r="G1002">
        <v>-275.36630000000002</v>
      </c>
      <c r="H1002">
        <v>1.022391</v>
      </c>
      <c r="I1002">
        <v>367.935</v>
      </c>
      <c r="J1002">
        <v>-275.93329999999997</v>
      </c>
      <c r="K1002">
        <v>1.0883989999999999</v>
      </c>
      <c r="L1002">
        <v>367.98860000000002</v>
      </c>
      <c r="M1002">
        <v>0.99992400000000004</v>
      </c>
      <c r="N1002">
        <v>-7.4494359999999898E-3</v>
      </c>
      <c r="O1002">
        <v>9.8370720000000005E-3</v>
      </c>
      <c r="P1002">
        <v>0.95234940000000001</v>
      </c>
      <c r="Q1002">
        <v>0.29946309999999998</v>
      </c>
      <c r="R1002">
        <v>5.7902080000000002E-2</v>
      </c>
      <c r="S1002">
        <v>3.2472840000000001</v>
      </c>
      <c r="T1002">
        <v>-0.26731480000000002</v>
      </c>
      <c r="U1002">
        <v>-0.2145996</v>
      </c>
      <c r="V1002">
        <v>-4.8428440000000003E-2</v>
      </c>
      <c r="W1002">
        <v>0.30656929999999999</v>
      </c>
      <c r="X1002">
        <v>0.95061560000000001</v>
      </c>
      <c r="Y1002">
        <v>7.5450089999999997E-2</v>
      </c>
      <c r="Z1002">
        <v>-4.1132690000000001E-3</v>
      </c>
      <c r="AA1002">
        <v>0.9971411</v>
      </c>
      <c r="AB1002">
        <v>35</v>
      </c>
      <c r="AC1002">
        <v>0.56699999999994999</v>
      </c>
      <c r="AD1002">
        <v>-6.6007999999999803E-2</v>
      </c>
      <c r="AE1002">
        <v>-5.3600000000017099E-2</v>
      </c>
      <c r="AF1002">
        <v>5.8390833854479497E-2</v>
      </c>
      <c r="AG1002">
        <v>-6.6007999999999803E-2</v>
      </c>
      <c r="AH1002">
        <v>0.55893724755336704</v>
      </c>
      <c r="AI1002">
        <v>96.699059350578594</v>
      </c>
      <c r="AJ1002">
        <v>84.036080240567699</v>
      </c>
      <c r="AK1002">
        <v>0.56584219729952601</v>
      </c>
      <c r="AL1002">
        <v>72.147398941570998</v>
      </c>
      <c r="AM1002">
        <v>92.916371769950899</v>
      </c>
      <c r="AN1002">
        <v>1.0000000342333399</v>
      </c>
    </row>
    <row r="1003" spans="1:40" x14ac:dyDescent="0.25">
      <c r="A1003" t="str">
        <f>"20190304164351479"</f>
        <v>20190304164351479</v>
      </c>
      <c r="B1003" t="str">
        <f>"1551689031471384"</f>
        <v>1551689031471384</v>
      </c>
      <c r="C1003" t="s">
        <v>40</v>
      </c>
      <c r="D1003">
        <v>4.9260489999999999</v>
      </c>
      <c r="E1003">
        <v>0.5614635</v>
      </c>
      <c r="F1003" t="s">
        <v>41</v>
      </c>
      <c r="G1003">
        <v>-275.05779999999999</v>
      </c>
      <c r="H1003">
        <v>1.01627</v>
      </c>
      <c r="I1003">
        <v>367.93119999999999</v>
      </c>
      <c r="J1003">
        <v>-275.71030000000002</v>
      </c>
      <c r="K1003">
        <v>1.090217</v>
      </c>
      <c r="L1003">
        <v>367.99079999999998</v>
      </c>
      <c r="M1003">
        <v>0.9999228</v>
      </c>
      <c r="N1003">
        <v>-7.7263999999999996E-3</v>
      </c>
      <c r="O1003">
        <v>9.7384789999999995E-3</v>
      </c>
      <c r="P1003">
        <v>0.95234969999999997</v>
      </c>
      <c r="Q1003">
        <v>0.29933539999999997</v>
      </c>
      <c r="R1003">
        <v>5.8550560000000001E-2</v>
      </c>
      <c r="S1003">
        <v>3.247223</v>
      </c>
      <c r="T1003">
        <v>-0.26780029999999999</v>
      </c>
      <c r="U1003">
        <v>-0.21215819999999999</v>
      </c>
      <c r="V1003">
        <v>-4.9168179999999999E-2</v>
      </c>
      <c r="W1003">
        <v>0.30670589999999998</v>
      </c>
      <c r="X1003">
        <v>0.95053350000000003</v>
      </c>
      <c r="Y1003">
        <v>7.4608140000000003E-2</v>
      </c>
      <c r="Z1003">
        <v>-4.0830270000000004E-3</v>
      </c>
      <c r="AA1003">
        <v>0.99720450000000005</v>
      </c>
      <c r="AB1003">
        <v>35</v>
      </c>
      <c r="AC1003">
        <v>0.65250000000003106</v>
      </c>
      <c r="AD1003">
        <v>-7.3946999999999902E-2</v>
      </c>
      <c r="AE1003">
        <v>-5.9599999999989002E-2</v>
      </c>
      <c r="AF1003">
        <v>6.5122249540850996E-2</v>
      </c>
      <c r="AG1003">
        <v>-7.3946999999999902E-2</v>
      </c>
      <c r="AH1003">
        <v>0.64368986178279897</v>
      </c>
      <c r="AI1003">
        <v>96.520406764574801</v>
      </c>
      <c r="AJ1003">
        <v>84.2230293575535</v>
      </c>
      <c r="AK1003">
        <v>0.65118791785184404</v>
      </c>
      <c r="AL1003">
        <v>72.139175159780294</v>
      </c>
      <c r="AM1003">
        <v>92.961095692050904</v>
      </c>
      <c r="AN1003">
        <v>0.99999997682078601</v>
      </c>
    </row>
    <row r="1004" spans="1:40" x14ac:dyDescent="0.25">
      <c r="A1004" t="str">
        <f>"20190304164351492"</f>
        <v>20190304164351492</v>
      </c>
      <c r="B1004" t="str">
        <f>"1551689031481145"</f>
        <v>1551689031481145</v>
      </c>
      <c r="C1004" t="s">
        <v>40</v>
      </c>
      <c r="D1004">
        <v>4.9664789999999996</v>
      </c>
      <c r="E1004">
        <v>0.56144229999999995</v>
      </c>
      <c r="F1004" t="s">
        <v>41</v>
      </c>
      <c r="G1004">
        <v>-274.74950000000001</v>
      </c>
      <c r="H1004">
        <v>1.0104059999999999</v>
      </c>
      <c r="I1004">
        <v>367.9282</v>
      </c>
      <c r="J1004">
        <v>-275.4966</v>
      </c>
      <c r="K1004">
        <v>1.0918749999999999</v>
      </c>
      <c r="L1004">
        <v>367.99279999999999</v>
      </c>
      <c r="M1004">
        <v>0.99992150000000002</v>
      </c>
      <c r="N1004">
        <v>-8.0191710000000003E-3</v>
      </c>
      <c r="O1004">
        <v>9.6425729999999998E-3</v>
      </c>
      <c r="P1004">
        <v>0.95235930000000002</v>
      </c>
      <c r="Q1004">
        <v>0.29916769999999998</v>
      </c>
      <c r="R1004">
        <v>5.925134E-2</v>
      </c>
      <c r="S1004">
        <v>3.247925</v>
      </c>
      <c r="T1004">
        <v>-0.27002910000000002</v>
      </c>
      <c r="U1004">
        <v>-0.2107849</v>
      </c>
      <c r="V1004">
        <v>-4.9957660000000001E-2</v>
      </c>
      <c r="W1004">
        <v>0.30681720000000001</v>
      </c>
      <c r="X1004">
        <v>0.95045639999999998</v>
      </c>
      <c r="Y1004">
        <v>7.4075429999999998E-2</v>
      </c>
      <c r="Z1004">
        <v>-4.0910369999999996E-3</v>
      </c>
      <c r="AA1004">
        <v>0.99724420000000003</v>
      </c>
      <c r="AB1004">
        <v>35</v>
      </c>
      <c r="AC1004">
        <v>0.747099999999989</v>
      </c>
      <c r="AD1004">
        <v>-8.1469E-2</v>
      </c>
      <c r="AE1004">
        <v>-6.4599999999984406E-2</v>
      </c>
      <c r="AF1004">
        <v>7.0963610095127402E-2</v>
      </c>
      <c r="AG1004">
        <v>-8.1469E-2</v>
      </c>
      <c r="AH1004">
        <v>0.73773485201698596</v>
      </c>
      <c r="AI1004">
        <v>96.272990168606697</v>
      </c>
      <c r="AJ1004">
        <v>84.505554115749405</v>
      </c>
      <c r="AK1004">
        <v>0.74560428096897202</v>
      </c>
      <c r="AL1004">
        <v>72.132474890148202</v>
      </c>
      <c r="AM1004">
        <v>93.008798137820804</v>
      </c>
      <c r="AN1004">
        <v>0.99999996515473699</v>
      </c>
    </row>
    <row r="1005" spans="1:40" x14ac:dyDescent="0.25">
      <c r="A1005" t="str">
        <f>"20190304164351507"</f>
        <v>20190304164351507</v>
      </c>
      <c r="B1005" t="str">
        <f>"1551689031500664"</f>
        <v>1551689031500664</v>
      </c>
      <c r="C1005" t="s">
        <v>40</v>
      </c>
      <c r="D1005">
        <v>4.8985760000000003</v>
      </c>
      <c r="E1005">
        <v>0.56146649999999998</v>
      </c>
      <c r="F1005" t="s">
        <v>41</v>
      </c>
      <c r="G1005">
        <v>-274.7405</v>
      </c>
      <c r="H1005">
        <v>1.0289109999999999</v>
      </c>
      <c r="I1005">
        <v>367.94389999999999</v>
      </c>
      <c r="J1005">
        <v>-275.27769999999998</v>
      </c>
      <c r="K1005">
        <v>1.0934549999999901</v>
      </c>
      <c r="L1005">
        <v>367.9948</v>
      </c>
      <c r="M1005">
        <v>0.99991969999999997</v>
      </c>
      <c r="N1005">
        <v>-8.3379470000000001E-3</v>
      </c>
      <c r="O1005">
        <v>9.5428639999999999E-3</v>
      </c>
      <c r="P1005">
        <v>0.95238800000000001</v>
      </c>
      <c r="Q1005">
        <v>0.29891319999999999</v>
      </c>
      <c r="R1005">
        <v>6.0064670000000001E-2</v>
      </c>
      <c r="S1005">
        <v>3.248138</v>
      </c>
      <c r="T1005">
        <v>-0.27080359999999998</v>
      </c>
      <c r="U1005">
        <v>-0.20907590000000001</v>
      </c>
      <c r="V1005">
        <v>-5.086185E-2</v>
      </c>
      <c r="W1005">
        <v>0.306867</v>
      </c>
      <c r="X1005">
        <v>0.95039240000000003</v>
      </c>
      <c r="Y1005">
        <v>7.3449479999999998E-2</v>
      </c>
      <c r="Z1005">
        <v>-4.0745859999999998E-3</v>
      </c>
      <c r="AA1005">
        <v>0.99729060000000003</v>
      </c>
      <c r="AB1005">
        <v>35</v>
      </c>
      <c r="AC1005">
        <v>0.53719999999998402</v>
      </c>
      <c r="AD1005">
        <v>-6.4543999999999699E-2</v>
      </c>
      <c r="AE1005">
        <v>-5.0900000000012803E-2</v>
      </c>
      <c r="AF1005">
        <v>5.52340360660604E-2</v>
      </c>
      <c r="AG1005">
        <v>-6.4543999999999699E-2</v>
      </c>
      <c r="AH1005">
        <v>0.52911950829866095</v>
      </c>
      <c r="AI1005">
        <v>96.917574896878094</v>
      </c>
      <c r="AJ1005">
        <v>84.040558810522</v>
      </c>
      <c r="AK1005">
        <v>0.53589568083570405</v>
      </c>
      <c r="AL1005">
        <v>72.129477560607896</v>
      </c>
      <c r="AM1005">
        <v>93.063357850365307</v>
      </c>
      <c r="AN1005">
        <v>0.99999999872609102</v>
      </c>
    </row>
    <row r="1006" spans="1:40" x14ac:dyDescent="0.25">
      <c r="A1006" t="str">
        <f>"20190304164351519"</f>
        <v>20190304164351519</v>
      </c>
      <c r="B1006" t="str">
        <f>"1551689031510933"</f>
        <v>1551689031510933</v>
      </c>
      <c r="C1006" t="s">
        <v>40</v>
      </c>
      <c r="D1006">
        <v>5.0360969999999998</v>
      </c>
      <c r="E1006">
        <v>0.56044659999999902</v>
      </c>
      <c r="F1006" t="s">
        <v>41</v>
      </c>
      <c r="G1006">
        <v>-274.4325</v>
      </c>
      <c r="H1006">
        <v>1.022537</v>
      </c>
      <c r="I1006">
        <v>367.94060000000002</v>
      </c>
      <c r="J1006">
        <v>-275.0752</v>
      </c>
      <c r="K1006">
        <v>1.094854</v>
      </c>
      <c r="L1006">
        <v>367.99669999999998</v>
      </c>
      <c r="M1006">
        <v>0.99991819999999998</v>
      </c>
      <c r="N1006">
        <v>-8.6361600000000004E-3</v>
      </c>
      <c r="O1006">
        <v>9.4481989999999991E-3</v>
      </c>
      <c r="P1006">
        <v>0.95250509999999999</v>
      </c>
      <c r="Q1006">
        <v>0.29810360000000002</v>
      </c>
      <c r="R1006">
        <v>6.2196050000000003E-2</v>
      </c>
      <c r="S1006">
        <v>3.248688</v>
      </c>
      <c r="T1006">
        <v>-0.27275749999999999</v>
      </c>
      <c r="U1006">
        <v>-0.20773320000000001</v>
      </c>
      <c r="V1006">
        <v>-5.3078559999999997E-2</v>
      </c>
      <c r="W1006">
        <v>0.30634329999999999</v>
      </c>
      <c r="X1006">
        <v>0.95044019999999996</v>
      </c>
      <c r="Y1006">
        <v>7.2931129999999997E-2</v>
      </c>
      <c r="Z1006">
        <v>-4.0787389999999996E-3</v>
      </c>
      <c r="AA1006">
        <v>0.99732860000000001</v>
      </c>
      <c r="AB1006">
        <v>35</v>
      </c>
      <c r="AC1006">
        <v>0.64269999999998995</v>
      </c>
      <c r="AD1006">
        <v>-7.2316999999999895E-2</v>
      </c>
      <c r="AE1006">
        <v>-5.6099999999958003E-2</v>
      </c>
      <c r="AF1006">
        <v>6.1398596213749997E-2</v>
      </c>
      <c r="AG1006">
        <v>-7.2316999999999895E-2</v>
      </c>
      <c r="AH1006">
        <v>0.63417276945551104</v>
      </c>
      <c r="AI1006">
        <v>96.475522754717005</v>
      </c>
      <c r="AJ1006">
        <v>84.470039724748105</v>
      </c>
      <c r="AK1006">
        <v>0.64122900560165896</v>
      </c>
      <c r="AL1006">
        <v>72.161002836426306</v>
      </c>
      <c r="AM1006">
        <v>93.196436511563704</v>
      </c>
      <c r="AN1006">
        <v>1.0000000623812999</v>
      </c>
    </row>
    <row r="1007" spans="1:40" x14ac:dyDescent="0.25">
      <c r="A1007" t="str">
        <f>"20190304164351531"</f>
        <v>20190304164351531</v>
      </c>
      <c r="B1007" t="str">
        <f>"1551689031520694"</f>
        <v>1551689031520694</v>
      </c>
      <c r="C1007" t="s">
        <v>40</v>
      </c>
      <c r="D1007">
        <v>4.9469310000000002</v>
      </c>
      <c r="E1007">
        <v>0.56044659999999902</v>
      </c>
      <c r="F1007" t="s">
        <v>41</v>
      </c>
      <c r="G1007">
        <v>-274.12479999999999</v>
      </c>
      <c r="H1007">
        <v>1.015854</v>
      </c>
      <c r="I1007">
        <v>367.93950000000001</v>
      </c>
      <c r="J1007">
        <v>-274.8852</v>
      </c>
      <c r="K1007">
        <v>1.09609</v>
      </c>
      <c r="L1007">
        <v>367.99849999999998</v>
      </c>
      <c r="M1007">
        <v>0.99991660000000004</v>
      </c>
      <c r="N1007">
        <v>-8.9176169999999992E-3</v>
      </c>
      <c r="O1007">
        <v>9.35654E-3</v>
      </c>
      <c r="P1007">
        <v>0.95236750000000003</v>
      </c>
      <c r="Q1007">
        <v>0.298344</v>
      </c>
      <c r="R1007">
        <v>6.3145240000000005E-2</v>
      </c>
      <c r="S1007">
        <v>3.2468569999999999</v>
      </c>
      <c r="T1007">
        <v>-0.2701055</v>
      </c>
      <c r="U1007">
        <v>-0.1949158</v>
      </c>
      <c r="V1007">
        <v>-5.4112050000000002E-2</v>
      </c>
      <c r="W1007">
        <v>0.30685109999999999</v>
      </c>
      <c r="X1007">
        <v>0.95021800000000001</v>
      </c>
      <c r="Y1007">
        <v>6.8973019999999996E-2</v>
      </c>
      <c r="Z1007">
        <v>-3.8629699999999999E-3</v>
      </c>
      <c r="AA1007">
        <v>0.99761100000000003</v>
      </c>
      <c r="AB1007">
        <v>35</v>
      </c>
      <c r="AC1007">
        <v>0.76040000000000396</v>
      </c>
      <c r="AD1007">
        <v>-8.0235999999999905E-2</v>
      </c>
      <c r="AE1007">
        <v>-5.8999999999969001E-2</v>
      </c>
      <c r="AF1007">
        <v>6.5388725660764896E-2</v>
      </c>
      <c r="AG1007">
        <v>-8.0235999999999905E-2</v>
      </c>
      <c r="AH1007">
        <v>0.75149749341348004</v>
      </c>
      <c r="AI1007">
        <v>96.071509551518304</v>
      </c>
      <c r="AJ1007">
        <v>85.027147923748302</v>
      </c>
      <c r="AK1007">
        <v>0.758592106303699</v>
      </c>
      <c r="AL1007">
        <v>72.130434388099104</v>
      </c>
      <c r="AM1007">
        <v>93.259301665944804</v>
      </c>
      <c r="AN1007">
        <v>0.99999997952520603</v>
      </c>
    </row>
    <row r="1008" spans="1:40" x14ac:dyDescent="0.25">
      <c r="A1008" t="str">
        <f>"20190304164351544"</f>
        <v>20190304164351544</v>
      </c>
      <c r="B1008" t="str">
        <f>"1551689031530453"</f>
        <v>1551689031530453</v>
      </c>
      <c r="C1008" t="s">
        <v>40</v>
      </c>
      <c r="D1008">
        <v>4.9444569999999999</v>
      </c>
      <c r="E1008">
        <v>0.52212970000000003</v>
      </c>
      <c r="F1008" t="s">
        <v>41</v>
      </c>
      <c r="G1008">
        <v>-274.11669999999998</v>
      </c>
      <c r="H1008">
        <v>1.0325169999999999</v>
      </c>
      <c r="I1008">
        <v>367.95260000000002</v>
      </c>
      <c r="J1008">
        <v>-274.70620000000002</v>
      </c>
      <c r="K1008">
        <v>1.0971630000000001</v>
      </c>
      <c r="L1008">
        <v>368.00009999999997</v>
      </c>
      <c r="M1008">
        <v>0.999915</v>
      </c>
      <c r="N1008">
        <v>-9.1761429999999995E-3</v>
      </c>
      <c r="O1008">
        <v>9.2652979999999999E-3</v>
      </c>
      <c r="P1008">
        <v>0.95229580000000003</v>
      </c>
      <c r="Q1008">
        <v>0.298384599999999</v>
      </c>
      <c r="R1008">
        <v>6.402774E-2</v>
      </c>
      <c r="S1008">
        <v>3.2471009999999998</v>
      </c>
      <c r="T1008">
        <v>-0.26894069999999998</v>
      </c>
      <c r="U1008">
        <v>-0.19290160000000001</v>
      </c>
      <c r="V1008">
        <v>-5.5077670000000002E-2</v>
      </c>
      <c r="W1008">
        <v>0.30713750000000001</v>
      </c>
      <c r="X1008">
        <v>0.95006999999999997</v>
      </c>
      <c r="Y1008">
        <v>6.8265679999999995E-2</v>
      </c>
      <c r="Z1008">
        <v>-3.8144720000000002E-3</v>
      </c>
      <c r="AA1008">
        <v>0.99765990000000004</v>
      </c>
      <c r="AB1008">
        <v>35</v>
      </c>
      <c r="AC1008">
        <v>0.58950000000004299</v>
      </c>
      <c r="AD1008">
        <v>-6.4645999999999898E-2</v>
      </c>
      <c r="AE1008">
        <v>-4.7499999999956799E-2</v>
      </c>
      <c r="AF1008">
        <v>5.2334773816435698E-2</v>
      </c>
      <c r="AG1008">
        <v>-6.4645999999999898E-2</v>
      </c>
      <c r="AH1008">
        <v>0.58207972715267398</v>
      </c>
      <c r="AI1008">
        <v>96.312066262315696</v>
      </c>
      <c r="AJ1008">
        <v>84.862352081473801</v>
      </c>
      <c r="AK1008">
        <v>0.58799221306795302</v>
      </c>
      <c r="AL1008">
        <v>72.113192643340696</v>
      </c>
      <c r="AM1008">
        <v>93.317850184448901</v>
      </c>
      <c r="AN1008">
        <v>0.99999999926943905</v>
      </c>
    </row>
    <row r="1009" spans="1:40" x14ac:dyDescent="0.25">
      <c r="A1009" t="str">
        <f>"20190304164351555"</f>
        <v>20190304164351555</v>
      </c>
      <c r="B1009" t="str">
        <f>"1551689031541188"</f>
        <v>1551689031541188</v>
      </c>
      <c r="C1009" t="s">
        <v>40</v>
      </c>
      <c r="D1009">
        <v>4.9493229999999997</v>
      </c>
      <c r="E1009">
        <v>0.52148359999999905</v>
      </c>
      <c r="F1009" t="s">
        <v>42</v>
      </c>
      <c r="G1009">
        <v>-258.13159999999999</v>
      </c>
      <c r="H1009" s="1">
        <v>-9.6887200000000002E-7</v>
      </c>
      <c r="I1009">
        <v>368.57350000000002</v>
      </c>
      <c r="J1009">
        <v>-274.51900000000001</v>
      </c>
      <c r="K1009">
        <v>1.0982449999999999</v>
      </c>
      <c r="L1009">
        <v>368.00170000000003</v>
      </c>
      <c r="M1009">
        <v>0.99991339999999995</v>
      </c>
      <c r="N1009">
        <v>-9.4426030000000008E-3</v>
      </c>
      <c r="O1009">
        <v>9.167237E-3</v>
      </c>
      <c r="P1009">
        <v>0.95235250000000005</v>
      </c>
      <c r="Q1009">
        <v>0.2980332</v>
      </c>
      <c r="R1009">
        <v>6.4814479999999994E-2</v>
      </c>
      <c r="S1009">
        <v>3.2093509999999998</v>
      </c>
      <c r="T1009">
        <v>-0.2124432</v>
      </c>
      <c r="U1009">
        <v>0.11102289999999999</v>
      </c>
      <c r="V1009">
        <v>-5.5952460000000002E-2</v>
      </c>
      <c r="W1009">
        <v>0.30704130000000002</v>
      </c>
      <c r="X1009">
        <v>0.95004999999999995</v>
      </c>
      <c r="Y1009">
        <v>-2.5360649999999998E-2</v>
      </c>
      <c r="Z1009">
        <v>4.3864119999999999E-4</v>
      </c>
      <c r="AA1009">
        <v>0.99967830000000002</v>
      </c>
      <c r="AB1009">
        <v>35</v>
      </c>
      <c r="AC1009">
        <v>16.3874</v>
      </c>
      <c r="AD1009">
        <v>-1.0982459688719901</v>
      </c>
      <c r="AE1009">
        <v>0.57179999999999598</v>
      </c>
      <c r="AF1009">
        <v>-0.41965953853780202</v>
      </c>
      <c r="AG1009">
        <v>-1.0982459688719901</v>
      </c>
      <c r="AH1009">
        <v>16.3187489372907</v>
      </c>
      <c r="AI1009">
        <v>93.848911011660903</v>
      </c>
      <c r="AJ1009">
        <v>91.473116723559201</v>
      </c>
      <c r="AK1009">
        <v>16.361045969459202</v>
      </c>
      <c r="AL1009">
        <v>72.118984733571693</v>
      </c>
      <c r="AM1009">
        <v>93.370497330564902</v>
      </c>
      <c r="AN1009">
        <v>1.00000002009287</v>
      </c>
    </row>
    <row r="1010" spans="1:40" x14ac:dyDescent="0.25">
      <c r="A1010" t="str">
        <f>"20190304164351567"</f>
        <v>20190304164351567</v>
      </c>
      <c r="B1010" t="str">
        <f>"1551689031560710"</f>
        <v>1551689031560710</v>
      </c>
      <c r="C1010" t="s">
        <v>40</v>
      </c>
      <c r="D1010">
        <v>4.9414300000000004</v>
      </c>
      <c r="E1010">
        <v>0.52105879999999904</v>
      </c>
      <c r="F1010" t="s">
        <v>42</v>
      </c>
      <c r="G1010">
        <v>-258.15159999999997</v>
      </c>
      <c r="H1010" s="1">
        <v>-9.5446609999999998E-7</v>
      </c>
      <c r="I1010">
        <v>368.60599999999999</v>
      </c>
      <c r="J1010">
        <v>-274.32479999999998</v>
      </c>
      <c r="K1010">
        <v>1.0992550000000001</v>
      </c>
      <c r="L1010">
        <v>368.0034</v>
      </c>
      <c r="M1010">
        <v>0.99991200000000002</v>
      </c>
      <c r="N1010">
        <v>-9.6986309999999992E-3</v>
      </c>
      <c r="O1010">
        <v>9.0556419999999992E-3</v>
      </c>
      <c r="P1010">
        <v>0.95239779999999996</v>
      </c>
      <c r="Q1010">
        <v>0.297678</v>
      </c>
      <c r="R1010">
        <v>6.5775199999999895E-2</v>
      </c>
      <c r="S1010">
        <v>3.2094119999999999</v>
      </c>
      <c r="T1010">
        <v>-0.21534929999999999</v>
      </c>
      <c r="U1010">
        <v>0.1184998</v>
      </c>
      <c r="V1010">
        <v>-5.7012800000000002E-2</v>
      </c>
      <c r="W1010">
        <v>0.30693150000000002</v>
      </c>
      <c r="X1010">
        <v>0.95002240000000004</v>
      </c>
      <c r="Y1010">
        <v>-2.7789459999999998E-2</v>
      </c>
      <c r="Z1010">
        <v>5.4695790000000002E-4</v>
      </c>
      <c r="AA1010">
        <v>0.99961359999999999</v>
      </c>
      <c r="AB1010">
        <v>35</v>
      </c>
      <c r="AC1010">
        <v>16.173200000000001</v>
      </c>
      <c r="AD1010">
        <v>-1.09925595446609</v>
      </c>
      <c r="AE1010">
        <v>0.60259999999999503</v>
      </c>
      <c r="AF1010">
        <v>-0.45401522912131898</v>
      </c>
      <c r="AG1010">
        <v>-1.09925595446609</v>
      </c>
      <c r="AH1010">
        <v>16.103704198023301</v>
      </c>
      <c r="AI1010">
        <v>93.903466814539797</v>
      </c>
      <c r="AJ1010">
        <v>91.614924565050401</v>
      </c>
      <c r="AK1010">
        <v>16.147562738046101</v>
      </c>
      <c r="AL1010">
        <v>72.125594304220598</v>
      </c>
      <c r="AM1010">
        <v>93.434318794097095</v>
      </c>
      <c r="AN1010">
        <v>0.99999998277892499</v>
      </c>
    </row>
    <row r="1011" spans="1:40" x14ac:dyDescent="0.25">
      <c r="A1011" t="str">
        <f>"20190304164351578"</f>
        <v>20190304164351578</v>
      </c>
      <c r="B1011" t="str">
        <f>"1551689031570469"</f>
        <v>1551689031570469</v>
      </c>
      <c r="C1011" t="s">
        <v>40</v>
      </c>
      <c r="D1011">
        <v>4.9129630000000004</v>
      </c>
      <c r="E1011">
        <v>0.52105159999999995</v>
      </c>
      <c r="F1011" t="s">
        <v>42</v>
      </c>
      <c r="G1011">
        <v>-258.24</v>
      </c>
      <c r="H1011" s="1">
        <v>-9.1241909999999998E-7</v>
      </c>
      <c r="I1011">
        <v>368.62950000000001</v>
      </c>
      <c r="J1011">
        <v>-274.1524</v>
      </c>
      <c r="K1011">
        <v>1.1001000000000001</v>
      </c>
      <c r="L1011">
        <v>368.00490000000002</v>
      </c>
      <c r="M1011">
        <v>0.99991090000000005</v>
      </c>
      <c r="N1011">
        <v>-9.9162810000000007E-3</v>
      </c>
      <c r="O1011">
        <v>8.9530400000000007E-3</v>
      </c>
      <c r="P1011">
        <v>0.95251479999999999</v>
      </c>
      <c r="Q1011">
        <v>0.29709029999999997</v>
      </c>
      <c r="R1011">
        <v>6.6734180000000004E-2</v>
      </c>
      <c r="S1011">
        <v>3.2099000000000002</v>
      </c>
      <c r="T1011">
        <v>-0.2193669</v>
      </c>
      <c r="U1011">
        <v>0.12493899999999999</v>
      </c>
      <c r="V1011">
        <v>-5.8063940000000001E-2</v>
      </c>
      <c r="W1011">
        <v>0.30655300000000002</v>
      </c>
      <c r="X1011">
        <v>0.95008099999999995</v>
      </c>
      <c r="Y1011">
        <v>-2.9880810000000001E-2</v>
      </c>
      <c r="Z1011">
        <v>6.4565919999999999E-4</v>
      </c>
      <c r="AA1011">
        <v>0.99955329999999998</v>
      </c>
      <c r="AB1011">
        <v>35</v>
      </c>
      <c r="AC1011">
        <v>15.9123999999999</v>
      </c>
      <c r="AD1011">
        <v>-1.1001009124190999</v>
      </c>
      <c r="AE1011">
        <v>0.62459999999998606</v>
      </c>
      <c r="AF1011">
        <v>-0.47981382521802601</v>
      </c>
      <c r="AG1011">
        <v>-1.1001009124190999</v>
      </c>
      <c r="AH1011">
        <v>15.841753391065501</v>
      </c>
      <c r="AI1011">
        <v>93.970605901518994</v>
      </c>
      <c r="AJ1011">
        <v>91.734839864158204</v>
      </c>
      <c r="AK1011">
        <v>15.8871518475689</v>
      </c>
      <c r="AL1011">
        <v>72.148380114321995</v>
      </c>
      <c r="AM1011">
        <v>93.497266086943895</v>
      </c>
      <c r="AN1011">
        <v>1.00000003474916</v>
      </c>
    </row>
    <row r="1012" spans="1:40" x14ac:dyDescent="0.25">
      <c r="A1012" t="str">
        <f>"20190304164351589"</f>
        <v>20190304164351589</v>
      </c>
      <c r="B1012" t="str">
        <f>"1551689031581205"</f>
        <v>1551689031581205</v>
      </c>
      <c r="C1012" t="s">
        <v>40</v>
      </c>
      <c r="D1012">
        <v>4.8967619999999998</v>
      </c>
      <c r="E1012">
        <v>0.52109470000000002</v>
      </c>
      <c r="F1012" t="s">
        <v>42</v>
      </c>
      <c r="G1012">
        <v>-258.28980000000001</v>
      </c>
      <c r="H1012" s="1">
        <v>-8.9028130000000001E-7</v>
      </c>
      <c r="I1012">
        <v>368.63389999999998</v>
      </c>
      <c r="J1012">
        <v>-273.98039999999997</v>
      </c>
      <c r="K1012">
        <v>1.1008899999999999</v>
      </c>
      <c r="L1012">
        <v>368.00639999999999</v>
      </c>
      <c r="M1012">
        <v>0.99990970000000001</v>
      </c>
      <c r="N1012">
        <v>-1.012043E-2</v>
      </c>
      <c r="O1012">
        <v>8.8459460000000004E-3</v>
      </c>
      <c r="P1012">
        <v>0.95256249999999998</v>
      </c>
      <c r="Q1012">
        <v>0.29676619999999998</v>
      </c>
      <c r="R1012">
        <v>6.7487130000000006E-2</v>
      </c>
      <c r="S1012">
        <v>3.210083</v>
      </c>
      <c r="T1012">
        <v>-0.2226233</v>
      </c>
      <c r="U1012">
        <v>0.12728879999999901</v>
      </c>
      <c r="V1012">
        <v>-5.8912260000000001E-2</v>
      </c>
      <c r="W1012">
        <v>0.30642550000000002</v>
      </c>
      <c r="X1012">
        <v>0.95006990000000002</v>
      </c>
      <c r="Y1012">
        <v>-3.0711720000000001E-2</v>
      </c>
      <c r="Z1012">
        <v>6.9587719999999998E-4</v>
      </c>
      <c r="AA1012">
        <v>0.99952810000000003</v>
      </c>
      <c r="AB1012">
        <v>35</v>
      </c>
      <c r="AC1012">
        <v>15.6905999999999</v>
      </c>
      <c r="AD1012">
        <v>-1.1008908902812999</v>
      </c>
      <c r="AE1012">
        <v>0.62749999999999695</v>
      </c>
      <c r="AF1012">
        <v>-0.48628012043867502</v>
      </c>
      <c r="AG1012">
        <v>-1.1008908902812999</v>
      </c>
      <c r="AH1012">
        <v>15.618772307278601</v>
      </c>
      <c r="AI1012">
        <v>94.029884984770604</v>
      </c>
      <c r="AJ1012">
        <v>91.783290047615495</v>
      </c>
      <c r="AK1012">
        <v>15.665071895604299</v>
      </c>
      <c r="AL1012">
        <v>72.156054549138403</v>
      </c>
      <c r="AM1012">
        <v>93.548273243635194</v>
      </c>
      <c r="AN1012">
        <v>1.0000000281572801</v>
      </c>
    </row>
    <row r="1013" spans="1:40" x14ac:dyDescent="0.25">
      <c r="A1013" t="str">
        <f>"20190304164351600"</f>
        <v>20190304164351600</v>
      </c>
      <c r="B1013" t="str">
        <f>"1551689031590965"</f>
        <v>1551689031590965</v>
      </c>
      <c r="C1013" t="s">
        <v>40</v>
      </c>
      <c r="D1013">
        <v>4.9361199999999998</v>
      </c>
      <c r="E1013">
        <v>0.52123339999999996</v>
      </c>
      <c r="F1013" t="s">
        <v>42</v>
      </c>
      <c r="G1013">
        <v>-258.22379999999998</v>
      </c>
      <c r="H1013" s="1">
        <v>-9.1761720000000004E-7</v>
      </c>
      <c r="I1013">
        <v>368.63940000000002</v>
      </c>
      <c r="J1013">
        <v>-273.8125</v>
      </c>
      <c r="K1013">
        <v>1.101602</v>
      </c>
      <c r="L1013">
        <v>368.00779999999997</v>
      </c>
      <c r="M1013">
        <v>0.99990880000000004</v>
      </c>
      <c r="N1013">
        <v>-1.030497E-2</v>
      </c>
      <c r="O1013">
        <v>8.7364309999999994E-3</v>
      </c>
      <c r="P1013">
        <v>0.95245270000000004</v>
      </c>
      <c r="Q1013">
        <v>0.29691030000000002</v>
      </c>
      <c r="R1013">
        <v>6.8396739999999998E-2</v>
      </c>
      <c r="S1013">
        <v>3.210175</v>
      </c>
      <c r="T1013">
        <v>-0.2242885</v>
      </c>
      <c r="U1013">
        <v>0.12896730000000001</v>
      </c>
      <c r="V1013">
        <v>-5.992099E-2</v>
      </c>
      <c r="W1013">
        <v>0.30674499999999999</v>
      </c>
      <c r="X1013">
        <v>0.94990370000000002</v>
      </c>
      <c r="Y1013">
        <v>-3.1338669999999999E-2</v>
      </c>
      <c r="Z1013">
        <v>7.3530969999999998E-4</v>
      </c>
      <c r="AA1013">
        <v>0.99950859999999997</v>
      </c>
      <c r="AB1013">
        <v>35</v>
      </c>
      <c r="AC1013">
        <v>15.588699999999999</v>
      </c>
      <c r="AD1013">
        <v>-1.1016029176172</v>
      </c>
      <c r="AE1013">
        <v>0.63160000000004801</v>
      </c>
      <c r="AF1013">
        <v>-0.49292155543041</v>
      </c>
      <c r="AG1013">
        <v>-1.1016029176172</v>
      </c>
      <c r="AH1013">
        <v>15.516265247818399</v>
      </c>
      <c r="AI1013">
        <v>94.058953807253801</v>
      </c>
      <c r="AJ1013">
        <v>91.819563487076493</v>
      </c>
      <c r="AK1013">
        <v>15.563129116234</v>
      </c>
      <c r="AL1013">
        <v>72.136822416758093</v>
      </c>
      <c r="AM1013">
        <v>93.609499382242504</v>
      </c>
      <c r="AN1013">
        <v>1.00000002967063</v>
      </c>
    </row>
    <row r="1014" spans="1:40" x14ac:dyDescent="0.25">
      <c r="A1014" t="str">
        <f>"20190304164351611"</f>
        <v>20190304164351611</v>
      </c>
      <c r="B1014" t="str">
        <f>"1551689031600726"</f>
        <v>1551689031600726</v>
      </c>
      <c r="C1014" t="s">
        <v>40</v>
      </c>
      <c r="D1014">
        <v>4.9248289999999999</v>
      </c>
      <c r="E1014">
        <v>0.52145329999999901</v>
      </c>
      <c r="F1014" t="s">
        <v>42</v>
      </c>
      <c r="G1014">
        <v>-258.17790000000002</v>
      </c>
      <c r="H1014" s="1">
        <v>-9.3662839999999996E-7</v>
      </c>
      <c r="I1014">
        <v>368.64319999999998</v>
      </c>
      <c r="J1014">
        <v>-273.63290000000001</v>
      </c>
      <c r="K1014">
        <v>1.102317</v>
      </c>
      <c r="L1014">
        <v>368.00920000000002</v>
      </c>
      <c r="M1014">
        <v>0.99990800000000002</v>
      </c>
      <c r="N1014">
        <v>-1.049223E-2</v>
      </c>
      <c r="O1014">
        <v>8.6157850000000008E-3</v>
      </c>
      <c r="P1014">
        <v>0.95246909999999896</v>
      </c>
      <c r="Q1014">
        <v>0.29673640000000001</v>
      </c>
      <c r="R1014">
        <v>6.892413E-2</v>
      </c>
      <c r="S1014">
        <v>3.2109070000000002</v>
      </c>
      <c r="T1014">
        <v>-0.22623689999999999</v>
      </c>
      <c r="U1014">
        <v>0.1304932</v>
      </c>
      <c r="V1014">
        <v>-6.055725E-2</v>
      </c>
      <c r="W1014">
        <v>0.30675079999999999</v>
      </c>
      <c r="X1014">
        <v>0.94986150000000003</v>
      </c>
      <c r="Y1014">
        <v>-3.1921039999999998E-2</v>
      </c>
      <c r="Z1014">
        <v>7.7472779999999996E-4</v>
      </c>
      <c r="AA1014">
        <v>0.99949010000000005</v>
      </c>
      <c r="AB1014">
        <v>35</v>
      </c>
      <c r="AC1014">
        <v>15.454999999999901</v>
      </c>
      <c r="AD1014">
        <v>-1.1023179366283999</v>
      </c>
      <c r="AE1014">
        <v>0.63399999999995704</v>
      </c>
      <c r="AF1014">
        <v>-0.49828161838204399</v>
      </c>
      <c r="AG1014">
        <v>-1.1023179366283999</v>
      </c>
      <c r="AH1014">
        <v>15.3817708781887</v>
      </c>
      <c r="AI1014">
        <v>94.096890628250094</v>
      </c>
      <c r="AJ1014">
        <v>91.8554075308694</v>
      </c>
      <c r="AK1014">
        <v>15.429266500832901</v>
      </c>
      <c r="AL1014">
        <v>72.136473672311595</v>
      </c>
      <c r="AM1014">
        <v>93.647884869597405</v>
      </c>
      <c r="AN1014">
        <v>1.0000000515052201</v>
      </c>
    </row>
    <row r="1015" spans="1:40" x14ac:dyDescent="0.25">
      <c r="A1015" t="str">
        <f>"20190304164351623"</f>
        <v>20190304164351623</v>
      </c>
      <c r="B1015" t="str">
        <f>"1551689031610485"</f>
        <v>1551689031610485</v>
      </c>
      <c r="C1015" t="s">
        <v>40</v>
      </c>
      <c r="D1015">
        <v>4.920331</v>
      </c>
      <c r="E1015">
        <v>0.52174639999999906</v>
      </c>
      <c r="F1015" t="s">
        <v>42</v>
      </c>
      <c r="G1015">
        <v>-258.08190000000002</v>
      </c>
      <c r="H1015" s="1">
        <v>-9.784281000000001E-7</v>
      </c>
      <c r="I1015">
        <v>368.6397</v>
      </c>
      <c r="J1015">
        <v>-273.45909999999998</v>
      </c>
      <c r="K1015">
        <v>1.10294</v>
      </c>
      <c r="L1015">
        <v>368.01060000000001</v>
      </c>
      <c r="M1015">
        <v>0.99990730000000005</v>
      </c>
      <c r="N1015">
        <v>-1.0648960000000001E-2</v>
      </c>
      <c r="O1015">
        <v>8.4920759999999994E-3</v>
      </c>
      <c r="P1015">
        <v>0.95243140000000004</v>
      </c>
      <c r="Q1015">
        <v>0.29674089999999997</v>
      </c>
      <c r="R1015">
        <v>6.9421540000000004E-2</v>
      </c>
      <c r="S1015">
        <v>3.2112430000000001</v>
      </c>
      <c r="T1015">
        <v>-0.22762470000000001</v>
      </c>
      <c r="U1015">
        <v>0.130188</v>
      </c>
      <c r="V1015">
        <v>-6.1166409999999997E-2</v>
      </c>
      <c r="W1015">
        <v>0.30690469999999997</v>
      </c>
      <c r="X1015">
        <v>0.94977270000000003</v>
      </c>
      <c r="Y1015">
        <v>-3.1944269999999997E-2</v>
      </c>
      <c r="Z1015">
        <v>7.9007619999999998E-4</v>
      </c>
      <c r="AA1015">
        <v>0.99948939999999997</v>
      </c>
      <c r="AB1015">
        <v>35</v>
      </c>
      <c r="AC1015">
        <v>15.377199999999901</v>
      </c>
      <c r="AD1015">
        <v>-1.1029409784280999</v>
      </c>
      <c r="AE1015">
        <v>0.629099999999994</v>
      </c>
      <c r="AF1015">
        <v>-0.49593843310789198</v>
      </c>
      <c r="AG1015">
        <v>-1.1029409784280999</v>
      </c>
      <c r="AH1015">
        <v>15.303390148303199</v>
      </c>
      <c r="AI1015">
        <v>94.120119749553893</v>
      </c>
      <c r="AJ1015">
        <v>91.856140221767006</v>
      </c>
      <c r="AK1015">
        <v>15.3510971517515</v>
      </c>
      <c r="AL1015">
        <v>72.127208076200901</v>
      </c>
      <c r="AM1015">
        <v>93.684822781236207</v>
      </c>
      <c r="AN1015">
        <v>1.00000000312983</v>
      </c>
    </row>
    <row r="1016" spans="1:40" x14ac:dyDescent="0.25">
      <c r="A1016" t="str">
        <f>"20190304164351636"</f>
        <v>20190304164351636</v>
      </c>
      <c r="B1016" t="str">
        <f>"1551689031630981"</f>
        <v>1551689031630981</v>
      </c>
      <c r="C1016" t="s">
        <v>40</v>
      </c>
      <c r="D1016">
        <v>4.9300579999999998</v>
      </c>
      <c r="E1016">
        <v>0.52213750000000003</v>
      </c>
      <c r="F1016" t="s">
        <v>42</v>
      </c>
      <c r="G1016">
        <v>-257.90179999999998</v>
      </c>
      <c r="H1016" s="1">
        <v>-1.056448E-6</v>
      </c>
      <c r="I1016">
        <v>368.63549999999998</v>
      </c>
      <c r="J1016">
        <v>-273.25819999999999</v>
      </c>
      <c r="K1016">
        <v>1.1036239999999999</v>
      </c>
      <c r="L1016">
        <v>368.01209999999998</v>
      </c>
      <c r="M1016">
        <v>0.99990670000000004</v>
      </c>
      <c r="N1016">
        <v>-1.0818319999999999E-2</v>
      </c>
      <c r="O1016">
        <v>8.3463259999999994E-3</v>
      </c>
      <c r="P1016">
        <v>0.95241849999999995</v>
      </c>
      <c r="Q1016">
        <v>0.29664020000000002</v>
      </c>
      <c r="R1016">
        <v>7.0027099999999995E-2</v>
      </c>
      <c r="S1016">
        <v>3.2114259999999999</v>
      </c>
      <c r="T1016">
        <v>-0.22767390000000001</v>
      </c>
      <c r="U1016">
        <v>0.1289978</v>
      </c>
      <c r="V1016">
        <v>-6.1904189999999998E-2</v>
      </c>
      <c r="W1016">
        <v>0.30696689999999999</v>
      </c>
      <c r="X1016">
        <v>0.94970480000000002</v>
      </c>
      <c r="Y1016">
        <v>-3.1717910000000002E-2</v>
      </c>
      <c r="Z1016">
        <v>7.9381350000000005E-4</v>
      </c>
      <c r="AA1016">
        <v>0.99949650000000001</v>
      </c>
      <c r="AB1016">
        <v>35</v>
      </c>
      <c r="AC1016">
        <v>15.356400000000001</v>
      </c>
      <c r="AD1016">
        <v>-1.1036250564479999</v>
      </c>
      <c r="AE1016">
        <v>0.62340000000000295</v>
      </c>
      <c r="AF1016">
        <v>-0.49266089745924302</v>
      </c>
      <c r="AG1016">
        <v>-1.1036250564479999</v>
      </c>
      <c r="AH1016">
        <v>15.282266518250999</v>
      </c>
      <c r="AI1016">
        <v>94.128367695580707</v>
      </c>
      <c r="AJ1016">
        <v>91.846428850224498</v>
      </c>
      <c r="AK1016">
        <v>15.3299828101652</v>
      </c>
      <c r="AL1016">
        <v>72.123463597950803</v>
      </c>
      <c r="AM1016">
        <v>93.729409753746907</v>
      </c>
      <c r="AN1016">
        <v>1.0000000067890999</v>
      </c>
    </row>
    <row r="1017" spans="1:40" x14ac:dyDescent="0.25">
      <c r="A1017" t="str">
        <f>"20190304164351650"</f>
        <v>20190304164351650</v>
      </c>
      <c r="B1017" t="str">
        <f>"1551689031640741"</f>
        <v>1551689031640741</v>
      </c>
      <c r="C1017" t="s">
        <v>40</v>
      </c>
      <c r="D1017">
        <v>4.9478749999999998</v>
      </c>
      <c r="E1017">
        <v>0.52213750000000003</v>
      </c>
      <c r="F1017" t="s">
        <v>42</v>
      </c>
      <c r="G1017">
        <v>-257.79379999999998</v>
      </c>
      <c r="H1017" s="1">
        <v>-1.103932E-6</v>
      </c>
      <c r="I1017">
        <v>368.62900000000002</v>
      </c>
      <c r="J1017">
        <v>-273.03559999999999</v>
      </c>
      <c r="K1017">
        <v>1.104303</v>
      </c>
      <c r="L1017">
        <v>368.0138</v>
      </c>
      <c r="M1017">
        <v>0.99990639999999997</v>
      </c>
      <c r="N1017">
        <v>-1.097422E-2</v>
      </c>
      <c r="O1017">
        <v>8.1788520000000003E-3</v>
      </c>
      <c r="P1017">
        <v>0.95248820000000001</v>
      </c>
      <c r="Q1017">
        <v>0.29635460000000002</v>
      </c>
      <c r="R1017">
        <v>7.0287100000000005E-2</v>
      </c>
      <c r="S1017">
        <v>3.2118229999999999</v>
      </c>
      <c r="T1017">
        <v>-0.2292119</v>
      </c>
      <c r="U1017">
        <v>0.1281128</v>
      </c>
      <c r="V1017">
        <v>-6.2314149999999999E-2</v>
      </c>
      <c r="W1017">
        <v>0.3068321</v>
      </c>
      <c r="X1017">
        <v>0.9497215</v>
      </c>
      <c r="Y1017">
        <v>-3.160425E-2</v>
      </c>
      <c r="Z1017">
        <v>8.0653339999999895E-4</v>
      </c>
      <c r="AA1017">
        <v>0.99950019999999995</v>
      </c>
      <c r="AB1017">
        <v>35</v>
      </c>
      <c r="AC1017">
        <v>15.2418</v>
      </c>
      <c r="AD1017">
        <v>-1.1043041039319901</v>
      </c>
      <c r="AE1017">
        <v>0.61520000000001496</v>
      </c>
      <c r="AF1017">
        <v>-0.48795422308884701</v>
      </c>
      <c r="AG1017">
        <v>-1.1043041039319901</v>
      </c>
      <c r="AH1017">
        <v>15.1668356629713</v>
      </c>
      <c r="AI1017">
        <v>94.162236836418003</v>
      </c>
      <c r="AJ1017">
        <v>91.842709854227195</v>
      </c>
      <c r="AK1017">
        <v>15.214811563255299</v>
      </c>
      <c r="AL1017">
        <v>72.1315778089308</v>
      </c>
      <c r="AM1017">
        <v>93.753971524945698</v>
      </c>
      <c r="AN1017">
        <v>0.99999995922144003</v>
      </c>
    </row>
    <row r="1018" spans="1:40" x14ac:dyDescent="0.25">
      <c r="A1018" t="str">
        <f>"20190304164351666"</f>
        <v>20190304164351666</v>
      </c>
      <c r="B1018" t="str">
        <f>"1551689031661236"</f>
        <v>1551689031661236</v>
      </c>
      <c r="C1018" t="s">
        <v>40</v>
      </c>
      <c r="D1018">
        <v>4.931381</v>
      </c>
      <c r="E1018">
        <v>0.52751669999999995</v>
      </c>
      <c r="F1018" t="s">
        <v>42</v>
      </c>
      <c r="G1018">
        <v>-257.6277</v>
      </c>
      <c r="H1018" s="1">
        <v>-1.1745520000000001E-6</v>
      </c>
      <c r="I1018">
        <v>368.63249999999999</v>
      </c>
      <c r="J1018">
        <v>-272.79809999999998</v>
      </c>
      <c r="K1018">
        <v>1.10494</v>
      </c>
      <c r="L1018">
        <v>368.01560000000001</v>
      </c>
      <c r="M1018">
        <v>0.99990639999999997</v>
      </c>
      <c r="N1018">
        <v>-1.1113420000000001E-2</v>
      </c>
      <c r="O1018">
        <v>7.9960759999999995E-3</v>
      </c>
      <c r="P1018">
        <v>0.95246699999999995</v>
      </c>
      <c r="Q1018">
        <v>0.29636790000000002</v>
      </c>
      <c r="R1018">
        <v>7.0517479999999994E-2</v>
      </c>
      <c r="S1018">
        <v>3.2117610000000001</v>
      </c>
      <c r="T1018">
        <v>-0.2301898</v>
      </c>
      <c r="U1018">
        <v>0.12896730000000001</v>
      </c>
      <c r="V1018">
        <v>-6.2709979999999999E-2</v>
      </c>
      <c r="W1018">
        <v>0.30697960000000002</v>
      </c>
      <c r="X1018">
        <v>0.94964780000000004</v>
      </c>
      <c r="Y1018">
        <v>-3.2050710000000003E-2</v>
      </c>
      <c r="Z1018">
        <v>8.4170109999999996E-4</v>
      </c>
      <c r="AA1018">
        <v>0.99948590000000004</v>
      </c>
      <c r="AB1018">
        <v>35</v>
      </c>
      <c r="AC1018">
        <v>15.1703999999999</v>
      </c>
      <c r="AD1018">
        <v>-1.1049411745519999</v>
      </c>
      <c r="AE1018">
        <v>0.61689999999998602</v>
      </c>
      <c r="AF1018">
        <v>-0.49295830851506001</v>
      </c>
      <c r="AG1018">
        <v>-1.1049411745519999</v>
      </c>
      <c r="AH1018">
        <v>15.0949019940384</v>
      </c>
      <c r="AI1018">
        <v>94.184340034152001</v>
      </c>
      <c r="AJ1018">
        <v>91.870459053988895</v>
      </c>
      <c r="AK1018">
        <v>15.1433143367884</v>
      </c>
      <c r="AL1018">
        <v>72.122698535727096</v>
      </c>
      <c r="AM1018">
        <v>93.778040885881197</v>
      </c>
      <c r="AN1018">
        <v>0.99999998022629999</v>
      </c>
    </row>
    <row r="1019" spans="1:40" x14ac:dyDescent="0.25">
      <c r="A1019" t="str">
        <f>"20190304164351688"</f>
        <v>20190304164351688</v>
      </c>
      <c r="B1019" t="str">
        <f>"1551689031680757"</f>
        <v>1551689031680757</v>
      </c>
      <c r="C1019" t="s">
        <v>40</v>
      </c>
      <c r="D1019">
        <v>4.9416039999999999</v>
      </c>
      <c r="E1019">
        <v>0.52782180000000001</v>
      </c>
      <c r="F1019" t="s">
        <v>41</v>
      </c>
      <c r="G1019">
        <v>-271.9468</v>
      </c>
      <c r="H1019">
        <v>1.0225690000000001</v>
      </c>
      <c r="I1019">
        <v>368.0401</v>
      </c>
      <c r="J1019">
        <v>-272.45209999999997</v>
      </c>
      <c r="K1019">
        <v>1.105766</v>
      </c>
      <c r="L1019">
        <v>368.01799999999997</v>
      </c>
      <c r="M1019">
        <v>0.99990670000000004</v>
      </c>
      <c r="N1019">
        <v>-1.1274849999999999E-2</v>
      </c>
      <c r="O1019">
        <v>7.7230919999999896E-3</v>
      </c>
      <c r="P1019">
        <v>0.95257389999999997</v>
      </c>
      <c r="Q1019">
        <v>0.29619210000000001</v>
      </c>
      <c r="R1019">
        <v>6.9809899999999994E-2</v>
      </c>
      <c r="S1019">
        <v>3.2404169999999999</v>
      </c>
      <c r="T1019">
        <v>-0.31367220000000001</v>
      </c>
      <c r="U1019">
        <v>9.3872070000000002E-2</v>
      </c>
      <c r="V1019">
        <v>-6.2252599999999998E-2</v>
      </c>
      <c r="W1019">
        <v>0.30695919999999999</v>
      </c>
      <c r="X1019">
        <v>0.94968450000000004</v>
      </c>
      <c r="Y1019">
        <v>-2.115357E-2</v>
      </c>
      <c r="Z1019">
        <v>4.8203800000000001E-4</v>
      </c>
      <c r="AA1019">
        <v>0.99977609999999995</v>
      </c>
      <c r="AB1019">
        <v>35</v>
      </c>
      <c r="AC1019">
        <v>0.50529999999997699</v>
      </c>
      <c r="AD1019">
        <v>-8.3196999999999896E-2</v>
      </c>
      <c r="AE1019">
        <v>2.2099999999966199E-2</v>
      </c>
      <c r="AF1019">
        <v>-1.7717231687861001E-2</v>
      </c>
      <c r="AG1019">
        <v>-8.3196999999999896E-2</v>
      </c>
      <c r="AH1019">
        <v>0.49213957994749902</v>
      </c>
      <c r="AI1019">
        <v>99.589129479676501</v>
      </c>
      <c r="AJ1019">
        <v>92.061781736759599</v>
      </c>
      <c r="AK1019">
        <v>0.499436689940359</v>
      </c>
      <c r="AL1019">
        <v>72.123926902474395</v>
      </c>
      <c r="AM1019">
        <v>93.750419869476403</v>
      </c>
      <c r="AN1019">
        <v>0.99999999310582499</v>
      </c>
    </row>
    <row r="1020" spans="1:40" x14ac:dyDescent="0.25">
      <c r="A1020" t="str">
        <f>"20190304164351699"</f>
        <v>20190304164351699</v>
      </c>
      <c r="B1020" t="str">
        <f>"1551689031690517"</f>
        <v>1551689031690517</v>
      </c>
      <c r="C1020" t="s">
        <v>40</v>
      </c>
      <c r="D1020">
        <v>4.9351779999999996</v>
      </c>
      <c r="E1020">
        <v>0.52774709999999903</v>
      </c>
      <c r="F1020" t="s">
        <v>41</v>
      </c>
      <c r="G1020">
        <v>-271.63400000000001</v>
      </c>
      <c r="H1020">
        <v>1.0262370000000001</v>
      </c>
      <c r="I1020">
        <v>368.04020000000003</v>
      </c>
      <c r="J1020">
        <v>-272.27199999999999</v>
      </c>
      <c r="K1020">
        <v>1.106144</v>
      </c>
      <c r="L1020">
        <v>368.01929999999999</v>
      </c>
      <c r="M1020">
        <v>0.99990699999999999</v>
      </c>
      <c r="N1020">
        <v>-1.133895E-2</v>
      </c>
      <c r="O1020">
        <v>7.577538E-3</v>
      </c>
      <c r="P1020">
        <v>0.95265420000000001</v>
      </c>
      <c r="Q1020">
        <v>0.29611349999999997</v>
      </c>
      <c r="R1020">
        <v>6.9041270000000002E-2</v>
      </c>
      <c r="S1020">
        <v>3.240936</v>
      </c>
      <c r="T1020">
        <v>-0.31524429999999998</v>
      </c>
      <c r="U1020">
        <v>8.8165279999999999E-2</v>
      </c>
      <c r="V1020">
        <v>-6.1620319999999999E-2</v>
      </c>
      <c r="W1020">
        <v>0.3069424</v>
      </c>
      <c r="X1020">
        <v>0.9497312</v>
      </c>
      <c r="Y1020">
        <v>-1.9542509999999999E-2</v>
      </c>
      <c r="Z1020">
        <v>4.0970779999999999E-4</v>
      </c>
      <c r="AA1020">
        <v>0.99980899999999995</v>
      </c>
      <c r="AB1020">
        <v>35</v>
      </c>
      <c r="AC1020">
        <v>0.63799999999997603</v>
      </c>
      <c r="AD1020">
        <v>-7.9906999999999895E-2</v>
      </c>
      <c r="AE1020">
        <v>2.0900000000040098E-2</v>
      </c>
      <c r="AF1020">
        <v>-1.5816774674897099E-2</v>
      </c>
      <c r="AG1020">
        <v>-7.9906999999999895E-2</v>
      </c>
      <c r="AH1020">
        <v>0.62829482892447097</v>
      </c>
      <c r="AI1020">
        <v>97.245736794833704</v>
      </c>
      <c r="AJ1020">
        <v>91.442066729521599</v>
      </c>
      <c r="AK1020">
        <v>0.63355322670107705</v>
      </c>
      <c r="AL1020">
        <v>72.124938913371395</v>
      </c>
      <c r="AM1020">
        <v>93.712253070762301</v>
      </c>
      <c r="AN1020">
        <v>1.0000000265040501</v>
      </c>
    </row>
    <row r="1021" spans="1:40" x14ac:dyDescent="0.25">
      <c r="A1021" t="str">
        <f>"20190304164351711"</f>
        <v>20190304164351711</v>
      </c>
      <c r="B1021" t="str">
        <f>"1551689031701255"</f>
        <v>1551689031701255</v>
      </c>
      <c r="C1021" t="s">
        <v>40</v>
      </c>
      <c r="D1021">
        <v>4.9489650000000003</v>
      </c>
      <c r="E1021">
        <v>0.52784330000000002</v>
      </c>
      <c r="F1021" t="s">
        <v>41</v>
      </c>
      <c r="G1021">
        <v>-271.33120000000002</v>
      </c>
      <c r="H1021">
        <v>1.0153299999999901</v>
      </c>
      <c r="I1021">
        <v>368.04379999999998</v>
      </c>
      <c r="J1021">
        <v>-272.09160000000003</v>
      </c>
      <c r="K1021">
        <v>1.1064959999999999</v>
      </c>
      <c r="L1021">
        <v>368.02050000000003</v>
      </c>
      <c r="M1021">
        <v>0.99990760000000001</v>
      </c>
      <c r="N1021">
        <v>-1.1392080000000001E-2</v>
      </c>
      <c r="O1021">
        <v>7.4292789999999996E-3</v>
      </c>
      <c r="P1021">
        <v>0.95271410000000001</v>
      </c>
      <c r="Q1021">
        <v>0.29604069999999999</v>
      </c>
      <c r="R1021">
        <v>6.8528539999999999E-2</v>
      </c>
      <c r="S1021">
        <v>3.2402039999999999</v>
      </c>
      <c r="T1021">
        <v>-0.31302819999999998</v>
      </c>
      <c r="U1021">
        <v>8.5479739999999999E-2</v>
      </c>
      <c r="V1021">
        <v>-6.1248509999999999E-2</v>
      </c>
      <c r="W1021">
        <v>0.30692009999999997</v>
      </c>
      <c r="X1021">
        <v>0.94976240000000001</v>
      </c>
      <c r="Y1021">
        <v>-1.887258E-2</v>
      </c>
      <c r="Z1021">
        <v>3.8568350000000001E-4</v>
      </c>
      <c r="AA1021">
        <v>0.99982179999999998</v>
      </c>
      <c r="AB1021">
        <v>35</v>
      </c>
      <c r="AC1021">
        <v>0.76040000000000396</v>
      </c>
      <c r="AD1021">
        <v>-9.1165999999999997E-2</v>
      </c>
      <c r="AE1021">
        <v>2.3299999999949202E-2</v>
      </c>
      <c r="AF1021">
        <v>-1.7399893319684299E-2</v>
      </c>
      <c r="AG1021">
        <v>-9.1165999999999997E-2</v>
      </c>
      <c r="AH1021">
        <v>0.74978473168778303</v>
      </c>
      <c r="AI1021">
        <v>96.930691176506997</v>
      </c>
      <c r="AJ1021">
        <v>91.329396961474302</v>
      </c>
      <c r="AK1021">
        <v>0.75550720692502804</v>
      </c>
      <c r="AL1021">
        <v>72.126280404138697</v>
      </c>
      <c r="AM1021">
        <v>93.689794947962596</v>
      </c>
      <c r="AN1021">
        <v>0.99999997210749403</v>
      </c>
    </row>
    <row r="1022" spans="1:40" x14ac:dyDescent="0.25">
      <c r="A1022" t="str">
        <f>"20190304164351721"</f>
        <v>20190304164351721</v>
      </c>
      <c r="B1022" t="str">
        <f>"1551689031711014"</f>
        <v>1551689031711014</v>
      </c>
      <c r="C1022" t="s">
        <v>40</v>
      </c>
      <c r="D1022">
        <v>4.9681069999999998</v>
      </c>
      <c r="E1022">
        <v>0.52780740000000004</v>
      </c>
      <c r="F1022" t="s">
        <v>41</v>
      </c>
      <c r="G1022">
        <v>-271.31950000000001</v>
      </c>
      <c r="H1022">
        <v>1.0319929999999999</v>
      </c>
      <c r="I1022">
        <v>368.03980000000001</v>
      </c>
      <c r="J1022">
        <v>-271.92849999999999</v>
      </c>
      <c r="K1022">
        <v>1.106781</v>
      </c>
      <c r="L1022">
        <v>368.02159999999998</v>
      </c>
      <c r="M1022">
        <v>0.99990809999999997</v>
      </c>
      <c r="N1022">
        <v>-1.1427390000000001E-2</v>
      </c>
      <c r="O1022">
        <v>7.2928339999999998E-3</v>
      </c>
      <c r="P1022">
        <v>0.95286919999999997</v>
      </c>
      <c r="Q1022">
        <v>0.29568480000000003</v>
      </c>
      <c r="R1022">
        <v>6.7902920000000005E-2</v>
      </c>
      <c r="S1022">
        <v>3.2402039999999999</v>
      </c>
      <c r="T1022">
        <v>-0.31301590000000001</v>
      </c>
      <c r="U1022">
        <v>8.2489010000000001E-2</v>
      </c>
      <c r="V1022">
        <v>-6.0753309999999998E-2</v>
      </c>
      <c r="W1022">
        <v>0.30659930000000002</v>
      </c>
      <c r="X1022">
        <v>0.94989780000000001</v>
      </c>
      <c r="Y1022">
        <v>-1.8090309999999998E-2</v>
      </c>
      <c r="Z1022">
        <v>3.5569159999999998E-4</v>
      </c>
      <c r="AA1022">
        <v>0.99983630000000001</v>
      </c>
      <c r="AB1022">
        <v>35</v>
      </c>
      <c r="AC1022">
        <v>0.60899999999998</v>
      </c>
      <c r="AD1022">
        <v>-7.4787999999999993E-2</v>
      </c>
      <c r="AE1022">
        <v>1.8200000000035702E-2</v>
      </c>
      <c r="AF1022">
        <v>-1.35536698897163E-2</v>
      </c>
      <c r="AG1022">
        <v>-7.4787999999999993E-2</v>
      </c>
      <c r="AH1022">
        <v>0.60007490501916705</v>
      </c>
      <c r="AI1022">
        <v>97.102411660165799</v>
      </c>
      <c r="AJ1022">
        <v>91.293898575975206</v>
      </c>
      <c r="AK1022">
        <v>0.60486927393052603</v>
      </c>
      <c r="AL1022">
        <v>72.145591789768005</v>
      </c>
      <c r="AM1022">
        <v>93.659523735043095</v>
      </c>
      <c r="AN1022">
        <v>0.99999996294064197</v>
      </c>
    </row>
    <row r="1023" spans="1:40" x14ac:dyDescent="0.25">
      <c r="A1023" t="str">
        <f>"20190304164351733"</f>
        <v>20190304164351733</v>
      </c>
      <c r="B1023" t="str">
        <f>"1551689031720774"</f>
        <v>1551689031720774</v>
      </c>
      <c r="C1023" t="s">
        <v>40</v>
      </c>
      <c r="D1023">
        <v>4.9305529999999997</v>
      </c>
      <c r="E1023">
        <v>0.52771709999999905</v>
      </c>
      <c r="F1023" t="s">
        <v>41</v>
      </c>
      <c r="G1023">
        <v>-271.01909999999998</v>
      </c>
      <c r="H1023">
        <v>1.01867</v>
      </c>
      <c r="I1023">
        <v>368.04399999999998</v>
      </c>
      <c r="J1023">
        <v>-271.75119999999998</v>
      </c>
      <c r="K1023">
        <v>1.107078</v>
      </c>
      <c r="L1023">
        <v>368.02269999999999</v>
      </c>
      <c r="M1023">
        <v>0.99990889999999999</v>
      </c>
      <c r="N1023">
        <v>-1.146119E-2</v>
      </c>
      <c r="O1023">
        <v>7.1437109999999996E-3</v>
      </c>
      <c r="P1023">
        <v>0.9530149</v>
      </c>
      <c r="Q1023">
        <v>0.29533579999999998</v>
      </c>
      <c r="R1023">
        <v>6.7377839999999994E-2</v>
      </c>
      <c r="S1023">
        <v>3.2401430000000002</v>
      </c>
      <c r="T1023">
        <v>-0.31384610000000002</v>
      </c>
      <c r="U1023">
        <v>7.9650879999999993E-2</v>
      </c>
      <c r="V1023">
        <v>-6.037112E-2</v>
      </c>
      <c r="W1023">
        <v>0.30628339999999998</v>
      </c>
      <c r="X1023">
        <v>0.95002410000000004</v>
      </c>
      <c r="Y1023">
        <v>-1.7367520000000001E-2</v>
      </c>
      <c r="Z1023">
        <v>3.303251E-4</v>
      </c>
      <c r="AA1023">
        <v>0.99984910000000005</v>
      </c>
      <c r="AB1023">
        <v>35</v>
      </c>
      <c r="AC1023">
        <v>0.73210000000000197</v>
      </c>
      <c r="AD1023">
        <v>-8.8408E-2</v>
      </c>
      <c r="AE1023">
        <v>2.1300000000053301E-2</v>
      </c>
      <c r="AF1023">
        <v>-1.58384285591394E-2</v>
      </c>
      <c r="AG1023">
        <v>-8.8408E-2</v>
      </c>
      <c r="AH1023">
        <v>0.72171769066490898</v>
      </c>
      <c r="AI1023">
        <v>96.982083911848207</v>
      </c>
      <c r="AJ1023">
        <v>91.257180589259505</v>
      </c>
      <c r="AK1023">
        <v>0.72728485155536704</v>
      </c>
      <c r="AL1023">
        <v>72.164606859495606</v>
      </c>
      <c r="AM1023">
        <v>93.636082027630806</v>
      </c>
      <c r="AN1023">
        <v>0.99999999191321198</v>
      </c>
    </row>
    <row r="1024" spans="1:40" x14ac:dyDescent="0.25">
      <c r="A1024" t="str">
        <f>"20190304164351745"</f>
        <v>20190304164351745</v>
      </c>
      <c r="B1024" t="str">
        <f>"1551689031730533"</f>
        <v>1551689031730533</v>
      </c>
      <c r="C1024" t="s">
        <v>40</v>
      </c>
      <c r="D1024">
        <v>4.9750019999999999</v>
      </c>
      <c r="E1024">
        <v>0.52771230000000002</v>
      </c>
      <c r="F1024" t="s">
        <v>42</v>
      </c>
      <c r="G1024">
        <v>-260.29820000000001</v>
      </c>
      <c r="H1024" s="1">
        <v>-4.3779169999999999E-6</v>
      </c>
      <c r="I1024">
        <v>368.29950000000002</v>
      </c>
      <c r="J1024">
        <v>-271.56900000000002</v>
      </c>
      <c r="K1024">
        <v>1.1073390000000001</v>
      </c>
      <c r="L1024">
        <v>368.02390000000003</v>
      </c>
      <c r="M1024">
        <v>0.99990990000000002</v>
      </c>
      <c r="N1024">
        <v>-1.147577E-2</v>
      </c>
      <c r="O1024">
        <v>6.9901140000000004E-3</v>
      </c>
      <c r="P1024">
        <v>0.95298210000000005</v>
      </c>
      <c r="Q1024">
        <v>0.29556939999999998</v>
      </c>
      <c r="R1024">
        <v>6.6813510000000007E-2</v>
      </c>
      <c r="S1024">
        <v>3.2394099999999999</v>
      </c>
      <c r="T1024">
        <v>-0.31313229999999997</v>
      </c>
      <c r="U1024">
        <v>7.830811E-2</v>
      </c>
      <c r="V1024">
        <v>-5.9954790000000001E-2</v>
      </c>
      <c r="W1024">
        <v>0.30652980000000002</v>
      </c>
      <c r="X1024">
        <v>0.94997100000000001</v>
      </c>
      <c r="Y1024">
        <v>-1.7113440000000001E-2</v>
      </c>
      <c r="Z1024">
        <v>3.2959139999999998E-4</v>
      </c>
      <c r="AA1024">
        <v>0.99985349999999995</v>
      </c>
      <c r="AB1024">
        <v>35</v>
      </c>
      <c r="AC1024">
        <v>11.270799999999999</v>
      </c>
      <c r="AD1024">
        <v>-1.1073433779170001</v>
      </c>
      <c r="AE1024">
        <v>0.27559999999999701</v>
      </c>
      <c r="AF1024">
        <v>-0.19492347426355799</v>
      </c>
      <c r="AG1024">
        <v>-1.1073433779170001</v>
      </c>
      <c r="AH1024">
        <v>11.164744111950199</v>
      </c>
      <c r="AI1024">
        <v>95.663336812585896</v>
      </c>
      <c r="AJ1024">
        <v>91.000216194756305</v>
      </c>
      <c r="AK1024">
        <v>11.221217206825701</v>
      </c>
      <c r="AL1024">
        <v>72.149775928948301</v>
      </c>
      <c r="AM1024">
        <v>93.611274848366406</v>
      </c>
      <c r="AN1024">
        <v>0.99999999798649197</v>
      </c>
    </row>
    <row r="1025" spans="1:40" x14ac:dyDescent="0.25">
      <c r="A1025" t="str">
        <f>"20190304164351757"</f>
        <v>20190304164351757</v>
      </c>
      <c r="B1025" t="str">
        <f>"1551689031751030"</f>
        <v>1551689031751030</v>
      </c>
      <c r="C1025" t="s">
        <v>40</v>
      </c>
      <c r="D1025">
        <v>5.0179479999999996</v>
      </c>
      <c r="E1025">
        <v>0.52793040000000002</v>
      </c>
      <c r="F1025" t="s">
        <v>41</v>
      </c>
      <c r="G1025">
        <v>-270.70530000000002</v>
      </c>
      <c r="H1025">
        <v>1.0241009999999999</v>
      </c>
      <c r="I1025">
        <v>368.04430000000002</v>
      </c>
      <c r="J1025">
        <v>-271.37490000000003</v>
      </c>
      <c r="K1025">
        <v>1.107602</v>
      </c>
      <c r="L1025">
        <v>368.02510000000001</v>
      </c>
      <c r="M1025">
        <v>0.99991079999999999</v>
      </c>
      <c r="N1025">
        <v>-1.14836E-2</v>
      </c>
      <c r="O1025">
        <v>6.827138E-3</v>
      </c>
      <c r="P1025">
        <v>0.9530518</v>
      </c>
      <c r="Q1025">
        <v>0.2954116</v>
      </c>
      <c r="R1025">
        <v>6.6516370000000005E-2</v>
      </c>
      <c r="S1025">
        <v>3.2395019999999999</v>
      </c>
      <c r="T1025">
        <v>-0.31229030000000002</v>
      </c>
      <c r="U1025">
        <v>7.6538090000000003E-2</v>
      </c>
      <c r="V1025">
        <v>-5.981334E-2</v>
      </c>
      <c r="W1025">
        <v>0.30637959999999997</v>
      </c>
      <c r="X1025">
        <v>0.9500284</v>
      </c>
      <c r="Y1025">
        <v>-1.6731409999999999E-2</v>
      </c>
      <c r="Z1025">
        <v>3.2254039999999999E-4</v>
      </c>
      <c r="AA1025">
        <v>0.99985999999999997</v>
      </c>
      <c r="AB1025">
        <v>35</v>
      </c>
      <c r="AC1025">
        <v>0.66960000000000197</v>
      </c>
      <c r="AD1025">
        <v>-8.3501000000000006E-2</v>
      </c>
      <c r="AE1025">
        <v>1.9200000000011999E-2</v>
      </c>
      <c r="AF1025">
        <v>-1.44039902122609E-2</v>
      </c>
      <c r="AG1025">
        <v>-8.3501000000000006E-2</v>
      </c>
      <c r="AH1025">
        <v>0.65946864869331201</v>
      </c>
      <c r="AI1025">
        <v>97.214607958361</v>
      </c>
      <c r="AJ1025">
        <v>91.251244692098794</v>
      </c>
      <c r="AK1025">
        <v>0.66489005899052001</v>
      </c>
      <c r="AL1025">
        <v>72.158817303192393</v>
      </c>
      <c r="AM1025">
        <v>93.602560211306198</v>
      </c>
      <c r="AN1025">
        <v>1.00000002787233</v>
      </c>
    </row>
    <row r="1026" spans="1:40" x14ac:dyDescent="0.25">
      <c r="A1026" t="str">
        <f>"20190304164351769"</f>
        <v>20190304164351769</v>
      </c>
      <c r="B1026" t="str">
        <f>"1551689031760790"</f>
        <v>1551689031760790</v>
      </c>
      <c r="C1026" t="s">
        <v>40</v>
      </c>
      <c r="D1026">
        <v>4.9646800000000004</v>
      </c>
      <c r="E1026">
        <v>0.52781829999999996</v>
      </c>
      <c r="F1026" t="s">
        <v>41</v>
      </c>
      <c r="G1026">
        <v>-270.40030000000002</v>
      </c>
      <c r="H1026">
        <v>1.013501</v>
      </c>
      <c r="I1026">
        <v>368.04759999999999</v>
      </c>
      <c r="J1026">
        <v>-271.18610000000001</v>
      </c>
      <c r="K1026">
        <v>1.1078250000000001</v>
      </c>
      <c r="L1026">
        <v>368.02629999999999</v>
      </c>
      <c r="M1026">
        <v>0.99991200000000002</v>
      </c>
      <c r="N1026">
        <v>-1.147545E-2</v>
      </c>
      <c r="O1026">
        <v>6.6692519999999996E-3</v>
      </c>
      <c r="P1026">
        <v>0.9530767</v>
      </c>
      <c r="Q1026">
        <v>0.29544350000000003</v>
      </c>
      <c r="R1026">
        <v>6.6015560000000001E-2</v>
      </c>
      <c r="S1026">
        <v>3.239563</v>
      </c>
      <c r="T1026">
        <v>-0.31285010000000002</v>
      </c>
      <c r="U1026">
        <v>7.4615479999999998E-2</v>
      </c>
      <c r="V1026">
        <v>-5.9464030000000001E-2</v>
      </c>
      <c r="W1026">
        <v>0.306403599999999</v>
      </c>
      <c r="X1026">
        <v>0.95004250000000001</v>
      </c>
      <c r="Y1026">
        <v>-1.6297280000000001E-2</v>
      </c>
      <c r="Z1026">
        <v>3.1267069999999999E-4</v>
      </c>
      <c r="AA1026">
        <v>0.99986710000000001</v>
      </c>
      <c r="AB1026">
        <v>35</v>
      </c>
      <c r="AC1026">
        <v>0.78579999999999395</v>
      </c>
      <c r="AD1026">
        <v>-9.4324000000000005E-2</v>
      </c>
      <c r="AE1026">
        <v>2.1299999999996499E-2</v>
      </c>
      <c r="AF1026">
        <v>-1.5830555435764299E-2</v>
      </c>
      <c r="AG1026">
        <v>-9.4324000000000005E-2</v>
      </c>
      <c r="AH1026">
        <v>0.77476947518649097</v>
      </c>
      <c r="AI1026">
        <v>96.939857862540507</v>
      </c>
      <c r="AJ1026">
        <v>91.170538914645405</v>
      </c>
      <c r="AK1026">
        <v>0.78065060247344698</v>
      </c>
      <c r="AL1026">
        <v>72.157371188714393</v>
      </c>
      <c r="AM1026">
        <v>93.581523160961595</v>
      </c>
      <c r="AN1026">
        <v>0.99999994438152395</v>
      </c>
    </row>
    <row r="1027" spans="1:40" x14ac:dyDescent="0.25">
      <c r="A1027" t="str">
        <f>"20190304164351781"</f>
        <v>20190304164351781</v>
      </c>
      <c r="B1027" t="str">
        <f>"1551689031770549"</f>
        <v>1551689031770549</v>
      </c>
      <c r="C1027" t="s">
        <v>40</v>
      </c>
      <c r="D1027">
        <v>4.9720329999999997</v>
      </c>
      <c r="E1027">
        <v>0.5277463</v>
      </c>
      <c r="F1027" t="s">
        <v>41</v>
      </c>
      <c r="G1027">
        <v>-270.38920000000002</v>
      </c>
      <c r="H1027">
        <v>1.030986</v>
      </c>
      <c r="I1027">
        <v>368.04450000000003</v>
      </c>
      <c r="J1027">
        <v>-271.00229999999999</v>
      </c>
      <c r="K1027">
        <v>1.1080219999999901</v>
      </c>
      <c r="L1027">
        <v>368.02730000000003</v>
      </c>
      <c r="M1027">
        <v>0.9999133</v>
      </c>
      <c r="N1027">
        <v>-1.1458579999999999E-2</v>
      </c>
      <c r="O1027">
        <v>6.5169499999999997E-3</v>
      </c>
      <c r="P1027">
        <v>0.95306120000000005</v>
      </c>
      <c r="Q1027">
        <v>0.29549029999999998</v>
      </c>
      <c r="R1027">
        <v>6.6033419999999995E-2</v>
      </c>
      <c r="S1027">
        <v>3.2394099999999999</v>
      </c>
      <c r="T1027">
        <v>-0.3124132</v>
      </c>
      <c r="U1027">
        <v>7.4127199999999893E-2</v>
      </c>
      <c r="V1027">
        <v>-5.9627399999999997E-2</v>
      </c>
      <c r="W1027">
        <v>0.30643409999999999</v>
      </c>
      <c r="X1027">
        <v>0.95002249999999999</v>
      </c>
      <c r="Y1027">
        <v>-1.6299629999999999E-2</v>
      </c>
      <c r="Z1027">
        <v>3.2526590000000002E-4</v>
      </c>
      <c r="AA1027">
        <v>0.99986710000000001</v>
      </c>
      <c r="AB1027">
        <v>35</v>
      </c>
      <c r="AC1027">
        <v>0.613099999999974</v>
      </c>
      <c r="AD1027">
        <v>-7.7035999999999799E-2</v>
      </c>
      <c r="AE1027">
        <v>1.7200000000002501E-2</v>
      </c>
      <c r="AF1027">
        <v>-1.29987689918629E-2</v>
      </c>
      <c r="AG1027">
        <v>-7.7035999999999799E-2</v>
      </c>
      <c r="AH1027">
        <v>0.60367578995057802</v>
      </c>
      <c r="AI1027">
        <v>97.270629858154606</v>
      </c>
      <c r="AJ1027">
        <v>91.233542142694304</v>
      </c>
      <c r="AK1027">
        <v>0.60871008917526404</v>
      </c>
      <c r="AL1027">
        <v>72.155536706433907</v>
      </c>
      <c r="AM1027">
        <v>93.591412638799497</v>
      </c>
      <c r="AN1027">
        <v>1.00000001748991</v>
      </c>
    </row>
    <row r="1028" spans="1:40" x14ac:dyDescent="0.25">
      <c r="A1028" t="str">
        <f>"20190304164351793"</f>
        <v>20190304164351793</v>
      </c>
      <c r="B1028" t="str">
        <f>"1551689031781284"</f>
        <v>1551689031781284</v>
      </c>
      <c r="C1028" t="s">
        <v>40</v>
      </c>
      <c r="D1028">
        <v>4.9709199999999996</v>
      </c>
      <c r="E1028">
        <v>0.52760620000000003</v>
      </c>
      <c r="F1028" t="s">
        <v>41</v>
      </c>
      <c r="G1028">
        <v>-270.08629999999999</v>
      </c>
      <c r="H1028">
        <v>1.0198020000000001</v>
      </c>
      <c r="I1028">
        <v>368.04860000000002</v>
      </c>
      <c r="J1028">
        <v>-270.80650000000003</v>
      </c>
      <c r="K1028">
        <v>1.1082179999999999</v>
      </c>
      <c r="L1028">
        <v>368.02850000000001</v>
      </c>
      <c r="M1028">
        <v>0.99991450000000004</v>
      </c>
      <c r="N1028">
        <v>-1.1435020000000001E-2</v>
      </c>
      <c r="O1028">
        <v>6.3557989999999997E-3</v>
      </c>
      <c r="P1028">
        <v>0.95303000000000004</v>
      </c>
      <c r="Q1028">
        <v>0.29561890000000002</v>
      </c>
      <c r="R1028">
        <v>6.5903890000000007E-2</v>
      </c>
      <c r="S1028">
        <v>3.2393190000000001</v>
      </c>
      <c r="T1028">
        <v>-0.31215870000000001</v>
      </c>
      <c r="U1028">
        <v>7.5500490000000003E-2</v>
      </c>
      <c r="V1028">
        <v>-5.9651099999999999E-2</v>
      </c>
      <c r="W1028">
        <v>0.30653979999999997</v>
      </c>
      <c r="X1028">
        <v>0.94998689999999997</v>
      </c>
      <c r="Y1028">
        <v>-1.6881609999999998E-2</v>
      </c>
      <c r="Z1028">
        <v>3.697571E-4</v>
      </c>
      <c r="AA1028">
        <v>0.99985740000000001</v>
      </c>
      <c r="AB1028">
        <v>35</v>
      </c>
      <c r="AC1028">
        <v>0.72020000000003304</v>
      </c>
      <c r="AD1028">
        <v>-8.84159999999998E-2</v>
      </c>
      <c r="AE1028">
        <v>2.0100000000013499E-2</v>
      </c>
      <c r="AF1028">
        <v>-1.5291561715664899E-2</v>
      </c>
      <c r="AG1028">
        <v>-8.84159999999998E-2</v>
      </c>
      <c r="AH1028">
        <v>0.70962642481621296</v>
      </c>
      <c r="AI1028">
        <v>97.100543477046401</v>
      </c>
      <c r="AJ1028">
        <v>91.234461321970699</v>
      </c>
      <c r="AK1028">
        <v>0.71527678818283003</v>
      </c>
      <c r="AL1028">
        <v>72.149174149702404</v>
      </c>
      <c r="AM1028">
        <v>93.592970659041796</v>
      </c>
      <c r="AN1028">
        <v>1.00000000644343</v>
      </c>
    </row>
    <row r="1029" spans="1:40" x14ac:dyDescent="0.25">
      <c r="A1029" t="str">
        <f>"20190304164351805"</f>
        <v>20190304164351805</v>
      </c>
      <c r="B1029" t="str">
        <f>"1551689031800804"</f>
        <v>1551689031800804</v>
      </c>
      <c r="C1029" t="s">
        <v>40</v>
      </c>
      <c r="D1029">
        <v>4.9735319999999996</v>
      </c>
      <c r="E1029">
        <v>0.52770360000000005</v>
      </c>
      <c r="F1029" t="s">
        <v>41</v>
      </c>
      <c r="G1029">
        <v>-269.77999999999997</v>
      </c>
      <c r="H1029">
        <v>1.009557</v>
      </c>
      <c r="I1029">
        <v>368.05259999999998</v>
      </c>
      <c r="J1029">
        <v>-270.6191</v>
      </c>
      <c r="K1029">
        <v>1.108374</v>
      </c>
      <c r="L1029">
        <v>368.02960000000002</v>
      </c>
      <c r="M1029">
        <v>0.99991580000000002</v>
      </c>
      <c r="N1029">
        <v>-1.140182E-2</v>
      </c>
      <c r="O1029">
        <v>6.2038730000000004E-3</v>
      </c>
      <c r="P1029">
        <v>0.95308740000000003</v>
      </c>
      <c r="Q1029">
        <v>0.29541329999999999</v>
      </c>
      <c r="R1029">
        <v>6.5996470000000002E-2</v>
      </c>
      <c r="S1029">
        <v>3.239166</v>
      </c>
      <c r="T1029">
        <v>-0.31140859999999998</v>
      </c>
      <c r="U1029">
        <v>7.6293949999999999E-2</v>
      </c>
      <c r="V1029">
        <v>-5.98869E-2</v>
      </c>
      <c r="W1029">
        <v>0.30630380000000001</v>
      </c>
      <c r="X1029">
        <v>0.95004820000000001</v>
      </c>
      <c r="Y1029">
        <v>-1.727714E-2</v>
      </c>
      <c r="Z1029">
        <v>4.0286320000000001E-4</v>
      </c>
      <c r="AA1029">
        <v>0.99985060000000003</v>
      </c>
      <c r="AB1029">
        <v>35</v>
      </c>
      <c r="AC1029">
        <v>0.83910000000003004</v>
      </c>
      <c r="AD1029">
        <v>-9.8816999999999905E-2</v>
      </c>
      <c r="AE1029">
        <v>2.2999999999967699E-2</v>
      </c>
      <c r="AF1029">
        <v>-1.75503317127612E-2</v>
      </c>
      <c r="AG1029">
        <v>-9.8816999999999905E-2</v>
      </c>
      <c r="AH1029">
        <v>0.82775527399350901</v>
      </c>
      <c r="AI1029">
        <v>96.806207463173493</v>
      </c>
      <c r="AJ1029">
        <v>91.214621433606595</v>
      </c>
      <c r="AK1029">
        <v>0.83381749037562003</v>
      </c>
      <c r="AL1029">
        <v>72.163379538760694</v>
      </c>
      <c r="AM1029">
        <v>93.606904069215403</v>
      </c>
      <c r="AN1029">
        <v>1.00000002050464</v>
      </c>
    </row>
    <row r="1030" spans="1:40" x14ac:dyDescent="0.25">
      <c r="A1030" t="str">
        <f>"20190304164351818"</f>
        <v>20190304164351818</v>
      </c>
      <c r="B1030" t="str">
        <f>"1551689031810565"</f>
        <v>1551689031810565</v>
      </c>
      <c r="C1030" t="s">
        <v>40</v>
      </c>
      <c r="D1030">
        <v>4.9982920000000002</v>
      </c>
      <c r="E1030">
        <v>0.527667</v>
      </c>
      <c r="F1030" t="s">
        <v>41</v>
      </c>
      <c r="G1030">
        <v>-269.7706</v>
      </c>
      <c r="H1030">
        <v>1.0265420000000001</v>
      </c>
      <c r="I1030">
        <v>368.04950000000002</v>
      </c>
      <c r="J1030">
        <v>-270.43299999999999</v>
      </c>
      <c r="K1030">
        <v>1.1085229999999999</v>
      </c>
      <c r="L1030">
        <v>368.03059999999999</v>
      </c>
      <c r="M1030">
        <v>0.9999171</v>
      </c>
      <c r="N1030">
        <v>-1.1366319999999999E-2</v>
      </c>
      <c r="O1030">
        <v>6.0531500000000002E-3</v>
      </c>
      <c r="P1030">
        <v>0.95292209999999999</v>
      </c>
      <c r="Q1030">
        <v>0.29583330000000002</v>
      </c>
      <c r="R1030">
        <v>6.6500569999999995E-2</v>
      </c>
      <c r="S1030">
        <v>3.2392270000000001</v>
      </c>
      <c r="T1030">
        <v>-0.31243369999999998</v>
      </c>
      <c r="U1030">
        <v>7.6293949999999999E-2</v>
      </c>
      <c r="V1030">
        <v>-6.053451E-2</v>
      </c>
      <c r="W1030">
        <v>0.30668909999999899</v>
      </c>
      <c r="X1030">
        <v>0.94988280000000003</v>
      </c>
      <c r="Y1030">
        <v>-1.7425759999999998E-2</v>
      </c>
      <c r="Z1030">
        <v>4.2388540000000001E-4</v>
      </c>
      <c r="AA1030">
        <v>0.99984810000000002</v>
      </c>
      <c r="AB1030">
        <v>35</v>
      </c>
      <c r="AC1030">
        <v>0.662399999999991</v>
      </c>
      <c r="AD1030">
        <v>-8.1980999999999804E-2</v>
      </c>
      <c r="AE1030">
        <v>1.89000000000305E-2</v>
      </c>
      <c r="AF1030">
        <v>-1.4665335729884399E-2</v>
      </c>
      <c r="AG1030">
        <v>-8.1980999999999804E-2</v>
      </c>
      <c r="AH1030">
        <v>0.65251554691357305</v>
      </c>
      <c r="AI1030">
        <v>97.159238430088195</v>
      </c>
      <c r="AJ1030">
        <v>91.287510173662497</v>
      </c>
      <c r="AK1030">
        <v>0.65780885931780397</v>
      </c>
      <c r="AL1030">
        <v>72.140186568815096</v>
      </c>
      <c r="AM1030">
        <v>93.646437191942496</v>
      </c>
      <c r="AN1030">
        <v>0.99999998234779497</v>
      </c>
    </row>
    <row r="1031" spans="1:40" x14ac:dyDescent="0.25">
      <c r="A1031" t="str">
        <f>"20190304164351832"</f>
        <v>20190304164351832</v>
      </c>
      <c r="B1031" t="str">
        <f>"1551689031821301"</f>
        <v>1551689031821301</v>
      </c>
      <c r="C1031" t="s">
        <v>40</v>
      </c>
      <c r="D1031">
        <v>4.9804199999999996</v>
      </c>
      <c r="E1031">
        <v>0.52771709999999905</v>
      </c>
      <c r="F1031" t="s">
        <v>41</v>
      </c>
      <c r="G1031">
        <v>-269.46550000000002</v>
      </c>
      <c r="H1031">
        <v>1.0158240000000001</v>
      </c>
      <c r="I1031">
        <v>368.05380000000002</v>
      </c>
      <c r="J1031">
        <v>-270.21109999999999</v>
      </c>
      <c r="K1031">
        <v>1.108676</v>
      </c>
      <c r="L1031">
        <v>368.03179999999998</v>
      </c>
      <c r="M1031">
        <v>0.9999188</v>
      </c>
      <c r="N1031">
        <v>-1.1318180000000001E-2</v>
      </c>
      <c r="O1031">
        <v>5.87442E-3</v>
      </c>
      <c r="P1031">
        <v>0.95285529999999996</v>
      </c>
      <c r="Q1031">
        <v>0.29596609999999901</v>
      </c>
      <c r="R1031">
        <v>6.6866729999999999E-2</v>
      </c>
      <c r="S1031">
        <v>3.239166</v>
      </c>
      <c r="T1031">
        <v>-0.31050169999999999</v>
      </c>
      <c r="U1031">
        <v>7.8155520000000006E-2</v>
      </c>
      <c r="V1031">
        <v>-6.1069449999999997E-2</v>
      </c>
      <c r="W1031">
        <v>0.30677579999999999</v>
      </c>
      <c r="X1031">
        <v>0.94982060000000001</v>
      </c>
      <c r="Y1031">
        <v>-1.8175549999999999E-2</v>
      </c>
      <c r="Z1031">
        <v>4.7677679999999999E-4</v>
      </c>
      <c r="AA1031">
        <v>0.99983469999999997</v>
      </c>
      <c r="AB1031">
        <v>35</v>
      </c>
      <c r="AC1031">
        <v>0.74559999999996696</v>
      </c>
      <c r="AD1031">
        <v>-9.2851999999999907E-2</v>
      </c>
      <c r="AE1031">
        <v>2.20000000000482E-2</v>
      </c>
      <c r="AF1031">
        <v>-1.73505255701072E-2</v>
      </c>
      <c r="AG1031">
        <v>-9.2851999999999907E-2</v>
      </c>
      <c r="AH1031">
        <v>0.73433778344413203</v>
      </c>
      <c r="AI1031">
        <v>97.2044279433009</v>
      </c>
      <c r="AJ1031">
        <v>91.353501048364905</v>
      </c>
      <c r="AK1031">
        <v>0.740388083936526</v>
      </c>
      <c r="AL1031">
        <v>72.134968148641093</v>
      </c>
      <c r="AM1031">
        <v>93.678812690287401</v>
      </c>
      <c r="AN1031">
        <v>1.0000000206866499</v>
      </c>
    </row>
    <row r="1032" spans="1:40" x14ac:dyDescent="0.25">
      <c r="A1032" t="str">
        <f>"20190304164351846"</f>
        <v>20190304164351846</v>
      </c>
      <c r="B1032" t="str">
        <f>"1551689031831061"</f>
        <v>1551689031831061</v>
      </c>
      <c r="C1032" t="s">
        <v>40</v>
      </c>
      <c r="D1032">
        <v>4.9797659999999997</v>
      </c>
      <c r="E1032">
        <v>0.52760069999999903</v>
      </c>
      <c r="F1032" t="s">
        <v>41</v>
      </c>
      <c r="G1032">
        <v>-269.44260000000003</v>
      </c>
      <c r="H1032">
        <v>1.0350239999999999</v>
      </c>
      <c r="I1032">
        <v>368.0505</v>
      </c>
      <c r="J1032">
        <v>-270</v>
      </c>
      <c r="K1032">
        <v>1.1087929999999999</v>
      </c>
      <c r="L1032">
        <v>368.03280000000001</v>
      </c>
      <c r="M1032">
        <v>0.99992040000000004</v>
      </c>
      <c r="N1032">
        <v>-1.12677E-2</v>
      </c>
      <c r="O1032">
        <v>5.704883E-3</v>
      </c>
      <c r="P1032">
        <v>0.95286420000000005</v>
      </c>
      <c r="Q1032">
        <v>0.29594130000000002</v>
      </c>
      <c r="R1032">
        <v>6.6847779999999996E-2</v>
      </c>
      <c r="S1032">
        <v>3.239258</v>
      </c>
      <c r="T1032">
        <v>-0.31052770000000002</v>
      </c>
      <c r="U1032">
        <v>7.9681399999999999E-2</v>
      </c>
      <c r="V1032">
        <v>-6.1210439999999998E-2</v>
      </c>
      <c r="W1032">
        <v>0.30670320000000001</v>
      </c>
      <c r="X1032">
        <v>0.94983490000000004</v>
      </c>
      <c r="Y1032">
        <v>-1.881128E-2</v>
      </c>
      <c r="Z1032">
        <v>5.2433150000000001E-4</v>
      </c>
      <c r="AA1032">
        <v>0.99982289999999996</v>
      </c>
      <c r="AB1032">
        <v>35</v>
      </c>
      <c r="AC1032">
        <v>0.55739999999997203</v>
      </c>
      <c r="AD1032">
        <v>-7.3769000000000196E-2</v>
      </c>
      <c r="AE1032">
        <v>1.7699999999990699E-2</v>
      </c>
      <c r="AF1032">
        <v>-1.42699207343236E-2</v>
      </c>
      <c r="AG1032">
        <v>-7.3769000000000196E-2</v>
      </c>
      <c r="AH1032">
        <v>0.54790494088011499</v>
      </c>
      <c r="AI1032">
        <v>97.665526426577003</v>
      </c>
      <c r="AJ1032">
        <v>91.491903760815703</v>
      </c>
      <c r="AK1032">
        <v>0.553032838301313</v>
      </c>
      <c r="AL1032">
        <v>72.139337271364198</v>
      </c>
      <c r="AM1032">
        <v>93.687227138724793</v>
      </c>
      <c r="AN1032">
        <v>0.99999995405662001</v>
      </c>
    </row>
    <row r="1033" spans="1:40" x14ac:dyDescent="0.25">
      <c r="A1033" t="str">
        <f>"20190304164351859"</f>
        <v>20190304164351859</v>
      </c>
      <c r="B1033" t="str">
        <f>"1551689031850580"</f>
        <v>1551689031850580</v>
      </c>
      <c r="C1033" t="s">
        <v>40</v>
      </c>
      <c r="D1033">
        <v>5.0083710000000004</v>
      </c>
      <c r="E1033">
        <v>0.52751219999999999</v>
      </c>
      <c r="F1033" t="s">
        <v>41</v>
      </c>
      <c r="G1033">
        <v>-269.14679999999998</v>
      </c>
      <c r="H1033">
        <v>1.0270549999999901</v>
      </c>
      <c r="I1033">
        <v>368.05399999999997</v>
      </c>
      <c r="J1033">
        <v>-269.7903</v>
      </c>
      <c r="K1033">
        <v>1.1089039999999999</v>
      </c>
      <c r="L1033">
        <v>368.03390000000002</v>
      </c>
      <c r="M1033">
        <v>0.99992179999999997</v>
      </c>
      <c r="N1033">
        <v>-1.121541E-2</v>
      </c>
      <c r="O1033">
        <v>5.5362529999999997E-3</v>
      </c>
      <c r="P1033">
        <v>0.95285140000000002</v>
      </c>
      <c r="Q1033">
        <v>0.2959812</v>
      </c>
      <c r="R1033">
        <v>6.6854120000000003E-2</v>
      </c>
      <c r="S1033">
        <v>3.2391969999999999</v>
      </c>
      <c r="T1033">
        <v>-0.31051640000000003</v>
      </c>
      <c r="U1033">
        <v>8.0902100000000005E-2</v>
      </c>
      <c r="V1033">
        <v>-6.137596E-2</v>
      </c>
      <c r="W1033">
        <v>0.30669370000000001</v>
      </c>
      <c r="X1033">
        <v>0.94982730000000004</v>
      </c>
      <c r="Y1033">
        <v>-1.9353619999999998E-2</v>
      </c>
      <c r="Z1033">
        <v>5.6675089999999996E-4</v>
      </c>
      <c r="AA1033">
        <v>0.99981249999999999</v>
      </c>
      <c r="AB1033">
        <v>35</v>
      </c>
      <c r="AC1033">
        <v>0.64350000000001695</v>
      </c>
      <c r="AD1033">
        <v>-8.1849000000000199E-2</v>
      </c>
      <c r="AE1033">
        <v>2.0100000000013499E-2</v>
      </c>
      <c r="AF1033">
        <v>-1.62738642347754E-2</v>
      </c>
      <c r="AG1033">
        <v>-8.1849000000000199E-2</v>
      </c>
      <c r="AH1033">
        <v>0.63336472191887905</v>
      </c>
      <c r="AI1033">
        <v>97.361056168362396</v>
      </c>
      <c r="AJ1033">
        <v>91.471851196488799</v>
      </c>
      <c r="AK1033">
        <v>0.63883876559700903</v>
      </c>
      <c r="AL1033">
        <v>72.139909379728394</v>
      </c>
      <c r="AM1033">
        <v>93.697199704113999</v>
      </c>
      <c r="AN1033">
        <v>0.99999996695545001</v>
      </c>
    </row>
    <row r="1034" spans="1:40" x14ac:dyDescent="0.25">
      <c r="A1034" t="str">
        <f>"20190304164351872"</f>
        <v>20190304164351872</v>
      </c>
      <c r="B1034" t="str">
        <f>"1551689031861318"</f>
        <v>1551689031861318</v>
      </c>
      <c r="C1034" t="s">
        <v>40</v>
      </c>
      <c r="D1034">
        <v>4.9869949999999896</v>
      </c>
      <c r="E1034">
        <v>0.52746729999999997</v>
      </c>
      <c r="F1034" t="s">
        <v>41</v>
      </c>
      <c r="G1034">
        <v>-268.8408</v>
      </c>
      <c r="H1034">
        <v>1.0178149999999999</v>
      </c>
      <c r="I1034">
        <v>368.05799999999999</v>
      </c>
      <c r="J1034">
        <v>-269.58620000000002</v>
      </c>
      <c r="K1034">
        <v>1.109002</v>
      </c>
      <c r="L1034">
        <v>368.03489999999999</v>
      </c>
      <c r="M1034">
        <v>0.99992340000000002</v>
      </c>
      <c r="N1034">
        <v>-1.116229E-2</v>
      </c>
      <c r="O1034">
        <v>5.3710909999999997E-3</v>
      </c>
      <c r="P1034">
        <v>0.95284279999999999</v>
      </c>
      <c r="Q1034">
        <v>0.29596650000000002</v>
      </c>
      <c r="R1034">
        <v>6.7042019999999994E-2</v>
      </c>
      <c r="S1034">
        <v>3.2392270000000001</v>
      </c>
      <c r="T1034">
        <v>-0.31086609999999998</v>
      </c>
      <c r="U1034">
        <v>8.2519529999999994E-2</v>
      </c>
      <c r="V1034">
        <v>-6.1720610000000002E-2</v>
      </c>
      <c r="W1034">
        <v>0.30662879999999998</v>
      </c>
      <c r="X1034">
        <v>0.9498259</v>
      </c>
      <c r="Y1034">
        <v>-2.0013369999999999E-2</v>
      </c>
      <c r="Z1034">
        <v>6.1562460000000004E-4</v>
      </c>
      <c r="AA1034">
        <v>0.99979949999999995</v>
      </c>
      <c r="AB1034">
        <v>35</v>
      </c>
      <c r="AC1034">
        <v>0.74540000000001705</v>
      </c>
      <c r="AD1034">
        <v>-9.1187000000000101E-2</v>
      </c>
      <c r="AE1034">
        <v>2.3100000000056201E-2</v>
      </c>
      <c r="AF1034">
        <v>-1.88145108662825E-2</v>
      </c>
      <c r="AG1034">
        <v>-9.1187000000000101E-2</v>
      </c>
      <c r="AH1034">
        <v>0.73453134972926704</v>
      </c>
      <c r="AI1034">
        <v>97.074373115249401</v>
      </c>
      <c r="AJ1034">
        <v>91.467270804937598</v>
      </c>
      <c r="AK1034">
        <v>0.74040891304956402</v>
      </c>
      <c r="AL1034">
        <v>72.143815747964297</v>
      </c>
      <c r="AM1034">
        <v>93.717908321764895</v>
      </c>
      <c r="AN1034">
        <v>0.99999994749950905</v>
      </c>
    </row>
    <row r="1035" spans="1:40" x14ac:dyDescent="0.25">
      <c r="A1035" t="str">
        <f>"20190304164351885"</f>
        <v>20190304164351885</v>
      </c>
      <c r="B1035" t="str">
        <f>"1551689031871077"</f>
        <v>1551689031871077</v>
      </c>
      <c r="C1035" t="s">
        <v>40</v>
      </c>
      <c r="D1035">
        <v>4.9920010000000001</v>
      </c>
      <c r="E1035">
        <v>0.52750929999999996</v>
      </c>
      <c r="F1035" t="s">
        <v>42</v>
      </c>
      <c r="G1035">
        <v>-258.03739999999999</v>
      </c>
      <c r="H1035" s="1">
        <v>-1.0518790000000001E-6</v>
      </c>
      <c r="I1035">
        <v>368.33319999999998</v>
      </c>
      <c r="J1035">
        <v>-269.38619999999997</v>
      </c>
      <c r="K1035">
        <v>1.1090789999999999</v>
      </c>
      <c r="L1035">
        <v>368.03579999999999</v>
      </c>
      <c r="M1035">
        <v>0.9999247</v>
      </c>
      <c r="N1035">
        <v>-1.1108099999999999E-2</v>
      </c>
      <c r="O1035">
        <v>5.2093340000000004E-3</v>
      </c>
      <c r="P1035">
        <v>0.95294990000000002</v>
      </c>
      <c r="Q1035">
        <v>0.29569909999999999</v>
      </c>
      <c r="R1035">
        <v>6.6697930000000002E-2</v>
      </c>
      <c r="S1035">
        <v>3.2392270000000001</v>
      </c>
      <c r="T1035">
        <v>-0.31105329999999998</v>
      </c>
      <c r="U1035">
        <v>8.3679199999999995E-2</v>
      </c>
      <c r="V1035">
        <v>-6.1529300000000002E-2</v>
      </c>
      <c r="W1035">
        <v>0.30631059999999999</v>
      </c>
      <c r="X1035">
        <v>0.94994100000000004</v>
      </c>
      <c r="Y1035">
        <v>-2.052957E-2</v>
      </c>
      <c r="Z1035">
        <v>6.5635409999999998E-4</v>
      </c>
      <c r="AA1035">
        <v>0.99978909999999999</v>
      </c>
      <c r="AB1035">
        <v>35</v>
      </c>
      <c r="AC1035">
        <v>11.348799999999899</v>
      </c>
      <c r="AD1035">
        <v>-1.1090800518790001</v>
      </c>
      <c r="AE1035">
        <v>0.29739999999998101</v>
      </c>
      <c r="AF1035">
        <v>-0.23602006310960599</v>
      </c>
      <c r="AG1035">
        <v>-1.1090800518790001</v>
      </c>
      <c r="AH1035">
        <v>11.2428938243233</v>
      </c>
      <c r="AI1035">
        <v>95.632607857885503</v>
      </c>
      <c r="AJ1035">
        <v>91.202623427528493</v>
      </c>
      <c r="AK1035">
        <v>11.299930335036301</v>
      </c>
      <c r="AL1035">
        <v>72.162969340770104</v>
      </c>
      <c r="AM1035">
        <v>93.705968579798594</v>
      </c>
      <c r="AN1035">
        <v>0.99999997095592397</v>
      </c>
    </row>
    <row r="1036" spans="1:40" x14ac:dyDescent="0.25">
      <c r="A1036" t="str">
        <f>"20190304164351899"</f>
        <v>20190304164351899</v>
      </c>
      <c r="B1036" t="str">
        <f>"1551689031890597"</f>
        <v>1551689031890597</v>
      </c>
      <c r="C1036" t="s">
        <v>40</v>
      </c>
      <c r="D1036">
        <v>4.9940959999999999</v>
      </c>
      <c r="E1036">
        <v>0.52752219999999905</v>
      </c>
      <c r="F1036" t="s">
        <v>41</v>
      </c>
      <c r="G1036">
        <v>-268.52330000000001</v>
      </c>
      <c r="H1036">
        <v>1.0259940000000001</v>
      </c>
      <c r="I1036">
        <v>368.05759999999998</v>
      </c>
      <c r="J1036">
        <v>-269.16730000000001</v>
      </c>
      <c r="K1036">
        <v>1.109159</v>
      </c>
      <c r="L1036">
        <v>368.03680000000003</v>
      </c>
      <c r="M1036">
        <v>0.99992639999999999</v>
      </c>
      <c r="N1036">
        <v>-1.1047710000000001E-2</v>
      </c>
      <c r="O1036">
        <v>5.0314599999999998E-3</v>
      </c>
      <c r="P1036">
        <v>0.95302129999999996</v>
      </c>
      <c r="Q1036">
        <v>0.29555569999999998</v>
      </c>
      <c r="R1036">
        <v>6.6313620000000004E-2</v>
      </c>
      <c r="S1036">
        <v>3.239166</v>
      </c>
      <c r="T1036">
        <v>-0.31190309999999999</v>
      </c>
      <c r="U1036">
        <v>8.184814E-2</v>
      </c>
      <c r="V1036">
        <v>-6.131375E-2</v>
      </c>
      <c r="W1036">
        <v>0.30611090000000002</v>
      </c>
      <c r="X1036">
        <v>0.95001939999999996</v>
      </c>
      <c r="Y1036">
        <v>-2.014411E-2</v>
      </c>
      <c r="Z1036">
        <v>6.5122420000000001E-4</v>
      </c>
      <c r="AA1036">
        <v>0.99979689999999999</v>
      </c>
      <c r="AB1036">
        <v>35</v>
      </c>
      <c r="AC1036">
        <v>0.64400000000000501</v>
      </c>
      <c r="AD1036">
        <v>-8.3164999999999906E-2</v>
      </c>
      <c r="AE1036">
        <v>2.07999999999515E-2</v>
      </c>
      <c r="AF1036">
        <v>-1.7271547151415201E-2</v>
      </c>
      <c r="AG1036">
        <v>-8.3164999999999906E-2</v>
      </c>
      <c r="AH1036">
        <v>0.63354214206689696</v>
      </c>
      <c r="AI1036">
        <v>97.475703908841098</v>
      </c>
      <c r="AJ1036">
        <v>91.561603631594295</v>
      </c>
      <c r="AK1036">
        <v>0.63921073938155604</v>
      </c>
      <c r="AL1036">
        <v>72.174990307046599</v>
      </c>
      <c r="AM1036">
        <v>93.692717866164202</v>
      </c>
      <c r="AN1036">
        <v>1.0000000597071099</v>
      </c>
    </row>
    <row r="1037" spans="1:40" x14ac:dyDescent="0.25">
      <c r="A1037" t="str">
        <f>"20190304164351911"</f>
        <v>20190304164351911</v>
      </c>
      <c r="B1037" t="str">
        <f>"1551689031901334"</f>
        <v>1551689031901334</v>
      </c>
      <c r="C1037" t="s">
        <v>40</v>
      </c>
      <c r="D1037">
        <v>4.9835330000000004</v>
      </c>
      <c r="E1037">
        <v>0.52755569999999996</v>
      </c>
      <c r="F1037" t="s">
        <v>41</v>
      </c>
      <c r="G1037">
        <v>-268.21609999999998</v>
      </c>
      <c r="H1037">
        <v>1.0173030000000001</v>
      </c>
      <c r="I1037">
        <v>368.06060000000002</v>
      </c>
      <c r="J1037">
        <v>-268.97770000000003</v>
      </c>
      <c r="K1037">
        <v>1.109227</v>
      </c>
      <c r="L1037">
        <v>368.0376</v>
      </c>
      <c r="M1037">
        <v>0.99992780000000003</v>
      </c>
      <c r="N1037">
        <v>-1.099434E-2</v>
      </c>
      <c r="O1037">
        <v>4.8772119999999997E-3</v>
      </c>
      <c r="P1037">
        <v>0.95306299999999999</v>
      </c>
      <c r="Q1037">
        <v>0.29544720000000002</v>
      </c>
      <c r="R1037">
        <v>6.6196279999999996E-2</v>
      </c>
      <c r="S1037">
        <v>3.2392880000000002</v>
      </c>
      <c r="T1037">
        <v>-0.31294519999999998</v>
      </c>
      <c r="U1037">
        <v>8.1603999999999996E-2</v>
      </c>
      <c r="V1037">
        <v>-6.134241E-2</v>
      </c>
      <c r="W1037">
        <v>0.30595240000000001</v>
      </c>
      <c r="X1037">
        <v>0.95006849999999998</v>
      </c>
      <c r="Y1037">
        <v>-2.0220680000000001E-2</v>
      </c>
      <c r="Z1037">
        <v>6.6929420000000003E-4</v>
      </c>
      <c r="AA1037">
        <v>0.99979530000000005</v>
      </c>
      <c r="AB1037">
        <v>35</v>
      </c>
      <c r="AC1037">
        <v>0.76160000000004402</v>
      </c>
      <c r="AD1037">
        <v>-9.1923999999999895E-2</v>
      </c>
      <c r="AE1037">
        <v>2.3000000000024501E-2</v>
      </c>
      <c r="AF1037">
        <v>-1.9008353792986599E-2</v>
      </c>
      <c r="AG1037">
        <v>-9.1923999999999895E-2</v>
      </c>
      <c r="AH1037">
        <v>0.75077568773597902</v>
      </c>
      <c r="AI1037">
        <v>96.978263019544499</v>
      </c>
      <c r="AJ1037">
        <v>91.4503211083845</v>
      </c>
      <c r="AK1037">
        <v>0.75662108917565296</v>
      </c>
      <c r="AL1037">
        <v>72.184527495140102</v>
      </c>
      <c r="AM1037">
        <v>93.694248779182004</v>
      </c>
      <c r="AN1037">
        <v>0.99999995851130796</v>
      </c>
    </row>
    <row r="1038" spans="1:40" x14ac:dyDescent="0.25">
      <c r="A1038" t="str">
        <f>"20190304164351922"</f>
        <v>20190304164351922</v>
      </c>
      <c r="B1038" t="str">
        <f>"1551689031911093"</f>
        <v>1551689031911093</v>
      </c>
      <c r="C1038" t="s">
        <v>40</v>
      </c>
      <c r="D1038">
        <v>5.0030400000000004</v>
      </c>
      <c r="E1038">
        <v>0.52760010000000002</v>
      </c>
      <c r="F1038" t="s">
        <v>41</v>
      </c>
      <c r="G1038">
        <v>-268.20319999999998</v>
      </c>
      <c r="H1038">
        <v>1.0343629999999999</v>
      </c>
      <c r="I1038">
        <v>368.05680000000001</v>
      </c>
      <c r="J1038">
        <v>-268.79829999999998</v>
      </c>
      <c r="K1038">
        <v>1.1092770000000001</v>
      </c>
      <c r="L1038">
        <v>368.03829999999999</v>
      </c>
      <c r="M1038">
        <v>0.99992899999999996</v>
      </c>
      <c r="N1038">
        <v>-1.094469E-2</v>
      </c>
      <c r="O1038">
        <v>4.7313440000000002E-3</v>
      </c>
      <c r="P1038">
        <v>0.95304509999999998</v>
      </c>
      <c r="Q1038">
        <v>0.2955739</v>
      </c>
      <c r="R1038">
        <v>6.5892220000000001E-2</v>
      </c>
      <c r="S1038">
        <v>3.2392270000000001</v>
      </c>
      <c r="T1038">
        <v>-0.3132528</v>
      </c>
      <c r="U1038">
        <v>8.1024170000000006E-2</v>
      </c>
      <c r="V1038">
        <v>-6.1177240000000001E-2</v>
      </c>
      <c r="W1038">
        <v>0.30603140000000001</v>
      </c>
      <c r="X1038">
        <v>0.95005379999999995</v>
      </c>
      <c r="Y1038">
        <v>-2.0187699999999999E-2</v>
      </c>
      <c r="Z1038">
        <v>6.7975879999999998E-4</v>
      </c>
      <c r="AA1038">
        <v>0.99979600000000002</v>
      </c>
      <c r="AB1038">
        <v>35</v>
      </c>
      <c r="AC1038">
        <v>0.59510000000000196</v>
      </c>
      <c r="AD1038">
        <v>-7.4914000000000106E-2</v>
      </c>
      <c r="AE1038">
        <v>1.8500000000017201E-2</v>
      </c>
      <c r="AF1038">
        <v>-1.5439567641502399E-2</v>
      </c>
      <c r="AG1038">
        <v>-7.4914000000000106E-2</v>
      </c>
      <c r="AH1038">
        <v>0.58590502192406302</v>
      </c>
      <c r="AI1038">
        <v>97.283820388260807</v>
      </c>
      <c r="AJ1038">
        <v>91.509489340658305</v>
      </c>
      <c r="AK1038">
        <v>0.59087662194471202</v>
      </c>
      <c r="AL1038">
        <v>72.179774720992498</v>
      </c>
      <c r="AM1038">
        <v>93.684385964076398</v>
      </c>
      <c r="AN1038">
        <v>1.0000000476872</v>
      </c>
    </row>
    <row r="1039" spans="1:40" x14ac:dyDescent="0.25">
      <c r="A1039" t="str">
        <f>"20190304164351936"</f>
        <v>20190304164351936</v>
      </c>
      <c r="B1039" t="str">
        <f>"1551689031930614"</f>
        <v>1551689031930614</v>
      </c>
      <c r="C1039" t="s">
        <v>40</v>
      </c>
      <c r="D1039">
        <v>5.0068989999999998</v>
      </c>
      <c r="E1039">
        <v>0.52763839999999995</v>
      </c>
      <c r="F1039" t="s">
        <v>41</v>
      </c>
      <c r="G1039">
        <v>-267.9006</v>
      </c>
      <c r="H1039">
        <v>1.022607</v>
      </c>
      <c r="I1039">
        <v>368.06020000000001</v>
      </c>
      <c r="J1039">
        <v>-268.59649999999999</v>
      </c>
      <c r="K1039">
        <v>1.1093309999999901</v>
      </c>
      <c r="L1039">
        <v>368.03910000000002</v>
      </c>
      <c r="M1039">
        <v>0.99993030000000005</v>
      </c>
      <c r="N1039">
        <v>-1.0889640000000001E-2</v>
      </c>
      <c r="O1039">
        <v>4.567148E-3</v>
      </c>
      <c r="P1039">
        <v>0.9530592</v>
      </c>
      <c r="Q1039">
        <v>0.29564669999999998</v>
      </c>
      <c r="R1039">
        <v>6.5353610000000006E-2</v>
      </c>
      <c r="S1039">
        <v>3.2393190000000001</v>
      </c>
      <c r="T1039">
        <v>-0.3128862</v>
      </c>
      <c r="U1039">
        <v>7.9467769999999993E-2</v>
      </c>
      <c r="V1039">
        <v>-6.0794460000000002E-2</v>
      </c>
      <c r="W1039">
        <v>0.30605179999999998</v>
      </c>
      <c r="X1039">
        <v>0.95007180000000002</v>
      </c>
      <c r="Y1039">
        <v>-1.987239E-2</v>
      </c>
      <c r="Z1039">
        <v>6.7545039999999902E-4</v>
      </c>
      <c r="AA1039">
        <v>0.99980230000000003</v>
      </c>
      <c r="AB1039">
        <v>35</v>
      </c>
      <c r="AC1039">
        <v>0.69589999999999397</v>
      </c>
      <c r="AD1039">
        <v>-8.6723999999999801E-2</v>
      </c>
      <c r="AE1039">
        <v>2.1099999999989901E-2</v>
      </c>
      <c r="AF1039">
        <v>-1.7647490927918501E-2</v>
      </c>
      <c r="AG1039">
        <v>-8.6723999999999801E-2</v>
      </c>
      <c r="AH1039">
        <v>0.68535499676854195</v>
      </c>
      <c r="AI1039">
        <v>97.209445775752997</v>
      </c>
      <c r="AJ1039">
        <v>91.475006927577695</v>
      </c>
      <c r="AK1039">
        <v>0.69104555400325096</v>
      </c>
      <c r="AL1039">
        <v>72.178546981714604</v>
      </c>
      <c r="AM1039">
        <v>93.661326847088603</v>
      </c>
      <c r="AN1039">
        <v>1.0000000479025799</v>
      </c>
    </row>
    <row r="1040" spans="1:40" x14ac:dyDescent="0.25">
      <c r="A1040" t="str">
        <f>"20190304164351955"</f>
        <v>20190304164351955</v>
      </c>
      <c r="B1040" t="str">
        <f>"1551689031951109"</f>
        <v>1551689031951109</v>
      </c>
      <c r="C1040" t="s">
        <v>40</v>
      </c>
      <c r="D1040">
        <v>5.007746</v>
      </c>
      <c r="E1040">
        <v>0.52768159999999997</v>
      </c>
      <c r="F1040" t="s">
        <v>41</v>
      </c>
      <c r="G1040">
        <v>-267.59230000000002</v>
      </c>
      <c r="H1040">
        <v>1.012335</v>
      </c>
      <c r="I1040">
        <v>368.06319999999999</v>
      </c>
      <c r="J1040">
        <v>-268.29169999999999</v>
      </c>
      <c r="K1040">
        <v>1.1094010000000001</v>
      </c>
      <c r="L1040">
        <v>368.0403</v>
      </c>
      <c r="M1040">
        <v>0.99993240000000005</v>
      </c>
      <c r="N1040">
        <v>-1.0811970000000001E-2</v>
      </c>
      <c r="O1040">
        <v>4.3185000000000003E-3</v>
      </c>
      <c r="P1040">
        <v>0.95314600000000005</v>
      </c>
      <c r="Q1040">
        <v>0.29552840000000002</v>
      </c>
      <c r="R1040">
        <v>6.462553E-2</v>
      </c>
      <c r="S1040">
        <v>3.239471</v>
      </c>
      <c r="T1040">
        <v>-0.31298340000000002</v>
      </c>
      <c r="U1040">
        <v>7.8277589999999994E-2</v>
      </c>
      <c r="V1040">
        <v>-6.030228E-2</v>
      </c>
      <c r="W1040">
        <v>0.30586029999999997</v>
      </c>
      <c r="X1040">
        <v>0.95016480000000003</v>
      </c>
      <c r="Y1040">
        <v>-1.9752510000000001E-2</v>
      </c>
      <c r="Z1040">
        <v>6.8931410000000004E-4</v>
      </c>
      <c r="AA1040">
        <v>0.99980469999999999</v>
      </c>
      <c r="AB1040">
        <v>35</v>
      </c>
      <c r="AC1040">
        <v>0.69939999999996805</v>
      </c>
      <c r="AD1040">
        <v>-9.7066000000000097E-2</v>
      </c>
      <c r="AE1040">
        <v>2.2899999999992801E-2</v>
      </c>
      <c r="AF1040">
        <v>-1.9503983976853202E-2</v>
      </c>
      <c r="AG1040">
        <v>-9.7066000000000097E-2</v>
      </c>
      <c r="AH1040">
        <v>0.68628781618855195</v>
      </c>
      <c r="AI1040">
        <v>98.047099164077594</v>
      </c>
      <c r="AJ1040">
        <v>91.627881522652004</v>
      </c>
      <c r="AK1040">
        <v>0.693392515387801</v>
      </c>
      <c r="AL1040">
        <v>72.190071230336997</v>
      </c>
      <c r="AM1040">
        <v>93.631410601079395</v>
      </c>
      <c r="AN1040">
        <v>1.0000000176241599</v>
      </c>
    </row>
    <row r="1041" spans="1:40" x14ac:dyDescent="0.25">
      <c r="A1041" t="str">
        <f>"20190304164351966"</f>
        <v>20190304164351966</v>
      </c>
      <c r="B1041" t="str">
        <f>"1551689031960870"</f>
        <v>1551689031960870</v>
      </c>
      <c r="C1041" t="s">
        <v>40</v>
      </c>
      <c r="D1041">
        <v>5.022265</v>
      </c>
      <c r="E1041">
        <v>0.52770050000000002</v>
      </c>
      <c r="F1041" t="s">
        <v>41</v>
      </c>
      <c r="G1041">
        <v>-267.2792</v>
      </c>
      <c r="H1041">
        <v>1.0112270000000001</v>
      </c>
      <c r="I1041">
        <v>368.06400000000002</v>
      </c>
      <c r="J1041">
        <v>-268.10239999999999</v>
      </c>
      <c r="K1041">
        <v>1.1094379999999999</v>
      </c>
      <c r="L1041">
        <v>368.041</v>
      </c>
      <c r="M1041">
        <v>0.99993339999999997</v>
      </c>
      <c r="N1041">
        <v>-1.076767E-2</v>
      </c>
      <c r="O1041">
        <v>4.1646110000000004E-3</v>
      </c>
      <c r="P1041">
        <v>0.95317629999999998</v>
      </c>
      <c r="Q1041">
        <v>0.2955315</v>
      </c>
      <c r="R1041">
        <v>6.4160190000000006E-2</v>
      </c>
      <c r="S1041">
        <v>3.2397459999999998</v>
      </c>
      <c r="T1041">
        <v>-0.3142163</v>
      </c>
      <c r="U1041">
        <v>7.6080320000000007E-2</v>
      </c>
      <c r="V1041">
        <v>-5.998274E-2</v>
      </c>
      <c r="W1041">
        <v>0.30582120000000002</v>
      </c>
      <c r="X1041">
        <v>0.95019759999999998</v>
      </c>
      <c r="Y1041">
        <v>-1.9228240000000001E-2</v>
      </c>
      <c r="Z1041">
        <v>6.7578699999999996E-4</v>
      </c>
      <c r="AA1041">
        <v>0.99981489999999995</v>
      </c>
      <c r="AB1041">
        <v>35</v>
      </c>
      <c r="AC1041">
        <v>0.82319999999998505</v>
      </c>
      <c r="AD1041">
        <v>-9.8210999999999798E-2</v>
      </c>
      <c r="AE1041">
        <v>2.3000000000024501E-2</v>
      </c>
      <c r="AF1041">
        <v>-1.9296848062061198E-2</v>
      </c>
      <c r="AG1041">
        <v>-9.8210999999999798E-2</v>
      </c>
      <c r="AH1041">
        <v>0.81174376687469096</v>
      </c>
      <c r="AI1041">
        <v>96.896624151523397</v>
      </c>
      <c r="AJ1041">
        <v>91.361784099294496</v>
      </c>
      <c r="AK1041">
        <v>0.81789101469941705</v>
      </c>
      <c r="AL1041">
        <v>72.1924240546372</v>
      </c>
      <c r="AM1041">
        <v>93.612094586890606</v>
      </c>
      <c r="AN1041">
        <v>1.00000000725655</v>
      </c>
    </row>
    <row r="1042" spans="1:40" x14ac:dyDescent="0.25">
      <c r="A1042" t="str">
        <f>"20190304164351979"</f>
        <v>20190304164351979</v>
      </c>
      <c r="B1042" t="str">
        <f>"1551689031970629"</f>
        <v>1551689031970629</v>
      </c>
      <c r="C1042" t="s">
        <v>40</v>
      </c>
      <c r="D1042">
        <v>5.0759129999999999</v>
      </c>
      <c r="E1042">
        <v>0.52782769999999901</v>
      </c>
      <c r="F1042" t="s">
        <v>41</v>
      </c>
      <c r="G1042">
        <v>-267.26929999999999</v>
      </c>
      <c r="H1042">
        <v>1.0285679999999999</v>
      </c>
      <c r="I1042">
        <v>368.06</v>
      </c>
      <c r="J1042">
        <v>-267.90789999999998</v>
      </c>
      <c r="K1042">
        <v>1.1094809999999999</v>
      </c>
      <c r="L1042">
        <v>368.04169999999999</v>
      </c>
      <c r="M1042">
        <v>0.99993460000000001</v>
      </c>
      <c r="N1042">
        <v>-1.072412E-2</v>
      </c>
      <c r="O1042">
        <v>4.0065409999999997E-3</v>
      </c>
      <c r="P1042">
        <v>0.95313190000000003</v>
      </c>
      <c r="Q1042">
        <v>0.29572209999999899</v>
      </c>
      <c r="R1042">
        <v>6.3940940000000002E-2</v>
      </c>
      <c r="S1042">
        <v>3.2398989999999999</v>
      </c>
      <c r="T1042">
        <v>-0.31453999999999999</v>
      </c>
      <c r="U1042">
        <v>7.4310299999999996E-2</v>
      </c>
      <c r="V1042">
        <v>-5.9914040000000002E-2</v>
      </c>
      <c r="W1042">
        <v>0.30597020000000003</v>
      </c>
      <c r="X1042">
        <v>0.9501539</v>
      </c>
      <c r="Y1042">
        <v>-1.8840599999999999E-2</v>
      </c>
      <c r="Z1042">
        <v>6.6846639999999997E-4</v>
      </c>
      <c r="AA1042">
        <v>0.99982230000000005</v>
      </c>
      <c r="AB1042">
        <v>35</v>
      </c>
      <c r="AC1042">
        <v>0.63859999999999595</v>
      </c>
      <c r="AD1042">
        <v>-8.0912999999999999E-2</v>
      </c>
      <c r="AE1042">
        <v>1.8300000000010599E-2</v>
      </c>
      <c r="AF1042">
        <v>-1.54926173800366E-2</v>
      </c>
      <c r="AG1042">
        <v>-8.0912999999999999E-2</v>
      </c>
      <c r="AH1042">
        <v>0.62858527388581298</v>
      </c>
      <c r="AI1042">
        <v>97.332712806896396</v>
      </c>
      <c r="AJ1042">
        <v>91.411871946027901</v>
      </c>
      <c r="AK1042">
        <v>0.63396086733203605</v>
      </c>
      <c r="AL1042">
        <v>72.183456001403897</v>
      </c>
      <c r="AM1042">
        <v>93.608133983887001</v>
      </c>
      <c r="AN1042">
        <v>0.99999994458118402</v>
      </c>
    </row>
    <row r="1043" spans="1:40" x14ac:dyDescent="0.25">
      <c r="A1043" t="str">
        <f>"20190304164351990"</f>
        <v>20190304164351990</v>
      </c>
      <c r="B1043" t="str">
        <f>"1551689031981365"</f>
        <v>1551689031981365</v>
      </c>
      <c r="C1043" t="s">
        <v>40</v>
      </c>
      <c r="D1043">
        <v>5.3594390000000001</v>
      </c>
      <c r="E1043">
        <v>0.52782769999999901</v>
      </c>
      <c r="F1043" t="s">
        <v>41</v>
      </c>
      <c r="G1043">
        <v>-266.96210000000002</v>
      </c>
      <c r="H1043">
        <v>1.018043</v>
      </c>
      <c r="I1043">
        <v>368.06270000000001</v>
      </c>
      <c r="J1043">
        <v>-267.73230000000001</v>
      </c>
      <c r="K1043">
        <v>1.10951</v>
      </c>
      <c r="L1043">
        <v>368.04219999999998</v>
      </c>
      <c r="M1043">
        <v>0.99993540000000003</v>
      </c>
      <c r="N1043">
        <v>-1.068704E-2</v>
      </c>
      <c r="O1043">
        <v>3.8642289999999998E-3</v>
      </c>
      <c r="P1043">
        <v>0.95309549999999998</v>
      </c>
      <c r="Q1043">
        <v>0.29592689999999999</v>
      </c>
      <c r="R1043">
        <v>6.3531669999999998E-2</v>
      </c>
      <c r="S1043">
        <v>3.2398989999999999</v>
      </c>
      <c r="T1043">
        <v>-0.31343769999999999</v>
      </c>
      <c r="U1043">
        <v>7.2753910000000005E-2</v>
      </c>
      <c r="V1043">
        <v>-5.9639230000000001E-2</v>
      </c>
      <c r="W1043">
        <v>0.30613950000000001</v>
      </c>
      <c r="X1043">
        <v>0.95011670000000004</v>
      </c>
      <c r="Y1043">
        <v>-1.8504639999999999E-2</v>
      </c>
      <c r="Z1043">
        <v>6.6034509999999896E-4</v>
      </c>
      <c r="AA1043">
        <v>0.99982859999999996</v>
      </c>
      <c r="AB1043">
        <v>35</v>
      </c>
      <c r="AC1043">
        <v>0.77019999999998801</v>
      </c>
      <c r="AD1043">
        <v>-9.1466999999999896E-2</v>
      </c>
      <c r="AE1043">
        <v>2.0500000000026799E-2</v>
      </c>
      <c r="AF1043">
        <v>-1.7279915773522499E-2</v>
      </c>
      <c r="AG1043">
        <v>-9.1466999999999896E-2</v>
      </c>
      <c r="AH1043">
        <v>0.75956860289724903</v>
      </c>
      <c r="AI1043">
        <v>96.864716960449798</v>
      </c>
      <c r="AJ1043">
        <v>91.303233824687695</v>
      </c>
      <c r="AK1043">
        <v>0.76525111570347804</v>
      </c>
      <c r="AL1043">
        <v>72.173267678633593</v>
      </c>
      <c r="AM1043">
        <v>93.591768093748897</v>
      </c>
      <c r="AN1043">
        <v>0.99999998741706597</v>
      </c>
    </row>
    <row r="1044" spans="1:40" x14ac:dyDescent="0.25">
      <c r="A1044" t="str">
        <f>"20190304164352001"</f>
        <v>20190304164352001</v>
      </c>
      <c r="B1044" t="str">
        <f>"1551689031991125"</f>
        <v>1551689031991125</v>
      </c>
      <c r="C1044" t="s">
        <v>40</v>
      </c>
      <c r="D1044">
        <v>5.1138690000000002</v>
      </c>
      <c r="E1044">
        <v>0.55215459999999905</v>
      </c>
      <c r="F1044" t="s">
        <v>41</v>
      </c>
      <c r="G1044">
        <v>-266.9511</v>
      </c>
      <c r="H1044">
        <v>1.0341530000000001</v>
      </c>
      <c r="I1044">
        <v>368.05930000000001</v>
      </c>
      <c r="J1044">
        <v>-267.55579999999998</v>
      </c>
      <c r="K1044">
        <v>1.1095349999999999</v>
      </c>
      <c r="L1044">
        <v>368.0428</v>
      </c>
      <c r="M1044">
        <v>0.99993650000000001</v>
      </c>
      <c r="N1044">
        <v>-1.0652679999999999E-2</v>
      </c>
      <c r="O1044">
        <v>3.7208889999999998E-3</v>
      </c>
      <c r="P1044">
        <v>0.95307459999999999</v>
      </c>
      <c r="Q1044">
        <v>0.29607299999999998</v>
      </c>
      <c r="R1044">
        <v>6.3166109999999998E-2</v>
      </c>
      <c r="S1044">
        <v>3.2399900000000001</v>
      </c>
      <c r="T1044">
        <v>-0.31277850000000001</v>
      </c>
      <c r="U1044">
        <v>7.1655269999999993E-2</v>
      </c>
      <c r="V1044">
        <v>-5.9409990000000003E-2</v>
      </c>
      <c r="W1044">
        <v>0.30625200000000002</v>
      </c>
      <c r="X1044">
        <v>0.95009480000000002</v>
      </c>
      <c r="Y1044">
        <v>-1.830932E-2</v>
      </c>
      <c r="Z1044">
        <v>6.6062320000000001E-4</v>
      </c>
      <c r="AA1044">
        <v>0.99983219999999995</v>
      </c>
      <c r="AB1044">
        <v>35</v>
      </c>
      <c r="AC1044">
        <v>0.60469999999997903</v>
      </c>
      <c r="AD1044">
        <v>-7.5381999999999796E-2</v>
      </c>
      <c r="AE1044">
        <v>1.6500000000007699E-2</v>
      </c>
      <c r="AF1044">
        <v>-1.4031842096293001E-2</v>
      </c>
      <c r="AG1044">
        <v>-7.5381999999999796E-2</v>
      </c>
      <c r="AH1044">
        <v>0.59550978178195502</v>
      </c>
      <c r="AI1044">
        <v>97.212377353314494</v>
      </c>
      <c r="AJ1044">
        <v>91.349795783606694</v>
      </c>
      <c r="AK1044">
        <v>0.60042588111656803</v>
      </c>
      <c r="AL1044">
        <v>72.166496577390205</v>
      </c>
      <c r="AM1044">
        <v>93.578080325925697</v>
      </c>
      <c r="AN1044">
        <v>0.99999998170141902</v>
      </c>
    </row>
    <row r="1045" spans="1:40" x14ac:dyDescent="0.25">
      <c r="A1045" t="str">
        <f>"20190304164352012"</f>
        <v>20190304164352012</v>
      </c>
      <c r="B1045" t="str">
        <f>"1551689032000885"</f>
        <v>1551689032000885</v>
      </c>
      <c r="C1045" t="s">
        <v>40</v>
      </c>
      <c r="D1045">
        <v>5.1602930000000002</v>
      </c>
      <c r="E1045">
        <v>0.5552414</v>
      </c>
      <c r="F1045" t="s">
        <v>41</v>
      </c>
      <c r="G1045">
        <v>-266.62810000000002</v>
      </c>
      <c r="H1045">
        <v>1.0527799999999901</v>
      </c>
      <c r="I1045">
        <v>368.00420000000003</v>
      </c>
      <c r="J1045">
        <v>-267.37950000000001</v>
      </c>
      <c r="K1045">
        <v>1.1095569999999999</v>
      </c>
      <c r="L1045">
        <v>368.04329999999999</v>
      </c>
      <c r="M1045">
        <v>0.99993739999999998</v>
      </c>
      <c r="N1045">
        <v>-1.061954E-2</v>
      </c>
      <c r="O1045">
        <v>3.5779010000000001E-3</v>
      </c>
      <c r="P1045">
        <v>0.95306020000000002</v>
      </c>
      <c r="Q1045">
        <v>0.29621969999999997</v>
      </c>
      <c r="R1045">
        <v>6.2694639999999996E-2</v>
      </c>
      <c r="S1045">
        <v>3.2177120000000001</v>
      </c>
      <c r="T1045">
        <v>-0.19696839999999999</v>
      </c>
      <c r="U1045">
        <v>-0.13311770000000001</v>
      </c>
      <c r="V1045">
        <v>-5.9073800000000003E-2</v>
      </c>
      <c r="W1045">
        <v>0.3063669</v>
      </c>
      <c r="X1045">
        <v>0.95007870000000005</v>
      </c>
      <c r="Y1045">
        <v>4.4806840000000001E-2</v>
      </c>
      <c r="Z1045">
        <v>-1.7885869999999999E-3</v>
      </c>
      <c r="AA1045">
        <v>0.9989941</v>
      </c>
      <c r="AB1045">
        <v>35</v>
      </c>
      <c r="AC1045">
        <v>0.75139999999998897</v>
      </c>
      <c r="AD1045">
        <v>-5.6777000000000001E-2</v>
      </c>
      <c r="AE1045">
        <v>-3.9099999999962103E-2</v>
      </c>
      <c r="AF1045">
        <v>4.1551734229062401E-2</v>
      </c>
      <c r="AG1045">
        <v>-5.6777000000000001E-2</v>
      </c>
      <c r="AH1045">
        <v>0.74700175378572697</v>
      </c>
      <c r="AI1045">
        <v>94.339812448926494</v>
      </c>
      <c r="AJ1045">
        <v>86.816221487909303</v>
      </c>
      <c r="AK1045">
        <v>0.75030779984310103</v>
      </c>
      <c r="AL1045">
        <v>72.1595805363784</v>
      </c>
      <c r="AM1045">
        <v>93.557944934292394</v>
      </c>
      <c r="AN1045">
        <v>0.99999996372786903</v>
      </c>
    </row>
    <row r="1046" spans="1:40" x14ac:dyDescent="0.25">
      <c r="A1046" t="str">
        <f>"20190304164352026"</f>
        <v>20190304164352026</v>
      </c>
      <c r="B1046" t="str">
        <f>"1551689032010645"</f>
        <v>1551689032010645</v>
      </c>
      <c r="C1046" t="s">
        <v>40</v>
      </c>
      <c r="D1046">
        <v>5.0995150000000002</v>
      </c>
      <c r="E1046">
        <v>0.55685419999999997</v>
      </c>
      <c r="F1046" t="s">
        <v>42</v>
      </c>
      <c r="G1046">
        <v>-250.4393</v>
      </c>
      <c r="H1046" s="1">
        <v>-4.5100559999999999E-6</v>
      </c>
      <c r="I1046">
        <v>367.21339999999998</v>
      </c>
      <c r="J1046">
        <v>-267.19799999999998</v>
      </c>
      <c r="K1046">
        <v>1.1095820000000001</v>
      </c>
      <c r="L1046">
        <v>368.04379999999998</v>
      </c>
      <c r="M1046">
        <v>0.99993810000000005</v>
      </c>
      <c r="N1046">
        <v>-1.058892E-2</v>
      </c>
      <c r="O1046">
        <v>3.430607E-3</v>
      </c>
      <c r="P1046">
        <v>0.95308139999999997</v>
      </c>
      <c r="Q1046">
        <v>0.29611959999999998</v>
      </c>
      <c r="R1046">
        <v>6.2842899999999993E-2</v>
      </c>
      <c r="S1046">
        <v>3.2237550000000001</v>
      </c>
      <c r="T1046">
        <v>-0.21115049999999999</v>
      </c>
      <c r="U1046">
        <v>-0.1579285</v>
      </c>
      <c r="V1046">
        <v>-5.9361789999999998E-2</v>
      </c>
      <c r="W1046">
        <v>0.30623840000000002</v>
      </c>
      <c r="X1046">
        <v>0.95010220000000001</v>
      </c>
      <c r="Y1046">
        <v>5.2221799999999999E-2</v>
      </c>
      <c r="Z1046">
        <v>-2.1724280000000001E-3</v>
      </c>
      <c r="AA1046">
        <v>0.99863310000000005</v>
      </c>
      <c r="AB1046">
        <v>35</v>
      </c>
      <c r="AC1046">
        <v>16.758699999999902</v>
      </c>
      <c r="AD1046">
        <v>-1.1095865100560001</v>
      </c>
      <c r="AE1046">
        <v>-0.83039999999999703</v>
      </c>
      <c r="AF1046">
        <v>0.88402503041603697</v>
      </c>
      <c r="AG1046">
        <v>-1.1095865100560001</v>
      </c>
      <c r="AH1046">
        <v>16.6827990236077</v>
      </c>
      <c r="AI1046">
        <v>93.799868888947501</v>
      </c>
      <c r="AJ1046">
        <v>86.966721576056599</v>
      </c>
      <c r="AK1046">
        <v>16.743012445190001</v>
      </c>
      <c r="AL1046">
        <v>72.167315191804406</v>
      </c>
      <c r="AM1046">
        <v>93.575157147544004</v>
      </c>
      <c r="AN1046">
        <v>0.99999998509570098</v>
      </c>
    </row>
    <row r="1047" spans="1:40" x14ac:dyDescent="0.25">
      <c r="A1047" t="str">
        <f>"20190304164352038"</f>
        <v>20190304164352038</v>
      </c>
      <c r="B1047" t="str">
        <f>"1551689032031141"</f>
        <v>1551689032031141</v>
      </c>
      <c r="C1047" t="s">
        <v>40</v>
      </c>
      <c r="D1047">
        <v>5.0460649999999996</v>
      </c>
      <c r="E1047">
        <v>0.55850789999999995</v>
      </c>
      <c r="F1047" t="s">
        <v>41</v>
      </c>
      <c r="G1047">
        <v>-266.31580000000002</v>
      </c>
      <c r="H1047">
        <v>1.0506260000000001</v>
      </c>
      <c r="I1047">
        <v>367.99709999999999</v>
      </c>
      <c r="J1047">
        <v>-266.98680000000002</v>
      </c>
      <c r="K1047">
        <v>1.1096060000000001</v>
      </c>
      <c r="L1047">
        <v>368.0444</v>
      </c>
      <c r="M1047">
        <v>0.99993900000000002</v>
      </c>
      <c r="N1047">
        <v>-1.0554910000000001E-2</v>
      </c>
      <c r="O1047">
        <v>3.2591320000000001E-3</v>
      </c>
      <c r="P1047">
        <v>0.95309600000000005</v>
      </c>
      <c r="Q1047">
        <v>0.29612179999999999</v>
      </c>
      <c r="R1047">
        <v>6.2610499999999999E-2</v>
      </c>
      <c r="S1047">
        <v>3.2259519999999999</v>
      </c>
      <c r="T1047">
        <v>-0.21578240000000001</v>
      </c>
      <c r="U1047">
        <v>-0.1701355</v>
      </c>
      <c r="V1047">
        <v>-5.9292619999999997E-2</v>
      </c>
      <c r="W1047">
        <v>0.30620849999999999</v>
      </c>
      <c r="X1047">
        <v>0.95011619999999997</v>
      </c>
      <c r="Y1047">
        <v>5.5771809999999998E-2</v>
      </c>
      <c r="Z1047">
        <v>-2.3400970000000002E-3</v>
      </c>
      <c r="AA1047">
        <v>0.99844080000000002</v>
      </c>
      <c r="AB1047">
        <v>35</v>
      </c>
      <c r="AC1047">
        <v>0.67099999999999205</v>
      </c>
      <c r="AD1047">
        <v>-5.8979999999999803E-2</v>
      </c>
      <c r="AE1047">
        <v>-4.7300000000007003E-2</v>
      </c>
      <c r="AF1047">
        <v>4.9109197989173799E-2</v>
      </c>
      <c r="AG1047">
        <v>-5.8979999999999803E-2</v>
      </c>
      <c r="AH1047">
        <v>0.66572420141863398</v>
      </c>
      <c r="AI1047">
        <v>95.049266352460407</v>
      </c>
      <c r="AJ1047">
        <v>85.781041931386596</v>
      </c>
      <c r="AK1047">
        <v>0.67013361808046701</v>
      </c>
      <c r="AL1047">
        <v>72.169115558976102</v>
      </c>
      <c r="AM1047">
        <v>93.570949578923802</v>
      </c>
      <c r="AN1047">
        <v>1.00000002688057</v>
      </c>
    </row>
    <row r="1048" spans="1:40" x14ac:dyDescent="0.25">
      <c r="A1048" t="str">
        <f>"20190304164352052"</f>
        <v>20190304164352052</v>
      </c>
      <c r="B1048" t="str">
        <f>"1551689032040902"</f>
        <v>1551689032040902</v>
      </c>
      <c r="C1048" t="s">
        <v>40</v>
      </c>
      <c r="D1048">
        <v>5.0661079999999998</v>
      </c>
      <c r="E1048">
        <v>0.55927079999999996</v>
      </c>
      <c r="F1048" t="s">
        <v>41</v>
      </c>
      <c r="G1048">
        <v>-266.00970000000001</v>
      </c>
      <c r="H1048">
        <v>1.038178</v>
      </c>
      <c r="I1048">
        <v>367.98899999999998</v>
      </c>
      <c r="J1048">
        <v>-266.75560000000002</v>
      </c>
      <c r="K1048">
        <v>1.1096269999999999</v>
      </c>
      <c r="L1048">
        <v>368.04500000000002</v>
      </c>
      <c r="M1048">
        <v>0.99994000000000005</v>
      </c>
      <c r="N1048">
        <v>-1.052085E-2</v>
      </c>
      <c r="O1048">
        <v>3.070971E-3</v>
      </c>
      <c r="P1048">
        <v>0.9531541</v>
      </c>
      <c r="Q1048">
        <v>0.29594700000000002</v>
      </c>
      <c r="R1048">
        <v>6.2555079999999999E-2</v>
      </c>
      <c r="S1048">
        <v>3.233063</v>
      </c>
      <c r="T1048">
        <v>-0.23636309999999999</v>
      </c>
      <c r="U1048">
        <v>-0.18276980000000001</v>
      </c>
      <c r="V1048">
        <v>-5.9416370000000003E-2</v>
      </c>
      <c r="W1048">
        <v>0.30600149999999998</v>
      </c>
      <c r="X1048">
        <v>0.9501752</v>
      </c>
      <c r="Y1048">
        <v>5.9320699999999997E-2</v>
      </c>
      <c r="Z1048">
        <v>-2.6683779999999999E-3</v>
      </c>
      <c r="AA1048">
        <v>0.99823539999999999</v>
      </c>
      <c r="AB1048">
        <v>35</v>
      </c>
      <c r="AC1048">
        <v>0.745900000000006</v>
      </c>
      <c r="AD1048">
        <v>-7.1449000000000096E-2</v>
      </c>
      <c r="AE1048">
        <v>-5.5999999999983098E-2</v>
      </c>
      <c r="AF1048">
        <v>5.7763460229425002E-2</v>
      </c>
      <c r="AG1048">
        <v>-7.1449000000000096E-2</v>
      </c>
      <c r="AH1048">
        <v>0.73898195322284399</v>
      </c>
      <c r="AI1048">
        <v>95.505826888934294</v>
      </c>
      <c r="AJ1048">
        <v>85.530490898440604</v>
      </c>
      <c r="AK1048">
        <v>0.74467167538971502</v>
      </c>
      <c r="AL1048">
        <v>72.181574545231797</v>
      </c>
      <c r="AM1048">
        <v>93.578161566754503</v>
      </c>
      <c r="AN1048">
        <v>1.0000000668606299</v>
      </c>
    </row>
    <row r="1049" spans="1:40" x14ac:dyDescent="0.25">
      <c r="A1049" t="str">
        <f>"20190304164352069"</f>
        <v>20190304164352069</v>
      </c>
      <c r="B1049" t="str">
        <f>"1551689032060421"</f>
        <v>1551689032060421</v>
      </c>
      <c r="C1049" t="s">
        <v>40</v>
      </c>
      <c r="D1049">
        <v>5.04427</v>
      </c>
      <c r="E1049">
        <v>0.56006549999999999</v>
      </c>
      <c r="F1049" t="s">
        <v>41</v>
      </c>
      <c r="G1049">
        <v>-266.00029999999998</v>
      </c>
      <c r="H1049">
        <v>1.0513459999999999</v>
      </c>
      <c r="I1049">
        <v>368.00099999999998</v>
      </c>
      <c r="J1049">
        <v>-266.50389999999999</v>
      </c>
      <c r="K1049">
        <v>1.1096509999999999</v>
      </c>
      <c r="L1049">
        <v>368.04559999999998</v>
      </c>
      <c r="M1049">
        <v>0.99994090000000002</v>
      </c>
      <c r="N1049">
        <v>-1.049104E-2</v>
      </c>
      <c r="O1049">
        <v>2.8664530000000001E-3</v>
      </c>
      <c r="P1049">
        <v>0.95312450000000004</v>
      </c>
      <c r="Q1049">
        <v>0.2959927</v>
      </c>
      <c r="R1049">
        <v>6.278715E-2</v>
      </c>
      <c r="S1049">
        <v>3.2373349999999999</v>
      </c>
      <c r="T1049">
        <v>-0.24987409999999999</v>
      </c>
      <c r="U1049">
        <v>-0.18807979999999999</v>
      </c>
      <c r="V1049">
        <v>-5.9842359999999997E-2</v>
      </c>
      <c r="W1049">
        <v>0.30601919999999999</v>
      </c>
      <c r="X1049">
        <v>0.95014270000000001</v>
      </c>
      <c r="Y1049">
        <v>6.065015E-2</v>
      </c>
      <c r="Z1049">
        <v>-2.8448919999999999E-3</v>
      </c>
      <c r="AA1049">
        <v>0.99815509999999996</v>
      </c>
      <c r="AB1049">
        <v>35</v>
      </c>
      <c r="AC1049">
        <v>0.50360000000000504</v>
      </c>
      <c r="AD1049">
        <v>-5.8305000000000003E-2</v>
      </c>
      <c r="AE1049">
        <v>-4.4600000000002603E-2</v>
      </c>
      <c r="AF1049">
        <v>4.5439107984493902E-2</v>
      </c>
      <c r="AG1049">
        <v>-5.8305000000000003E-2</v>
      </c>
      <c r="AH1049">
        <v>0.496861885299684</v>
      </c>
      <c r="AI1049">
        <v>96.665287466981994</v>
      </c>
      <c r="AJ1049">
        <v>84.774710329349006</v>
      </c>
      <c r="AK1049">
        <v>0.502330487451222</v>
      </c>
      <c r="AL1049">
        <v>72.180508161851407</v>
      </c>
      <c r="AM1049">
        <v>93.603871034060006</v>
      </c>
      <c r="AN1049">
        <v>1.0000000045911399</v>
      </c>
    </row>
    <row r="1050" spans="1:40" x14ac:dyDescent="0.25">
      <c r="A1050" t="str">
        <f>"20190304164352082"</f>
        <v>20190304164352082</v>
      </c>
      <c r="B1050" t="str">
        <f>"1551689032071158"</f>
        <v>1551689032071158</v>
      </c>
      <c r="C1050" t="s">
        <v>40</v>
      </c>
      <c r="D1050">
        <v>5.0382040000000003</v>
      </c>
      <c r="E1050">
        <v>0.56019949999999996</v>
      </c>
      <c r="F1050" t="s">
        <v>41</v>
      </c>
      <c r="G1050">
        <v>-265.69229999999999</v>
      </c>
      <c r="H1050">
        <v>1.042813</v>
      </c>
      <c r="I1050">
        <v>367.99700000000001</v>
      </c>
      <c r="J1050">
        <v>-266.29349999999999</v>
      </c>
      <c r="K1050">
        <v>1.1096680000000001</v>
      </c>
      <c r="L1050">
        <v>368.04599999999999</v>
      </c>
      <c r="M1050">
        <v>0.99994150000000004</v>
      </c>
      <c r="N1050">
        <v>-1.047174E-2</v>
      </c>
      <c r="O1050">
        <v>2.6958500000000001E-3</v>
      </c>
      <c r="P1050">
        <v>0.95310779999999995</v>
      </c>
      <c r="Q1050">
        <v>0.29596790000000001</v>
      </c>
      <c r="R1050">
        <v>6.3153390000000004E-2</v>
      </c>
      <c r="S1050">
        <v>3.2433169999999998</v>
      </c>
      <c r="T1050">
        <v>-0.26745409999999997</v>
      </c>
      <c r="U1050">
        <v>-0.1928406</v>
      </c>
      <c r="V1050">
        <v>-6.0371510000000003E-2</v>
      </c>
      <c r="W1050">
        <v>0.30597600000000003</v>
      </c>
      <c r="X1050">
        <v>0.9501231</v>
      </c>
      <c r="Y1050">
        <v>6.1801330000000002E-2</v>
      </c>
      <c r="Z1050">
        <v>-3.0596880000000001E-3</v>
      </c>
      <c r="AA1050">
        <v>0.99808379999999997</v>
      </c>
      <c r="AB1050">
        <v>35</v>
      </c>
      <c r="AC1050">
        <v>0.60120000000000495</v>
      </c>
      <c r="AD1050">
        <v>-6.6855000000000095E-2</v>
      </c>
      <c r="AE1050">
        <v>-4.9000000000035002E-2</v>
      </c>
      <c r="AF1050">
        <v>5.0006357098293999E-2</v>
      </c>
      <c r="AG1050">
        <v>-6.6855000000000095E-2</v>
      </c>
      <c r="AH1050">
        <v>0.59377157558601701</v>
      </c>
      <c r="AI1050">
        <v>96.401620883206206</v>
      </c>
      <c r="AJ1050">
        <v>85.186014085819806</v>
      </c>
      <c r="AK1050">
        <v>0.59961230036511404</v>
      </c>
      <c r="AL1050">
        <v>72.183107385162401</v>
      </c>
      <c r="AM1050">
        <v>93.635727598763097</v>
      </c>
      <c r="AN1050">
        <v>0.99999996847464401</v>
      </c>
    </row>
    <row r="1051" spans="1:40" x14ac:dyDescent="0.25">
      <c r="A1051" t="str">
        <f>"20190304164352100"</f>
        <v>20190304164352100</v>
      </c>
      <c r="B1051" t="str">
        <f>"1551689032090677"</f>
        <v>1551689032090677</v>
      </c>
      <c r="C1051" t="s">
        <v>40</v>
      </c>
      <c r="D1051">
        <v>5.0628000000000002</v>
      </c>
      <c r="E1051">
        <v>0.56028310000000003</v>
      </c>
      <c r="F1051" t="s">
        <v>41</v>
      </c>
      <c r="G1051">
        <v>-265.38189999999997</v>
      </c>
      <c r="H1051">
        <v>1.0329060000000001</v>
      </c>
      <c r="I1051">
        <v>367.99180000000001</v>
      </c>
      <c r="J1051">
        <v>-266.00760000000002</v>
      </c>
      <c r="K1051">
        <v>1.1096889999999999</v>
      </c>
      <c r="L1051">
        <v>368.04660000000001</v>
      </c>
      <c r="M1051">
        <v>0.99994240000000001</v>
      </c>
      <c r="N1051">
        <v>-1.0454089999999999E-2</v>
      </c>
      <c r="O1051">
        <v>2.4644430000000002E-3</v>
      </c>
      <c r="P1051">
        <v>0.9531271</v>
      </c>
      <c r="Q1051">
        <v>0.29581109999999999</v>
      </c>
      <c r="R1051">
        <v>6.3596490000000006E-2</v>
      </c>
      <c r="S1051">
        <v>3.2452700000000001</v>
      </c>
      <c r="T1051">
        <v>-0.27353369999999999</v>
      </c>
      <c r="U1051">
        <v>-0.1921387</v>
      </c>
      <c r="V1051">
        <v>-6.1034699999999997E-2</v>
      </c>
      <c r="W1051">
        <v>0.30580309999999999</v>
      </c>
      <c r="X1051">
        <v>0.95013639999999999</v>
      </c>
      <c r="Y1051">
        <v>6.1311989999999997E-2</v>
      </c>
      <c r="Z1051">
        <v>-3.0799619999999999E-3</v>
      </c>
      <c r="AA1051">
        <v>0.9981139</v>
      </c>
      <c r="AB1051">
        <v>35</v>
      </c>
      <c r="AC1051">
        <v>0.62570000000005099</v>
      </c>
      <c r="AD1051">
        <v>-7.6783000000000004E-2</v>
      </c>
      <c r="AE1051">
        <v>-5.4800000000000099E-2</v>
      </c>
      <c r="AF1051">
        <v>5.5512319898384302E-2</v>
      </c>
      <c r="AG1051">
        <v>-7.6783000000000004E-2</v>
      </c>
      <c r="AH1051">
        <v>0.61635201336783896</v>
      </c>
      <c r="AI1051">
        <v>97.072788642688593</v>
      </c>
      <c r="AJ1051">
        <v>84.853488065020599</v>
      </c>
      <c r="AK1051">
        <v>0.62359205505850501</v>
      </c>
      <c r="AL1051">
        <v>72.193512690372302</v>
      </c>
      <c r="AM1051">
        <v>93.675506405261004</v>
      </c>
      <c r="AN1051">
        <v>0.99999997458932899</v>
      </c>
    </row>
    <row r="1052" spans="1:40" x14ac:dyDescent="0.25">
      <c r="A1052" t="str">
        <f>"20190304164352112"</f>
        <v>20190304164352112</v>
      </c>
      <c r="B1052" t="str">
        <f>"1551689032101414"</f>
        <v>1551689032101414</v>
      </c>
      <c r="C1052" t="s">
        <v>40</v>
      </c>
      <c r="D1052">
        <v>5.0619079999999999</v>
      </c>
      <c r="E1052">
        <v>0.56028710000000004</v>
      </c>
      <c r="F1052" t="s">
        <v>41</v>
      </c>
      <c r="G1052">
        <v>-265.06920000000002</v>
      </c>
      <c r="H1052">
        <v>1.0268139999999999</v>
      </c>
      <c r="I1052">
        <v>367.99169999999998</v>
      </c>
      <c r="J1052">
        <v>-265.81189999999998</v>
      </c>
      <c r="K1052">
        <v>1.109702</v>
      </c>
      <c r="L1052">
        <v>368.04700000000003</v>
      </c>
      <c r="M1052">
        <v>0.99994280000000002</v>
      </c>
      <c r="N1052">
        <v>-1.0447339999999999E-2</v>
      </c>
      <c r="O1052">
        <v>2.30707E-3</v>
      </c>
      <c r="P1052">
        <v>0.95303479999999996</v>
      </c>
      <c r="Q1052">
        <v>0.29604419999999998</v>
      </c>
      <c r="R1052">
        <v>6.3896090000000003E-2</v>
      </c>
      <c r="S1052">
        <v>3.2492679999999998</v>
      </c>
      <c r="T1052">
        <v>-0.28701500000000002</v>
      </c>
      <c r="U1052">
        <v>-0.18984989999999999</v>
      </c>
      <c r="V1052">
        <v>-6.1484419999999998E-2</v>
      </c>
      <c r="W1052">
        <v>0.30602869999999999</v>
      </c>
      <c r="X1052">
        <v>0.95003479999999996</v>
      </c>
      <c r="Y1052">
        <v>6.036304E-2</v>
      </c>
      <c r="Z1052">
        <v>-3.154025E-3</v>
      </c>
      <c r="AA1052">
        <v>0.99817149999999999</v>
      </c>
      <c r="AB1052">
        <v>35</v>
      </c>
      <c r="AC1052">
        <v>0.74269999999995595</v>
      </c>
      <c r="AD1052">
        <v>-8.2888000000000003E-2</v>
      </c>
      <c r="AE1052">
        <v>-5.5299999999988303E-2</v>
      </c>
      <c r="AF1052">
        <v>5.6315840104432802E-2</v>
      </c>
      <c r="AG1052">
        <v>-8.2888000000000003E-2</v>
      </c>
      <c r="AH1052">
        <v>0.733484981616503</v>
      </c>
      <c r="AI1052">
        <v>96.428637465135097</v>
      </c>
      <c r="AJ1052">
        <v>85.609532495026798</v>
      </c>
      <c r="AK1052">
        <v>0.74029866449131798</v>
      </c>
      <c r="AL1052">
        <v>72.179936524780601</v>
      </c>
      <c r="AM1052">
        <v>93.702908320645903</v>
      </c>
      <c r="AN1052">
        <v>1.0000000101687301</v>
      </c>
    </row>
    <row r="1053" spans="1:40" x14ac:dyDescent="0.25">
      <c r="A1053" t="str">
        <f>"20190304164352123"</f>
        <v>20190304164352123</v>
      </c>
      <c r="B1053" t="str">
        <f>"1551689032111174"</f>
        <v>1551689032111174</v>
      </c>
      <c r="C1053" t="s">
        <v>40</v>
      </c>
      <c r="D1053">
        <v>5.0739859999999997</v>
      </c>
      <c r="E1053">
        <v>0.56030150000000001</v>
      </c>
      <c r="F1053" t="s">
        <v>41</v>
      </c>
      <c r="G1053">
        <v>-265.0616</v>
      </c>
      <c r="H1053">
        <v>1.0423450000000001</v>
      </c>
      <c r="I1053">
        <v>368.00319999999999</v>
      </c>
      <c r="J1053">
        <v>-265.63350000000003</v>
      </c>
      <c r="K1053">
        <v>1.1097079999999999</v>
      </c>
      <c r="L1053">
        <v>368.04730000000001</v>
      </c>
      <c r="M1053">
        <v>0.99994320000000003</v>
      </c>
      <c r="N1053">
        <v>-1.0445299999999999E-2</v>
      </c>
      <c r="O1053">
        <v>2.1646360000000002E-3</v>
      </c>
      <c r="P1053">
        <v>0.95306939999999996</v>
      </c>
      <c r="Q1053">
        <v>0.29590159999999999</v>
      </c>
      <c r="R1053">
        <v>6.4041230000000005E-2</v>
      </c>
      <c r="S1053">
        <v>3.2512210000000001</v>
      </c>
      <c r="T1053">
        <v>-0.29192879999999999</v>
      </c>
      <c r="U1053">
        <v>-0.18914790000000001</v>
      </c>
      <c r="V1053">
        <v>-6.176603E-2</v>
      </c>
      <c r="W1053">
        <v>0.30588480000000001</v>
      </c>
      <c r="X1053">
        <v>0.95006290000000004</v>
      </c>
      <c r="Y1053">
        <v>5.9964910000000003E-2</v>
      </c>
      <c r="Z1053">
        <v>-3.1698910000000002E-3</v>
      </c>
      <c r="AA1053">
        <v>0.99819550000000001</v>
      </c>
      <c r="AB1053">
        <v>35</v>
      </c>
      <c r="AC1053">
        <v>0.57190000000002705</v>
      </c>
      <c r="AD1053">
        <v>-6.7362999999999798E-2</v>
      </c>
      <c r="AE1053">
        <v>-4.4100000000014399E-2</v>
      </c>
      <c r="AF1053">
        <v>4.4721124728980599E-2</v>
      </c>
      <c r="AG1053">
        <v>-6.7362999999999798E-2</v>
      </c>
      <c r="AH1053">
        <v>0.56402416130350097</v>
      </c>
      <c r="AI1053">
        <v>96.789626712744905</v>
      </c>
      <c r="AJ1053">
        <v>85.466537757225495</v>
      </c>
      <c r="AK1053">
        <v>0.56979031871394803</v>
      </c>
      <c r="AL1053">
        <v>72.188597113772204</v>
      </c>
      <c r="AM1053">
        <v>93.719711102964894</v>
      </c>
      <c r="AN1053">
        <v>1.0000000336446999</v>
      </c>
    </row>
    <row r="1054" spans="1:40" x14ac:dyDescent="0.25">
      <c r="A1054" t="str">
        <f>"20190304164352137"</f>
        <v>20190304164352137</v>
      </c>
      <c r="B1054" t="str">
        <f>"1551689032130693"</f>
        <v>1551689032130693</v>
      </c>
      <c r="C1054" t="s">
        <v>40</v>
      </c>
      <c r="D1054">
        <v>5.0673529999999998</v>
      </c>
      <c r="E1054">
        <v>0.56057679999999999</v>
      </c>
      <c r="F1054" t="s">
        <v>41</v>
      </c>
      <c r="G1054">
        <v>-264.75209999999998</v>
      </c>
      <c r="H1054">
        <v>1.0294140000000001</v>
      </c>
      <c r="I1054">
        <v>367.99590000000001</v>
      </c>
      <c r="J1054">
        <v>-265.42790000000002</v>
      </c>
      <c r="K1054">
        <v>1.10972</v>
      </c>
      <c r="L1054">
        <v>368.04759999999999</v>
      </c>
      <c r="M1054">
        <v>0.99994349999999999</v>
      </c>
      <c r="N1054">
        <v>-1.0444800000000001E-2</v>
      </c>
      <c r="O1054">
        <v>2.0009160000000002E-3</v>
      </c>
      <c r="P1054">
        <v>0.95307839999999999</v>
      </c>
      <c r="Q1054">
        <v>0.29573850000000002</v>
      </c>
      <c r="R1054">
        <v>6.4655229999999994E-2</v>
      </c>
      <c r="S1054">
        <v>3.252472</v>
      </c>
      <c r="T1054">
        <v>-0.29640509999999998</v>
      </c>
      <c r="U1054">
        <v>-0.1893311</v>
      </c>
      <c r="V1054">
        <v>-6.2536419999999995E-2</v>
      </c>
      <c r="W1054">
        <v>0.3057223</v>
      </c>
      <c r="X1054">
        <v>0.95006480000000004</v>
      </c>
      <c r="Y1054">
        <v>5.98285E-2</v>
      </c>
      <c r="Z1054">
        <v>-3.1926459999999999E-3</v>
      </c>
      <c r="AA1054">
        <v>0.99820359999999997</v>
      </c>
      <c r="AB1054">
        <v>35</v>
      </c>
      <c r="AC1054">
        <v>0.67580000000003704</v>
      </c>
      <c r="AD1054">
        <v>-8.0305999999999905E-2</v>
      </c>
      <c r="AE1054">
        <v>-5.1699999999982503E-2</v>
      </c>
      <c r="AF1054">
        <v>5.23177191628924E-2</v>
      </c>
      <c r="AG1054">
        <v>-8.0305999999999905E-2</v>
      </c>
      <c r="AH1054">
        <v>0.66634067165600797</v>
      </c>
      <c r="AI1054">
        <v>96.851142189016997</v>
      </c>
      <c r="AJ1054">
        <v>85.510633411833794</v>
      </c>
      <c r="AK1054">
        <v>0.67319840171927503</v>
      </c>
      <c r="AL1054">
        <v>72.1983760119236</v>
      </c>
      <c r="AM1054">
        <v>93.765965793233306</v>
      </c>
      <c r="AN1054">
        <v>1.00000002637137</v>
      </c>
    </row>
    <row r="1055" spans="1:40" x14ac:dyDescent="0.25">
      <c r="A1055" t="str">
        <f>"20190304164352149"</f>
        <v>20190304164352149</v>
      </c>
      <c r="B1055" t="str">
        <f>"1551689032141431"</f>
        <v>1551689032141431</v>
      </c>
      <c r="C1055" t="s">
        <v>40</v>
      </c>
      <c r="D1055">
        <v>5.0650050000000002</v>
      </c>
      <c r="E1055">
        <v>0.5607029</v>
      </c>
      <c r="F1055" t="s">
        <v>41</v>
      </c>
      <c r="G1055">
        <v>-264.44159999999999</v>
      </c>
      <c r="H1055">
        <v>1.0181119999999999</v>
      </c>
      <c r="I1055">
        <v>367.98970000000003</v>
      </c>
      <c r="J1055">
        <v>-265.23430000000002</v>
      </c>
      <c r="K1055">
        <v>1.109729</v>
      </c>
      <c r="L1055">
        <v>368.0478</v>
      </c>
      <c r="M1055">
        <v>0.99994369999999999</v>
      </c>
      <c r="N1055">
        <v>-1.044815E-2</v>
      </c>
      <c r="O1055">
        <v>1.848026E-3</v>
      </c>
      <c r="P1055">
        <v>0.95309770000000005</v>
      </c>
      <c r="Q1055">
        <v>0.29567090000000001</v>
      </c>
      <c r="R1055">
        <v>6.4679710000000001E-2</v>
      </c>
      <c r="S1055">
        <v>3.2544249999999999</v>
      </c>
      <c r="T1055">
        <v>-0.30251689999999998</v>
      </c>
      <c r="U1055">
        <v>-0.18984989999999999</v>
      </c>
      <c r="V1055">
        <v>-6.2707200000000005E-2</v>
      </c>
      <c r="W1055">
        <v>0.30565779999999998</v>
      </c>
      <c r="X1055">
        <v>0.95007430000000004</v>
      </c>
      <c r="Y1055">
        <v>5.978957E-2</v>
      </c>
      <c r="Z1055">
        <v>-3.2359509999999999E-3</v>
      </c>
      <c r="AA1055">
        <v>0.99820580000000003</v>
      </c>
      <c r="AB1055">
        <v>35</v>
      </c>
      <c r="AC1055">
        <v>0.79270000000002405</v>
      </c>
      <c r="AD1055">
        <v>-9.1617000000000004E-2</v>
      </c>
      <c r="AE1055">
        <v>-5.8099999999967601E-2</v>
      </c>
      <c r="AF1055">
        <v>5.8783884198971598E-2</v>
      </c>
      <c r="AG1055">
        <v>-9.1617000000000004E-2</v>
      </c>
      <c r="AH1055">
        <v>0.78219865825327095</v>
      </c>
      <c r="AI1055">
        <v>96.661858328596196</v>
      </c>
      <c r="AJ1055">
        <v>85.702179923191906</v>
      </c>
      <c r="AK1055">
        <v>0.78973664009195799</v>
      </c>
      <c r="AL1055">
        <v>72.202257445774407</v>
      </c>
      <c r="AM1055">
        <v>93.776182860371804</v>
      </c>
      <c r="AN1055">
        <v>1.0000000295765801</v>
      </c>
    </row>
    <row r="1056" spans="1:40" x14ac:dyDescent="0.25">
      <c r="A1056" t="str">
        <f>"20190304164352159"</f>
        <v>20190304164352159</v>
      </c>
      <c r="B1056" t="str">
        <f>"1551689032151189"</f>
        <v>1551689032151189</v>
      </c>
      <c r="C1056" t="s">
        <v>40</v>
      </c>
      <c r="D1056">
        <v>5.0766519999999904</v>
      </c>
      <c r="E1056">
        <v>0.56081479999999995</v>
      </c>
      <c r="F1056" t="s">
        <v>41</v>
      </c>
      <c r="G1056">
        <v>-264.43340000000001</v>
      </c>
      <c r="H1056">
        <v>1.0348250000000001</v>
      </c>
      <c r="I1056">
        <v>368.00049999999999</v>
      </c>
      <c r="J1056">
        <v>-265.05939999999998</v>
      </c>
      <c r="K1056">
        <v>1.1097410000000001</v>
      </c>
      <c r="L1056">
        <v>368.04809999999998</v>
      </c>
      <c r="M1056">
        <v>0.99994400000000006</v>
      </c>
      <c r="N1056">
        <v>-1.04542E-2</v>
      </c>
      <c r="O1056">
        <v>1.7103789999999999E-3</v>
      </c>
      <c r="P1056">
        <v>0.95319799999999999</v>
      </c>
      <c r="Q1056">
        <v>0.29528789999999999</v>
      </c>
      <c r="R1056">
        <v>6.4952570000000001E-2</v>
      </c>
      <c r="S1056">
        <v>3.2551269999999999</v>
      </c>
      <c r="T1056">
        <v>-0.30476249999999999</v>
      </c>
      <c r="U1056">
        <v>-0.19070429999999999</v>
      </c>
      <c r="V1056">
        <v>-6.3112050000000003E-2</v>
      </c>
      <c r="W1056">
        <v>0.30528129999999998</v>
      </c>
      <c r="X1056">
        <v>0.95016849999999997</v>
      </c>
      <c r="Y1056">
        <v>5.9896699999999997E-2</v>
      </c>
      <c r="Z1056">
        <v>-3.2513669999999998E-3</v>
      </c>
      <c r="AA1056">
        <v>0.99819930000000001</v>
      </c>
      <c r="AB1056">
        <v>35</v>
      </c>
      <c r="AC1056">
        <v>0.62599999999997602</v>
      </c>
      <c r="AD1056">
        <v>-7.4915999999999899E-2</v>
      </c>
      <c r="AE1056">
        <v>-4.7599999999988499E-2</v>
      </c>
      <c r="AF1056">
        <v>4.79873668079462E-2</v>
      </c>
      <c r="AG1056">
        <v>-7.4915999999999899E-2</v>
      </c>
      <c r="AH1056">
        <v>0.617130003217645</v>
      </c>
      <c r="AI1056">
        <v>96.900878216334803</v>
      </c>
      <c r="AJ1056">
        <v>85.553688732711706</v>
      </c>
      <c r="AK1056">
        <v>0.62350993199833704</v>
      </c>
      <c r="AL1056">
        <v>72.224911445465196</v>
      </c>
      <c r="AM1056">
        <v>93.800115740786694</v>
      </c>
      <c r="AN1056">
        <v>0.99999999068857104</v>
      </c>
    </row>
    <row r="1057" spans="1:40" x14ac:dyDescent="0.25">
      <c r="A1057" t="str">
        <f>"20190304164352171"</f>
        <v>20190304164352171</v>
      </c>
      <c r="B1057" t="str">
        <f>"1551689032160950"</f>
        <v>1551689032160950</v>
      </c>
      <c r="C1057" t="s">
        <v>40</v>
      </c>
      <c r="D1057">
        <v>5.0714009999999998</v>
      </c>
      <c r="E1057">
        <v>0.56093329999999997</v>
      </c>
      <c r="F1057" t="s">
        <v>41</v>
      </c>
      <c r="G1057">
        <v>-264.12369999999999</v>
      </c>
      <c r="H1057">
        <v>1.021333</v>
      </c>
      <c r="I1057">
        <v>367.99329999999998</v>
      </c>
      <c r="J1057">
        <v>-264.87009999999998</v>
      </c>
      <c r="K1057">
        <v>1.1097509999999999</v>
      </c>
      <c r="L1057">
        <v>368.04820000000001</v>
      </c>
      <c r="M1057">
        <v>0.99994419999999995</v>
      </c>
      <c r="N1057">
        <v>-1.0463190000000001E-2</v>
      </c>
      <c r="O1057">
        <v>1.5621070000000001E-3</v>
      </c>
      <c r="P1057">
        <v>0.95313800000000004</v>
      </c>
      <c r="Q1057">
        <v>0.29544939999999997</v>
      </c>
      <c r="R1057">
        <v>6.5097630000000004E-2</v>
      </c>
      <c r="S1057">
        <v>3.2555540000000001</v>
      </c>
      <c r="T1057">
        <v>-0.30751420000000002</v>
      </c>
      <c r="U1057">
        <v>-0.1908569</v>
      </c>
      <c r="V1057">
        <v>-6.3398850000000007E-2</v>
      </c>
      <c r="W1057">
        <v>0.30545070000000002</v>
      </c>
      <c r="X1057">
        <v>0.95009500000000002</v>
      </c>
      <c r="Y1057">
        <v>5.978369E-2</v>
      </c>
      <c r="Z1057">
        <v>-3.2594770000000002E-3</v>
      </c>
      <c r="AA1057">
        <v>0.99820600000000004</v>
      </c>
      <c r="AB1057">
        <v>35</v>
      </c>
      <c r="AC1057">
        <v>0.74639999999999396</v>
      </c>
      <c r="AD1057">
        <v>-8.8417999999999802E-2</v>
      </c>
      <c r="AE1057">
        <v>-5.4900000000031902E-2</v>
      </c>
      <c r="AF1057">
        <v>5.5294207072223399E-2</v>
      </c>
      <c r="AG1057">
        <v>-8.8417999999999802E-2</v>
      </c>
      <c r="AH1057">
        <v>0.73604034330240797</v>
      </c>
      <c r="AI1057">
        <v>96.830856597665402</v>
      </c>
      <c r="AJ1057">
        <v>85.703788587001299</v>
      </c>
      <c r="AK1057">
        <v>0.74339126913656495</v>
      </c>
      <c r="AL1057">
        <v>72.2147193449117</v>
      </c>
      <c r="AM1057">
        <v>93.817628096889294</v>
      </c>
      <c r="AN1057">
        <v>1.0000000266683999</v>
      </c>
    </row>
    <row r="1058" spans="1:40" x14ac:dyDescent="0.25">
      <c r="A1058" t="str">
        <f>"20190304164352184"</f>
        <v>20190304164352184</v>
      </c>
      <c r="B1058" t="str">
        <f>"1551689032170709"</f>
        <v>1551689032170709</v>
      </c>
      <c r="C1058" t="s">
        <v>40</v>
      </c>
      <c r="D1058">
        <v>5.1032289999999998</v>
      </c>
      <c r="E1058">
        <v>0.56105349999999998</v>
      </c>
      <c r="F1058" t="s">
        <v>41</v>
      </c>
      <c r="G1058">
        <v>-264.11540000000002</v>
      </c>
      <c r="H1058">
        <v>1.038108</v>
      </c>
      <c r="I1058">
        <v>368.00400000000002</v>
      </c>
      <c r="J1058">
        <v>-264.69049999999999</v>
      </c>
      <c r="K1058">
        <v>1.109756</v>
      </c>
      <c r="L1058">
        <v>368.04840000000002</v>
      </c>
      <c r="M1058">
        <v>0.99994419999999995</v>
      </c>
      <c r="N1058">
        <v>-1.0474509999999999E-2</v>
      </c>
      <c r="O1058">
        <v>1.4230639999999999E-3</v>
      </c>
      <c r="P1058">
        <v>0.9531792</v>
      </c>
      <c r="Q1058">
        <v>0.29536430000000002</v>
      </c>
      <c r="R1058">
        <v>6.4879629999999994E-2</v>
      </c>
      <c r="S1058">
        <v>3.2563170000000001</v>
      </c>
      <c r="T1058">
        <v>-0.30905339999999998</v>
      </c>
      <c r="U1058">
        <v>-0.19122310000000001</v>
      </c>
      <c r="V1058">
        <v>-6.3313910000000001E-2</v>
      </c>
      <c r="W1058">
        <v>0.3053768</v>
      </c>
      <c r="X1058">
        <v>0.95012439999999998</v>
      </c>
      <c r="Y1058">
        <v>5.9741049999999997E-2</v>
      </c>
      <c r="Z1058">
        <v>-3.2599199999999999E-3</v>
      </c>
      <c r="AA1058">
        <v>0.9982086</v>
      </c>
      <c r="AB1058">
        <v>35</v>
      </c>
      <c r="AC1058">
        <v>0.57509999999996297</v>
      </c>
      <c r="AD1058">
        <v>-7.1647999999999906E-2</v>
      </c>
      <c r="AE1058">
        <v>-4.4399999999995998E-2</v>
      </c>
      <c r="AF1058">
        <v>4.4531325851504898E-2</v>
      </c>
      <c r="AG1058">
        <v>-7.1647999999999906E-2</v>
      </c>
      <c r="AH1058">
        <v>0.566298751902233</v>
      </c>
      <c r="AI1058">
        <v>97.188779515721095</v>
      </c>
      <c r="AJ1058">
        <v>85.503755927397194</v>
      </c>
      <c r="AK1058">
        <v>0.57254759740314998</v>
      </c>
      <c r="AL1058">
        <v>72.219165626443498</v>
      </c>
      <c r="AM1058">
        <v>93.812410816061004</v>
      </c>
      <c r="AN1058">
        <v>1.0000000083265399</v>
      </c>
    </row>
    <row r="1059" spans="1:40" x14ac:dyDescent="0.25">
      <c r="A1059" t="str">
        <f>"20190304164352197"</f>
        <v>20190304164352197</v>
      </c>
      <c r="B1059" t="str">
        <f>"1551689032191206"</f>
        <v>1551689032191206</v>
      </c>
      <c r="C1059" t="s">
        <v>40</v>
      </c>
      <c r="D1059">
        <v>5.1110419999999896</v>
      </c>
      <c r="E1059">
        <v>0.56122459999999996</v>
      </c>
      <c r="F1059" t="s">
        <v>41</v>
      </c>
      <c r="G1059">
        <v>-263.80520000000001</v>
      </c>
      <c r="H1059">
        <v>1.0252490000000001</v>
      </c>
      <c r="I1059">
        <v>367.99610000000001</v>
      </c>
      <c r="J1059">
        <v>-264.48430000000002</v>
      </c>
      <c r="K1059">
        <v>1.1097619999999999</v>
      </c>
      <c r="L1059">
        <v>368.04860000000002</v>
      </c>
      <c r="M1059">
        <v>0.99994419999999995</v>
      </c>
      <c r="N1059">
        <v>-1.0488900000000001E-2</v>
      </c>
      <c r="O1059">
        <v>1.2639789999999999E-3</v>
      </c>
      <c r="P1059">
        <v>0.9532678</v>
      </c>
      <c r="Q1059">
        <v>0.2950991</v>
      </c>
      <c r="R1059">
        <v>6.4786189999999994E-2</v>
      </c>
      <c r="S1059">
        <v>3.2567750000000002</v>
      </c>
      <c r="T1059">
        <v>-0.31111290000000003</v>
      </c>
      <c r="U1059">
        <v>-0.19168089999999999</v>
      </c>
      <c r="V1059">
        <v>-6.337363E-2</v>
      </c>
      <c r="W1059">
        <v>0.3051256</v>
      </c>
      <c r="X1059">
        <v>0.95020110000000002</v>
      </c>
      <c r="Y1059">
        <v>5.971079E-2</v>
      </c>
      <c r="Z1059">
        <v>-3.2644689999999999E-3</v>
      </c>
      <c r="AA1059">
        <v>0.99821040000000005</v>
      </c>
      <c r="AB1059">
        <v>35</v>
      </c>
      <c r="AC1059">
        <v>0.67910000000000503</v>
      </c>
      <c r="AD1059">
        <v>-8.4513000000000005E-2</v>
      </c>
      <c r="AE1059">
        <v>-5.2500000000008998E-2</v>
      </c>
      <c r="AF1059">
        <v>5.25493537150283E-2</v>
      </c>
      <c r="AG1059">
        <v>-8.4513000000000005E-2</v>
      </c>
      <c r="AH1059">
        <v>0.66873759465319704</v>
      </c>
      <c r="AI1059">
        <v>97.180777625790597</v>
      </c>
      <c r="AJ1059">
        <v>85.506934384200605</v>
      </c>
      <c r="AK1059">
        <v>0.67610195403312601</v>
      </c>
      <c r="AL1059">
        <v>72.234279348541307</v>
      </c>
      <c r="AM1059">
        <v>93.815689085679793</v>
      </c>
      <c r="AN1059">
        <v>0.99999998959797298</v>
      </c>
    </row>
    <row r="1060" spans="1:40" x14ac:dyDescent="0.25">
      <c r="A1060" t="str">
        <f>"20190304164352208"</f>
        <v>20190304164352208</v>
      </c>
      <c r="B1060" t="str">
        <f>"1551689032200966"</f>
        <v>1551689032200966</v>
      </c>
      <c r="C1060" t="s">
        <v>40</v>
      </c>
      <c r="D1060">
        <v>5.1022089999999896</v>
      </c>
      <c r="E1060">
        <v>0.56131960000000003</v>
      </c>
      <c r="F1060" t="s">
        <v>41</v>
      </c>
      <c r="G1060">
        <v>-263.4941</v>
      </c>
      <c r="H1060">
        <v>1.0137910000000001</v>
      </c>
      <c r="I1060">
        <v>367.99009999999998</v>
      </c>
      <c r="J1060">
        <v>-264.28590000000003</v>
      </c>
      <c r="K1060">
        <v>1.1097680000000001</v>
      </c>
      <c r="L1060">
        <v>368.0487</v>
      </c>
      <c r="M1060">
        <v>0.99994430000000001</v>
      </c>
      <c r="N1060">
        <v>-1.0505769999999999E-2</v>
      </c>
      <c r="O1060">
        <v>1.1127509999999999E-3</v>
      </c>
      <c r="P1060">
        <v>0.95332629999999996</v>
      </c>
      <c r="Q1060">
        <v>0.2949001</v>
      </c>
      <c r="R1060">
        <v>6.4830910000000005E-2</v>
      </c>
      <c r="S1060">
        <v>3.2579039999999999</v>
      </c>
      <c r="T1060">
        <v>-0.31584200000000001</v>
      </c>
      <c r="U1060">
        <v>-0.1922913</v>
      </c>
      <c r="V1060">
        <v>-6.3562850000000004E-2</v>
      </c>
      <c r="W1060">
        <v>0.30494310000000002</v>
      </c>
      <c r="X1060">
        <v>0.95024699999999995</v>
      </c>
      <c r="Y1060">
        <v>5.9717689999999997E-2</v>
      </c>
      <c r="Z1060">
        <v>-3.2961029999999999E-3</v>
      </c>
      <c r="AA1060">
        <v>0.99820989999999998</v>
      </c>
      <c r="AB1060">
        <v>35</v>
      </c>
      <c r="AC1060">
        <v>0.79180000000002304</v>
      </c>
      <c r="AD1060">
        <v>-9.5977000000000201E-2</v>
      </c>
      <c r="AE1060">
        <v>-5.86000000000126E-2</v>
      </c>
      <c r="AF1060">
        <v>5.8624426115147003E-2</v>
      </c>
      <c r="AG1060">
        <v>-9.5977000000000201E-2</v>
      </c>
      <c r="AH1060">
        <v>0.78033153205765704</v>
      </c>
      <c r="AI1060">
        <v>96.992377432498003</v>
      </c>
      <c r="AJ1060">
        <v>85.703577356836902</v>
      </c>
      <c r="AK1060">
        <v>0.78839438594511901</v>
      </c>
      <c r="AL1060">
        <v>72.245258301349494</v>
      </c>
      <c r="AM1060">
        <v>93.826863795582099</v>
      </c>
      <c r="AN1060">
        <v>0.99999994557336402</v>
      </c>
    </row>
    <row r="1061" spans="1:40" x14ac:dyDescent="0.25">
      <c r="A1061" t="str">
        <f>"20190304164352222"</f>
        <v>20190304164352222</v>
      </c>
      <c r="B1061" t="str">
        <f>"1551689032210726"</f>
        <v>1551689032210726</v>
      </c>
      <c r="C1061" t="s">
        <v>40</v>
      </c>
      <c r="D1061">
        <v>5.0803710000000004</v>
      </c>
      <c r="E1061">
        <v>0.56126309999999902</v>
      </c>
      <c r="F1061" t="s">
        <v>41</v>
      </c>
      <c r="G1061">
        <v>-263.48540000000003</v>
      </c>
      <c r="H1061">
        <v>1.0315350000000001</v>
      </c>
      <c r="I1061">
        <v>368.00130000000001</v>
      </c>
      <c r="J1061">
        <v>-264.06880000000001</v>
      </c>
      <c r="K1061">
        <v>1.1097790000000001</v>
      </c>
      <c r="L1061">
        <v>368.04880000000003</v>
      </c>
      <c r="M1061">
        <v>0.99994430000000001</v>
      </c>
      <c r="N1061">
        <v>-1.05275E-2</v>
      </c>
      <c r="O1061">
        <v>9.4874239999999995E-4</v>
      </c>
      <c r="P1061">
        <v>0.95354779999999995</v>
      </c>
      <c r="Q1061">
        <v>0.29412070000000001</v>
      </c>
      <c r="R1061">
        <v>6.5113619999999997E-2</v>
      </c>
      <c r="S1061">
        <v>3.2585139999999999</v>
      </c>
      <c r="T1061">
        <v>-0.31848759999999998</v>
      </c>
      <c r="U1061">
        <v>-0.19265750000000001</v>
      </c>
      <c r="V1061">
        <v>-6.4004119999999998E-2</v>
      </c>
      <c r="W1061">
        <v>0.30418640000000002</v>
      </c>
      <c r="X1061">
        <v>0.95045999999999997</v>
      </c>
      <c r="Y1061">
        <v>5.965078E-2</v>
      </c>
      <c r="Z1061">
        <v>-3.3032550000000002E-3</v>
      </c>
      <c r="AA1061">
        <v>0.99821380000000004</v>
      </c>
      <c r="AB1061">
        <v>35</v>
      </c>
      <c r="AC1061">
        <v>0.58339999999998304</v>
      </c>
      <c r="AD1061">
        <v>-7.8243999999999897E-2</v>
      </c>
      <c r="AE1061">
        <v>-4.7500000000013601E-2</v>
      </c>
      <c r="AF1061">
        <v>4.7209912541604601E-2</v>
      </c>
      <c r="AG1061">
        <v>-7.8243999999999897E-2</v>
      </c>
      <c r="AH1061">
        <v>0.57311371226668295</v>
      </c>
      <c r="AI1061">
        <v>97.748284854456401</v>
      </c>
      <c r="AJ1061">
        <v>85.2909251139383</v>
      </c>
      <c r="AK1061">
        <v>0.58035353584369997</v>
      </c>
      <c r="AL1061">
        <v>72.290778473453798</v>
      </c>
      <c r="AM1061">
        <v>93.852490183536602</v>
      </c>
      <c r="AN1061">
        <v>1.00000005246096</v>
      </c>
    </row>
    <row r="1062" spans="1:40" x14ac:dyDescent="0.25">
      <c r="A1062" t="str">
        <f>"20190304164352236"</f>
        <v>20190304164352236</v>
      </c>
      <c r="B1062" t="str">
        <f>"1551689032231223"</f>
        <v>1551689032231223</v>
      </c>
      <c r="C1062" t="s">
        <v>40</v>
      </c>
      <c r="D1062">
        <v>5.0977489999999896</v>
      </c>
      <c r="E1062">
        <v>0.56127289999999996</v>
      </c>
      <c r="F1062" t="s">
        <v>41</v>
      </c>
      <c r="G1062">
        <v>-263.17360000000002</v>
      </c>
      <c r="H1062">
        <v>1.0210250000000001</v>
      </c>
      <c r="I1062">
        <v>367.99579999999997</v>
      </c>
      <c r="J1062">
        <v>-263.87209999999999</v>
      </c>
      <c r="K1062">
        <v>1.1097870000000001</v>
      </c>
      <c r="L1062">
        <v>368.0489</v>
      </c>
      <c r="M1062">
        <v>0.9999441</v>
      </c>
      <c r="N1062">
        <v>-1.0549309999999999E-2</v>
      </c>
      <c r="O1062">
        <v>8.0100410000000005E-4</v>
      </c>
      <c r="P1062">
        <v>0.95363900000000001</v>
      </c>
      <c r="Q1062">
        <v>0.29388439999999999</v>
      </c>
      <c r="R1062">
        <v>6.484181E-2</v>
      </c>
      <c r="S1062">
        <v>3.258972</v>
      </c>
      <c r="T1062">
        <v>-0.32333519999999999</v>
      </c>
      <c r="U1062">
        <v>-0.1920471</v>
      </c>
      <c r="V1062">
        <v>-6.3874100000000003E-2</v>
      </c>
      <c r="W1062">
        <v>0.30397200000000002</v>
      </c>
      <c r="X1062">
        <v>0.95053730000000003</v>
      </c>
      <c r="Y1062">
        <v>5.9301949999999999E-2</v>
      </c>
      <c r="Z1062">
        <v>-3.3167650000000002E-3</v>
      </c>
      <c r="AA1062">
        <v>0.99823459999999997</v>
      </c>
      <c r="AB1062">
        <v>35</v>
      </c>
      <c r="AC1062">
        <v>0.69849999999996704</v>
      </c>
      <c r="AD1062">
        <v>-8.8761999999999994E-2</v>
      </c>
      <c r="AE1062">
        <v>-5.3100000000028999E-2</v>
      </c>
      <c r="AF1062">
        <v>5.2811608564697202E-2</v>
      </c>
      <c r="AG1062">
        <v>-8.8761999999999994E-2</v>
      </c>
      <c r="AH1062">
        <v>0.68742048966782299</v>
      </c>
      <c r="AI1062">
        <v>97.336128750421196</v>
      </c>
      <c r="AJ1062">
        <v>85.606837155544994</v>
      </c>
      <c r="AK1062">
        <v>0.69513645297764404</v>
      </c>
      <c r="AL1062">
        <v>72.303672670932002</v>
      </c>
      <c r="AM1062">
        <v>93.844375886148995</v>
      </c>
      <c r="AN1062">
        <v>1.00000001806304</v>
      </c>
    </row>
    <row r="1063" spans="1:40" x14ac:dyDescent="0.25">
      <c r="A1063" t="str">
        <f>"20190304164352246"</f>
        <v>20190304164352246</v>
      </c>
      <c r="B1063" t="str">
        <f>"1551689032240981"</f>
        <v>1551689032240981</v>
      </c>
      <c r="C1063" t="s">
        <v>40</v>
      </c>
      <c r="D1063">
        <v>5.0946290000000003</v>
      </c>
      <c r="E1063">
        <v>0.56134680000000003</v>
      </c>
      <c r="F1063" t="s">
        <v>41</v>
      </c>
      <c r="G1063">
        <v>-262.86270000000002</v>
      </c>
      <c r="H1063">
        <v>1.0084820000000001</v>
      </c>
      <c r="I1063">
        <v>367.98880000000003</v>
      </c>
      <c r="J1063">
        <v>-263.68360000000001</v>
      </c>
      <c r="K1063">
        <v>1.1097919999999999</v>
      </c>
      <c r="L1063">
        <v>368.0489</v>
      </c>
      <c r="M1063">
        <v>0.99994400000000006</v>
      </c>
      <c r="N1063">
        <v>-1.057437E-2</v>
      </c>
      <c r="O1063">
        <v>6.6171489999999997E-4</v>
      </c>
      <c r="P1063">
        <v>0.95379820000000004</v>
      </c>
      <c r="Q1063">
        <v>0.29339399999999999</v>
      </c>
      <c r="R1063">
        <v>6.4726590000000001E-2</v>
      </c>
      <c r="S1063">
        <v>3.2598880000000001</v>
      </c>
      <c r="T1063">
        <v>-0.32726339999999998</v>
      </c>
      <c r="U1063">
        <v>-0.1934814</v>
      </c>
      <c r="V1063">
        <v>-6.3893560000000002E-2</v>
      </c>
      <c r="W1063">
        <v>0.30350680000000002</v>
      </c>
      <c r="X1063">
        <v>0.95068459999999999</v>
      </c>
      <c r="Y1063">
        <v>5.9575740000000002E-2</v>
      </c>
      <c r="Z1063">
        <v>-3.3557090000000001E-3</v>
      </c>
      <c r="AA1063">
        <v>0.9982181</v>
      </c>
      <c r="AB1063">
        <v>35</v>
      </c>
      <c r="AC1063">
        <v>0.82089999999999397</v>
      </c>
      <c r="AD1063">
        <v>-0.10131</v>
      </c>
      <c r="AE1063">
        <v>-6.0099999999977102E-2</v>
      </c>
      <c r="AF1063">
        <v>5.97382062003117E-2</v>
      </c>
      <c r="AG1063">
        <v>-0.10131</v>
      </c>
      <c r="AH1063">
        <v>0.80860989494541702</v>
      </c>
      <c r="AI1063">
        <v>97.122115373401897</v>
      </c>
      <c r="AJ1063">
        <v>85.774797697217394</v>
      </c>
      <c r="AK1063">
        <v>0.81711830941649499</v>
      </c>
      <c r="AL1063">
        <v>72.331647802313299</v>
      </c>
      <c r="AM1063">
        <v>93.844949562097</v>
      </c>
      <c r="AN1063">
        <v>0.99999998666643597</v>
      </c>
    </row>
    <row r="1064" spans="1:40" x14ac:dyDescent="0.25">
      <c r="A1064" t="str">
        <f>"20190304164352270"</f>
        <v>20190304164352270</v>
      </c>
      <c r="B1064" t="str">
        <f>"1551689032260501"</f>
        <v>1551689032260501</v>
      </c>
      <c r="C1064" t="s">
        <v>40</v>
      </c>
      <c r="D1064">
        <v>5.086017</v>
      </c>
      <c r="E1064">
        <v>0.56151070000000003</v>
      </c>
      <c r="F1064" t="s">
        <v>41</v>
      </c>
      <c r="G1064">
        <v>-262.85410000000002</v>
      </c>
      <c r="H1064">
        <v>1.0259469999999999</v>
      </c>
      <c r="I1064">
        <v>367.9991</v>
      </c>
      <c r="J1064">
        <v>-263.33</v>
      </c>
      <c r="K1064">
        <v>1.109804</v>
      </c>
      <c r="L1064">
        <v>368.0489</v>
      </c>
      <c r="M1064">
        <v>0.99994360000000004</v>
      </c>
      <c r="N1064">
        <v>-1.0623759999999999E-2</v>
      </c>
      <c r="O1064">
        <v>4.0448049999999998E-4</v>
      </c>
      <c r="P1064">
        <v>0.95385350000000002</v>
      </c>
      <c r="Q1064">
        <v>0.29333209999999998</v>
      </c>
      <c r="R1064">
        <v>6.4187380000000002E-2</v>
      </c>
      <c r="S1064">
        <v>3.2599490000000002</v>
      </c>
      <c r="T1064">
        <v>-0.3296731</v>
      </c>
      <c r="U1064">
        <v>-0.19494629999999999</v>
      </c>
      <c r="V1064">
        <v>-6.3601950000000004E-2</v>
      </c>
      <c r="W1064">
        <v>0.30349130000000002</v>
      </c>
      <c r="X1064">
        <v>0.95070909999999997</v>
      </c>
      <c r="Y1064">
        <v>5.9760010000000002E-2</v>
      </c>
      <c r="Z1064">
        <v>-3.366459E-3</v>
      </c>
      <c r="AA1064">
        <v>0.99820710000000001</v>
      </c>
      <c r="AB1064">
        <v>35</v>
      </c>
      <c r="AC1064">
        <v>0.47589999999996702</v>
      </c>
      <c r="AD1064">
        <v>-8.3857000000000001E-2</v>
      </c>
      <c r="AE1064">
        <v>-4.9800000000004702E-2</v>
      </c>
      <c r="AF1064">
        <v>4.8502847630377599E-2</v>
      </c>
      <c r="AG1064">
        <v>-8.3857000000000001E-2</v>
      </c>
      <c r="AH1064">
        <v>0.46169978875394602</v>
      </c>
      <c r="AI1064">
        <v>100.239081903212</v>
      </c>
      <c r="AJ1064">
        <v>84.002915813743797</v>
      </c>
      <c r="AK1064">
        <v>0.47175334403975799</v>
      </c>
      <c r="AL1064">
        <v>72.332579819948606</v>
      </c>
      <c r="AM1064">
        <v>93.827355161869903</v>
      </c>
      <c r="AN1064">
        <v>0.99999998502115095</v>
      </c>
    </row>
    <row r="1065" spans="1:40" x14ac:dyDescent="0.25">
      <c r="A1065" t="str">
        <f>"20190304164352284"</f>
        <v>20190304164352284</v>
      </c>
      <c r="B1065" t="str">
        <f>"1551689032271238"</f>
        <v>1551689032271238</v>
      </c>
      <c r="C1065" t="s">
        <v>40</v>
      </c>
      <c r="D1065">
        <v>5.0888119999999999</v>
      </c>
      <c r="E1065">
        <v>0.56160390000000004</v>
      </c>
      <c r="F1065" t="s">
        <v>41</v>
      </c>
      <c r="G1065">
        <v>-262.53530000000001</v>
      </c>
      <c r="H1065">
        <v>1.029031</v>
      </c>
      <c r="I1065">
        <v>368.00060000000002</v>
      </c>
      <c r="J1065">
        <v>-263.09050000000002</v>
      </c>
      <c r="K1065">
        <v>1.1098159999999999</v>
      </c>
      <c r="L1065">
        <v>368.04880000000003</v>
      </c>
      <c r="M1065">
        <v>0.99994329999999998</v>
      </c>
      <c r="N1065">
        <v>-1.065964E-2</v>
      </c>
      <c r="O1065">
        <v>2.3523399999999999E-4</v>
      </c>
      <c r="P1065">
        <v>0.95391550000000003</v>
      </c>
      <c r="Q1065">
        <v>0.29322859999999901</v>
      </c>
      <c r="R1065">
        <v>6.3739329999999997E-2</v>
      </c>
      <c r="S1065">
        <v>3.2604060000000001</v>
      </c>
      <c r="T1065">
        <v>-0.33164919999999998</v>
      </c>
      <c r="U1065">
        <v>-0.1972351</v>
      </c>
      <c r="V1065">
        <v>-6.3318260000000001E-2</v>
      </c>
      <c r="W1065">
        <v>0.30342180000000002</v>
      </c>
      <c r="X1065">
        <v>0.95075019999999999</v>
      </c>
      <c r="Y1065">
        <v>6.0274840000000003E-2</v>
      </c>
      <c r="Z1065">
        <v>-3.3987370000000002E-3</v>
      </c>
      <c r="AA1065">
        <v>0.99817599999999995</v>
      </c>
      <c r="AB1065">
        <v>35</v>
      </c>
      <c r="AC1065">
        <v>0.55520000000001302</v>
      </c>
      <c r="AD1065">
        <v>-8.0784999999999801E-2</v>
      </c>
      <c r="AE1065">
        <v>-4.8200000000008403E-2</v>
      </c>
      <c r="AF1065">
        <v>4.7335907628025399E-2</v>
      </c>
      <c r="AG1065">
        <v>-8.0784999999999801E-2</v>
      </c>
      <c r="AH1065">
        <v>0.54376221498975497</v>
      </c>
      <c r="AI1065">
        <v>98.419056809783896</v>
      </c>
      <c r="AJ1065">
        <v>85.024796479522394</v>
      </c>
      <c r="AK1065">
        <v>0.55176466978824701</v>
      </c>
      <c r="AL1065">
        <v>72.336758609269793</v>
      </c>
      <c r="AM1065">
        <v>93.810169805062102</v>
      </c>
      <c r="AN1065">
        <v>0.99999996678235303</v>
      </c>
    </row>
    <row r="1066" spans="1:40" x14ac:dyDescent="0.25">
      <c r="A1066" t="str">
        <f>"20190304164352301"</f>
        <v>20190304164352301</v>
      </c>
      <c r="B1066" t="str">
        <f>"1551689032290757"</f>
        <v>1551689032290757</v>
      </c>
      <c r="C1066" t="s">
        <v>40</v>
      </c>
      <c r="D1066">
        <v>5.0948070000000003</v>
      </c>
      <c r="E1066">
        <v>0.5617607</v>
      </c>
      <c r="F1066" t="s">
        <v>41</v>
      </c>
      <c r="G1066">
        <v>-262.22179999999997</v>
      </c>
      <c r="H1066">
        <v>1.0212509999999999</v>
      </c>
      <c r="I1066">
        <v>367.99560000000002</v>
      </c>
      <c r="J1066">
        <v>-262.8227</v>
      </c>
      <c r="K1066">
        <v>1.109823</v>
      </c>
      <c r="L1066">
        <v>368.0487</v>
      </c>
      <c r="M1066">
        <v>0.99994269999999996</v>
      </c>
      <c r="N1066">
        <v>-1.0702329999999999E-2</v>
      </c>
      <c r="O1066" s="1">
        <v>5.2202839999999997E-5</v>
      </c>
      <c r="P1066">
        <v>0.95395830000000004</v>
      </c>
      <c r="Q1066">
        <v>0.29309750000000001</v>
      </c>
      <c r="R1066">
        <v>6.3698350000000001E-2</v>
      </c>
      <c r="S1066">
        <v>3.2604679999999999</v>
      </c>
      <c r="T1066">
        <v>-0.33256010000000003</v>
      </c>
      <c r="U1066">
        <v>-0.1992188</v>
      </c>
      <c r="V1066">
        <v>-6.3456200000000004E-2</v>
      </c>
      <c r="W1066">
        <v>0.30333100000000002</v>
      </c>
      <c r="X1066">
        <v>0.95077</v>
      </c>
      <c r="Y1066">
        <v>6.069252E-2</v>
      </c>
      <c r="Z1066">
        <v>-3.4151479999999998E-3</v>
      </c>
      <c r="AA1066">
        <v>0.9981506</v>
      </c>
      <c r="AB1066">
        <v>35</v>
      </c>
      <c r="AC1066">
        <v>0.60090000000002397</v>
      </c>
      <c r="AD1066">
        <v>-8.8571999999999804E-2</v>
      </c>
      <c r="AE1066">
        <v>-5.30999999999721E-2</v>
      </c>
      <c r="AF1066">
        <v>5.20101311548547E-2</v>
      </c>
      <c r="AG1066">
        <v>-8.8571999999999804E-2</v>
      </c>
      <c r="AH1066">
        <v>0.58821640299124101</v>
      </c>
      <c r="AI1066">
        <v>98.530320149445004</v>
      </c>
      <c r="AJ1066">
        <v>84.947044432351206</v>
      </c>
      <c r="AK1066">
        <v>0.59711689783048305</v>
      </c>
      <c r="AL1066">
        <v>72.342218784131106</v>
      </c>
      <c r="AM1066">
        <v>93.818366516293395</v>
      </c>
      <c r="AN1066">
        <v>0.99999998888971897</v>
      </c>
    </row>
    <row r="1067" spans="1:40" x14ac:dyDescent="0.25">
      <c r="A1067" t="str">
        <f>"20190304164352313"</f>
        <v>20190304164352313</v>
      </c>
      <c r="B1067" t="str">
        <f>"1551689032300518"</f>
        <v>1551689032300518</v>
      </c>
      <c r="C1067" t="s">
        <v>40</v>
      </c>
      <c r="D1067">
        <v>5.0830690000000001</v>
      </c>
      <c r="E1067">
        <v>0.56183590000000005</v>
      </c>
      <c r="F1067" t="s">
        <v>41</v>
      </c>
      <c r="G1067">
        <v>-261.90690000000001</v>
      </c>
      <c r="H1067">
        <v>1.0157750000000001</v>
      </c>
      <c r="I1067">
        <v>367.99239999999998</v>
      </c>
      <c r="J1067">
        <v>-262.64</v>
      </c>
      <c r="K1067">
        <v>1.109829</v>
      </c>
      <c r="L1067">
        <v>368.04860000000002</v>
      </c>
      <c r="M1067">
        <v>0.99994249999999996</v>
      </c>
      <c r="N1067">
        <v>-1.073297E-2</v>
      </c>
      <c r="O1067" s="1">
        <v>-6.9681179999999998E-5</v>
      </c>
      <c r="P1067">
        <v>0.95404239999999996</v>
      </c>
      <c r="Q1067">
        <v>0.29285090000000003</v>
      </c>
      <c r="R1067">
        <v>6.3575430000000002E-2</v>
      </c>
      <c r="S1067">
        <v>3.2610779999999999</v>
      </c>
      <c r="T1067">
        <v>-0.33494600000000002</v>
      </c>
      <c r="U1067">
        <v>-0.20037840000000001</v>
      </c>
      <c r="V1067">
        <v>-6.3452659999999994E-2</v>
      </c>
      <c r="W1067">
        <v>0.30311329999999997</v>
      </c>
      <c r="X1067">
        <v>0.95083969999999995</v>
      </c>
      <c r="Y1067">
        <v>6.0907679999999999E-2</v>
      </c>
      <c r="Z1067">
        <v>-3.4385349999999999E-3</v>
      </c>
      <c r="AA1067">
        <v>0.99813750000000001</v>
      </c>
      <c r="AB1067">
        <v>35</v>
      </c>
      <c r="AC1067">
        <v>0.73309999999997899</v>
      </c>
      <c r="AD1067">
        <v>-9.4053999999999999E-2</v>
      </c>
      <c r="AE1067">
        <v>-5.6200000000046602E-2</v>
      </c>
      <c r="AF1067">
        <v>5.5244899014124597E-2</v>
      </c>
      <c r="AG1067">
        <v>-9.4053999999999999E-2</v>
      </c>
      <c r="AH1067">
        <v>0.72130071785675398</v>
      </c>
      <c r="AI1067">
        <v>97.407712638477406</v>
      </c>
      <c r="AJ1067">
        <v>85.620229099563304</v>
      </c>
      <c r="AK1067">
        <v>0.72950180216621097</v>
      </c>
      <c r="AL1067">
        <v>72.355308970826897</v>
      </c>
      <c r="AM1067">
        <v>93.817875076269502</v>
      </c>
      <c r="AN1067">
        <v>1.0000000238970199</v>
      </c>
    </row>
    <row r="1068" spans="1:40" x14ac:dyDescent="0.25">
      <c r="A1068" t="str">
        <f>"20190304164352335"</f>
        <v>20190304164352335</v>
      </c>
      <c r="B1068" t="str">
        <f>"1551689032330774"</f>
        <v>1551689032330774</v>
      </c>
      <c r="C1068" t="s">
        <v>40</v>
      </c>
      <c r="D1068">
        <v>5.0905139999999998</v>
      </c>
      <c r="E1068">
        <v>0.56200989999999995</v>
      </c>
      <c r="F1068" t="s">
        <v>41</v>
      </c>
      <c r="G1068">
        <v>-261.89819999999997</v>
      </c>
      <c r="H1068">
        <v>1.033347</v>
      </c>
      <c r="I1068">
        <v>368.0027</v>
      </c>
      <c r="J1068">
        <v>-262.28530000000001</v>
      </c>
      <c r="K1068">
        <v>1.1098460000000001</v>
      </c>
      <c r="L1068">
        <v>368.04840000000002</v>
      </c>
      <c r="M1068">
        <v>0.99994179999999999</v>
      </c>
      <c r="N1068">
        <v>-1.0799319999999999E-2</v>
      </c>
      <c r="O1068">
        <v>-2.9329840000000002E-4</v>
      </c>
      <c r="P1068">
        <v>0.95425020000000005</v>
      </c>
      <c r="Q1068">
        <v>0.2922247</v>
      </c>
      <c r="R1068">
        <v>6.3337519999999994E-2</v>
      </c>
      <c r="S1068">
        <v>3.261139</v>
      </c>
      <c r="T1068">
        <v>-0.33628649999999999</v>
      </c>
      <c r="U1068">
        <v>-0.20126340000000001</v>
      </c>
      <c r="V1068">
        <v>-6.3436889999999996E-2</v>
      </c>
      <c r="W1068">
        <v>0.30255070000000001</v>
      </c>
      <c r="X1068">
        <v>0.95101990000000003</v>
      </c>
      <c r="Y1068">
        <v>6.0950980000000002E-2</v>
      </c>
      <c r="Z1068">
        <v>-3.4347639999999999E-3</v>
      </c>
      <c r="AA1068">
        <v>0.99813490000000005</v>
      </c>
      <c r="AB1068">
        <v>35</v>
      </c>
      <c r="AC1068">
        <v>0.38710000000003197</v>
      </c>
      <c r="AD1068">
        <v>-7.6498999999999803E-2</v>
      </c>
      <c r="AE1068">
        <v>-4.5700000000010697E-2</v>
      </c>
      <c r="AF1068">
        <v>4.3895718326949398E-2</v>
      </c>
      <c r="AG1068">
        <v>-7.6498999999999803E-2</v>
      </c>
      <c r="AH1068">
        <v>0.37275589872274201</v>
      </c>
      <c r="AI1068">
        <v>101.520070203733</v>
      </c>
      <c r="AJ1068">
        <v>83.283783037378598</v>
      </c>
      <c r="AK1068">
        <v>0.383048157704796</v>
      </c>
      <c r="AL1068">
        <v>72.389131464911202</v>
      </c>
      <c r="AM1068">
        <v>93.816207920898094</v>
      </c>
      <c r="AN1068">
        <v>1.00000000763968</v>
      </c>
    </row>
    <row r="1069" spans="1:40" x14ac:dyDescent="0.25">
      <c r="A1069" t="str">
        <f>"20190304164352346"</f>
        <v>20190304164352346</v>
      </c>
      <c r="B1069" t="str">
        <f>"1551689032340534"</f>
        <v>1551689032340534</v>
      </c>
      <c r="C1069" t="s">
        <v>40</v>
      </c>
      <c r="D1069">
        <v>5.1663739999999896</v>
      </c>
      <c r="E1069">
        <v>0.56211420000000001</v>
      </c>
      <c r="F1069" t="s">
        <v>41</v>
      </c>
      <c r="G1069">
        <v>-261.27699999999999</v>
      </c>
      <c r="H1069">
        <v>1.004664</v>
      </c>
      <c r="I1069">
        <v>367.9853</v>
      </c>
      <c r="J1069">
        <v>-262.09980000000002</v>
      </c>
      <c r="K1069">
        <v>1.1098600000000001</v>
      </c>
      <c r="L1069">
        <v>368.04820000000001</v>
      </c>
      <c r="M1069">
        <v>0.99994119999999997</v>
      </c>
      <c r="N1069">
        <v>-1.083921E-2</v>
      </c>
      <c r="O1069">
        <v>-4.0166859999999998E-4</v>
      </c>
      <c r="P1069">
        <v>0.95434140000000001</v>
      </c>
      <c r="Q1069">
        <v>0.29199730000000002</v>
      </c>
      <c r="R1069">
        <v>6.3010410000000003E-2</v>
      </c>
      <c r="S1069">
        <v>3.2615660000000002</v>
      </c>
      <c r="T1069">
        <v>-0.34041680000000002</v>
      </c>
      <c r="U1069">
        <v>-0.2033691</v>
      </c>
      <c r="V1069">
        <v>-6.3217770000000006E-2</v>
      </c>
      <c r="W1069">
        <v>0.30236069999999998</v>
      </c>
      <c r="X1069">
        <v>0.95109489999999997</v>
      </c>
      <c r="Y1069">
        <v>6.1465760000000001E-2</v>
      </c>
      <c r="Z1069">
        <v>-3.492907E-3</v>
      </c>
      <c r="AA1069">
        <v>0.99810310000000002</v>
      </c>
      <c r="AB1069">
        <v>36</v>
      </c>
      <c r="AC1069">
        <v>0.82280000000002895</v>
      </c>
      <c r="AD1069">
        <v>-0.105196</v>
      </c>
      <c r="AE1069">
        <v>-6.2900000000013195E-2</v>
      </c>
      <c r="AF1069">
        <v>6.1568927899728801E-2</v>
      </c>
      <c r="AG1069">
        <v>-0.105196</v>
      </c>
      <c r="AH1069">
        <v>0.80966732209117898</v>
      </c>
      <c r="AI1069">
        <v>97.38160945528</v>
      </c>
      <c r="AJ1069">
        <v>85.6514685989181</v>
      </c>
      <c r="AK1069">
        <v>0.81879063487623205</v>
      </c>
      <c r="AL1069">
        <v>72.400552342585897</v>
      </c>
      <c r="AM1069">
        <v>93.802765931797396</v>
      </c>
      <c r="AN1069">
        <v>0.99999999407713602</v>
      </c>
    </row>
    <row r="1070" spans="1:40" x14ac:dyDescent="0.25">
      <c r="A1070" t="str">
        <f>"20190304164352358"</f>
        <v>20190304164352358</v>
      </c>
      <c r="B1070" t="str">
        <f>"1551689032351270"</f>
        <v>1551689032351270</v>
      </c>
      <c r="C1070" t="s">
        <v>40</v>
      </c>
      <c r="D1070">
        <v>5.1711869999999998</v>
      </c>
      <c r="E1070">
        <v>0.56211420000000001</v>
      </c>
      <c r="F1070" t="s">
        <v>41</v>
      </c>
      <c r="G1070">
        <v>-261.2681</v>
      </c>
      <c r="H1070">
        <v>1.0226679999999999</v>
      </c>
      <c r="I1070">
        <v>367.9957</v>
      </c>
      <c r="J1070">
        <v>-261.92039999999997</v>
      </c>
      <c r="K1070">
        <v>1.1098749999999999</v>
      </c>
      <c r="L1070">
        <v>368.04809999999998</v>
      </c>
      <c r="M1070">
        <v>0.99994079999999996</v>
      </c>
      <c r="N1070">
        <v>-1.087864E-2</v>
      </c>
      <c r="O1070">
        <v>-5.0360059999999998E-4</v>
      </c>
      <c r="P1070">
        <v>0.95444039999999997</v>
      </c>
      <c r="Q1070">
        <v>0.29169469999999997</v>
      </c>
      <c r="R1070">
        <v>6.2910179999999996E-2</v>
      </c>
      <c r="S1070">
        <v>3.2617799999999999</v>
      </c>
      <c r="T1070">
        <v>-0.34218680000000001</v>
      </c>
      <c r="U1070">
        <v>-0.20523069999999999</v>
      </c>
      <c r="V1070">
        <v>-6.3220170000000006E-2</v>
      </c>
      <c r="W1070">
        <v>0.30209570000000002</v>
      </c>
      <c r="X1070">
        <v>0.951179</v>
      </c>
      <c r="Y1070">
        <v>6.1921370000000003E-2</v>
      </c>
      <c r="Z1070">
        <v>-3.5269540000000001E-3</v>
      </c>
      <c r="AA1070">
        <v>0.99807480000000004</v>
      </c>
      <c r="AB1070">
        <v>36</v>
      </c>
      <c r="AC1070">
        <v>0.65229999999996802</v>
      </c>
      <c r="AD1070">
        <v>-8.7206999999999799E-2</v>
      </c>
      <c r="AE1070">
        <v>-5.2399999999977298E-2</v>
      </c>
      <c r="AF1070">
        <v>5.1162882247662203E-2</v>
      </c>
      <c r="AG1070">
        <v>-8.7206999999999799E-2</v>
      </c>
      <c r="AH1070">
        <v>0.64094389261429197</v>
      </c>
      <c r="AI1070">
        <v>97.723830355025299</v>
      </c>
      <c r="AJ1070">
        <v>85.436083090711193</v>
      </c>
      <c r="AK1070">
        <v>0.64886961313383196</v>
      </c>
      <c r="AL1070">
        <v>72.416481541465998</v>
      </c>
      <c r="AM1070">
        <v>93.802574622628001</v>
      </c>
      <c r="AN1070">
        <v>1.0000000459471501</v>
      </c>
    </row>
    <row r="1071" spans="1:40" x14ac:dyDescent="0.25">
      <c r="A1071" t="str">
        <f>"20190304164352369"</f>
        <v>20190304164352369</v>
      </c>
      <c r="B1071" t="str">
        <f>"1551689032361029"</f>
        <v>1551689032361029</v>
      </c>
      <c r="C1071" t="s">
        <v>40</v>
      </c>
      <c r="D1071">
        <v>5.1210809999999896</v>
      </c>
      <c r="E1071">
        <v>0.57215760000000004</v>
      </c>
      <c r="F1071" t="s">
        <v>41</v>
      </c>
      <c r="G1071">
        <v>-260.9572</v>
      </c>
      <c r="H1071">
        <v>1.0085740000000001</v>
      </c>
      <c r="I1071">
        <v>367.98719999999997</v>
      </c>
      <c r="J1071">
        <v>-261.73329999999999</v>
      </c>
      <c r="K1071">
        <v>1.10989</v>
      </c>
      <c r="L1071">
        <v>368.04790000000003</v>
      </c>
      <c r="M1071">
        <v>0.9999401</v>
      </c>
      <c r="N1071">
        <v>-1.0921230000000001E-2</v>
      </c>
      <c r="O1071">
        <v>-6.0530480000000003E-4</v>
      </c>
      <c r="P1071">
        <v>0.95446419999999998</v>
      </c>
      <c r="Q1071">
        <v>0.29164079999999998</v>
      </c>
      <c r="R1071">
        <v>6.2799320000000006E-2</v>
      </c>
      <c r="S1071">
        <v>3.2616269999999998</v>
      </c>
      <c r="T1071">
        <v>-0.3430531</v>
      </c>
      <c r="U1071">
        <v>-0.20626829999999999</v>
      </c>
      <c r="V1071">
        <v>-6.3211859999999995E-2</v>
      </c>
      <c r="W1071">
        <v>0.30208160000000001</v>
      </c>
      <c r="X1071">
        <v>0.95118400000000003</v>
      </c>
      <c r="Y1071">
        <v>6.2136219999999999E-2</v>
      </c>
      <c r="Z1071">
        <v>-3.5393239999999999E-3</v>
      </c>
      <c r="AA1071">
        <v>0.99806139999999999</v>
      </c>
      <c r="AB1071">
        <v>36</v>
      </c>
      <c r="AC1071">
        <v>0.77609999999998502</v>
      </c>
      <c r="AD1071">
        <v>-0.101315999999999</v>
      </c>
      <c r="AE1071">
        <v>-6.0700000000053898E-2</v>
      </c>
      <c r="AF1071">
        <v>5.9226974028779897E-2</v>
      </c>
      <c r="AG1071">
        <v>-0.101315999999999</v>
      </c>
      <c r="AH1071">
        <v>0.76320906717414905</v>
      </c>
      <c r="AI1071">
        <v>97.539396136767394</v>
      </c>
      <c r="AJ1071">
        <v>85.562594411778704</v>
      </c>
      <c r="AK1071">
        <v>0.77217928392662805</v>
      </c>
      <c r="AL1071">
        <v>72.417328481452202</v>
      </c>
      <c r="AM1071">
        <v>93.802056330454604</v>
      </c>
      <c r="AN1071">
        <v>1.0000000170796</v>
      </c>
    </row>
    <row r="1072" spans="1:40" x14ac:dyDescent="0.25">
      <c r="A1072" t="str">
        <f>"20190304164352381"</f>
        <v>20190304164352381</v>
      </c>
      <c r="B1072" t="str">
        <f>"1551689032370790"</f>
        <v>1551689032370790</v>
      </c>
      <c r="C1072" t="s">
        <v>40</v>
      </c>
      <c r="D1072">
        <v>5.1216339999999896</v>
      </c>
      <c r="E1072">
        <v>0.57233420000000002</v>
      </c>
      <c r="F1072" t="s">
        <v>41</v>
      </c>
      <c r="G1072">
        <v>-260.9538</v>
      </c>
      <c r="H1072">
        <v>1.0156689999999999</v>
      </c>
      <c r="I1072">
        <v>367.98090000000002</v>
      </c>
      <c r="J1072">
        <v>-261.5505</v>
      </c>
      <c r="K1072">
        <v>1.1099079999999999</v>
      </c>
      <c r="L1072">
        <v>368.04770000000002</v>
      </c>
      <c r="M1072">
        <v>0.99993969999999999</v>
      </c>
      <c r="N1072">
        <v>-1.096812E-2</v>
      </c>
      <c r="O1072">
        <v>-6.9868649999999997E-4</v>
      </c>
      <c r="P1072">
        <v>0.95444150000000005</v>
      </c>
      <c r="Q1072">
        <v>0.29174939999999999</v>
      </c>
      <c r="R1072">
        <v>6.2639760000000003E-2</v>
      </c>
      <c r="S1072">
        <v>3.2829280000000001</v>
      </c>
      <c r="T1072">
        <v>-0.39681050000000001</v>
      </c>
      <c r="U1072">
        <v>-0.28201290000000001</v>
      </c>
      <c r="V1072">
        <v>-6.314699E-2</v>
      </c>
      <c r="W1072">
        <v>0.30223299999999997</v>
      </c>
      <c r="X1072">
        <v>0.95114019999999999</v>
      </c>
      <c r="Y1072">
        <v>8.4231109999999998E-2</v>
      </c>
      <c r="Z1072">
        <v>-5.4511059999999998E-3</v>
      </c>
      <c r="AA1072">
        <v>0.99643139999999997</v>
      </c>
      <c r="AB1072">
        <v>36</v>
      </c>
      <c r="AC1072">
        <v>0.59669999999999801</v>
      </c>
      <c r="AD1072">
        <v>-9.4238999999999698E-2</v>
      </c>
      <c r="AE1072">
        <v>-6.6800000000000595E-2</v>
      </c>
      <c r="AF1072">
        <v>6.4787068250344998E-2</v>
      </c>
      <c r="AG1072">
        <v>-9.4238999999999698E-2</v>
      </c>
      <c r="AH1072">
        <v>0.58239952396294603</v>
      </c>
      <c r="AI1072">
        <v>99.136059321054404</v>
      </c>
      <c r="AJ1072">
        <v>83.652421774860997</v>
      </c>
      <c r="AK1072">
        <v>0.59352132130677504</v>
      </c>
      <c r="AL1072">
        <v>72.408228321095706</v>
      </c>
      <c r="AM1072">
        <v>93.798340360684094</v>
      </c>
      <c r="AN1072">
        <v>1.0000000043455499</v>
      </c>
    </row>
    <row r="1073" spans="1:40" x14ac:dyDescent="0.25">
      <c r="A1073" t="str">
        <f>"20190304164352393"</f>
        <v>20190304164352393</v>
      </c>
      <c r="B1073" t="str">
        <f>"1551689032380550"</f>
        <v>1551689032380550</v>
      </c>
      <c r="C1073" t="s">
        <v>40</v>
      </c>
      <c r="D1073">
        <v>5.1212589999999896</v>
      </c>
      <c r="E1073">
        <v>0.57268140000000001</v>
      </c>
      <c r="F1073" t="s">
        <v>41</v>
      </c>
      <c r="G1073">
        <v>-260.64359999999999</v>
      </c>
      <c r="H1073">
        <v>1.000092</v>
      </c>
      <c r="I1073">
        <v>367.96879999999999</v>
      </c>
      <c r="J1073">
        <v>-261.36099999999999</v>
      </c>
      <c r="K1073">
        <v>1.1099239999999999</v>
      </c>
      <c r="L1073">
        <v>368.04750000000001</v>
      </c>
      <c r="M1073">
        <v>0.99993900000000002</v>
      </c>
      <c r="N1073">
        <v>-1.1019589999999999E-2</v>
      </c>
      <c r="O1073">
        <v>-7.9208789999999903E-4</v>
      </c>
      <c r="P1073">
        <v>0.95440700000000001</v>
      </c>
      <c r="Q1073">
        <v>0.2918847</v>
      </c>
      <c r="R1073">
        <v>6.2535110000000005E-2</v>
      </c>
      <c r="S1073">
        <v>3.2835079999999999</v>
      </c>
      <c r="T1073">
        <v>-0.39786759999999999</v>
      </c>
      <c r="U1073">
        <v>-0.28454590000000002</v>
      </c>
      <c r="V1073">
        <v>-6.3137260000000001E-2</v>
      </c>
      <c r="W1073">
        <v>0.30241580000000001</v>
      </c>
      <c r="X1073">
        <v>0.95108280000000001</v>
      </c>
      <c r="Y1073">
        <v>8.487807E-2</v>
      </c>
      <c r="Z1073">
        <v>-5.4978129999999998E-3</v>
      </c>
      <c r="AA1073">
        <v>0.99637620000000005</v>
      </c>
      <c r="AB1073">
        <v>36</v>
      </c>
      <c r="AC1073">
        <v>0.71739999999999704</v>
      </c>
      <c r="AD1073">
        <v>-0.109831999999999</v>
      </c>
      <c r="AE1073">
        <v>-7.8700000000026193E-2</v>
      </c>
      <c r="AF1073">
        <v>7.6363122236562594E-2</v>
      </c>
      <c r="AG1073">
        <v>-0.109831999999999</v>
      </c>
      <c r="AH1073">
        <v>0.70122177548902898</v>
      </c>
      <c r="AI1073">
        <v>98.850393015526905</v>
      </c>
      <c r="AJ1073">
        <v>83.784975075351696</v>
      </c>
      <c r="AK1073">
        <v>0.71386719568957802</v>
      </c>
      <c r="AL1073">
        <v>72.397241508766896</v>
      </c>
      <c r="AM1073">
        <v>93.797985338929806</v>
      </c>
      <c r="AN1073">
        <v>1.0000000610728901</v>
      </c>
    </row>
    <row r="1074" spans="1:40" x14ac:dyDescent="0.25">
      <c r="A1074" t="str">
        <f>"20190304164352404"</f>
        <v>20190304164352404</v>
      </c>
      <c r="B1074" t="str">
        <f>"1551689032391286"</f>
        <v>1551689032391286</v>
      </c>
      <c r="C1074" t="s">
        <v>40</v>
      </c>
      <c r="D1074">
        <v>5.1195029999999999</v>
      </c>
      <c r="E1074">
        <v>0.57280580000000003</v>
      </c>
      <c r="F1074" t="s">
        <v>41</v>
      </c>
      <c r="G1074">
        <v>-260.63290000000001</v>
      </c>
      <c r="H1074">
        <v>1.021809</v>
      </c>
      <c r="I1074">
        <v>367.98329999999999</v>
      </c>
      <c r="J1074">
        <v>-261.19009999999997</v>
      </c>
      <c r="K1074">
        <v>1.1099410000000001</v>
      </c>
      <c r="L1074">
        <v>368.04719999999998</v>
      </c>
      <c r="M1074">
        <v>0.99993840000000001</v>
      </c>
      <c r="N1074">
        <v>-1.107676E-2</v>
      </c>
      <c r="O1074">
        <v>-8.6692880000000005E-4</v>
      </c>
      <c r="P1074">
        <v>0.95446980000000003</v>
      </c>
      <c r="Q1074">
        <v>0.29174899999999998</v>
      </c>
      <c r="R1074">
        <v>6.2210540000000002E-2</v>
      </c>
      <c r="S1074">
        <v>3.2838440000000002</v>
      </c>
      <c r="T1074">
        <v>-0.39780779999999999</v>
      </c>
      <c r="U1074">
        <v>-0.2881165</v>
      </c>
      <c r="V1074">
        <v>-6.2889979999999998E-2</v>
      </c>
      <c r="W1074">
        <v>0.30233389999999999</v>
      </c>
      <c r="X1074">
        <v>0.95112509999999995</v>
      </c>
      <c r="Y1074">
        <v>8.5862640000000004E-2</v>
      </c>
      <c r="Z1074">
        <v>-5.5554300000000001E-3</v>
      </c>
      <c r="AA1074">
        <v>0.9962915</v>
      </c>
      <c r="AB1074">
        <v>36</v>
      </c>
      <c r="AC1074">
        <v>0.55719999999996594</v>
      </c>
      <c r="AD1074">
        <v>-8.8132000000000099E-2</v>
      </c>
      <c r="AE1074">
        <v>-6.3899999999989604E-2</v>
      </c>
      <c r="AF1074">
        <v>6.18886878080398E-2</v>
      </c>
      <c r="AG1074">
        <v>-8.8132000000000099E-2</v>
      </c>
      <c r="AH1074">
        <v>0.54382658195279798</v>
      </c>
      <c r="AI1074">
        <v>99.147233441139306</v>
      </c>
      <c r="AJ1074">
        <v>83.507543149592095</v>
      </c>
      <c r="AK1074">
        <v>0.55438687785793095</v>
      </c>
      <c r="AL1074">
        <v>72.402162395160005</v>
      </c>
      <c r="AM1074">
        <v>93.782985872657406</v>
      </c>
      <c r="AN1074">
        <v>0.99999994626180799</v>
      </c>
    </row>
    <row r="1075" spans="1:40" x14ac:dyDescent="0.25">
      <c r="A1075" t="str">
        <f>"20190304164352417"</f>
        <v>20190304164352417</v>
      </c>
      <c r="B1075" t="str">
        <f>"1551689032410805"</f>
        <v>1551689032410805</v>
      </c>
      <c r="C1075" t="s">
        <v>40</v>
      </c>
      <c r="D1075">
        <v>5.1203279999999998</v>
      </c>
      <c r="E1075">
        <v>0.5729204</v>
      </c>
      <c r="F1075" t="s">
        <v>41</v>
      </c>
      <c r="G1075">
        <v>-260.32389999999998</v>
      </c>
      <c r="H1075">
        <v>1.004</v>
      </c>
      <c r="I1075">
        <v>367.97089999999997</v>
      </c>
      <c r="J1075">
        <v>-260.98700000000002</v>
      </c>
      <c r="K1075">
        <v>1.1099570000000001</v>
      </c>
      <c r="L1075">
        <v>368.04700000000003</v>
      </c>
      <c r="M1075">
        <v>0.99993750000000003</v>
      </c>
      <c r="N1075">
        <v>-1.114851E-2</v>
      </c>
      <c r="O1075">
        <v>-9.5220500000000002E-4</v>
      </c>
      <c r="P1075">
        <v>0.95456390000000002</v>
      </c>
      <c r="Q1075">
        <v>0.29144389999999998</v>
      </c>
      <c r="R1075">
        <v>6.2195500000000001E-2</v>
      </c>
      <c r="S1075">
        <v>3.2847900000000001</v>
      </c>
      <c r="T1075">
        <v>-0.4017811</v>
      </c>
      <c r="U1075">
        <v>-0.28930660000000002</v>
      </c>
      <c r="V1075">
        <v>-6.2963459999999999E-2</v>
      </c>
      <c r="W1075">
        <v>0.30209619999999998</v>
      </c>
      <c r="X1075">
        <v>0.95119580000000004</v>
      </c>
      <c r="Y1075">
        <v>8.6096610000000004E-2</v>
      </c>
      <c r="Z1075">
        <v>-5.613453E-3</v>
      </c>
      <c r="AA1075">
        <v>0.99627100000000002</v>
      </c>
      <c r="AB1075">
        <v>36</v>
      </c>
      <c r="AC1075">
        <v>0.66310000000004199</v>
      </c>
      <c r="AD1075">
        <v>-0.105956999999999</v>
      </c>
      <c r="AE1075">
        <v>-7.6099999999996698E-2</v>
      </c>
      <c r="AF1075">
        <v>7.3613384753865405E-2</v>
      </c>
      <c r="AG1075">
        <v>-0.105956999999999</v>
      </c>
      <c r="AH1075">
        <v>0.64687035588928599</v>
      </c>
      <c r="AI1075">
        <v>99.243785551121306</v>
      </c>
      <c r="AJ1075">
        <v>83.507710706533004</v>
      </c>
      <c r="AK1075">
        <v>0.65961130493060205</v>
      </c>
      <c r="AL1075">
        <v>72.416450303745805</v>
      </c>
      <c r="AM1075">
        <v>93.7871123290371</v>
      </c>
      <c r="AN1075">
        <v>0.99999998064362505</v>
      </c>
    </row>
    <row r="1076" spans="1:40" x14ac:dyDescent="0.25">
      <c r="A1076" t="str">
        <f>"20190304164352430"</f>
        <v>20190304164352430</v>
      </c>
      <c r="B1076" t="str">
        <f>"1551689032420567"</f>
        <v>1551689032420567</v>
      </c>
      <c r="C1076" t="s">
        <v>40</v>
      </c>
      <c r="D1076">
        <v>5.1229509999999996</v>
      </c>
      <c r="E1076">
        <v>0.57288039999999996</v>
      </c>
      <c r="F1076" t="s">
        <v>41</v>
      </c>
      <c r="G1076">
        <v>-260.01240000000001</v>
      </c>
      <c r="H1076">
        <v>0.99116850000000001</v>
      </c>
      <c r="I1076">
        <v>367.96039999999999</v>
      </c>
      <c r="J1076">
        <v>-260.7672</v>
      </c>
      <c r="K1076">
        <v>1.1099810000000001</v>
      </c>
      <c r="L1076">
        <v>368.04669999999999</v>
      </c>
      <c r="M1076">
        <v>0.9999363</v>
      </c>
      <c r="N1076">
        <v>-1.1237169999999999E-2</v>
      </c>
      <c r="O1076">
        <v>-1.0347119999999999E-3</v>
      </c>
      <c r="P1076">
        <v>0.95458659999999995</v>
      </c>
      <c r="Q1076">
        <v>0.29142380000000001</v>
      </c>
      <c r="R1076">
        <v>6.1942329999999997E-2</v>
      </c>
      <c r="S1076">
        <v>3.2839969999999998</v>
      </c>
      <c r="T1076">
        <v>-0.4004878</v>
      </c>
      <c r="U1076">
        <v>-0.29067989999999999</v>
      </c>
      <c r="V1076">
        <v>-6.2797019999999995E-2</v>
      </c>
      <c r="W1076">
        <v>0.30215930000000002</v>
      </c>
      <c r="X1076">
        <v>0.9511868</v>
      </c>
      <c r="Y1076">
        <v>8.6449970000000001E-2</v>
      </c>
      <c r="Z1076">
        <v>-5.6164819999999999E-3</v>
      </c>
      <c r="AA1076">
        <v>0.99624040000000003</v>
      </c>
      <c r="AB1076">
        <v>36</v>
      </c>
      <c r="AC1076">
        <v>0.75479999999998804</v>
      </c>
      <c r="AD1076">
        <v>-0.1188125</v>
      </c>
      <c r="AE1076">
        <v>-8.6299999999994201E-2</v>
      </c>
      <c r="AF1076">
        <v>8.3477222500543097E-2</v>
      </c>
      <c r="AG1076">
        <v>-0.1188125</v>
      </c>
      <c r="AH1076">
        <v>0.73686665287359698</v>
      </c>
      <c r="AI1076">
        <v>99.102307116816704</v>
      </c>
      <c r="AJ1076">
        <v>83.536703540017896</v>
      </c>
      <c r="AK1076">
        <v>0.75103749636738704</v>
      </c>
      <c r="AL1076">
        <v>72.412658387644498</v>
      </c>
      <c r="AM1076">
        <v>93.777165985283105</v>
      </c>
      <c r="AN1076">
        <v>1.0000000183958</v>
      </c>
    </row>
    <row r="1077" spans="1:40" x14ac:dyDescent="0.25">
      <c r="A1077" t="str">
        <f>"20190304164352443"</f>
        <v>20190304164352443</v>
      </c>
      <c r="B1077" t="str">
        <f>"1551689032431302"</f>
        <v>1551689032431302</v>
      </c>
      <c r="C1077" t="s">
        <v>40</v>
      </c>
      <c r="D1077">
        <v>5.1310260000000003</v>
      </c>
      <c r="E1077">
        <v>0.57291950000000003</v>
      </c>
      <c r="F1077" t="s">
        <v>41</v>
      </c>
      <c r="G1077">
        <v>-260.00009999999997</v>
      </c>
      <c r="H1077">
        <v>1.0162899999999999</v>
      </c>
      <c r="I1077">
        <v>367.97840000000002</v>
      </c>
      <c r="J1077">
        <v>-260.56970000000001</v>
      </c>
      <c r="K1077">
        <v>1.1100019999999999</v>
      </c>
      <c r="L1077">
        <v>368.04640000000001</v>
      </c>
      <c r="M1077">
        <v>0.99993540000000003</v>
      </c>
      <c r="N1077">
        <v>-1.1325989999999999E-2</v>
      </c>
      <c r="O1077">
        <v>-1.099374E-3</v>
      </c>
      <c r="P1077">
        <v>0.95448500000000003</v>
      </c>
      <c r="Q1077">
        <v>0.29175699999999999</v>
      </c>
      <c r="R1077">
        <v>6.1940540000000002E-2</v>
      </c>
      <c r="S1077">
        <v>3.284119</v>
      </c>
      <c r="T1077">
        <v>-0.40138459999999998</v>
      </c>
      <c r="U1077">
        <v>-0.29122920000000002</v>
      </c>
      <c r="V1077">
        <v>-6.2861819999999999E-2</v>
      </c>
      <c r="W1077">
        <v>0.30257479999999998</v>
      </c>
      <c r="X1077">
        <v>0.95105039999999996</v>
      </c>
      <c r="Y1077">
        <v>8.6543919999999996E-2</v>
      </c>
      <c r="Z1077">
        <v>-5.630711E-3</v>
      </c>
      <c r="AA1077">
        <v>0.99623220000000001</v>
      </c>
      <c r="AB1077">
        <v>36</v>
      </c>
      <c r="AC1077">
        <v>0.56960000000003597</v>
      </c>
      <c r="AD1077">
        <v>-9.3712000000000004E-2</v>
      </c>
      <c r="AE1077">
        <v>-6.7999999999983601E-2</v>
      </c>
      <c r="AF1077">
        <v>6.5622430262566103E-2</v>
      </c>
      <c r="AG1077">
        <v>-9.3712000000000004E-2</v>
      </c>
      <c r="AH1077">
        <v>0.55486653134611297</v>
      </c>
      <c r="AI1077">
        <v>99.5211533093306</v>
      </c>
      <c r="AJ1077">
        <v>83.255127543261693</v>
      </c>
      <c r="AK1077">
        <v>0.56653782742693504</v>
      </c>
      <c r="AL1077">
        <v>72.387682425262099</v>
      </c>
      <c r="AM1077">
        <v>93.781593034402206</v>
      </c>
      <c r="AN1077">
        <v>0.999999990674456</v>
      </c>
    </row>
    <row r="1078" spans="1:40" x14ac:dyDescent="0.25">
      <c r="A1078" t="str">
        <f>"20190304164352460"</f>
        <v>20190304164352460</v>
      </c>
      <c r="B1078" t="str">
        <f>"1551689032450821"</f>
        <v>1551689032450821</v>
      </c>
      <c r="C1078" t="s">
        <v>40</v>
      </c>
      <c r="D1078">
        <v>5.1264760000000003</v>
      </c>
      <c r="E1078">
        <v>0.57287619999999995</v>
      </c>
      <c r="F1078" t="s">
        <v>41</v>
      </c>
      <c r="G1078">
        <v>-259.68939999999998</v>
      </c>
      <c r="H1078">
        <v>1.00234</v>
      </c>
      <c r="I1078">
        <v>367.96809999999999</v>
      </c>
      <c r="J1078">
        <v>-260.30840000000001</v>
      </c>
      <c r="K1078">
        <v>1.110036</v>
      </c>
      <c r="L1078">
        <v>368.04599999999999</v>
      </c>
      <c r="M1078">
        <v>0.99993379999999998</v>
      </c>
      <c r="N1078">
        <v>-1.1453949999999999E-2</v>
      </c>
      <c r="O1078">
        <v>-1.177588E-3</v>
      </c>
      <c r="P1078">
        <v>0.95451399999999997</v>
      </c>
      <c r="Q1078">
        <v>0.29170289999999999</v>
      </c>
      <c r="R1078">
        <v>6.1748119999999997E-2</v>
      </c>
      <c r="S1078">
        <v>3.2847900000000001</v>
      </c>
      <c r="T1078">
        <v>-0.40187499999999998</v>
      </c>
      <c r="U1078">
        <v>-0.29125980000000001</v>
      </c>
      <c r="V1078">
        <v>-6.2751580000000001E-2</v>
      </c>
      <c r="W1078">
        <v>0.3026412</v>
      </c>
      <c r="X1078">
        <v>0.95103660000000001</v>
      </c>
      <c r="Y1078">
        <v>8.6456400000000003E-2</v>
      </c>
      <c r="Z1078">
        <v>-5.6271530000000002E-3</v>
      </c>
      <c r="AA1078">
        <v>0.99623969999999995</v>
      </c>
      <c r="AB1078">
        <v>36</v>
      </c>
      <c r="AC1078">
        <v>0.61900000000002797</v>
      </c>
      <c r="AD1078">
        <v>-0.107696</v>
      </c>
      <c r="AE1078">
        <v>-7.7899999999999595E-2</v>
      </c>
      <c r="AF1078">
        <v>7.4937937768264407E-2</v>
      </c>
      <c r="AG1078">
        <v>-0.107696</v>
      </c>
      <c r="AH1078">
        <v>0.60117717027478701</v>
      </c>
      <c r="AI1078">
        <v>100.079950157024</v>
      </c>
      <c r="AJ1078">
        <v>82.894616562800195</v>
      </c>
      <c r="AK1078">
        <v>0.61532764686186603</v>
      </c>
      <c r="AL1078">
        <v>72.383691658388898</v>
      </c>
      <c r="AM1078">
        <v>93.775035111741303</v>
      </c>
      <c r="AN1078">
        <v>1.00000003563474</v>
      </c>
    </row>
    <row r="1079" spans="1:40" x14ac:dyDescent="0.25">
      <c r="A1079" t="str">
        <f>"20190304164352475"</f>
        <v>20190304164352475</v>
      </c>
      <c r="B1079" t="str">
        <f>"1551689032460583"</f>
        <v>1551689032460583</v>
      </c>
      <c r="C1079" t="s">
        <v>40</v>
      </c>
      <c r="D1079">
        <v>5.1087790000000002</v>
      </c>
      <c r="E1079">
        <v>0.57281150000000003</v>
      </c>
      <c r="F1079" t="s">
        <v>41</v>
      </c>
      <c r="G1079">
        <v>-259.37549999999999</v>
      </c>
      <c r="H1079">
        <v>0.99524159999999995</v>
      </c>
      <c r="I1079">
        <v>367.96280000000002</v>
      </c>
      <c r="J1079">
        <v>-260.07819999999998</v>
      </c>
      <c r="K1079">
        <v>1.1100620000000001</v>
      </c>
      <c r="L1079">
        <v>368.04559999999998</v>
      </c>
      <c r="M1079">
        <v>0.9999323</v>
      </c>
      <c r="N1079">
        <v>-1.157732E-2</v>
      </c>
      <c r="O1079">
        <v>-1.241963E-3</v>
      </c>
      <c r="P1079">
        <v>0.95450429999999997</v>
      </c>
      <c r="Q1079">
        <v>0.29170439999999997</v>
      </c>
      <c r="R1079">
        <v>6.1890359999999998E-2</v>
      </c>
      <c r="S1079">
        <v>3.2854610000000002</v>
      </c>
      <c r="T1079">
        <v>-0.40444530000000001</v>
      </c>
      <c r="U1079">
        <v>-0.29211429999999999</v>
      </c>
      <c r="V1079">
        <v>-6.2961820000000002E-2</v>
      </c>
      <c r="W1079">
        <v>0.30275839999999998</v>
      </c>
      <c r="X1079">
        <v>0.95098539999999998</v>
      </c>
      <c r="Y1079">
        <v>8.6621610000000002E-2</v>
      </c>
      <c r="Z1079">
        <v>-5.6680039999999999E-3</v>
      </c>
      <c r="AA1079">
        <v>0.99622520000000003</v>
      </c>
      <c r="AB1079">
        <v>36</v>
      </c>
      <c r="AC1079">
        <v>0.702699999999992</v>
      </c>
      <c r="AD1079">
        <v>-0.1148204</v>
      </c>
      <c r="AE1079">
        <v>-8.2799999999963306E-2</v>
      </c>
      <c r="AF1079">
        <v>7.9825070697830305E-2</v>
      </c>
      <c r="AG1079">
        <v>-0.1148204</v>
      </c>
      <c r="AH1079">
        <v>0.68476985978423499</v>
      </c>
      <c r="AI1079">
        <v>99.455793121235899</v>
      </c>
      <c r="AJ1079">
        <v>83.350919688774496</v>
      </c>
      <c r="AK1079">
        <v>0.69890308844431004</v>
      </c>
      <c r="AL1079">
        <v>72.376646049090596</v>
      </c>
      <c r="AM1079">
        <v>93.787849389703197</v>
      </c>
      <c r="AN1079">
        <v>1.0000000352807099</v>
      </c>
    </row>
    <row r="1080" spans="1:40" x14ac:dyDescent="0.25">
      <c r="A1080" t="str">
        <f>"20190304164352491"</f>
        <v>20190304164352491</v>
      </c>
      <c r="B1080" t="str">
        <f>"1551689032481078"</f>
        <v>1551689032481078</v>
      </c>
      <c r="C1080" t="s">
        <v>40</v>
      </c>
      <c r="D1080">
        <v>5.149241</v>
      </c>
      <c r="E1080">
        <v>0.57282549999999999</v>
      </c>
      <c r="F1080" t="s">
        <v>41</v>
      </c>
      <c r="G1080">
        <v>-259.0634</v>
      </c>
      <c r="H1080">
        <v>0.98464940000000001</v>
      </c>
      <c r="I1080">
        <v>367.9556</v>
      </c>
      <c r="J1080">
        <v>-259.79719999999998</v>
      </c>
      <c r="K1080">
        <v>1.110101</v>
      </c>
      <c r="L1080">
        <v>368.04520000000002</v>
      </c>
      <c r="M1080">
        <v>0.99993030000000005</v>
      </c>
      <c r="N1080">
        <v>-1.173868E-2</v>
      </c>
      <c r="O1080">
        <v>-1.32E-3</v>
      </c>
      <c r="P1080">
        <v>0.95469090000000001</v>
      </c>
      <c r="Q1080">
        <v>0.2911049</v>
      </c>
      <c r="R1080">
        <v>6.183338E-2</v>
      </c>
      <c r="S1080">
        <v>3.286041</v>
      </c>
      <c r="T1080">
        <v>-0.40626289999999998</v>
      </c>
      <c r="U1080">
        <v>-0.29074100000000003</v>
      </c>
      <c r="V1080">
        <v>-6.2988849999999999E-2</v>
      </c>
      <c r="W1080">
        <v>0.30231249999999998</v>
      </c>
      <c r="X1080">
        <v>0.95112540000000001</v>
      </c>
      <c r="Y1080">
        <v>8.6113239999999994E-2</v>
      </c>
      <c r="Z1080">
        <v>-5.6544759999999899E-3</v>
      </c>
      <c r="AA1080">
        <v>0.99626930000000002</v>
      </c>
      <c r="AB1080">
        <v>35</v>
      </c>
      <c r="AC1080">
        <v>0.73379999999997303</v>
      </c>
      <c r="AD1080">
        <v>-0.1254516</v>
      </c>
      <c r="AE1080">
        <v>-8.9600000000018498E-2</v>
      </c>
      <c r="AF1080">
        <v>8.6150242384249204E-2</v>
      </c>
      <c r="AG1080">
        <v>-0.1254516</v>
      </c>
      <c r="AH1080">
        <v>0.71337355962152804</v>
      </c>
      <c r="AI1080">
        <v>99.903357030672097</v>
      </c>
      <c r="AJ1080">
        <v>83.114046423733001</v>
      </c>
      <c r="AK1080">
        <v>0.72942566706451695</v>
      </c>
      <c r="AL1080">
        <v>72.403449416297505</v>
      </c>
      <c r="AM1080">
        <v>93.788914643196307</v>
      </c>
      <c r="AN1080">
        <v>0.999999984702866</v>
      </c>
    </row>
    <row r="1081" spans="1:40" x14ac:dyDescent="0.25">
      <c r="A1081" t="str">
        <f>"20190304164352507"</f>
        <v>20190304164352507</v>
      </c>
      <c r="B1081" t="str">
        <f>"1551689032500598"</f>
        <v>1551689032500598</v>
      </c>
      <c r="C1081" t="s">
        <v>40</v>
      </c>
      <c r="D1081">
        <v>5.144266</v>
      </c>
      <c r="E1081">
        <v>0.57289199999999996</v>
      </c>
      <c r="F1081" t="s">
        <v>41</v>
      </c>
      <c r="G1081">
        <v>-259.04770000000002</v>
      </c>
      <c r="H1081">
        <v>1.016699</v>
      </c>
      <c r="I1081">
        <v>367.97879999999998</v>
      </c>
      <c r="J1081">
        <v>-259.56209999999999</v>
      </c>
      <c r="K1081">
        <v>1.1101240000000001</v>
      </c>
      <c r="L1081">
        <v>368.04480000000001</v>
      </c>
      <c r="M1081">
        <v>0.99992859999999995</v>
      </c>
      <c r="N1081">
        <v>-1.1877479999999999E-2</v>
      </c>
      <c r="O1081">
        <v>-1.3865010000000001E-3</v>
      </c>
      <c r="P1081">
        <v>0.95472840000000003</v>
      </c>
      <c r="Q1081">
        <v>0.29100140000000002</v>
      </c>
      <c r="R1081">
        <v>6.1743529999999998E-2</v>
      </c>
      <c r="S1081">
        <v>3.2861020000000001</v>
      </c>
      <c r="T1081">
        <v>-0.40973989999999999</v>
      </c>
      <c r="U1081">
        <v>-0.29003909999999899</v>
      </c>
      <c r="V1081">
        <v>-6.296968E-2</v>
      </c>
      <c r="W1081">
        <v>0.30234030000000001</v>
      </c>
      <c r="X1081">
        <v>0.95111789999999996</v>
      </c>
      <c r="Y1081">
        <v>8.5824789999999998E-2</v>
      </c>
      <c r="Z1081">
        <v>-5.6771679999999998E-3</v>
      </c>
      <c r="AA1081">
        <v>0.99629409999999896</v>
      </c>
      <c r="AB1081">
        <v>35</v>
      </c>
      <c r="AC1081">
        <v>0.514399999999966</v>
      </c>
      <c r="AD1081">
        <v>-9.34249999999998E-2</v>
      </c>
      <c r="AE1081">
        <v>-6.6000000000030895E-2</v>
      </c>
      <c r="AF1081">
        <v>6.3234619887864996E-2</v>
      </c>
      <c r="AG1081">
        <v>-9.34249999999998E-2</v>
      </c>
      <c r="AH1081">
        <v>0.49831985688818098</v>
      </c>
      <c r="AI1081">
        <v>100.535972509212</v>
      </c>
      <c r="AJ1081">
        <v>82.768067196628905</v>
      </c>
      <c r="AK1081">
        <v>0.51093006130626095</v>
      </c>
      <c r="AL1081">
        <v>72.401779559538994</v>
      </c>
      <c r="AM1081">
        <v>93.787794665115797</v>
      </c>
      <c r="AN1081">
        <v>1.0000000486519001</v>
      </c>
    </row>
    <row r="1082" spans="1:40" x14ac:dyDescent="0.25">
      <c r="A1082" t="str">
        <f>"20190304164352521"</f>
        <v>20190304164352521</v>
      </c>
      <c r="B1082" t="str">
        <f>"1551689032511334"</f>
        <v>1551689032511334</v>
      </c>
      <c r="C1082" t="s">
        <v>40</v>
      </c>
      <c r="D1082">
        <v>5.121067</v>
      </c>
      <c r="E1082">
        <v>0.57287710000000003</v>
      </c>
      <c r="F1082" t="s">
        <v>41</v>
      </c>
      <c r="G1082">
        <v>-258.7355</v>
      </c>
      <c r="H1082">
        <v>1.007128</v>
      </c>
      <c r="I1082">
        <v>367.97140000000002</v>
      </c>
      <c r="J1082">
        <v>-259.33909999999997</v>
      </c>
      <c r="K1082">
        <v>1.1101510000000001</v>
      </c>
      <c r="L1082">
        <v>368.0444</v>
      </c>
      <c r="M1082">
        <v>0.99992689999999995</v>
      </c>
      <c r="N1082">
        <v>-1.201549E-2</v>
      </c>
      <c r="O1082">
        <v>-1.4494550000000001E-3</v>
      </c>
      <c r="P1082">
        <v>0.95477259999999997</v>
      </c>
      <c r="Q1082">
        <v>0.29086980000000001</v>
      </c>
      <c r="R1082">
        <v>6.1678709999999998E-2</v>
      </c>
      <c r="S1082">
        <v>3.2859500000000001</v>
      </c>
      <c r="T1082">
        <v>-0.409665</v>
      </c>
      <c r="U1082">
        <v>-0.29086299999999998</v>
      </c>
      <c r="V1082">
        <v>-6.2970620000000005E-2</v>
      </c>
      <c r="W1082">
        <v>0.30233890000000002</v>
      </c>
      <c r="X1082">
        <v>0.95111820000000002</v>
      </c>
      <c r="Y1082">
        <v>8.6012249999999998E-2</v>
      </c>
      <c r="Z1082">
        <v>-5.6882719999999899E-3</v>
      </c>
      <c r="AA1082">
        <v>0.99627790000000005</v>
      </c>
      <c r="AB1082">
        <v>35</v>
      </c>
      <c r="AC1082">
        <v>0.60359999999997105</v>
      </c>
      <c r="AD1082">
        <v>-0.103023</v>
      </c>
      <c r="AE1082">
        <v>-7.2999999999978998E-2</v>
      </c>
      <c r="AF1082">
        <v>7.0111915099107705E-2</v>
      </c>
      <c r="AG1082">
        <v>-0.103023</v>
      </c>
      <c r="AH1082">
        <v>0.58685538499617396</v>
      </c>
      <c r="AI1082">
        <v>99.8879557662991</v>
      </c>
      <c r="AJ1082">
        <v>83.187135056548499</v>
      </c>
      <c r="AK1082">
        <v>0.59994054877701997</v>
      </c>
      <c r="AL1082">
        <v>72.401862280826904</v>
      </c>
      <c r="AM1082">
        <v>93.787849852743506</v>
      </c>
      <c r="AN1082">
        <v>0.99999996990381601</v>
      </c>
    </row>
    <row r="1083" spans="1:40" x14ac:dyDescent="0.25">
      <c r="A1083" t="str">
        <f>"20190304164352532"</f>
        <v>20190304164352532</v>
      </c>
      <c r="B1083" t="str">
        <f>"1551689032521095"</f>
        <v>1551689032521095</v>
      </c>
      <c r="C1083" t="s">
        <v>40</v>
      </c>
      <c r="D1083">
        <v>5.1357089999999896</v>
      </c>
      <c r="E1083">
        <v>0.57283470000000003</v>
      </c>
      <c r="F1083" t="s">
        <v>41</v>
      </c>
      <c r="G1083">
        <v>-258.42450000000002</v>
      </c>
      <c r="H1083">
        <v>0.99558590000000002</v>
      </c>
      <c r="I1083">
        <v>367.96359999999999</v>
      </c>
      <c r="J1083">
        <v>-259.14069999999998</v>
      </c>
      <c r="K1083">
        <v>1.1101760000000001</v>
      </c>
      <c r="L1083">
        <v>368.04399999999998</v>
      </c>
      <c r="M1083">
        <v>0.99992519999999996</v>
      </c>
      <c r="N1083">
        <v>-1.2143620000000001E-2</v>
      </c>
      <c r="O1083">
        <v>-1.5049950000000001E-3</v>
      </c>
      <c r="P1083">
        <v>0.95482529999999999</v>
      </c>
      <c r="Q1083">
        <v>0.29075119999999999</v>
      </c>
      <c r="R1083">
        <v>6.1422400000000002E-2</v>
      </c>
      <c r="S1083">
        <v>3.2862550000000001</v>
      </c>
      <c r="T1083">
        <v>-0.41177750000000002</v>
      </c>
      <c r="U1083">
        <v>-0.28964230000000002</v>
      </c>
      <c r="V1083">
        <v>-6.2771450000000006E-2</v>
      </c>
      <c r="W1083">
        <v>0.3023421</v>
      </c>
      <c r="X1083">
        <v>0.95113040000000004</v>
      </c>
      <c r="Y1083">
        <v>8.5577959999999995E-2</v>
      </c>
      <c r="Z1083">
        <v>-5.684031E-3</v>
      </c>
      <c r="AA1083">
        <v>0.99631519999999996</v>
      </c>
      <c r="AB1083">
        <v>35</v>
      </c>
      <c r="AC1083">
        <v>0.71619999999995798</v>
      </c>
      <c r="AD1083">
        <v>-0.1145901</v>
      </c>
      <c r="AE1083">
        <v>-8.0400000000054206E-2</v>
      </c>
      <c r="AF1083">
        <v>7.7366093735275795E-2</v>
      </c>
      <c r="AG1083">
        <v>-0.1145901</v>
      </c>
      <c r="AH1083">
        <v>0.698657738659061</v>
      </c>
      <c r="AI1083">
        <v>99.258810630284799</v>
      </c>
      <c r="AJ1083">
        <v>83.681077355366995</v>
      </c>
      <c r="AK1083">
        <v>0.71220716035859799</v>
      </c>
      <c r="AL1083">
        <v>72.401670826226294</v>
      </c>
      <c r="AM1083">
        <v>93.775855669025404</v>
      </c>
      <c r="AN1083">
        <v>1.00000001908583</v>
      </c>
    </row>
    <row r="1084" spans="1:40" x14ac:dyDescent="0.25">
      <c r="A1084" t="str">
        <f>"20190304164352547"</f>
        <v>20190304164352547</v>
      </c>
      <c r="B1084" t="str">
        <f>"1551689032540617"</f>
        <v>1551689032540617</v>
      </c>
      <c r="C1084" t="s">
        <v>40</v>
      </c>
      <c r="D1084">
        <v>5.1175550000000003</v>
      </c>
      <c r="E1084">
        <v>0.57291169999999902</v>
      </c>
      <c r="F1084" t="s">
        <v>41</v>
      </c>
      <c r="G1084">
        <v>-258.41309999999999</v>
      </c>
      <c r="H1084">
        <v>1.0185919999999999</v>
      </c>
      <c r="I1084">
        <v>367.97980000000001</v>
      </c>
      <c r="J1084">
        <v>-258.91109999999998</v>
      </c>
      <c r="K1084">
        <v>1.1102019999999999</v>
      </c>
      <c r="L1084">
        <v>368.0437</v>
      </c>
      <c r="M1084">
        <v>0.99992300000000001</v>
      </c>
      <c r="N1084">
        <v>-1.2302240000000001E-2</v>
      </c>
      <c r="O1084">
        <v>-1.5671939999999901E-3</v>
      </c>
      <c r="P1084">
        <v>0.95481680000000002</v>
      </c>
      <c r="Q1084">
        <v>0.29089029999999999</v>
      </c>
      <c r="R1084">
        <v>6.0889140000000001E-2</v>
      </c>
      <c r="S1084">
        <v>3.2866059999999999</v>
      </c>
      <c r="T1084">
        <v>-0.41388320000000001</v>
      </c>
      <c r="U1084">
        <v>-0.28961179999999997</v>
      </c>
      <c r="V1084">
        <v>-6.2300109999999999E-2</v>
      </c>
      <c r="W1084">
        <v>0.30263109999999999</v>
      </c>
      <c r="X1084">
        <v>0.95106950000000001</v>
      </c>
      <c r="Y1084">
        <v>8.5490899999999995E-2</v>
      </c>
      <c r="Z1084">
        <v>-5.7036580000000003E-3</v>
      </c>
      <c r="AA1084">
        <v>0.99632259999999995</v>
      </c>
      <c r="AB1084">
        <v>35</v>
      </c>
      <c r="AC1084">
        <v>0.49799999999999001</v>
      </c>
      <c r="AD1084">
        <v>-9.1610000000000205E-2</v>
      </c>
      <c r="AE1084">
        <v>-6.3899999999989604E-2</v>
      </c>
      <c r="AF1084">
        <v>6.1085755869705799E-2</v>
      </c>
      <c r="AG1084">
        <v>-9.1610000000000205E-2</v>
      </c>
      <c r="AH1084">
        <v>0.48205127093942801</v>
      </c>
      <c r="AI1084">
        <v>100.67689322220301</v>
      </c>
      <c r="AJ1084">
        <v>82.777946077140598</v>
      </c>
      <c r="AK1084">
        <v>0.49446667176311399</v>
      </c>
      <c r="AL1084">
        <v>72.384298899219502</v>
      </c>
      <c r="AM1084">
        <v>93.747823804190205</v>
      </c>
      <c r="AN1084">
        <v>1.0000000401117299</v>
      </c>
    </row>
    <row r="1085" spans="1:40" x14ac:dyDescent="0.25">
      <c r="A1085" t="str">
        <f>"20190304164352560"</f>
        <v>20190304164352560</v>
      </c>
      <c r="B1085" t="str">
        <f>"1551689032551351"</f>
        <v>1551689032551351</v>
      </c>
      <c r="C1085" t="s">
        <v>40</v>
      </c>
      <c r="D1085">
        <v>5.1388509999999998</v>
      </c>
      <c r="E1085">
        <v>0.57294269999999903</v>
      </c>
      <c r="F1085" t="s">
        <v>41</v>
      </c>
      <c r="G1085">
        <v>-258.10210000000001</v>
      </c>
      <c r="H1085">
        <v>1.0081639999999901</v>
      </c>
      <c r="I1085">
        <v>367.97179999999997</v>
      </c>
      <c r="J1085">
        <v>-258.73469999999998</v>
      </c>
      <c r="K1085">
        <v>1.110225</v>
      </c>
      <c r="L1085">
        <v>368.04329999999999</v>
      </c>
      <c r="M1085">
        <v>0.99992159999999997</v>
      </c>
      <c r="N1085">
        <v>-1.2425510000000001E-2</v>
      </c>
      <c r="O1085">
        <v>-1.6143079999999901E-3</v>
      </c>
      <c r="P1085">
        <v>0.95488640000000002</v>
      </c>
      <c r="Q1085">
        <v>0.2907399</v>
      </c>
      <c r="R1085">
        <v>6.0517899999999999E-2</v>
      </c>
      <c r="S1085">
        <v>3.2869109999999999</v>
      </c>
      <c r="T1085">
        <v>-0.41483550000000002</v>
      </c>
      <c r="U1085">
        <v>-0.29101559999999999</v>
      </c>
      <c r="V1085">
        <v>-6.1975639999999999E-2</v>
      </c>
      <c r="W1085">
        <v>0.30259839999999999</v>
      </c>
      <c r="X1085">
        <v>0.95110110000000003</v>
      </c>
      <c r="Y1085">
        <v>8.5851570000000002E-2</v>
      </c>
      <c r="Z1085">
        <v>-5.7399240000000004E-3</v>
      </c>
      <c r="AA1085">
        <v>0.99629140000000005</v>
      </c>
      <c r="AB1085">
        <v>35</v>
      </c>
      <c r="AC1085">
        <v>0.63259999999996797</v>
      </c>
      <c r="AD1085">
        <v>-0.102061</v>
      </c>
      <c r="AE1085">
        <v>-7.1500000000014496E-2</v>
      </c>
      <c r="AF1085">
        <v>6.8712639951031301E-2</v>
      </c>
      <c r="AG1085">
        <v>-0.102061</v>
      </c>
      <c r="AH1085">
        <v>0.61686072976528905</v>
      </c>
      <c r="AI1085">
        <v>99.337882165859</v>
      </c>
      <c r="AJ1085">
        <v>83.643976442649304</v>
      </c>
      <c r="AK1085">
        <v>0.62901115613048098</v>
      </c>
      <c r="AL1085">
        <v>72.386264582756993</v>
      </c>
      <c r="AM1085">
        <v>93.728236148774997</v>
      </c>
      <c r="AN1085">
        <v>1.00000003702858</v>
      </c>
    </row>
    <row r="1086" spans="1:40" x14ac:dyDescent="0.25">
      <c r="A1086" t="str">
        <f>"20190304164352571"</f>
        <v>20190304164352571</v>
      </c>
      <c r="B1086" t="str">
        <f>"1551689032561110"</f>
        <v>1551689032561110</v>
      </c>
      <c r="C1086" t="s">
        <v>40</v>
      </c>
      <c r="D1086">
        <v>5.157222</v>
      </c>
      <c r="E1086">
        <v>0.57296349999999996</v>
      </c>
      <c r="F1086" t="s">
        <v>41</v>
      </c>
      <c r="G1086">
        <v>-257.7944</v>
      </c>
      <c r="H1086">
        <v>0.99138280000000001</v>
      </c>
      <c r="I1086">
        <v>367.95940000000002</v>
      </c>
      <c r="J1086">
        <v>-258.53050000000002</v>
      </c>
      <c r="K1086">
        <v>1.1102479999999999</v>
      </c>
      <c r="L1086">
        <v>368.04300000000001</v>
      </c>
      <c r="M1086">
        <v>0.99991980000000003</v>
      </c>
      <c r="N1086">
        <v>-1.256999E-2</v>
      </c>
      <c r="O1086">
        <v>-1.667775E-3</v>
      </c>
      <c r="P1086">
        <v>0.95499590000000001</v>
      </c>
      <c r="Q1086">
        <v>0.29043429999999998</v>
      </c>
      <c r="R1086">
        <v>6.0258699999999998E-2</v>
      </c>
      <c r="S1086">
        <v>3.2867579999999998</v>
      </c>
      <c r="T1086">
        <v>-0.41545090000000001</v>
      </c>
      <c r="U1086">
        <v>-0.29254150000000001</v>
      </c>
      <c r="V1086">
        <v>-6.1769539999999998E-2</v>
      </c>
      <c r="W1086">
        <v>0.30243120000000001</v>
      </c>
      <c r="X1086">
        <v>0.9511676</v>
      </c>
      <c r="Y1086">
        <v>8.6255189999999995E-2</v>
      </c>
      <c r="Z1086">
        <v>-5.776041E-3</v>
      </c>
      <c r="AA1086">
        <v>0.99625640000000004</v>
      </c>
      <c r="AB1086">
        <v>35</v>
      </c>
      <c r="AC1086">
        <v>0.73610000000002096</v>
      </c>
      <c r="AD1086">
        <v>-0.118865199999999</v>
      </c>
      <c r="AE1086">
        <v>-8.3599999999989905E-2</v>
      </c>
      <c r="AF1086">
        <v>8.0304800211549204E-2</v>
      </c>
      <c r="AG1086">
        <v>-0.118865199999999</v>
      </c>
      <c r="AH1086">
        <v>0.71776064412684404</v>
      </c>
      <c r="AI1086">
        <v>99.345887710857795</v>
      </c>
      <c r="AJ1086">
        <v>83.6161579631178</v>
      </c>
      <c r="AK1086">
        <v>0.73195501157204901</v>
      </c>
      <c r="AL1086">
        <v>72.396313879104099</v>
      </c>
      <c r="AM1086">
        <v>93.715613628617604</v>
      </c>
      <c r="AN1086">
        <v>0.99999995504750405</v>
      </c>
    </row>
    <row r="1087" spans="1:40" x14ac:dyDescent="0.25">
      <c r="A1087" t="str">
        <f>"20190304164352583"</f>
        <v>20190304164352583</v>
      </c>
      <c r="B1087" t="str">
        <f>"1551689032570869"</f>
        <v>1551689032570869</v>
      </c>
      <c r="C1087" t="s">
        <v>40</v>
      </c>
      <c r="D1087">
        <v>5.1485059999999896</v>
      </c>
      <c r="E1087">
        <v>0.57302299999999995</v>
      </c>
      <c r="F1087" t="s">
        <v>41</v>
      </c>
      <c r="G1087">
        <v>-257.7826</v>
      </c>
      <c r="H1087">
        <v>1.0153989999999999</v>
      </c>
      <c r="I1087">
        <v>367.976</v>
      </c>
      <c r="J1087">
        <v>-258.34750000000003</v>
      </c>
      <c r="K1087">
        <v>1.110263</v>
      </c>
      <c r="L1087">
        <v>368.04259999999999</v>
      </c>
      <c r="M1087">
        <v>0.99991799999999997</v>
      </c>
      <c r="N1087">
        <v>-1.2695669999999999E-2</v>
      </c>
      <c r="O1087">
        <v>-1.714826E-3</v>
      </c>
      <c r="P1087">
        <v>0.95498470000000002</v>
      </c>
      <c r="Q1087">
        <v>0.29059390000000002</v>
      </c>
      <c r="R1087">
        <v>5.9663580000000001E-2</v>
      </c>
      <c r="S1087">
        <v>3.2866970000000002</v>
      </c>
      <c r="T1087">
        <v>-0.4168924</v>
      </c>
      <c r="U1087">
        <v>-0.29367070000000001</v>
      </c>
      <c r="V1087">
        <v>-6.1219570000000001E-2</v>
      </c>
      <c r="W1087">
        <v>0.30271019999999998</v>
      </c>
      <c r="X1087">
        <v>0.95111449999999997</v>
      </c>
      <c r="Y1087">
        <v>8.6541709999999994E-2</v>
      </c>
      <c r="Z1087">
        <v>-5.8142369999999999E-3</v>
      </c>
      <c r="AA1087">
        <v>0.99623130000000004</v>
      </c>
      <c r="AB1087">
        <v>35</v>
      </c>
      <c r="AC1087">
        <v>0.56490000000002205</v>
      </c>
      <c r="AD1087">
        <v>-9.4864000000000004E-2</v>
      </c>
      <c r="AE1087">
        <v>-6.6599999999993997E-2</v>
      </c>
      <c r="AF1087">
        <v>6.3855049290057003E-2</v>
      </c>
      <c r="AG1087">
        <v>-9.4864000000000004E-2</v>
      </c>
      <c r="AH1087">
        <v>0.54972333619394598</v>
      </c>
      <c r="AI1087">
        <v>99.726781470652497</v>
      </c>
      <c r="AJ1087">
        <v>83.374300314345803</v>
      </c>
      <c r="AK1087">
        <v>0.56149122181209299</v>
      </c>
      <c r="AL1087">
        <v>72.379543881330903</v>
      </c>
      <c r="AM1087">
        <v>93.682827843446205</v>
      </c>
      <c r="AN1087">
        <v>1.00000004652263</v>
      </c>
    </row>
    <row r="1088" spans="1:40" x14ac:dyDescent="0.25">
      <c r="A1088" t="str">
        <f>"20190304164352603"</f>
        <v>20190304164352603</v>
      </c>
      <c r="B1088" t="str">
        <f>"1551689032591366"</f>
        <v>1551689032591366</v>
      </c>
      <c r="C1088" t="s">
        <v>40</v>
      </c>
      <c r="D1088">
        <v>5.1507329999999998</v>
      </c>
      <c r="E1088">
        <v>0.57310919999999999</v>
      </c>
      <c r="F1088" t="s">
        <v>41</v>
      </c>
      <c r="G1088">
        <v>-257.47469999999998</v>
      </c>
      <c r="H1088">
        <v>0.99973460000000003</v>
      </c>
      <c r="I1088">
        <v>367.96379999999999</v>
      </c>
      <c r="J1088">
        <v>-258.05</v>
      </c>
      <c r="K1088">
        <v>1.1102879999999999</v>
      </c>
      <c r="L1088">
        <v>368.04199999999997</v>
      </c>
      <c r="M1088">
        <v>0.99991529999999995</v>
      </c>
      <c r="N1088">
        <v>-1.28924E-2</v>
      </c>
      <c r="O1088">
        <v>-1.791317E-3</v>
      </c>
      <c r="P1088">
        <v>0.95515539999999999</v>
      </c>
      <c r="Q1088">
        <v>0.29019980000000001</v>
      </c>
      <c r="R1088">
        <v>5.8841199999999899E-2</v>
      </c>
      <c r="S1088">
        <v>3.286591</v>
      </c>
      <c r="T1088">
        <v>-0.41634209999999999</v>
      </c>
      <c r="U1088">
        <v>-0.29595949999999999</v>
      </c>
      <c r="V1088">
        <v>-6.0470830000000003E-2</v>
      </c>
      <c r="W1088">
        <v>0.30250519999999997</v>
      </c>
      <c r="X1088">
        <v>0.9512275</v>
      </c>
      <c r="Y1088">
        <v>8.7152510000000002E-2</v>
      </c>
      <c r="Z1088">
        <v>-5.8500690000000003E-3</v>
      </c>
      <c r="AA1088">
        <v>0.9961778</v>
      </c>
      <c r="AB1088">
        <v>35</v>
      </c>
      <c r="AC1088">
        <v>0.57530000000002701</v>
      </c>
      <c r="AD1088">
        <v>-0.1105534</v>
      </c>
      <c r="AE1088">
        <v>-7.8199999999981104E-2</v>
      </c>
      <c r="AF1088">
        <v>7.4469138990357994E-2</v>
      </c>
      <c r="AG1088">
        <v>-0.1105534</v>
      </c>
      <c r="AH1088">
        <v>0.55530490071958605</v>
      </c>
      <c r="AI1088">
        <v>101.162184413536</v>
      </c>
      <c r="AJ1088">
        <v>82.361922576928706</v>
      </c>
      <c r="AK1088">
        <v>0.57107901351451695</v>
      </c>
      <c r="AL1088">
        <v>72.391865305438401</v>
      </c>
      <c r="AM1088">
        <v>93.637476079493794</v>
      </c>
      <c r="AN1088">
        <v>0.99999993703208701</v>
      </c>
    </row>
    <row r="1089" spans="1:40" x14ac:dyDescent="0.25">
      <c r="A1089" t="str">
        <f>"20190304164352614"</f>
        <v>20190304164352614</v>
      </c>
      <c r="B1089" t="str">
        <f>"1551689032601126"</f>
        <v>1551689032601126</v>
      </c>
      <c r="C1089" t="s">
        <v>40</v>
      </c>
      <c r="D1089">
        <v>5.1588399999999996</v>
      </c>
      <c r="E1089">
        <v>0.57314900000000002</v>
      </c>
      <c r="F1089" t="s">
        <v>41</v>
      </c>
      <c r="G1089">
        <v>-257.16079999999999</v>
      </c>
      <c r="H1089">
        <v>0.99716660000000001</v>
      </c>
      <c r="I1089">
        <v>367.96089999999998</v>
      </c>
      <c r="J1089">
        <v>-257.86399999999998</v>
      </c>
      <c r="K1089">
        <v>1.1103000000000001</v>
      </c>
      <c r="L1089">
        <v>368.04160000000002</v>
      </c>
      <c r="M1089">
        <v>0.99991379999999996</v>
      </c>
      <c r="N1089">
        <v>-1.3010320000000001E-2</v>
      </c>
      <c r="O1089">
        <v>-1.8389400000000001E-3</v>
      </c>
      <c r="P1089">
        <v>0.95520970000000005</v>
      </c>
      <c r="Q1089">
        <v>0.29015560000000001</v>
      </c>
      <c r="R1089">
        <v>5.817551E-2</v>
      </c>
      <c r="S1089">
        <v>3.2863310000000001</v>
      </c>
      <c r="T1089">
        <v>-0.41818359999999899</v>
      </c>
      <c r="U1089">
        <v>-0.29916379999999998</v>
      </c>
      <c r="V1089">
        <v>-5.9850760000000003E-2</v>
      </c>
      <c r="W1089">
        <v>0.30257339999999999</v>
      </c>
      <c r="X1089">
        <v>0.95124509999999995</v>
      </c>
      <c r="Y1089">
        <v>8.8060749999999993E-2</v>
      </c>
      <c r="Z1089">
        <v>-5.9367450000000002E-3</v>
      </c>
      <c r="AA1089">
        <v>0.99609740000000002</v>
      </c>
      <c r="AB1089">
        <v>35</v>
      </c>
      <c r="AC1089">
        <v>0.70320000000003802</v>
      </c>
      <c r="AD1089">
        <v>-0.1131334</v>
      </c>
      <c r="AE1089">
        <v>-8.0700000000035702E-2</v>
      </c>
      <c r="AF1089">
        <v>7.7428537144676193E-2</v>
      </c>
      <c r="AG1089">
        <v>-0.1131334</v>
      </c>
      <c r="AH1089">
        <v>0.68582635227548205</v>
      </c>
      <c r="AI1089">
        <v>99.309018528787504</v>
      </c>
      <c r="AJ1089">
        <v>83.558686175716701</v>
      </c>
      <c r="AK1089">
        <v>0.69939411638604598</v>
      </c>
      <c r="AL1089">
        <v>72.387766900583301</v>
      </c>
      <c r="AM1089">
        <v>93.600209445659104</v>
      </c>
      <c r="AN1089">
        <v>1.0000000080670699</v>
      </c>
    </row>
    <row r="1090" spans="1:40" x14ac:dyDescent="0.25">
      <c r="A1090" t="str">
        <f>"20190304164352625"</f>
        <v>20190304164352625</v>
      </c>
      <c r="B1090" t="str">
        <f>"1551689032610886"</f>
        <v>1551689032610886</v>
      </c>
      <c r="C1090" t="s">
        <v>40</v>
      </c>
      <c r="D1090">
        <v>5.1688340000000004</v>
      </c>
      <c r="E1090">
        <v>0.57318279999999999</v>
      </c>
      <c r="F1090" t="s">
        <v>41</v>
      </c>
      <c r="G1090">
        <v>-256.8537</v>
      </c>
      <c r="H1090">
        <v>0.98156730000000003</v>
      </c>
      <c r="I1090">
        <v>367.94880000000001</v>
      </c>
      <c r="J1090">
        <v>-257.68329999999997</v>
      </c>
      <c r="K1090">
        <v>1.110312</v>
      </c>
      <c r="L1090">
        <v>368.0412</v>
      </c>
      <c r="M1090">
        <v>0.99991229999999998</v>
      </c>
      <c r="N1090">
        <v>-1.3115440000000001E-2</v>
      </c>
      <c r="O1090">
        <v>-1.885767E-3</v>
      </c>
      <c r="P1090">
        <v>0.95525320000000002</v>
      </c>
      <c r="Q1090">
        <v>0.2900586</v>
      </c>
      <c r="R1090">
        <v>5.7945240000000002E-2</v>
      </c>
      <c r="S1090">
        <v>3.28627</v>
      </c>
      <c r="T1090">
        <v>-0.41893590000000003</v>
      </c>
      <c r="U1090">
        <v>-0.30126950000000002</v>
      </c>
      <c r="V1090">
        <v>-5.9666099999999903E-2</v>
      </c>
      <c r="W1090">
        <v>0.30257659999999997</v>
      </c>
      <c r="X1090">
        <v>0.95125570000000004</v>
      </c>
      <c r="Y1090">
        <v>8.8640699999999906E-2</v>
      </c>
      <c r="Z1090">
        <v>-5.9863370000000004E-3</v>
      </c>
      <c r="AA1090">
        <v>0.99604559999999998</v>
      </c>
      <c r="AB1090">
        <v>35</v>
      </c>
      <c r="AC1090">
        <v>0.82959999999997003</v>
      </c>
      <c r="AD1090">
        <v>-0.12874469999999999</v>
      </c>
      <c r="AE1090">
        <v>-9.2399999999997803E-2</v>
      </c>
      <c r="AF1090">
        <v>8.8724643852509499E-2</v>
      </c>
      <c r="AG1090">
        <v>-0.12874469999999999</v>
      </c>
      <c r="AH1090">
        <v>0.81049239616930102</v>
      </c>
      <c r="AI1090">
        <v>98.973155139505494</v>
      </c>
      <c r="AJ1090">
        <v>83.752704073108205</v>
      </c>
      <c r="AK1090">
        <v>0.82543636002607801</v>
      </c>
      <c r="AL1090">
        <v>72.387574837331201</v>
      </c>
      <c r="AM1090">
        <v>93.5890907627643</v>
      </c>
      <c r="AN1090">
        <v>1.0000000245696199</v>
      </c>
    </row>
    <row r="1091" spans="1:40" x14ac:dyDescent="0.25">
      <c r="A1091" t="str">
        <f>"20190304164352638"</f>
        <v>20190304164352638</v>
      </c>
      <c r="B1091" t="str">
        <f>"1551689032631382"</f>
        <v>1551689032631382</v>
      </c>
      <c r="C1091" t="s">
        <v>40</v>
      </c>
      <c r="D1091">
        <v>5.1582869999999996</v>
      </c>
      <c r="E1091">
        <v>0.57323859999999904</v>
      </c>
      <c r="F1091" t="s">
        <v>41</v>
      </c>
      <c r="G1091">
        <v>-256.84309999999999</v>
      </c>
      <c r="H1091">
        <v>1.003161</v>
      </c>
      <c r="I1091">
        <v>367.96370000000002</v>
      </c>
      <c r="J1091">
        <v>-257.48540000000003</v>
      </c>
      <c r="K1091">
        <v>1.11032999999999</v>
      </c>
      <c r="L1091">
        <v>368.04079999999999</v>
      </c>
      <c r="M1091">
        <v>0.99991070000000004</v>
      </c>
      <c r="N1091">
        <v>-1.3227010000000001E-2</v>
      </c>
      <c r="O1091">
        <v>-1.9375289999999999E-3</v>
      </c>
      <c r="P1091">
        <v>0.95524480000000001</v>
      </c>
      <c r="Q1091">
        <v>0.29013610000000001</v>
      </c>
      <c r="R1091">
        <v>5.7692470000000003E-2</v>
      </c>
      <c r="S1091">
        <v>3.2861940000000001</v>
      </c>
      <c r="T1091">
        <v>-0.41932239999999998</v>
      </c>
      <c r="U1091">
        <v>-0.30239870000000002</v>
      </c>
      <c r="V1091">
        <v>-5.9462870000000001E-2</v>
      </c>
      <c r="W1091">
        <v>0.30276069999999999</v>
      </c>
      <c r="X1091">
        <v>0.95120979999999999</v>
      </c>
      <c r="Y1091">
        <v>8.8926399999999906E-2</v>
      </c>
      <c r="Z1091">
        <v>-6.0106339999999999E-3</v>
      </c>
      <c r="AA1091">
        <v>0.99602009999999996</v>
      </c>
      <c r="AB1091">
        <v>35</v>
      </c>
      <c r="AC1091">
        <v>0.64230000000003395</v>
      </c>
      <c r="AD1091">
        <v>-0.107168999999999</v>
      </c>
      <c r="AE1091">
        <v>-7.7099999999972996E-2</v>
      </c>
      <c r="AF1091">
        <v>7.3829096422282303E-2</v>
      </c>
      <c r="AG1091">
        <v>-0.107168999999999</v>
      </c>
      <c r="AH1091">
        <v>0.62528771481228396</v>
      </c>
      <c r="AI1091">
        <v>99.659692331809296</v>
      </c>
      <c r="AJ1091">
        <v>83.2661380998276</v>
      </c>
      <c r="AK1091">
        <v>0.63868666522380002</v>
      </c>
      <c r="AL1091">
        <v>72.376506754914701</v>
      </c>
      <c r="AM1091">
        <v>93.577069827638297</v>
      </c>
      <c r="AN1091">
        <v>0.99999997899458304</v>
      </c>
    </row>
    <row r="1092" spans="1:40" x14ac:dyDescent="0.25">
      <c r="A1092" t="str">
        <f>"20190304164352648"</f>
        <v>20190304164352648</v>
      </c>
      <c r="B1092" t="str">
        <f>"1551689032641142"</f>
        <v>1551689032641142</v>
      </c>
      <c r="C1092" t="s">
        <v>40</v>
      </c>
      <c r="D1092">
        <v>5.167306</v>
      </c>
      <c r="E1092">
        <v>0.573273699999999</v>
      </c>
      <c r="F1092" t="s">
        <v>41</v>
      </c>
      <c r="G1092">
        <v>-256.53559999999999</v>
      </c>
      <c r="H1092">
        <v>0.9890063</v>
      </c>
      <c r="I1092">
        <v>367.9529</v>
      </c>
      <c r="J1092">
        <v>-257.31630000000001</v>
      </c>
      <c r="K1092">
        <v>1.1103379999999901</v>
      </c>
      <c r="L1092">
        <v>368.04039999999998</v>
      </c>
      <c r="M1092">
        <v>0.99990939999999995</v>
      </c>
      <c r="N1092">
        <v>-1.331657E-2</v>
      </c>
      <c r="O1092">
        <v>-1.9817599999999999E-3</v>
      </c>
      <c r="P1092">
        <v>0.95521780000000001</v>
      </c>
      <c r="Q1092">
        <v>0.29025450000000003</v>
      </c>
      <c r="R1092">
        <v>5.7544789999999998E-2</v>
      </c>
      <c r="S1092">
        <v>3.2864230000000001</v>
      </c>
      <c r="T1092">
        <v>-0.4199233</v>
      </c>
      <c r="U1092">
        <v>-0.30343629999999999</v>
      </c>
      <c r="V1092">
        <v>-5.9357260000000002E-2</v>
      </c>
      <c r="W1092">
        <v>0.30296339999999999</v>
      </c>
      <c r="X1092">
        <v>0.95115190000000005</v>
      </c>
      <c r="Y1092">
        <v>8.9183289999999998E-2</v>
      </c>
      <c r="Z1092">
        <v>-6.0350539999999998E-3</v>
      </c>
      <c r="AA1092">
        <v>0.99599700000000002</v>
      </c>
      <c r="AB1092">
        <v>35</v>
      </c>
      <c r="AC1092">
        <v>0.78070000000002404</v>
      </c>
      <c r="AD1092">
        <v>-0.121331699999999</v>
      </c>
      <c r="AE1092">
        <v>-8.7499999999977193E-2</v>
      </c>
      <c r="AF1092">
        <v>8.3949999198102407E-2</v>
      </c>
      <c r="AG1092">
        <v>-0.121331699999999</v>
      </c>
      <c r="AH1092">
        <v>0.76267904468914804</v>
      </c>
      <c r="AI1092">
        <v>98.985840153468402</v>
      </c>
      <c r="AJ1092">
        <v>83.718596514472097</v>
      </c>
      <c r="AK1092">
        <v>0.77681935416041403</v>
      </c>
      <c r="AL1092">
        <v>72.364321342191602</v>
      </c>
      <c r="AM1092">
        <v>93.570949966988294</v>
      </c>
      <c r="AN1092">
        <v>1.00000002146393</v>
      </c>
    </row>
    <row r="1093" spans="1:40" x14ac:dyDescent="0.25">
      <c r="A1093" t="str">
        <f>"20190304164352661"</f>
        <v>20190304164352661</v>
      </c>
      <c r="B1093" t="str">
        <f>"1551689032650902"</f>
        <v>1551689032650902</v>
      </c>
      <c r="C1093" t="s">
        <v>40</v>
      </c>
      <c r="D1093">
        <v>5.159751</v>
      </c>
      <c r="E1093">
        <v>0.57330000000000003</v>
      </c>
      <c r="F1093" t="s">
        <v>41</v>
      </c>
      <c r="G1093">
        <v>-256.52550000000002</v>
      </c>
      <c r="H1093">
        <v>1.0094320000000001</v>
      </c>
      <c r="I1093">
        <v>367.96699999999998</v>
      </c>
      <c r="J1093">
        <v>-257.13119999999998</v>
      </c>
      <c r="K1093">
        <v>1.1103449999999999</v>
      </c>
      <c r="L1093">
        <v>368.04</v>
      </c>
      <c r="M1093">
        <v>0.99990809999999997</v>
      </c>
      <c r="N1093">
        <v>-1.340909E-2</v>
      </c>
      <c r="O1093">
        <v>-2.0306640000000002E-3</v>
      </c>
      <c r="P1093">
        <v>0.9551518</v>
      </c>
      <c r="Q1093">
        <v>0.29050530000000002</v>
      </c>
      <c r="R1093">
        <v>5.7376089999999998E-2</v>
      </c>
      <c r="S1093">
        <v>3.2864529999999998</v>
      </c>
      <c r="T1093">
        <v>-0.41951880000000003</v>
      </c>
      <c r="U1093">
        <v>-0.30444339999999998</v>
      </c>
      <c r="V1093">
        <v>-5.9235370000000002E-2</v>
      </c>
      <c r="W1093">
        <v>0.30330089999999998</v>
      </c>
      <c r="X1093">
        <v>0.95105189999999995</v>
      </c>
      <c r="Y1093">
        <v>8.9435349999999997E-2</v>
      </c>
      <c r="Z1093">
        <v>-6.0462370000000003E-3</v>
      </c>
      <c r="AA1093">
        <v>0.99597429999999998</v>
      </c>
      <c r="AB1093">
        <v>35</v>
      </c>
      <c r="AC1093">
        <v>0.60569999999995605</v>
      </c>
      <c r="AD1093">
        <v>-0.100913</v>
      </c>
      <c r="AE1093">
        <v>-7.3000000000035897E-2</v>
      </c>
      <c r="AF1093">
        <v>6.9858438734088202E-2</v>
      </c>
      <c r="AG1093">
        <v>-0.100913</v>
      </c>
      <c r="AH1093">
        <v>0.58971246832865998</v>
      </c>
      <c r="AI1093">
        <v>99.644379491516403</v>
      </c>
      <c r="AJ1093">
        <v>83.244119945284794</v>
      </c>
      <c r="AK1093">
        <v>0.60234909341149101</v>
      </c>
      <c r="AL1093">
        <v>72.344028683675702</v>
      </c>
      <c r="AM1093">
        <v>93.564009684498103</v>
      </c>
      <c r="AN1093">
        <v>0.99999999074672796</v>
      </c>
    </row>
    <row r="1094" spans="1:40" x14ac:dyDescent="0.25">
      <c r="A1094" t="str">
        <f>"20190304164352675"</f>
        <v>20190304164352675</v>
      </c>
      <c r="B1094" t="str">
        <f>"1551689032660662"</f>
        <v>1551689032660662</v>
      </c>
      <c r="C1094" t="s">
        <v>40</v>
      </c>
      <c r="D1094">
        <v>5.159929</v>
      </c>
      <c r="E1094">
        <v>0.57331269999999901</v>
      </c>
      <c r="F1094" t="s">
        <v>41</v>
      </c>
      <c r="G1094">
        <v>-256.21899999999999</v>
      </c>
      <c r="H1094">
        <v>0.99404930000000002</v>
      </c>
      <c r="I1094">
        <v>367.95530000000002</v>
      </c>
      <c r="J1094">
        <v>-256.92340000000002</v>
      </c>
      <c r="K1094">
        <v>1.1103529999999999</v>
      </c>
      <c r="L1094">
        <v>368.03960000000001</v>
      </c>
      <c r="M1094">
        <v>0.99990659999999998</v>
      </c>
      <c r="N1094">
        <v>-1.350839E-2</v>
      </c>
      <c r="O1094">
        <v>-2.085342E-3</v>
      </c>
      <c r="P1094">
        <v>0.95520470000000002</v>
      </c>
      <c r="Q1094">
        <v>0.29031630000000003</v>
      </c>
      <c r="R1094">
        <v>5.7448520000000003E-2</v>
      </c>
      <c r="S1094">
        <v>3.286667</v>
      </c>
      <c r="T1094">
        <v>-0.41923739999999998</v>
      </c>
      <c r="U1094">
        <v>-0.30447390000000002</v>
      </c>
      <c r="V1094">
        <v>-5.9360139999999999E-2</v>
      </c>
      <c r="W1094">
        <v>0.3032069</v>
      </c>
      <c r="X1094">
        <v>0.95107410000000003</v>
      </c>
      <c r="Y1094">
        <v>8.938538E-2</v>
      </c>
      <c r="Z1094">
        <v>-6.0372480000000003E-3</v>
      </c>
      <c r="AA1094">
        <v>0.99597880000000005</v>
      </c>
      <c r="AB1094">
        <v>35</v>
      </c>
      <c r="AC1094">
        <v>0.70440000000002101</v>
      </c>
      <c r="AD1094">
        <v>-0.1163037</v>
      </c>
      <c r="AE1094">
        <v>-8.4299999999984707E-2</v>
      </c>
      <c r="AF1094">
        <v>8.0662834913988707E-2</v>
      </c>
      <c r="AG1094">
        <v>-0.1163037</v>
      </c>
      <c r="AH1094">
        <v>0.68613342908303698</v>
      </c>
      <c r="AI1094">
        <v>99.555948857335807</v>
      </c>
      <c r="AJ1094">
        <v>83.295001787952103</v>
      </c>
      <c r="AK1094">
        <v>0.70057984989242905</v>
      </c>
      <c r="AL1094">
        <v>72.349680753834505</v>
      </c>
      <c r="AM1094">
        <v>93.571414150071703</v>
      </c>
      <c r="AN1094">
        <v>0.99999999705961895</v>
      </c>
    </row>
    <row r="1095" spans="1:40" x14ac:dyDescent="0.25">
      <c r="A1095" t="str">
        <f>"20190304164352687"</f>
        <v>20190304164352687</v>
      </c>
      <c r="B1095" t="str">
        <f>"1551689032681158"</f>
        <v>1551689032681158</v>
      </c>
      <c r="C1095" t="s">
        <v>40</v>
      </c>
      <c r="D1095">
        <v>5.1905130000000002</v>
      </c>
      <c r="E1095">
        <v>0.57336580000000004</v>
      </c>
      <c r="F1095" t="s">
        <v>41</v>
      </c>
      <c r="G1095">
        <v>-255.9117</v>
      </c>
      <c r="H1095">
        <v>0.98104170000000002</v>
      </c>
      <c r="I1095">
        <v>367.94569999999999</v>
      </c>
      <c r="J1095">
        <v>-256.69979999999998</v>
      </c>
      <c r="K1095">
        <v>1.110357</v>
      </c>
      <c r="L1095">
        <v>368.03910000000002</v>
      </c>
      <c r="M1095">
        <v>0.99990520000000005</v>
      </c>
      <c r="N1095">
        <v>-1.3604440000000001E-2</v>
      </c>
      <c r="O1095">
        <v>-2.1451249999999999E-3</v>
      </c>
      <c r="P1095">
        <v>0.95526060000000002</v>
      </c>
      <c r="Q1095">
        <v>0.29021950000000002</v>
      </c>
      <c r="R1095">
        <v>5.7009190000000001E-2</v>
      </c>
      <c r="S1095">
        <v>3.2867280000000001</v>
      </c>
      <c r="T1095">
        <v>-0.42025649999999998</v>
      </c>
      <c r="U1095">
        <v>-0.30444339999999998</v>
      </c>
      <c r="V1095">
        <v>-5.8978370000000002E-2</v>
      </c>
      <c r="W1095">
        <v>0.30320239999999998</v>
      </c>
      <c r="X1095">
        <v>0.95109929999999998</v>
      </c>
      <c r="Y1095">
        <v>8.9311890000000005E-2</v>
      </c>
      <c r="Z1095">
        <v>-6.042749E-3</v>
      </c>
      <c r="AA1095">
        <v>0.99598540000000002</v>
      </c>
      <c r="AB1095">
        <v>35</v>
      </c>
      <c r="AC1095">
        <v>0.78809999999998503</v>
      </c>
      <c r="AD1095">
        <v>-0.12931529999999999</v>
      </c>
      <c r="AE1095">
        <v>-9.3400000000031E-2</v>
      </c>
      <c r="AF1095">
        <v>8.9337072895928293E-2</v>
      </c>
      <c r="AG1095">
        <v>-0.12931529999999999</v>
      </c>
      <c r="AH1095">
        <v>0.76790983589733697</v>
      </c>
      <c r="AI1095">
        <v>99.496003557375303</v>
      </c>
      <c r="AJ1095">
        <v>83.3641555867558</v>
      </c>
      <c r="AK1095">
        <v>0.783829749037109</v>
      </c>
      <c r="AL1095">
        <v>72.349951575420107</v>
      </c>
      <c r="AM1095">
        <v>93.5484099851558</v>
      </c>
      <c r="AN1095">
        <v>1.0000000109770499</v>
      </c>
    </row>
    <row r="1096" spans="1:40" x14ac:dyDescent="0.25">
      <c r="A1096" t="str">
        <f>"20190304164352704"</f>
        <v>20190304164352704</v>
      </c>
      <c r="B1096" t="str">
        <f>"1551689032690918"</f>
        <v>1551689032690918</v>
      </c>
      <c r="C1096" t="s">
        <v>40</v>
      </c>
      <c r="D1096">
        <v>5.1855129999999896</v>
      </c>
      <c r="E1096">
        <v>0.57337369999999899</v>
      </c>
      <c r="F1096" t="s">
        <v>41</v>
      </c>
      <c r="G1096">
        <v>-255.89859999999999</v>
      </c>
      <c r="H1096">
        <v>1.0076750000000001</v>
      </c>
      <c r="I1096">
        <v>367.96429999999998</v>
      </c>
      <c r="J1096">
        <v>-256.45580000000001</v>
      </c>
      <c r="K1096">
        <v>1.1103559999999999</v>
      </c>
      <c r="L1096">
        <v>368.0385</v>
      </c>
      <c r="M1096">
        <v>0.9999036</v>
      </c>
      <c r="N1096">
        <v>-1.370208E-2</v>
      </c>
      <c r="O1096">
        <v>-2.2102879999999999E-3</v>
      </c>
      <c r="P1096">
        <v>0.95525439999999995</v>
      </c>
      <c r="Q1096">
        <v>0.29016989999999998</v>
      </c>
      <c r="R1096">
        <v>5.7363379999999999E-2</v>
      </c>
      <c r="S1096">
        <v>3.2868040000000001</v>
      </c>
      <c r="T1096">
        <v>-0.42139290000000001</v>
      </c>
      <c r="U1096">
        <v>-0.30609130000000001</v>
      </c>
      <c r="V1096">
        <v>-5.9394740000000001E-2</v>
      </c>
      <c r="W1096">
        <v>0.3032455</v>
      </c>
      <c r="X1096">
        <v>0.9510596</v>
      </c>
      <c r="Y1096">
        <v>8.9732069999999997E-2</v>
      </c>
      <c r="Z1096">
        <v>-6.0838699999999999E-3</v>
      </c>
      <c r="AA1096">
        <v>0.99594740000000004</v>
      </c>
      <c r="AB1096">
        <v>35</v>
      </c>
      <c r="AC1096">
        <v>0.55720000000002201</v>
      </c>
      <c r="AD1096">
        <v>-0.102680999999999</v>
      </c>
      <c r="AE1096">
        <v>-7.4200000000018904E-2</v>
      </c>
      <c r="AF1096">
        <v>7.0611983117018606E-2</v>
      </c>
      <c r="AG1096">
        <v>-0.102680999999999</v>
      </c>
      <c r="AH1096">
        <v>0.53936536784710798</v>
      </c>
      <c r="AI1096">
        <v>100.68954528919799</v>
      </c>
      <c r="AJ1096">
        <v>82.541438660028803</v>
      </c>
      <c r="AK1096">
        <v>0.55357424068824301</v>
      </c>
      <c r="AL1096">
        <v>72.347359292154295</v>
      </c>
      <c r="AM1096">
        <v>93.573544813775698</v>
      </c>
      <c r="AN1096">
        <v>0.99999996558103799</v>
      </c>
    </row>
    <row r="1097" spans="1:40" x14ac:dyDescent="0.25">
      <c r="A1097" t="str">
        <f>"20190304164352716"</f>
        <v>20190304164352716</v>
      </c>
      <c r="B1097" t="str">
        <f>"1551689032711415"</f>
        <v>1551689032711415</v>
      </c>
      <c r="C1097" t="s">
        <v>40</v>
      </c>
      <c r="D1097">
        <v>5.1673460000000002</v>
      </c>
      <c r="E1097">
        <v>0.57341660000000005</v>
      </c>
      <c r="F1097" t="s">
        <v>41</v>
      </c>
      <c r="G1097">
        <v>-255.58949999999999</v>
      </c>
      <c r="H1097">
        <v>0.99918949999999995</v>
      </c>
      <c r="I1097">
        <v>367.95800000000003</v>
      </c>
      <c r="J1097">
        <v>-256.2731</v>
      </c>
      <c r="K1097">
        <v>1.1103590000000001</v>
      </c>
      <c r="L1097">
        <v>368.03800000000001</v>
      </c>
      <c r="M1097">
        <v>0.99990270000000003</v>
      </c>
      <c r="N1097">
        <v>-1.377104E-2</v>
      </c>
      <c r="O1097">
        <v>-2.2591629999999998E-3</v>
      </c>
      <c r="P1097">
        <v>0.9552853</v>
      </c>
      <c r="Q1097">
        <v>0.2899989</v>
      </c>
      <c r="R1097">
        <v>5.7712380000000001E-2</v>
      </c>
      <c r="S1097">
        <v>3.286972</v>
      </c>
      <c r="T1097">
        <v>-0.42193570000000002</v>
      </c>
      <c r="U1097">
        <v>-0.30444339999999998</v>
      </c>
      <c r="V1097">
        <v>-5.9790469999999998E-2</v>
      </c>
      <c r="W1097">
        <v>0.30314059999999998</v>
      </c>
      <c r="X1097">
        <v>0.95106829999999998</v>
      </c>
      <c r="Y1097">
        <v>8.9186539999999995E-2</v>
      </c>
      <c r="Z1097">
        <v>-6.0497789999999999E-3</v>
      </c>
      <c r="AA1097">
        <v>0.99599660000000001</v>
      </c>
      <c r="AB1097">
        <v>35</v>
      </c>
      <c r="AC1097">
        <v>0.68360000000001198</v>
      </c>
      <c r="AD1097">
        <v>-0.1111695</v>
      </c>
      <c r="AE1097">
        <v>-7.9999999999984001E-2</v>
      </c>
      <c r="AF1097">
        <v>7.6460497290002899E-2</v>
      </c>
      <c r="AG1097">
        <v>-0.1111695</v>
      </c>
      <c r="AH1097">
        <v>0.66639337754241801</v>
      </c>
      <c r="AI1097">
        <v>99.410391627927893</v>
      </c>
      <c r="AJ1097">
        <v>83.454631993262197</v>
      </c>
      <c r="AK1097">
        <v>0.67991543518916797</v>
      </c>
      <c r="AL1097">
        <v>72.353667451227807</v>
      </c>
      <c r="AM1097">
        <v>93.597259176156896</v>
      </c>
      <c r="AN1097">
        <v>1.0000000174680299</v>
      </c>
    </row>
    <row r="1098" spans="1:40" x14ac:dyDescent="0.25">
      <c r="A1098" t="str">
        <f>"20190304164352728"</f>
        <v>20190304164352728</v>
      </c>
      <c r="B1098" t="str">
        <f>"1551689032721173"</f>
        <v>1551689032721173</v>
      </c>
      <c r="C1098" t="s">
        <v>40</v>
      </c>
      <c r="D1098">
        <v>5.1779039999999998</v>
      </c>
      <c r="E1098">
        <v>0.57344240000000002</v>
      </c>
      <c r="F1098" t="s">
        <v>41</v>
      </c>
      <c r="G1098">
        <v>-255.28440000000001</v>
      </c>
      <c r="H1098">
        <v>0.98325030000000002</v>
      </c>
      <c r="I1098">
        <v>367.94630000000001</v>
      </c>
      <c r="J1098">
        <v>-256.06700000000001</v>
      </c>
      <c r="K1098">
        <v>1.110366</v>
      </c>
      <c r="L1098">
        <v>368.03750000000002</v>
      </c>
      <c r="M1098">
        <v>0.9999015</v>
      </c>
      <c r="N1098">
        <v>-1.38412E-2</v>
      </c>
      <c r="O1098">
        <v>-2.3141289999999998E-3</v>
      </c>
      <c r="P1098">
        <v>0.95535729999999996</v>
      </c>
      <c r="Q1098">
        <v>0.28978949999999998</v>
      </c>
      <c r="R1098">
        <v>5.7569059999999998E-2</v>
      </c>
      <c r="S1098">
        <v>3.28714</v>
      </c>
      <c r="T1098">
        <v>-0.42273529999999998</v>
      </c>
      <c r="U1098">
        <v>-0.30422969999999999</v>
      </c>
      <c r="V1098">
        <v>-5.9700320000000001E-2</v>
      </c>
      <c r="W1098">
        <v>0.30299920000000002</v>
      </c>
      <c r="X1098">
        <v>0.95111900000000005</v>
      </c>
      <c r="Y1098">
        <v>8.9061260000000003E-2</v>
      </c>
      <c r="Z1098">
        <v>-6.0478449999999996E-3</v>
      </c>
      <c r="AA1098">
        <v>0.9960078</v>
      </c>
      <c r="AB1098">
        <v>35</v>
      </c>
      <c r="AC1098">
        <v>0.78260000000000196</v>
      </c>
      <c r="AD1098">
        <v>-0.127115699999999</v>
      </c>
      <c r="AE1098">
        <v>-9.1200000000014797E-2</v>
      </c>
      <c r="AF1098">
        <v>8.7120860070646997E-2</v>
      </c>
      <c r="AG1098">
        <v>-0.127115699999999</v>
      </c>
      <c r="AH1098">
        <v>0.76295000782244804</v>
      </c>
      <c r="AI1098">
        <v>99.399226442565705</v>
      </c>
      <c r="AJ1098">
        <v>83.485641377274504</v>
      </c>
      <c r="AK1098">
        <v>0.77835798954093904</v>
      </c>
      <c r="AL1098">
        <v>72.362168553655906</v>
      </c>
      <c r="AM1098">
        <v>93.591658598618906</v>
      </c>
      <c r="AN1098">
        <v>0.99999999778487103</v>
      </c>
    </row>
    <row r="1099" spans="1:40" x14ac:dyDescent="0.25">
      <c r="A1099" t="str">
        <f>"20190304164352739"</f>
        <v>20190304164352739</v>
      </c>
      <c r="B1099" t="str">
        <f>"1551689032730934"</f>
        <v>1551689032730934</v>
      </c>
      <c r="C1099" t="s">
        <v>40</v>
      </c>
      <c r="D1099">
        <v>5.1603399999999997</v>
      </c>
      <c r="E1099">
        <v>0.57346359999999996</v>
      </c>
      <c r="F1099" t="s">
        <v>41</v>
      </c>
      <c r="G1099">
        <v>-255.2722</v>
      </c>
      <c r="H1099">
        <v>1.007935</v>
      </c>
      <c r="I1099">
        <v>367.96379999999999</v>
      </c>
      <c r="J1099">
        <v>-255.90090000000001</v>
      </c>
      <c r="K1099">
        <v>1.1103700000000001</v>
      </c>
      <c r="L1099">
        <v>368.03699999999998</v>
      </c>
      <c r="M1099">
        <v>0.99990080000000003</v>
      </c>
      <c r="N1099">
        <v>-1.3894449999999999E-2</v>
      </c>
      <c r="O1099">
        <v>-2.359084E-3</v>
      </c>
      <c r="P1099">
        <v>0.95537950000000005</v>
      </c>
      <c r="Q1099">
        <v>0.28973330000000003</v>
      </c>
      <c r="R1099">
        <v>5.7487629999999998E-2</v>
      </c>
      <c r="S1099">
        <v>3.287048</v>
      </c>
      <c r="T1099">
        <v>-0.42377049999999999</v>
      </c>
      <c r="U1099">
        <v>-0.30407709999999999</v>
      </c>
      <c r="V1099">
        <v>-5.9661899999999997E-2</v>
      </c>
      <c r="W1099">
        <v>0.30299340000000002</v>
      </c>
      <c r="X1099">
        <v>0.9511233</v>
      </c>
      <c r="Y1099">
        <v>8.8970270000000004E-2</v>
      </c>
      <c r="Z1099">
        <v>-6.0520289999999996E-3</v>
      </c>
      <c r="AA1099">
        <v>0.99601589999999995</v>
      </c>
      <c r="AB1099">
        <v>35</v>
      </c>
      <c r="AC1099">
        <v>0.62870000000000903</v>
      </c>
      <c r="AD1099">
        <v>-0.102435</v>
      </c>
      <c r="AE1099">
        <v>-7.3199999999985693E-2</v>
      </c>
      <c r="AF1099">
        <v>6.9886069195516001E-2</v>
      </c>
      <c r="AG1099">
        <v>-0.102435</v>
      </c>
      <c r="AH1099">
        <v>0.61282021017720301</v>
      </c>
      <c r="AI1099">
        <v>99.429446273125606</v>
      </c>
      <c r="AJ1099">
        <v>83.494090675810099</v>
      </c>
      <c r="AK1099">
        <v>0.62524043526809103</v>
      </c>
      <c r="AL1099">
        <v>72.362517980768601</v>
      </c>
      <c r="AM1099">
        <v>93.589337054904306</v>
      </c>
      <c r="AN1099">
        <v>1.0000000372790201</v>
      </c>
    </row>
    <row r="1100" spans="1:40" x14ac:dyDescent="0.25">
      <c r="A1100" t="str">
        <f>"20190304164352750"</f>
        <v>20190304164352750</v>
      </c>
      <c r="B1100" t="str">
        <f>"1551689032740695"</f>
        <v>1551689032740695</v>
      </c>
      <c r="C1100" t="s">
        <v>40</v>
      </c>
      <c r="D1100">
        <v>5.1757169999999997</v>
      </c>
      <c r="E1100">
        <v>0.57348540000000003</v>
      </c>
      <c r="F1100" t="s">
        <v>41</v>
      </c>
      <c r="G1100">
        <v>-254.96850000000001</v>
      </c>
      <c r="H1100">
        <v>0.99006369999999999</v>
      </c>
      <c r="I1100">
        <v>367.95049999999998</v>
      </c>
      <c r="J1100">
        <v>-255.71809999999999</v>
      </c>
      <c r="K1100">
        <v>1.1103749999999999</v>
      </c>
      <c r="L1100">
        <v>368.03649999999999</v>
      </c>
      <c r="M1100">
        <v>0.99989989999999995</v>
      </c>
      <c r="N1100">
        <v>-1.39495E-2</v>
      </c>
      <c r="O1100">
        <v>-2.4090600000000002E-3</v>
      </c>
      <c r="P1100">
        <v>0.95540570000000002</v>
      </c>
      <c r="Q1100">
        <v>0.28966160000000002</v>
      </c>
      <c r="R1100">
        <v>5.7413100000000002E-2</v>
      </c>
      <c r="S1100">
        <v>3.2870789999999999</v>
      </c>
      <c r="T1100">
        <v>-0.42428100000000002</v>
      </c>
      <c r="U1100">
        <v>-0.30435180000000001</v>
      </c>
      <c r="V1100">
        <v>-5.9634600000000003E-2</v>
      </c>
      <c r="W1100">
        <v>0.30297469999999999</v>
      </c>
      <c r="X1100">
        <v>0.9511309</v>
      </c>
      <c r="Y1100">
        <v>8.9000079999999995E-2</v>
      </c>
      <c r="Z1100">
        <v>-6.0574160000000004E-3</v>
      </c>
      <c r="AA1100">
        <v>0.99601320000000004</v>
      </c>
      <c r="AB1100">
        <v>35</v>
      </c>
      <c r="AC1100">
        <v>0.74959999999998606</v>
      </c>
      <c r="AD1100">
        <v>-0.1203113</v>
      </c>
      <c r="AE1100">
        <v>-8.6000000000012705E-2</v>
      </c>
      <c r="AF1100">
        <v>8.2106129651703094E-2</v>
      </c>
      <c r="AG1100">
        <v>-0.1203113</v>
      </c>
      <c r="AH1100">
        <v>0.73121334131619498</v>
      </c>
      <c r="AI1100">
        <v>99.286198609774402</v>
      </c>
      <c r="AJ1100">
        <v>83.593235841395696</v>
      </c>
      <c r="AK1100">
        <v>0.74557975827731904</v>
      </c>
      <c r="AL1100">
        <v>72.363641062209297</v>
      </c>
      <c r="AM1100">
        <v>93.587670349766498</v>
      </c>
      <c r="AN1100">
        <v>0.99999997164602905</v>
      </c>
    </row>
    <row r="1101" spans="1:40" x14ac:dyDescent="0.25">
      <c r="A1101" t="str">
        <f>"20190304164352764"</f>
        <v>20190304164352764</v>
      </c>
      <c r="B1101" t="str">
        <f>"1551689032750454"</f>
        <v>1551689032750454</v>
      </c>
      <c r="C1101" t="s">
        <v>40</v>
      </c>
      <c r="D1101">
        <v>5.1792759999999998</v>
      </c>
      <c r="E1101">
        <v>0.57350380000000001</v>
      </c>
      <c r="F1101" t="s">
        <v>41</v>
      </c>
      <c r="G1101">
        <v>-254.95760000000001</v>
      </c>
      <c r="H1101">
        <v>1.012097</v>
      </c>
      <c r="I1101">
        <v>367.96589999999998</v>
      </c>
      <c r="J1101">
        <v>-255.52289999999999</v>
      </c>
      <c r="K1101">
        <v>1.110376</v>
      </c>
      <c r="L1101">
        <v>368.036</v>
      </c>
      <c r="M1101">
        <v>0.99989899999999998</v>
      </c>
      <c r="N1101">
        <v>-1.40029E-2</v>
      </c>
      <c r="O1101">
        <v>-2.462966E-3</v>
      </c>
      <c r="P1101">
        <v>0.95535429999999999</v>
      </c>
      <c r="Q1101">
        <v>0.28991050000000002</v>
      </c>
      <c r="R1101">
        <v>5.7008749999999997E-2</v>
      </c>
      <c r="S1101">
        <v>3.2871549999999998</v>
      </c>
      <c r="T1101">
        <v>-0.42496630000000002</v>
      </c>
      <c r="U1101">
        <v>-0.30432130000000002</v>
      </c>
      <c r="V1101">
        <v>-5.9281720000000003E-2</v>
      </c>
      <c r="W1101">
        <v>0.30327369999999998</v>
      </c>
      <c r="X1101">
        <v>0.95105770000000001</v>
      </c>
      <c r="Y1101">
        <v>8.8933360000000003E-2</v>
      </c>
      <c r="Z1101">
        <v>-6.0575409999999996E-3</v>
      </c>
      <c r="AA1101">
        <v>0.99601919999999999</v>
      </c>
      <c r="AB1101">
        <v>35</v>
      </c>
      <c r="AC1101">
        <v>0.56529999999997904</v>
      </c>
      <c r="AD1101">
        <v>-9.8278999999999894E-2</v>
      </c>
      <c r="AE1101">
        <v>-7.0100000000024906E-2</v>
      </c>
      <c r="AF1101">
        <v>6.6721240505277196E-2</v>
      </c>
      <c r="AG1101">
        <v>-9.8278999999999894E-2</v>
      </c>
      <c r="AH1101">
        <v>0.54912511106636397</v>
      </c>
      <c r="AI1101">
        <v>100.074451217987</v>
      </c>
      <c r="AJ1101">
        <v>83.072256913448598</v>
      </c>
      <c r="AK1101">
        <v>0.56182637298297899</v>
      </c>
      <c r="AL1101">
        <v>72.345664404457196</v>
      </c>
      <c r="AM1101">
        <v>93.5667695288587</v>
      </c>
      <c r="AN1101">
        <v>1.0000000040835599</v>
      </c>
    </row>
    <row r="1102" spans="1:40" x14ac:dyDescent="0.25">
      <c r="A1102" t="str">
        <f>"20190304164352775"</f>
        <v>20190304164352775</v>
      </c>
      <c r="B1102" t="str">
        <f>"1551689032770950"</f>
        <v>1551689032770950</v>
      </c>
      <c r="C1102" t="s">
        <v>40</v>
      </c>
      <c r="D1102">
        <v>5.1896659999999999</v>
      </c>
      <c r="E1102">
        <v>0.57353849999999995</v>
      </c>
      <c r="F1102" t="s">
        <v>41</v>
      </c>
      <c r="G1102">
        <v>-254.6523</v>
      </c>
      <c r="H1102">
        <v>0.99799420000000005</v>
      </c>
      <c r="I1102">
        <v>367.95490000000001</v>
      </c>
      <c r="J1102">
        <v>-255.32859999999999</v>
      </c>
      <c r="K1102">
        <v>1.1103809999999901</v>
      </c>
      <c r="L1102">
        <v>368.03550000000001</v>
      </c>
      <c r="M1102">
        <v>0.99989810000000001</v>
      </c>
      <c r="N1102">
        <v>-1.405346E-2</v>
      </c>
      <c r="O1102">
        <v>-2.5169749999999999E-3</v>
      </c>
      <c r="P1102">
        <v>0.95531849999999996</v>
      </c>
      <c r="Q1102">
        <v>0.290068099999999</v>
      </c>
      <c r="R1102">
        <v>5.6807200000000002E-2</v>
      </c>
      <c r="S1102">
        <v>3.2872620000000001</v>
      </c>
      <c r="T1102">
        <v>-0.42452010000000001</v>
      </c>
      <c r="U1102">
        <v>-0.305481</v>
      </c>
      <c r="V1102">
        <v>-5.913119E-2</v>
      </c>
      <c r="W1102">
        <v>0.30347859999999999</v>
      </c>
      <c r="X1102">
        <v>0.95100169999999995</v>
      </c>
      <c r="Y1102">
        <v>8.9223999999999998E-2</v>
      </c>
      <c r="Z1102">
        <v>-6.0685840000000001E-3</v>
      </c>
      <c r="AA1102">
        <v>0.99599309999999996</v>
      </c>
      <c r="AB1102">
        <v>35</v>
      </c>
      <c r="AC1102">
        <v>0.67629999999999701</v>
      </c>
      <c r="AD1102">
        <v>-0.112386799999999</v>
      </c>
      <c r="AE1102">
        <v>-8.0600000000004002E-2</v>
      </c>
      <c r="AF1102">
        <v>7.6806018892169203E-2</v>
      </c>
      <c r="AG1102">
        <v>-0.112386799999999</v>
      </c>
      <c r="AH1102">
        <v>0.65856877874098496</v>
      </c>
      <c r="AI1102">
        <v>99.620435287903504</v>
      </c>
      <c r="AJ1102">
        <v>83.347892888152103</v>
      </c>
      <c r="AK1102">
        <v>0.67248999523018704</v>
      </c>
      <c r="AL1102">
        <v>72.333343691647698</v>
      </c>
      <c r="AM1102">
        <v>93.557944927924495</v>
      </c>
      <c r="AN1102">
        <v>0.99999999584583299</v>
      </c>
    </row>
    <row r="1103" spans="1:40" x14ac:dyDescent="0.25">
      <c r="A1103" t="str">
        <f>"20190304164352787"</f>
        <v>20190304164352787</v>
      </c>
      <c r="B1103" t="str">
        <f>"1551689032780711"</f>
        <v>1551689032780711</v>
      </c>
      <c r="C1103" t="s">
        <v>40</v>
      </c>
      <c r="D1103">
        <v>5.1829599999999996</v>
      </c>
      <c r="E1103">
        <v>0.57354949999999905</v>
      </c>
      <c r="F1103" t="s">
        <v>41</v>
      </c>
      <c r="G1103">
        <v>-254.3475</v>
      </c>
      <c r="H1103">
        <v>0.98369459999999997</v>
      </c>
      <c r="I1103">
        <v>367.94389999999999</v>
      </c>
      <c r="J1103">
        <v>-255.13890000000001</v>
      </c>
      <c r="K1103">
        <v>1.1103829999999999</v>
      </c>
      <c r="L1103">
        <v>368.03500000000003</v>
      </c>
      <c r="M1103">
        <v>0.99989740000000005</v>
      </c>
      <c r="N1103">
        <v>-1.4097760000000001E-2</v>
      </c>
      <c r="O1103">
        <v>-2.5704650000000001E-3</v>
      </c>
      <c r="P1103">
        <v>0.95546379999999997</v>
      </c>
      <c r="Q1103">
        <v>0.28961360000000003</v>
      </c>
      <c r="R1103">
        <v>5.6682820000000002E-2</v>
      </c>
      <c r="S1103">
        <v>3.2874759999999998</v>
      </c>
      <c r="T1103">
        <v>-0.42465639999999999</v>
      </c>
      <c r="U1103">
        <v>-0.30645749999999999</v>
      </c>
      <c r="V1103">
        <v>-5.9058550000000001E-2</v>
      </c>
      <c r="W1103">
        <v>0.30306880000000003</v>
      </c>
      <c r="X1103">
        <v>0.95113689999999995</v>
      </c>
      <c r="Y1103">
        <v>8.9455699999999999E-2</v>
      </c>
      <c r="Z1103">
        <v>-6.082395E-3</v>
      </c>
      <c r="AA1103">
        <v>0.99597219999999997</v>
      </c>
      <c r="AB1103">
        <v>35</v>
      </c>
      <c r="AC1103">
        <v>0.79140000000000998</v>
      </c>
      <c r="AD1103">
        <v>-0.12668839999999901</v>
      </c>
      <c r="AE1103">
        <v>-9.1100000000039899E-2</v>
      </c>
      <c r="AF1103">
        <v>8.6868252956019104E-2</v>
      </c>
      <c r="AG1103">
        <v>-0.12668839999999901</v>
      </c>
      <c r="AH1103">
        <v>0.77210434854312604</v>
      </c>
      <c r="AI1103">
        <v>99.260766124512003</v>
      </c>
      <c r="AJ1103">
        <v>83.580735943941804</v>
      </c>
      <c r="AK1103">
        <v>0.78723641246159004</v>
      </c>
      <c r="AL1103">
        <v>72.357984162402303</v>
      </c>
      <c r="AM1103">
        <v>93.553081527300805</v>
      </c>
      <c r="AN1103">
        <v>1.0000000062015699</v>
      </c>
    </row>
    <row r="1104" spans="1:40" x14ac:dyDescent="0.25">
      <c r="A1104" t="str">
        <f>"20190304164352799"</f>
        <v>20190304164352799</v>
      </c>
      <c r="B1104" t="str">
        <f>"1551689032791446"</f>
        <v>1551689032791446</v>
      </c>
      <c r="C1104" t="s">
        <v>40</v>
      </c>
      <c r="D1104">
        <v>5.2212040000000002</v>
      </c>
      <c r="E1104">
        <v>0.57354949999999905</v>
      </c>
      <c r="F1104" t="s">
        <v>41</v>
      </c>
      <c r="G1104">
        <v>-254.3364</v>
      </c>
      <c r="H1104">
        <v>1.006335</v>
      </c>
      <c r="I1104">
        <v>367.95979999999997</v>
      </c>
      <c r="J1104">
        <v>-254.96530000000001</v>
      </c>
      <c r="K1104">
        <v>1.110385</v>
      </c>
      <c r="L1104">
        <v>368.03449999999998</v>
      </c>
      <c r="M1104">
        <v>0.99989680000000003</v>
      </c>
      <c r="N1104">
        <v>-1.413589E-2</v>
      </c>
      <c r="O1104">
        <v>-2.6197389999999998E-3</v>
      </c>
      <c r="P1104">
        <v>0.95557789999999998</v>
      </c>
      <c r="Q1104">
        <v>0.28932160000000001</v>
      </c>
      <c r="R1104">
        <v>5.6253629999999999E-2</v>
      </c>
      <c r="S1104">
        <v>3.2872919999999999</v>
      </c>
      <c r="T1104">
        <v>-0.42635820000000002</v>
      </c>
      <c r="U1104">
        <v>-0.30715940000000003</v>
      </c>
      <c r="V1104">
        <v>-5.8676220000000001E-2</v>
      </c>
      <c r="W1104">
        <v>0.30281429999999998</v>
      </c>
      <c r="X1104">
        <v>0.95124160000000002</v>
      </c>
      <c r="Y1104">
        <v>8.9615050000000002E-2</v>
      </c>
      <c r="Z1104">
        <v>-6.1117350000000001E-3</v>
      </c>
      <c r="AA1104">
        <v>0.99595769999999995</v>
      </c>
      <c r="AB1104">
        <v>35</v>
      </c>
      <c r="AC1104">
        <v>0.628900000000015</v>
      </c>
      <c r="AD1104">
        <v>-0.104049999999999</v>
      </c>
      <c r="AE1104">
        <v>-7.4700000000007094E-2</v>
      </c>
      <c r="AF1104">
        <v>7.1132023033658801E-2</v>
      </c>
      <c r="AG1104">
        <v>-0.104049999999999</v>
      </c>
      <c r="AH1104">
        <v>0.61255929669575604</v>
      </c>
      <c r="AI1104">
        <v>99.577159219748296</v>
      </c>
      <c r="AJ1104">
        <v>83.376326864023696</v>
      </c>
      <c r="AK1104">
        <v>0.62539192445158798</v>
      </c>
      <c r="AL1104">
        <v>72.373284645683</v>
      </c>
      <c r="AM1104">
        <v>93.529750570840307</v>
      </c>
      <c r="AN1104">
        <v>0.99999999032426901</v>
      </c>
    </row>
    <row r="1105" spans="1:40" x14ac:dyDescent="0.25">
      <c r="A1105" t="str">
        <f>"20190304164352818"</f>
        <v>20190304164352818</v>
      </c>
      <c r="B1105" t="str">
        <f>"1551689032810966"</f>
        <v>1551689032810966</v>
      </c>
      <c r="C1105" t="s">
        <v>40</v>
      </c>
      <c r="D1105">
        <v>5.1838150000000001</v>
      </c>
      <c r="E1105">
        <v>0.56516809999999995</v>
      </c>
      <c r="F1105" t="s">
        <v>41</v>
      </c>
      <c r="G1105">
        <v>-254.0333</v>
      </c>
      <c r="H1105">
        <v>0.98926409999999998</v>
      </c>
      <c r="I1105">
        <v>367.94690000000003</v>
      </c>
      <c r="J1105">
        <v>-254.67509999999999</v>
      </c>
      <c r="K1105">
        <v>1.110385</v>
      </c>
      <c r="L1105">
        <v>368.03359999999998</v>
      </c>
      <c r="M1105">
        <v>0.9998956</v>
      </c>
      <c r="N1105">
        <v>-1.419371E-2</v>
      </c>
      <c r="O1105">
        <v>-2.7024200000000001E-3</v>
      </c>
      <c r="P1105">
        <v>0.95549700000000004</v>
      </c>
      <c r="Q1105">
        <v>0.289662799999999</v>
      </c>
      <c r="R1105">
        <v>5.586439E-2</v>
      </c>
      <c r="S1105">
        <v>3.2870029999999999</v>
      </c>
      <c r="T1105">
        <v>-0.42731330000000001</v>
      </c>
      <c r="U1105">
        <v>-0.30856319999999998</v>
      </c>
      <c r="V1105">
        <v>-5.8365050000000002E-2</v>
      </c>
      <c r="W1105">
        <v>0.30320920000000001</v>
      </c>
      <c r="X1105">
        <v>0.95113499999999995</v>
      </c>
      <c r="Y1105">
        <v>8.995599E-2</v>
      </c>
      <c r="Z1105">
        <v>-6.1419119999999898E-3</v>
      </c>
      <c r="AA1105">
        <v>0.9959268</v>
      </c>
      <c r="AB1105">
        <v>35</v>
      </c>
      <c r="AC1105">
        <v>0.64179999999998905</v>
      </c>
      <c r="AD1105">
        <v>-0.121120899999999</v>
      </c>
      <c r="AE1105">
        <v>-8.6699999999950705E-2</v>
      </c>
      <c r="AF1105">
        <v>8.2093689839690107E-2</v>
      </c>
      <c r="AG1105">
        <v>-0.121120899999999</v>
      </c>
      <c r="AH1105">
        <v>0.62033443160758095</v>
      </c>
      <c r="AI1105">
        <v>100.95488965030501</v>
      </c>
      <c r="AJ1105">
        <v>82.461407825082901</v>
      </c>
      <c r="AK1105">
        <v>0.63735739845568995</v>
      </c>
      <c r="AL1105">
        <v>72.349543303256297</v>
      </c>
      <c r="AM1105">
        <v>93.511471178458393</v>
      </c>
      <c r="AN1105">
        <v>1.00000004312557</v>
      </c>
    </row>
    <row r="1106" spans="1:40" x14ac:dyDescent="0.25">
      <c r="A1106" t="str">
        <f>"20190304164352830"</f>
        <v>20190304164352830</v>
      </c>
      <c r="B1106" t="str">
        <f>"1551689032820726"</f>
        <v>1551689032820726</v>
      </c>
      <c r="C1106" t="s">
        <v>40</v>
      </c>
      <c r="D1106">
        <v>5.1776989999999996</v>
      </c>
      <c r="E1106">
        <v>0.56461130000000004</v>
      </c>
      <c r="F1106" t="s">
        <v>41</v>
      </c>
      <c r="G1106">
        <v>-253.71780000000001</v>
      </c>
      <c r="H1106">
        <v>0.99824349999999995</v>
      </c>
      <c r="I1106">
        <v>367.96140000000003</v>
      </c>
      <c r="J1106">
        <v>-254.4657</v>
      </c>
      <c r="K1106">
        <v>1.1103889999999901</v>
      </c>
      <c r="L1106">
        <v>368.03309999999999</v>
      </c>
      <c r="M1106">
        <v>0.99989490000000003</v>
      </c>
      <c r="N1106">
        <v>-1.4231219999999999E-2</v>
      </c>
      <c r="O1106">
        <v>-2.7620650000000002E-3</v>
      </c>
      <c r="P1106">
        <v>0.95547369999999998</v>
      </c>
      <c r="Q1106">
        <v>0.28979840000000001</v>
      </c>
      <c r="R1106">
        <v>5.5561260000000001E-2</v>
      </c>
      <c r="S1106">
        <v>3.2702939999999998</v>
      </c>
      <c r="T1106">
        <v>-0.38330750000000002</v>
      </c>
      <c r="U1106">
        <v>-0.24591060000000001</v>
      </c>
      <c r="V1106">
        <v>-5.8118660000000003E-2</v>
      </c>
      <c r="W1106">
        <v>0.30337999999999998</v>
      </c>
      <c r="X1106">
        <v>0.95109560000000004</v>
      </c>
      <c r="Y1106">
        <v>7.169528E-2</v>
      </c>
      <c r="Z1106">
        <v>-4.4112930000000002E-3</v>
      </c>
      <c r="AA1106">
        <v>0.99741690000000005</v>
      </c>
      <c r="AB1106">
        <v>35</v>
      </c>
      <c r="AC1106">
        <v>0.74789999999998702</v>
      </c>
      <c r="AD1106">
        <v>-0.112145499999999</v>
      </c>
      <c r="AE1106">
        <v>-7.1699999999964306E-2</v>
      </c>
      <c r="AF1106">
        <v>6.8116181537358003E-2</v>
      </c>
      <c r="AG1106">
        <v>-0.112145499999999</v>
      </c>
      <c r="AH1106">
        <v>0.73179133913978101</v>
      </c>
      <c r="AI1106">
        <v>98.675746776290296</v>
      </c>
      <c r="AJ1106">
        <v>84.682150022836595</v>
      </c>
      <c r="AK1106">
        <v>0.74346149288142305</v>
      </c>
      <c r="AL1106">
        <v>72.339273050580999</v>
      </c>
      <c r="AM1106">
        <v>93.496828737660095</v>
      </c>
      <c r="AN1106">
        <v>1.00000002168977</v>
      </c>
    </row>
    <row r="1107" spans="1:40" x14ac:dyDescent="0.25">
      <c r="A1107" t="str">
        <f>"20190304164352843"</f>
        <v>20190304164352843</v>
      </c>
      <c r="B1107" t="str">
        <f>"1551689032831462"</f>
        <v>1551689032831462</v>
      </c>
      <c r="C1107" t="s">
        <v>40</v>
      </c>
      <c r="D1107">
        <v>5.1748479999999999</v>
      </c>
      <c r="E1107">
        <v>0.56440140000000005</v>
      </c>
      <c r="F1107" t="s">
        <v>41</v>
      </c>
      <c r="G1107">
        <v>-253.7063</v>
      </c>
      <c r="H1107">
        <v>1.021107</v>
      </c>
      <c r="I1107">
        <v>367.97669999999999</v>
      </c>
      <c r="J1107">
        <v>-254.28890000000001</v>
      </c>
      <c r="K1107">
        <v>1.110393</v>
      </c>
      <c r="L1107">
        <v>368.03250000000003</v>
      </c>
      <c r="M1107">
        <v>0.99989439999999996</v>
      </c>
      <c r="N1107">
        <v>-1.425973E-2</v>
      </c>
      <c r="O1107">
        <v>-2.8130569999999999E-3</v>
      </c>
      <c r="P1107">
        <v>0.95547939999999998</v>
      </c>
      <c r="Q1107">
        <v>0.28982409999999997</v>
      </c>
      <c r="R1107">
        <v>5.5329820000000002E-2</v>
      </c>
      <c r="S1107">
        <v>3.2705540000000002</v>
      </c>
      <c r="T1107">
        <v>-0.38485839999999999</v>
      </c>
      <c r="U1107">
        <v>-0.2412415</v>
      </c>
      <c r="V1107">
        <v>-5.7935760000000003E-2</v>
      </c>
      <c r="W1107">
        <v>0.30343320000000001</v>
      </c>
      <c r="X1107">
        <v>0.95108979999999999</v>
      </c>
      <c r="Y1107">
        <v>7.0229689999999997E-2</v>
      </c>
      <c r="Z1107">
        <v>-4.3262259999999999E-3</v>
      </c>
      <c r="AA1107">
        <v>0.99752149999999995</v>
      </c>
      <c r="AB1107">
        <v>35</v>
      </c>
      <c r="AC1107">
        <v>0.582600000000013</v>
      </c>
      <c r="AD1107">
        <v>-8.9285999999999893E-2</v>
      </c>
      <c r="AE1107">
        <v>-5.5800000000033302E-2</v>
      </c>
      <c r="AF1107">
        <v>5.2928889856455198E-2</v>
      </c>
      <c r="AG1107">
        <v>-8.9285999999999893E-2</v>
      </c>
      <c r="AH1107">
        <v>0.56950046165067403</v>
      </c>
      <c r="AI1107">
        <v>98.872647142239202</v>
      </c>
      <c r="AJ1107">
        <v>84.690231831092703</v>
      </c>
      <c r="AK1107">
        <v>0.57888188173216104</v>
      </c>
      <c r="AL1107">
        <v>72.336074335229995</v>
      </c>
      <c r="AM1107">
        <v>93.485872565952903</v>
      </c>
      <c r="AN1107">
        <v>1.00000003340652</v>
      </c>
    </row>
    <row r="1108" spans="1:40" x14ac:dyDescent="0.25">
      <c r="A1108" t="str">
        <f>"20190304164352855"</f>
        <v>20190304164352855</v>
      </c>
      <c r="B1108" t="str">
        <f>"1551689032850982"</f>
        <v>1551689032850982</v>
      </c>
      <c r="C1108" t="s">
        <v>40</v>
      </c>
      <c r="D1108">
        <v>5.166296</v>
      </c>
      <c r="E1108">
        <v>0.56404319999999997</v>
      </c>
      <c r="F1108" t="s">
        <v>41</v>
      </c>
      <c r="G1108">
        <v>-253.4032</v>
      </c>
      <c r="H1108">
        <v>1.0058290000000001</v>
      </c>
      <c r="I1108">
        <v>367.9674</v>
      </c>
      <c r="J1108">
        <v>-254.08920000000001</v>
      </c>
      <c r="K1108">
        <v>1.1103959999999999</v>
      </c>
      <c r="L1108">
        <v>368.03190000000001</v>
      </c>
      <c r="M1108">
        <v>0.99989399999999995</v>
      </c>
      <c r="N1108">
        <v>-1.42904E-2</v>
      </c>
      <c r="O1108">
        <v>-2.8710960000000001E-3</v>
      </c>
      <c r="P1108">
        <v>0.95547990000000005</v>
      </c>
      <c r="Q1108">
        <v>0.28987560000000001</v>
      </c>
      <c r="R1108">
        <v>5.5052520000000001E-2</v>
      </c>
      <c r="S1108">
        <v>3.2708740000000001</v>
      </c>
      <c r="T1108">
        <v>-0.3862602</v>
      </c>
      <c r="U1108">
        <v>-0.24017330000000001</v>
      </c>
      <c r="V1108">
        <v>-5.7713349999999997E-2</v>
      </c>
      <c r="W1108">
        <v>0.30351359999999999</v>
      </c>
      <c r="X1108">
        <v>0.95107759999999997</v>
      </c>
      <c r="Y1108">
        <v>6.9840319999999997E-2</v>
      </c>
      <c r="Z1108">
        <v>-4.3090899999999998E-3</v>
      </c>
      <c r="AA1108">
        <v>0.99754889999999996</v>
      </c>
      <c r="AB1108">
        <v>35</v>
      </c>
      <c r="AC1108">
        <v>0.68600000000000705</v>
      </c>
      <c r="AD1108">
        <v>-0.10456699999999899</v>
      </c>
      <c r="AE1108">
        <v>-6.4500000000009494E-2</v>
      </c>
      <c r="AF1108">
        <v>6.1122236506220999E-2</v>
      </c>
      <c r="AG1108">
        <v>-0.10456699999999899</v>
      </c>
      <c r="AH1108">
        <v>0.67073448397725799</v>
      </c>
      <c r="AI1108">
        <v>98.825052724267707</v>
      </c>
      <c r="AJ1108">
        <v>84.793170172582293</v>
      </c>
      <c r="AK1108">
        <v>0.68158266797268297</v>
      </c>
      <c r="AL1108">
        <v>72.331238574326406</v>
      </c>
      <c r="AM1108">
        <v>93.472567868536899</v>
      </c>
      <c r="AN1108">
        <v>0.99999996868746999</v>
      </c>
    </row>
    <row r="1109" spans="1:40" x14ac:dyDescent="0.25">
      <c r="A1109" t="str">
        <f>"20190304164352871"</f>
        <v>20190304164352871</v>
      </c>
      <c r="B1109" t="str">
        <f>"1551689032860742"</f>
        <v>1551689032860742</v>
      </c>
      <c r="C1109" t="s">
        <v>40</v>
      </c>
      <c r="D1109">
        <v>5.1552049999999996</v>
      </c>
      <c r="E1109">
        <v>0.56419909999999995</v>
      </c>
      <c r="F1109" t="s">
        <v>41</v>
      </c>
      <c r="G1109">
        <v>-253.09909999999999</v>
      </c>
      <c r="H1109">
        <v>0.99317549999999999</v>
      </c>
      <c r="I1109">
        <v>367.95920000000001</v>
      </c>
      <c r="J1109">
        <v>-253.84540000000001</v>
      </c>
      <c r="K1109">
        <v>1.1104039999999999</v>
      </c>
      <c r="L1109">
        <v>368.03109999999998</v>
      </c>
      <c r="M1109">
        <v>0.99989320000000004</v>
      </c>
      <c r="N1109">
        <v>-1.4323600000000001E-2</v>
      </c>
      <c r="O1109">
        <v>-2.9416720000000002E-3</v>
      </c>
      <c r="P1109">
        <v>0.95543129999999998</v>
      </c>
      <c r="Q1109">
        <v>0.29004560000000001</v>
      </c>
      <c r="R1109">
        <v>5.4997490000000003E-2</v>
      </c>
      <c r="S1109">
        <v>3.2711790000000001</v>
      </c>
      <c r="T1109">
        <v>-0.38766260000000002</v>
      </c>
      <c r="U1109">
        <v>-0.23895259999999999</v>
      </c>
      <c r="V1109">
        <v>-5.7725800000000001E-2</v>
      </c>
      <c r="W1109">
        <v>0.3037144</v>
      </c>
      <c r="X1109">
        <v>0.95101279999999999</v>
      </c>
      <c r="Y1109">
        <v>6.9393049999999998E-2</v>
      </c>
      <c r="Z1109">
        <v>-4.2867269999999997E-3</v>
      </c>
      <c r="AA1109">
        <v>0.99758020000000003</v>
      </c>
      <c r="AB1109">
        <v>35</v>
      </c>
      <c r="AC1109">
        <v>0.74630000000001895</v>
      </c>
      <c r="AD1109">
        <v>-0.1172285</v>
      </c>
      <c r="AE1109">
        <v>-7.1899999999970904E-2</v>
      </c>
      <c r="AF1109">
        <v>6.8040697254743904E-2</v>
      </c>
      <c r="AG1109">
        <v>-0.1172285</v>
      </c>
      <c r="AH1109">
        <v>0.72869385670386699</v>
      </c>
      <c r="AI1109">
        <v>99.100225180769101</v>
      </c>
      <c r="AJ1109">
        <v>84.665559509656902</v>
      </c>
      <c r="AK1109">
        <v>0.74119281870044995</v>
      </c>
      <c r="AL1109">
        <v>72.3191646160696</v>
      </c>
      <c r="AM1109">
        <v>93.473551226655303</v>
      </c>
      <c r="AN1109">
        <v>1.00000002525841</v>
      </c>
    </row>
    <row r="1110" spans="1:40" x14ac:dyDescent="0.25">
      <c r="A1110" t="str">
        <f>"20190304164352887"</f>
        <v>20190304164352887</v>
      </c>
      <c r="B1110" t="str">
        <f>"1551689032881238"</f>
        <v>1551689032881238</v>
      </c>
      <c r="C1110" t="s">
        <v>40</v>
      </c>
      <c r="D1110">
        <v>5.1729629999999904</v>
      </c>
      <c r="E1110">
        <v>0.56432369999999898</v>
      </c>
      <c r="F1110" t="s">
        <v>41</v>
      </c>
      <c r="G1110">
        <v>-253.08529999999999</v>
      </c>
      <c r="H1110">
        <v>1.0208410000000001</v>
      </c>
      <c r="I1110">
        <v>367.97469999999998</v>
      </c>
      <c r="J1110">
        <v>-253.61760000000001</v>
      </c>
      <c r="K1110">
        <v>1.1104069999999999</v>
      </c>
      <c r="L1110">
        <v>368.03039999999999</v>
      </c>
      <c r="M1110">
        <v>0.99989249999999996</v>
      </c>
      <c r="N1110">
        <v>-1.4351330000000001E-2</v>
      </c>
      <c r="O1110">
        <v>-3.0081499999999998E-3</v>
      </c>
      <c r="P1110">
        <v>0.95537399999999995</v>
      </c>
      <c r="Q1110">
        <v>0.29021950000000002</v>
      </c>
      <c r="R1110">
        <v>5.5076779999999999E-2</v>
      </c>
      <c r="S1110">
        <v>3.2709809999999999</v>
      </c>
      <c r="T1110">
        <v>-0.38589420000000002</v>
      </c>
      <c r="U1110">
        <v>-0.2412415</v>
      </c>
      <c r="V1110">
        <v>-5.7868399999999903E-2</v>
      </c>
      <c r="W1110">
        <v>0.30391390000000001</v>
      </c>
      <c r="X1110">
        <v>0.95094040000000002</v>
      </c>
      <c r="Y1110">
        <v>7.0025210000000004E-2</v>
      </c>
      <c r="Z1110">
        <v>-4.305751E-3</v>
      </c>
      <c r="AA1110">
        <v>0.99753590000000003</v>
      </c>
      <c r="AB1110">
        <v>35</v>
      </c>
      <c r="AC1110">
        <v>0.53230000000001998</v>
      </c>
      <c r="AD1110">
        <v>-8.9566000000000007E-2</v>
      </c>
      <c r="AE1110">
        <v>-5.5700000000001602E-2</v>
      </c>
      <c r="AF1110">
        <v>5.2624565482950802E-2</v>
      </c>
      <c r="AG1110">
        <v>-8.9566000000000007E-2</v>
      </c>
      <c r="AH1110">
        <v>0.51795942951677398</v>
      </c>
      <c r="AI1110">
        <v>99.761342381566607</v>
      </c>
      <c r="AJ1110">
        <v>84.198668047048997</v>
      </c>
      <c r="AK1110">
        <v>0.52827396668169402</v>
      </c>
      <c r="AL1110">
        <v>72.307167034761093</v>
      </c>
      <c r="AM1110">
        <v>93.482375309155003</v>
      </c>
      <c r="AN1110">
        <v>1.00000002734196</v>
      </c>
    </row>
    <row r="1111" spans="1:40" x14ac:dyDescent="0.25">
      <c r="A1111" t="str">
        <f>"20190304164352900"</f>
        <v>20190304164352900</v>
      </c>
      <c r="B1111" t="str">
        <f>"1551689032890999"</f>
        <v>1551689032890999</v>
      </c>
      <c r="C1111" t="s">
        <v>40</v>
      </c>
      <c r="D1111">
        <v>5.1689259999999999</v>
      </c>
      <c r="E1111">
        <v>0.5644498</v>
      </c>
      <c r="F1111" t="s">
        <v>41</v>
      </c>
      <c r="G1111">
        <v>-252.77959999999999</v>
      </c>
      <c r="H1111">
        <v>1.0120750000000001</v>
      </c>
      <c r="I1111">
        <v>367.96809999999999</v>
      </c>
      <c r="J1111">
        <v>-253.3965</v>
      </c>
      <c r="K1111">
        <v>1.1104099999999999</v>
      </c>
      <c r="L1111">
        <v>368.02969999999999</v>
      </c>
      <c r="M1111">
        <v>0.99989189999999994</v>
      </c>
      <c r="N1111">
        <v>-1.437596E-2</v>
      </c>
      <c r="O1111">
        <v>-3.0728159999999999E-3</v>
      </c>
      <c r="P1111">
        <v>0.95535020000000004</v>
      </c>
      <c r="Q1111">
        <v>0.29032619999999998</v>
      </c>
      <c r="R1111">
        <v>5.4925229999999998E-2</v>
      </c>
      <c r="S1111">
        <v>3.2707670000000002</v>
      </c>
      <c r="T1111">
        <v>-0.38396989999999998</v>
      </c>
      <c r="U1111">
        <v>-0.2427368</v>
      </c>
      <c r="V1111">
        <v>-5.7777929999999998E-2</v>
      </c>
      <c r="W1111">
        <v>0.30404330000000002</v>
      </c>
      <c r="X1111">
        <v>0.95090450000000004</v>
      </c>
      <c r="Y1111">
        <v>7.0421079999999997E-2</v>
      </c>
      <c r="Z1111">
        <v>-4.3076099999999999E-3</v>
      </c>
      <c r="AA1111">
        <v>0.99750799999999995</v>
      </c>
      <c r="AB1111">
        <v>35</v>
      </c>
      <c r="AC1111">
        <v>0.61690000000001499</v>
      </c>
      <c r="AD1111">
        <v>-9.8335000000000006E-2</v>
      </c>
      <c r="AE1111">
        <v>-6.1599999999998503E-2</v>
      </c>
      <c r="AF1111">
        <v>5.8238717371343597E-2</v>
      </c>
      <c r="AG1111">
        <v>-9.8335000000000006E-2</v>
      </c>
      <c r="AH1111">
        <v>0.60194265742088104</v>
      </c>
      <c r="AI1111">
        <v>99.235661451684194</v>
      </c>
      <c r="AJ1111">
        <v>84.473761012063605</v>
      </c>
      <c r="AK1111">
        <v>0.61269607738990095</v>
      </c>
      <c r="AL1111">
        <v>72.299384060040495</v>
      </c>
      <c r="AM1111">
        <v>93.477075362579797</v>
      </c>
      <c r="AN1111">
        <v>0.99999999279511198</v>
      </c>
    </row>
    <row r="1112" spans="1:40" x14ac:dyDescent="0.25">
      <c r="A1112" t="str">
        <f>"20190304164352913"</f>
        <v>20190304164352913</v>
      </c>
      <c r="B1112" t="str">
        <f>"1551689032900758"</f>
        <v>1551689032900758</v>
      </c>
      <c r="C1112" t="s">
        <v>40</v>
      </c>
      <c r="D1112">
        <v>5.1536</v>
      </c>
      <c r="E1112">
        <v>0.56454749999999998</v>
      </c>
      <c r="F1112" t="s">
        <v>41</v>
      </c>
      <c r="G1112">
        <v>-252.47470000000001</v>
      </c>
      <c r="H1112">
        <v>1.002731</v>
      </c>
      <c r="I1112">
        <v>367.96039999999999</v>
      </c>
      <c r="J1112">
        <v>-253.18979999999999</v>
      </c>
      <c r="K1112">
        <v>1.1104160000000001</v>
      </c>
      <c r="L1112">
        <v>368.029</v>
      </c>
      <c r="M1112">
        <v>0.99989150000000004</v>
      </c>
      <c r="N1112">
        <v>-1.4397129999999999E-2</v>
      </c>
      <c r="O1112">
        <v>-3.1334050000000001E-3</v>
      </c>
      <c r="P1112">
        <v>0.95539560000000001</v>
      </c>
      <c r="Q1112">
        <v>0.29020829999999997</v>
      </c>
      <c r="R1112">
        <v>5.476015E-2</v>
      </c>
      <c r="S1112">
        <v>3.2704770000000001</v>
      </c>
      <c r="T1112">
        <v>-0.38231670000000001</v>
      </c>
      <c r="U1112">
        <v>-0.2445679</v>
      </c>
      <c r="V1112">
        <v>-5.7671430000000003E-2</v>
      </c>
      <c r="W1112">
        <v>0.30394660000000001</v>
      </c>
      <c r="X1112">
        <v>0.95094190000000001</v>
      </c>
      <c r="Y1112">
        <v>7.0923120000000006E-2</v>
      </c>
      <c r="Z1112">
        <v>-4.3192710000000004E-3</v>
      </c>
      <c r="AA1112">
        <v>0.99747240000000004</v>
      </c>
      <c r="AB1112">
        <v>35</v>
      </c>
      <c r="AC1112">
        <v>0.71509999999997798</v>
      </c>
      <c r="AD1112">
        <v>-0.107685</v>
      </c>
      <c r="AE1112">
        <v>-6.8600000000003505E-2</v>
      </c>
      <c r="AF1112">
        <v>6.4900435771421294E-2</v>
      </c>
      <c r="AG1112">
        <v>-0.107685</v>
      </c>
      <c r="AH1112">
        <v>0.69959180140926902</v>
      </c>
      <c r="AI1112">
        <v>98.713764388227105</v>
      </c>
      <c r="AJ1112">
        <v>84.699897154708196</v>
      </c>
      <c r="AK1112">
        <v>0.71080012266978898</v>
      </c>
      <c r="AL1112">
        <v>72.305200175159598</v>
      </c>
      <c r="AM1112">
        <v>93.470545708207396</v>
      </c>
      <c r="AN1112">
        <v>1.0000000133327001</v>
      </c>
    </row>
    <row r="1113" spans="1:40" x14ac:dyDescent="0.25">
      <c r="A1113" t="str">
        <f>"20190304164352928"</f>
        <v>20190304164352928</v>
      </c>
      <c r="B1113" t="str">
        <f>"1551689032921254"</f>
        <v>1551689032921254</v>
      </c>
      <c r="C1113" t="s">
        <v>40</v>
      </c>
      <c r="D1113">
        <v>5.1751180000000003</v>
      </c>
      <c r="E1113">
        <v>0.56455669999999902</v>
      </c>
      <c r="F1113" t="s">
        <v>41</v>
      </c>
      <c r="G1113">
        <v>-252.4632</v>
      </c>
      <c r="H1113">
        <v>1.0255639999999999</v>
      </c>
      <c r="I1113">
        <v>367.97399999999999</v>
      </c>
      <c r="J1113">
        <v>-252.96559999999999</v>
      </c>
      <c r="K1113">
        <v>1.11042</v>
      </c>
      <c r="L1113">
        <v>368.02820000000003</v>
      </c>
      <c r="M1113">
        <v>0.99989099999999997</v>
      </c>
      <c r="N1113">
        <v>-1.441711E-2</v>
      </c>
      <c r="O1113">
        <v>-3.1993450000000001E-3</v>
      </c>
      <c r="P1113">
        <v>0.95536889999999997</v>
      </c>
      <c r="Q1113">
        <v>0.29028140000000002</v>
      </c>
      <c r="R1113">
        <v>5.4841840000000003E-2</v>
      </c>
      <c r="S1113">
        <v>3.2702789999999999</v>
      </c>
      <c r="T1113">
        <v>-0.38230439999999999</v>
      </c>
      <c r="U1113">
        <v>-0.2460938</v>
      </c>
      <c r="V1113">
        <v>-5.7816579999999999E-2</v>
      </c>
      <c r="W1113">
        <v>0.30403790000000003</v>
      </c>
      <c r="X1113">
        <v>0.95090390000000002</v>
      </c>
      <c r="Y1113">
        <v>7.1321839999999997E-2</v>
      </c>
      <c r="Z1113">
        <v>-4.3394549999999999E-3</v>
      </c>
      <c r="AA1113">
        <v>0.99744390000000005</v>
      </c>
      <c r="AB1113">
        <v>35</v>
      </c>
      <c r="AC1113">
        <v>0.50239999999999396</v>
      </c>
      <c r="AD1113">
        <v>-8.4856000000000001E-2</v>
      </c>
      <c r="AE1113">
        <v>-5.42000000000371E-2</v>
      </c>
      <c r="AF1113">
        <v>5.1149808700742698E-2</v>
      </c>
      <c r="AG1113">
        <v>-8.4856000000000001E-2</v>
      </c>
      <c r="AH1113">
        <v>0.488787322261938</v>
      </c>
      <c r="AI1113">
        <v>99.796235547153003</v>
      </c>
      <c r="AJ1113">
        <v>84.025949536964305</v>
      </c>
      <c r="AK1113">
        <v>0.49872827277999598</v>
      </c>
      <c r="AL1113">
        <v>72.299709225452602</v>
      </c>
      <c r="AM1113">
        <v>93.479397797041898</v>
      </c>
      <c r="AN1113">
        <v>1.0000000142972501</v>
      </c>
    </row>
    <row r="1114" spans="1:40" x14ac:dyDescent="0.25">
      <c r="A1114" t="str">
        <f>"20190304164352939"</f>
        <v>20190304164352939</v>
      </c>
      <c r="B1114" t="str">
        <f>"1551689032931014"</f>
        <v>1551689032931014</v>
      </c>
      <c r="C1114" t="s">
        <v>40</v>
      </c>
      <c r="D1114">
        <v>5.165775</v>
      </c>
      <c r="E1114">
        <v>0.5644766</v>
      </c>
      <c r="F1114" t="s">
        <v>41</v>
      </c>
      <c r="G1114">
        <v>-252.15860000000001</v>
      </c>
      <c r="H1114">
        <v>1.016068</v>
      </c>
      <c r="I1114">
        <v>367.9674</v>
      </c>
      <c r="J1114">
        <v>-252.78749999999999</v>
      </c>
      <c r="K1114">
        <v>1.1104270000000001</v>
      </c>
      <c r="L1114">
        <v>368.02760000000001</v>
      </c>
      <c r="M1114">
        <v>0.99989059999999996</v>
      </c>
      <c r="N1114">
        <v>-1.443185E-2</v>
      </c>
      <c r="O1114">
        <v>-3.2516609999999999E-3</v>
      </c>
      <c r="P1114">
        <v>0.95530150000000003</v>
      </c>
      <c r="Q1114">
        <v>0.29047729999999999</v>
      </c>
      <c r="R1114">
        <v>5.49732E-2</v>
      </c>
      <c r="S1114">
        <v>3.2704930000000001</v>
      </c>
      <c r="T1114">
        <v>-0.38258730000000002</v>
      </c>
      <c r="U1114">
        <v>-0.24551390000000001</v>
      </c>
      <c r="V1114">
        <v>-5.7997510000000002E-2</v>
      </c>
      <c r="W1114">
        <v>0.30424679999999998</v>
      </c>
      <c r="X1114">
        <v>0.95082599999999995</v>
      </c>
      <c r="Y1114">
        <v>7.1090239999999999E-2</v>
      </c>
      <c r="Z1114">
        <v>-4.3220849999999998E-3</v>
      </c>
      <c r="AA1114">
        <v>0.99746049999999997</v>
      </c>
      <c r="AB1114">
        <v>35</v>
      </c>
      <c r="AC1114">
        <v>0.62889999999998702</v>
      </c>
      <c r="AD1114">
        <v>-9.4358999999999998E-2</v>
      </c>
      <c r="AE1114">
        <v>-6.0200000000008899E-2</v>
      </c>
      <c r="AF1114">
        <v>5.6885550095158298E-2</v>
      </c>
      <c r="AG1114">
        <v>-9.4358999999999998E-2</v>
      </c>
      <c r="AH1114">
        <v>0.61536545435926404</v>
      </c>
      <c r="AI1114">
        <v>98.681279964835198</v>
      </c>
      <c r="AJ1114">
        <v>84.718479725692404</v>
      </c>
      <c r="AK1114">
        <v>0.62515136495844903</v>
      </c>
      <c r="AL1114">
        <v>72.287143826984803</v>
      </c>
      <c r="AM1114">
        <v>93.490544522927607</v>
      </c>
      <c r="AN1114">
        <v>0.99999995437621803</v>
      </c>
    </row>
    <row r="1115" spans="1:40" x14ac:dyDescent="0.25">
      <c r="A1115" t="str">
        <f>"20190304164352952"</f>
        <v>20190304164352952</v>
      </c>
      <c r="B1115" t="str">
        <f>"1551689032940774"</f>
        <v>1551689032940774</v>
      </c>
      <c r="C1115" t="s">
        <v>40</v>
      </c>
      <c r="D1115">
        <v>5.159923</v>
      </c>
      <c r="E1115">
        <v>0.56443180000000004</v>
      </c>
      <c r="F1115" t="s">
        <v>41</v>
      </c>
      <c r="G1115">
        <v>-251.85679999999999</v>
      </c>
      <c r="H1115">
        <v>1.0018049999999901</v>
      </c>
      <c r="I1115">
        <v>367.95760000000001</v>
      </c>
      <c r="J1115">
        <v>-252.59719999999999</v>
      </c>
      <c r="K1115">
        <v>1.11043</v>
      </c>
      <c r="L1115">
        <v>368.02690000000001</v>
      </c>
      <c r="M1115">
        <v>0.99989030000000001</v>
      </c>
      <c r="N1115">
        <v>-1.444642E-2</v>
      </c>
      <c r="O1115">
        <v>-3.3074340000000002E-3</v>
      </c>
      <c r="P1115">
        <v>0.9553064</v>
      </c>
      <c r="Q1115">
        <v>0.29038789999999998</v>
      </c>
      <c r="R1115">
        <v>5.5361920000000002E-2</v>
      </c>
      <c r="S1115">
        <v>3.2705989999999998</v>
      </c>
      <c r="T1115">
        <v>-0.38204359999999998</v>
      </c>
      <c r="U1115">
        <v>-0.244751</v>
      </c>
      <c r="V1115">
        <v>-5.8439680000000001E-2</v>
      </c>
      <c r="W1115">
        <v>0.30417139999999998</v>
      </c>
      <c r="X1115">
        <v>0.95082310000000003</v>
      </c>
      <c r="Y1115">
        <v>7.0804610000000004E-2</v>
      </c>
      <c r="Z1115">
        <v>-4.2928899999999997E-3</v>
      </c>
      <c r="AA1115">
        <v>0.99748099999999995</v>
      </c>
      <c r="AB1115">
        <v>35</v>
      </c>
      <c r="AC1115">
        <v>0.74039999999999395</v>
      </c>
      <c r="AD1115">
        <v>-0.108625</v>
      </c>
      <c r="AE1115">
        <v>-6.9299999999998294E-2</v>
      </c>
      <c r="AF1115">
        <v>6.5453933873640305E-2</v>
      </c>
      <c r="AG1115">
        <v>-0.108625</v>
      </c>
      <c r="AH1115">
        <v>0.72515241297675503</v>
      </c>
      <c r="AI1115">
        <v>98.485348519215407</v>
      </c>
      <c r="AJ1115">
        <v>84.842327139588406</v>
      </c>
      <c r="AK1115">
        <v>0.73615869901166298</v>
      </c>
      <c r="AL1115">
        <v>72.291679739594997</v>
      </c>
      <c r="AM1115">
        <v>93.517100404748305</v>
      </c>
      <c r="AN1115">
        <v>1.0000000021350299</v>
      </c>
    </row>
    <row r="1116" spans="1:40" x14ac:dyDescent="0.25">
      <c r="A1116" t="str">
        <f>"20190304164352965"</f>
        <v>20190304164352965</v>
      </c>
      <c r="B1116" t="str">
        <f>"1551689032961270"</f>
        <v>1551689032961270</v>
      </c>
      <c r="C1116" t="s">
        <v>40</v>
      </c>
      <c r="D1116">
        <v>5.1832419999999999</v>
      </c>
      <c r="E1116">
        <v>0.56440239999999997</v>
      </c>
      <c r="F1116" t="s">
        <v>41</v>
      </c>
      <c r="G1116">
        <v>-251.84649999999999</v>
      </c>
      <c r="H1116">
        <v>1.022545</v>
      </c>
      <c r="I1116">
        <v>367.97070000000002</v>
      </c>
      <c r="J1116">
        <v>-252.39779999999999</v>
      </c>
      <c r="K1116">
        <v>1.110436</v>
      </c>
      <c r="L1116">
        <v>368.02620000000002</v>
      </c>
      <c r="M1116">
        <v>0.9998899</v>
      </c>
      <c r="N1116">
        <v>-1.445985E-2</v>
      </c>
      <c r="O1116">
        <v>-3.3661770000000001E-3</v>
      </c>
      <c r="P1116">
        <v>0.95531900000000003</v>
      </c>
      <c r="Q1116">
        <v>0.29029549999999998</v>
      </c>
      <c r="R1116">
        <v>5.5628699999999899E-2</v>
      </c>
      <c r="S1116">
        <v>3.270966</v>
      </c>
      <c r="T1116">
        <v>-0.38322349999999999</v>
      </c>
      <c r="U1116">
        <v>-0.24356079999999999</v>
      </c>
      <c r="V1116">
        <v>-5.8762679999999998E-2</v>
      </c>
      <c r="W1116">
        <v>0.30409239999999998</v>
      </c>
      <c r="X1116">
        <v>0.95082840000000002</v>
      </c>
      <c r="Y1116">
        <v>7.0377339999999997E-2</v>
      </c>
      <c r="Z1116">
        <v>-4.2704780000000003E-3</v>
      </c>
      <c r="AA1116">
        <v>0.99751129999999999</v>
      </c>
      <c r="AB1116">
        <v>35</v>
      </c>
      <c r="AC1116">
        <v>0.55129999999999701</v>
      </c>
      <c r="AD1116">
        <v>-8.78909999999999E-2</v>
      </c>
      <c r="AE1116">
        <v>-5.5499999999994998E-2</v>
      </c>
      <c r="AF1116">
        <v>5.2327099027431399E-2</v>
      </c>
      <c r="AG1116">
        <v>-8.78909999999999E-2</v>
      </c>
      <c r="AH1116">
        <v>0.53794822688309096</v>
      </c>
      <c r="AI1116">
        <v>99.236271850830093</v>
      </c>
      <c r="AJ1116">
        <v>84.444224826275899</v>
      </c>
      <c r="AK1116">
        <v>0.54758674927383699</v>
      </c>
      <c r="AL1116">
        <v>72.296430105776494</v>
      </c>
      <c r="AM1116">
        <v>93.536470789872396</v>
      </c>
      <c r="AN1116">
        <v>0.99999994327254904</v>
      </c>
    </row>
    <row r="1117" spans="1:40" x14ac:dyDescent="0.25">
      <c r="A1117" t="str">
        <f>"20190304164352976"</f>
        <v>20190304164352976</v>
      </c>
      <c r="B1117" t="str">
        <f>"1551689032971030"</f>
        <v>1551689032971030</v>
      </c>
      <c r="C1117" t="s">
        <v>40</v>
      </c>
      <c r="D1117">
        <v>5.1649799999999999</v>
      </c>
      <c r="E1117">
        <v>0.56438140000000003</v>
      </c>
      <c r="F1117" t="s">
        <v>41</v>
      </c>
      <c r="G1117">
        <v>-251.54409999999999</v>
      </c>
      <c r="H1117">
        <v>1.0100709999999999</v>
      </c>
      <c r="I1117">
        <v>367.96280000000002</v>
      </c>
      <c r="J1117">
        <v>-252.20930000000001</v>
      </c>
      <c r="K1117">
        <v>1.110433</v>
      </c>
      <c r="L1117">
        <v>368.02550000000002</v>
      </c>
      <c r="M1117">
        <v>0.99988940000000004</v>
      </c>
      <c r="N1117">
        <v>-1.447175E-2</v>
      </c>
      <c r="O1117">
        <v>-3.421454E-3</v>
      </c>
      <c r="P1117">
        <v>0.95532099999999998</v>
      </c>
      <c r="Q1117">
        <v>0.29023670000000001</v>
      </c>
      <c r="R1117">
        <v>5.5895159999999999E-2</v>
      </c>
      <c r="S1117">
        <v>3.2713009999999998</v>
      </c>
      <c r="T1117">
        <v>-0.38463809999999998</v>
      </c>
      <c r="U1117">
        <v>-0.24255370000000001</v>
      </c>
      <c r="V1117">
        <v>-5.9081910000000001E-2</v>
      </c>
      <c r="W1117">
        <v>0.3040447</v>
      </c>
      <c r="X1117">
        <v>0.950824</v>
      </c>
      <c r="Y1117">
        <v>7.0008780000000007E-2</v>
      </c>
      <c r="Z1117">
        <v>-4.2542959999999899E-3</v>
      </c>
      <c r="AA1117">
        <v>0.99753729999999996</v>
      </c>
      <c r="AB1117">
        <v>35</v>
      </c>
      <c r="AC1117">
        <v>0.66520000000002699</v>
      </c>
      <c r="AD1117">
        <v>-0.10036200000000001</v>
      </c>
      <c r="AE1117">
        <v>-6.2700000000006598E-2</v>
      </c>
      <c r="AF1117">
        <v>5.9090203743298798E-2</v>
      </c>
      <c r="AG1117">
        <v>-0.10036200000000001</v>
      </c>
      <c r="AH1117">
        <v>0.65072840812479005</v>
      </c>
      <c r="AI1117">
        <v>98.732287655369703</v>
      </c>
      <c r="AJ1117">
        <v>84.811415440172297</v>
      </c>
      <c r="AK1117">
        <v>0.66106856252816004</v>
      </c>
      <c r="AL1117">
        <v>72.299301186153897</v>
      </c>
      <c r="AM1117">
        <v>93.555650029220701</v>
      </c>
      <c r="AN1117">
        <v>1.0000000653316601</v>
      </c>
    </row>
    <row r="1118" spans="1:40" x14ac:dyDescent="0.25">
      <c r="A1118" t="str">
        <f>"20190304164352987"</f>
        <v>20190304164352987</v>
      </c>
      <c r="B1118" t="str">
        <f>"1551689032980790"</f>
        <v>1551689032980790</v>
      </c>
      <c r="C1118" t="s">
        <v>40</v>
      </c>
      <c r="D1118">
        <v>5.2892710000000003</v>
      </c>
      <c r="E1118">
        <v>0.56429180000000001</v>
      </c>
      <c r="F1118" t="s">
        <v>41</v>
      </c>
      <c r="G1118">
        <v>-251.24250000000001</v>
      </c>
      <c r="H1118">
        <v>0.99665570000000003</v>
      </c>
      <c r="I1118">
        <v>367.95370000000003</v>
      </c>
      <c r="J1118">
        <v>-252.03280000000001</v>
      </c>
      <c r="K1118">
        <v>1.1104350000000001</v>
      </c>
      <c r="L1118">
        <v>368.0249</v>
      </c>
      <c r="M1118">
        <v>0.99988920000000003</v>
      </c>
      <c r="N1118">
        <v>-1.4481630000000001E-2</v>
      </c>
      <c r="O1118">
        <v>-3.4730249999999998E-3</v>
      </c>
      <c r="P1118">
        <v>0.95526540000000004</v>
      </c>
      <c r="Q1118">
        <v>0.29040120000000003</v>
      </c>
      <c r="R1118">
        <v>5.5993849999999998E-2</v>
      </c>
      <c r="S1118">
        <v>3.271515</v>
      </c>
      <c r="T1118">
        <v>-0.38528780000000001</v>
      </c>
      <c r="U1118">
        <v>-0.2419434</v>
      </c>
      <c r="V1118">
        <v>-5.9229450000000003E-2</v>
      </c>
      <c r="W1118">
        <v>0.30421730000000002</v>
      </c>
      <c r="X1118">
        <v>0.95075949999999998</v>
      </c>
      <c r="Y1118">
        <v>6.9767940000000001E-2</v>
      </c>
      <c r="Z1118">
        <v>-4.2394980000000004E-3</v>
      </c>
      <c r="AA1118">
        <v>0.99755419999999995</v>
      </c>
      <c r="AB1118">
        <v>35</v>
      </c>
      <c r="AC1118">
        <v>0.790300000000002</v>
      </c>
      <c r="AD1118">
        <v>-0.1137793</v>
      </c>
      <c r="AE1118">
        <v>-7.1199999999976102E-2</v>
      </c>
      <c r="AF1118">
        <v>6.7075452455132897E-2</v>
      </c>
      <c r="AG1118">
        <v>-0.1137793</v>
      </c>
      <c r="AH1118">
        <v>0.77461611316371204</v>
      </c>
      <c r="AI1118">
        <v>98.325408548290298</v>
      </c>
      <c r="AJ1118">
        <v>85.050996523965395</v>
      </c>
      <c r="AK1118">
        <v>0.78579575476290797</v>
      </c>
      <c r="AL1118">
        <v>72.288918264356198</v>
      </c>
      <c r="AM1118">
        <v>93.564747567737101</v>
      </c>
      <c r="AN1118">
        <v>0.99999996010341996</v>
      </c>
    </row>
    <row r="1119" spans="1:40" x14ac:dyDescent="0.25">
      <c r="A1119" t="str">
        <f>"20190304164352999"</f>
        <v>20190304164352999</v>
      </c>
      <c r="B1119" t="str">
        <f>"1551689032990550"</f>
        <v>1551689032990550</v>
      </c>
      <c r="C1119" t="s">
        <v>40</v>
      </c>
      <c r="D1119">
        <v>5.165483</v>
      </c>
      <c r="E1119">
        <v>0.56430380000000002</v>
      </c>
      <c r="F1119" t="s">
        <v>41</v>
      </c>
      <c r="G1119">
        <v>-251.23269999999999</v>
      </c>
      <c r="H1119">
        <v>1.0162150000000001</v>
      </c>
      <c r="I1119">
        <v>367.96570000000003</v>
      </c>
      <c r="J1119">
        <v>-251.8597</v>
      </c>
      <c r="K1119">
        <v>1.1104400000000001</v>
      </c>
      <c r="L1119">
        <v>368.02420000000001</v>
      </c>
      <c r="M1119">
        <v>0.99988880000000002</v>
      </c>
      <c r="N1119">
        <v>-1.4490579999999999E-2</v>
      </c>
      <c r="O1119">
        <v>-3.5238750000000001E-3</v>
      </c>
      <c r="P1119">
        <v>0.95531259999999996</v>
      </c>
      <c r="Q1119">
        <v>0.29019909999999999</v>
      </c>
      <c r="R1119">
        <v>5.6237139999999998E-2</v>
      </c>
      <c r="S1119">
        <v>3.27182</v>
      </c>
      <c r="T1119">
        <v>-0.38557419999999998</v>
      </c>
      <c r="U1119">
        <v>-0.24069209999999999</v>
      </c>
      <c r="V1119">
        <v>-5.9521629999999999E-2</v>
      </c>
      <c r="W1119">
        <v>0.30402469999999998</v>
      </c>
      <c r="X1119">
        <v>0.95080290000000001</v>
      </c>
      <c r="Y1119">
        <v>6.9333850000000002E-2</v>
      </c>
      <c r="Z1119">
        <v>-4.2084210000000004E-3</v>
      </c>
      <c r="AA1119">
        <v>0.99758460000000004</v>
      </c>
      <c r="AB1119">
        <v>35</v>
      </c>
      <c r="AC1119">
        <v>0.62700000000000899</v>
      </c>
      <c r="AD1119">
        <v>-9.4225000000000003E-2</v>
      </c>
      <c r="AE1119">
        <v>-5.8499999999980901E-2</v>
      </c>
      <c r="AF1119">
        <v>5.5057262925342201E-2</v>
      </c>
      <c r="AG1119">
        <v>-9.4225000000000003E-2</v>
      </c>
      <c r="AH1119">
        <v>0.61346740739865901</v>
      </c>
      <c r="AI1119">
        <v>98.697636183503803</v>
      </c>
      <c r="AJ1119">
        <v>84.871577740341607</v>
      </c>
      <c r="AK1119">
        <v>0.62309863807126298</v>
      </c>
      <c r="AL1119">
        <v>72.300502824491303</v>
      </c>
      <c r="AM1119">
        <v>93.582123765388801</v>
      </c>
      <c r="AN1119">
        <v>0.99999999864817801</v>
      </c>
    </row>
    <row r="1120" spans="1:40" x14ac:dyDescent="0.25">
      <c r="A1120" t="str">
        <f>"20190304164353011"</f>
        <v>20190304164353011</v>
      </c>
      <c r="B1120" t="str">
        <f>"1551689033001287"</f>
        <v>1551689033001287</v>
      </c>
      <c r="C1120" t="s">
        <v>40</v>
      </c>
      <c r="D1120">
        <v>5.1621560000000004</v>
      </c>
      <c r="E1120">
        <v>0.5643359</v>
      </c>
      <c r="F1120" t="s">
        <v>41</v>
      </c>
      <c r="G1120">
        <v>-250.9325</v>
      </c>
      <c r="H1120">
        <v>1.000912</v>
      </c>
      <c r="I1120">
        <v>367.95580000000001</v>
      </c>
      <c r="J1120">
        <v>-251.6789</v>
      </c>
      <c r="K1120">
        <v>1.110436</v>
      </c>
      <c r="L1120">
        <v>368.02350000000001</v>
      </c>
      <c r="M1120">
        <v>0.99988849999999996</v>
      </c>
      <c r="N1120">
        <v>-1.449923E-2</v>
      </c>
      <c r="O1120">
        <v>-3.5773459999999999E-3</v>
      </c>
      <c r="P1120">
        <v>0.95534969999999997</v>
      </c>
      <c r="Q1120">
        <v>0.29003990000000002</v>
      </c>
      <c r="R1120">
        <v>5.6425000000000003E-2</v>
      </c>
      <c r="S1120">
        <v>3.271957</v>
      </c>
      <c r="T1120">
        <v>-0.38663629999999999</v>
      </c>
      <c r="U1120">
        <v>-0.24078369999999999</v>
      </c>
      <c r="V1120">
        <v>-5.9759939999999998E-2</v>
      </c>
      <c r="W1120">
        <v>0.30387429999999999</v>
      </c>
      <c r="X1120">
        <v>0.95083600000000001</v>
      </c>
      <c r="Y1120">
        <v>6.9303080000000003E-2</v>
      </c>
      <c r="Z1120">
        <v>-4.2110480000000002E-3</v>
      </c>
      <c r="AA1120">
        <v>0.9975868</v>
      </c>
      <c r="AB1120">
        <v>34</v>
      </c>
      <c r="AC1120">
        <v>0.74639999999999396</v>
      </c>
      <c r="AD1120">
        <v>-0.109523999999999</v>
      </c>
      <c r="AE1120">
        <v>-6.7700000000001995E-2</v>
      </c>
      <c r="AF1120">
        <v>6.3669439354816004E-2</v>
      </c>
      <c r="AG1120">
        <v>-0.109523999999999</v>
      </c>
      <c r="AH1120">
        <v>0.73102575104621204</v>
      </c>
      <c r="AI1120">
        <v>98.489144630829998</v>
      </c>
      <c r="AJ1120">
        <v>85.022326227704596</v>
      </c>
      <c r="AK1120">
        <v>0.74192179694118299</v>
      </c>
      <c r="AL1120">
        <v>72.309547528578605</v>
      </c>
      <c r="AM1120">
        <v>93.596303274313598</v>
      </c>
      <c r="AN1120">
        <v>0.99999996976264605</v>
      </c>
    </row>
    <row r="1121" spans="1:40" x14ac:dyDescent="0.25">
      <c r="A1121" t="str">
        <f>"20190304164353024"</f>
        <v>20190304164353024</v>
      </c>
      <c r="B1121" t="str">
        <f>"1551689033011046"</f>
        <v>1551689033011046</v>
      </c>
      <c r="C1121" t="s">
        <v>40</v>
      </c>
      <c r="D1121">
        <v>5.1853319999999998</v>
      </c>
      <c r="E1121">
        <v>0.56432990000000005</v>
      </c>
      <c r="F1121" t="s">
        <v>41</v>
      </c>
      <c r="G1121">
        <v>-250.92240000000001</v>
      </c>
      <c r="H1121">
        <v>1.0209859999999999</v>
      </c>
      <c r="I1121">
        <v>367.96769999999998</v>
      </c>
      <c r="J1121">
        <v>-251.4924</v>
      </c>
      <c r="K1121">
        <v>1.110439</v>
      </c>
      <c r="L1121">
        <v>368.02280000000002</v>
      </c>
      <c r="M1121">
        <v>0.99988829999999995</v>
      </c>
      <c r="N1121">
        <v>-1.450708E-2</v>
      </c>
      <c r="O1121">
        <v>-3.634525E-3</v>
      </c>
      <c r="P1121">
        <v>0.95528690000000005</v>
      </c>
      <c r="Q1121">
        <v>0.29021079999999999</v>
      </c>
      <c r="R1121">
        <v>5.6614240000000003E-2</v>
      </c>
      <c r="S1121">
        <v>3.2719420000000001</v>
      </c>
      <c r="T1121">
        <v>-0.3870788</v>
      </c>
      <c r="U1121">
        <v>-0.240509</v>
      </c>
      <c r="V1121">
        <v>-6.0003019999999997E-2</v>
      </c>
      <c r="W1121">
        <v>0.30405199999999999</v>
      </c>
      <c r="X1121">
        <v>0.9507639</v>
      </c>
      <c r="Y1121">
        <v>6.916332E-2</v>
      </c>
      <c r="Z1121">
        <v>-4.2003830000000002E-3</v>
      </c>
      <c r="AA1121">
        <v>0.9975965</v>
      </c>
      <c r="AB1121">
        <v>34</v>
      </c>
      <c r="AC1121">
        <v>0.56999999999999296</v>
      </c>
      <c r="AD1121">
        <v>-8.9452999999999894E-2</v>
      </c>
      <c r="AE1121">
        <v>-5.51000000000385E-2</v>
      </c>
      <c r="AF1121">
        <v>5.1764649882067401E-2</v>
      </c>
      <c r="AG1121">
        <v>-8.9452999999999894E-2</v>
      </c>
      <c r="AH1121">
        <v>0.55661477680866001</v>
      </c>
      <c r="AI1121">
        <v>99.091310226665996</v>
      </c>
      <c r="AJ1121">
        <v>84.686828874470805</v>
      </c>
      <c r="AK1121">
        <v>0.56612845534221901</v>
      </c>
      <c r="AL1121">
        <v>72.298860714684906</v>
      </c>
      <c r="AM1121">
        <v>93.611166103908104</v>
      </c>
      <c r="AN1121">
        <v>0.99999998732816497</v>
      </c>
    </row>
    <row r="1122" spans="1:40" x14ac:dyDescent="0.25">
      <c r="A1122" t="str">
        <f>"20190304164353038"</f>
        <v>20190304164353038</v>
      </c>
      <c r="B1122" t="str">
        <f>"1551689033031073"</f>
        <v>1551689033031073</v>
      </c>
      <c r="C1122" t="s">
        <v>40</v>
      </c>
      <c r="D1122">
        <v>5.2955180000000004</v>
      </c>
      <c r="E1122">
        <v>0.564299199999999</v>
      </c>
      <c r="F1122" t="s">
        <v>41</v>
      </c>
      <c r="G1122">
        <v>-250.6216</v>
      </c>
      <c r="H1122">
        <v>1.0075700000000001</v>
      </c>
      <c r="I1122">
        <v>367.95850000000002</v>
      </c>
      <c r="J1122">
        <v>-251.2594</v>
      </c>
      <c r="K1122">
        <v>1.1104459999999901</v>
      </c>
      <c r="L1122">
        <v>368.02190000000002</v>
      </c>
      <c r="M1122">
        <v>0.99988779999999999</v>
      </c>
      <c r="N1122">
        <v>-1.451614E-2</v>
      </c>
      <c r="O1122">
        <v>-3.708425E-3</v>
      </c>
      <c r="P1122">
        <v>0.95510510000000004</v>
      </c>
      <c r="Q1122">
        <v>0.29080220000000001</v>
      </c>
      <c r="R1122">
        <v>5.6642530000000003E-2</v>
      </c>
      <c r="S1122">
        <v>3.2722020000000001</v>
      </c>
      <c r="T1122">
        <v>-0.38685730000000002</v>
      </c>
      <c r="U1122">
        <v>-0.240509</v>
      </c>
      <c r="V1122">
        <v>-6.0098859999999997E-2</v>
      </c>
      <c r="W1122">
        <v>0.30464970000000002</v>
      </c>
      <c r="X1122">
        <v>0.95056649999999998</v>
      </c>
      <c r="Y1122">
        <v>6.9085399999999894E-2</v>
      </c>
      <c r="Z1122">
        <v>-4.1855929999999996E-3</v>
      </c>
      <c r="AA1122">
        <v>0.99760199999999999</v>
      </c>
      <c r="AB1122">
        <v>34</v>
      </c>
      <c r="AC1122">
        <v>0.63779999999999804</v>
      </c>
      <c r="AD1122">
        <v>-0.102875999999999</v>
      </c>
      <c r="AE1122">
        <v>-6.34000000000014E-2</v>
      </c>
      <c r="AF1122">
        <v>5.9501179325288402E-2</v>
      </c>
      <c r="AG1122">
        <v>-0.102875999999999</v>
      </c>
      <c r="AH1122">
        <v>0.62200628516628798</v>
      </c>
      <c r="AI1122">
        <v>99.349428757892198</v>
      </c>
      <c r="AJ1122">
        <v>84.535707548655395</v>
      </c>
      <c r="AK1122">
        <v>0.63325798889825702</v>
      </c>
      <c r="AL1122">
        <v>72.262909582587397</v>
      </c>
      <c r="AM1122">
        <v>93.617667865545599</v>
      </c>
      <c r="AN1122">
        <v>0.99999999180281895</v>
      </c>
    </row>
    <row r="1123" spans="1:40" x14ac:dyDescent="0.25">
      <c r="A1123" t="str">
        <f>"20190304164353051"</f>
        <v>20190304164353051</v>
      </c>
      <c r="B1123" t="str">
        <f>"1551689033040834"</f>
        <v>1551689033040834</v>
      </c>
      <c r="C1123" t="s">
        <v>40</v>
      </c>
      <c r="D1123">
        <v>5.1761819999999998</v>
      </c>
      <c r="E1123">
        <v>0.56434329999999999</v>
      </c>
      <c r="F1123" t="s">
        <v>41</v>
      </c>
      <c r="G1123">
        <v>-250.3184</v>
      </c>
      <c r="H1123">
        <v>0.99963829999999998</v>
      </c>
      <c r="I1123">
        <v>367.95249999999999</v>
      </c>
      <c r="J1123">
        <v>-251.059</v>
      </c>
      <c r="K1123">
        <v>1.110449</v>
      </c>
      <c r="L1123">
        <v>368.02109999999999</v>
      </c>
      <c r="M1123">
        <v>0.99988750000000004</v>
      </c>
      <c r="N1123">
        <v>-1.452318E-2</v>
      </c>
      <c r="O1123">
        <v>-3.7756460000000001E-3</v>
      </c>
      <c r="P1123">
        <v>0.95504120000000003</v>
      </c>
      <c r="Q1123">
        <v>0.2909487</v>
      </c>
      <c r="R1123">
        <v>5.6965460000000002E-2</v>
      </c>
      <c r="S1123">
        <v>3.2726440000000001</v>
      </c>
      <c r="T1123">
        <v>-0.38549440000000001</v>
      </c>
      <c r="U1123">
        <v>-0.240448</v>
      </c>
      <c r="V1123">
        <v>-6.0483290000000002E-2</v>
      </c>
      <c r="W1123">
        <v>0.30480220000000002</v>
      </c>
      <c r="X1123">
        <v>0.95049320000000004</v>
      </c>
      <c r="Y1123">
        <v>6.8994529999999998E-2</v>
      </c>
      <c r="Z1123">
        <v>-4.1597780000000003E-3</v>
      </c>
      <c r="AA1123">
        <v>0.99760839999999995</v>
      </c>
      <c r="AB1123">
        <v>34</v>
      </c>
      <c r="AC1123">
        <v>0.74060000000002901</v>
      </c>
      <c r="AD1123">
        <v>-0.1108107</v>
      </c>
      <c r="AE1123">
        <v>-6.8600000000003505E-2</v>
      </c>
      <c r="AF1123">
        <v>6.4374089452426494E-2</v>
      </c>
      <c r="AG1123">
        <v>-0.1108107</v>
      </c>
      <c r="AH1123">
        <v>0.72476643459717804</v>
      </c>
      <c r="AI1123">
        <v>98.659157715306407</v>
      </c>
      <c r="AJ1123">
        <v>84.924282009548193</v>
      </c>
      <c r="AK1123">
        <v>0.73600911634708999</v>
      </c>
      <c r="AL1123">
        <v>72.253735198953294</v>
      </c>
      <c r="AM1123">
        <v>93.641026705806397</v>
      </c>
      <c r="AN1123">
        <v>0.99999996637015098</v>
      </c>
    </row>
    <row r="1124" spans="1:40" x14ac:dyDescent="0.25">
      <c r="A1124" t="str">
        <f>"20190304164353064"</f>
        <v>20190304164353064</v>
      </c>
      <c r="B1124" t="str">
        <f>"1551689033050593"</f>
        <v>1551689033050593</v>
      </c>
      <c r="C1124" t="s">
        <v>40</v>
      </c>
      <c r="D1124">
        <v>5.3011439999999999</v>
      </c>
      <c r="E1124">
        <v>0.56431200000000004</v>
      </c>
      <c r="F1124" t="s">
        <v>41</v>
      </c>
      <c r="G1124">
        <v>-250.3073</v>
      </c>
      <c r="H1124">
        <v>1.0218959999999999</v>
      </c>
      <c r="I1124">
        <v>367.9658</v>
      </c>
      <c r="J1124">
        <v>-250.8802</v>
      </c>
      <c r="K1124">
        <v>1.1104459999999901</v>
      </c>
      <c r="L1124">
        <v>368.0204</v>
      </c>
      <c r="M1124">
        <v>0.99988719999999998</v>
      </c>
      <c r="N1124">
        <v>-1.4528579999999999E-2</v>
      </c>
      <c r="O1124">
        <v>-3.8402499999999999E-3</v>
      </c>
      <c r="P1124">
        <v>0.95498530000000004</v>
      </c>
      <c r="Q1124">
        <v>0.29122480000000001</v>
      </c>
      <c r="R1124">
        <v>5.6494040000000002E-2</v>
      </c>
      <c r="S1124">
        <v>3.2730100000000002</v>
      </c>
      <c r="T1124">
        <v>-0.38572129999999999</v>
      </c>
      <c r="U1124">
        <v>-0.239624</v>
      </c>
      <c r="V1124">
        <v>-6.0070619999999998E-2</v>
      </c>
      <c r="W1124">
        <v>0.3050834</v>
      </c>
      <c r="X1124">
        <v>0.95042919999999997</v>
      </c>
      <c r="Y1124">
        <v>6.8674460000000007E-2</v>
      </c>
      <c r="Z1124">
        <v>-4.1339740000000003E-3</v>
      </c>
      <c r="AA1124">
        <v>0.99763049999999998</v>
      </c>
      <c r="AB1124">
        <v>34</v>
      </c>
      <c r="AC1124">
        <v>0.57290000000000396</v>
      </c>
      <c r="AD1124">
        <v>-8.8549999999999907E-2</v>
      </c>
      <c r="AE1124">
        <v>-5.4599999999993501E-2</v>
      </c>
      <c r="AF1124">
        <v>5.1187416699402598E-2</v>
      </c>
      <c r="AG1124">
        <v>-8.8549999999999907E-2</v>
      </c>
      <c r="AH1124">
        <v>0.55985092371391798</v>
      </c>
      <c r="AI1124">
        <v>98.951124482543506</v>
      </c>
      <c r="AJ1124">
        <v>84.775946188423603</v>
      </c>
      <c r="AK1124">
        <v>0.56911713285727505</v>
      </c>
      <c r="AL1124">
        <v>72.236818706333693</v>
      </c>
      <c r="AM1124">
        <v>93.6164934429505</v>
      </c>
      <c r="AN1124">
        <v>1.00000001227769</v>
      </c>
    </row>
    <row r="1125" spans="1:40" x14ac:dyDescent="0.25">
      <c r="A1125" t="str">
        <f>"20190304164353084"</f>
        <v>20190304164353084</v>
      </c>
      <c r="B1125" t="str">
        <f>"1551689033080849"</f>
        <v>1551689033080849</v>
      </c>
      <c r="C1125" t="s">
        <v>40</v>
      </c>
      <c r="D1125">
        <v>5.2941510000000003</v>
      </c>
      <c r="E1125">
        <v>0.56444510000000003</v>
      </c>
      <c r="F1125" t="s">
        <v>41</v>
      </c>
      <c r="G1125">
        <v>-250.00749999999999</v>
      </c>
      <c r="H1125">
        <v>1.0077259999999999</v>
      </c>
      <c r="I1125">
        <v>367.95580000000001</v>
      </c>
      <c r="J1125">
        <v>-250.56280000000001</v>
      </c>
      <c r="K1125">
        <v>1.1104430000000001</v>
      </c>
      <c r="L1125">
        <v>368.01900000000001</v>
      </c>
      <c r="M1125">
        <v>0.99988650000000001</v>
      </c>
      <c r="N1125">
        <v>-1.453697E-2</v>
      </c>
      <c r="O1125">
        <v>-3.964581E-3</v>
      </c>
      <c r="P1125">
        <v>0.95493479999999997</v>
      </c>
      <c r="Q1125">
        <v>0.2913752</v>
      </c>
      <c r="R1125">
        <v>5.6569000000000001E-2</v>
      </c>
      <c r="S1125">
        <v>3.273209</v>
      </c>
      <c r="T1125">
        <v>-0.38543500000000003</v>
      </c>
      <c r="U1125">
        <v>-0.2415466</v>
      </c>
      <c r="V1125">
        <v>-6.0256829999999997E-2</v>
      </c>
      <c r="W1125">
        <v>0.30524230000000002</v>
      </c>
      <c r="X1125">
        <v>0.95036639999999994</v>
      </c>
      <c r="Y1125">
        <v>6.9126729999999997E-2</v>
      </c>
      <c r="Z1125">
        <v>-4.1484099999999999E-3</v>
      </c>
      <c r="AA1125">
        <v>0.99759920000000002</v>
      </c>
      <c r="AB1125">
        <v>34</v>
      </c>
      <c r="AC1125">
        <v>0.555300000000016</v>
      </c>
      <c r="AD1125">
        <v>-0.102716999999999</v>
      </c>
      <c r="AE1125">
        <v>-6.3199999999994802E-2</v>
      </c>
      <c r="AF1125">
        <v>5.9004652232745099E-2</v>
      </c>
      <c r="AG1125">
        <v>-0.102716999999999</v>
      </c>
      <c r="AH1125">
        <v>0.53739388278658395</v>
      </c>
      <c r="AI1125">
        <v>100.75781785623001</v>
      </c>
      <c r="AJ1125">
        <v>83.734149920370399</v>
      </c>
      <c r="AK1125">
        <v>0.55029493576676503</v>
      </c>
      <c r="AL1125">
        <v>72.227258537088105</v>
      </c>
      <c r="AM1125">
        <v>93.627913220792195</v>
      </c>
      <c r="AN1125">
        <v>1.00000002075994</v>
      </c>
    </row>
    <row r="1126" spans="1:40" x14ac:dyDescent="0.25">
      <c r="A1126" t="str">
        <f>"20190304164353099"</f>
        <v>20190304164353099</v>
      </c>
      <c r="B1126" t="str">
        <f>"1551689033090610"</f>
        <v>1551689033090610</v>
      </c>
      <c r="C1126" t="s">
        <v>40</v>
      </c>
      <c r="D1126">
        <v>5.2081489999999997</v>
      </c>
      <c r="E1126">
        <v>0.56441430000000004</v>
      </c>
      <c r="F1126" t="s">
        <v>41</v>
      </c>
      <c r="G1126">
        <v>-249.70050000000001</v>
      </c>
      <c r="H1126">
        <v>1.008799</v>
      </c>
      <c r="I1126">
        <v>367.95490000000001</v>
      </c>
      <c r="J1126">
        <v>-250.33940000000001</v>
      </c>
      <c r="K1126">
        <v>1.110436</v>
      </c>
      <c r="L1126">
        <v>368.01799999999997</v>
      </c>
      <c r="M1126">
        <v>0.9998861</v>
      </c>
      <c r="N1126">
        <v>-1.454192E-2</v>
      </c>
      <c r="O1126">
        <v>-4.0620509999999997E-3</v>
      </c>
      <c r="P1126">
        <v>0.95480699999999996</v>
      </c>
      <c r="Q1126">
        <v>0.29173729999999998</v>
      </c>
      <c r="R1126">
        <v>5.6860609999999999E-2</v>
      </c>
      <c r="S1126">
        <v>3.2737430000000001</v>
      </c>
      <c r="T1126">
        <v>-0.38588260000000002</v>
      </c>
      <c r="U1126">
        <v>-0.24334720000000001</v>
      </c>
      <c r="V1126">
        <v>-6.063408E-2</v>
      </c>
      <c r="W1126">
        <v>0.3056083</v>
      </c>
      <c r="X1126">
        <v>0.95022479999999998</v>
      </c>
      <c r="Y1126">
        <v>6.9559430000000005E-2</v>
      </c>
      <c r="Z1126">
        <v>-4.1706180000000001E-3</v>
      </c>
      <c r="AA1126">
        <v>0.99756909999999999</v>
      </c>
      <c r="AB1126">
        <v>34</v>
      </c>
      <c r="AC1126">
        <v>0.63890000000000602</v>
      </c>
      <c r="AD1126">
        <v>-0.10163699999999901</v>
      </c>
      <c r="AE1126">
        <v>-6.3100000000019904E-2</v>
      </c>
      <c r="AF1126">
        <v>5.9024662500505302E-2</v>
      </c>
      <c r="AG1126">
        <v>-0.10163699999999901</v>
      </c>
      <c r="AH1126">
        <v>0.62352407633930296</v>
      </c>
      <c r="AI1126">
        <v>99.217529999466095</v>
      </c>
      <c r="AJ1126">
        <v>84.592323822756398</v>
      </c>
      <c r="AK1126">
        <v>0.63450473940474195</v>
      </c>
      <c r="AL1126">
        <v>72.205236449735196</v>
      </c>
      <c r="AM1126">
        <v>93.651107797312804</v>
      </c>
      <c r="AN1126">
        <v>1.0000000476106801</v>
      </c>
    </row>
    <row r="1127" spans="1:40" x14ac:dyDescent="0.25">
      <c r="A1127" t="str">
        <f>"20190304164353112"</f>
        <v>20190304164353112</v>
      </c>
      <c r="B1127" t="str">
        <f>"1551689033101345"</f>
        <v>1551689033101345</v>
      </c>
      <c r="C1127" t="s">
        <v>40</v>
      </c>
      <c r="D1127">
        <v>5.2813319999999999</v>
      </c>
      <c r="E1127">
        <v>0.56441430000000004</v>
      </c>
      <c r="F1127" t="s">
        <v>41</v>
      </c>
      <c r="G1127">
        <v>-249.39869999999999</v>
      </c>
      <c r="H1127">
        <v>1.000254</v>
      </c>
      <c r="I1127">
        <v>367.94810000000001</v>
      </c>
      <c r="J1127">
        <v>-250.13079999999999</v>
      </c>
      <c r="K1127">
        <v>1.1104309999999999</v>
      </c>
      <c r="L1127">
        <v>368.01710000000003</v>
      </c>
      <c r="M1127">
        <v>0.99988560000000004</v>
      </c>
      <c r="N1127">
        <v>-1.454592E-2</v>
      </c>
      <c r="O1127">
        <v>-4.16096E-3</v>
      </c>
      <c r="P1127">
        <v>0.95468799999999998</v>
      </c>
      <c r="Q1127">
        <v>0.29215000000000002</v>
      </c>
      <c r="R1127">
        <v>5.6738950000000003E-2</v>
      </c>
      <c r="S1127">
        <v>3.2736510000000001</v>
      </c>
      <c r="T1127">
        <v>-0.3835595</v>
      </c>
      <c r="U1127">
        <v>-0.24270630000000001</v>
      </c>
      <c r="V1127">
        <v>-6.0598390000000002E-2</v>
      </c>
      <c r="W1127">
        <v>0.30602459999999998</v>
      </c>
      <c r="X1127">
        <v>0.95009299999999997</v>
      </c>
      <c r="Y1127">
        <v>6.927701E-2</v>
      </c>
      <c r="Z1127">
        <v>-4.1206990000000002E-3</v>
      </c>
      <c r="AA1127">
        <v>0.9975889</v>
      </c>
      <c r="AB1127">
        <v>34</v>
      </c>
      <c r="AC1127">
        <v>0.73210000000000197</v>
      </c>
      <c r="AD1127">
        <v>-0.110176999999999</v>
      </c>
      <c r="AE1127">
        <v>-6.9000000000016798E-2</v>
      </c>
      <c r="AF1127">
        <v>6.4504763193533099E-2</v>
      </c>
      <c r="AG1127">
        <v>-0.110176999999999</v>
      </c>
      <c r="AH1127">
        <v>0.71630044711170004</v>
      </c>
      <c r="AI1127">
        <v>98.709659237375504</v>
      </c>
      <c r="AJ1127">
        <v>84.854242299287705</v>
      </c>
      <c r="AK1127">
        <v>0.72758928409926105</v>
      </c>
      <c r="AL1127">
        <v>72.180182437749593</v>
      </c>
      <c r="AM1127">
        <v>93.649469344682899</v>
      </c>
      <c r="AN1127">
        <v>0.99999996466237495</v>
      </c>
    </row>
    <row r="1128" spans="1:40" x14ac:dyDescent="0.25">
      <c r="A1128" t="str">
        <f>"20190304164353125"</f>
        <v>20190304164353125</v>
      </c>
      <c r="B1128" t="str">
        <f>"1551689033111106"</f>
        <v>1551689033111106</v>
      </c>
      <c r="C1128" t="s">
        <v>40</v>
      </c>
      <c r="D1128">
        <v>5.1376330000000001</v>
      </c>
      <c r="E1128">
        <v>0.54084659999999996</v>
      </c>
      <c r="F1128" t="s">
        <v>41</v>
      </c>
      <c r="G1128">
        <v>-249.3869</v>
      </c>
      <c r="H1128">
        <v>1.0236559999999999</v>
      </c>
      <c r="I1128">
        <v>367.96159999999998</v>
      </c>
      <c r="J1128">
        <v>-249.94720000000001</v>
      </c>
      <c r="K1128">
        <v>1.110425</v>
      </c>
      <c r="L1128">
        <v>368.01620000000003</v>
      </c>
      <c r="M1128">
        <v>0.99988509999999997</v>
      </c>
      <c r="N1128">
        <v>-1.454886E-2</v>
      </c>
      <c r="O1128">
        <v>-4.2592730000000001E-3</v>
      </c>
      <c r="P1128">
        <v>0.95463370000000003</v>
      </c>
      <c r="Q1128">
        <v>0.29229640000000001</v>
      </c>
      <c r="R1128">
        <v>5.6900859999999998E-2</v>
      </c>
      <c r="S1128">
        <v>3.2737729999999998</v>
      </c>
      <c r="T1128">
        <v>-0.382081</v>
      </c>
      <c r="U1128">
        <v>-0.2434692</v>
      </c>
      <c r="V1128">
        <v>-6.0846299999999999E-2</v>
      </c>
      <c r="W1128">
        <v>0.30617490000000003</v>
      </c>
      <c r="X1128">
        <v>0.95002880000000001</v>
      </c>
      <c r="Y1128">
        <v>6.9410570000000005E-2</v>
      </c>
      <c r="Z1128">
        <v>-4.1057769999999997E-3</v>
      </c>
      <c r="AA1128">
        <v>0.99757980000000002</v>
      </c>
      <c r="AB1128">
        <v>34</v>
      </c>
      <c r="AC1128">
        <v>0.56030000000001201</v>
      </c>
      <c r="AD1128">
        <v>-8.6769000000000096E-2</v>
      </c>
      <c r="AE1128">
        <v>-5.4600000000050303E-2</v>
      </c>
      <c r="AF1128">
        <v>5.1001169731596102E-2</v>
      </c>
      <c r="AG1128">
        <v>-8.6769000000000096E-2</v>
      </c>
      <c r="AH1128">
        <v>0.54752030594137002</v>
      </c>
      <c r="AI1128">
        <v>98.966951646215804</v>
      </c>
      <c r="AJ1128">
        <v>84.678290783440602</v>
      </c>
      <c r="AK1128">
        <v>0.55669422854303297</v>
      </c>
      <c r="AL1128">
        <v>72.171137906885306</v>
      </c>
      <c r="AM1128">
        <v>93.664605798490697</v>
      </c>
      <c r="AN1128">
        <v>1.00000003122156</v>
      </c>
    </row>
    <row r="1129" spans="1:40" x14ac:dyDescent="0.25">
      <c r="A1129" t="str">
        <f>"20190304164353138"</f>
        <v>20190304164353138</v>
      </c>
      <c r="B1129" t="str">
        <f>"1551689033131132"</f>
        <v>1551689033131132</v>
      </c>
      <c r="C1129" t="s">
        <v>40</v>
      </c>
      <c r="D1129">
        <v>5.1065180000000003</v>
      </c>
      <c r="E1129">
        <v>0.53718880000000002</v>
      </c>
      <c r="F1129" t="s">
        <v>41</v>
      </c>
      <c r="G1129">
        <v>-249.07980000000001</v>
      </c>
      <c r="H1129">
        <v>1.025056</v>
      </c>
      <c r="I1129">
        <v>368.00020000000001</v>
      </c>
      <c r="J1129">
        <v>-249.7277</v>
      </c>
      <c r="K1129">
        <v>1.1104179999999999</v>
      </c>
      <c r="L1129">
        <v>368.01519999999999</v>
      </c>
      <c r="M1129">
        <v>0.99988460000000001</v>
      </c>
      <c r="N1129">
        <v>-1.455204E-2</v>
      </c>
      <c r="O1129">
        <v>-4.3856640000000001E-3</v>
      </c>
      <c r="P1129">
        <v>0.95459289999999997</v>
      </c>
      <c r="Q1129">
        <v>0.29233409999999999</v>
      </c>
      <c r="R1129">
        <v>5.738861E-2</v>
      </c>
      <c r="S1129">
        <v>3.243881</v>
      </c>
      <c r="T1129">
        <v>-0.31928379999999901</v>
      </c>
      <c r="U1129">
        <v>-5.9722900000000002E-2</v>
      </c>
      <c r="V1129">
        <v>-6.1444279999999997E-2</v>
      </c>
      <c r="W1129">
        <v>0.30621710000000002</v>
      </c>
      <c r="X1129">
        <v>0.94997670000000001</v>
      </c>
      <c r="Y1129">
        <v>1.3960180000000001E-2</v>
      </c>
      <c r="Z1129">
        <v>-4.2028660000000001E-4</v>
      </c>
      <c r="AA1129">
        <v>0.99990250000000003</v>
      </c>
      <c r="AB1129">
        <v>34</v>
      </c>
      <c r="AC1129">
        <v>0.64789999999999204</v>
      </c>
      <c r="AD1129">
        <v>-8.5362000000000104E-2</v>
      </c>
      <c r="AE1129">
        <v>-1.49999999999863E-2</v>
      </c>
      <c r="AF1129">
        <v>1.19507470080134E-2</v>
      </c>
      <c r="AG1129">
        <v>-8.5362000000000104E-2</v>
      </c>
      <c r="AH1129">
        <v>0.63690966041623798</v>
      </c>
      <c r="AI1129">
        <v>97.632265742703396</v>
      </c>
      <c r="AJ1129">
        <v>88.925048453828396</v>
      </c>
      <c r="AK1129">
        <v>0.64271565013587195</v>
      </c>
      <c r="AL1129">
        <v>72.168597846487799</v>
      </c>
      <c r="AM1129">
        <v>93.700723293681904</v>
      </c>
      <c r="AN1129">
        <v>1.00000002121</v>
      </c>
    </row>
    <row r="1130" spans="1:40" x14ac:dyDescent="0.25">
      <c r="A1130" t="str">
        <f>"20190304164353151"</f>
        <v>20190304164353151</v>
      </c>
      <c r="B1130" t="str">
        <f>"1551689033140893"</f>
        <v>1551689033140893</v>
      </c>
      <c r="C1130" t="s">
        <v>40</v>
      </c>
      <c r="D1130">
        <v>5.077426</v>
      </c>
      <c r="E1130">
        <v>0.53629609999999905</v>
      </c>
      <c r="F1130" t="s">
        <v>41</v>
      </c>
      <c r="G1130">
        <v>-248.7784</v>
      </c>
      <c r="H1130">
        <v>1.0163260000000001</v>
      </c>
      <c r="I1130">
        <v>368.0068</v>
      </c>
      <c r="J1130">
        <v>-249.52250000000001</v>
      </c>
      <c r="K1130">
        <v>1.110406</v>
      </c>
      <c r="L1130">
        <v>368.01420000000002</v>
      </c>
      <c r="M1130">
        <v>0.99988390000000005</v>
      </c>
      <c r="N1130">
        <v>-1.4554589999999999E-2</v>
      </c>
      <c r="O1130">
        <v>-4.516361E-3</v>
      </c>
      <c r="P1130">
        <v>0.95452269999999995</v>
      </c>
      <c r="Q1130">
        <v>0.2925143</v>
      </c>
      <c r="R1130">
        <v>5.7634989999999997E-2</v>
      </c>
      <c r="S1130">
        <v>3.2428889999999999</v>
      </c>
      <c r="T1130">
        <v>-0.32150279999999998</v>
      </c>
      <c r="U1130">
        <v>-2.8656009999999999E-2</v>
      </c>
      <c r="V1130">
        <v>-6.180418E-2</v>
      </c>
      <c r="W1130">
        <v>0.30640099999999998</v>
      </c>
      <c r="X1130">
        <v>0.94989409999999996</v>
      </c>
      <c r="Y1130">
        <v>4.3113300000000004E-3</v>
      </c>
      <c r="Z1130">
        <v>1.3639690000000001E-4</v>
      </c>
      <c r="AA1130">
        <v>0.99999070000000001</v>
      </c>
      <c r="AB1130">
        <v>34</v>
      </c>
      <c r="AC1130">
        <v>0.74410000000000298</v>
      </c>
      <c r="AD1130">
        <v>-9.40799999999999E-2</v>
      </c>
      <c r="AE1130">
        <v>-7.40000000001828E-3</v>
      </c>
      <c r="AF1130">
        <v>3.9754010296182904E-3</v>
      </c>
      <c r="AG1130">
        <v>-9.40799999999999E-2</v>
      </c>
      <c r="AH1130">
        <v>0.73241875596823003</v>
      </c>
      <c r="AI1130">
        <v>97.319518097903895</v>
      </c>
      <c r="AJ1130">
        <v>89.689014703320794</v>
      </c>
      <c r="AK1130">
        <v>0.738447076172285</v>
      </c>
      <c r="AL1130">
        <v>72.157529915676903</v>
      </c>
      <c r="AM1130">
        <v>93.722661694218203</v>
      </c>
      <c r="AN1130">
        <v>1.00000006534063</v>
      </c>
    </row>
    <row r="1131" spans="1:40" x14ac:dyDescent="0.25">
      <c r="A1131" t="str">
        <f>"20190304164353165"</f>
        <v>20190304164353165</v>
      </c>
      <c r="B1131" t="str">
        <f>"1551689033161389"</f>
        <v>1551689033161389</v>
      </c>
      <c r="C1131" t="s">
        <v>40</v>
      </c>
      <c r="D1131">
        <v>5.0453999999999999</v>
      </c>
      <c r="E1131">
        <v>0.53546609999999994</v>
      </c>
      <c r="F1131" t="s">
        <v>41</v>
      </c>
      <c r="G1131">
        <v>-248.76689999999999</v>
      </c>
      <c r="H1131">
        <v>1.035963</v>
      </c>
      <c r="I1131">
        <v>368.0093</v>
      </c>
      <c r="J1131">
        <v>-249.33410000000001</v>
      </c>
      <c r="K1131">
        <v>1.110395</v>
      </c>
      <c r="L1131">
        <v>368.01319999999998</v>
      </c>
      <c r="M1131">
        <v>0.99988330000000003</v>
      </c>
      <c r="N1131">
        <v>-1.455648E-2</v>
      </c>
      <c r="O1131">
        <v>-4.6521899999999996E-3</v>
      </c>
      <c r="P1131">
        <v>0.95456609999999997</v>
      </c>
      <c r="Q1131">
        <v>0.29235450000000002</v>
      </c>
      <c r="R1131">
        <v>5.7731049999999999E-2</v>
      </c>
      <c r="S1131">
        <v>3.2420810000000002</v>
      </c>
      <c r="T1131">
        <v>-0.31953100000000001</v>
      </c>
      <c r="U1131">
        <v>-2.053833E-2</v>
      </c>
      <c r="V1131">
        <v>-6.2018959999999998E-2</v>
      </c>
      <c r="W1131">
        <v>0.30624570000000001</v>
      </c>
      <c r="X1131">
        <v>0.9499301</v>
      </c>
      <c r="Y1131">
        <v>1.68911E-3</v>
      </c>
      <c r="Z1131">
        <v>2.94445E-4</v>
      </c>
      <c r="AA1131">
        <v>0.99999850000000001</v>
      </c>
      <c r="AB1131">
        <v>34</v>
      </c>
      <c r="AC1131">
        <v>0.56720000000001303</v>
      </c>
      <c r="AD1131">
        <v>-7.4431999999999998E-2</v>
      </c>
      <c r="AE1131">
        <v>-3.8999999999873498E-3</v>
      </c>
      <c r="AF1131">
        <v>1.2396104483531399E-3</v>
      </c>
      <c r="AG1131">
        <v>-7.4431999999999998E-2</v>
      </c>
      <c r="AH1131">
        <v>0.55761010927902499</v>
      </c>
      <c r="AI1131">
        <v>97.603103601105403</v>
      </c>
      <c r="AJ1131">
        <v>89.872627255591794</v>
      </c>
      <c r="AK1131">
        <v>0.56255727995310001</v>
      </c>
      <c r="AL1131">
        <v>72.166875867343805</v>
      </c>
      <c r="AM1131">
        <v>93.735420840024005</v>
      </c>
      <c r="AN1131">
        <v>0.99999998752699004</v>
      </c>
    </row>
    <row r="1132" spans="1:40" x14ac:dyDescent="0.25">
      <c r="A1132" t="str">
        <f>"20190304164353177"</f>
        <v>20190304164353177</v>
      </c>
      <c r="B1132" t="str">
        <f>"1551689033171149"</f>
        <v>1551689033171149</v>
      </c>
      <c r="C1132" t="s">
        <v>40</v>
      </c>
      <c r="D1132">
        <v>5.1146969999999996</v>
      </c>
      <c r="E1132">
        <v>0.53547400000000001</v>
      </c>
      <c r="F1132" t="s">
        <v>41</v>
      </c>
      <c r="G1132">
        <v>-248.46899999999999</v>
      </c>
      <c r="H1132">
        <v>1.024969</v>
      </c>
      <c r="I1132">
        <v>368.00940000000003</v>
      </c>
      <c r="J1132">
        <v>-249.15260000000001</v>
      </c>
      <c r="K1132">
        <v>1.110382</v>
      </c>
      <c r="L1132">
        <v>368.01229999999998</v>
      </c>
      <c r="M1132">
        <v>0.99988259999999995</v>
      </c>
      <c r="N1132">
        <v>-1.4558130000000001E-2</v>
      </c>
      <c r="O1132">
        <v>-4.7893299999999996E-3</v>
      </c>
      <c r="P1132">
        <v>0.95460630000000002</v>
      </c>
      <c r="Q1132">
        <v>0.29219640000000002</v>
      </c>
      <c r="R1132">
        <v>5.7865270000000003E-2</v>
      </c>
      <c r="S1132">
        <v>3.24173</v>
      </c>
      <c r="T1132">
        <v>-0.32034669999999998</v>
      </c>
      <c r="U1132">
        <v>-1.3488770000000001E-2</v>
      </c>
      <c r="V1132">
        <v>-6.2272679999999997E-2</v>
      </c>
      <c r="W1132">
        <v>0.30609229999999998</v>
      </c>
      <c r="X1132">
        <v>0.949963</v>
      </c>
      <c r="Y1132">
        <v>-6.0853929999999995E-4</v>
      </c>
      <c r="Z1132">
        <v>4.369795E-4</v>
      </c>
      <c r="AA1132">
        <v>0.99999970000000005</v>
      </c>
      <c r="AB1132">
        <v>34</v>
      </c>
      <c r="AC1132">
        <v>0.683599999999984</v>
      </c>
      <c r="AD1132">
        <v>-8.5412999999999906E-2</v>
      </c>
      <c r="AE1132">
        <v>-2.8999999999541602E-3</v>
      </c>
      <c r="AF1132">
        <v>-3.68611638035104E-4</v>
      </c>
      <c r="AG1132">
        <v>-8.5412999999999906E-2</v>
      </c>
      <c r="AH1132">
        <v>0.67309818461914495</v>
      </c>
      <c r="AI1132">
        <v>97.231912579909505</v>
      </c>
      <c r="AJ1132">
        <v>90.031377129681999</v>
      </c>
      <c r="AK1132">
        <v>0.67849589724708603</v>
      </c>
      <c r="AL1132">
        <v>72.176109417970295</v>
      </c>
      <c r="AM1132">
        <v>93.750529416717001</v>
      </c>
      <c r="AN1132">
        <v>1.00000004208133</v>
      </c>
    </row>
    <row r="1133" spans="1:40" x14ac:dyDescent="0.25">
      <c r="A1133" t="str">
        <f>"20190304164353188"</f>
        <v>20190304164353188</v>
      </c>
      <c r="B1133" t="str">
        <f>"1551689033180909"</f>
        <v>1551689033180909</v>
      </c>
      <c r="C1133" t="s">
        <v>40</v>
      </c>
      <c r="D1133">
        <v>5.059564</v>
      </c>
      <c r="E1133">
        <v>0.53537369999999995</v>
      </c>
      <c r="F1133" t="s">
        <v>41</v>
      </c>
      <c r="G1133">
        <v>-248.17</v>
      </c>
      <c r="H1133">
        <v>1.0130669999999999</v>
      </c>
      <c r="I1133">
        <v>368.00810000000001</v>
      </c>
      <c r="J1133">
        <v>-248.95599999999999</v>
      </c>
      <c r="K1133">
        <v>1.110366</v>
      </c>
      <c r="L1133">
        <v>368.01119999999997</v>
      </c>
      <c r="M1133">
        <v>0.99988169999999998</v>
      </c>
      <c r="N1133">
        <v>-1.4559529999999999E-2</v>
      </c>
      <c r="O1133">
        <v>-4.9535760000000003E-3</v>
      </c>
      <c r="P1133">
        <v>0.95455120000000004</v>
      </c>
      <c r="Q1133">
        <v>0.29232950000000002</v>
      </c>
      <c r="R1133">
        <v>5.8098660000000003E-2</v>
      </c>
      <c r="S1133">
        <v>3.2418369999999999</v>
      </c>
      <c r="T1133">
        <v>-0.32136769999999998</v>
      </c>
      <c r="U1133">
        <v>-1.306152E-2</v>
      </c>
      <c r="V1133">
        <v>-6.2648480000000006E-2</v>
      </c>
      <c r="W1133">
        <v>0.30622840000000001</v>
      </c>
      <c r="X1133">
        <v>0.94989440000000003</v>
      </c>
      <c r="Y1133">
        <v>-9.0234739999999999E-4</v>
      </c>
      <c r="Z1133">
        <v>4.69078E-4</v>
      </c>
      <c r="AA1133">
        <v>0.99999950000000004</v>
      </c>
      <c r="AB1133">
        <v>34</v>
      </c>
      <c r="AC1133">
        <v>0.78600000000000103</v>
      </c>
      <c r="AD1133">
        <v>-9.7298999999999997E-2</v>
      </c>
      <c r="AE1133">
        <v>-3.0999999999607999E-3</v>
      </c>
      <c r="AF1133">
        <v>-7.8197880599564101E-4</v>
      </c>
      <c r="AG1133">
        <v>-9.7298999999999997E-2</v>
      </c>
      <c r="AH1133">
        <v>0.77414294343355095</v>
      </c>
      <c r="AI1133">
        <v>97.163714774053204</v>
      </c>
      <c r="AJ1133">
        <v>90.057875706797702</v>
      </c>
      <c r="AK1133">
        <v>0.78023394168660398</v>
      </c>
      <c r="AL1133">
        <v>72.167917673738103</v>
      </c>
      <c r="AM1133">
        <v>93.773369437967702</v>
      </c>
      <c r="AN1133">
        <v>1.00000001808211</v>
      </c>
    </row>
    <row r="1134" spans="1:40" x14ac:dyDescent="0.25">
      <c r="A1134" t="str">
        <f>"20190304164353199"</f>
        <v>20190304164353199</v>
      </c>
      <c r="B1134" t="str">
        <f>"1551689033190669"</f>
        <v>1551689033190669</v>
      </c>
      <c r="C1134" t="s">
        <v>40</v>
      </c>
      <c r="D1134">
        <v>5.0566409999999999</v>
      </c>
      <c r="E1134">
        <v>0.53530949999999999</v>
      </c>
      <c r="F1134" t="s">
        <v>41</v>
      </c>
      <c r="G1134">
        <v>-248.15989999999999</v>
      </c>
      <c r="H1134">
        <v>1.031938</v>
      </c>
      <c r="I1134">
        <v>368.00819999999999</v>
      </c>
      <c r="J1134">
        <v>-248.79689999999999</v>
      </c>
      <c r="K1134">
        <v>1.1103529999999999</v>
      </c>
      <c r="L1134">
        <v>368.01029999999997</v>
      </c>
      <c r="M1134">
        <v>0.99988109999999997</v>
      </c>
      <c r="N1134">
        <v>-1.4560480000000001E-2</v>
      </c>
      <c r="O1134">
        <v>-5.0958260000000003E-3</v>
      </c>
      <c r="P1134">
        <v>0.95452269999999995</v>
      </c>
      <c r="Q1134">
        <v>0.29239670000000001</v>
      </c>
      <c r="R1134">
        <v>5.823043E-2</v>
      </c>
      <c r="S1134">
        <v>3.241409</v>
      </c>
      <c r="T1134">
        <v>-0.31968259999999998</v>
      </c>
      <c r="U1134">
        <v>-1.107788E-2</v>
      </c>
      <c r="V1134">
        <v>-6.2905160000000002E-2</v>
      </c>
      <c r="W1134">
        <v>0.30629879999999998</v>
      </c>
      <c r="X1134">
        <v>0.94985469999999905</v>
      </c>
      <c r="Y1134">
        <v>-1.6516250000000001E-3</v>
      </c>
      <c r="Z1134">
        <v>5.206109E-4</v>
      </c>
      <c r="AA1134">
        <v>0.99999850000000001</v>
      </c>
      <c r="AB1134">
        <v>34</v>
      </c>
      <c r="AC1134">
        <v>0.63700000000000001</v>
      </c>
      <c r="AD1134">
        <v>-7.8415000000000096E-2</v>
      </c>
      <c r="AE1134">
        <v>-2.0999999999844398E-3</v>
      </c>
      <c r="AF1134">
        <v>-1.1292993669295801E-3</v>
      </c>
      <c r="AG1134">
        <v>-7.8415000000000096E-2</v>
      </c>
      <c r="AH1134">
        <v>0.62749366622207003</v>
      </c>
      <c r="AI1134">
        <v>97.123053258617603</v>
      </c>
      <c r="AJ1134">
        <v>90.1031150131993</v>
      </c>
      <c r="AK1134">
        <v>0.63237527520521797</v>
      </c>
      <c r="AL1134">
        <v>72.163679783356699</v>
      </c>
      <c r="AM1134">
        <v>93.788942441830599</v>
      </c>
      <c r="AN1134">
        <v>0.99999998257407696</v>
      </c>
    </row>
    <row r="1135" spans="1:40" x14ac:dyDescent="0.25">
      <c r="A1135" t="str">
        <f>"20190304164353217"</f>
        <v>20190304164353217</v>
      </c>
      <c r="B1135" t="str">
        <f>"1551689033211165"</f>
        <v>1551689033211165</v>
      </c>
      <c r="C1135" t="s">
        <v>40</v>
      </c>
      <c r="D1135">
        <v>5.0699050000000003</v>
      </c>
      <c r="E1135">
        <v>0.53528379999999998</v>
      </c>
      <c r="F1135" t="s">
        <v>41</v>
      </c>
      <c r="G1135">
        <v>-247.86279999999999</v>
      </c>
      <c r="H1135">
        <v>1.018672</v>
      </c>
      <c r="I1135">
        <v>368.00749999999999</v>
      </c>
      <c r="J1135">
        <v>-248.52340000000001</v>
      </c>
      <c r="K1135">
        <v>1.1103369999999999</v>
      </c>
      <c r="L1135">
        <v>368.0086</v>
      </c>
      <c r="M1135">
        <v>0.99987959999999998</v>
      </c>
      <c r="N1135">
        <v>-1.456177E-2</v>
      </c>
      <c r="O1135">
        <v>-5.358074E-3</v>
      </c>
      <c r="P1135">
        <v>0.95449620000000002</v>
      </c>
      <c r="Q1135">
        <v>0.29260000000000003</v>
      </c>
      <c r="R1135">
        <v>5.7639299999999997E-2</v>
      </c>
      <c r="S1135">
        <v>3.2409210000000002</v>
      </c>
      <c r="T1135">
        <v>-0.31795489999999998</v>
      </c>
      <c r="U1135">
        <v>-9.7351069999999998E-3</v>
      </c>
      <c r="V1135">
        <v>-6.2545229999999993E-2</v>
      </c>
      <c r="W1135">
        <v>0.30650579999999999</v>
      </c>
      <c r="X1135">
        <v>0.94981170000000004</v>
      </c>
      <c r="Y1135">
        <v>-2.3233960000000001E-3</v>
      </c>
      <c r="Z1135">
        <v>5.7719049999999995E-4</v>
      </c>
      <c r="AA1135">
        <v>0.99999709999999997</v>
      </c>
      <c r="AB1135">
        <v>34</v>
      </c>
      <c r="AC1135">
        <v>0.66060000000001595</v>
      </c>
      <c r="AD1135">
        <v>-9.1665000000000094E-2</v>
      </c>
      <c r="AE1135">
        <v>-1.1000000000080899E-3</v>
      </c>
      <c r="AF1135">
        <v>-2.3938429865520499E-3</v>
      </c>
      <c r="AG1135">
        <v>-9.1665000000000094E-2</v>
      </c>
      <c r="AH1135">
        <v>0.64811733527405702</v>
      </c>
      <c r="AI1135">
        <v>98.050051320798303</v>
      </c>
      <c r="AJ1135">
        <v>90.211622909585998</v>
      </c>
      <c r="AK1135">
        <v>0.65457183180456902</v>
      </c>
      <c r="AL1135">
        <v>72.151220387423706</v>
      </c>
      <c r="AM1135">
        <v>93.7674955898202</v>
      </c>
      <c r="AN1135">
        <v>0.99999998834314097</v>
      </c>
    </row>
    <row r="1136" spans="1:40" x14ac:dyDescent="0.25">
      <c r="A1136" t="str">
        <f>"20190304164353229"</f>
        <v>20190304164353229</v>
      </c>
      <c r="B1136" t="str">
        <f>"1551689033221432"</f>
        <v>1551689033221432</v>
      </c>
      <c r="C1136" t="s">
        <v>40</v>
      </c>
      <c r="D1136">
        <v>5.0483219999999998</v>
      </c>
      <c r="E1136">
        <v>0.53526649999999998</v>
      </c>
      <c r="F1136" t="s">
        <v>41</v>
      </c>
      <c r="G1136">
        <v>-247.5599</v>
      </c>
      <c r="H1136">
        <v>1.0160530000000001</v>
      </c>
      <c r="I1136">
        <v>368.00540000000001</v>
      </c>
      <c r="J1136">
        <v>-248.34899999999999</v>
      </c>
      <c r="K1136">
        <v>1.110325</v>
      </c>
      <c r="L1136">
        <v>368.00749999999999</v>
      </c>
      <c r="M1136">
        <v>0.99987870000000001</v>
      </c>
      <c r="N1136">
        <v>-1.456242E-2</v>
      </c>
      <c r="O1136">
        <v>-5.5386089999999999E-3</v>
      </c>
      <c r="P1136">
        <v>0.95449459999999997</v>
      </c>
      <c r="Q1136">
        <v>0.29268319999999998</v>
      </c>
      <c r="R1136">
        <v>5.7244690000000001E-2</v>
      </c>
      <c r="S1136">
        <v>3.240875</v>
      </c>
      <c r="T1136">
        <v>-0.31723079999999998</v>
      </c>
      <c r="U1136">
        <v>-1.0406489999999999E-2</v>
      </c>
      <c r="V1136">
        <v>-6.2311060000000001E-2</v>
      </c>
      <c r="W1136">
        <v>0.30659199999999998</v>
      </c>
      <c r="X1136">
        <v>0.94979930000000001</v>
      </c>
      <c r="Y1136">
        <v>-2.2964249999999999E-3</v>
      </c>
      <c r="Z1136">
        <v>5.8924059999999998E-4</v>
      </c>
      <c r="AA1136">
        <v>0.99999720000000003</v>
      </c>
      <c r="AB1136">
        <v>34</v>
      </c>
      <c r="AC1136">
        <v>0.78910000000001901</v>
      </c>
      <c r="AD1136">
        <v>-9.4271999999999898E-2</v>
      </c>
      <c r="AE1136">
        <v>-2.0999999999844398E-3</v>
      </c>
      <c r="AF1136">
        <v>-2.2390549473827398E-3</v>
      </c>
      <c r="AG1136">
        <v>-9.4271999999999898E-2</v>
      </c>
      <c r="AH1136">
        <v>0.77799562906771602</v>
      </c>
      <c r="AI1136">
        <v>96.908985076758697</v>
      </c>
      <c r="AJ1136">
        <v>90.164895585010299</v>
      </c>
      <c r="AK1136">
        <v>0.783689621087027</v>
      </c>
      <c r="AL1136">
        <v>72.146032199516597</v>
      </c>
      <c r="AM1136">
        <v>93.753479306034293</v>
      </c>
      <c r="AN1136">
        <v>1.0000000164714</v>
      </c>
    </row>
    <row r="1137" spans="1:40" x14ac:dyDescent="0.25">
      <c r="A1137" t="str">
        <f>"20190304164353241"</f>
        <v>20190304164353241</v>
      </c>
      <c r="B1137" t="str">
        <f>"1551689033231192"</f>
        <v>1551689033231192</v>
      </c>
      <c r="C1137" t="s">
        <v>40</v>
      </c>
      <c r="D1137">
        <v>5.0468060000000001</v>
      </c>
      <c r="E1137">
        <v>0.53530800000000001</v>
      </c>
      <c r="F1137" t="s">
        <v>41</v>
      </c>
      <c r="G1137">
        <v>-247.55090000000001</v>
      </c>
      <c r="H1137">
        <v>1.032267</v>
      </c>
      <c r="I1137">
        <v>368.00450000000001</v>
      </c>
      <c r="J1137">
        <v>-248.16589999999999</v>
      </c>
      <c r="K1137">
        <v>1.110311</v>
      </c>
      <c r="L1137">
        <v>368.00630000000001</v>
      </c>
      <c r="M1137">
        <v>0.99987760000000003</v>
      </c>
      <c r="N1137">
        <v>-1.456289E-2</v>
      </c>
      <c r="O1137">
        <v>-5.7372569999999999E-3</v>
      </c>
      <c r="P1137">
        <v>0.95453960000000004</v>
      </c>
      <c r="Q1137">
        <v>0.2926395</v>
      </c>
      <c r="R1137">
        <v>5.671586E-2</v>
      </c>
      <c r="S1137">
        <v>3.240936</v>
      </c>
      <c r="T1137">
        <v>-0.317048</v>
      </c>
      <c r="U1137">
        <v>-1.1444090000000001E-2</v>
      </c>
      <c r="V1137">
        <v>-6.1960469999999997E-2</v>
      </c>
      <c r="W1137">
        <v>0.30655120000000002</v>
      </c>
      <c r="X1137">
        <v>0.9498354</v>
      </c>
      <c r="Y1137">
        <v>-2.1750290000000002E-3</v>
      </c>
      <c r="Z1137">
        <v>5.9853990000000002E-4</v>
      </c>
      <c r="AA1137">
        <v>0.99999740000000004</v>
      </c>
      <c r="AB1137">
        <v>34</v>
      </c>
      <c r="AC1137">
        <v>0.61499999999998001</v>
      </c>
      <c r="AD1137">
        <v>-7.8044000000000002E-2</v>
      </c>
      <c r="AE1137">
        <v>-1.8000000000029099E-3</v>
      </c>
      <c r="AF1137">
        <v>-1.7014174465555399E-3</v>
      </c>
      <c r="AG1137">
        <v>-7.8044000000000002E-2</v>
      </c>
      <c r="AH1137">
        <v>0.60525339815229995</v>
      </c>
      <c r="AI1137">
        <v>97.347395756281998</v>
      </c>
      <c r="AJ1137">
        <v>90.161062758833395</v>
      </c>
      <c r="AK1137">
        <v>0.61026669312050297</v>
      </c>
      <c r="AL1137">
        <v>72.148488054202105</v>
      </c>
      <c r="AM1137">
        <v>93.732278954631397</v>
      </c>
      <c r="AN1137">
        <v>1.0000000125786099</v>
      </c>
    </row>
    <row r="1138" spans="1:40" x14ac:dyDescent="0.25">
      <c r="A1138" t="str">
        <f>"20190304164353263"</f>
        <v>20190304164353263</v>
      </c>
      <c r="B1138" t="str">
        <f>"1551689033250711"</f>
        <v>1551689033250711</v>
      </c>
      <c r="C1138" t="s">
        <v>40</v>
      </c>
      <c r="D1138">
        <v>5.0890959999999996</v>
      </c>
      <c r="E1138">
        <v>0.53532329999999995</v>
      </c>
      <c r="F1138" t="s">
        <v>41</v>
      </c>
      <c r="G1138">
        <v>-247.25380000000001</v>
      </c>
      <c r="H1138">
        <v>1.0208459999999999</v>
      </c>
      <c r="I1138">
        <v>368.00240000000002</v>
      </c>
      <c r="J1138">
        <v>-247.83369999999999</v>
      </c>
      <c r="K1138">
        <v>1.1102879999999999</v>
      </c>
      <c r="L1138">
        <v>368.00400000000002</v>
      </c>
      <c r="M1138">
        <v>0.99987530000000002</v>
      </c>
      <c r="N1138">
        <v>-1.456327E-2</v>
      </c>
      <c r="O1138">
        <v>-6.1173959999999998E-3</v>
      </c>
      <c r="P1138">
        <v>0.9545382</v>
      </c>
      <c r="Q1138">
        <v>0.29277799999999998</v>
      </c>
      <c r="R1138">
        <v>5.6016990000000003E-2</v>
      </c>
      <c r="S1138">
        <v>3.2411799999999999</v>
      </c>
      <c r="T1138">
        <v>-0.31802380000000002</v>
      </c>
      <c r="U1138">
        <v>-1.358032E-2</v>
      </c>
      <c r="V1138">
        <v>-6.1605119999999999E-2</v>
      </c>
      <c r="W1138">
        <v>0.30669370000000001</v>
      </c>
      <c r="X1138">
        <v>0.94981249999999995</v>
      </c>
      <c r="Y1138">
        <v>-1.8964089999999999E-3</v>
      </c>
      <c r="Z1138">
        <v>6.1654169999999999E-4</v>
      </c>
      <c r="AA1138">
        <v>0.99999800000000005</v>
      </c>
      <c r="AB1138">
        <v>34</v>
      </c>
      <c r="AC1138">
        <v>0.57989999999997999</v>
      </c>
      <c r="AD1138">
        <v>-8.9441999999999994E-2</v>
      </c>
      <c r="AE1138">
        <v>-1.59999999999627E-3</v>
      </c>
      <c r="AF1138">
        <v>-1.90262270056027E-3</v>
      </c>
      <c r="AG1138">
        <v>-8.9441999999999994E-2</v>
      </c>
      <c r="AH1138">
        <v>0.56642435088657395</v>
      </c>
      <c r="AI1138">
        <v>98.973225837774805</v>
      </c>
      <c r="AJ1138">
        <v>90.192456133970694</v>
      </c>
      <c r="AK1138">
        <v>0.57344575734276504</v>
      </c>
      <c r="AL1138">
        <v>72.139910004437596</v>
      </c>
      <c r="AM1138">
        <v>93.711023134405195</v>
      </c>
      <c r="AN1138">
        <v>1.0000000007930701</v>
      </c>
    </row>
    <row r="1139" spans="1:40" x14ac:dyDescent="0.25">
      <c r="A1139" t="str">
        <f>"20190304164353279"</f>
        <v>20190304164353279</v>
      </c>
      <c r="B1139" t="str">
        <f>"1551689033271207"</f>
        <v>1551689033271207</v>
      </c>
      <c r="C1139" t="s">
        <v>40</v>
      </c>
      <c r="D1139">
        <v>5.0640749999999999</v>
      </c>
      <c r="E1139">
        <v>0.53535889999999997</v>
      </c>
      <c r="F1139" t="s">
        <v>41</v>
      </c>
      <c r="G1139">
        <v>-246.94909999999999</v>
      </c>
      <c r="H1139">
        <v>1.0234810000000001</v>
      </c>
      <c r="I1139">
        <v>367.99950000000001</v>
      </c>
      <c r="J1139">
        <v>-247.60759999999999</v>
      </c>
      <c r="K1139">
        <v>1.1102730000000001</v>
      </c>
      <c r="L1139">
        <v>368.00229999999999</v>
      </c>
      <c r="M1139">
        <v>0.99987360000000003</v>
      </c>
      <c r="N1139">
        <v>-1.456321E-2</v>
      </c>
      <c r="O1139">
        <v>-6.3879039999999998E-3</v>
      </c>
      <c r="P1139">
        <v>0.954623</v>
      </c>
      <c r="Q1139">
        <v>0.2927458</v>
      </c>
      <c r="R1139">
        <v>5.4723710000000002E-2</v>
      </c>
      <c r="S1139">
        <v>3.2414700000000001</v>
      </c>
      <c r="T1139">
        <v>-0.31843500000000002</v>
      </c>
      <c r="U1139">
        <v>-1.544189E-2</v>
      </c>
      <c r="V1139">
        <v>-6.0559490000000001E-2</v>
      </c>
      <c r="W1139">
        <v>0.30666369999999998</v>
      </c>
      <c r="X1139">
        <v>0.94988939999999999</v>
      </c>
      <c r="Y1139">
        <v>-1.5936850000000001E-3</v>
      </c>
      <c r="Z1139">
        <v>6.2290350000000002E-4</v>
      </c>
      <c r="AA1139">
        <v>0.99999850000000001</v>
      </c>
      <c r="AB1139">
        <v>34</v>
      </c>
      <c r="AC1139">
        <v>0.65850000000000297</v>
      </c>
      <c r="AD1139">
        <v>-8.6792000000000202E-2</v>
      </c>
      <c r="AE1139">
        <v>-2.7999999999792601E-3</v>
      </c>
      <c r="AF1139">
        <v>-1.38291438786822E-3</v>
      </c>
      <c r="AG1139">
        <v>-8.6792000000000202E-2</v>
      </c>
      <c r="AH1139">
        <v>0.64726049530224805</v>
      </c>
      <c r="AI1139">
        <v>97.6372915073662</v>
      </c>
      <c r="AJ1139">
        <v>90.1224159945818</v>
      </c>
      <c r="AK1139">
        <v>0.65305506084488396</v>
      </c>
      <c r="AL1139">
        <v>72.141715412501298</v>
      </c>
      <c r="AM1139">
        <v>93.647912580012402</v>
      </c>
      <c r="AN1139">
        <v>0.99999997447955402</v>
      </c>
    </row>
    <row r="1140" spans="1:40" x14ac:dyDescent="0.25">
      <c r="A1140" t="str">
        <f>"20190304164353290"</f>
        <v>20190304164353290</v>
      </c>
      <c r="B1140" t="str">
        <f>"1551689033280968"</f>
        <v>1551689033280968</v>
      </c>
      <c r="C1140" t="s">
        <v>40</v>
      </c>
      <c r="D1140">
        <v>5.074872</v>
      </c>
      <c r="E1140">
        <v>0.53537199999999996</v>
      </c>
      <c r="F1140" t="s">
        <v>41</v>
      </c>
      <c r="G1140">
        <v>-246.6497</v>
      </c>
      <c r="H1140">
        <v>1.0159959999999999</v>
      </c>
      <c r="I1140">
        <v>367.99630000000002</v>
      </c>
      <c r="J1140">
        <v>-247.41409999999999</v>
      </c>
      <c r="K1140">
        <v>1.110263</v>
      </c>
      <c r="L1140">
        <v>368.0009</v>
      </c>
      <c r="M1140">
        <v>0.99987210000000004</v>
      </c>
      <c r="N1140">
        <v>-1.456298E-2</v>
      </c>
      <c r="O1140">
        <v>-6.6261499999999999E-3</v>
      </c>
      <c r="P1140">
        <v>0.95476079999999997</v>
      </c>
      <c r="Q1140">
        <v>0.29244039999999999</v>
      </c>
      <c r="R1140">
        <v>5.3950100000000001E-2</v>
      </c>
      <c r="S1140">
        <v>3.2416230000000001</v>
      </c>
      <c r="T1140">
        <v>-0.31920749999999998</v>
      </c>
      <c r="U1140">
        <v>-1.9622799999999999E-2</v>
      </c>
      <c r="V1140">
        <v>-6.0006690000000001E-2</v>
      </c>
      <c r="W1140">
        <v>0.30636099999999999</v>
      </c>
      <c r="X1140">
        <v>0.95002220000000004</v>
      </c>
      <c r="Y1140">
        <v>-5.4727940000000004E-4</v>
      </c>
      <c r="Z1140">
        <v>5.8547359999999997E-4</v>
      </c>
      <c r="AA1140">
        <v>0.99999970000000005</v>
      </c>
      <c r="AB1140">
        <v>34</v>
      </c>
      <c r="AC1140">
        <v>0.76439999999999397</v>
      </c>
      <c r="AD1140">
        <v>-9.4267000000000101E-2</v>
      </c>
      <c r="AE1140">
        <v>-4.5999999999821696E-3</v>
      </c>
      <c r="AF1140">
        <v>-4.5869111798488602E-4</v>
      </c>
      <c r="AG1140">
        <v>-9.4267000000000101E-2</v>
      </c>
      <c r="AH1140">
        <v>0.75296289801046801</v>
      </c>
      <c r="AI1140">
        <v>97.136001328044401</v>
      </c>
      <c r="AJ1140">
        <v>90.034903528419605</v>
      </c>
      <c r="AK1140">
        <v>0.75884096058849204</v>
      </c>
      <c r="AL1140">
        <v>72.159936747515403</v>
      </c>
      <c r="AM1140">
        <v>93.614198397430997</v>
      </c>
      <c r="AN1140">
        <v>1.00000002282929</v>
      </c>
    </row>
    <row r="1141" spans="1:40" x14ac:dyDescent="0.25">
      <c r="A1141" t="str">
        <f>"20190304164353305"</f>
        <v>20190304164353305</v>
      </c>
      <c r="B1141" t="str">
        <f>"1551689033301463"</f>
        <v>1551689033301463</v>
      </c>
      <c r="C1141" t="s">
        <v>40</v>
      </c>
      <c r="D1141">
        <v>5.0730760000000004</v>
      </c>
      <c r="E1141">
        <v>0.53539590000000004</v>
      </c>
      <c r="F1141" t="s">
        <v>41</v>
      </c>
      <c r="G1141">
        <v>-246.6397</v>
      </c>
      <c r="H1141">
        <v>1.033733</v>
      </c>
      <c r="I1141">
        <v>367.99549999999999</v>
      </c>
      <c r="J1141">
        <v>-247.2046</v>
      </c>
      <c r="K1141">
        <v>1.11025</v>
      </c>
      <c r="L1141">
        <v>367.99919999999997</v>
      </c>
      <c r="M1141">
        <v>0.99987020000000004</v>
      </c>
      <c r="N1141">
        <v>-1.4562540000000001E-2</v>
      </c>
      <c r="O1141">
        <v>-6.8890419999999997E-3</v>
      </c>
      <c r="P1141">
        <v>0.95480799999999999</v>
      </c>
      <c r="Q1141">
        <v>0.29234719999999997</v>
      </c>
      <c r="R1141">
        <v>5.3618890000000002E-2</v>
      </c>
      <c r="S1141">
        <v>3.2415769999999999</v>
      </c>
      <c r="T1141">
        <v>-0.32058609999999998</v>
      </c>
      <c r="U1141">
        <v>-2.215576E-2</v>
      </c>
      <c r="V1141">
        <v>-5.9920210000000002E-2</v>
      </c>
      <c r="W1141">
        <v>0.30626930000000002</v>
      </c>
      <c r="X1141">
        <v>0.95005720000000005</v>
      </c>
      <c r="Y1141" s="1">
        <v>-3.045589E-5</v>
      </c>
      <c r="Z1141">
        <v>5.812457E-4</v>
      </c>
      <c r="AA1141">
        <v>0.99999979999999999</v>
      </c>
      <c r="AB1141">
        <v>34</v>
      </c>
      <c r="AC1141">
        <v>0.56489999999999396</v>
      </c>
      <c r="AD1141">
        <v>-7.6516999999999905E-2</v>
      </c>
      <c r="AE1141">
        <v>-3.69999999998071E-3</v>
      </c>
      <c r="AF1141">
        <v>-1.8865922034110499E-4</v>
      </c>
      <c r="AG1141">
        <v>-7.6516999999999905E-2</v>
      </c>
      <c r="AH1141">
        <v>0.55473462536243201</v>
      </c>
      <c r="AI1141">
        <v>97.853503329046106</v>
      </c>
      <c r="AJ1141">
        <v>90.019485671491907</v>
      </c>
      <c r="AK1141">
        <v>0.55998695650639796</v>
      </c>
      <c r="AL1141">
        <v>72.165455653581503</v>
      </c>
      <c r="AM1141">
        <v>93.608870885998996</v>
      </c>
      <c r="AN1141">
        <v>0.99999999948038698</v>
      </c>
    </row>
    <row r="1142" spans="1:40" x14ac:dyDescent="0.25">
      <c r="A1142" t="str">
        <f>"20190304164353319"</f>
        <v>20190304164353319</v>
      </c>
      <c r="B1142" t="str">
        <f>"1551689033311223"</f>
        <v>1551689033311223</v>
      </c>
      <c r="C1142" t="s">
        <v>40</v>
      </c>
      <c r="D1142">
        <v>5.0965850000000001</v>
      </c>
      <c r="E1142">
        <v>0.53538809999999903</v>
      </c>
      <c r="F1142" t="s">
        <v>41</v>
      </c>
      <c r="G1142">
        <v>-246.34270000000001</v>
      </c>
      <c r="H1142">
        <v>1.0249220000000001</v>
      </c>
      <c r="I1142">
        <v>367.99299999999999</v>
      </c>
      <c r="J1142">
        <v>-246.9889</v>
      </c>
      <c r="K1142">
        <v>1.110233</v>
      </c>
      <c r="L1142">
        <v>367.9975</v>
      </c>
      <c r="M1142">
        <v>0.99986839999999999</v>
      </c>
      <c r="N1142">
        <v>-1.4561950000000001E-2</v>
      </c>
      <c r="O1142">
        <v>-7.162875E-3</v>
      </c>
      <c r="P1142">
        <v>0.95519419999999999</v>
      </c>
      <c r="Q1142">
        <v>0.29129699999999997</v>
      </c>
      <c r="R1142">
        <v>5.2443080000000003E-2</v>
      </c>
      <c r="S1142">
        <v>3.2416079999999998</v>
      </c>
      <c r="T1142">
        <v>-0.32104329999999998</v>
      </c>
      <c r="U1142">
        <v>-2.2949219999999999E-2</v>
      </c>
      <c r="V1142">
        <v>-5.9003680000000003E-2</v>
      </c>
      <c r="W1142">
        <v>0.3052242</v>
      </c>
      <c r="X1142">
        <v>0.95045080000000004</v>
      </c>
      <c r="Y1142" s="1">
        <v>-5.8414559999999999E-5</v>
      </c>
      <c r="Z1142">
        <v>6.0686810000000002E-4</v>
      </c>
      <c r="AA1142">
        <v>0.99999979999999999</v>
      </c>
      <c r="AB1142">
        <v>34</v>
      </c>
      <c r="AC1142">
        <v>0.646199999999993</v>
      </c>
      <c r="AD1142">
        <v>-8.5311000000000095E-2</v>
      </c>
      <c r="AE1142">
        <v>-4.4999999999504299E-3</v>
      </c>
      <c r="AF1142">
        <v>-1.2704159939368499E-4</v>
      </c>
      <c r="AG1142">
        <v>-8.5311000000000095E-2</v>
      </c>
      <c r="AH1142">
        <v>0.63514613619861704</v>
      </c>
      <c r="AI1142">
        <v>97.650018332278606</v>
      </c>
      <c r="AJ1142">
        <v>90.011460271827104</v>
      </c>
      <c r="AK1142">
        <v>0.64084990223031202</v>
      </c>
      <c r="AL1142">
        <v>72.228346902413406</v>
      </c>
      <c r="AM1142">
        <v>93.552344801807095</v>
      </c>
      <c r="AN1142">
        <v>0.99999998486991104</v>
      </c>
    </row>
    <row r="1143" spans="1:40" x14ac:dyDescent="0.25">
      <c r="A1143" t="str">
        <f>"20190304164353330"</f>
        <v>20190304164353330</v>
      </c>
      <c r="B1143" t="str">
        <f>"1551689033321491"</f>
        <v>1551689033321491</v>
      </c>
      <c r="C1143" t="s">
        <v>40</v>
      </c>
      <c r="D1143">
        <v>5.0998359999999998</v>
      </c>
      <c r="E1143">
        <v>0.53536479999999997</v>
      </c>
      <c r="F1143" t="s">
        <v>41</v>
      </c>
      <c r="G1143">
        <v>-246.04490000000001</v>
      </c>
      <c r="H1143">
        <v>1.01559</v>
      </c>
      <c r="I1143">
        <v>367.9896</v>
      </c>
      <c r="J1143">
        <v>-246.81129999999999</v>
      </c>
      <c r="K1143">
        <v>1.1102240000000001</v>
      </c>
      <c r="L1143">
        <v>367.99599999999998</v>
      </c>
      <c r="M1143">
        <v>0.99986660000000005</v>
      </c>
      <c r="N1143">
        <v>-1.4561360000000001E-2</v>
      </c>
      <c r="O1143">
        <v>-7.3901679999999999E-3</v>
      </c>
      <c r="P1143">
        <v>0.95537700000000003</v>
      </c>
      <c r="Q1143">
        <v>0.29075109999999998</v>
      </c>
      <c r="R1143">
        <v>5.2139129999999999E-2</v>
      </c>
      <c r="S1143">
        <v>3.2413020000000001</v>
      </c>
      <c r="T1143">
        <v>-0.32503559999999998</v>
      </c>
      <c r="U1143">
        <v>-2.709961E-2</v>
      </c>
      <c r="V1143">
        <v>-5.8914719999999997E-2</v>
      </c>
      <c r="W1143">
        <v>0.30468099999999998</v>
      </c>
      <c r="X1143">
        <v>0.95063059999999999</v>
      </c>
      <c r="Y1143">
        <v>9.9088429999999992E-4</v>
      </c>
      <c r="Z1143">
        <v>5.750245E-4</v>
      </c>
      <c r="AA1143">
        <v>0.99999930000000004</v>
      </c>
      <c r="AB1143">
        <v>34</v>
      </c>
      <c r="AC1143">
        <v>0.76639999999997599</v>
      </c>
      <c r="AD1143">
        <v>-9.4633999999999802E-2</v>
      </c>
      <c r="AE1143">
        <v>-6.39999999998508E-3</v>
      </c>
      <c r="AF1143">
        <v>7.2435604182428601E-4</v>
      </c>
      <c r="AG1143">
        <v>-9.4633999999999802E-2</v>
      </c>
      <c r="AH1143">
        <v>0.75491697893098797</v>
      </c>
      <c r="AI1143">
        <v>97.145142571099399</v>
      </c>
      <c r="AJ1143">
        <v>89.945023714550203</v>
      </c>
      <c r="AK1143">
        <v>0.76082571179342096</v>
      </c>
      <c r="AL1143">
        <v>72.261026804037598</v>
      </c>
      <c r="AM1143">
        <v>93.546333447012501</v>
      </c>
      <c r="AN1143">
        <v>0.99999999682501906</v>
      </c>
    </row>
    <row r="1144" spans="1:40" x14ac:dyDescent="0.25">
      <c r="A1144" t="str">
        <f>"20190304164353342"</f>
        <v>20190304164353342</v>
      </c>
      <c r="B1144" t="str">
        <f>"1551689033331251"</f>
        <v>1551689033331251</v>
      </c>
      <c r="C1144" t="s">
        <v>40</v>
      </c>
      <c r="D1144">
        <v>5.078519</v>
      </c>
      <c r="E1144">
        <v>0.535331</v>
      </c>
      <c r="F1144" t="s">
        <v>41</v>
      </c>
      <c r="G1144">
        <v>-246.03620000000001</v>
      </c>
      <c r="H1144">
        <v>1.032017</v>
      </c>
      <c r="I1144">
        <v>367.98919999999998</v>
      </c>
      <c r="J1144">
        <v>-246.63380000000001</v>
      </c>
      <c r="K1144">
        <v>1.1102190000000001</v>
      </c>
      <c r="L1144">
        <v>367.99450000000002</v>
      </c>
      <c r="M1144">
        <v>0.99986520000000001</v>
      </c>
      <c r="N1144">
        <v>-1.456066E-2</v>
      </c>
      <c r="O1144">
        <v>-7.618868E-3</v>
      </c>
      <c r="P1144">
        <v>0.95547720000000003</v>
      </c>
      <c r="Q1144">
        <v>0.29047919999999999</v>
      </c>
      <c r="R1144">
        <v>5.1822800000000002E-2</v>
      </c>
      <c r="S1144">
        <v>3.241196</v>
      </c>
      <c r="T1144">
        <v>-0.32712609999999998</v>
      </c>
      <c r="U1144">
        <v>-2.810669E-2</v>
      </c>
      <c r="V1144">
        <v>-5.8814449999999997E-2</v>
      </c>
      <c r="W1144">
        <v>0.30441040000000003</v>
      </c>
      <c r="X1144">
        <v>0.95072350000000005</v>
      </c>
      <c r="Y1144">
        <v>1.0738309999999999E-3</v>
      </c>
      <c r="Z1144">
        <v>5.9438649999999998E-4</v>
      </c>
      <c r="AA1144">
        <v>0.99999919999999998</v>
      </c>
      <c r="AB1144">
        <v>34</v>
      </c>
      <c r="AC1144">
        <v>0.59759999999999902</v>
      </c>
      <c r="AD1144">
        <v>-7.8202000000000105E-2</v>
      </c>
      <c r="AE1144">
        <v>-5.3000000000338297E-3</v>
      </c>
      <c r="AF1144">
        <v>7.3376471613983399E-4</v>
      </c>
      <c r="AG1144">
        <v>-7.8202000000000105E-2</v>
      </c>
      <c r="AH1144">
        <v>0.58756219615336902</v>
      </c>
      <c r="AI1144">
        <v>97.581259374077007</v>
      </c>
      <c r="AJ1144">
        <v>89.928447405551196</v>
      </c>
      <c r="AK1144">
        <v>0.59274397977814097</v>
      </c>
      <c r="AL1144">
        <v>72.277304358529406</v>
      </c>
      <c r="AM1144">
        <v>93.539968061311995</v>
      </c>
      <c r="AN1144">
        <v>1.0000000023046001</v>
      </c>
    </row>
    <row r="1145" spans="1:40" x14ac:dyDescent="0.25">
      <c r="A1145" t="str">
        <f>"20190304164353355"</f>
        <v>20190304164353355</v>
      </c>
      <c r="B1145" t="str">
        <f>"1551689033341010"</f>
        <v>1551689033341010</v>
      </c>
      <c r="C1145" t="s">
        <v>40</v>
      </c>
      <c r="D1145">
        <v>5.0840959999999997</v>
      </c>
      <c r="E1145">
        <v>0.53527899999999995</v>
      </c>
      <c r="F1145" t="s">
        <v>41</v>
      </c>
      <c r="G1145">
        <v>-245.74080000000001</v>
      </c>
      <c r="H1145">
        <v>1.0198609999999999</v>
      </c>
      <c r="I1145">
        <v>367.98630000000003</v>
      </c>
      <c r="J1145">
        <v>-246.43979999999999</v>
      </c>
      <c r="K1145">
        <v>1.1102179999999999</v>
      </c>
      <c r="L1145">
        <v>367.99279999999999</v>
      </c>
      <c r="M1145">
        <v>0.9998631</v>
      </c>
      <c r="N1145">
        <v>-1.4559839999999999E-2</v>
      </c>
      <c r="O1145">
        <v>-7.8690180000000002E-3</v>
      </c>
      <c r="P1145">
        <v>0.95543900000000004</v>
      </c>
      <c r="Q1145">
        <v>0.29062009999999899</v>
      </c>
      <c r="R1145">
        <v>5.1731109999999997E-2</v>
      </c>
      <c r="S1145">
        <v>3.2411189999999999</v>
      </c>
      <c r="T1145">
        <v>-0.32802219999999999</v>
      </c>
      <c r="U1145">
        <v>-2.9541020000000001E-2</v>
      </c>
      <c r="V1145">
        <v>-5.895856E-2</v>
      </c>
      <c r="W1145">
        <v>0.30455019999999999</v>
      </c>
      <c r="X1145">
        <v>0.95066980000000001</v>
      </c>
      <c r="Y1145">
        <v>1.266316E-3</v>
      </c>
      <c r="Z1145">
        <v>6.068483E-4</v>
      </c>
      <c r="AA1145">
        <v>0.99999899999999997</v>
      </c>
      <c r="AB1145">
        <v>34</v>
      </c>
      <c r="AC1145">
        <v>0.69899999999998297</v>
      </c>
      <c r="AD1145">
        <v>-9.0356999999999799E-2</v>
      </c>
      <c r="AE1145">
        <v>-6.4999999999599796E-3</v>
      </c>
      <c r="AF1145">
        <v>9.8235884832325693E-4</v>
      </c>
      <c r="AG1145">
        <v>-9.0356999999999799E-2</v>
      </c>
      <c r="AH1145">
        <v>0.68754186666469397</v>
      </c>
      <c r="AI1145">
        <v>97.486918179975206</v>
      </c>
      <c r="AJ1145">
        <v>89.918135926837394</v>
      </c>
      <c r="AK1145">
        <v>0.69345451970167404</v>
      </c>
      <c r="AL1145">
        <v>72.268895128030707</v>
      </c>
      <c r="AM1145">
        <v>93.548819660922305</v>
      </c>
      <c r="AN1145">
        <v>1.00000000237467</v>
      </c>
    </row>
    <row r="1146" spans="1:40" x14ac:dyDescent="0.25">
      <c r="A1146" t="str">
        <f>"20190304164353366"</f>
        <v>20190304164353366</v>
      </c>
      <c r="B1146" t="str">
        <f>"1551689033361506"</f>
        <v>1551689033361506</v>
      </c>
      <c r="C1146" t="s">
        <v>40</v>
      </c>
      <c r="D1146">
        <v>5.0973689999999996</v>
      </c>
      <c r="E1146">
        <v>0.53516629999999998</v>
      </c>
      <c r="F1146" t="s">
        <v>41</v>
      </c>
      <c r="G1146">
        <v>-245.44409999999999</v>
      </c>
      <c r="H1146">
        <v>1.0095670000000001</v>
      </c>
      <c r="I1146">
        <v>367.9837</v>
      </c>
      <c r="J1146">
        <v>-246.26499999999999</v>
      </c>
      <c r="K1146">
        <v>1.11022</v>
      </c>
      <c r="L1146">
        <v>367.99119999999999</v>
      </c>
      <c r="M1146">
        <v>0.99986140000000001</v>
      </c>
      <c r="N1146">
        <v>-1.4558959999999999E-2</v>
      </c>
      <c r="O1146">
        <v>-8.0947099999999998E-3</v>
      </c>
      <c r="P1146">
        <v>0.95533199999999996</v>
      </c>
      <c r="Q1146">
        <v>0.29105589999999998</v>
      </c>
      <c r="R1146">
        <v>5.1256200000000002E-2</v>
      </c>
      <c r="S1146">
        <v>3.2412109999999998</v>
      </c>
      <c r="T1146">
        <v>-0.32767829999999998</v>
      </c>
      <c r="U1146">
        <v>-2.944946E-2</v>
      </c>
      <c r="V1146">
        <v>-5.8696610000000003E-2</v>
      </c>
      <c r="W1146">
        <v>0.30498350000000002</v>
      </c>
      <c r="X1146">
        <v>0.95054709999999998</v>
      </c>
      <c r="Y1146">
        <v>1.0143470000000001E-3</v>
      </c>
      <c r="Z1146">
        <v>6.4009500000000003E-4</v>
      </c>
      <c r="AA1146">
        <v>0.99999930000000004</v>
      </c>
      <c r="AB1146">
        <v>34</v>
      </c>
      <c r="AC1146">
        <v>0.82089999999999397</v>
      </c>
      <c r="AD1146">
        <v>-0.10065299999999899</v>
      </c>
      <c r="AE1146">
        <v>-7.4999999999931797E-3</v>
      </c>
      <c r="AF1146">
        <v>8.4145413532074804E-4</v>
      </c>
      <c r="AG1146">
        <v>-0.10065299999999899</v>
      </c>
      <c r="AH1146">
        <v>0.80877574158778398</v>
      </c>
      <c r="AI1146">
        <v>97.094042505669705</v>
      </c>
      <c r="AJ1146">
        <v>89.940389219491607</v>
      </c>
      <c r="AK1146">
        <v>0.81501529717848398</v>
      </c>
      <c r="AL1146">
        <v>72.242828922320697</v>
      </c>
      <c r="AM1146">
        <v>93.5335473652232</v>
      </c>
      <c r="AN1146">
        <v>1.00000000830807</v>
      </c>
    </row>
    <row r="1147" spans="1:40" x14ac:dyDescent="0.25">
      <c r="A1147" t="str">
        <f>"20190304164353378"</f>
        <v>20190304164353378</v>
      </c>
      <c r="B1147" t="str">
        <f>"1551689033371266"</f>
        <v>1551689033371266</v>
      </c>
      <c r="C1147" t="s">
        <v>40</v>
      </c>
      <c r="D1147">
        <v>5.1044260000000001</v>
      </c>
      <c r="E1147">
        <v>0.53511319999999996</v>
      </c>
      <c r="F1147" t="s">
        <v>41</v>
      </c>
      <c r="G1147">
        <v>-245.4358</v>
      </c>
      <c r="H1147">
        <v>1.026659</v>
      </c>
      <c r="I1147">
        <v>367.98349999999999</v>
      </c>
      <c r="J1147">
        <v>-246.09049999999999</v>
      </c>
      <c r="K1147">
        <v>1.110217</v>
      </c>
      <c r="L1147">
        <v>367.9896</v>
      </c>
      <c r="M1147">
        <v>0.99985950000000001</v>
      </c>
      <c r="N1147">
        <v>-1.455804E-2</v>
      </c>
      <c r="O1147">
        <v>-8.3193250000000007E-3</v>
      </c>
      <c r="P1147">
        <v>0.95511389999999996</v>
      </c>
      <c r="Q1147">
        <v>0.29177150000000002</v>
      </c>
      <c r="R1147">
        <v>5.1251900000000003E-2</v>
      </c>
      <c r="S1147">
        <v>3.2413940000000001</v>
      </c>
      <c r="T1147">
        <v>-0.32668330000000001</v>
      </c>
      <c r="U1147">
        <v>-2.9754639999999999E-2</v>
      </c>
      <c r="V1147">
        <v>-5.8902759999999998E-2</v>
      </c>
      <c r="W1147">
        <v>0.30569550000000001</v>
      </c>
      <c r="X1147">
        <v>0.95030559999999997</v>
      </c>
      <c r="Y1147">
        <v>8.8473109999999996E-4</v>
      </c>
      <c r="Z1147">
        <v>6.6452380000000004E-4</v>
      </c>
      <c r="AA1147">
        <v>0.99999939999999998</v>
      </c>
      <c r="AB1147">
        <v>34</v>
      </c>
      <c r="AC1147">
        <v>0.65469999999999096</v>
      </c>
      <c r="AD1147">
        <v>-8.3557999999999993E-2</v>
      </c>
      <c r="AE1147">
        <v>-6.1000000000035401E-3</v>
      </c>
      <c r="AF1147">
        <v>6.4209191678894805E-4</v>
      </c>
      <c r="AG1147">
        <v>-8.3557999999999993E-2</v>
      </c>
      <c r="AH1147">
        <v>0.64423512993453302</v>
      </c>
      <c r="AI1147">
        <v>97.390066323214796</v>
      </c>
      <c r="AJ1147">
        <v>89.942894848479199</v>
      </c>
      <c r="AK1147">
        <v>0.64963162968546595</v>
      </c>
      <c r="AL1147">
        <v>72.199988330027907</v>
      </c>
      <c r="AM1147">
        <v>93.546824847977803</v>
      </c>
      <c r="AN1147">
        <v>1.0000000036236101</v>
      </c>
    </row>
    <row r="1148" spans="1:40" x14ac:dyDescent="0.25">
      <c r="A1148" t="str">
        <f>"20190304164353388"</f>
        <v>20190304164353388</v>
      </c>
      <c r="B1148" t="str">
        <f>"1551689033381026"</f>
        <v>1551689033381026</v>
      </c>
      <c r="C1148" t="s">
        <v>40</v>
      </c>
      <c r="D1148">
        <v>5.1383739999999998</v>
      </c>
      <c r="E1148">
        <v>0.53507499999999997</v>
      </c>
      <c r="F1148" t="s">
        <v>41</v>
      </c>
      <c r="G1148">
        <v>-245.14</v>
      </c>
      <c r="H1148">
        <v>1.0151589999999999</v>
      </c>
      <c r="I1148">
        <v>367.98079999999999</v>
      </c>
      <c r="J1148">
        <v>-245.9281</v>
      </c>
      <c r="K1148">
        <v>1.110223</v>
      </c>
      <c r="L1148">
        <v>367.988</v>
      </c>
      <c r="M1148">
        <v>0.99985769999999996</v>
      </c>
      <c r="N1148">
        <v>-1.455713E-2</v>
      </c>
      <c r="O1148">
        <v>-8.5280770000000002E-3</v>
      </c>
      <c r="P1148">
        <v>0.95500469999999904</v>
      </c>
      <c r="Q1148">
        <v>0.29215869999999999</v>
      </c>
      <c r="R1148">
        <v>5.1083509999999999E-2</v>
      </c>
      <c r="S1148">
        <v>3.2416230000000001</v>
      </c>
      <c r="T1148">
        <v>-0.32440170000000002</v>
      </c>
      <c r="U1148">
        <v>-2.9022220000000001E-2</v>
      </c>
      <c r="V1148">
        <v>-5.8930919999999998E-2</v>
      </c>
      <c r="W1148">
        <v>0.30608000000000002</v>
      </c>
      <c r="X1148">
        <v>0.95018009999999997</v>
      </c>
      <c r="Y1148">
        <v>4.5217610000000002E-4</v>
      </c>
      <c r="Z1148">
        <v>7.0152289999999998E-4</v>
      </c>
      <c r="AA1148">
        <v>0.99999959999999999</v>
      </c>
      <c r="AB1148">
        <v>34</v>
      </c>
      <c r="AC1148">
        <v>0.78810000000001401</v>
      </c>
      <c r="AD1148">
        <v>-9.5063999999999996E-2</v>
      </c>
      <c r="AE1148">
        <v>-7.2000000000684797E-3</v>
      </c>
      <c r="AF1148">
        <v>4.71193204869863E-4</v>
      </c>
      <c r="AG1148">
        <v>-9.5063999999999996E-2</v>
      </c>
      <c r="AH1148">
        <v>0.77683063150945997</v>
      </c>
      <c r="AI1148">
        <v>96.976832868674293</v>
      </c>
      <c r="AJ1148">
        <v>89.965246763492104</v>
      </c>
      <c r="AK1148">
        <v>0.78262584685814096</v>
      </c>
      <c r="AL1148">
        <v>72.176849299272604</v>
      </c>
      <c r="AM1148">
        <v>93.548983659353595</v>
      </c>
      <c r="AN1148">
        <v>1.0000000210840201</v>
      </c>
    </row>
    <row r="1149" spans="1:40" x14ac:dyDescent="0.25">
      <c r="A1149" t="str">
        <f>"20190304164353399"</f>
        <v>20190304164353399</v>
      </c>
      <c r="B1149" t="str">
        <f>"1551689033390787"</f>
        <v>1551689033390787</v>
      </c>
      <c r="C1149" t="s">
        <v>40</v>
      </c>
      <c r="D1149">
        <v>5.1252069999999996</v>
      </c>
      <c r="E1149">
        <v>0.53502519999999998</v>
      </c>
      <c r="F1149" t="s">
        <v>41</v>
      </c>
      <c r="G1149">
        <v>-245.13200000000001</v>
      </c>
      <c r="H1149">
        <v>1.0309219999999999</v>
      </c>
      <c r="I1149">
        <v>367.98070000000001</v>
      </c>
      <c r="J1149">
        <v>-245.7654</v>
      </c>
      <c r="K1149">
        <v>1.110225</v>
      </c>
      <c r="L1149">
        <v>367.98649999999998</v>
      </c>
      <c r="M1149">
        <v>0.99985590000000002</v>
      </c>
      <c r="N1149">
        <v>-1.455615E-2</v>
      </c>
      <c r="O1149">
        <v>-8.7371789999999994E-3</v>
      </c>
      <c r="P1149">
        <v>0.95481159999999998</v>
      </c>
      <c r="Q1149">
        <v>0.29282970000000003</v>
      </c>
      <c r="R1149">
        <v>5.0850430000000002E-2</v>
      </c>
      <c r="S1149">
        <v>3.2417600000000002</v>
      </c>
      <c r="T1149">
        <v>-0.32316699999999998</v>
      </c>
      <c r="U1149">
        <v>-2.893066E-2</v>
      </c>
      <c r="V1149">
        <v>-5.8893620000000001E-2</v>
      </c>
      <c r="W1149">
        <v>0.3067473</v>
      </c>
      <c r="X1149">
        <v>0.94996720000000001</v>
      </c>
      <c r="Y1149">
        <v>2.162621E-4</v>
      </c>
      <c r="Z1149">
        <v>7.2956210000000004E-4</v>
      </c>
      <c r="AA1149">
        <v>0.99999970000000005</v>
      </c>
      <c r="AB1149">
        <v>34</v>
      </c>
      <c r="AC1149">
        <v>0.63339999999999397</v>
      </c>
      <c r="AD1149">
        <v>-7.9303000000000096E-2</v>
      </c>
      <c r="AE1149">
        <v>-5.7999999999651603E-3</v>
      </c>
      <c r="AF1149">
        <v>2.6097256979682999E-4</v>
      </c>
      <c r="AG1149">
        <v>-7.9303000000000096E-2</v>
      </c>
      <c r="AH1149">
        <v>0.62365123523181398</v>
      </c>
      <c r="AI1149">
        <v>97.246793654817793</v>
      </c>
      <c r="AJ1149">
        <v>89.976024057837805</v>
      </c>
      <c r="AK1149">
        <v>0.62867312422422705</v>
      </c>
      <c r="AL1149">
        <v>72.136683834962895</v>
      </c>
      <c r="AM1149">
        <v>93.547535927136707</v>
      </c>
      <c r="AN1149">
        <v>1.00000002280491</v>
      </c>
    </row>
    <row r="1150" spans="1:40" x14ac:dyDescent="0.25">
      <c r="A1150" t="str">
        <f>"20190304164353411"</f>
        <v>20190304164353411</v>
      </c>
      <c r="B1150" t="str">
        <f>"1551689033401522"</f>
        <v>1551689033401522</v>
      </c>
      <c r="C1150" t="s">
        <v>40</v>
      </c>
      <c r="D1150">
        <v>5.1704270000000001</v>
      </c>
      <c r="E1150">
        <v>0.53500059999999905</v>
      </c>
      <c r="F1150" t="s">
        <v>41</v>
      </c>
      <c r="G1150">
        <v>-244.83750000000001</v>
      </c>
      <c r="H1150">
        <v>1.0183549999999999</v>
      </c>
      <c r="I1150">
        <v>367.97800000000001</v>
      </c>
      <c r="J1150">
        <v>-245.59540000000001</v>
      </c>
      <c r="K1150">
        <v>1.110228</v>
      </c>
      <c r="L1150">
        <v>367.98469999999998</v>
      </c>
      <c r="M1150">
        <v>0.99985400000000002</v>
      </c>
      <c r="N1150">
        <v>-1.455508E-2</v>
      </c>
      <c r="O1150">
        <v>-8.9554549999999993E-3</v>
      </c>
      <c r="P1150">
        <v>0.95476190000000005</v>
      </c>
      <c r="Q1150">
        <v>0.29297709999999999</v>
      </c>
      <c r="R1150">
        <v>5.093404E-2</v>
      </c>
      <c r="S1150">
        <v>3.2420040000000001</v>
      </c>
      <c r="T1150">
        <v>-0.32105349999999999</v>
      </c>
      <c r="U1150">
        <v>-2.9266360000000002E-2</v>
      </c>
      <c r="V1150">
        <v>-5.9184220000000003E-2</v>
      </c>
      <c r="W1150">
        <v>0.30689339999999998</v>
      </c>
      <c r="X1150">
        <v>0.94990189999999997</v>
      </c>
      <c r="Y1150">
        <v>1.017687E-4</v>
      </c>
      <c r="Z1150">
        <v>7.4880089999999997E-4</v>
      </c>
      <c r="AA1150">
        <v>0.99999970000000005</v>
      </c>
      <c r="AB1150">
        <v>34</v>
      </c>
      <c r="AC1150">
        <v>0.75790000000000601</v>
      </c>
      <c r="AD1150">
        <v>-9.1873000000000093E-2</v>
      </c>
      <c r="AE1150">
        <v>-6.6999999999666198E-3</v>
      </c>
      <c r="AF1150" s="1">
        <v>-8.7047881102975895E-5</v>
      </c>
      <c r="AG1150">
        <v>-9.1873000000000093E-2</v>
      </c>
      <c r="AH1150">
        <v>0.74695441658964201</v>
      </c>
      <c r="AI1150">
        <v>97.011979215998906</v>
      </c>
      <c r="AJ1150">
        <v>90.006677082388705</v>
      </c>
      <c r="AK1150">
        <v>0.75258325530741499</v>
      </c>
      <c r="AL1150">
        <v>72.1278878317313</v>
      </c>
      <c r="AM1150">
        <v>93.565240012793396</v>
      </c>
      <c r="AN1150">
        <v>0.99999997524208895</v>
      </c>
    </row>
    <row r="1151" spans="1:40" x14ac:dyDescent="0.25">
      <c r="A1151" t="str">
        <f>"20190304164353423"</f>
        <v>20190304164353423</v>
      </c>
      <c r="B1151" t="str">
        <f>"1551689033411284"</f>
        <v>1551689033411284</v>
      </c>
      <c r="C1151" t="s">
        <v>40</v>
      </c>
      <c r="D1151">
        <v>5.1446610000000002</v>
      </c>
      <c r="E1151">
        <v>0.53497490000000003</v>
      </c>
      <c r="F1151" t="s">
        <v>41</v>
      </c>
      <c r="G1151">
        <v>-244.828</v>
      </c>
      <c r="H1151">
        <v>1.034349</v>
      </c>
      <c r="I1151">
        <v>367.97789999999998</v>
      </c>
      <c r="J1151">
        <v>-245.41560000000001</v>
      </c>
      <c r="K1151">
        <v>1.1102240000000001</v>
      </c>
      <c r="L1151">
        <v>367.98289999999997</v>
      </c>
      <c r="M1151">
        <v>0.99985179999999996</v>
      </c>
      <c r="N1151">
        <v>-1.455393E-2</v>
      </c>
      <c r="O1151">
        <v>-9.1858800000000004E-3</v>
      </c>
      <c r="P1151">
        <v>0.95480540000000003</v>
      </c>
      <c r="Q1151">
        <v>0.29282629999999998</v>
      </c>
      <c r="R1151">
        <v>5.0985839999999998E-2</v>
      </c>
      <c r="S1151">
        <v>3.2420650000000002</v>
      </c>
      <c r="T1151">
        <v>-0.3207217</v>
      </c>
      <c r="U1151">
        <v>-2.8472899999999999E-2</v>
      </c>
      <c r="V1151">
        <v>-5.9455849999999998E-2</v>
      </c>
      <c r="W1151">
        <v>0.30674230000000002</v>
      </c>
      <c r="X1151">
        <v>0.94993380000000005</v>
      </c>
      <c r="Y1151">
        <v>-3.7019400000000001E-4</v>
      </c>
      <c r="Z1151">
        <v>7.9401310000000002E-4</v>
      </c>
      <c r="AA1151">
        <v>0.99999959999999999</v>
      </c>
      <c r="AB1151">
        <v>34</v>
      </c>
      <c r="AC1151">
        <v>0.587600000000009</v>
      </c>
      <c r="AD1151">
        <v>-7.5874999999999901E-2</v>
      </c>
      <c r="AE1151">
        <v>-4.9999999999954499E-3</v>
      </c>
      <c r="AF1151">
        <v>-3.9187279661952298E-4</v>
      </c>
      <c r="AG1151">
        <v>-7.5874999999999901E-2</v>
      </c>
      <c r="AH1151">
        <v>0.57798465152087197</v>
      </c>
      <c r="AI1151">
        <v>97.478743061574903</v>
      </c>
      <c r="AJ1151">
        <v>90.038846453539605</v>
      </c>
      <c r="AK1151">
        <v>0.58294375936533704</v>
      </c>
      <c r="AL1151">
        <v>72.136984966924004</v>
      </c>
      <c r="AM1151">
        <v>93.581440468551094</v>
      </c>
      <c r="AN1151">
        <v>1.0000000305454699</v>
      </c>
    </row>
    <row r="1152" spans="1:40" x14ac:dyDescent="0.25">
      <c r="A1152" t="str">
        <f>"20190304164353441"</f>
        <v>20190304164353441</v>
      </c>
      <c r="B1152" t="str">
        <f>"1551689033431311"</f>
        <v>1551689033431311</v>
      </c>
      <c r="C1152" t="s">
        <v>40</v>
      </c>
      <c r="D1152">
        <v>5.1174650000000002</v>
      </c>
      <c r="E1152">
        <v>0.53488869999999999</v>
      </c>
      <c r="F1152" t="s">
        <v>41</v>
      </c>
      <c r="G1152">
        <v>-244.53460000000001</v>
      </c>
      <c r="H1152">
        <v>1.0229490000000001</v>
      </c>
      <c r="I1152">
        <v>367.97480000000002</v>
      </c>
      <c r="J1152">
        <v>-245.15539999999999</v>
      </c>
      <c r="K1152">
        <v>1.1102270000000001</v>
      </c>
      <c r="L1152">
        <v>367.98020000000002</v>
      </c>
      <c r="M1152">
        <v>0.99984879999999998</v>
      </c>
      <c r="N1152">
        <v>-1.455219E-2</v>
      </c>
      <c r="O1152">
        <v>-9.5190569999999992E-3</v>
      </c>
      <c r="P1152">
        <v>0.95512770000000002</v>
      </c>
      <c r="Q1152">
        <v>0.2917553</v>
      </c>
      <c r="R1152">
        <v>5.1087E-2</v>
      </c>
      <c r="S1152">
        <v>3.2420960000000001</v>
      </c>
      <c r="T1152">
        <v>-0.32133289999999998</v>
      </c>
      <c r="U1152">
        <v>-2.9296880000000001E-2</v>
      </c>
      <c r="V1152">
        <v>-5.9878309999999997E-2</v>
      </c>
      <c r="W1152">
        <v>0.30567499999999997</v>
      </c>
      <c r="X1152">
        <v>0.95025119999999996</v>
      </c>
      <c r="Y1152">
        <v>-4.4759619999999999E-4</v>
      </c>
      <c r="Z1152">
        <v>8.2826489999999998E-4</v>
      </c>
      <c r="AA1152">
        <v>0.99999959999999999</v>
      </c>
      <c r="AB1152">
        <v>34</v>
      </c>
      <c r="AC1152">
        <v>0.62079999999997404</v>
      </c>
      <c r="AD1152">
        <v>-8.7278000000000105E-2</v>
      </c>
      <c r="AE1152">
        <v>-5.4000000000087303E-3</v>
      </c>
      <c r="AF1152">
        <v>-5.0041101235897504E-4</v>
      </c>
      <c r="AG1152">
        <v>-8.7278000000000105E-2</v>
      </c>
      <c r="AH1152">
        <v>0.608791169889628</v>
      </c>
      <c r="AI1152">
        <v>98.158489582071198</v>
      </c>
      <c r="AJ1152">
        <v>90.047095677452106</v>
      </c>
      <c r="AK1152">
        <v>0.615015762587239</v>
      </c>
      <c r="AL1152">
        <v>72.201221515557904</v>
      </c>
      <c r="AM1152">
        <v>93.605619679196593</v>
      </c>
      <c r="AN1152">
        <v>0.99999998036744697</v>
      </c>
    </row>
    <row r="1153" spans="1:40" x14ac:dyDescent="0.25">
      <c r="A1153" t="str">
        <f>"20190304164353454"</f>
        <v>20190304164353454</v>
      </c>
      <c r="B1153" t="str">
        <f>"1551689033450830"</f>
        <v>1551689033450830</v>
      </c>
      <c r="C1153" t="s">
        <v>40</v>
      </c>
      <c r="D1153">
        <v>5.1213009999999999</v>
      </c>
      <c r="E1153">
        <v>0.53481509999999999</v>
      </c>
      <c r="F1153" t="s">
        <v>41</v>
      </c>
      <c r="G1153">
        <v>-244.23679999999999</v>
      </c>
      <c r="H1153">
        <v>1.017898</v>
      </c>
      <c r="I1153">
        <v>367.97250000000003</v>
      </c>
      <c r="J1153">
        <v>-244.94540000000001</v>
      </c>
      <c r="K1153">
        <v>1.110225</v>
      </c>
      <c r="L1153">
        <v>367.97789999999998</v>
      </c>
      <c r="M1153">
        <v>0.99984629999999997</v>
      </c>
      <c r="N1153">
        <v>-1.455069E-2</v>
      </c>
      <c r="O1153">
        <v>-9.7873849999999991E-3</v>
      </c>
      <c r="P1153">
        <v>0.95512569999999997</v>
      </c>
      <c r="Q1153">
        <v>0.29180060000000002</v>
      </c>
      <c r="R1153">
        <v>5.0868999999999998E-2</v>
      </c>
      <c r="S1153">
        <v>3.241943</v>
      </c>
      <c r="T1153">
        <v>-0.32580759999999998</v>
      </c>
      <c r="U1153">
        <v>-2.734375E-2</v>
      </c>
      <c r="V1153">
        <v>-5.991639E-2</v>
      </c>
      <c r="W1153">
        <v>0.30571859999999901</v>
      </c>
      <c r="X1153">
        <v>0.95023480000000005</v>
      </c>
      <c r="Y1153">
        <v>-1.3107940000000001E-3</v>
      </c>
      <c r="Z1153">
        <v>9.1424699999999998E-4</v>
      </c>
      <c r="AA1153">
        <v>0.99999870000000002</v>
      </c>
      <c r="AB1153">
        <v>34</v>
      </c>
      <c r="AC1153">
        <v>0.70860000000001799</v>
      </c>
      <c r="AD1153">
        <v>-9.2327000000000006E-2</v>
      </c>
      <c r="AE1153">
        <v>-5.3999999999518799E-3</v>
      </c>
      <c r="AF1153">
        <v>-1.51068840559686E-3</v>
      </c>
      <c r="AG1153">
        <v>-9.2327000000000006E-2</v>
      </c>
      <c r="AH1153">
        <v>0.69679034517677296</v>
      </c>
      <c r="AI1153">
        <v>97.547892424864401</v>
      </c>
      <c r="AJ1153">
        <v>90.124220914913906</v>
      </c>
      <c r="AK1153">
        <v>0.70288216810502802</v>
      </c>
      <c r="AL1153">
        <v>72.198598285574406</v>
      </c>
      <c r="AM1153">
        <v>93.607968745638303</v>
      </c>
      <c r="AN1153">
        <v>1.0000000056538101</v>
      </c>
    </row>
    <row r="1154" spans="1:40" x14ac:dyDescent="0.25">
      <c r="A1154" t="str">
        <f>"20190304164353468"</f>
        <v>20190304164353468</v>
      </c>
      <c r="B1154" t="str">
        <f>"1551689033460590"</f>
        <v>1551689033460590</v>
      </c>
      <c r="C1154" t="s">
        <v>40</v>
      </c>
      <c r="D1154">
        <v>5.1130250000000004</v>
      </c>
      <c r="E1154">
        <v>0.53473029999999999</v>
      </c>
      <c r="F1154" t="s">
        <v>41</v>
      </c>
      <c r="G1154">
        <v>-243.94120000000001</v>
      </c>
      <c r="H1154">
        <v>1.0090460000000001</v>
      </c>
      <c r="I1154">
        <v>367.96949999999998</v>
      </c>
      <c r="J1154">
        <v>-244.74119999999999</v>
      </c>
      <c r="K1154">
        <v>1.110228</v>
      </c>
      <c r="L1154">
        <v>367.97559999999999</v>
      </c>
      <c r="M1154">
        <v>0.99984379999999995</v>
      </c>
      <c r="N1154">
        <v>-1.4549070000000001E-2</v>
      </c>
      <c r="O1154">
        <v>-1.004819E-2</v>
      </c>
      <c r="P1154">
        <v>0.95515300000000003</v>
      </c>
      <c r="Q1154">
        <v>0.29175849999999998</v>
      </c>
      <c r="R1154">
        <v>5.059665E-2</v>
      </c>
      <c r="S1154">
        <v>3.2422490000000002</v>
      </c>
      <c r="T1154">
        <v>-0.32679560000000002</v>
      </c>
      <c r="U1154">
        <v>-2.6733400000000001E-2</v>
      </c>
      <c r="V1154">
        <v>-5.9893269999999998E-2</v>
      </c>
      <c r="W1154">
        <v>0.30567499999999997</v>
      </c>
      <c r="X1154">
        <v>0.95025029999999999</v>
      </c>
      <c r="Y1154">
        <v>-1.7568250000000001E-3</v>
      </c>
      <c r="Z1154">
        <v>9.6543300000000002E-4</v>
      </c>
      <c r="AA1154">
        <v>0.99999800000000005</v>
      </c>
      <c r="AB1154">
        <v>34</v>
      </c>
      <c r="AC1154">
        <v>0.79999999999998195</v>
      </c>
      <c r="AD1154">
        <v>-0.10118199999999999</v>
      </c>
      <c r="AE1154">
        <v>-6.1000000000035401E-3</v>
      </c>
      <c r="AF1154">
        <v>-1.9091714707070201E-3</v>
      </c>
      <c r="AG1154">
        <v>-0.10118199999999999</v>
      </c>
      <c r="AH1154">
        <v>0.78742553843170504</v>
      </c>
      <c r="AI1154">
        <v>97.322203163533004</v>
      </c>
      <c r="AJ1154">
        <v>90.138917583889906</v>
      </c>
      <c r="AK1154">
        <v>0.79390202206201999</v>
      </c>
      <c r="AL1154">
        <v>72.201222263576398</v>
      </c>
      <c r="AM1154">
        <v>93.606521536888195</v>
      </c>
      <c r="AN1154">
        <v>1.0000000210331901</v>
      </c>
    </row>
    <row r="1155" spans="1:40" x14ac:dyDescent="0.25">
      <c r="A1155" t="str">
        <f>"20190304164353486"</f>
        <v>20190304164353486</v>
      </c>
      <c r="B1155" t="str">
        <f>"1551689033481086"</f>
        <v>1551689033481086</v>
      </c>
      <c r="C1155" t="s">
        <v>40</v>
      </c>
      <c r="D1155">
        <v>5.1532280000000004</v>
      </c>
      <c r="E1155">
        <v>0.53468119999999997</v>
      </c>
      <c r="F1155" t="s">
        <v>41</v>
      </c>
      <c r="G1155">
        <v>-243.93170000000001</v>
      </c>
      <c r="H1155">
        <v>1.028532</v>
      </c>
      <c r="I1155">
        <v>367.96899999999999</v>
      </c>
      <c r="J1155">
        <v>-244.47499999999999</v>
      </c>
      <c r="K1155">
        <v>1.1102320000000001</v>
      </c>
      <c r="L1155">
        <v>367.9726</v>
      </c>
      <c r="M1155">
        <v>0.99984039999999996</v>
      </c>
      <c r="N1155">
        <v>-1.454694E-2</v>
      </c>
      <c r="O1155">
        <v>-1.038874E-2</v>
      </c>
      <c r="P1155">
        <v>0.9550244</v>
      </c>
      <c r="Q1155">
        <v>0.29229919999999998</v>
      </c>
      <c r="R1155">
        <v>4.9902189999999999E-2</v>
      </c>
      <c r="S1155">
        <v>3.2422330000000001</v>
      </c>
      <c r="T1155">
        <v>-0.32735379999999997</v>
      </c>
      <c r="U1155">
        <v>-2.6184079999999998E-2</v>
      </c>
      <c r="V1155">
        <v>-5.9521810000000001E-2</v>
      </c>
      <c r="W1155">
        <v>0.30621120000000002</v>
      </c>
      <c r="X1155">
        <v>0.95010099999999997</v>
      </c>
      <c r="Y1155">
        <v>-2.2624030000000001E-3</v>
      </c>
      <c r="Z1155">
        <v>1.0258229999999999E-3</v>
      </c>
      <c r="AA1155">
        <v>0.99999689999999997</v>
      </c>
      <c r="AB1155">
        <v>34</v>
      </c>
      <c r="AC1155">
        <v>0.54329999999998702</v>
      </c>
      <c r="AD1155">
        <v>-8.1699999999999801E-2</v>
      </c>
      <c r="AE1155">
        <v>-3.6000000000058199E-3</v>
      </c>
      <c r="AF1155">
        <v>-1.9997734439706001E-3</v>
      </c>
      <c r="AG1155">
        <v>-8.1699999999999801E-2</v>
      </c>
      <c r="AH1155">
        <v>0.53129426817179903</v>
      </c>
      <c r="AI1155">
        <v>98.742142285784197</v>
      </c>
      <c r="AJ1155">
        <v>90.215658334929401</v>
      </c>
      <c r="AK1155">
        <v>0.53754301082428202</v>
      </c>
      <c r="AL1155">
        <v>72.168953066388198</v>
      </c>
      <c r="AM1155">
        <v>93.584774022236303</v>
      </c>
      <c r="AN1155">
        <v>1.0000000275360501</v>
      </c>
    </row>
    <row r="1156" spans="1:40" x14ac:dyDescent="0.25">
      <c r="A1156" t="str">
        <f>"20190304164353511"</f>
        <v>20190304164353511</v>
      </c>
      <c r="B1156" t="str">
        <f>"1551689033500605"</f>
        <v>1551689033500605</v>
      </c>
      <c r="C1156" t="s">
        <v>40</v>
      </c>
      <c r="D1156">
        <v>5.1425669999999997</v>
      </c>
      <c r="E1156">
        <v>0.53463700000000003</v>
      </c>
      <c r="F1156" t="s">
        <v>41</v>
      </c>
      <c r="G1156">
        <v>-243.6335</v>
      </c>
      <c r="H1156">
        <v>1.025566</v>
      </c>
      <c r="I1156">
        <v>367.96550000000002</v>
      </c>
      <c r="J1156">
        <v>-244.113</v>
      </c>
      <c r="K1156">
        <v>1.110242</v>
      </c>
      <c r="L1156">
        <v>367.96839999999997</v>
      </c>
      <c r="M1156">
        <v>0.99983540000000004</v>
      </c>
      <c r="N1156">
        <v>-1.454393E-2</v>
      </c>
      <c r="O1156">
        <v>-1.0845810000000001E-2</v>
      </c>
      <c r="P1156">
        <v>0.95493260000000002</v>
      </c>
      <c r="Q1156">
        <v>0.29272890000000001</v>
      </c>
      <c r="R1156">
        <v>4.9127079999999997E-2</v>
      </c>
      <c r="S1156">
        <v>3.2425839999999999</v>
      </c>
      <c r="T1156">
        <v>-0.326347099999999</v>
      </c>
      <c r="U1156">
        <v>-2.7130129999999999E-2</v>
      </c>
      <c r="V1156">
        <v>-5.9183489999999998E-2</v>
      </c>
      <c r="W1156">
        <v>0.30663559999999901</v>
      </c>
      <c r="X1156">
        <v>0.94998530000000003</v>
      </c>
      <c r="Y1156">
        <v>-2.4264130000000001E-3</v>
      </c>
      <c r="Z1156">
        <v>1.070849E-3</v>
      </c>
      <c r="AA1156">
        <v>0.99999649999999995</v>
      </c>
      <c r="AB1156">
        <v>34</v>
      </c>
      <c r="AC1156">
        <v>0.47950000000000098</v>
      </c>
      <c r="AD1156">
        <v>-8.4675999999999904E-2</v>
      </c>
      <c r="AE1156">
        <v>-2.8999999999541602E-3</v>
      </c>
      <c r="AF1156">
        <v>-2.2316941878567898E-3</v>
      </c>
      <c r="AG1156">
        <v>-8.4675999999999904E-2</v>
      </c>
      <c r="AH1156">
        <v>0.46500274392730301</v>
      </c>
      <c r="AI1156">
        <v>100.32024045961499</v>
      </c>
      <c r="AJ1156">
        <v>90.274978326636202</v>
      </c>
      <c r="AK1156">
        <v>0.472654797177463</v>
      </c>
      <c r="AL1156">
        <v>72.143408743186697</v>
      </c>
      <c r="AM1156">
        <v>93.564883966872998</v>
      </c>
      <c r="AN1156">
        <v>1.0000000734460099</v>
      </c>
    </row>
    <row r="1157" spans="1:40" x14ac:dyDescent="0.25">
      <c r="A1157" t="str">
        <f>"20190304164353529"</f>
        <v>20190304164353529</v>
      </c>
      <c r="B1157" t="str">
        <f>"1551689033520550"</f>
        <v>1551689033520550</v>
      </c>
      <c r="C1157" t="s">
        <v>40</v>
      </c>
      <c r="D1157">
        <v>5.1316179999999996</v>
      </c>
      <c r="E1157">
        <v>0.53458090000000003</v>
      </c>
      <c r="F1157" t="s">
        <v>41</v>
      </c>
      <c r="G1157">
        <v>-243.33029999999999</v>
      </c>
      <c r="H1157">
        <v>1.0319370000000001</v>
      </c>
      <c r="I1157">
        <v>367.96080000000001</v>
      </c>
      <c r="J1157">
        <v>-243.8253</v>
      </c>
      <c r="K1157">
        <v>1.1102559999999999</v>
      </c>
      <c r="L1157">
        <v>367.96480000000003</v>
      </c>
      <c r="M1157">
        <v>0.99983169999999999</v>
      </c>
      <c r="N1157">
        <v>-1.454139E-2</v>
      </c>
      <c r="O1157">
        <v>-1.119851E-2</v>
      </c>
      <c r="P1157">
        <v>0.95495399999999997</v>
      </c>
      <c r="Q1157">
        <v>0.2927863</v>
      </c>
      <c r="R1157">
        <v>4.8365480000000002E-2</v>
      </c>
      <c r="S1157">
        <v>3.2426759999999999</v>
      </c>
      <c r="T1157">
        <v>-0.32479849999999999</v>
      </c>
      <c r="U1157">
        <v>-2.990723E-2</v>
      </c>
      <c r="V1157">
        <v>-5.8763870000000003E-2</v>
      </c>
      <c r="W1157">
        <v>0.30668959999999901</v>
      </c>
      <c r="X1157">
        <v>0.9499938</v>
      </c>
      <c r="Y1157">
        <v>-1.9252E-3</v>
      </c>
      <c r="Z1157">
        <v>1.0665379999999999E-3</v>
      </c>
      <c r="AA1157">
        <v>0.99999760000000004</v>
      </c>
      <c r="AB1157">
        <v>33</v>
      </c>
      <c r="AC1157">
        <v>0.49500000000000399</v>
      </c>
      <c r="AD1157">
        <v>-7.8318999999999805E-2</v>
      </c>
      <c r="AE1157">
        <v>-4.0000000000190898E-3</v>
      </c>
      <c r="AF1157">
        <v>-1.5063907193270101E-3</v>
      </c>
      <c r="AG1157">
        <v>-7.8318999999999805E-2</v>
      </c>
      <c r="AH1157">
        <v>0.48292517129905699</v>
      </c>
      <c r="AI1157">
        <v>99.211769756724394</v>
      </c>
      <c r="AJ1157">
        <v>90.178722410246806</v>
      </c>
      <c r="AK1157">
        <v>0.48923701418456</v>
      </c>
      <c r="AL1157">
        <v>72.140156087473002</v>
      </c>
      <c r="AM1157">
        <v>93.539641294870407</v>
      </c>
      <c r="AN1157">
        <v>0.99999996160198701</v>
      </c>
    </row>
    <row r="1158" spans="1:40" x14ac:dyDescent="0.25">
      <c r="A1158" t="str">
        <f>"20190304164353542"</f>
        <v>20190304164353542</v>
      </c>
      <c r="B1158" t="str">
        <f>"1551689033531286"</f>
        <v>1551689033531286</v>
      </c>
      <c r="C1158" t="s">
        <v>40</v>
      </c>
      <c r="D1158">
        <v>5.1533030000000002</v>
      </c>
      <c r="E1158">
        <v>0.53454699999999999</v>
      </c>
      <c r="F1158" t="s">
        <v>41</v>
      </c>
      <c r="G1158">
        <v>-243.0324</v>
      </c>
      <c r="H1158">
        <v>1.03078799999999</v>
      </c>
      <c r="I1158">
        <v>367.95679999999999</v>
      </c>
      <c r="J1158">
        <v>-243.63849999999999</v>
      </c>
      <c r="K1158">
        <v>1.110257</v>
      </c>
      <c r="L1158">
        <v>367.96249999999998</v>
      </c>
      <c r="M1158">
        <v>0.99982910000000003</v>
      </c>
      <c r="N1158">
        <v>-1.4539689999999999E-2</v>
      </c>
      <c r="O1158">
        <v>-1.141876E-2</v>
      </c>
      <c r="P1158">
        <v>0.95492220000000005</v>
      </c>
      <c r="Q1158">
        <v>0.2930142</v>
      </c>
      <c r="R1158">
        <v>4.7602520000000002E-2</v>
      </c>
      <c r="S1158">
        <v>3.2428279999999998</v>
      </c>
      <c r="T1158">
        <v>-0.32520369999999998</v>
      </c>
      <c r="U1158">
        <v>-3.2012939999999997E-2</v>
      </c>
      <c r="V1158">
        <v>-5.8216299999999999E-2</v>
      </c>
      <c r="W1158">
        <v>0.3069134</v>
      </c>
      <c r="X1158">
        <v>0.94995529999999995</v>
      </c>
      <c r="Y1158">
        <v>-1.498147E-3</v>
      </c>
      <c r="Z1158">
        <v>1.062365E-3</v>
      </c>
      <c r="AA1158">
        <v>0.99999830000000001</v>
      </c>
      <c r="AB1158">
        <v>33</v>
      </c>
      <c r="AC1158">
        <v>0.60609999999999697</v>
      </c>
      <c r="AD1158">
        <v>-7.9469000000000206E-2</v>
      </c>
      <c r="AE1158">
        <v>-5.6999999999902597E-3</v>
      </c>
      <c r="AF1158">
        <v>-1.2013626549172501E-3</v>
      </c>
      <c r="AG1158">
        <v>-7.9469000000000206E-2</v>
      </c>
      <c r="AH1158">
        <v>0.59588252300896905</v>
      </c>
      <c r="AI1158">
        <v>97.596328333128</v>
      </c>
      <c r="AJ1158">
        <v>90.115514239589601</v>
      </c>
      <c r="AK1158">
        <v>0.60115950168051302</v>
      </c>
      <c r="AL1158">
        <v>72.126684681108401</v>
      </c>
      <c r="AM1158">
        <v>93.506882879089403</v>
      </c>
      <c r="AN1158">
        <v>1.0000000223416601</v>
      </c>
    </row>
    <row r="1159" spans="1:40" x14ac:dyDescent="0.25">
      <c r="A1159" t="str">
        <f>"20190304164353553"</f>
        <v>20190304164353553</v>
      </c>
      <c r="B1159" t="str">
        <f>"1551689033541047"</f>
        <v>1551689033541047</v>
      </c>
      <c r="C1159" t="s">
        <v>40</v>
      </c>
      <c r="D1159">
        <v>5.1587430000000003</v>
      </c>
      <c r="E1159">
        <v>0.53451400000000004</v>
      </c>
      <c r="F1159" t="s">
        <v>41</v>
      </c>
      <c r="G1159">
        <v>-242.73949999999999</v>
      </c>
      <c r="H1159">
        <v>1.0202899999999999</v>
      </c>
      <c r="I1159">
        <v>367.95299999999997</v>
      </c>
      <c r="J1159">
        <v>-243.46190000000001</v>
      </c>
      <c r="K1159">
        <v>1.1102650000000001</v>
      </c>
      <c r="L1159">
        <v>367.96030000000002</v>
      </c>
      <c r="M1159">
        <v>0.99982680000000002</v>
      </c>
      <c r="N1159">
        <v>-1.453807E-2</v>
      </c>
      <c r="O1159">
        <v>-1.1623380000000001E-2</v>
      </c>
      <c r="P1159">
        <v>0.95506539999999995</v>
      </c>
      <c r="Q1159">
        <v>0.29267840000000001</v>
      </c>
      <c r="R1159">
        <v>4.6793469999999997E-2</v>
      </c>
      <c r="S1159">
        <v>3.2429199999999998</v>
      </c>
      <c r="T1159">
        <v>-0.32465830000000001</v>
      </c>
      <c r="U1159">
        <v>-3.3966059999999999E-2</v>
      </c>
      <c r="V1159">
        <v>-5.7610870000000002E-2</v>
      </c>
      <c r="W1159">
        <v>0.30657659999999998</v>
      </c>
      <c r="X1159">
        <v>0.95010099999999997</v>
      </c>
      <c r="Y1159">
        <v>-1.1025799999999999E-3</v>
      </c>
      <c r="Z1159">
        <v>1.05514E-3</v>
      </c>
      <c r="AA1159">
        <v>0.99999879999999997</v>
      </c>
      <c r="AB1159">
        <v>33</v>
      </c>
      <c r="AC1159">
        <v>0.72240000000002103</v>
      </c>
      <c r="AD1159">
        <v>-8.9975000000000097E-2</v>
      </c>
      <c r="AE1159">
        <v>-7.2999999999865299E-3</v>
      </c>
      <c r="AF1159">
        <v>-1.08133729454633E-3</v>
      </c>
      <c r="AG1159">
        <v>-8.9975000000000097E-2</v>
      </c>
      <c r="AH1159">
        <v>0.71140139743171504</v>
      </c>
      <c r="AI1159">
        <v>97.208244339409404</v>
      </c>
      <c r="AJ1159">
        <v>90.087090095291103</v>
      </c>
      <c r="AK1159">
        <v>0.71706946538194005</v>
      </c>
      <c r="AL1159">
        <v>72.146960129780297</v>
      </c>
      <c r="AM1159">
        <v>93.469971170665303</v>
      </c>
      <c r="AN1159">
        <v>1.0000000671053499</v>
      </c>
    </row>
    <row r="1160" spans="1:40" x14ac:dyDescent="0.25">
      <c r="A1160" t="str">
        <f>"20190304164353566"</f>
        <v>20190304164353566</v>
      </c>
      <c r="B1160" t="str">
        <f>"1551689033560567"</f>
        <v>1551689033560567</v>
      </c>
      <c r="C1160" t="s">
        <v>40</v>
      </c>
      <c r="D1160">
        <v>5.2110810000000001</v>
      </c>
      <c r="E1160">
        <v>0.53452029999999995</v>
      </c>
      <c r="F1160" t="s">
        <v>41</v>
      </c>
      <c r="G1160">
        <v>-242.72919999999999</v>
      </c>
      <c r="H1160">
        <v>1.0365690000000001</v>
      </c>
      <c r="I1160">
        <v>367.95229999999998</v>
      </c>
      <c r="J1160">
        <v>-243.28229999999999</v>
      </c>
      <c r="K1160">
        <v>1.110277</v>
      </c>
      <c r="L1160">
        <v>367.95800000000003</v>
      </c>
      <c r="M1160">
        <v>0.99982459999999995</v>
      </c>
      <c r="N1160">
        <v>-1.45364E-2</v>
      </c>
      <c r="O1160">
        <v>-1.181576E-2</v>
      </c>
      <c r="P1160">
        <v>0.95502489999999995</v>
      </c>
      <c r="Q1160">
        <v>0.29288839999999999</v>
      </c>
      <c r="R1160">
        <v>4.630488E-2</v>
      </c>
      <c r="S1160">
        <v>3.2428439999999998</v>
      </c>
      <c r="T1160">
        <v>-0.3263122</v>
      </c>
      <c r="U1160">
        <v>-3.5095210000000002E-2</v>
      </c>
      <c r="V1160">
        <v>-5.7314230000000001E-2</v>
      </c>
      <c r="W1160">
        <v>0.3067822</v>
      </c>
      <c r="X1160">
        <v>0.95005249999999997</v>
      </c>
      <c r="Y1160">
        <v>-9.4621460000000001E-4</v>
      </c>
      <c r="Z1160">
        <v>1.068881E-3</v>
      </c>
      <c r="AA1160">
        <v>0.99999899999999997</v>
      </c>
      <c r="AB1160">
        <v>33</v>
      </c>
      <c r="AC1160">
        <v>0.55310000000000004</v>
      </c>
      <c r="AD1160">
        <v>-7.3707999999999801E-2</v>
      </c>
      <c r="AE1160">
        <v>-5.7000000000471101E-3</v>
      </c>
      <c r="AF1160">
        <v>-8.2179217226373497E-4</v>
      </c>
      <c r="AG1160">
        <v>-7.3707999999999801E-2</v>
      </c>
      <c r="AH1160">
        <v>0.54347805954498196</v>
      </c>
      <c r="AI1160">
        <v>97.723479588860798</v>
      </c>
      <c r="AJ1160">
        <v>90.0866367765815</v>
      </c>
      <c r="AK1160">
        <v>0.54845414194183395</v>
      </c>
      <c r="AL1160">
        <v>72.134582421881802</v>
      </c>
      <c r="AM1160">
        <v>93.452323316914601</v>
      </c>
      <c r="AN1160">
        <v>0.99999999597679101</v>
      </c>
    </row>
    <row r="1161" spans="1:40" x14ac:dyDescent="0.25">
      <c r="A1161" t="str">
        <f>"20190304164353577"</f>
        <v>20190304164353577</v>
      </c>
      <c r="B1161" t="str">
        <f>"1551689033571303"</f>
        <v>1551689033571303</v>
      </c>
      <c r="C1161" t="s">
        <v>40</v>
      </c>
      <c r="D1161">
        <v>5.3181070000000004</v>
      </c>
      <c r="E1161">
        <v>0.53516779999999997</v>
      </c>
      <c r="F1161" t="s">
        <v>41</v>
      </c>
      <c r="G1161">
        <v>-242.43879999999999</v>
      </c>
      <c r="H1161">
        <v>1.025474</v>
      </c>
      <c r="I1161">
        <v>367.94880000000001</v>
      </c>
      <c r="J1161">
        <v>-243.1112</v>
      </c>
      <c r="K1161">
        <v>1.1102860000000001</v>
      </c>
      <c r="L1161">
        <v>367.95580000000001</v>
      </c>
      <c r="M1161">
        <v>0.99982249999999995</v>
      </c>
      <c r="N1161">
        <v>-1.4534780000000001E-2</v>
      </c>
      <c r="O1161">
        <v>-1.199251E-2</v>
      </c>
      <c r="P1161">
        <v>0.955071</v>
      </c>
      <c r="Q1161">
        <v>0.29280780000000001</v>
      </c>
      <c r="R1161">
        <v>4.5861190000000003E-2</v>
      </c>
      <c r="S1161">
        <v>3.242966</v>
      </c>
      <c r="T1161">
        <v>-0.325936</v>
      </c>
      <c r="U1161">
        <v>-3.5614010000000001E-2</v>
      </c>
      <c r="V1161">
        <v>-5.7050360000000001E-2</v>
      </c>
      <c r="W1161">
        <v>0.30669869999999999</v>
      </c>
      <c r="X1161">
        <v>0.95009540000000003</v>
      </c>
      <c r="Y1161">
        <v>-9.6283260000000004E-4</v>
      </c>
      <c r="Z1161">
        <v>1.0835440000000001E-3</v>
      </c>
      <c r="AA1161">
        <v>0.99999890000000002</v>
      </c>
      <c r="AB1161">
        <v>33</v>
      </c>
      <c r="AC1161">
        <v>0.67240000000000999</v>
      </c>
      <c r="AD1161">
        <v>-8.4812000000000096E-2</v>
      </c>
      <c r="AE1161">
        <v>-7.0000000000049996E-3</v>
      </c>
      <c r="AF1161">
        <v>-1.04844022420052E-3</v>
      </c>
      <c r="AG1161">
        <v>-8.4812000000000096E-2</v>
      </c>
      <c r="AH1161">
        <v>0.66190607387059097</v>
      </c>
      <c r="AI1161">
        <v>97.301683687914206</v>
      </c>
      <c r="AJ1161">
        <v>90.090754794450504</v>
      </c>
      <c r="AK1161">
        <v>0.66731838368029694</v>
      </c>
      <c r="AL1161">
        <v>72.139609977372103</v>
      </c>
      <c r="AM1161">
        <v>93.436312486208706</v>
      </c>
      <c r="AN1161">
        <v>1.0000000526294801</v>
      </c>
    </row>
    <row r="1162" spans="1:40" x14ac:dyDescent="0.25">
      <c r="A1162" t="str">
        <f>"20190304164353588"</f>
        <v>20190304164353588</v>
      </c>
      <c r="B1162" t="str">
        <f>"1551689033581062"</f>
        <v>1551689033581062</v>
      </c>
      <c r="C1162" t="s">
        <v>40</v>
      </c>
      <c r="D1162">
        <v>5.2445849999999998</v>
      </c>
      <c r="E1162">
        <v>0.53516779999999997</v>
      </c>
      <c r="F1162" t="s">
        <v>41</v>
      </c>
      <c r="G1162">
        <v>-242.14709999999999</v>
      </c>
      <c r="H1162">
        <v>1.0131429999999999</v>
      </c>
      <c r="I1162">
        <v>367.94319999999999</v>
      </c>
      <c r="J1162">
        <v>-242.9271</v>
      </c>
      <c r="K1162">
        <v>1.110306</v>
      </c>
      <c r="L1162">
        <v>367.95339999999999</v>
      </c>
      <c r="M1162">
        <v>0.99982040000000005</v>
      </c>
      <c r="N1162">
        <v>-1.4532969999999999E-2</v>
      </c>
      <c r="O1162">
        <v>-1.216631E-2</v>
      </c>
      <c r="P1162">
        <v>0.95502670000000001</v>
      </c>
      <c r="Q1162">
        <v>0.2930123</v>
      </c>
      <c r="R1162">
        <v>4.5471959999999999E-2</v>
      </c>
      <c r="S1162">
        <v>3.2434080000000001</v>
      </c>
      <c r="T1162">
        <v>-0.32715939999999999</v>
      </c>
      <c r="U1162">
        <v>-4.1534420000000002E-2</v>
      </c>
      <c r="V1162">
        <v>-5.6839939999999999E-2</v>
      </c>
      <c r="W1162">
        <v>0.3068979</v>
      </c>
      <c r="X1162">
        <v>0.95004359999999999</v>
      </c>
      <c r="Y1162">
        <v>6.7846750000000004E-4</v>
      </c>
      <c r="Z1162">
        <v>1.008489E-3</v>
      </c>
      <c r="AA1162">
        <v>0.99999930000000004</v>
      </c>
      <c r="AB1162">
        <v>33</v>
      </c>
      <c r="AC1162">
        <v>0.78000000000000103</v>
      </c>
      <c r="AD1162">
        <v>-9.7162999999999805E-2</v>
      </c>
      <c r="AE1162">
        <v>-1.0199999999997499E-2</v>
      </c>
      <c r="AF1162">
        <v>6.9769665631246502E-4</v>
      </c>
      <c r="AG1162">
        <v>-9.7162999999999805E-2</v>
      </c>
      <c r="AH1162">
        <v>0.768148905536294</v>
      </c>
      <c r="AI1162">
        <v>97.209043866390004</v>
      </c>
      <c r="AJ1162">
        <v>89.9479592270377</v>
      </c>
      <c r="AK1162">
        <v>0.77426989895399501</v>
      </c>
      <c r="AL1162">
        <v>72.127616846644798</v>
      </c>
      <c r="AM1162">
        <v>93.423854696112301</v>
      </c>
      <c r="AN1162">
        <v>0.99999997085228598</v>
      </c>
    </row>
    <row r="1163" spans="1:40" x14ac:dyDescent="0.25">
      <c r="A1163" t="str">
        <f>"20190304164353600"</f>
        <v>20190304164353600</v>
      </c>
      <c r="B1163" t="str">
        <f>"1551689033590823"</f>
        <v>1551689033590823</v>
      </c>
      <c r="C1163" t="s">
        <v>40</v>
      </c>
      <c r="D1163">
        <v>5.19956</v>
      </c>
      <c r="E1163">
        <v>0.56524189999999996</v>
      </c>
      <c r="F1163" t="s">
        <v>41</v>
      </c>
      <c r="G1163">
        <v>-242.13829999999999</v>
      </c>
      <c r="H1163">
        <v>1.0309820000000001</v>
      </c>
      <c r="I1163">
        <v>367.94290000000001</v>
      </c>
      <c r="J1163">
        <v>-242.76939999999999</v>
      </c>
      <c r="K1163">
        <v>1.1103240000000001</v>
      </c>
      <c r="L1163">
        <v>367.95139999999998</v>
      </c>
      <c r="M1163">
        <v>0.99981869999999995</v>
      </c>
      <c r="N1163">
        <v>-1.45314E-2</v>
      </c>
      <c r="O1163">
        <v>-1.2301980000000001E-2</v>
      </c>
      <c r="P1163">
        <v>0.95504489999999997</v>
      </c>
      <c r="Q1163">
        <v>0.293068</v>
      </c>
      <c r="R1163">
        <v>4.4726589999999997E-2</v>
      </c>
      <c r="S1163">
        <v>3.243484</v>
      </c>
      <c r="T1163">
        <v>-0.32657999999999998</v>
      </c>
      <c r="U1163">
        <v>-4.2236330000000002E-2</v>
      </c>
      <c r="V1163">
        <v>-5.6237330000000002E-2</v>
      </c>
      <c r="W1163">
        <v>0.30694959999999999</v>
      </c>
      <c r="X1163">
        <v>0.95006279999999999</v>
      </c>
      <c r="Y1163">
        <v>7.5870639999999997E-4</v>
      </c>
      <c r="Z1163">
        <v>1.0134230000000001E-3</v>
      </c>
      <c r="AA1163">
        <v>0.99999919999999998</v>
      </c>
      <c r="AB1163">
        <v>33</v>
      </c>
      <c r="AC1163">
        <v>0.63110000000000299</v>
      </c>
      <c r="AD1163">
        <v>-7.9341999999999996E-2</v>
      </c>
      <c r="AE1163">
        <v>-8.4999999999695302E-3</v>
      </c>
      <c r="AF1163">
        <v>7.23326469413535E-4</v>
      </c>
      <c r="AG1163">
        <v>-7.9341999999999996E-2</v>
      </c>
      <c r="AH1163">
        <v>0.62133799632908704</v>
      </c>
      <c r="AI1163">
        <v>97.277019446047007</v>
      </c>
      <c r="AJ1163">
        <v>89.933299531928597</v>
      </c>
      <c r="AK1163">
        <v>0.626383733702773</v>
      </c>
      <c r="AL1163">
        <v>72.124505137738495</v>
      </c>
      <c r="AM1163">
        <v>93.387572100219998</v>
      </c>
      <c r="AN1163">
        <v>1.0000000090847601</v>
      </c>
    </row>
    <row r="1164" spans="1:40" x14ac:dyDescent="0.25">
      <c r="A1164" t="str">
        <f>"20190304164353611"</f>
        <v>20190304164353611</v>
      </c>
      <c r="B1164" t="str">
        <f>"1551689033600583"</f>
        <v>1551689033600583</v>
      </c>
      <c r="C1164" t="s">
        <v>40</v>
      </c>
      <c r="D1164">
        <v>5.2030820000000002</v>
      </c>
      <c r="E1164">
        <v>0.56574930000000001</v>
      </c>
      <c r="F1164" t="s">
        <v>41</v>
      </c>
      <c r="G1164">
        <v>-241.85849999999999</v>
      </c>
      <c r="H1164">
        <v>0.99884949999999995</v>
      </c>
      <c r="I1164">
        <v>367.87400000000002</v>
      </c>
      <c r="J1164">
        <v>-242.59719999999999</v>
      </c>
      <c r="K1164">
        <v>1.1103499999999999</v>
      </c>
      <c r="L1164">
        <v>367.94909999999999</v>
      </c>
      <c r="M1164">
        <v>0.99981710000000001</v>
      </c>
      <c r="N1164">
        <v>-1.452968E-2</v>
      </c>
      <c r="O1164">
        <v>-1.2440690000000001E-2</v>
      </c>
      <c r="P1164">
        <v>0.95500669999999999</v>
      </c>
      <c r="Q1164">
        <v>0.29324029999999901</v>
      </c>
      <c r="R1164">
        <v>4.4411510000000001E-2</v>
      </c>
      <c r="S1164">
        <v>3.2773439999999998</v>
      </c>
      <c r="T1164">
        <v>-0.40124209999999999</v>
      </c>
      <c r="U1164">
        <v>-0.27777099999999999</v>
      </c>
      <c r="V1164">
        <v>-5.6069720000000003E-2</v>
      </c>
      <c r="W1164">
        <v>0.30711660000000002</v>
      </c>
      <c r="X1164">
        <v>0.95001869999999999</v>
      </c>
      <c r="Y1164">
        <v>7.1525749999999999E-2</v>
      </c>
      <c r="Z1164">
        <v>-3.5425019999999999E-3</v>
      </c>
      <c r="AA1164">
        <v>0.99743250000000006</v>
      </c>
      <c r="AB1164">
        <v>33</v>
      </c>
      <c r="AC1164">
        <v>0.73869999999999403</v>
      </c>
      <c r="AD1164">
        <v>-0.111500499999999</v>
      </c>
      <c r="AE1164">
        <v>-7.5099999999963502E-2</v>
      </c>
      <c r="AF1164">
        <v>6.4449916682262007E-2</v>
      </c>
      <c r="AG1164">
        <v>-0.111500499999999</v>
      </c>
      <c r="AH1164">
        <v>0.72326734361549805</v>
      </c>
      <c r="AI1164">
        <v>98.729797116324505</v>
      </c>
      <c r="AJ1164">
        <v>84.907857256846398</v>
      </c>
      <c r="AK1164">
        <v>0.73464399786646295</v>
      </c>
      <c r="AL1164">
        <v>72.114450490328906</v>
      </c>
      <c r="AM1164">
        <v>93.377655593453895</v>
      </c>
      <c r="AN1164">
        <v>0.99999997492306303</v>
      </c>
    </row>
    <row r="1165" spans="1:40" x14ac:dyDescent="0.25">
      <c r="A1165" t="str">
        <f>"20190304164353624"</f>
        <v>20190304164353624</v>
      </c>
      <c r="B1165" t="str">
        <f>"1551689033611318"</f>
        <v>1551689033611318</v>
      </c>
      <c r="C1165" t="s">
        <v>40</v>
      </c>
      <c r="D1165">
        <v>5.1894369999999999</v>
      </c>
      <c r="E1165">
        <v>0.56629200000000002</v>
      </c>
      <c r="F1165" t="s">
        <v>41</v>
      </c>
      <c r="G1165">
        <v>-241.8484</v>
      </c>
      <c r="H1165">
        <v>1.0187059999999999</v>
      </c>
      <c r="I1165">
        <v>367.88440000000003</v>
      </c>
      <c r="J1165">
        <v>-242.41290000000001</v>
      </c>
      <c r="K1165">
        <v>1.1103769999999999</v>
      </c>
      <c r="L1165">
        <v>367.94670000000002</v>
      </c>
      <c r="M1165">
        <v>0.99981560000000003</v>
      </c>
      <c r="N1165">
        <v>-1.452783E-2</v>
      </c>
      <c r="O1165">
        <v>-1.256118E-2</v>
      </c>
      <c r="P1165">
        <v>0.95498050000000001</v>
      </c>
      <c r="Q1165">
        <v>0.29342449999999998</v>
      </c>
      <c r="R1165">
        <v>4.3754899999999999E-2</v>
      </c>
      <c r="S1165">
        <v>3.2777099999999999</v>
      </c>
      <c r="T1165">
        <v>-0.40139320000000001</v>
      </c>
      <c r="U1165">
        <v>-0.2820435</v>
      </c>
      <c r="V1165">
        <v>-5.5547220000000001E-2</v>
      </c>
      <c r="W1165">
        <v>0.30729450000000003</v>
      </c>
      <c r="X1165">
        <v>0.9499919</v>
      </c>
      <c r="Y1165">
        <v>7.2677809999999995E-2</v>
      </c>
      <c r="Z1165">
        <v>-3.6086690000000001E-3</v>
      </c>
      <c r="AA1165">
        <v>0.99734900000000004</v>
      </c>
      <c r="AB1165">
        <v>33</v>
      </c>
      <c r="AC1165">
        <v>0.56450000000000899</v>
      </c>
      <c r="AD1165">
        <v>-9.1671000000000002E-2</v>
      </c>
      <c r="AE1165">
        <v>-6.2299999999993298E-2</v>
      </c>
      <c r="AF1165">
        <v>5.3801785356561403E-2</v>
      </c>
      <c r="AG1165">
        <v>-9.1671000000000002E-2</v>
      </c>
      <c r="AH1165">
        <v>0.550885207387107</v>
      </c>
      <c r="AI1165">
        <v>99.403892874436195</v>
      </c>
      <c r="AJ1165">
        <v>84.421941399287505</v>
      </c>
      <c r="AK1165">
        <v>0.56104609085750701</v>
      </c>
      <c r="AL1165">
        <v>72.103740215993099</v>
      </c>
      <c r="AM1165">
        <v>93.346346093465897</v>
      </c>
      <c r="AN1165">
        <v>1.0000000067227901</v>
      </c>
    </row>
    <row r="1166" spans="1:40" x14ac:dyDescent="0.25">
      <c r="A1166" t="str">
        <f>"20190304164353638"</f>
        <v>20190304164353638</v>
      </c>
      <c r="B1166" t="str">
        <f>"1551689033631346"</f>
        <v>1551689033631346</v>
      </c>
      <c r="C1166" t="s">
        <v>40</v>
      </c>
      <c r="D1166">
        <v>5.2113269999999998</v>
      </c>
      <c r="E1166">
        <v>0.56622069999999902</v>
      </c>
      <c r="F1166" t="s">
        <v>41</v>
      </c>
      <c r="G1166">
        <v>-241.55799999999999</v>
      </c>
      <c r="H1166">
        <v>1.005706</v>
      </c>
      <c r="I1166">
        <v>367.87139999999999</v>
      </c>
      <c r="J1166">
        <v>-242.21180000000001</v>
      </c>
      <c r="K1166">
        <v>1.1104069999999999</v>
      </c>
      <c r="L1166">
        <v>367.94400000000002</v>
      </c>
      <c r="M1166">
        <v>0.99981419999999999</v>
      </c>
      <c r="N1166">
        <v>-1.45257999999999E-2</v>
      </c>
      <c r="O1166">
        <v>-1.2675509999999999E-2</v>
      </c>
      <c r="P1166">
        <v>0.95493950000000005</v>
      </c>
      <c r="Q1166">
        <v>0.29362139999999998</v>
      </c>
      <c r="R1166">
        <v>4.3327780000000003E-2</v>
      </c>
      <c r="S1166">
        <v>3.2780300000000002</v>
      </c>
      <c r="T1166">
        <v>-0.40163559999999998</v>
      </c>
      <c r="U1166">
        <v>-0.28768919999999998</v>
      </c>
      <c r="V1166">
        <v>-5.5252370000000002E-2</v>
      </c>
      <c r="W1166">
        <v>0.3074847</v>
      </c>
      <c r="X1166">
        <v>0.94994749999999994</v>
      </c>
      <c r="Y1166">
        <v>7.4247419999999995E-2</v>
      </c>
      <c r="Z1166">
        <v>-3.7046589999999999E-3</v>
      </c>
      <c r="AA1166">
        <v>0.99723300000000004</v>
      </c>
      <c r="AB1166">
        <v>33</v>
      </c>
      <c r="AC1166">
        <v>0.65380000000001803</v>
      </c>
      <c r="AD1166">
        <v>-0.104700999999999</v>
      </c>
      <c r="AE1166">
        <v>-7.2600000000022605E-2</v>
      </c>
      <c r="AF1166">
        <v>6.2717218104555106E-2</v>
      </c>
      <c r="AG1166">
        <v>-0.104700999999999</v>
      </c>
      <c r="AH1166">
        <v>0.63849276014318701</v>
      </c>
      <c r="AI1166">
        <v>99.268738746761699</v>
      </c>
      <c r="AJ1166">
        <v>84.390004949954999</v>
      </c>
      <c r="AK1166">
        <v>0.65005288523553195</v>
      </c>
      <c r="AL1166">
        <v>72.092287205116506</v>
      </c>
      <c r="AM1166">
        <v>93.328778640119594</v>
      </c>
      <c r="AN1166">
        <v>0.999999958940477</v>
      </c>
    </row>
    <row r="1167" spans="1:40" x14ac:dyDescent="0.25">
      <c r="A1167" t="str">
        <f>"20190304164353651"</f>
        <v>20190304164353651</v>
      </c>
      <c r="B1167" t="str">
        <f>"1551689033641106"</f>
        <v>1551689033641106</v>
      </c>
      <c r="C1167" t="s">
        <v>40</v>
      </c>
      <c r="D1167">
        <v>5.2022649999999997</v>
      </c>
      <c r="E1167">
        <v>0.56612890000000005</v>
      </c>
      <c r="F1167" t="s">
        <v>41</v>
      </c>
      <c r="G1167">
        <v>-241.26609999999999</v>
      </c>
      <c r="H1167">
        <v>0.9962704</v>
      </c>
      <c r="I1167">
        <v>367.8605</v>
      </c>
      <c r="J1167">
        <v>-241.9966</v>
      </c>
      <c r="K1167">
        <v>1.1104459999999901</v>
      </c>
      <c r="L1167">
        <v>367.94110000000001</v>
      </c>
      <c r="M1167">
        <v>0.99981299999999995</v>
      </c>
      <c r="N1167">
        <v>-1.4523599999999999E-2</v>
      </c>
      <c r="O1167">
        <v>-1.2769010000000001E-2</v>
      </c>
      <c r="P1167">
        <v>0.95496610000000004</v>
      </c>
      <c r="Q1167">
        <v>0.29371989999999998</v>
      </c>
      <c r="R1167">
        <v>4.205209E-2</v>
      </c>
      <c r="S1167">
        <v>3.2762760000000002</v>
      </c>
      <c r="T1167">
        <v>-0.39558939999999998</v>
      </c>
      <c r="U1167">
        <v>-0.2884216</v>
      </c>
      <c r="V1167">
        <v>-5.4092849999999998E-2</v>
      </c>
      <c r="W1167">
        <v>0.30757669999999998</v>
      </c>
      <c r="X1167">
        <v>0.94998450000000001</v>
      </c>
      <c r="Y1167">
        <v>7.4435349999999997E-2</v>
      </c>
      <c r="Z1167">
        <v>-3.6643000000000001E-3</v>
      </c>
      <c r="AA1167">
        <v>0.99721910000000002</v>
      </c>
      <c r="AB1167">
        <v>33</v>
      </c>
      <c r="AC1167">
        <v>0.73050000000000603</v>
      </c>
      <c r="AD1167">
        <v>-0.114175599999999</v>
      </c>
      <c r="AE1167">
        <v>-8.0600000000004002E-2</v>
      </c>
      <c r="AF1167">
        <v>6.9585227978680594E-2</v>
      </c>
      <c r="AG1167">
        <v>-0.114175599999999</v>
      </c>
      <c r="AH1167">
        <v>0.71423159510358403</v>
      </c>
      <c r="AI1167">
        <v>99.040249422690593</v>
      </c>
      <c r="AJ1167">
        <v>84.435423133674504</v>
      </c>
      <c r="AK1167">
        <v>0.72663948628767405</v>
      </c>
      <c r="AL1167">
        <v>72.086748411566006</v>
      </c>
      <c r="AM1167">
        <v>93.258946800239698</v>
      </c>
      <c r="AN1167">
        <v>1.0000000065221299</v>
      </c>
    </row>
    <row r="1168" spans="1:40" x14ac:dyDescent="0.25">
      <c r="A1168" t="str">
        <f>"20190304164353665"</f>
        <v>20190304164353665</v>
      </c>
      <c r="B1168" t="str">
        <f>"1551689033650866"</f>
        <v>1551689033650866</v>
      </c>
      <c r="C1168" t="s">
        <v>40</v>
      </c>
      <c r="D1168">
        <v>5.1989429999999999</v>
      </c>
      <c r="E1168">
        <v>0.56616929999999999</v>
      </c>
      <c r="F1168" t="s">
        <v>41</v>
      </c>
      <c r="G1168">
        <v>-241.25370000000001</v>
      </c>
      <c r="H1168">
        <v>1.0207999999999999</v>
      </c>
      <c r="I1168">
        <v>367.87479999999999</v>
      </c>
      <c r="J1168">
        <v>-241.81469999999999</v>
      </c>
      <c r="K1168">
        <v>1.110476</v>
      </c>
      <c r="L1168">
        <v>367.93880000000001</v>
      </c>
      <c r="M1168">
        <v>0.99981240000000005</v>
      </c>
      <c r="N1168">
        <v>-1.452175E-2</v>
      </c>
      <c r="O1168">
        <v>-1.282294E-2</v>
      </c>
      <c r="P1168">
        <v>0.9548451</v>
      </c>
      <c r="Q1168">
        <v>0.29420420000000003</v>
      </c>
      <c r="R1168">
        <v>4.1414149999999997E-2</v>
      </c>
      <c r="S1168">
        <v>3.2759550000000002</v>
      </c>
      <c r="T1168">
        <v>-0.39554270000000002</v>
      </c>
      <c r="U1168">
        <v>-0.29159550000000001</v>
      </c>
      <c r="V1168">
        <v>-5.3526539999999997E-2</v>
      </c>
      <c r="W1168">
        <v>0.30805310000000002</v>
      </c>
      <c r="X1168">
        <v>0.94986219999999999</v>
      </c>
      <c r="Y1168">
        <v>7.5341729999999996E-2</v>
      </c>
      <c r="Z1168">
        <v>-3.7193840000000001E-3</v>
      </c>
      <c r="AA1168">
        <v>0.9971508</v>
      </c>
      <c r="AB1168">
        <v>33</v>
      </c>
      <c r="AC1168">
        <v>0.56099999999997796</v>
      </c>
      <c r="AD1168">
        <v>-8.9676000000000006E-2</v>
      </c>
      <c r="AE1168">
        <v>-6.4000000000021304E-2</v>
      </c>
      <c r="AF1168">
        <v>5.5402837918830702E-2</v>
      </c>
      <c r="AG1168">
        <v>-8.9676000000000006E-2</v>
      </c>
      <c r="AH1168">
        <v>0.54795314547495999</v>
      </c>
      <c r="AI1168">
        <v>99.248092187106806</v>
      </c>
      <c r="AJ1168">
        <v>84.226518110233599</v>
      </c>
      <c r="AK1168">
        <v>0.55799991851375996</v>
      </c>
      <c r="AL1168">
        <v>72.058059657318296</v>
      </c>
      <c r="AM1168">
        <v>93.225314906134898</v>
      </c>
      <c r="AN1168">
        <v>1.0000000009464101</v>
      </c>
    </row>
    <row r="1169" spans="1:40" x14ac:dyDescent="0.25">
      <c r="A1169" t="str">
        <f>"20190304164353676"</f>
        <v>20190304164353676</v>
      </c>
      <c r="B1169" t="str">
        <f>"1551689033660627"</f>
        <v>1551689033660627</v>
      </c>
      <c r="C1169" t="s">
        <v>40</v>
      </c>
      <c r="D1169">
        <v>5.2073720000000003</v>
      </c>
      <c r="E1169">
        <v>0.56605109999999903</v>
      </c>
      <c r="F1169" t="s">
        <v>41</v>
      </c>
      <c r="G1169">
        <v>-240.96379999999999</v>
      </c>
      <c r="H1169">
        <v>1.0081199999999999</v>
      </c>
      <c r="I1169">
        <v>367.86219999999997</v>
      </c>
      <c r="J1169">
        <v>-241.66069999999999</v>
      </c>
      <c r="K1169">
        <v>1.1104989999999999</v>
      </c>
      <c r="L1169">
        <v>367.93669999999997</v>
      </c>
      <c r="M1169">
        <v>0.99981189999999998</v>
      </c>
      <c r="N1169">
        <v>-1.4520180000000001E-2</v>
      </c>
      <c r="O1169">
        <v>-1.2862180000000001E-2</v>
      </c>
      <c r="P1169">
        <v>0.954739</v>
      </c>
      <c r="Q1169">
        <v>0.2946742</v>
      </c>
      <c r="R1169">
        <v>4.0508519999999999E-2</v>
      </c>
      <c r="S1169">
        <v>3.2761230000000001</v>
      </c>
      <c r="T1169">
        <v>-0.39429380000000003</v>
      </c>
      <c r="U1169">
        <v>-0.29403689999999999</v>
      </c>
      <c r="V1169">
        <v>-5.2674829999999999E-2</v>
      </c>
      <c r="W1169">
        <v>0.30851669999999998</v>
      </c>
      <c r="X1169">
        <v>0.94975940000000003</v>
      </c>
      <c r="Y1169">
        <v>7.6033139999999999E-2</v>
      </c>
      <c r="Z1169">
        <v>-3.7520040000000002E-3</v>
      </c>
      <c r="AA1169">
        <v>0.99709820000000005</v>
      </c>
      <c r="AB1169">
        <v>33</v>
      </c>
      <c r="AC1169">
        <v>0.69689999999999896</v>
      </c>
      <c r="AD1169">
        <v>-0.102378999999999</v>
      </c>
      <c r="AE1169">
        <v>-7.4500000000000399E-2</v>
      </c>
      <c r="AF1169">
        <v>6.4160212296986499E-2</v>
      </c>
      <c r="AG1169">
        <v>-0.102378999999999</v>
      </c>
      <c r="AH1169">
        <v>0.68322233842773605</v>
      </c>
      <c r="AI1169">
        <v>98.485420731427794</v>
      </c>
      <c r="AJ1169">
        <v>84.635187184007904</v>
      </c>
      <c r="AK1169">
        <v>0.69382328889253797</v>
      </c>
      <c r="AL1169">
        <v>72.030138354426796</v>
      </c>
      <c r="AM1169">
        <v>93.174442593686805</v>
      </c>
      <c r="AN1169">
        <v>1.0000000548913801</v>
      </c>
    </row>
    <row r="1170" spans="1:40" x14ac:dyDescent="0.25">
      <c r="A1170" t="str">
        <f>"20190304164353688"</f>
        <v>20190304164353688</v>
      </c>
      <c r="B1170" t="str">
        <f>"1551689033681123"</f>
        <v>1551689033681123</v>
      </c>
      <c r="C1170" t="s">
        <v>40</v>
      </c>
      <c r="D1170">
        <v>5.2350879999999904</v>
      </c>
      <c r="E1170">
        <v>0.56595459999999997</v>
      </c>
      <c r="F1170" t="s">
        <v>41</v>
      </c>
      <c r="G1170">
        <v>-240.67590000000001</v>
      </c>
      <c r="H1170">
        <v>0.9922742</v>
      </c>
      <c r="I1170">
        <v>367.8476</v>
      </c>
      <c r="J1170">
        <v>-241.45660000000001</v>
      </c>
      <c r="K1170">
        <v>1.110535</v>
      </c>
      <c r="L1170">
        <v>367.9341</v>
      </c>
      <c r="M1170">
        <v>0.99981160000000002</v>
      </c>
      <c r="N1170">
        <v>-1.4518069999999999E-2</v>
      </c>
      <c r="O1170">
        <v>-1.287921E-2</v>
      </c>
      <c r="P1170">
        <v>0.95475019999999999</v>
      </c>
      <c r="Q1170">
        <v>0.29470800000000003</v>
      </c>
      <c r="R1170">
        <v>3.999076E-2</v>
      </c>
      <c r="S1170">
        <v>3.2761840000000002</v>
      </c>
      <c r="T1170">
        <v>-0.39346920000000002</v>
      </c>
      <c r="U1170">
        <v>-0.295929</v>
      </c>
      <c r="V1170">
        <v>-5.219882E-2</v>
      </c>
      <c r="W1170">
        <v>0.3085444</v>
      </c>
      <c r="X1170">
        <v>0.94977659999999997</v>
      </c>
      <c r="Y1170">
        <v>7.6583540000000005E-2</v>
      </c>
      <c r="Z1170">
        <v>-3.7806179999999999E-3</v>
      </c>
      <c r="AA1170">
        <v>0.99705600000000005</v>
      </c>
      <c r="AB1170">
        <v>33</v>
      </c>
      <c r="AC1170">
        <v>0.78069999999999595</v>
      </c>
      <c r="AD1170">
        <v>-0.1182608</v>
      </c>
      <c r="AE1170">
        <v>-8.6500000000000896E-2</v>
      </c>
      <c r="AF1170">
        <v>7.4742693076980199E-2</v>
      </c>
      <c r="AG1170">
        <v>-0.1182608</v>
      </c>
      <c r="AH1170">
        <v>0.76442145689555496</v>
      </c>
      <c r="AI1170">
        <v>98.753207047428305</v>
      </c>
      <c r="AJ1170">
        <v>84.415552534186503</v>
      </c>
      <c r="AK1170">
        <v>0.77711791302694999</v>
      </c>
      <c r="AL1170">
        <v>72.028468410767999</v>
      </c>
      <c r="AM1170">
        <v>93.145756929335306</v>
      </c>
      <c r="AN1170">
        <v>0.99999997674415597</v>
      </c>
    </row>
    <row r="1171" spans="1:40" x14ac:dyDescent="0.25">
      <c r="A1171" t="str">
        <f>"20190304164353702"</f>
        <v>20190304164353702</v>
      </c>
      <c r="B1171" t="str">
        <f>"1551689033690882"</f>
        <v>1551689033690882</v>
      </c>
      <c r="C1171" t="s">
        <v>40</v>
      </c>
      <c r="D1171">
        <v>5.2184030000000003</v>
      </c>
      <c r="E1171">
        <v>0.56593039999999994</v>
      </c>
      <c r="F1171" t="s">
        <v>41</v>
      </c>
      <c r="G1171">
        <v>-240.66419999999999</v>
      </c>
      <c r="H1171">
        <v>1.0153840000000001</v>
      </c>
      <c r="I1171">
        <v>367.86219999999997</v>
      </c>
      <c r="J1171">
        <v>-241.25229999999999</v>
      </c>
      <c r="K1171">
        <v>1.1105700000000001</v>
      </c>
      <c r="L1171">
        <v>367.9314</v>
      </c>
      <c r="M1171">
        <v>0.99981189999999998</v>
      </c>
      <c r="N1171">
        <v>-1.451597E-2</v>
      </c>
      <c r="O1171">
        <v>-1.286999E-2</v>
      </c>
      <c r="P1171">
        <v>0.95470010000000005</v>
      </c>
      <c r="Q1171">
        <v>0.29496209999999901</v>
      </c>
      <c r="R1171">
        <v>3.9313239999999999E-2</v>
      </c>
      <c r="S1171">
        <v>3.2760769999999999</v>
      </c>
      <c r="T1171">
        <v>-0.39358100000000001</v>
      </c>
      <c r="U1171">
        <v>-0.29632570000000003</v>
      </c>
      <c r="V1171">
        <v>-5.1537769999999997E-2</v>
      </c>
      <c r="W1171">
        <v>0.30879109999999999</v>
      </c>
      <c r="X1171">
        <v>0.94973249999999998</v>
      </c>
      <c r="Y1171">
        <v>7.6714019999999994E-2</v>
      </c>
      <c r="Z1171">
        <v>-3.7911640000000001E-3</v>
      </c>
      <c r="AA1171">
        <v>0.99704590000000004</v>
      </c>
      <c r="AB1171">
        <v>33</v>
      </c>
      <c r="AC1171">
        <v>0.58809999999999696</v>
      </c>
      <c r="AD1171">
        <v>-9.5186000000000007E-2</v>
      </c>
      <c r="AE1171">
        <v>-6.9200000000023396E-2</v>
      </c>
      <c r="AF1171">
        <v>6.00724312341228E-2</v>
      </c>
      <c r="AG1171">
        <v>-9.5186000000000007E-2</v>
      </c>
      <c r="AH1171">
        <v>0.57410773597227305</v>
      </c>
      <c r="AI1171">
        <v>99.363689897111996</v>
      </c>
      <c r="AJ1171">
        <v>84.026526770624898</v>
      </c>
      <c r="AK1171">
        <v>0.58503740401241699</v>
      </c>
      <c r="AL1171">
        <v>72.013607466859796</v>
      </c>
      <c r="AM1171">
        <v>93.106141257017896</v>
      </c>
      <c r="AN1171">
        <v>0.99999995336601499</v>
      </c>
    </row>
    <row r="1172" spans="1:40" x14ac:dyDescent="0.25">
      <c r="A1172" t="str">
        <f>"20190304164353717"</f>
        <v>20190304164353717</v>
      </c>
      <c r="B1172" t="str">
        <f>"1551689033711379"</f>
        <v>1551689033711379</v>
      </c>
      <c r="C1172" t="s">
        <v>40</v>
      </c>
      <c r="D1172">
        <v>5.2414329999999998</v>
      </c>
      <c r="E1172">
        <v>0.56584219999999996</v>
      </c>
      <c r="F1172" t="s">
        <v>41</v>
      </c>
      <c r="G1172">
        <v>-240.37370000000001</v>
      </c>
      <c r="H1172">
        <v>1.0053840000000001</v>
      </c>
      <c r="I1172">
        <v>367.85129999999998</v>
      </c>
      <c r="J1172">
        <v>-241.0368</v>
      </c>
      <c r="K1172">
        <v>1.1106119999999999</v>
      </c>
      <c r="L1172">
        <v>367.92860000000002</v>
      </c>
      <c r="M1172">
        <v>0.99981240000000005</v>
      </c>
      <c r="N1172">
        <v>-1.45138E-2</v>
      </c>
      <c r="O1172">
        <v>-1.2832100000000001E-2</v>
      </c>
      <c r="P1172">
        <v>0.95474720000000002</v>
      </c>
      <c r="Q1172">
        <v>0.29487839999999998</v>
      </c>
      <c r="R1172">
        <v>3.879001E-2</v>
      </c>
      <c r="S1172">
        <v>3.2758479999999999</v>
      </c>
      <c r="T1172">
        <v>-0.39238820000000002</v>
      </c>
      <c r="U1172">
        <v>-0.29797360000000001</v>
      </c>
      <c r="V1172">
        <v>-5.100768E-2</v>
      </c>
      <c r="W1172">
        <v>0.30870130000000001</v>
      </c>
      <c r="X1172">
        <v>0.94979040000000003</v>
      </c>
      <c r="Y1172">
        <v>7.7254000000000003E-2</v>
      </c>
      <c r="Z1172">
        <v>-3.8220979999999999E-3</v>
      </c>
      <c r="AA1172">
        <v>0.99700409999999995</v>
      </c>
      <c r="AB1172">
        <v>33</v>
      </c>
      <c r="AC1172">
        <v>0.66309999999998503</v>
      </c>
      <c r="AD1172">
        <v>-0.105228</v>
      </c>
      <c r="AE1172">
        <v>-7.7300000000036506E-2</v>
      </c>
      <c r="AF1172">
        <v>6.7116256105913902E-2</v>
      </c>
      <c r="AG1172">
        <v>-0.105228</v>
      </c>
      <c r="AH1172">
        <v>0.64793923771721196</v>
      </c>
      <c r="AI1172">
        <v>99.176277758220493</v>
      </c>
      <c r="AJ1172">
        <v>84.086154578452906</v>
      </c>
      <c r="AK1172">
        <v>0.65985057368410005</v>
      </c>
      <c r="AL1172">
        <v>72.0190185201118</v>
      </c>
      <c r="AM1172">
        <v>93.0740676961628</v>
      </c>
      <c r="AN1172">
        <v>1.00000003998641</v>
      </c>
    </row>
    <row r="1173" spans="1:40" x14ac:dyDescent="0.25">
      <c r="A1173" t="str">
        <f>"20190304164353730"</f>
        <v>20190304164353730</v>
      </c>
      <c r="B1173" t="str">
        <f>"1551689033720672"</f>
        <v>1551689033720672</v>
      </c>
      <c r="C1173" t="s">
        <v>40</v>
      </c>
      <c r="D1173">
        <v>5.2244010000000003</v>
      </c>
      <c r="E1173">
        <v>0.56580989999999998</v>
      </c>
      <c r="F1173" t="s">
        <v>41</v>
      </c>
      <c r="G1173">
        <v>-240.0829</v>
      </c>
      <c r="H1173">
        <v>0.99644509999999997</v>
      </c>
      <c r="I1173">
        <v>367.84120000000001</v>
      </c>
      <c r="J1173">
        <v>-240.83349999999999</v>
      </c>
      <c r="K1173">
        <v>1.1106560000000001</v>
      </c>
      <c r="L1173">
        <v>367.92610000000002</v>
      </c>
      <c r="M1173">
        <v>0.99981330000000002</v>
      </c>
      <c r="N1173">
        <v>-1.451188E-2</v>
      </c>
      <c r="O1173">
        <v>-1.2759619999999999E-2</v>
      </c>
      <c r="P1173">
        <v>0.95450369999999995</v>
      </c>
      <c r="Q1173">
        <v>0.29578110000000002</v>
      </c>
      <c r="R1173">
        <v>3.7898250000000001E-2</v>
      </c>
      <c r="S1173">
        <v>3.2754970000000001</v>
      </c>
      <c r="T1173">
        <v>-0.39229969999999997</v>
      </c>
      <c r="U1173">
        <v>-0.2991028</v>
      </c>
      <c r="V1173">
        <v>-5.0073899999999998E-2</v>
      </c>
      <c r="W1173">
        <v>0.30959379999999997</v>
      </c>
      <c r="X1173">
        <v>0.94954950000000005</v>
      </c>
      <c r="Y1173">
        <v>7.7673190000000003E-2</v>
      </c>
      <c r="Z1173">
        <v>-3.8571999999999999E-3</v>
      </c>
      <c r="AA1173">
        <v>0.99697139999999995</v>
      </c>
      <c r="AB1173">
        <v>33</v>
      </c>
      <c r="AC1173">
        <v>0.75059999999999105</v>
      </c>
      <c r="AD1173">
        <v>-0.114210899999999</v>
      </c>
      <c r="AE1173">
        <v>-8.4900000000004597E-2</v>
      </c>
      <c r="AF1173">
        <v>7.3631489119836996E-2</v>
      </c>
      <c r="AG1173">
        <v>-0.114210899999999</v>
      </c>
      <c r="AH1173">
        <v>0.73482417913620202</v>
      </c>
      <c r="AI1173">
        <v>98.7912440095714</v>
      </c>
      <c r="AJ1173">
        <v>84.277898782901701</v>
      </c>
      <c r="AK1173">
        <v>0.74728327969519603</v>
      </c>
      <c r="AL1173">
        <v>71.965247009343997</v>
      </c>
      <c r="AM1173">
        <v>93.018661017586496</v>
      </c>
      <c r="AN1173">
        <v>0.999999984704949</v>
      </c>
    </row>
    <row r="1174" spans="1:40" x14ac:dyDescent="0.25">
      <c r="A1174" t="str">
        <f>"20190304164353745"</f>
        <v>20190304164353745</v>
      </c>
      <c r="B1174" t="str">
        <f>"1551689033731407"</f>
        <v>1551689033731407</v>
      </c>
      <c r="C1174" t="s">
        <v>40</v>
      </c>
      <c r="D1174">
        <v>5.2389720000000004</v>
      </c>
      <c r="E1174">
        <v>0.56579309999999905</v>
      </c>
      <c r="F1174" t="s">
        <v>41</v>
      </c>
      <c r="G1174">
        <v>-240.07089999999999</v>
      </c>
      <c r="H1174">
        <v>1.020346</v>
      </c>
      <c r="I1174">
        <v>367.8553</v>
      </c>
      <c r="J1174">
        <v>-240.64019999999999</v>
      </c>
      <c r="K1174">
        <v>1.110695</v>
      </c>
      <c r="L1174">
        <v>367.92360000000002</v>
      </c>
      <c r="M1174">
        <v>0.9998146</v>
      </c>
      <c r="N1174">
        <v>-1.450999E-2</v>
      </c>
      <c r="O1174">
        <v>-1.2658050000000001E-2</v>
      </c>
      <c r="P1174">
        <v>0.95432070000000002</v>
      </c>
      <c r="Q1174">
        <v>0.29638019999999998</v>
      </c>
      <c r="R1174">
        <v>3.7826440000000003E-2</v>
      </c>
      <c r="S1174">
        <v>3.2753749999999999</v>
      </c>
      <c r="T1174">
        <v>-0.38829409999999998</v>
      </c>
      <c r="U1174">
        <v>-0.30300899999999997</v>
      </c>
      <c r="V1174">
        <v>-4.9932480000000001E-2</v>
      </c>
      <c r="W1174">
        <v>0.31018410000000002</v>
      </c>
      <c r="X1174">
        <v>0.94936430000000005</v>
      </c>
      <c r="Y1174">
        <v>7.8956509999999994E-2</v>
      </c>
      <c r="Z1174">
        <v>-3.9210620000000003E-3</v>
      </c>
      <c r="AA1174">
        <v>0.99687029999999999</v>
      </c>
      <c r="AB1174">
        <v>33</v>
      </c>
      <c r="AC1174">
        <v>0.56929999999999803</v>
      </c>
      <c r="AD1174">
        <v>-9.0348999999999999E-2</v>
      </c>
      <c r="AE1174">
        <v>-6.8300000000021996E-2</v>
      </c>
      <c r="AF1174">
        <v>5.9607548749123801E-2</v>
      </c>
      <c r="AG1174">
        <v>-9.0348999999999999E-2</v>
      </c>
      <c r="AH1174">
        <v>0.55630652112364498</v>
      </c>
      <c r="AI1174">
        <v>99.173180261512798</v>
      </c>
      <c r="AJ1174">
        <v>83.884162589905898</v>
      </c>
      <c r="AK1174">
        <v>0.56673887030410397</v>
      </c>
      <c r="AL1174">
        <v>71.929674465889306</v>
      </c>
      <c r="AM1174">
        <v>93.010737472034606</v>
      </c>
      <c r="AN1174">
        <v>1.0000000012831201</v>
      </c>
    </row>
    <row r="1175" spans="1:40" x14ac:dyDescent="0.25">
      <c r="A1175" t="str">
        <f>"20190304164353756"</f>
        <v>20190304164353756</v>
      </c>
      <c r="B1175" t="str">
        <f>"1551689033750929"</f>
        <v>1551689033750929</v>
      </c>
      <c r="C1175" t="s">
        <v>40</v>
      </c>
      <c r="D1175">
        <v>5.2351150000000004</v>
      </c>
      <c r="E1175">
        <v>0.5657624</v>
      </c>
      <c r="F1175" t="s">
        <v>41</v>
      </c>
      <c r="G1175">
        <v>-239.78139999999999</v>
      </c>
      <c r="H1175">
        <v>1.009817</v>
      </c>
      <c r="I1175">
        <v>367.84370000000001</v>
      </c>
      <c r="J1175">
        <v>-240.46250000000001</v>
      </c>
      <c r="K1175">
        <v>1.1107340000000001</v>
      </c>
      <c r="L1175">
        <v>367.92149999999998</v>
      </c>
      <c r="M1175">
        <v>0.99981609999999999</v>
      </c>
      <c r="N1175">
        <v>-1.4508200000000001E-2</v>
      </c>
      <c r="O1175">
        <v>-1.254855E-2</v>
      </c>
      <c r="P1175">
        <v>0.95421929999999999</v>
      </c>
      <c r="Q1175">
        <v>0.29675279999999998</v>
      </c>
      <c r="R1175">
        <v>3.7461510000000003E-2</v>
      </c>
      <c r="S1175">
        <v>3.275223</v>
      </c>
      <c r="T1175">
        <v>-0.38500489999999998</v>
      </c>
      <c r="U1175">
        <v>-0.30401610000000001</v>
      </c>
      <c r="V1175">
        <v>-4.9490340000000001E-2</v>
      </c>
      <c r="W1175">
        <v>0.31054850000000001</v>
      </c>
      <c r="X1175">
        <v>0.94926829999999995</v>
      </c>
      <c r="Y1175">
        <v>7.9378509999999999E-2</v>
      </c>
      <c r="Z1175">
        <v>-3.9334089999999997E-3</v>
      </c>
      <c r="AA1175">
        <v>0.99683679999999997</v>
      </c>
      <c r="AB1175">
        <v>33</v>
      </c>
      <c r="AC1175">
        <v>0.68110000000001403</v>
      </c>
      <c r="AD1175">
        <v>-0.10091700000000001</v>
      </c>
      <c r="AE1175">
        <v>-7.7799999999967895E-2</v>
      </c>
      <c r="AF1175">
        <v>6.7777360344915105E-2</v>
      </c>
      <c r="AG1175">
        <v>-0.10091700000000001</v>
      </c>
      <c r="AH1175">
        <v>0.66755619729345606</v>
      </c>
      <c r="AI1175">
        <v>98.553210678972107</v>
      </c>
      <c r="AJ1175">
        <v>84.202593227094397</v>
      </c>
      <c r="AK1175">
        <v>0.67853466234911297</v>
      </c>
      <c r="AL1175">
        <v>71.907710971537696</v>
      </c>
      <c r="AM1175">
        <v>92.984427762279694</v>
      </c>
      <c r="AN1175">
        <v>0.99999998499522702</v>
      </c>
    </row>
    <row r="1176" spans="1:40" x14ac:dyDescent="0.25">
      <c r="A1176" t="str">
        <f>"20190304164353767"</f>
        <v>20190304164353767</v>
      </c>
      <c r="B1176" t="str">
        <f>"1551689033760692"</f>
        <v>1551689033760692</v>
      </c>
      <c r="C1176" t="s">
        <v>40</v>
      </c>
      <c r="D1176">
        <v>5.2486179999999996</v>
      </c>
      <c r="E1176">
        <v>0.56574650000000004</v>
      </c>
      <c r="F1176" t="s">
        <v>41</v>
      </c>
      <c r="G1176">
        <v>-239.4931</v>
      </c>
      <c r="H1176">
        <v>0.99750970000000005</v>
      </c>
      <c r="I1176">
        <v>367.83109999999999</v>
      </c>
      <c r="J1176">
        <v>-240.2842</v>
      </c>
      <c r="K1176">
        <v>1.1107769999999999</v>
      </c>
      <c r="L1176">
        <v>367.9194</v>
      </c>
      <c r="M1176">
        <v>0.99981779999999998</v>
      </c>
      <c r="N1176">
        <v>-1.450632E-2</v>
      </c>
      <c r="O1176">
        <v>-1.2405040000000001E-2</v>
      </c>
      <c r="P1176">
        <v>0.95414790000000005</v>
      </c>
      <c r="Q1176">
        <v>0.2969852</v>
      </c>
      <c r="R1176">
        <v>3.7436089999999998E-2</v>
      </c>
      <c r="S1176">
        <v>3.2748719999999998</v>
      </c>
      <c r="T1176">
        <v>-0.38249430000000001</v>
      </c>
      <c r="U1176">
        <v>-0.30545040000000001</v>
      </c>
      <c r="V1176">
        <v>-4.9357970000000001E-2</v>
      </c>
      <c r="W1176">
        <v>0.31077369999999999</v>
      </c>
      <c r="X1176">
        <v>0.94920150000000003</v>
      </c>
      <c r="Y1176">
        <v>7.996549E-2</v>
      </c>
      <c r="Z1176">
        <v>-3.965985E-3</v>
      </c>
      <c r="AA1176">
        <v>0.99678979999999995</v>
      </c>
      <c r="AB1176">
        <v>33</v>
      </c>
      <c r="AC1176">
        <v>0.79110000000000003</v>
      </c>
      <c r="AD1176">
        <v>-0.1132673</v>
      </c>
      <c r="AE1176">
        <v>-8.8300000000003806E-2</v>
      </c>
      <c r="AF1176">
        <v>7.6921092339539907E-2</v>
      </c>
      <c r="AG1176">
        <v>-0.1132673</v>
      </c>
      <c r="AH1176">
        <v>0.77641422932943205</v>
      </c>
      <c r="AI1176">
        <v>98.260174495705897</v>
      </c>
      <c r="AJ1176">
        <v>84.342042441650705</v>
      </c>
      <c r="AK1176">
        <v>0.78839418516451099</v>
      </c>
      <c r="AL1176">
        <v>71.894136478868703</v>
      </c>
      <c r="AM1176">
        <v>92.976668886864502</v>
      </c>
      <c r="AN1176">
        <v>0.99999999470822998</v>
      </c>
    </row>
    <row r="1177" spans="1:40" x14ac:dyDescent="0.25">
      <c r="A1177" t="str">
        <f>"20190304164353779"</f>
        <v>20190304164353779</v>
      </c>
      <c r="B1177" t="str">
        <f>"1551689033771425"</f>
        <v>1551689033771425</v>
      </c>
      <c r="C1177" t="s">
        <v>40</v>
      </c>
      <c r="D1177">
        <v>5.2547110000000004</v>
      </c>
      <c r="E1177">
        <v>0.56573890000000004</v>
      </c>
      <c r="F1177" t="s">
        <v>41</v>
      </c>
      <c r="G1177">
        <v>-239.48310000000001</v>
      </c>
      <c r="H1177">
        <v>1.0174240000000001</v>
      </c>
      <c r="I1177">
        <v>367.84460000000001</v>
      </c>
      <c r="J1177">
        <v>-240.1198</v>
      </c>
      <c r="K1177">
        <v>1.1108119999999999</v>
      </c>
      <c r="L1177">
        <v>367.91750000000002</v>
      </c>
      <c r="M1177">
        <v>0.99981989999999998</v>
      </c>
      <c r="N1177">
        <v>-1.450458E-2</v>
      </c>
      <c r="O1177">
        <v>-1.225599E-2</v>
      </c>
      <c r="P1177">
        <v>0.9541113</v>
      </c>
      <c r="Q1177">
        <v>0.2970892</v>
      </c>
      <c r="R1177">
        <v>3.755054E-2</v>
      </c>
      <c r="S1177">
        <v>3.2749630000000001</v>
      </c>
      <c r="T1177">
        <v>-0.3816388</v>
      </c>
      <c r="U1177">
        <v>-0.30584719999999999</v>
      </c>
      <c r="V1177">
        <v>-4.935722E-2</v>
      </c>
      <c r="W1177">
        <v>0.31087120000000001</v>
      </c>
      <c r="X1177">
        <v>0.94916959999999995</v>
      </c>
      <c r="Y1177">
        <v>8.0230709999999997E-2</v>
      </c>
      <c r="Z1177">
        <v>-3.9910839999999998E-3</v>
      </c>
      <c r="AA1177">
        <v>0.9967684</v>
      </c>
      <c r="AB1177">
        <v>33</v>
      </c>
      <c r="AC1177">
        <v>0.63669999999999005</v>
      </c>
      <c r="AD1177">
        <v>-9.3388000000000193E-2</v>
      </c>
      <c r="AE1177">
        <v>-7.29000000000041E-2</v>
      </c>
      <c r="AF1177">
        <v>6.3736851457599705E-2</v>
      </c>
      <c r="AG1177">
        <v>-9.3388000000000193E-2</v>
      </c>
      <c r="AH1177">
        <v>0.62428883491393505</v>
      </c>
      <c r="AI1177">
        <v>98.464488945100499</v>
      </c>
      <c r="AJ1177">
        <v>84.170577957387906</v>
      </c>
      <c r="AK1177">
        <v>0.63444483934848594</v>
      </c>
      <c r="AL1177">
        <v>71.888258814588298</v>
      </c>
      <c r="AM1177">
        <v>92.976723596803097</v>
      </c>
      <c r="AN1177">
        <v>0.99999998385986399</v>
      </c>
    </row>
    <row r="1178" spans="1:40" x14ac:dyDescent="0.25">
      <c r="A1178" t="str">
        <f>"20190304164353798"</f>
        <v>20190304164353798</v>
      </c>
      <c r="B1178" t="str">
        <f>"1551689033790944"</f>
        <v>1551689033790944</v>
      </c>
      <c r="C1178" t="s">
        <v>40</v>
      </c>
      <c r="D1178">
        <v>5.2555709999999998</v>
      </c>
      <c r="E1178">
        <v>0.56573560000000001</v>
      </c>
      <c r="F1178" t="s">
        <v>41</v>
      </c>
      <c r="G1178">
        <v>-239.196</v>
      </c>
      <c r="H1178">
        <v>1.0034289999999999</v>
      </c>
      <c r="I1178">
        <v>367.83100000000002</v>
      </c>
      <c r="J1178">
        <v>-239.84209999999999</v>
      </c>
      <c r="K1178">
        <v>1.110868</v>
      </c>
      <c r="L1178">
        <v>367.91430000000003</v>
      </c>
      <c r="M1178">
        <v>0.99982340000000003</v>
      </c>
      <c r="N1178">
        <v>-1.450163E-2</v>
      </c>
      <c r="O1178">
        <v>-1.196242E-2</v>
      </c>
      <c r="P1178">
        <v>0.95416279999999998</v>
      </c>
      <c r="Q1178">
        <v>0.29684529999999998</v>
      </c>
      <c r="R1178">
        <v>3.8165419999999999E-2</v>
      </c>
      <c r="S1178">
        <v>3.2749480000000002</v>
      </c>
      <c r="T1178">
        <v>-0.38088620000000001</v>
      </c>
      <c r="U1178">
        <v>-0.30572510000000003</v>
      </c>
      <c r="V1178">
        <v>-4.9737650000000001E-2</v>
      </c>
      <c r="W1178">
        <v>0.3106178</v>
      </c>
      <c r="X1178">
        <v>0.94923270000000004</v>
      </c>
      <c r="Y1178">
        <v>8.0485520000000005E-2</v>
      </c>
      <c r="Z1178">
        <v>-4.0309179999999997E-3</v>
      </c>
      <c r="AA1178">
        <v>0.99674759999999996</v>
      </c>
      <c r="AB1178">
        <v>33</v>
      </c>
      <c r="AC1178">
        <v>0.64609999999998902</v>
      </c>
      <c r="AD1178">
        <v>-0.10743899999999899</v>
      </c>
      <c r="AE1178">
        <v>-8.3300000000065197E-2</v>
      </c>
      <c r="AF1178">
        <v>7.3563401290513794E-2</v>
      </c>
      <c r="AG1178">
        <v>-0.10743899999999899</v>
      </c>
      <c r="AH1178">
        <v>0.62991676022077603</v>
      </c>
      <c r="AI1178">
        <v>99.615149425182196</v>
      </c>
      <c r="AJ1178">
        <v>83.339014188430397</v>
      </c>
      <c r="AK1178">
        <v>0.64323389022770505</v>
      </c>
      <c r="AL1178">
        <v>71.903533799315596</v>
      </c>
      <c r="AM1178">
        <v>92.999426474179799</v>
      </c>
      <c r="AN1178">
        <v>0.99999998512682597</v>
      </c>
    </row>
    <row r="1179" spans="1:40" x14ac:dyDescent="0.25">
      <c r="A1179" t="str">
        <f>"20190304164353810"</f>
        <v>20190304164353810</v>
      </c>
      <c r="B1179" t="str">
        <f>"1551689033800704"</f>
        <v>1551689033800704</v>
      </c>
      <c r="C1179" t="s">
        <v>40</v>
      </c>
      <c r="D1179">
        <v>5.2620950000000004</v>
      </c>
      <c r="E1179">
        <v>0.56573329999999999</v>
      </c>
      <c r="F1179" t="s">
        <v>41</v>
      </c>
      <c r="G1179">
        <v>-238.9032</v>
      </c>
      <c r="H1179">
        <v>1.001552</v>
      </c>
      <c r="I1179">
        <v>367.82690000000002</v>
      </c>
      <c r="J1179">
        <v>-239.66319999999999</v>
      </c>
      <c r="K1179">
        <v>1.1109039999999999</v>
      </c>
      <c r="L1179">
        <v>367.91239999999999</v>
      </c>
      <c r="M1179">
        <v>0.99982599999999999</v>
      </c>
      <c r="N1179">
        <v>-1.4499740000000001E-2</v>
      </c>
      <c r="O1179">
        <v>-1.174831E-2</v>
      </c>
      <c r="P1179">
        <v>0.95421959999999995</v>
      </c>
      <c r="Q1179">
        <v>0.29655989999999999</v>
      </c>
      <c r="R1179">
        <v>3.8953300000000003E-2</v>
      </c>
      <c r="S1179">
        <v>3.2749329999999999</v>
      </c>
      <c r="T1179">
        <v>-0.38126300000000002</v>
      </c>
      <c r="U1179">
        <v>-0.30490109999999998</v>
      </c>
      <c r="V1179">
        <v>-5.0348740000000003E-2</v>
      </c>
      <c r="W1179">
        <v>0.31032680000000001</v>
      </c>
      <c r="X1179">
        <v>0.94929569999999996</v>
      </c>
      <c r="Y1179">
        <v>8.0448950000000005E-2</v>
      </c>
      <c r="Z1179">
        <v>-4.0533920000000003E-3</v>
      </c>
      <c r="AA1179">
        <v>0.99675049999999998</v>
      </c>
      <c r="AB1179">
        <v>33</v>
      </c>
      <c r="AC1179">
        <v>0.75999999999999002</v>
      </c>
      <c r="AD1179">
        <v>-0.109352</v>
      </c>
      <c r="AE1179">
        <v>-8.5499999999967699E-2</v>
      </c>
      <c r="AF1179">
        <v>7.50305267720109E-2</v>
      </c>
      <c r="AG1179">
        <v>-0.109352</v>
      </c>
      <c r="AH1179">
        <v>0.74570694929597303</v>
      </c>
      <c r="AI1179">
        <v>98.301186030729298</v>
      </c>
      <c r="AJ1179">
        <v>84.254428011298302</v>
      </c>
      <c r="AK1179">
        <v>0.75740761422102898</v>
      </c>
      <c r="AL1179">
        <v>71.921074342213799</v>
      </c>
      <c r="AM1179">
        <v>93.036008570843407</v>
      </c>
      <c r="AN1179">
        <v>1.00000002222815</v>
      </c>
    </row>
    <row r="1180" spans="1:40" x14ac:dyDescent="0.25">
      <c r="A1180" t="str">
        <f>"20190304164353823"</f>
        <v>20190304164353823</v>
      </c>
      <c r="B1180" t="str">
        <f>"1551689033811440"</f>
        <v>1551689033811440</v>
      </c>
      <c r="C1180" t="s">
        <v>40</v>
      </c>
      <c r="D1180">
        <v>5.2600189999999998</v>
      </c>
      <c r="E1180">
        <v>0.56572540000000004</v>
      </c>
      <c r="F1180" t="s">
        <v>41</v>
      </c>
      <c r="G1180">
        <v>-238.89340000000001</v>
      </c>
      <c r="H1180">
        <v>1.021012</v>
      </c>
      <c r="I1180">
        <v>367.84120000000001</v>
      </c>
      <c r="J1180">
        <v>-239.46860000000001</v>
      </c>
      <c r="K1180">
        <v>1.110938</v>
      </c>
      <c r="L1180">
        <v>367.91039999999998</v>
      </c>
      <c r="M1180">
        <v>0.99982890000000002</v>
      </c>
      <c r="N1180">
        <v>-1.4497680000000001E-2</v>
      </c>
      <c r="O1180">
        <v>-1.1493710000000001E-2</v>
      </c>
      <c r="P1180">
        <v>0.95427669999999998</v>
      </c>
      <c r="Q1180">
        <v>0.29624430000000002</v>
      </c>
      <c r="R1180">
        <v>3.9943470000000002E-2</v>
      </c>
      <c r="S1180">
        <v>3.275131</v>
      </c>
      <c r="T1180">
        <v>-0.38241540000000002</v>
      </c>
      <c r="U1180">
        <v>-0.30297849999999998</v>
      </c>
      <c r="V1180">
        <v>-5.1121630000000001E-2</v>
      </c>
      <c r="W1180">
        <v>0.3100059</v>
      </c>
      <c r="X1180">
        <v>0.94935919999999896</v>
      </c>
      <c r="Y1180">
        <v>8.0115270000000002E-2</v>
      </c>
      <c r="Z1180">
        <v>-4.0671459999999998E-3</v>
      </c>
      <c r="AA1180">
        <v>0.99677729999999998</v>
      </c>
      <c r="AB1180">
        <v>33</v>
      </c>
      <c r="AC1180">
        <v>0.57519999999999505</v>
      </c>
      <c r="AD1180">
        <v>-8.9925999999999895E-2</v>
      </c>
      <c r="AE1180">
        <v>-6.9199999999966594E-2</v>
      </c>
      <c r="AF1180">
        <v>6.1111195459925903E-2</v>
      </c>
      <c r="AG1180">
        <v>-8.9925999999999895E-2</v>
      </c>
      <c r="AH1180">
        <v>0.56240732842267005</v>
      </c>
      <c r="AI1180">
        <v>99.032118395024497</v>
      </c>
      <c r="AJ1180">
        <v>83.798569446976003</v>
      </c>
      <c r="AK1180">
        <v>0.57282044896290696</v>
      </c>
      <c r="AL1180">
        <v>71.940413664670501</v>
      </c>
      <c r="AM1180">
        <v>93.082318538579699</v>
      </c>
      <c r="AN1180">
        <v>0.99999998485665298</v>
      </c>
    </row>
    <row r="1181" spans="1:40" x14ac:dyDescent="0.25">
      <c r="A1181" t="str">
        <f>"20190304164353843"</f>
        <v>20190304164353843</v>
      </c>
      <c r="B1181" t="str">
        <f>"1551689033831467"</f>
        <v>1551689033831467</v>
      </c>
      <c r="C1181" t="s">
        <v>40</v>
      </c>
      <c r="D1181">
        <v>5.2725070000000001</v>
      </c>
      <c r="E1181">
        <v>0.56570830000000005</v>
      </c>
      <c r="F1181" t="s">
        <v>41</v>
      </c>
      <c r="G1181">
        <v>-238.60550000000001</v>
      </c>
      <c r="H1181">
        <v>1.009979</v>
      </c>
      <c r="I1181">
        <v>367.83100000000002</v>
      </c>
      <c r="J1181">
        <v>-239.1902</v>
      </c>
      <c r="K1181">
        <v>1.1109819999999999</v>
      </c>
      <c r="L1181">
        <v>367.9076</v>
      </c>
      <c r="M1181">
        <v>0.99983339999999998</v>
      </c>
      <c r="N1181">
        <v>-1.4494679999999999E-2</v>
      </c>
      <c r="O1181">
        <v>-1.1104660000000001E-2</v>
      </c>
      <c r="P1181">
        <v>0.9542351</v>
      </c>
      <c r="Q1181">
        <v>0.29608040000000002</v>
      </c>
      <c r="R1181">
        <v>4.2092770000000002E-2</v>
      </c>
      <c r="S1181">
        <v>3.2753299999999999</v>
      </c>
      <c r="T1181">
        <v>-0.38334810000000002</v>
      </c>
      <c r="U1181">
        <v>-0.3006897</v>
      </c>
      <c r="V1181">
        <v>-5.2929110000000001E-2</v>
      </c>
      <c r="W1181">
        <v>0.30983179999999999</v>
      </c>
      <c r="X1181">
        <v>0.94931699999999997</v>
      </c>
      <c r="Y1181">
        <v>7.9804810000000004E-2</v>
      </c>
      <c r="Z1181">
        <v>-4.0942510000000001E-3</v>
      </c>
      <c r="AA1181">
        <v>0.99680210000000002</v>
      </c>
      <c r="AB1181">
        <v>33</v>
      </c>
      <c r="AC1181">
        <v>0.584699999999997</v>
      </c>
      <c r="AD1181">
        <v>-0.101002999999999</v>
      </c>
      <c r="AE1181">
        <v>-7.6600000000041704E-2</v>
      </c>
      <c r="AF1181">
        <v>6.81037576911981E-2</v>
      </c>
      <c r="AG1181">
        <v>-0.101002999999999</v>
      </c>
      <c r="AH1181">
        <v>0.56882711429055199</v>
      </c>
      <c r="AI1181">
        <v>99.998750664039505</v>
      </c>
      <c r="AJ1181">
        <v>83.172667267412294</v>
      </c>
      <c r="AK1181">
        <v>0.58172503278849697</v>
      </c>
      <c r="AL1181">
        <v>71.950905740078397</v>
      </c>
      <c r="AM1181">
        <v>93.191218587739598</v>
      </c>
      <c r="AN1181">
        <v>1.00000000073281</v>
      </c>
    </row>
    <row r="1182" spans="1:40" x14ac:dyDescent="0.25">
      <c r="A1182" t="str">
        <f>"20190304164353855"</f>
        <v>20190304164353855</v>
      </c>
      <c r="B1182" t="str">
        <f>"1551689033841227"</f>
        <v>1551689033841227</v>
      </c>
      <c r="C1182" t="s">
        <v>40</v>
      </c>
      <c r="D1182">
        <v>5.2542730000000004</v>
      </c>
      <c r="E1182">
        <v>0.56570959999999904</v>
      </c>
      <c r="F1182" t="s">
        <v>41</v>
      </c>
      <c r="G1182">
        <v>-238.3133</v>
      </c>
      <c r="H1182">
        <v>1.0081990000000001</v>
      </c>
      <c r="I1182">
        <v>367.82859999999999</v>
      </c>
      <c r="J1182">
        <v>-239.00739999999999</v>
      </c>
      <c r="K1182">
        <v>1.1110059999999999</v>
      </c>
      <c r="L1182">
        <v>367.9058</v>
      </c>
      <c r="M1182">
        <v>0.99983639999999996</v>
      </c>
      <c r="N1182">
        <v>-1.4492659999999999E-2</v>
      </c>
      <c r="O1182">
        <v>-1.083751E-2</v>
      </c>
      <c r="P1182">
        <v>0.95415170000000005</v>
      </c>
      <c r="Q1182">
        <v>0.296211</v>
      </c>
      <c r="R1182">
        <v>4.3058220000000001E-2</v>
      </c>
      <c r="S1182">
        <v>3.276062</v>
      </c>
      <c r="T1182">
        <v>-0.38398870000000002</v>
      </c>
      <c r="U1182">
        <v>-0.29507450000000002</v>
      </c>
      <c r="V1182">
        <v>-5.3655599999999998E-2</v>
      </c>
      <c r="W1182">
        <v>0.30995600000000001</v>
      </c>
      <c r="X1182">
        <v>0.94923570000000002</v>
      </c>
      <c r="Y1182">
        <v>7.8364279999999994E-2</v>
      </c>
      <c r="Z1182">
        <v>-4.0320109999999899E-3</v>
      </c>
      <c r="AA1182">
        <v>0.99691669999999999</v>
      </c>
      <c r="AB1182">
        <v>33</v>
      </c>
      <c r="AC1182">
        <v>0.69409999999999095</v>
      </c>
      <c r="AD1182">
        <v>-0.102806999999999</v>
      </c>
      <c r="AE1182">
        <v>-7.7200000000004806E-2</v>
      </c>
      <c r="AF1182">
        <v>6.8194574540567501E-2</v>
      </c>
      <c r="AG1182">
        <v>-0.102806999999999</v>
      </c>
      <c r="AH1182">
        <v>0.68015687592643104</v>
      </c>
      <c r="AI1182">
        <v>98.553056952961001</v>
      </c>
      <c r="AJ1182">
        <v>84.274487182743698</v>
      </c>
      <c r="AK1182">
        <v>0.69125476860255497</v>
      </c>
      <c r="AL1182">
        <v>71.943421688313606</v>
      </c>
      <c r="AM1182">
        <v>93.235204429012995</v>
      </c>
      <c r="AN1182">
        <v>1.0000000297509199</v>
      </c>
    </row>
    <row r="1183" spans="1:40" x14ac:dyDescent="0.25">
      <c r="A1183" t="str">
        <f>"20190304164353867"</f>
        <v>20190304164353867</v>
      </c>
      <c r="B1183" t="str">
        <f>"1551689033860748"</f>
        <v>1551689033860748</v>
      </c>
      <c r="C1183" t="s">
        <v>40</v>
      </c>
      <c r="D1183">
        <v>5.2338329999999997</v>
      </c>
      <c r="E1183">
        <v>0.56569650000000005</v>
      </c>
      <c r="F1183" t="s">
        <v>41</v>
      </c>
      <c r="G1183">
        <v>-238.0265</v>
      </c>
      <c r="H1183">
        <v>0.9962704</v>
      </c>
      <c r="I1183">
        <v>367.81810000000002</v>
      </c>
      <c r="J1183">
        <v>-238.82929999999999</v>
      </c>
      <c r="K1183">
        <v>1.1110249999999999</v>
      </c>
      <c r="L1183">
        <v>367.90410000000003</v>
      </c>
      <c r="M1183">
        <v>0.99983929999999999</v>
      </c>
      <c r="N1183">
        <v>-1.4490670000000001E-2</v>
      </c>
      <c r="O1183">
        <v>-1.056582E-2</v>
      </c>
      <c r="P1183">
        <v>0.95404299999999997</v>
      </c>
      <c r="Q1183">
        <v>0.29638690000000001</v>
      </c>
      <c r="R1183">
        <v>4.4237940000000003E-2</v>
      </c>
      <c r="S1183">
        <v>3.2763819999999999</v>
      </c>
      <c r="T1183">
        <v>-0.38348589999999999</v>
      </c>
      <c r="U1183">
        <v>-0.29217530000000003</v>
      </c>
      <c r="V1183">
        <v>-5.4586629999999997E-2</v>
      </c>
      <c r="W1183">
        <v>0.3101256</v>
      </c>
      <c r="X1183">
        <v>0.94912719999999995</v>
      </c>
      <c r="Y1183">
        <v>7.7755909999999998E-2</v>
      </c>
      <c r="Z1183">
        <v>-4.015256E-3</v>
      </c>
      <c r="AA1183">
        <v>0.99696430000000003</v>
      </c>
      <c r="AB1183">
        <v>33</v>
      </c>
      <c r="AC1183">
        <v>0.80279999999998997</v>
      </c>
      <c r="AD1183">
        <v>-0.114754599999999</v>
      </c>
      <c r="AE1183">
        <v>-8.6000000000012705E-2</v>
      </c>
      <c r="AF1183">
        <v>7.5977262025376399E-2</v>
      </c>
      <c r="AG1183">
        <v>-0.114754599999999</v>
      </c>
      <c r="AH1183">
        <v>0.78775068802400305</v>
      </c>
      <c r="AI1183">
        <v>98.250437470803305</v>
      </c>
      <c r="AJ1183">
        <v>84.490956090667098</v>
      </c>
      <c r="AK1183">
        <v>0.79968263020295904</v>
      </c>
      <c r="AL1183">
        <v>71.933200387431199</v>
      </c>
      <c r="AM1183">
        <v>93.291594629206699</v>
      </c>
      <c r="AN1183">
        <v>1.0000000148649699</v>
      </c>
    </row>
    <row r="1184" spans="1:40" x14ac:dyDescent="0.25">
      <c r="A1184" t="str">
        <f>"20190304164353878"</f>
        <v>20190304164353878</v>
      </c>
      <c r="B1184" t="str">
        <f>"1551689033871484"</f>
        <v>1551689033871484</v>
      </c>
      <c r="C1184" t="s">
        <v>40</v>
      </c>
      <c r="D1184">
        <v>5.2161479999999996</v>
      </c>
      <c r="E1184">
        <v>0.56571879999999997</v>
      </c>
      <c r="F1184" t="s">
        <v>41</v>
      </c>
      <c r="G1184">
        <v>-238.01669999999999</v>
      </c>
      <c r="H1184">
        <v>1.0157929999999999</v>
      </c>
      <c r="I1184">
        <v>367.83249999999998</v>
      </c>
      <c r="J1184">
        <v>-238.66909999999999</v>
      </c>
      <c r="K1184">
        <v>1.11104</v>
      </c>
      <c r="L1184">
        <v>367.90260000000001</v>
      </c>
      <c r="M1184">
        <v>0.99984189999999995</v>
      </c>
      <c r="N1184">
        <v>-1.4488920000000001E-2</v>
      </c>
      <c r="O1184">
        <v>-1.031898E-2</v>
      </c>
      <c r="P1184">
        <v>0.95388329999999999</v>
      </c>
      <c r="Q1184">
        <v>0.29680669999999998</v>
      </c>
      <c r="R1184">
        <v>4.486122E-2</v>
      </c>
      <c r="S1184">
        <v>3.2772519999999998</v>
      </c>
      <c r="T1184">
        <v>-0.38433329999999999</v>
      </c>
      <c r="U1184">
        <v>-0.28802489999999997</v>
      </c>
      <c r="V1184">
        <v>-5.498161E-2</v>
      </c>
      <c r="W1184">
        <v>0.31053950000000002</v>
      </c>
      <c r="X1184">
        <v>0.94896910000000001</v>
      </c>
      <c r="Y1184">
        <v>7.6730409999999999E-2</v>
      </c>
      <c r="Z1184">
        <v>-3.9796409999999999E-3</v>
      </c>
      <c r="AA1184">
        <v>0.99704389999999998</v>
      </c>
      <c r="AB1184">
        <v>33</v>
      </c>
      <c r="AC1184">
        <v>0.65239999999999998</v>
      </c>
      <c r="AD1184">
        <v>-9.5246999999999998E-2</v>
      </c>
      <c r="AE1184">
        <v>-7.0100000000024906E-2</v>
      </c>
      <c r="AF1184">
        <v>6.2055866663476199E-2</v>
      </c>
      <c r="AG1184">
        <v>-9.5246999999999998E-2</v>
      </c>
      <c r="AH1184">
        <v>0.63961131391742199</v>
      </c>
      <c r="AI1184">
        <v>98.430880418132006</v>
      </c>
      <c r="AJ1184">
        <v>84.458438225704697</v>
      </c>
      <c r="AK1184">
        <v>0.64963493939868</v>
      </c>
      <c r="AL1184">
        <v>71.908254776535898</v>
      </c>
      <c r="AM1184">
        <v>93.315910248024295</v>
      </c>
      <c r="AN1184">
        <v>1.00000005562662</v>
      </c>
    </row>
    <row r="1185" spans="1:40" x14ac:dyDescent="0.25">
      <c r="A1185" t="str">
        <f>"20190304164353891"</f>
        <v>20190304164353891</v>
      </c>
      <c r="B1185" t="str">
        <f>"1551689033881243"</f>
        <v>1551689033881243</v>
      </c>
      <c r="C1185" t="s">
        <v>40</v>
      </c>
      <c r="D1185">
        <v>5.215884</v>
      </c>
      <c r="E1185">
        <v>0.56575299999999995</v>
      </c>
      <c r="F1185" t="s">
        <v>41</v>
      </c>
      <c r="G1185">
        <v>-237.73159999999999</v>
      </c>
      <c r="H1185">
        <v>1.0013909999999999</v>
      </c>
      <c r="I1185">
        <v>367.82100000000003</v>
      </c>
      <c r="J1185">
        <v>-238.4785</v>
      </c>
      <c r="K1185">
        <v>1.111054</v>
      </c>
      <c r="L1185">
        <v>367.90089999999998</v>
      </c>
      <c r="M1185">
        <v>0.99984490000000004</v>
      </c>
      <c r="N1185">
        <v>-1.448694E-2</v>
      </c>
      <c r="O1185">
        <v>-1.0021250000000001E-2</v>
      </c>
      <c r="P1185">
        <v>0.95386199999999999</v>
      </c>
      <c r="Q1185">
        <v>0.29672379999999998</v>
      </c>
      <c r="R1185">
        <v>4.5851639999999999E-2</v>
      </c>
      <c r="S1185">
        <v>3.2777859999999999</v>
      </c>
      <c r="T1185">
        <v>-0.38348379999999999</v>
      </c>
      <c r="U1185">
        <v>-0.28500370000000003</v>
      </c>
      <c r="V1185">
        <v>-5.5696410000000002E-2</v>
      </c>
      <c r="W1185">
        <v>0.31045240000000002</v>
      </c>
      <c r="X1185">
        <v>0.94895589999999996</v>
      </c>
      <c r="Y1185">
        <v>7.6106579999999993E-2</v>
      </c>
      <c r="Z1185">
        <v>-3.9614400000000001E-3</v>
      </c>
      <c r="AA1185">
        <v>0.99709179999999997</v>
      </c>
      <c r="AB1185">
        <v>33</v>
      </c>
      <c r="AC1185">
        <v>0.74690000000001</v>
      </c>
      <c r="AD1185">
        <v>-0.109663</v>
      </c>
      <c r="AE1185">
        <v>-7.9900000000009103E-2</v>
      </c>
      <c r="AF1185">
        <v>7.0899223851613402E-2</v>
      </c>
      <c r="AG1185">
        <v>-0.109663</v>
      </c>
      <c r="AH1185">
        <v>0.732060539447978</v>
      </c>
      <c r="AI1185">
        <v>98.480485230146996</v>
      </c>
      <c r="AJ1185">
        <v>84.468221875270899</v>
      </c>
      <c r="AK1185">
        <v>0.74361637080461496</v>
      </c>
      <c r="AL1185">
        <v>71.913504453274001</v>
      </c>
      <c r="AM1185">
        <v>93.3589679803856</v>
      </c>
      <c r="AN1185">
        <v>1.00000004144872</v>
      </c>
    </row>
    <row r="1186" spans="1:40" x14ac:dyDescent="0.25">
      <c r="A1186" t="str">
        <f>"20190304164353905"</f>
        <v>20190304164353905</v>
      </c>
      <c r="B1186" t="str">
        <f>"1551689033891004"</f>
        <v>1551689033891004</v>
      </c>
      <c r="C1186" t="s">
        <v>40</v>
      </c>
      <c r="D1186">
        <v>5.2227009999999998</v>
      </c>
      <c r="E1186">
        <v>0.56579950000000001</v>
      </c>
      <c r="F1186" t="s">
        <v>41</v>
      </c>
      <c r="G1186">
        <v>-237.72110000000001</v>
      </c>
      <c r="H1186">
        <v>1.0222070000000001</v>
      </c>
      <c r="I1186">
        <v>367.8356</v>
      </c>
      <c r="J1186">
        <v>-238.27979999999999</v>
      </c>
      <c r="K1186">
        <v>1.1110629999999999</v>
      </c>
      <c r="L1186">
        <v>367.89920000000001</v>
      </c>
      <c r="M1186">
        <v>0.99984799999999996</v>
      </c>
      <c r="N1186">
        <v>-1.4484810000000001E-2</v>
      </c>
      <c r="O1186">
        <v>-9.708899E-3</v>
      </c>
      <c r="P1186">
        <v>0.95386590000000004</v>
      </c>
      <c r="Q1186">
        <v>0.296633799999999</v>
      </c>
      <c r="R1186">
        <v>4.6349899999999999E-2</v>
      </c>
      <c r="S1186">
        <v>3.2783199999999999</v>
      </c>
      <c r="T1186">
        <v>-0.38468459999999899</v>
      </c>
      <c r="U1186">
        <v>-0.28195189999999998</v>
      </c>
      <c r="V1186">
        <v>-5.5903630000000003E-2</v>
      </c>
      <c r="W1186">
        <v>0.310359</v>
      </c>
      <c r="X1186">
        <v>0.94897430000000005</v>
      </c>
      <c r="Y1186">
        <v>7.5482930000000004E-2</v>
      </c>
      <c r="Z1186">
        <v>-3.9620840000000003E-3</v>
      </c>
      <c r="AA1186">
        <v>0.9971392</v>
      </c>
      <c r="AB1186">
        <v>33</v>
      </c>
      <c r="AC1186">
        <v>0.55869999999998698</v>
      </c>
      <c r="AD1186">
        <v>-8.8856000000000004E-2</v>
      </c>
      <c r="AE1186">
        <v>-6.3600000000008095E-2</v>
      </c>
      <c r="AF1186">
        <v>5.6754882172247299E-2</v>
      </c>
      <c r="AG1186">
        <v>-8.8856000000000004E-2</v>
      </c>
      <c r="AH1186">
        <v>0.54566575174276999</v>
      </c>
      <c r="AI1186">
        <v>99.200068455073605</v>
      </c>
      <c r="AJ1186">
        <v>84.061997614309504</v>
      </c>
      <c r="AK1186">
        <v>0.55575859688482399</v>
      </c>
      <c r="AL1186">
        <v>71.919134550162894</v>
      </c>
      <c r="AM1186">
        <v>93.371371118421294</v>
      </c>
      <c r="AN1186">
        <v>1.0000000733943299</v>
      </c>
    </row>
    <row r="1187" spans="1:40" x14ac:dyDescent="0.25">
      <c r="A1187" t="str">
        <f>"20190304164353920"</f>
        <v>20190304164353920</v>
      </c>
      <c r="B1187" t="str">
        <f>"1551689033911499"</f>
        <v>1551689033911499</v>
      </c>
      <c r="C1187" t="s">
        <v>40</v>
      </c>
      <c r="D1187">
        <v>5.2090550000000002</v>
      </c>
      <c r="E1187">
        <v>0.5658668</v>
      </c>
      <c r="F1187" t="s">
        <v>41</v>
      </c>
      <c r="G1187">
        <v>-237.43440000000001</v>
      </c>
      <c r="H1187">
        <v>1.0115529999999999</v>
      </c>
      <c r="I1187">
        <v>367.827</v>
      </c>
      <c r="J1187">
        <v>-238.04759999999999</v>
      </c>
      <c r="K1187">
        <v>1.1110660000000001</v>
      </c>
      <c r="L1187">
        <v>367.89729999999997</v>
      </c>
      <c r="M1187">
        <v>0.9998515</v>
      </c>
      <c r="N1187">
        <v>-1.448229E-2</v>
      </c>
      <c r="O1187">
        <v>-9.3433920000000007E-3</v>
      </c>
      <c r="P1187">
        <v>0.95399350000000005</v>
      </c>
      <c r="Q1187">
        <v>0.29611150000000003</v>
      </c>
      <c r="R1187">
        <v>4.7059370000000003E-2</v>
      </c>
      <c r="S1187">
        <v>3.278778</v>
      </c>
      <c r="T1187">
        <v>-0.38614890000000002</v>
      </c>
      <c r="U1187">
        <v>-0.27920529999999999</v>
      </c>
      <c r="V1187">
        <v>-5.6271219999999997E-2</v>
      </c>
      <c r="W1187">
        <v>0.30983539999999998</v>
      </c>
      <c r="X1187">
        <v>0.94912359999999896</v>
      </c>
      <c r="Y1187">
        <v>7.5004479999999998E-2</v>
      </c>
      <c r="Z1187">
        <v>-3.9800230000000001E-3</v>
      </c>
      <c r="AA1187">
        <v>0.99717529999999999</v>
      </c>
      <c r="AB1187">
        <v>33</v>
      </c>
      <c r="AC1187">
        <v>0.61319999999997699</v>
      </c>
      <c r="AD1187">
        <v>-9.9512999999999699E-2</v>
      </c>
      <c r="AE1187">
        <v>-7.0299999999974702E-2</v>
      </c>
      <c r="AF1187">
        <v>6.29310886067172E-2</v>
      </c>
      <c r="AG1187">
        <v>-9.9512999999999699E-2</v>
      </c>
      <c r="AH1187">
        <v>0.59827809088043704</v>
      </c>
      <c r="AI1187">
        <v>99.392795374334995</v>
      </c>
      <c r="AJ1187">
        <v>83.995308735476499</v>
      </c>
      <c r="AK1187">
        <v>0.60975391192657902</v>
      </c>
      <c r="AL1187">
        <v>71.950689097662902</v>
      </c>
      <c r="AM1187">
        <v>93.392955112505504</v>
      </c>
      <c r="AN1187">
        <v>1.0000000166852001</v>
      </c>
    </row>
    <row r="1188" spans="1:40" x14ac:dyDescent="0.25">
      <c r="A1188" t="str">
        <f>"20190304164353937"</f>
        <v>20190304164353937</v>
      </c>
      <c r="B1188" t="str">
        <f>"1551689033931526"</f>
        <v>1551689033931526</v>
      </c>
      <c r="C1188" t="s">
        <v>40</v>
      </c>
      <c r="D1188">
        <v>5.2862280000000004</v>
      </c>
      <c r="E1188">
        <v>0.56662419999999902</v>
      </c>
      <c r="F1188" t="s">
        <v>41</v>
      </c>
      <c r="G1188">
        <v>-237.1463</v>
      </c>
      <c r="H1188">
        <v>1.004267</v>
      </c>
      <c r="I1188">
        <v>367.82119999999998</v>
      </c>
      <c r="J1188">
        <v>-237.8056</v>
      </c>
      <c r="K1188">
        <v>1.1110709999999999</v>
      </c>
      <c r="L1188">
        <v>367.8954</v>
      </c>
      <c r="M1188">
        <v>0.99985520000000006</v>
      </c>
      <c r="N1188">
        <v>-1.447961E-2</v>
      </c>
      <c r="O1188">
        <v>-8.9644389999999994E-3</v>
      </c>
      <c r="P1188">
        <v>0.95404350000000004</v>
      </c>
      <c r="Q1188">
        <v>0.2959098</v>
      </c>
      <c r="R1188">
        <v>4.7317379999999999E-2</v>
      </c>
      <c r="S1188">
        <v>3.279007</v>
      </c>
      <c r="T1188">
        <v>-0.38882650000000002</v>
      </c>
      <c r="U1188">
        <v>-0.27651979999999998</v>
      </c>
      <c r="V1188">
        <v>-5.6172850000000003E-2</v>
      </c>
      <c r="W1188">
        <v>0.3096314</v>
      </c>
      <c r="X1188">
        <v>0.94919600000000004</v>
      </c>
      <c r="Y1188">
        <v>7.4560310000000005E-2</v>
      </c>
      <c r="Z1188">
        <v>-4.0123040000000004E-3</v>
      </c>
      <c r="AA1188">
        <v>0.99720839999999999</v>
      </c>
      <c r="AB1188">
        <v>33</v>
      </c>
      <c r="AC1188">
        <v>0.659300000000001</v>
      </c>
      <c r="AD1188">
        <v>-0.106803999999999</v>
      </c>
      <c r="AE1188">
        <v>-7.4200000000018904E-2</v>
      </c>
      <c r="AF1188">
        <v>6.6561244369858594E-2</v>
      </c>
      <c r="AG1188">
        <v>-0.106803999999999</v>
      </c>
      <c r="AH1188">
        <v>0.64326875359642099</v>
      </c>
      <c r="AI1188">
        <v>99.3778341808069</v>
      </c>
      <c r="AJ1188">
        <v>84.092431159412598</v>
      </c>
      <c r="AK1188">
        <v>0.65546333461266704</v>
      </c>
      <c r="AL1188">
        <v>71.9629820128538</v>
      </c>
      <c r="AM1188">
        <v>93.386779825802705</v>
      </c>
      <c r="AN1188">
        <v>1.00000001967954</v>
      </c>
    </row>
    <row r="1189" spans="1:40" x14ac:dyDescent="0.25">
      <c r="A1189" t="str">
        <f>"20190304164353949"</f>
        <v>20190304164353949</v>
      </c>
      <c r="B1189" t="str">
        <f>"1551689033941286"</f>
        <v>1551689033941286</v>
      </c>
      <c r="C1189" t="s">
        <v>40</v>
      </c>
      <c r="D1189">
        <v>5.29033</v>
      </c>
      <c r="E1189">
        <v>0.56700399999999995</v>
      </c>
      <c r="F1189" t="s">
        <v>41</v>
      </c>
      <c r="G1189">
        <v>-236.85810000000001</v>
      </c>
      <c r="H1189">
        <v>0.99786109999999995</v>
      </c>
      <c r="I1189">
        <v>367.81380000000001</v>
      </c>
      <c r="J1189">
        <v>-237.6335</v>
      </c>
      <c r="K1189">
        <v>1.111076</v>
      </c>
      <c r="L1189">
        <v>367.89409999999998</v>
      </c>
      <c r="M1189">
        <v>0.99985740000000001</v>
      </c>
      <c r="N1189">
        <v>-1.447765E-2</v>
      </c>
      <c r="O1189">
        <v>-8.6956869999999901E-3</v>
      </c>
      <c r="P1189">
        <v>0.95401610000000003</v>
      </c>
      <c r="Q1189">
        <v>0.29600520000000002</v>
      </c>
      <c r="R1189">
        <v>4.7268699999999997E-2</v>
      </c>
      <c r="S1189">
        <v>3.28009</v>
      </c>
      <c r="T1189">
        <v>-0.392067</v>
      </c>
      <c r="U1189">
        <v>-0.2817383</v>
      </c>
      <c r="V1189">
        <v>-5.5870080000000003E-2</v>
      </c>
      <c r="W1189">
        <v>0.30972470000000002</v>
      </c>
      <c r="X1189">
        <v>0.94918340000000001</v>
      </c>
      <c r="Y1189">
        <v>7.6352240000000002E-2</v>
      </c>
      <c r="Z1189">
        <v>-4.1862230000000002E-3</v>
      </c>
      <c r="AA1189">
        <v>0.99707210000000002</v>
      </c>
      <c r="AB1189">
        <v>33</v>
      </c>
      <c r="AC1189">
        <v>0.77539999999998999</v>
      </c>
      <c r="AD1189">
        <v>-0.11321489999999999</v>
      </c>
      <c r="AE1189">
        <v>-8.0299999999965593E-2</v>
      </c>
      <c r="AF1189">
        <v>7.2034257005708494E-2</v>
      </c>
      <c r="AG1189">
        <v>-0.11321489999999999</v>
      </c>
      <c r="AH1189">
        <v>0.760038105944983</v>
      </c>
      <c r="AI1189">
        <v>98.435199255614194</v>
      </c>
      <c r="AJ1189">
        <v>84.585841073196704</v>
      </c>
      <c r="AK1189">
        <v>0.77179302293607999</v>
      </c>
      <c r="AL1189">
        <v>71.957359413188996</v>
      </c>
      <c r="AM1189">
        <v>93.368611946049</v>
      </c>
      <c r="AN1189">
        <v>0.999999991232428</v>
      </c>
    </row>
    <row r="1190" spans="1:40" x14ac:dyDescent="0.25">
      <c r="A1190" t="str">
        <f>"20190304164353959"</f>
        <v>20190304164353959</v>
      </c>
      <c r="B1190" t="str">
        <f>"1551689033951046"</f>
        <v>1551689033951046</v>
      </c>
      <c r="C1190" t="s">
        <v>40</v>
      </c>
      <c r="D1190">
        <v>5.2457560000000001</v>
      </c>
      <c r="E1190">
        <v>0.56736549999999997</v>
      </c>
      <c r="F1190" t="s">
        <v>41</v>
      </c>
      <c r="G1190">
        <v>-236.8485</v>
      </c>
      <c r="H1190">
        <v>1.017056</v>
      </c>
      <c r="I1190">
        <v>367.82580000000002</v>
      </c>
      <c r="J1190">
        <v>-237.47450000000001</v>
      </c>
      <c r="K1190">
        <v>1.111075</v>
      </c>
      <c r="L1190">
        <v>367.89299999999997</v>
      </c>
      <c r="M1190">
        <v>0.99985959999999996</v>
      </c>
      <c r="N1190">
        <v>-1.447588E-2</v>
      </c>
      <c r="O1190">
        <v>-8.4488800000000006E-3</v>
      </c>
      <c r="P1190">
        <v>0.95396449999999999</v>
      </c>
      <c r="Q1190">
        <v>0.29620159999999901</v>
      </c>
      <c r="R1190">
        <v>4.7080370000000003E-2</v>
      </c>
      <c r="S1190">
        <v>3.2807010000000001</v>
      </c>
      <c r="T1190">
        <v>-0.39317999999999997</v>
      </c>
      <c r="U1190">
        <v>-0.28466799999999998</v>
      </c>
      <c r="V1190">
        <v>-5.544864E-2</v>
      </c>
      <c r="W1190">
        <v>0.30991839999999998</v>
      </c>
      <c r="X1190">
        <v>0.94914489999999996</v>
      </c>
      <c r="Y1190">
        <v>7.7453449999999993E-2</v>
      </c>
      <c r="Z1190">
        <v>-4.2947699999999998E-3</v>
      </c>
      <c r="AA1190">
        <v>0.9969867</v>
      </c>
      <c r="AB1190">
        <v>33</v>
      </c>
      <c r="AC1190">
        <v>0.626000000000004</v>
      </c>
      <c r="AD1190">
        <v>-9.4019000000000005E-2</v>
      </c>
      <c r="AE1190">
        <v>-6.7200000000013901E-2</v>
      </c>
      <c r="AF1190">
        <v>6.0557608339823502E-2</v>
      </c>
      <c r="AG1190">
        <v>-9.4019000000000005E-2</v>
      </c>
      <c r="AH1190">
        <v>0.61287823826173204</v>
      </c>
      <c r="AI1190">
        <v>98.679886457891996</v>
      </c>
      <c r="AJ1190">
        <v>84.357004128367507</v>
      </c>
      <c r="AK1190">
        <v>0.62299801863540805</v>
      </c>
      <c r="AL1190">
        <v>71.945687103935697</v>
      </c>
      <c r="AM1190">
        <v>93.343394944958106</v>
      </c>
      <c r="AN1190">
        <v>1.0000000037662</v>
      </c>
    </row>
    <row r="1191" spans="1:40" x14ac:dyDescent="0.25">
      <c r="A1191" t="str">
        <f>"20190304164353972"</f>
        <v>20190304164353972</v>
      </c>
      <c r="B1191" t="str">
        <f>"1551689033960807"</f>
        <v>1551689033960807</v>
      </c>
      <c r="C1191" t="s">
        <v>40</v>
      </c>
      <c r="D1191">
        <v>5.2617560000000001</v>
      </c>
      <c r="E1191">
        <v>0.56775410000000004</v>
      </c>
      <c r="F1191" t="s">
        <v>41</v>
      </c>
      <c r="G1191">
        <v>-236.565</v>
      </c>
      <c r="H1191">
        <v>1.00197</v>
      </c>
      <c r="I1191">
        <v>367.81279999999998</v>
      </c>
      <c r="J1191">
        <v>-237.28829999999999</v>
      </c>
      <c r="K1191">
        <v>1.1110789999999999</v>
      </c>
      <c r="L1191">
        <v>367.89170000000001</v>
      </c>
      <c r="M1191">
        <v>0.99986209999999998</v>
      </c>
      <c r="N1191">
        <v>-1.447384E-2</v>
      </c>
      <c r="O1191">
        <v>-8.1610629999999997E-3</v>
      </c>
      <c r="P1191">
        <v>0.9539204</v>
      </c>
      <c r="Q1191">
        <v>0.29637960000000002</v>
      </c>
      <c r="R1191">
        <v>4.6854550000000002E-2</v>
      </c>
      <c r="S1191">
        <v>3.281326</v>
      </c>
      <c r="T1191">
        <v>-0.39395019999999997</v>
      </c>
      <c r="U1191">
        <v>-0.28845209999999999</v>
      </c>
      <c r="V1191">
        <v>-5.4950199999999998E-2</v>
      </c>
      <c r="W1191">
        <v>0.31009429999999999</v>
      </c>
      <c r="X1191">
        <v>0.94911639999999997</v>
      </c>
      <c r="Y1191">
        <v>7.8850489999999995E-2</v>
      </c>
      <c r="Z1191">
        <v>-4.4246479999999998E-3</v>
      </c>
      <c r="AA1191">
        <v>0.99687669999999995</v>
      </c>
      <c r="AB1191">
        <v>33</v>
      </c>
      <c r="AC1191">
        <v>0.72329999999999395</v>
      </c>
      <c r="AD1191">
        <v>-0.109109</v>
      </c>
      <c r="AE1191">
        <v>-7.8900000000032805E-2</v>
      </c>
      <c r="AF1191">
        <v>7.1388487525103406E-2</v>
      </c>
      <c r="AG1191">
        <v>-0.109109</v>
      </c>
      <c r="AH1191">
        <v>0.707998552753209</v>
      </c>
      <c r="AI1191">
        <v>98.717359054672599</v>
      </c>
      <c r="AJ1191">
        <v>84.242246504350504</v>
      </c>
      <c r="AK1191">
        <v>0.71990488311495804</v>
      </c>
      <c r="AL1191">
        <v>71.935085903908302</v>
      </c>
      <c r="AM1191">
        <v>93.313506971986499</v>
      </c>
      <c r="AN1191">
        <v>0.99999997006074404</v>
      </c>
    </row>
    <row r="1192" spans="1:40" x14ac:dyDescent="0.25">
      <c r="A1192" t="str">
        <f>"20190304164353988"</f>
        <v>20190304164353988</v>
      </c>
      <c r="B1192" t="str">
        <f>"1551689033981302"</f>
        <v>1551689033981302</v>
      </c>
      <c r="C1192" t="s">
        <v>40</v>
      </c>
      <c r="D1192">
        <v>5.2813970000000001</v>
      </c>
      <c r="E1192">
        <v>0.56847360000000002</v>
      </c>
      <c r="F1192" t="s">
        <v>41</v>
      </c>
      <c r="G1192">
        <v>-236.55449999999999</v>
      </c>
      <c r="H1192">
        <v>1.0230079999999999</v>
      </c>
      <c r="I1192">
        <v>367.82600000000002</v>
      </c>
      <c r="J1192">
        <v>-237.06610000000001</v>
      </c>
      <c r="K1192">
        <v>1.1110799999999901</v>
      </c>
      <c r="L1192">
        <v>367.89019999999999</v>
      </c>
      <c r="M1192">
        <v>0.9998648</v>
      </c>
      <c r="N1192">
        <v>-1.44715E-2</v>
      </c>
      <c r="O1192">
        <v>-7.818663E-3</v>
      </c>
      <c r="P1192">
        <v>0.95410450000000002</v>
      </c>
      <c r="Q1192">
        <v>0.29590749999999999</v>
      </c>
      <c r="R1192">
        <v>4.6083449999999998E-2</v>
      </c>
      <c r="S1192">
        <v>3.2817690000000002</v>
      </c>
      <c r="T1192">
        <v>-0.39424130000000002</v>
      </c>
      <c r="U1192">
        <v>-0.29232789999999997</v>
      </c>
      <c r="V1192">
        <v>-5.3855460000000001E-2</v>
      </c>
      <c r="W1192">
        <v>0.3096237</v>
      </c>
      <c r="X1192">
        <v>0.94933279999999998</v>
      </c>
      <c r="Y1192">
        <v>8.0333840000000004E-2</v>
      </c>
      <c r="Z1192">
        <v>-4.5619800000000002E-3</v>
      </c>
      <c r="AA1192">
        <v>0.99675760000000002</v>
      </c>
      <c r="AB1192">
        <v>33</v>
      </c>
      <c r="AC1192">
        <v>0.51160000000001504</v>
      </c>
      <c r="AD1192">
        <v>-8.80719999999999E-2</v>
      </c>
      <c r="AE1192">
        <v>-6.4200000000027999E-2</v>
      </c>
      <c r="AF1192">
        <v>5.8491043519856602E-2</v>
      </c>
      <c r="AG1192">
        <v>-8.80719999999999E-2</v>
      </c>
      <c r="AH1192">
        <v>0.49756918509395698</v>
      </c>
      <c r="AI1192">
        <v>99.970384045984602</v>
      </c>
      <c r="AJ1192">
        <v>83.295445560181193</v>
      </c>
      <c r="AK1192">
        <v>0.50867767133137098</v>
      </c>
      <c r="AL1192">
        <v>71.963445729734104</v>
      </c>
      <c r="AM1192">
        <v>93.2468979725449</v>
      </c>
      <c r="AN1192">
        <v>1.0000000056646701</v>
      </c>
    </row>
    <row r="1193" spans="1:40" x14ac:dyDescent="0.25">
      <c r="A1193" t="str">
        <f>"20190304164354001"</f>
        <v>20190304164354001</v>
      </c>
      <c r="B1193" t="str">
        <f>"1551689033991062"</f>
        <v>1551689033991062</v>
      </c>
      <c r="C1193" t="s">
        <v>40</v>
      </c>
      <c r="D1193">
        <v>5.2763010000000001</v>
      </c>
      <c r="E1193">
        <v>0.568802699999999</v>
      </c>
      <c r="F1193" t="s">
        <v>41</v>
      </c>
      <c r="G1193">
        <v>-236.2681</v>
      </c>
      <c r="H1193">
        <v>1.014545</v>
      </c>
      <c r="I1193">
        <v>367.81670000000003</v>
      </c>
      <c r="J1193">
        <v>-236.87569999999999</v>
      </c>
      <c r="K1193">
        <v>1.1110799999999901</v>
      </c>
      <c r="L1193">
        <v>367.88900000000001</v>
      </c>
      <c r="M1193">
        <v>0.99986710000000001</v>
      </c>
      <c r="N1193">
        <v>-1.446947E-2</v>
      </c>
      <c r="O1193">
        <v>-7.5257450000000004E-3</v>
      </c>
      <c r="P1193">
        <v>0.95418159999999996</v>
      </c>
      <c r="Q1193">
        <v>0.29573470000000002</v>
      </c>
      <c r="R1193">
        <v>4.559175E-2</v>
      </c>
      <c r="S1193">
        <v>3.2820740000000002</v>
      </c>
      <c r="T1193">
        <v>-0.3972521</v>
      </c>
      <c r="U1193">
        <v>-0.30184939999999999</v>
      </c>
      <c r="V1193">
        <v>-5.308541E-2</v>
      </c>
      <c r="W1193">
        <v>0.30945099999999998</v>
      </c>
      <c r="X1193">
        <v>0.94943250000000001</v>
      </c>
      <c r="Y1193">
        <v>8.3450209999999997E-2</v>
      </c>
      <c r="Z1193">
        <v>-4.8316469999999997E-3</v>
      </c>
      <c r="AA1193">
        <v>0.99650030000000001</v>
      </c>
      <c r="AB1193">
        <v>33</v>
      </c>
      <c r="AC1193">
        <v>0.60759999999999004</v>
      </c>
      <c r="AD1193">
        <v>-9.6534999999999802E-2</v>
      </c>
      <c r="AE1193">
        <v>-7.2299999999984196E-2</v>
      </c>
      <c r="AF1193">
        <v>6.60800864687342E-2</v>
      </c>
      <c r="AG1193">
        <v>-9.6534999999999802E-2</v>
      </c>
      <c r="AH1193">
        <v>0.59335817101258903</v>
      </c>
      <c r="AI1193">
        <v>99.184833640116395</v>
      </c>
      <c r="AJ1193">
        <v>83.645367400265897</v>
      </c>
      <c r="AK1193">
        <v>0.60478054132066805</v>
      </c>
      <c r="AL1193">
        <v>71.973852179985997</v>
      </c>
      <c r="AM1193">
        <v>93.200234161619207</v>
      </c>
      <c r="AN1193">
        <v>1.0000000271060501</v>
      </c>
    </row>
    <row r="1194" spans="1:40" x14ac:dyDescent="0.25">
      <c r="A1194" t="str">
        <f>"20190304164354012"</f>
        <v>20190304164354012</v>
      </c>
      <c r="B1194" t="str">
        <f>"1551689034000822"</f>
        <v>1551689034000822</v>
      </c>
      <c r="C1194" t="s">
        <v>40</v>
      </c>
      <c r="D1194">
        <v>5.2810620000000004</v>
      </c>
      <c r="E1194">
        <v>0.56912419999999997</v>
      </c>
      <c r="F1194" t="s">
        <v>41</v>
      </c>
      <c r="G1194">
        <v>-235.98349999999999</v>
      </c>
      <c r="H1194">
        <v>1.0027980000000001</v>
      </c>
      <c r="I1194">
        <v>367.80549999999999</v>
      </c>
      <c r="J1194">
        <v>-236.70339999999999</v>
      </c>
      <c r="K1194">
        <v>1.1110799999999901</v>
      </c>
      <c r="L1194">
        <v>367.88799999999998</v>
      </c>
      <c r="M1194">
        <v>0.99986900000000001</v>
      </c>
      <c r="N1194">
        <v>-1.446762E-2</v>
      </c>
      <c r="O1194">
        <v>-7.2610869999999899E-3</v>
      </c>
      <c r="P1194">
        <v>0.95424779999999998</v>
      </c>
      <c r="Q1194">
        <v>0.29557549999999999</v>
      </c>
      <c r="R1194">
        <v>4.5237079999999999E-2</v>
      </c>
      <c r="S1194">
        <v>3.2822420000000001</v>
      </c>
      <c r="T1194">
        <v>-0.39863799999999999</v>
      </c>
      <c r="U1194">
        <v>-0.30630489999999999</v>
      </c>
      <c r="V1194">
        <v>-5.2479329999999998E-2</v>
      </c>
      <c r="W1194">
        <v>0.30929220000000002</v>
      </c>
      <c r="X1194">
        <v>0.94951790000000003</v>
      </c>
      <c r="Y1194">
        <v>8.5032060000000007E-2</v>
      </c>
      <c r="Z1194">
        <v>-4.9805520000000001E-3</v>
      </c>
      <c r="AA1194">
        <v>0.99636579999999997</v>
      </c>
      <c r="AB1194">
        <v>33</v>
      </c>
      <c r="AC1194">
        <v>0.71989999999999499</v>
      </c>
      <c r="AD1194">
        <v>-0.108282</v>
      </c>
      <c r="AE1194">
        <v>-8.2500000000038598E-2</v>
      </c>
      <c r="AF1194">
        <v>7.5582219605886097E-2</v>
      </c>
      <c r="AG1194">
        <v>-0.108282</v>
      </c>
      <c r="AH1194">
        <v>0.70474274343759102</v>
      </c>
      <c r="AI1194">
        <v>98.686001392501495</v>
      </c>
      <c r="AJ1194">
        <v>83.878543051787901</v>
      </c>
      <c r="AK1194">
        <v>0.71700766932613402</v>
      </c>
      <c r="AL1194">
        <v>71.983419520225794</v>
      </c>
      <c r="AM1194">
        <v>93.163487533192296</v>
      </c>
      <c r="AN1194">
        <v>0.99999999373924897</v>
      </c>
    </row>
    <row r="1195" spans="1:40" x14ac:dyDescent="0.25">
      <c r="A1195" t="str">
        <f>"20190304164354025"</f>
        <v>20190304164354025</v>
      </c>
      <c r="B1195" t="str">
        <f>"1551689034020849"</f>
        <v>1551689034020849</v>
      </c>
      <c r="C1195" t="s">
        <v>40</v>
      </c>
      <c r="D1195">
        <v>5.2778830000000001</v>
      </c>
      <c r="E1195">
        <v>0.56971959999999999</v>
      </c>
      <c r="F1195" t="s">
        <v>41</v>
      </c>
      <c r="G1195">
        <v>-235.97380000000001</v>
      </c>
      <c r="H1195">
        <v>1.0222719999999901</v>
      </c>
      <c r="I1195">
        <v>367.81889999999999</v>
      </c>
      <c r="J1195">
        <v>-236.52809999999999</v>
      </c>
      <c r="K1195">
        <v>1.1110799999999901</v>
      </c>
      <c r="L1195">
        <v>367.887</v>
      </c>
      <c r="M1195">
        <v>0.99987079999999995</v>
      </c>
      <c r="N1195">
        <v>-1.4465769999999999E-2</v>
      </c>
      <c r="O1195">
        <v>-6.9923800000000003E-3</v>
      </c>
      <c r="P1195">
        <v>0.95431929999999998</v>
      </c>
      <c r="Q1195">
        <v>0.29536109999999999</v>
      </c>
      <c r="R1195">
        <v>4.5128330000000001E-2</v>
      </c>
      <c r="S1195">
        <v>3.2823639999999998</v>
      </c>
      <c r="T1195">
        <v>-0.39990290000000001</v>
      </c>
      <c r="U1195">
        <v>-0.30957030000000002</v>
      </c>
      <c r="V1195">
        <v>-5.2115059999999998E-2</v>
      </c>
      <c r="W1195">
        <v>0.309077299999999</v>
      </c>
      <c r="X1195">
        <v>0.94960800000000001</v>
      </c>
      <c r="Y1195">
        <v>8.6263489999999998E-2</v>
      </c>
      <c r="Z1195">
        <v>-5.1057639999999996E-3</v>
      </c>
      <c r="AA1195">
        <v>0.99625929999999996</v>
      </c>
      <c r="AB1195">
        <v>33</v>
      </c>
      <c r="AC1195">
        <v>0.55429999999998303</v>
      </c>
      <c r="AD1195">
        <v>-8.8807999999999998E-2</v>
      </c>
      <c r="AE1195">
        <v>-6.8099999999958499E-2</v>
      </c>
      <c r="AF1195">
        <v>6.2638083736014802E-2</v>
      </c>
      <c r="AG1195">
        <v>-8.8807999999999998E-2</v>
      </c>
      <c r="AH1195">
        <v>0.54108004421969103</v>
      </c>
      <c r="AI1195">
        <v>99.260145398760798</v>
      </c>
      <c r="AJ1195">
        <v>83.396553166563194</v>
      </c>
      <c r="AK1195">
        <v>0.55188586197773004</v>
      </c>
      <c r="AL1195">
        <v>71.996367918476395</v>
      </c>
      <c r="AM1195">
        <v>93.141275763037598</v>
      </c>
      <c r="AN1195">
        <v>1.00000005525904</v>
      </c>
    </row>
    <row r="1196" spans="1:40" x14ac:dyDescent="0.25">
      <c r="A1196" t="str">
        <f>"20190304164354038"</f>
        <v>20190304164354038</v>
      </c>
      <c r="B1196" t="str">
        <f>"1551689034030608"</f>
        <v>1551689034030608</v>
      </c>
      <c r="C1196" t="s">
        <v>40</v>
      </c>
      <c r="D1196">
        <v>5.2729869999999996</v>
      </c>
      <c r="E1196">
        <v>0.57000419999999996</v>
      </c>
      <c r="F1196" t="s">
        <v>41</v>
      </c>
      <c r="G1196">
        <v>-235.69069999999999</v>
      </c>
      <c r="H1196">
        <v>1.008432</v>
      </c>
      <c r="I1196">
        <v>367.80669999999998</v>
      </c>
      <c r="J1196">
        <v>-236.34229999999999</v>
      </c>
      <c r="K1196">
        <v>1.1110799999999901</v>
      </c>
      <c r="L1196">
        <v>367.88600000000002</v>
      </c>
      <c r="M1196">
        <v>0.99987300000000001</v>
      </c>
      <c r="N1196">
        <v>-1.4463800000000001E-2</v>
      </c>
      <c r="O1196">
        <v>-6.7077029999999998E-3</v>
      </c>
      <c r="P1196">
        <v>0.95437640000000001</v>
      </c>
      <c r="Q1196">
        <v>0.2952477</v>
      </c>
      <c r="R1196">
        <v>4.466407E-2</v>
      </c>
      <c r="S1196">
        <v>3.2830659999999998</v>
      </c>
      <c r="T1196">
        <v>-0.40264939999999999</v>
      </c>
      <c r="U1196">
        <v>-0.31399539999999998</v>
      </c>
      <c r="V1196">
        <v>-5.1379870000000001E-2</v>
      </c>
      <c r="W1196">
        <v>0.30896390000000001</v>
      </c>
      <c r="X1196">
        <v>0.94968490000000005</v>
      </c>
      <c r="Y1196">
        <v>8.7834980000000007E-2</v>
      </c>
      <c r="Z1196">
        <v>-5.2721909999999999E-3</v>
      </c>
      <c r="AA1196">
        <v>0.99612109999999998</v>
      </c>
      <c r="AB1196">
        <v>32</v>
      </c>
      <c r="AC1196">
        <v>0.65160000000000196</v>
      </c>
      <c r="AD1196">
        <v>-0.102647999999999</v>
      </c>
      <c r="AE1196">
        <v>-7.9299999999989199E-2</v>
      </c>
      <c r="AF1196">
        <v>7.3138475779823006E-2</v>
      </c>
      <c r="AG1196">
        <v>-0.102647999999999</v>
      </c>
      <c r="AH1196">
        <v>0.63655096236165898</v>
      </c>
      <c r="AI1196">
        <v>99.101591363367504</v>
      </c>
      <c r="AJ1196">
        <v>83.445567708152595</v>
      </c>
      <c r="AK1196">
        <v>0.64890906622341904</v>
      </c>
      <c r="AL1196">
        <v>72.0031985309692</v>
      </c>
      <c r="AM1196">
        <v>93.096798204114293</v>
      </c>
      <c r="AN1196">
        <v>0.99999999591621802</v>
      </c>
    </row>
    <row r="1197" spans="1:40" x14ac:dyDescent="0.25">
      <c r="A1197" t="str">
        <f>"20190304164354050"</f>
        <v>20190304164354050</v>
      </c>
      <c r="B1197" t="str">
        <f>"1551689034041344"</f>
        <v>1551689034041344</v>
      </c>
      <c r="C1197" t="s">
        <v>40</v>
      </c>
      <c r="D1197">
        <v>5.2791569999999997</v>
      </c>
      <c r="E1197">
        <v>0.57028990000000002</v>
      </c>
      <c r="F1197" t="s">
        <v>41</v>
      </c>
      <c r="G1197">
        <v>-235.40719999999999</v>
      </c>
      <c r="H1197">
        <v>0.99609329999999996</v>
      </c>
      <c r="I1197">
        <v>367.7955</v>
      </c>
      <c r="J1197">
        <v>-236.16200000000001</v>
      </c>
      <c r="K1197">
        <v>1.1110789999999999</v>
      </c>
      <c r="L1197">
        <v>367.88499999999999</v>
      </c>
      <c r="M1197">
        <v>0.99987479999999995</v>
      </c>
      <c r="N1197">
        <v>-1.446187E-2</v>
      </c>
      <c r="O1197">
        <v>-6.4311389999999998E-3</v>
      </c>
      <c r="P1197">
        <v>0.9544395</v>
      </c>
      <c r="Q1197">
        <v>0.295045</v>
      </c>
      <c r="R1197">
        <v>4.4653859999999997E-2</v>
      </c>
      <c r="S1197">
        <v>3.2832340000000002</v>
      </c>
      <c r="T1197">
        <v>-0.40394950000000002</v>
      </c>
      <c r="U1197">
        <v>-0.31698609999999999</v>
      </c>
      <c r="V1197">
        <v>-5.1105820000000003E-2</v>
      </c>
      <c r="W1197">
        <v>0.3087607</v>
      </c>
      <c r="X1197">
        <v>0.94976570000000005</v>
      </c>
      <c r="Y1197">
        <v>8.8989380000000007E-2</v>
      </c>
      <c r="Z1197">
        <v>-5.3950680000000003E-3</v>
      </c>
      <c r="AA1197">
        <v>0.99601799999999996</v>
      </c>
      <c r="AB1197">
        <v>32</v>
      </c>
      <c r="AC1197">
        <v>0.75480000000001701</v>
      </c>
      <c r="AD1197">
        <v>-0.1149857</v>
      </c>
      <c r="AE1197">
        <v>-8.9499999999986798E-2</v>
      </c>
      <c r="AF1197">
        <v>8.2749651064845303E-2</v>
      </c>
      <c r="AG1197">
        <v>-0.1149857</v>
      </c>
      <c r="AH1197">
        <v>0.73846001307577402</v>
      </c>
      <c r="AI1197">
        <v>98.7962760002805</v>
      </c>
      <c r="AJ1197">
        <v>83.606276441426701</v>
      </c>
      <c r="AK1197">
        <v>0.75192579877785604</v>
      </c>
      <c r="AL1197">
        <v>72.015438306027505</v>
      </c>
      <c r="AM1197">
        <v>93.0800508443008</v>
      </c>
      <c r="AN1197">
        <v>0.99999992979942298</v>
      </c>
    </row>
    <row r="1198" spans="1:40" x14ac:dyDescent="0.25">
      <c r="A1198" t="str">
        <f>"20190304164354061"</f>
        <v>20190304164354061</v>
      </c>
      <c r="B1198" t="str">
        <f>"1551689034051105"</f>
        <v>1551689034051105</v>
      </c>
      <c r="C1198" t="s">
        <v>40</v>
      </c>
      <c r="D1198">
        <v>5.2746069999999996</v>
      </c>
      <c r="E1198">
        <v>0.57055630000000002</v>
      </c>
      <c r="F1198" t="s">
        <v>41</v>
      </c>
      <c r="G1198">
        <v>-235.39689999999999</v>
      </c>
      <c r="H1198">
        <v>1.016707</v>
      </c>
      <c r="I1198">
        <v>367.81049999999999</v>
      </c>
      <c r="J1198">
        <v>-236.0052</v>
      </c>
      <c r="K1198">
        <v>1.111081</v>
      </c>
      <c r="L1198">
        <v>367.8843</v>
      </c>
      <c r="M1198">
        <v>0.99987630000000005</v>
      </c>
      <c r="N1198">
        <v>-1.4460209999999999E-2</v>
      </c>
      <c r="O1198">
        <v>-6.190816E-3</v>
      </c>
      <c r="P1198">
        <v>0.95440100000000005</v>
      </c>
      <c r="Q1198">
        <v>0.29512329999999998</v>
      </c>
      <c r="R1198">
        <v>4.4957599999999903E-2</v>
      </c>
      <c r="S1198">
        <v>3.283417</v>
      </c>
      <c r="T1198">
        <v>-0.40526640000000003</v>
      </c>
      <c r="U1198">
        <v>-0.31875609999999999</v>
      </c>
      <c r="V1198">
        <v>-5.1179660000000002E-2</v>
      </c>
      <c r="W1198">
        <v>0.30883739999999998</v>
      </c>
      <c r="X1198">
        <v>0.9497369</v>
      </c>
      <c r="Y1198">
        <v>8.9743429999999999E-2</v>
      </c>
      <c r="Z1198">
        <v>-5.4874569999999899E-3</v>
      </c>
      <c r="AA1198">
        <v>0.9959498</v>
      </c>
      <c r="AB1198">
        <v>32</v>
      </c>
      <c r="AC1198">
        <v>0.60830000000001405</v>
      </c>
      <c r="AD1198">
        <v>-9.4373999999999902E-2</v>
      </c>
      <c r="AE1198">
        <v>-7.3800000000005597E-2</v>
      </c>
      <c r="AF1198">
        <v>6.8409610165013193E-2</v>
      </c>
      <c r="AG1198">
        <v>-9.4373999999999902E-2</v>
      </c>
      <c r="AH1198">
        <v>0.59464012633394703</v>
      </c>
      <c r="AI1198">
        <v>98.959940722398301</v>
      </c>
      <c r="AJ1198">
        <v>83.437331529078804</v>
      </c>
      <c r="AK1198">
        <v>0.60595643942892596</v>
      </c>
      <c r="AL1198">
        <v>72.010819925374406</v>
      </c>
      <c r="AM1198">
        <v>93.0845858080732</v>
      </c>
      <c r="AN1198">
        <v>1.0000000382290399</v>
      </c>
    </row>
    <row r="1199" spans="1:40" x14ac:dyDescent="0.25">
      <c r="A1199" t="str">
        <f>"20190304164354072"</f>
        <v>20190304164354072</v>
      </c>
      <c r="B1199" t="str">
        <f>"1551689034060865"</f>
        <v>1551689034060865</v>
      </c>
      <c r="C1199" t="s">
        <v>40</v>
      </c>
      <c r="D1199">
        <v>5.2802059999999997</v>
      </c>
      <c r="E1199">
        <v>0.57081729999999997</v>
      </c>
      <c r="F1199" t="s">
        <v>41</v>
      </c>
      <c r="G1199">
        <v>-235.11519999999999</v>
      </c>
      <c r="H1199">
        <v>1.0012700000000001</v>
      </c>
      <c r="I1199">
        <v>367.79719999999998</v>
      </c>
      <c r="J1199">
        <v>-235.84780000000001</v>
      </c>
      <c r="K1199">
        <v>1.1110799999999901</v>
      </c>
      <c r="L1199">
        <v>367.88350000000003</v>
      </c>
      <c r="M1199">
        <v>0.99987780000000004</v>
      </c>
      <c r="N1199">
        <v>-1.4458550000000001E-2</v>
      </c>
      <c r="O1199">
        <v>-5.9495390000000002E-3</v>
      </c>
      <c r="P1199">
        <v>0.95432850000000002</v>
      </c>
      <c r="Q1199">
        <v>0.29532589999999997</v>
      </c>
      <c r="R1199">
        <v>4.5162800000000003E-2</v>
      </c>
      <c r="S1199">
        <v>3.2837830000000001</v>
      </c>
      <c r="T1199">
        <v>-0.40549269999999998</v>
      </c>
      <c r="U1199">
        <v>-0.32003779999999998</v>
      </c>
      <c r="V1199">
        <v>-5.1154419999999999E-2</v>
      </c>
      <c r="W1199">
        <v>0.30903740000000002</v>
      </c>
      <c r="X1199">
        <v>0.9496732</v>
      </c>
      <c r="Y1199">
        <v>9.0351050000000002E-2</v>
      </c>
      <c r="Z1199">
        <v>-5.5572470000000004E-3</v>
      </c>
      <c r="AA1199">
        <v>0.99589450000000002</v>
      </c>
      <c r="AB1199">
        <v>32</v>
      </c>
      <c r="AC1199">
        <v>0.73260000000001901</v>
      </c>
      <c r="AD1199">
        <v>-0.10980999999999901</v>
      </c>
      <c r="AE1199">
        <v>-8.63000000000511E-2</v>
      </c>
      <c r="AF1199">
        <v>8.0162992880997305E-2</v>
      </c>
      <c r="AG1199">
        <v>-0.10980999999999901</v>
      </c>
      <c r="AH1199">
        <v>0.71720739595004401</v>
      </c>
      <c r="AI1199">
        <v>98.651775813332094</v>
      </c>
      <c r="AJ1199">
        <v>83.6224628026592</v>
      </c>
      <c r="AK1199">
        <v>0.72997999310466199</v>
      </c>
      <c r="AL1199">
        <v>71.998771380390707</v>
      </c>
      <c r="AM1199">
        <v>93.083273934715294</v>
      </c>
      <c r="AN1199">
        <v>1.0000000380412599</v>
      </c>
    </row>
    <row r="1200" spans="1:40" x14ac:dyDescent="0.25">
      <c r="A1200" t="str">
        <f>"20190304164354085"</f>
        <v>20190304164354085</v>
      </c>
      <c r="B1200" t="str">
        <f>"1551689034081360"</f>
        <v>1551689034081360</v>
      </c>
      <c r="C1200" t="s">
        <v>40</v>
      </c>
      <c r="D1200">
        <v>5.275709</v>
      </c>
      <c r="E1200">
        <v>0.57130619999999999</v>
      </c>
      <c r="F1200" t="s">
        <v>41</v>
      </c>
      <c r="G1200">
        <v>-235.1061</v>
      </c>
      <c r="H1200">
        <v>1.0196270000000001</v>
      </c>
      <c r="I1200">
        <v>367.81049999999999</v>
      </c>
      <c r="J1200">
        <v>-235.67490000000001</v>
      </c>
      <c r="K1200">
        <v>1.111089</v>
      </c>
      <c r="L1200">
        <v>367.88279999999997</v>
      </c>
      <c r="M1200">
        <v>0.99987930000000003</v>
      </c>
      <c r="N1200">
        <v>-1.4456709999999999E-2</v>
      </c>
      <c r="O1200">
        <v>-5.6848970000000004E-3</v>
      </c>
      <c r="P1200">
        <v>0.95436989999999999</v>
      </c>
      <c r="Q1200">
        <v>0.29516520000000002</v>
      </c>
      <c r="R1200">
        <v>4.5339110000000002E-2</v>
      </c>
      <c r="S1200">
        <v>3.2841949999999902</v>
      </c>
      <c r="T1200">
        <v>-0.40530430000000001</v>
      </c>
      <c r="U1200">
        <v>-0.3214417</v>
      </c>
      <c r="V1200">
        <v>-5.1078449999999997E-2</v>
      </c>
      <c r="W1200">
        <v>0.30887589999999998</v>
      </c>
      <c r="X1200">
        <v>0.94972979999999996</v>
      </c>
      <c r="Y1200">
        <v>9.1017899999999999E-2</v>
      </c>
      <c r="Z1200">
        <v>-5.6286460000000002E-3</v>
      </c>
      <c r="AA1200">
        <v>0.99583330000000003</v>
      </c>
      <c r="AB1200">
        <v>32</v>
      </c>
      <c r="AC1200">
        <v>0.56880000000000996</v>
      </c>
      <c r="AD1200">
        <v>-9.1461999999999904E-2</v>
      </c>
      <c r="AE1200">
        <v>-7.2299999999984196E-2</v>
      </c>
      <c r="AF1200">
        <v>6.7351177220846298E-2</v>
      </c>
      <c r="AG1200">
        <v>-9.1461999999999904E-2</v>
      </c>
      <c r="AH1200">
        <v>0.55507794217376305</v>
      </c>
      <c r="AI1200">
        <v>99.289803328456898</v>
      </c>
      <c r="AJ1200">
        <v>83.0817536087701</v>
      </c>
      <c r="AK1200">
        <v>0.56658009178305302</v>
      </c>
      <c r="AL1200">
        <v>72.008500144613606</v>
      </c>
      <c r="AM1200">
        <v>93.078520620395594</v>
      </c>
      <c r="AN1200">
        <v>1.0000000113316201</v>
      </c>
    </row>
    <row r="1201" spans="1:40" x14ac:dyDescent="0.25">
      <c r="A1201" t="str">
        <f>"20190304164354099"</f>
        <v>20190304164354099</v>
      </c>
      <c r="B1201" t="str">
        <f>"1551689034091120"</f>
        <v>1551689034091120</v>
      </c>
      <c r="C1201" t="s">
        <v>40</v>
      </c>
      <c r="D1201">
        <v>5.2949510000000002</v>
      </c>
      <c r="E1201">
        <v>0.57155100000000003</v>
      </c>
      <c r="F1201" t="s">
        <v>41</v>
      </c>
      <c r="G1201">
        <v>-234.82400000000001</v>
      </c>
      <c r="H1201">
        <v>1.0055829999999999</v>
      </c>
      <c r="I1201">
        <v>367.7987</v>
      </c>
      <c r="J1201">
        <v>-235.4461</v>
      </c>
      <c r="K1201">
        <v>1.1110910000000001</v>
      </c>
      <c r="L1201">
        <v>367.88170000000002</v>
      </c>
      <c r="M1201">
        <v>0.99988140000000003</v>
      </c>
      <c r="N1201">
        <v>-1.44543E-2</v>
      </c>
      <c r="O1201">
        <v>-5.3346660000000001E-3</v>
      </c>
      <c r="P1201">
        <v>0.95424629999999999</v>
      </c>
      <c r="Q1201">
        <v>0.29552060000000002</v>
      </c>
      <c r="R1201">
        <v>4.5626020000000003E-2</v>
      </c>
      <c r="S1201">
        <v>3.2848510000000002</v>
      </c>
      <c r="T1201">
        <v>-0.4073522</v>
      </c>
      <c r="U1201">
        <v>-0.32440190000000002</v>
      </c>
      <c r="V1201">
        <v>-5.1031109999999998E-2</v>
      </c>
      <c r="W1201">
        <v>0.30922729999999998</v>
      </c>
      <c r="X1201">
        <v>0.94961799999999996</v>
      </c>
      <c r="Y1201">
        <v>9.2217339999999995E-2</v>
      </c>
      <c r="Z1201">
        <v>-5.7726380000000001E-3</v>
      </c>
      <c r="AA1201">
        <v>0.9957222</v>
      </c>
      <c r="AB1201">
        <v>32</v>
      </c>
      <c r="AC1201">
        <v>0.622099999999989</v>
      </c>
      <c r="AD1201">
        <v>-0.105508</v>
      </c>
      <c r="AE1201">
        <v>-8.3000000000026802E-2</v>
      </c>
      <c r="AF1201">
        <v>7.7489835679492095E-2</v>
      </c>
      <c r="AG1201">
        <v>-0.105508</v>
      </c>
      <c r="AH1201">
        <v>0.60542407458132297</v>
      </c>
      <c r="AI1201">
        <v>99.807292408692007</v>
      </c>
      <c r="AJ1201">
        <v>82.706217654897998</v>
      </c>
      <c r="AK1201">
        <v>0.61941498430396902</v>
      </c>
      <c r="AL1201">
        <v>71.987330221704099</v>
      </c>
      <c r="AM1201">
        <v>93.076034306774702</v>
      </c>
      <c r="AN1201">
        <v>1.0000000215885601</v>
      </c>
    </row>
    <row r="1202" spans="1:40" x14ac:dyDescent="0.25">
      <c r="A1202" t="str">
        <f>"20190304164354122"</f>
        <v>20190304164354122</v>
      </c>
      <c r="B1202" t="str">
        <f>"1551689034110642"</f>
        <v>1551689034110642</v>
      </c>
      <c r="C1202" t="s">
        <v>40</v>
      </c>
      <c r="D1202">
        <v>5.2859730000000003</v>
      </c>
      <c r="E1202">
        <v>0.57202629999999999</v>
      </c>
      <c r="F1202" t="s">
        <v>41</v>
      </c>
      <c r="G1202">
        <v>-234.53870000000001</v>
      </c>
      <c r="H1202">
        <v>0.99874589999999996</v>
      </c>
      <c r="I1202">
        <v>367.7919</v>
      </c>
      <c r="J1202">
        <v>-235.12719999999999</v>
      </c>
      <c r="K1202">
        <v>1.1110910000000001</v>
      </c>
      <c r="L1202">
        <v>367.88060000000002</v>
      </c>
      <c r="M1202">
        <v>0.999884</v>
      </c>
      <c r="N1202">
        <v>-1.4450930000000001E-2</v>
      </c>
      <c r="O1202">
        <v>-4.8456829999999999E-3</v>
      </c>
      <c r="P1202">
        <v>0.9542081</v>
      </c>
      <c r="Q1202">
        <v>0.29559360000000001</v>
      </c>
      <c r="R1202">
        <v>4.5954219999999997E-2</v>
      </c>
      <c r="S1202">
        <v>3.2854000000000001</v>
      </c>
      <c r="T1202">
        <v>-0.4070473</v>
      </c>
      <c r="U1202">
        <v>-0.32415769999999999</v>
      </c>
      <c r="V1202">
        <v>-5.0891779999999998E-2</v>
      </c>
      <c r="W1202">
        <v>0.30929719999999999</v>
      </c>
      <c r="X1202">
        <v>0.94960270000000002</v>
      </c>
      <c r="Y1202">
        <v>9.2609759999999999E-2</v>
      </c>
      <c r="Z1202">
        <v>-5.8481009999999996E-3</v>
      </c>
      <c r="AA1202">
        <v>0.9956853</v>
      </c>
      <c r="AB1202">
        <v>32</v>
      </c>
      <c r="AC1202">
        <v>0.58849999999998204</v>
      </c>
      <c r="AD1202">
        <v>-0.112345099999999</v>
      </c>
      <c r="AE1202">
        <v>-8.8700000000017099E-2</v>
      </c>
      <c r="AF1202">
        <v>8.2893193146467994E-2</v>
      </c>
      <c r="AG1202">
        <v>-0.112345099999999</v>
      </c>
      <c r="AH1202">
        <v>0.56865955508238497</v>
      </c>
      <c r="AI1202">
        <v>101.06153823453501</v>
      </c>
      <c r="AJ1202">
        <v>81.706438832481894</v>
      </c>
      <c r="AK1202">
        <v>0.58554794214523898</v>
      </c>
      <c r="AL1202">
        <v>71.983118564029098</v>
      </c>
      <c r="AM1202">
        <v>93.067701219101096</v>
      </c>
      <c r="AN1202">
        <v>1.0000000095233399</v>
      </c>
    </row>
    <row r="1203" spans="1:40" x14ac:dyDescent="0.25">
      <c r="A1203" t="str">
        <f>"20190304164354137"</f>
        <v>20190304164354137</v>
      </c>
      <c r="B1203" t="str">
        <f>"1551689034130669"</f>
        <v>1551689034130669</v>
      </c>
      <c r="C1203" t="s">
        <v>40</v>
      </c>
      <c r="D1203">
        <v>5.2980210000000003</v>
      </c>
      <c r="E1203">
        <v>0.57245449999999998</v>
      </c>
      <c r="F1203" t="s">
        <v>41</v>
      </c>
      <c r="G1203">
        <v>-234.24879999999999</v>
      </c>
      <c r="H1203">
        <v>1.0019229999999999</v>
      </c>
      <c r="I1203">
        <v>367.7937</v>
      </c>
      <c r="J1203">
        <v>-234.91929999999999</v>
      </c>
      <c r="K1203">
        <v>1.1110899999999999</v>
      </c>
      <c r="L1203">
        <v>367.87990000000002</v>
      </c>
      <c r="M1203">
        <v>0.99988540000000004</v>
      </c>
      <c r="N1203">
        <v>-1.444872E-2</v>
      </c>
      <c r="O1203">
        <v>-4.5265710000000001E-3</v>
      </c>
      <c r="P1203">
        <v>0.95425669999999996</v>
      </c>
      <c r="Q1203">
        <v>0.2954215</v>
      </c>
      <c r="R1203">
        <v>4.605016E-2</v>
      </c>
      <c r="S1203">
        <v>3.2861180000000001</v>
      </c>
      <c r="T1203">
        <v>-0.40842099999999998</v>
      </c>
      <c r="U1203">
        <v>-0.3249512</v>
      </c>
      <c r="V1203">
        <v>-5.0682869999999998E-2</v>
      </c>
      <c r="W1203">
        <v>0.30912399999999901</v>
      </c>
      <c r="X1203">
        <v>0.94967029999999997</v>
      </c>
      <c r="Y1203">
        <v>9.3133560000000004E-2</v>
      </c>
      <c r="Z1203">
        <v>-5.9349240000000003E-3</v>
      </c>
      <c r="AA1203">
        <v>0.99563590000000002</v>
      </c>
      <c r="AB1203">
        <v>32</v>
      </c>
      <c r="AC1203">
        <v>0.67050000000000398</v>
      </c>
      <c r="AD1203">
        <v>-0.109167</v>
      </c>
      <c r="AE1203">
        <v>-8.6200000000019303E-2</v>
      </c>
      <c r="AF1203">
        <v>8.1050149110283395E-2</v>
      </c>
      <c r="AG1203">
        <v>-0.109167</v>
      </c>
      <c r="AH1203">
        <v>0.65383303185994002</v>
      </c>
      <c r="AI1203">
        <v>99.408224825488503</v>
      </c>
      <c r="AJ1203">
        <v>82.933575155885407</v>
      </c>
      <c r="AK1203">
        <v>0.66782048045186504</v>
      </c>
      <c r="AL1203">
        <v>71.993554137321297</v>
      </c>
      <c r="AM1203">
        <v>93.054915196120803</v>
      </c>
      <c r="AN1203">
        <v>1.0000000396947599</v>
      </c>
    </row>
    <row r="1204" spans="1:40" x14ac:dyDescent="0.25">
      <c r="A1204" t="str">
        <f>"20190304164354149"</f>
        <v>20190304164354149</v>
      </c>
      <c r="B1204" t="str">
        <f>"1551689034141404"</f>
        <v>1551689034141404</v>
      </c>
      <c r="C1204" t="s">
        <v>40</v>
      </c>
      <c r="D1204">
        <v>5.2981389999999999</v>
      </c>
      <c r="E1204">
        <v>0.57265779999999999</v>
      </c>
      <c r="F1204" t="s">
        <v>41</v>
      </c>
      <c r="G1204">
        <v>-233.96549999999999</v>
      </c>
      <c r="H1204">
        <v>0.99211159999999998</v>
      </c>
      <c r="I1204">
        <v>367.78480000000002</v>
      </c>
      <c r="J1204">
        <v>-234.72720000000001</v>
      </c>
      <c r="K1204">
        <v>1.1110869999999999</v>
      </c>
      <c r="L1204">
        <v>367.8793</v>
      </c>
      <c r="M1204">
        <v>0.99988679999999996</v>
      </c>
      <c r="N1204">
        <v>-1.44467E-2</v>
      </c>
      <c r="O1204">
        <v>-4.2322499999999999E-3</v>
      </c>
      <c r="P1204">
        <v>0.95435789999999998</v>
      </c>
      <c r="Q1204">
        <v>0.29506189999999999</v>
      </c>
      <c r="R1204">
        <v>4.6256449999999998E-2</v>
      </c>
      <c r="S1204">
        <v>3.2866059999999999</v>
      </c>
      <c r="T1204">
        <v>-0.41015649999999998</v>
      </c>
      <c r="U1204">
        <v>-0.32730100000000001</v>
      </c>
      <c r="V1204">
        <v>-5.0608029999999998E-2</v>
      </c>
      <c r="W1204">
        <v>0.30876429999999999</v>
      </c>
      <c r="X1204">
        <v>0.9497913</v>
      </c>
      <c r="Y1204">
        <v>9.4101099999999993E-2</v>
      </c>
      <c r="Z1204">
        <v>-6.0551059999999898E-3</v>
      </c>
      <c r="AA1204">
        <v>0.99554430000000005</v>
      </c>
      <c r="AB1204">
        <v>32</v>
      </c>
      <c r="AC1204">
        <v>0.76170000000001803</v>
      </c>
      <c r="AD1204">
        <v>-0.1189754</v>
      </c>
      <c r="AE1204">
        <v>-9.4499999999982195E-2</v>
      </c>
      <c r="AF1204">
        <v>8.9133438642274507E-2</v>
      </c>
      <c r="AG1204">
        <v>-0.1189754</v>
      </c>
      <c r="AH1204">
        <v>0.74421145640818398</v>
      </c>
      <c r="AI1204">
        <v>99.019498298965303</v>
      </c>
      <c r="AJ1204">
        <v>83.170276152567098</v>
      </c>
      <c r="AK1204">
        <v>0.75891409760166295</v>
      </c>
      <c r="AL1204">
        <v>72.015223487562096</v>
      </c>
      <c r="AM1204">
        <v>93.050024855215199</v>
      </c>
      <c r="AN1204">
        <v>1.0000000396053199</v>
      </c>
    </row>
    <row r="1205" spans="1:40" x14ac:dyDescent="0.25">
      <c r="A1205" t="str">
        <f>"20190304164354161"</f>
        <v>20190304164354161</v>
      </c>
      <c r="B1205" t="str">
        <f>"1551689034151165"</f>
        <v>1551689034151165</v>
      </c>
      <c r="C1205" t="s">
        <v>40</v>
      </c>
      <c r="D1205">
        <v>5.3000069999999999</v>
      </c>
      <c r="E1205">
        <v>0.5728664</v>
      </c>
      <c r="F1205" t="s">
        <v>41</v>
      </c>
      <c r="G1205">
        <v>-233.9546</v>
      </c>
      <c r="H1205">
        <v>1.0143409999999999</v>
      </c>
      <c r="I1205">
        <v>367.80189999999999</v>
      </c>
      <c r="J1205">
        <v>-234.55359999999999</v>
      </c>
      <c r="K1205">
        <v>1.1110880000000001</v>
      </c>
      <c r="L1205">
        <v>367.87880000000001</v>
      </c>
      <c r="M1205">
        <v>0.99988790000000005</v>
      </c>
      <c r="N1205">
        <v>-1.444486E-2</v>
      </c>
      <c r="O1205">
        <v>-3.9658250000000001E-3</v>
      </c>
      <c r="P1205">
        <v>0.95447610000000005</v>
      </c>
      <c r="Q1205">
        <v>0.29467100000000002</v>
      </c>
      <c r="R1205">
        <v>4.6306189999999997E-2</v>
      </c>
      <c r="S1205">
        <v>3.2867130000000002</v>
      </c>
      <c r="T1205">
        <v>-0.41177370000000002</v>
      </c>
      <c r="U1205">
        <v>-0.32873540000000001</v>
      </c>
      <c r="V1205">
        <v>-5.0403219999999999E-2</v>
      </c>
      <c r="W1205">
        <v>0.30837429999999999</v>
      </c>
      <c r="X1205">
        <v>0.94992880000000002</v>
      </c>
      <c r="Y1205">
        <v>9.4780119999999995E-2</v>
      </c>
      <c r="Z1205">
        <v>-6.1520749999999999E-3</v>
      </c>
      <c r="AA1205">
        <v>0.99547920000000001</v>
      </c>
      <c r="AB1205">
        <v>32</v>
      </c>
      <c r="AC1205">
        <v>0.59899999999998899</v>
      </c>
      <c r="AD1205">
        <v>-9.6746999999999903E-2</v>
      </c>
      <c r="AE1205">
        <v>-7.69000000000232E-2</v>
      </c>
      <c r="AF1205">
        <v>7.2658910745341601E-2</v>
      </c>
      <c r="AG1205">
        <v>-9.6746999999999903E-2</v>
      </c>
      <c r="AH1205">
        <v>0.58430478048066703</v>
      </c>
      <c r="AI1205">
        <v>99.330936348631198</v>
      </c>
      <c r="AJ1205">
        <v>82.911596849382406</v>
      </c>
      <c r="AK1205">
        <v>0.59670040708236505</v>
      </c>
      <c r="AL1205">
        <v>72.038713700208604</v>
      </c>
      <c r="AM1205">
        <v>93.037265733833806</v>
      </c>
      <c r="AN1205">
        <v>0.999999959278148</v>
      </c>
    </row>
    <row r="1206" spans="1:40" x14ac:dyDescent="0.25">
      <c r="A1206" t="str">
        <f>"20190304164354174"</f>
        <v>20190304164354174</v>
      </c>
      <c r="B1206" t="str">
        <f>"1551689034170685"</f>
        <v>1551689034170685</v>
      </c>
      <c r="C1206" t="s">
        <v>40</v>
      </c>
      <c r="D1206">
        <v>5.3031860000000002</v>
      </c>
      <c r="E1206">
        <v>0.57327039999999996</v>
      </c>
      <c r="F1206" t="s">
        <v>41</v>
      </c>
      <c r="G1206">
        <v>-233.6738</v>
      </c>
      <c r="H1206">
        <v>1.0004759999999999</v>
      </c>
      <c r="I1206">
        <v>367.79</v>
      </c>
      <c r="J1206">
        <v>-234.37389999999999</v>
      </c>
      <c r="K1206">
        <v>1.1110880000000001</v>
      </c>
      <c r="L1206">
        <v>367.8784</v>
      </c>
      <c r="M1206">
        <v>0.99988900000000003</v>
      </c>
      <c r="N1206">
        <v>-1.444295E-2</v>
      </c>
      <c r="O1206">
        <v>-3.6898650000000001E-3</v>
      </c>
      <c r="P1206">
        <v>0.95447389999999999</v>
      </c>
      <c r="Q1206">
        <v>0.29469679999999998</v>
      </c>
      <c r="R1206">
        <v>4.6189840000000003E-2</v>
      </c>
      <c r="S1206">
        <v>3.2867739999999999</v>
      </c>
      <c r="T1206">
        <v>-0.41346290000000002</v>
      </c>
      <c r="U1206">
        <v>-0.33078000000000002</v>
      </c>
      <c r="V1206">
        <v>-5.0023230000000002E-2</v>
      </c>
      <c r="W1206">
        <v>0.30839830000000001</v>
      </c>
      <c r="X1206">
        <v>0.94994120000000004</v>
      </c>
      <c r="Y1206">
        <v>9.5650780000000005E-2</v>
      </c>
      <c r="Z1206">
        <v>-6.2650249999999996E-3</v>
      </c>
      <c r="AA1206">
        <v>0.99539520000000004</v>
      </c>
      <c r="AB1206">
        <v>32</v>
      </c>
      <c r="AC1206">
        <v>0.70009999999999195</v>
      </c>
      <c r="AD1206">
        <v>-0.110611999999999</v>
      </c>
      <c r="AE1206">
        <v>-8.8399999999978704E-2</v>
      </c>
      <c r="AF1206">
        <v>8.3757877813962406E-2</v>
      </c>
      <c r="AG1206">
        <v>-0.110611999999999</v>
      </c>
      <c r="AH1206">
        <v>0.68362442718693095</v>
      </c>
      <c r="AI1206">
        <v>99.123869752904398</v>
      </c>
      <c r="AJ1206">
        <v>83.014915981232093</v>
      </c>
      <c r="AK1206">
        <v>0.69756200734168305</v>
      </c>
      <c r="AL1206">
        <v>72.037270003373195</v>
      </c>
      <c r="AM1206">
        <v>93.014370894360795</v>
      </c>
      <c r="AN1206">
        <v>1.00000005921997</v>
      </c>
    </row>
    <row r="1207" spans="1:40" x14ac:dyDescent="0.25">
      <c r="A1207" t="str">
        <f>"20190304164354188"</f>
        <v>20190304164354188</v>
      </c>
      <c r="B1207" t="str">
        <f>"1551689034181421"</f>
        <v>1551689034181421</v>
      </c>
      <c r="C1207" t="s">
        <v>40</v>
      </c>
      <c r="D1207">
        <v>5.3254349999999997</v>
      </c>
      <c r="E1207">
        <v>0.5734842</v>
      </c>
      <c r="F1207" t="s">
        <v>41</v>
      </c>
      <c r="G1207">
        <v>-233.39269999999999</v>
      </c>
      <c r="H1207">
        <v>0.98751069999999996</v>
      </c>
      <c r="I1207">
        <v>367.7783</v>
      </c>
      <c r="J1207">
        <v>-234.1703</v>
      </c>
      <c r="K1207">
        <v>1.111089</v>
      </c>
      <c r="L1207">
        <v>367.87799999999999</v>
      </c>
      <c r="M1207">
        <v>0.99988999999999995</v>
      </c>
      <c r="N1207">
        <v>-1.444078E-2</v>
      </c>
      <c r="O1207">
        <v>-3.3770689999999999E-3</v>
      </c>
      <c r="P1207">
        <v>0.95435749999999997</v>
      </c>
      <c r="Q1207">
        <v>0.29512189999999999</v>
      </c>
      <c r="R1207">
        <v>4.5875060000000002E-2</v>
      </c>
      <c r="S1207">
        <v>3.2871860000000002</v>
      </c>
      <c r="T1207">
        <v>-0.4141997</v>
      </c>
      <c r="U1207">
        <v>-0.33502199999999999</v>
      </c>
      <c r="V1207">
        <v>-4.9409580000000002E-2</v>
      </c>
      <c r="W1207">
        <v>0.30882110000000002</v>
      </c>
      <c r="X1207">
        <v>0.94983589999999996</v>
      </c>
      <c r="Y1207">
        <v>9.7203170000000005E-2</v>
      </c>
      <c r="Z1207">
        <v>-6.4168000000000003E-3</v>
      </c>
      <c r="AA1207">
        <v>0.99524380000000001</v>
      </c>
      <c r="AB1207">
        <v>32</v>
      </c>
      <c r="AC1207">
        <v>0.77760000000000595</v>
      </c>
      <c r="AD1207">
        <v>-0.1235783</v>
      </c>
      <c r="AE1207">
        <v>-9.97000000000412E-2</v>
      </c>
      <c r="AF1207">
        <v>9.4719561631632004E-2</v>
      </c>
      <c r="AG1207">
        <v>-0.1235783</v>
      </c>
      <c r="AH1207">
        <v>0.75907093693022998</v>
      </c>
      <c r="AI1207">
        <v>99.176801094270502</v>
      </c>
      <c r="AJ1207">
        <v>82.887195193180006</v>
      </c>
      <c r="AK1207">
        <v>0.77487552476427801</v>
      </c>
      <c r="AL1207">
        <v>72.011801276641705</v>
      </c>
      <c r="AM1207">
        <v>92.977789140779706</v>
      </c>
      <c r="AN1207">
        <v>1.0000000076648901</v>
      </c>
    </row>
    <row r="1208" spans="1:40" x14ac:dyDescent="0.25">
      <c r="A1208" t="str">
        <f>"20190304164354201"</f>
        <v>20190304164354201</v>
      </c>
      <c r="B1208" t="str">
        <f>"1551689034191181"</f>
        <v>1551689034191181</v>
      </c>
      <c r="C1208" t="s">
        <v>40</v>
      </c>
      <c r="D1208">
        <v>5.3195629999999996</v>
      </c>
      <c r="E1208">
        <v>0.57369369999999997</v>
      </c>
      <c r="F1208" t="s">
        <v>41</v>
      </c>
      <c r="G1208">
        <v>-233.38069999999999</v>
      </c>
      <c r="H1208">
        <v>1.012014</v>
      </c>
      <c r="I1208">
        <v>367.79669999999999</v>
      </c>
      <c r="J1208">
        <v>-233.9855</v>
      </c>
      <c r="K1208">
        <v>1.1110910000000001</v>
      </c>
      <c r="L1208">
        <v>367.8777</v>
      </c>
      <c r="M1208">
        <v>0.99989110000000003</v>
      </c>
      <c r="N1208">
        <v>-1.443882E-2</v>
      </c>
      <c r="O1208">
        <v>-3.0931230000000001E-3</v>
      </c>
      <c r="P1208">
        <v>0.95427320000000004</v>
      </c>
      <c r="Q1208">
        <v>0.29540349999999999</v>
      </c>
      <c r="R1208">
        <v>4.5820479999999997E-2</v>
      </c>
      <c r="S1208">
        <v>3.2873380000000001</v>
      </c>
      <c r="T1208">
        <v>-0.4127382</v>
      </c>
      <c r="U1208">
        <v>-0.337860099999999</v>
      </c>
      <c r="V1208">
        <v>-4.9083769999999999E-2</v>
      </c>
      <c r="W1208">
        <v>0.30909989999999998</v>
      </c>
      <c r="X1208">
        <v>0.94976210000000005</v>
      </c>
      <c r="Y1208">
        <v>9.8325579999999996E-2</v>
      </c>
      <c r="Z1208">
        <v>-6.505884E-3</v>
      </c>
      <c r="AA1208">
        <v>0.99513300000000005</v>
      </c>
      <c r="AB1208">
        <v>32</v>
      </c>
      <c r="AC1208">
        <v>0.604800000000011</v>
      </c>
      <c r="AD1208">
        <v>-9.9076999999999998E-2</v>
      </c>
      <c r="AE1208">
        <v>-8.1000000000017197E-2</v>
      </c>
      <c r="AF1208">
        <v>7.7096180031150902E-2</v>
      </c>
      <c r="AG1208">
        <v>-9.9076999999999998E-2</v>
      </c>
      <c r="AH1208">
        <v>0.58950628978389097</v>
      </c>
      <c r="AI1208">
        <v>99.461317786349099</v>
      </c>
      <c r="AJ1208">
        <v>82.549091961138203</v>
      </c>
      <c r="AK1208">
        <v>0.60272525963258305</v>
      </c>
      <c r="AL1208">
        <v>71.995005438735603</v>
      </c>
      <c r="AM1208">
        <v>92.958417850075804</v>
      </c>
      <c r="AN1208">
        <v>1.00000000562691</v>
      </c>
    </row>
    <row r="1209" spans="1:40" x14ac:dyDescent="0.25">
      <c r="A1209" t="str">
        <f>"20190304164354212"</f>
        <v>20190304164354212</v>
      </c>
      <c r="B1209" t="str">
        <f>"1551689034200941"</f>
        <v>1551689034200941</v>
      </c>
      <c r="C1209" t="s">
        <v>40</v>
      </c>
      <c r="D1209">
        <v>5.3081129999999996</v>
      </c>
      <c r="E1209">
        <v>0.57389840000000003</v>
      </c>
      <c r="F1209" t="s">
        <v>41</v>
      </c>
      <c r="G1209">
        <v>-233.09960000000001</v>
      </c>
      <c r="H1209">
        <v>1.000065</v>
      </c>
      <c r="I1209">
        <v>367.78609999999998</v>
      </c>
      <c r="J1209">
        <v>-233.82169999999999</v>
      </c>
      <c r="K1209">
        <v>1.1110930000000001</v>
      </c>
      <c r="L1209">
        <v>367.87740000000002</v>
      </c>
      <c r="M1209">
        <v>0.99989170000000005</v>
      </c>
      <c r="N1209">
        <v>-1.443707E-2</v>
      </c>
      <c r="O1209">
        <v>-2.8412429999999998E-3</v>
      </c>
      <c r="P1209">
        <v>0.95418119999999995</v>
      </c>
      <c r="Q1209">
        <v>0.29573519999999998</v>
      </c>
      <c r="R1209">
        <v>4.5594969999999999E-2</v>
      </c>
      <c r="S1209">
        <v>3.2876280000000002</v>
      </c>
      <c r="T1209">
        <v>-0.41208600000000001</v>
      </c>
      <c r="U1209">
        <v>-0.339599599999999</v>
      </c>
      <c r="V1209">
        <v>-4.8617720000000003E-2</v>
      </c>
      <c r="W1209">
        <v>0.30942920000000002</v>
      </c>
      <c r="X1209">
        <v>0.94967880000000005</v>
      </c>
      <c r="Y1209">
        <v>9.9082900000000002E-2</v>
      </c>
      <c r="Z1209">
        <v>-6.576546E-3</v>
      </c>
      <c r="AA1209">
        <v>0.99505750000000004</v>
      </c>
      <c r="AB1209">
        <v>32</v>
      </c>
      <c r="AC1209">
        <v>0.72209999999998298</v>
      </c>
      <c r="AD1209">
        <v>-0.111028</v>
      </c>
      <c r="AE1209">
        <v>-9.1300000000046497E-2</v>
      </c>
      <c r="AF1209">
        <v>8.7218252013052805E-2</v>
      </c>
      <c r="AG1209">
        <v>-0.111028</v>
      </c>
      <c r="AH1209">
        <v>0.70593004981131302</v>
      </c>
      <c r="AI1209">
        <v>98.871832715728999</v>
      </c>
      <c r="AJ1209">
        <v>82.9567514250909</v>
      </c>
      <c r="AK1209">
        <v>0.71991074133868505</v>
      </c>
      <c r="AL1209">
        <v>71.975164591785799</v>
      </c>
      <c r="AM1209">
        <v>92.930633476644402</v>
      </c>
      <c r="AN1209">
        <v>0.99999996784003797</v>
      </c>
    </row>
    <row r="1210" spans="1:40" x14ac:dyDescent="0.25">
      <c r="A1210" t="str">
        <f>"20190304164354225"</f>
        <v>20190304164354225</v>
      </c>
      <c r="B1210" t="str">
        <f>"1551689034221437"</f>
        <v>1551689034221437</v>
      </c>
      <c r="C1210" t="s">
        <v>40</v>
      </c>
      <c r="D1210">
        <v>5.3175429999999997</v>
      </c>
      <c r="E1210">
        <v>0.57424379999999997</v>
      </c>
      <c r="F1210" t="s">
        <v>41</v>
      </c>
      <c r="G1210">
        <v>-233.0899</v>
      </c>
      <c r="H1210">
        <v>1.019541</v>
      </c>
      <c r="I1210">
        <v>367.80130000000003</v>
      </c>
      <c r="J1210">
        <v>-233.66030000000001</v>
      </c>
      <c r="K1210">
        <v>1.111092</v>
      </c>
      <c r="L1210">
        <v>367.87720000000002</v>
      </c>
      <c r="M1210">
        <v>0.99989260000000002</v>
      </c>
      <c r="N1210">
        <v>-1.443534E-2</v>
      </c>
      <c r="O1210">
        <v>-2.5931750000000001E-3</v>
      </c>
      <c r="P1210">
        <v>0.95412940000000002</v>
      </c>
      <c r="Q1210">
        <v>0.295927</v>
      </c>
      <c r="R1210">
        <v>4.5435370000000003E-2</v>
      </c>
      <c r="S1210">
        <v>3.287903</v>
      </c>
      <c r="T1210">
        <v>-0.41140100000000002</v>
      </c>
      <c r="U1210">
        <v>-0.34173579999999998</v>
      </c>
      <c r="V1210">
        <v>-4.8221050000000001E-2</v>
      </c>
      <c r="W1210">
        <v>0.30961919999999998</v>
      </c>
      <c r="X1210">
        <v>0.94963710000000001</v>
      </c>
      <c r="Y1210">
        <v>9.9954660000000001E-2</v>
      </c>
      <c r="Z1210">
        <v>-6.6539989999999999E-3</v>
      </c>
      <c r="AA1210">
        <v>0.99496969999999996</v>
      </c>
      <c r="AB1210">
        <v>32</v>
      </c>
      <c r="AC1210">
        <v>0.57040000000000601</v>
      </c>
      <c r="AD1210">
        <v>-9.1550999999999896E-2</v>
      </c>
      <c r="AE1210">
        <v>-7.5899999999990003E-2</v>
      </c>
      <c r="AF1210">
        <v>7.25831419883812E-2</v>
      </c>
      <c r="AG1210">
        <v>-9.1550999999999896E-2</v>
      </c>
      <c r="AH1210">
        <v>0.55650800065757899</v>
      </c>
      <c r="AI1210">
        <v>99.2649462010679</v>
      </c>
      <c r="AJ1210">
        <v>82.5690838319926</v>
      </c>
      <c r="AK1210">
        <v>0.568639651183244</v>
      </c>
      <c r="AL1210">
        <v>71.963716223404404</v>
      </c>
      <c r="AM1210">
        <v>92.906891153756604</v>
      </c>
      <c r="AN1210">
        <v>0.99999997018407505</v>
      </c>
    </row>
    <row r="1211" spans="1:40" x14ac:dyDescent="0.25">
      <c r="A1211" t="str">
        <f>"20190304164354237"</f>
        <v>20190304164354237</v>
      </c>
      <c r="B1211" t="str">
        <f>"1551689034231197"</f>
        <v>1551689034231197</v>
      </c>
      <c r="C1211" t="s">
        <v>40</v>
      </c>
      <c r="D1211">
        <v>5.3881189999999997</v>
      </c>
      <c r="E1211">
        <v>0.57420919999999998</v>
      </c>
      <c r="F1211" t="s">
        <v>41</v>
      </c>
      <c r="G1211">
        <v>-232.81059999999999</v>
      </c>
      <c r="H1211">
        <v>1.004718</v>
      </c>
      <c r="I1211">
        <v>367.78800000000001</v>
      </c>
      <c r="J1211">
        <v>-233.4862</v>
      </c>
      <c r="K1211">
        <v>1.111092</v>
      </c>
      <c r="L1211">
        <v>367.87700000000001</v>
      </c>
      <c r="M1211">
        <v>0.99989329999999998</v>
      </c>
      <c r="N1211">
        <v>-1.443348E-2</v>
      </c>
      <c r="O1211">
        <v>-2.3255569999999998E-3</v>
      </c>
      <c r="P1211">
        <v>0.95421149999999999</v>
      </c>
      <c r="Q1211">
        <v>0.29566130000000002</v>
      </c>
      <c r="R1211">
        <v>4.5443850000000001E-2</v>
      </c>
      <c r="S1211">
        <v>3.2883909999999998</v>
      </c>
      <c r="T1211">
        <v>-0.41190710000000003</v>
      </c>
      <c r="U1211">
        <v>-0.34442139999999999</v>
      </c>
      <c r="V1211">
        <v>-4.7974099999999999E-2</v>
      </c>
      <c r="W1211">
        <v>0.3093535</v>
      </c>
      <c r="X1211">
        <v>0.94973620000000003</v>
      </c>
      <c r="Y1211">
        <v>0.1009973</v>
      </c>
      <c r="Z1211">
        <v>-6.7619200000000003E-3</v>
      </c>
      <c r="AA1211">
        <v>0.99486370000000002</v>
      </c>
      <c r="AB1211">
        <v>32</v>
      </c>
      <c r="AC1211">
        <v>0.67560000000000198</v>
      </c>
      <c r="AD1211">
        <v>-0.106373999999999</v>
      </c>
      <c r="AE1211">
        <v>-8.8999999999941695E-2</v>
      </c>
      <c r="AF1211">
        <v>8.5348674517656695E-2</v>
      </c>
      <c r="AG1211">
        <v>-0.106373999999999</v>
      </c>
      <c r="AH1211">
        <v>0.65972890606913503</v>
      </c>
      <c r="AI1211">
        <v>99.085046613544506</v>
      </c>
      <c r="AJ1211">
        <v>82.628625961985705</v>
      </c>
      <c r="AK1211">
        <v>0.67367800440648096</v>
      </c>
      <c r="AL1211">
        <v>71.979725823254498</v>
      </c>
      <c r="AM1211">
        <v>92.891728442616696</v>
      </c>
      <c r="AN1211">
        <v>0.99999997591174905</v>
      </c>
    </row>
    <row r="1212" spans="1:40" x14ac:dyDescent="0.25">
      <c r="A1212" t="str">
        <f>"20190304164354247"</f>
        <v>20190304164354247</v>
      </c>
      <c r="B1212" t="str">
        <f>"1551689034240957"</f>
        <v>1551689034240957</v>
      </c>
      <c r="C1212" t="s">
        <v>40</v>
      </c>
      <c r="D1212">
        <v>5.2319690000000003</v>
      </c>
      <c r="E1212">
        <v>0.57420919999999998</v>
      </c>
      <c r="F1212" t="s">
        <v>41</v>
      </c>
      <c r="G1212">
        <v>-232.5308</v>
      </c>
      <c r="H1212">
        <v>0.99108850000000004</v>
      </c>
      <c r="I1212">
        <v>367.77679999999998</v>
      </c>
      <c r="J1212">
        <v>-233.31880000000001</v>
      </c>
      <c r="K1212">
        <v>1.111092</v>
      </c>
      <c r="L1212">
        <v>367.87689999999998</v>
      </c>
      <c r="M1212">
        <v>0.9998937</v>
      </c>
      <c r="N1212">
        <v>-1.4431680000000001E-2</v>
      </c>
      <c r="O1212">
        <v>-2.068191E-3</v>
      </c>
      <c r="P1212">
        <v>0.9543045</v>
      </c>
      <c r="Q1212">
        <v>0.29538710000000001</v>
      </c>
      <c r="R1212">
        <v>4.5273679999999997E-2</v>
      </c>
      <c r="S1212">
        <v>3.2883909999999998</v>
      </c>
      <c r="T1212">
        <v>-0.41318379999999999</v>
      </c>
      <c r="U1212">
        <v>-0.3445435</v>
      </c>
      <c r="V1212">
        <v>-4.7558280000000001E-2</v>
      </c>
      <c r="W1212">
        <v>0.30908000000000002</v>
      </c>
      <c r="X1212">
        <v>0.94984619999999997</v>
      </c>
      <c r="Y1212">
        <v>0.1012808</v>
      </c>
      <c r="Z1212">
        <v>-6.8284560000000001E-3</v>
      </c>
      <c r="AA1212">
        <v>0.99483440000000001</v>
      </c>
      <c r="AB1212">
        <v>32</v>
      </c>
      <c r="AC1212">
        <v>0.78800000000001003</v>
      </c>
      <c r="AD1212">
        <v>-0.120003499999999</v>
      </c>
      <c r="AE1212">
        <v>-0.100099999999997</v>
      </c>
      <c r="AF1212">
        <v>9.6272598904457996E-2</v>
      </c>
      <c r="AG1212">
        <v>-0.120003499999999</v>
      </c>
      <c r="AH1212">
        <v>0.77061714128862002</v>
      </c>
      <c r="AI1212">
        <v>98.784026394083497</v>
      </c>
      <c r="AJ1212">
        <v>82.878976652046106</v>
      </c>
      <c r="AK1212">
        <v>0.78582442807532604</v>
      </c>
      <c r="AL1212">
        <v>71.996204599246596</v>
      </c>
      <c r="AM1212">
        <v>92.866374672498196</v>
      </c>
      <c r="AN1212">
        <v>1.0000000200254899</v>
      </c>
    </row>
    <row r="1213" spans="1:40" x14ac:dyDescent="0.25">
      <c r="A1213" t="str">
        <f>"20190304164354259"</f>
        <v>20190304164354259</v>
      </c>
      <c r="B1213" t="str">
        <f>"1551689034250717"</f>
        <v>1551689034250717</v>
      </c>
      <c r="C1213" t="s">
        <v>40</v>
      </c>
      <c r="D1213">
        <v>5.1973510000000003</v>
      </c>
      <c r="E1213">
        <v>0.55498359999999902</v>
      </c>
      <c r="F1213" t="s">
        <v>41</v>
      </c>
      <c r="G1213">
        <v>-232.5213</v>
      </c>
      <c r="H1213">
        <v>1.010688</v>
      </c>
      <c r="I1213">
        <v>367.79300000000001</v>
      </c>
      <c r="J1213">
        <v>-233.1618</v>
      </c>
      <c r="K1213">
        <v>1.1110880000000001</v>
      </c>
      <c r="L1213">
        <v>367.8768</v>
      </c>
      <c r="M1213">
        <v>0.99989419999999996</v>
      </c>
      <c r="N1213">
        <v>-1.442999E-2</v>
      </c>
      <c r="O1213">
        <v>-1.8266790000000001E-3</v>
      </c>
      <c r="P1213">
        <v>0.95434540000000001</v>
      </c>
      <c r="Q1213">
        <v>0.29528070000000001</v>
      </c>
      <c r="R1213">
        <v>4.5101750000000003E-2</v>
      </c>
      <c r="S1213">
        <v>3.2881770000000001</v>
      </c>
      <c r="T1213">
        <v>-0.41410350000000001</v>
      </c>
      <c r="U1213">
        <v>-0.34506229999999999</v>
      </c>
      <c r="V1213">
        <v>-4.7155080000000002E-2</v>
      </c>
      <c r="W1213">
        <v>0.308973</v>
      </c>
      <c r="X1213">
        <v>0.94990110000000005</v>
      </c>
      <c r="Y1213">
        <v>0.1016744</v>
      </c>
      <c r="Z1213">
        <v>-6.8963440000000004E-3</v>
      </c>
      <c r="AA1213">
        <v>0.99479379999999995</v>
      </c>
      <c r="AB1213">
        <v>32</v>
      </c>
      <c r="AC1213">
        <v>0.64050000000000296</v>
      </c>
      <c r="AD1213">
        <v>-0.100399999999999</v>
      </c>
      <c r="AE1213">
        <v>-8.3799999999996502E-2</v>
      </c>
      <c r="AF1213">
        <v>8.0680680471405003E-2</v>
      </c>
      <c r="AG1213">
        <v>-0.100399999999999</v>
      </c>
      <c r="AH1213">
        <v>0.62554032762392098</v>
      </c>
      <c r="AI1213">
        <v>99.044611272412496</v>
      </c>
      <c r="AJ1213">
        <v>82.650701924387207</v>
      </c>
      <c r="AK1213">
        <v>0.63866284821114405</v>
      </c>
      <c r="AL1213">
        <v>72.002650542160595</v>
      </c>
      <c r="AM1213">
        <v>92.841949515219099</v>
      </c>
      <c r="AN1213">
        <v>1.00000000804</v>
      </c>
    </row>
    <row r="1214" spans="1:40" x14ac:dyDescent="0.25">
      <c r="A1214" t="str">
        <f>"20190304164354271"</f>
        <v>20190304164354271</v>
      </c>
      <c r="B1214" t="str">
        <f>"1551689034261452"</f>
        <v>1551689034261452</v>
      </c>
      <c r="C1214" t="s">
        <v>40</v>
      </c>
      <c r="D1214">
        <v>5.1953639999999996</v>
      </c>
      <c r="E1214">
        <v>0.55231030000000003</v>
      </c>
      <c r="F1214" t="s">
        <v>41</v>
      </c>
      <c r="G1214">
        <v>-232.24449999999999</v>
      </c>
      <c r="H1214">
        <v>0.99188200000000004</v>
      </c>
      <c r="I1214">
        <v>367.82319999999999</v>
      </c>
      <c r="J1214">
        <v>-232.98670000000001</v>
      </c>
      <c r="K1214">
        <v>1.1110880000000001</v>
      </c>
      <c r="L1214">
        <v>367.87670000000003</v>
      </c>
      <c r="M1214">
        <v>0.99989459999999997</v>
      </c>
      <c r="N1214">
        <v>-1.4428109999999999E-2</v>
      </c>
      <c r="O1214">
        <v>-1.5576310000000001E-3</v>
      </c>
      <c r="P1214">
        <v>0.95443710000000004</v>
      </c>
      <c r="Q1214">
        <v>0.29501860000000002</v>
      </c>
      <c r="R1214">
        <v>4.4876289999999999E-2</v>
      </c>
      <c r="S1214">
        <v>3.284729</v>
      </c>
      <c r="T1214">
        <v>-0.42721130000000002</v>
      </c>
      <c r="U1214">
        <v>-0.19107060000000001</v>
      </c>
      <c r="V1214">
        <v>-4.6672779999999997E-2</v>
      </c>
      <c r="W1214">
        <v>0.30871130000000002</v>
      </c>
      <c r="X1214">
        <v>0.95001000000000002</v>
      </c>
      <c r="Y1214">
        <v>5.6003459999999998E-2</v>
      </c>
      <c r="Z1214">
        <v>-3.8506629999999998E-3</v>
      </c>
      <c r="AA1214">
        <v>0.99842319999999996</v>
      </c>
      <c r="AB1214">
        <v>32</v>
      </c>
      <c r="AC1214">
        <v>0.74220000000002495</v>
      </c>
      <c r="AD1214">
        <v>-0.11920599999999899</v>
      </c>
      <c r="AE1214">
        <v>-5.3500000000042201E-2</v>
      </c>
      <c r="AF1214">
        <v>5.1034065222298197E-2</v>
      </c>
      <c r="AG1214">
        <v>-0.11920599999999899</v>
      </c>
      <c r="AH1214">
        <v>0.72371003443625204</v>
      </c>
      <c r="AI1214">
        <v>99.330734038929705</v>
      </c>
      <c r="AJ1214">
        <v>85.966334517375998</v>
      </c>
      <c r="AK1214">
        <v>0.73523517339204802</v>
      </c>
      <c r="AL1214">
        <v>72.018415538679804</v>
      </c>
      <c r="AM1214">
        <v>92.812607181860898</v>
      </c>
      <c r="AN1214">
        <v>1.0000000076202999</v>
      </c>
    </row>
    <row r="1215" spans="1:40" x14ac:dyDescent="0.25">
      <c r="A1215" t="str">
        <f>"20190304164354283"</f>
        <v>20190304164354283</v>
      </c>
      <c r="B1215" t="str">
        <f>"1551689034271213"</f>
        <v>1551689034271213</v>
      </c>
      <c r="C1215" t="s">
        <v>40</v>
      </c>
      <c r="D1215">
        <v>5.2271039999999998</v>
      </c>
      <c r="E1215">
        <v>0.55090109999999903</v>
      </c>
      <c r="F1215" t="s">
        <v>41</v>
      </c>
      <c r="G1215">
        <v>-232.23390000000001</v>
      </c>
      <c r="H1215">
        <v>1.0131129999999999</v>
      </c>
      <c r="I1215">
        <v>367.83730000000003</v>
      </c>
      <c r="J1215">
        <v>-232.80779999999999</v>
      </c>
      <c r="K1215">
        <v>1.111083</v>
      </c>
      <c r="L1215">
        <v>367.87670000000003</v>
      </c>
      <c r="M1215">
        <v>0.99989519999999998</v>
      </c>
      <c r="N1215">
        <v>-1.442618E-2</v>
      </c>
      <c r="O1215">
        <v>-1.2826230000000001E-3</v>
      </c>
      <c r="P1215">
        <v>0.95435230000000004</v>
      </c>
      <c r="Q1215">
        <v>0.2953308</v>
      </c>
      <c r="R1215">
        <v>4.4628609999999999E-2</v>
      </c>
      <c r="S1215">
        <v>3.2834469999999998</v>
      </c>
      <c r="T1215">
        <v>-0.42774869999999998</v>
      </c>
      <c r="U1215">
        <v>-0.17037959999999999</v>
      </c>
      <c r="V1215">
        <v>-4.616236E-2</v>
      </c>
      <c r="W1215">
        <v>0.30902059999999998</v>
      </c>
      <c r="X1215">
        <v>0.94993439999999996</v>
      </c>
      <c r="Y1215">
        <v>5.0078949999999997E-2</v>
      </c>
      <c r="Z1215">
        <v>-3.4614350000000001E-3</v>
      </c>
      <c r="AA1215">
        <v>0.99873920000000005</v>
      </c>
      <c r="AB1215">
        <v>32</v>
      </c>
      <c r="AC1215">
        <v>0.57389999999997998</v>
      </c>
      <c r="AD1215">
        <v>-9.7970000000000099E-2</v>
      </c>
      <c r="AE1215">
        <v>-3.9400000000000497E-2</v>
      </c>
      <c r="AF1215">
        <v>3.7573963962708699E-2</v>
      </c>
      <c r="AG1215">
        <v>-9.7970000000000099E-2</v>
      </c>
      <c r="AH1215">
        <v>0.55777193918258205</v>
      </c>
      <c r="AI1215">
        <v>99.940036525761002</v>
      </c>
      <c r="AJ1215">
        <v>86.146127554009695</v>
      </c>
      <c r="AK1215">
        <v>0.56755568872787199</v>
      </c>
      <c r="AL1215">
        <v>71.9997833306102</v>
      </c>
      <c r="AM1215">
        <v>92.782117752211903</v>
      </c>
      <c r="AN1215">
        <v>1.0000000295042399</v>
      </c>
    </row>
    <row r="1216" spans="1:40" x14ac:dyDescent="0.25">
      <c r="A1216" t="str">
        <f>"20190304164354298"</f>
        <v>20190304164354298</v>
      </c>
      <c r="B1216" t="str">
        <f>"1551689034290732"</f>
        <v>1551689034290732</v>
      </c>
      <c r="C1216" t="s">
        <v>40</v>
      </c>
      <c r="D1216">
        <v>5.205705</v>
      </c>
      <c r="E1216">
        <v>0.54952089999999998</v>
      </c>
      <c r="F1216" t="s">
        <v>41</v>
      </c>
      <c r="G1216">
        <v>-231.9547</v>
      </c>
      <c r="H1216">
        <v>1.0000290000000001</v>
      </c>
      <c r="I1216">
        <v>367.83499999999998</v>
      </c>
      <c r="J1216">
        <v>-232.6009</v>
      </c>
      <c r="K1216">
        <v>1.111086</v>
      </c>
      <c r="L1216">
        <v>367.8768</v>
      </c>
      <c r="M1216">
        <v>0.9998956</v>
      </c>
      <c r="N1216">
        <v>-1.442395E-2</v>
      </c>
      <c r="O1216">
        <v>-9.6530260000000001E-4</v>
      </c>
      <c r="P1216">
        <v>0.95443029999999995</v>
      </c>
      <c r="Q1216">
        <v>0.2950892</v>
      </c>
      <c r="R1216">
        <v>4.4557739999999998E-2</v>
      </c>
      <c r="S1216">
        <v>3.283264</v>
      </c>
      <c r="T1216">
        <v>-0.42744280000000001</v>
      </c>
      <c r="U1216">
        <v>-0.1603088</v>
      </c>
      <c r="V1216">
        <v>-4.5787910000000001E-2</v>
      </c>
      <c r="W1216">
        <v>0.30877890000000002</v>
      </c>
      <c r="X1216">
        <v>0.95003110000000002</v>
      </c>
      <c r="Y1216">
        <v>4.7366680000000001E-2</v>
      </c>
      <c r="Z1216">
        <v>-3.3007510000000002E-3</v>
      </c>
      <c r="AA1216">
        <v>0.99887210000000004</v>
      </c>
      <c r="AB1216">
        <v>32</v>
      </c>
      <c r="AC1216">
        <v>0.646199999999993</v>
      </c>
      <c r="AD1216">
        <v>-0.111056999999999</v>
      </c>
      <c r="AE1216">
        <v>-4.1800000000023298E-2</v>
      </c>
      <c r="AF1216">
        <v>3.99996143046231E-2</v>
      </c>
      <c r="AG1216">
        <v>-0.111056999999999</v>
      </c>
      <c r="AH1216">
        <v>0.62777508165138396</v>
      </c>
      <c r="AI1216">
        <v>100.012264782594</v>
      </c>
      <c r="AJ1216">
        <v>86.354243325185294</v>
      </c>
      <c r="AK1216">
        <v>0.63877631416319802</v>
      </c>
      <c r="AL1216">
        <v>72.014343561767703</v>
      </c>
      <c r="AM1216">
        <v>92.759304935217799</v>
      </c>
      <c r="AN1216">
        <v>1.00000001637729</v>
      </c>
    </row>
    <row r="1217" spans="1:40" x14ac:dyDescent="0.25">
      <c r="A1217" t="str">
        <f>"20190304164354312"</f>
        <v>20190304164354312</v>
      </c>
      <c r="B1217" t="str">
        <f>"1551689034301469"</f>
        <v>1551689034301469</v>
      </c>
      <c r="C1217" t="s">
        <v>40</v>
      </c>
      <c r="D1217">
        <v>5.1936780000000002</v>
      </c>
      <c r="E1217">
        <v>0.54919869999999904</v>
      </c>
      <c r="F1217" t="s">
        <v>41</v>
      </c>
      <c r="G1217">
        <v>-231.67500000000001</v>
      </c>
      <c r="H1217">
        <v>0.9886644</v>
      </c>
      <c r="I1217">
        <v>367.83440000000002</v>
      </c>
      <c r="J1217">
        <v>-232.40649999999999</v>
      </c>
      <c r="K1217">
        <v>1.1110910000000001</v>
      </c>
      <c r="L1217">
        <v>367.8768</v>
      </c>
      <c r="M1217">
        <v>0.99989589999999995</v>
      </c>
      <c r="N1217">
        <v>-1.442187E-2</v>
      </c>
      <c r="O1217">
        <v>-6.6933019999999995E-4</v>
      </c>
      <c r="P1217">
        <v>0.95433769999999996</v>
      </c>
      <c r="Q1217">
        <v>0.29554350000000001</v>
      </c>
      <c r="R1217">
        <v>4.3519170000000003E-2</v>
      </c>
      <c r="S1217">
        <v>3.2845610000000001</v>
      </c>
      <c r="T1217">
        <v>-0.43447760000000002</v>
      </c>
      <c r="U1217">
        <v>-0.14953610000000001</v>
      </c>
      <c r="V1217">
        <v>-4.4465879999999999E-2</v>
      </c>
      <c r="W1217">
        <v>0.3092319</v>
      </c>
      <c r="X1217">
        <v>0.94994650000000003</v>
      </c>
      <c r="Y1217">
        <v>4.43874E-2</v>
      </c>
      <c r="Z1217">
        <v>-3.1648269999999998E-3</v>
      </c>
      <c r="AA1217">
        <v>0.99900940000000005</v>
      </c>
      <c r="AB1217">
        <v>32</v>
      </c>
      <c r="AC1217">
        <v>0.73149999999998205</v>
      </c>
      <c r="AD1217">
        <v>-0.1224266</v>
      </c>
      <c r="AE1217">
        <v>-4.23999999999864E-2</v>
      </c>
      <c r="AF1217">
        <v>4.07720965088764E-2</v>
      </c>
      <c r="AG1217">
        <v>-0.1224266</v>
      </c>
      <c r="AH1217">
        <v>0.71166089546271805</v>
      </c>
      <c r="AI1217">
        <v>99.745344241238698</v>
      </c>
      <c r="AJ1217">
        <v>86.721025159722004</v>
      </c>
      <c r="AK1217">
        <v>0.72326472772566996</v>
      </c>
      <c r="AL1217">
        <v>71.987052072876097</v>
      </c>
      <c r="AM1217">
        <v>92.679991943752299</v>
      </c>
      <c r="AN1217">
        <v>0.99999996766201604</v>
      </c>
    </row>
    <row r="1218" spans="1:40" x14ac:dyDescent="0.25">
      <c r="A1218" t="str">
        <f>"20190304164354327"</f>
        <v>20190304164354327</v>
      </c>
      <c r="B1218" t="str">
        <f>"1551689034320989"</f>
        <v>1551689034320989</v>
      </c>
      <c r="C1218" t="s">
        <v>40</v>
      </c>
      <c r="D1218">
        <v>5.157635</v>
      </c>
      <c r="E1218">
        <v>0.54918610000000001</v>
      </c>
      <c r="F1218" t="s">
        <v>41</v>
      </c>
      <c r="G1218">
        <v>-231.66290000000001</v>
      </c>
      <c r="H1218">
        <v>1.012953</v>
      </c>
      <c r="I1218">
        <v>367.84269999999998</v>
      </c>
      <c r="J1218">
        <v>-232.19450000000001</v>
      </c>
      <c r="K1218">
        <v>1.1110910000000001</v>
      </c>
      <c r="L1218">
        <v>367.87700000000001</v>
      </c>
      <c r="M1218">
        <v>0.99989609999999995</v>
      </c>
      <c r="N1218">
        <v>-1.441958E-2</v>
      </c>
      <c r="O1218">
        <v>-3.4990329999999998E-4</v>
      </c>
      <c r="P1218">
        <v>0.9541482</v>
      </c>
      <c r="Q1218">
        <v>0.29616809999999899</v>
      </c>
      <c r="R1218">
        <v>4.3429240000000001E-2</v>
      </c>
      <c r="S1218">
        <v>3.2847140000000001</v>
      </c>
      <c r="T1218">
        <v>-0.43372820000000001</v>
      </c>
      <c r="U1218">
        <v>-0.1499634</v>
      </c>
      <c r="V1218">
        <v>-4.4069690000000002E-2</v>
      </c>
      <c r="W1218">
        <v>0.30985220000000002</v>
      </c>
      <c r="X1218">
        <v>0.94976289999999997</v>
      </c>
      <c r="Y1218">
        <v>4.4829069999999999E-2</v>
      </c>
      <c r="Z1218">
        <v>-3.2293959999999998E-3</v>
      </c>
      <c r="AA1218">
        <v>0.99898949999999997</v>
      </c>
      <c r="AB1218">
        <v>32</v>
      </c>
      <c r="AC1218">
        <v>0.53159999999999696</v>
      </c>
      <c r="AD1218">
        <v>-9.8138000000000003E-2</v>
      </c>
      <c r="AE1218">
        <v>-3.4299999999973303E-2</v>
      </c>
      <c r="AF1218">
        <v>3.29941776154953E-2</v>
      </c>
      <c r="AG1218">
        <v>-9.8138000000000003E-2</v>
      </c>
      <c r="AH1218">
        <v>0.51416178706540305</v>
      </c>
      <c r="AI1218">
        <v>100.784403524995</v>
      </c>
      <c r="AJ1218">
        <v>86.328317842542006</v>
      </c>
      <c r="AK1218">
        <v>0.52448262705147097</v>
      </c>
      <c r="AL1218">
        <v>71.949677231563996</v>
      </c>
      <c r="AM1218">
        <v>92.656660353944304</v>
      </c>
      <c r="AN1218">
        <v>1.0000000448189701</v>
      </c>
    </row>
    <row r="1219" spans="1:40" x14ac:dyDescent="0.25">
      <c r="A1219" t="str">
        <f>"20190304164354346"</f>
        <v>20190304164354346</v>
      </c>
      <c r="B1219" t="str">
        <f>"1551689034341485"</f>
        <v>1551689034341485</v>
      </c>
      <c r="C1219" t="s">
        <v>40</v>
      </c>
      <c r="D1219">
        <v>5.224939</v>
      </c>
      <c r="E1219">
        <v>0.5488883</v>
      </c>
      <c r="F1219" t="s">
        <v>41</v>
      </c>
      <c r="G1219">
        <v>-231.3827</v>
      </c>
      <c r="H1219">
        <v>1.0034019999999999</v>
      </c>
      <c r="I1219">
        <v>367.84010000000001</v>
      </c>
      <c r="J1219">
        <v>-231.92449999999999</v>
      </c>
      <c r="K1219">
        <v>1.1110880000000001</v>
      </c>
      <c r="L1219">
        <v>367.87729999999999</v>
      </c>
      <c r="M1219">
        <v>0.99989609999999995</v>
      </c>
      <c r="N1219">
        <v>-1.4416679999999999E-2</v>
      </c>
      <c r="O1219" s="1">
        <v>5.0232989999999998E-5</v>
      </c>
      <c r="P1219">
        <v>0.95388729999999999</v>
      </c>
      <c r="Q1219">
        <v>0.2971222</v>
      </c>
      <c r="R1219">
        <v>4.2632990000000003E-2</v>
      </c>
      <c r="S1219">
        <v>3.2862849999999999</v>
      </c>
      <c r="T1219">
        <v>-0.43591390000000002</v>
      </c>
      <c r="U1219">
        <v>-0.14974979999999999</v>
      </c>
      <c r="V1219">
        <v>-4.2887229999999998E-2</v>
      </c>
      <c r="W1219">
        <v>0.31080180000000002</v>
      </c>
      <c r="X1219">
        <v>0.94950659999999998</v>
      </c>
      <c r="Y1219">
        <v>4.513284E-2</v>
      </c>
      <c r="Z1219">
        <v>-3.3117760000000002E-3</v>
      </c>
      <c r="AA1219">
        <v>0.99897550000000002</v>
      </c>
      <c r="AB1219">
        <v>32</v>
      </c>
      <c r="AC1219">
        <v>0.54179999999999495</v>
      </c>
      <c r="AD1219">
        <v>-0.107685999999999</v>
      </c>
      <c r="AE1219">
        <v>-3.7199999999984301E-2</v>
      </c>
      <c r="AF1219">
        <v>3.5818871447788302E-2</v>
      </c>
      <c r="AG1219">
        <v>-0.107685999999999</v>
      </c>
      <c r="AH1219">
        <v>0.52130129778349799</v>
      </c>
      <c r="AI1219">
        <v>101.644805830615</v>
      </c>
      <c r="AJ1219">
        <v>86.069356420650493</v>
      </c>
      <c r="AK1219">
        <v>0.53351130186581097</v>
      </c>
      <c r="AL1219">
        <v>71.892441342601103</v>
      </c>
      <c r="AM1219">
        <v>92.586172931010907</v>
      </c>
      <c r="AN1219">
        <v>0.99999992841193297</v>
      </c>
    </row>
    <row r="1220" spans="1:40" x14ac:dyDescent="0.25">
      <c r="A1220" t="str">
        <f>"20190304164354357"</f>
        <v>20190304164354357</v>
      </c>
      <c r="B1220" t="str">
        <f>"1551689034351245"</f>
        <v>1551689034351245</v>
      </c>
      <c r="C1220" t="s">
        <v>40</v>
      </c>
      <c r="D1220">
        <v>5.2326550000000003</v>
      </c>
      <c r="E1220">
        <v>0.54882299999999995</v>
      </c>
      <c r="F1220" t="s">
        <v>41</v>
      </c>
      <c r="G1220">
        <v>-231.09899999999999</v>
      </c>
      <c r="H1220">
        <v>1.001412</v>
      </c>
      <c r="I1220">
        <v>367.83980000000003</v>
      </c>
      <c r="J1220">
        <v>-231.75800000000001</v>
      </c>
      <c r="K1220">
        <v>1.1110869999999999</v>
      </c>
      <c r="L1220">
        <v>367.87759999999997</v>
      </c>
      <c r="M1220">
        <v>0.99989609999999995</v>
      </c>
      <c r="N1220">
        <v>-1.441489E-2</v>
      </c>
      <c r="O1220">
        <v>2.9273519999999998E-4</v>
      </c>
      <c r="P1220">
        <v>0.95389639999999998</v>
      </c>
      <c r="Q1220">
        <v>0.29713840000000002</v>
      </c>
      <c r="R1220">
        <v>4.2314119999999997E-2</v>
      </c>
      <c r="S1220">
        <v>3.2877960000000002</v>
      </c>
      <c r="T1220">
        <v>-0.4369942</v>
      </c>
      <c r="U1220">
        <v>-0.14871219999999999</v>
      </c>
      <c r="V1220">
        <v>-4.233282E-2</v>
      </c>
      <c r="W1220">
        <v>0.31081769999999997</v>
      </c>
      <c r="X1220">
        <v>0.94952639999999999</v>
      </c>
      <c r="Y1220">
        <v>4.5037189999999998E-2</v>
      </c>
      <c r="Z1220">
        <v>-3.339308E-3</v>
      </c>
      <c r="AA1220">
        <v>0.99897970000000003</v>
      </c>
      <c r="AB1220">
        <v>32</v>
      </c>
      <c r="AC1220">
        <v>0.65899999999996295</v>
      </c>
      <c r="AD1220">
        <v>-0.109674999999999</v>
      </c>
      <c r="AE1220">
        <v>-3.7799999999947403E-2</v>
      </c>
      <c r="AF1220">
        <v>3.6972241297388998E-2</v>
      </c>
      <c r="AG1220">
        <v>-0.109674999999999</v>
      </c>
      <c r="AH1220">
        <v>0.64128500301896396</v>
      </c>
      <c r="AI1220">
        <v>99.689263583006905</v>
      </c>
      <c r="AJ1220">
        <v>86.700357917953994</v>
      </c>
      <c r="AK1220">
        <v>0.65164561484643202</v>
      </c>
      <c r="AL1220">
        <v>71.891485095829196</v>
      </c>
      <c r="AM1220">
        <v>92.5527324185297</v>
      </c>
      <c r="AN1220">
        <v>1.0000000472896999</v>
      </c>
    </row>
    <row r="1221" spans="1:40" x14ac:dyDescent="0.25">
      <c r="A1221" t="str">
        <f>"20190304164354368"</f>
        <v>20190304164354368</v>
      </c>
      <c r="B1221" t="str">
        <f>"1551689034361005"</f>
        <v>1551689034361005</v>
      </c>
      <c r="C1221" t="s">
        <v>40</v>
      </c>
      <c r="D1221">
        <v>5.1911019999999999</v>
      </c>
      <c r="E1221">
        <v>0.54885919999999999</v>
      </c>
      <c r="F1221" t="s">
        <v>41</v>
      </c>
      <c r="G1221">
        <v>-230.82220000000001</v>
      </c>
      <c r="H1221">
        <v>0.9862609</v>
      </c>
      <c r="I1221">
        <v>367.83510000000001</v>
      </c>
      <c r="J1221">
        <v>-231.59389999999999</v>
      </c>
      <c r="K1221">
        <v>1.111081</v>
      </c>
      <c r="L1221">
        <v>367.87790000000001</v>
      </c>
      <c r="M1221">
        <v>0.99989600000000001</v>
      </c>
      <c r="N1221">
        <v>-1.441313E-2</v>
      </c>
      <c r="O1221">
        <v>5.2675589999999896E-4</v>
      </c>
      <c r="P1221">
        <v>0.95397509999999996</v>
      </c>
      <c r="Q1221">
        <v>0.29697000000000001</v>
      </c>
      <c r="R1221">
        <v>4.171975E-2</v>
      </c>
      <c r="S1221">
        <v>3.2882690000000001</v>
      </c>
      <c r="T1221">
        <v>-0.4387509</v>
      </c>
      <c r="U1221">
        <v>-0.14904790000000001</v>
      </c>
      <c r="V1221">
        <v>-4.1510239999999997E-2</v>
      </c>
      <c r="W1221">
        <v>0.31065039999999999</v>
      </c>
      <c r="X1221">
        <v>0.94961739999999994</v>
      </c>
      <c r="Y1221">
        <v>4.5358240000000001E-2</v>
      </c>
      <c r="Z1221">
        <v>-3.4022190000000002E-3</v>
      </c>
      <c r="AA1221">
        <v>0.99896499999999999</v>
      </c>
      <c r="AB1221">
        <v>32</v>
      </c>
      <c r="AC1221">
        <v>0.77169999999998096</v>
      </c>
      <c r="AD1221">
        <v>-0.1248201</v>
      </c>
      <c r="AE1221">
        <v>-4.2799999999999699E-2</v>
      </c>
      <c r="AF1221">
        <v>4.2108272650589598E-2</v>
      </c>
      <c r="AG1221">
        <v>-0.1248201</v>
      </c>
      <c r="AH1221">
        <v>0.75206218115490897</v>
      </c>
      <c r="AI1221">
        <v>99.409033125009799</v>
      </c>
      <c r="AJ1221">
        <v>86.795331606763398</v>
      </c>
      <c r="AK1221">
        <v>0.763512074765754</v>
      </c>
      <c r="AL1221">
        <v>71.901568811940805</v>
      </c>
      <c r="AM1221">
        <v>92.502953760551506</v>
      </c>
      <c r="AN1221">
        <v>0.99999998871388796</v>
      </c>
    </row>
    <row r="1222" spans="1:40" x14ac:dyDescent="0.25">
      <c r="A1222" t="str">
        <f>"20190304164354380"</f>
        <v>20190304164354380</v>
      </c>
      <c r="B1222" t="str">
        <f>"1551689034370765"</f>
        <v>1551689034370765</v>
      </c>
      <c r="C1222" t="s">
        <v>40</v>
      </c>
      <c r="D1222">
        <v>5.1816449999999996</v>
      </c>
      <c r="E1222">
        <v>0.54890760000000005</v>
      </c>
      <c r="F1222" t="s">
        <v>41</v>
      </c>
      <c r="G1222">
        <v>-230.81209999999999</v>
      </c>
      <c r="H1222">
        <v>1.006445</v>
      </c>
      <c r="I1222">
        <v>367.84179999999998</v>
      </c>
      <c r="J1222">
        <v>-231.43989999999999</v>
      </c>
      <c r="K1222">
        <v>1.111083</v>
      </c>
      <c r="L1222">
        <v>367.87819999999999</v>
      </c>
      <c r="M1222">
        <v>0.99989589999999995</v>
      </c>
      <c r="N1222">
        <v>-1.4411469999999999E-2</v>
      </c>
      <c r="O1222">
        <v>7.4199420000000001E-4</v>
      </c>
      <c r="P1222">
        <v>0.95395269999999999</v>
      </c>
      <c r="Q1222">
        <v>0.29708959999999901</v>
      </c>
      <c r="R1222">
        <v>4.1376540000000003E-2</v>
      </c>
      <c r="S1222">
        <v>3.2884220000000002</v>
      </c>
      <c r="T1222">
        <v>-0.4402702</v>
      </c>
      <c r="U1222">
        <v>-0.15109249999999999</v>
      </c>
      <c r="V1222">
        <v>-4.0956579999999999E-2</v>
      </c>
      <c r="W1222">
        <v>0.31076920000000002</v>
      </c>
      <c r="X1222">
        <v>0.94960259999999996</v>
      </c>
      <c r="Y1222">
        <v>4.6178490000000003E-2</v>
      </c>
      <c r="Z1222">
        <v>-3.4987529999999998E-3</v>
      </c>
      <c r="AA1222">
        <v>0.99892709999999996</v>
      </c>
      <c r="AB1222">
        <v>32</v>
      </c>
      <c r="AC1222">
        <v>0.62780000000000702</v>
      </c>
      <c r="AD1222">
        <v>-0.10463799999999999</v>
      </c>
      <c r="AE1222">
        <v>-3.6400000000014601E-2</v>
      </c>
      <c r="AF1222">
        <v>3.58726498155226E-2</v>
      </c>
      <c r="AG1222">
        <v>-0.10463799999999999</v>
      </c>
      <c r="AH1222">
        <v>0.61085983006323996</v>
      </c>
      <c r="AI1222">
        <v>99.703814280744297</v>
      </c>
      <c r="AJ1222">
        <v>86.639173980756496</v>
      </c>
      <c r="AK1222">
        <v>0.620794402385908</v>
      </c>
      <c r="AL1222">
        <v>71.894408168886002</v>
      </c>
      <c r="AM1222">
        <v>92.469649633720806</v>
      </c>
      <c r="AN1222">
        <v>1.0000000175203401</v>
      </c>
    </row>
    <row r="1223" spans="1:40" x14ac:dyDescent="0.25">
      <c r="A1223" t="str">
        <f>"20190304164354391"</f>
        <v>20190304164354391</v>
      </c>
      <c r="B1223" t="str">
        <f>"1551689034381502"</f>
        <v>1551689034381502</v>
      </c>
      <c r="C1223" t="s">
        <v>40</v>
      </c>
      <c r="D1223">
        <v>5.1940589999999904</v>
      </c>
      <c r="E1223">
        <v>0.54897759999999995</v>
      </c>
      <c r="F1223" t="s">
        <v>41</v>
      </c>
      <c r="G1223">
        <v>-230.53620000000001</v>
      </c>
      <c r="H1223">
        <v>0.9902706</v>
      </c>
      <c r="I1223">
        <v>367.83600000000001</v>
      </c>
      <c r="J1223">
        <v>-231.27010000000001</v>
      </c>
      <c r="K1223">
        <v>1.111076</v>
      </c>
      <c r="L1223">
        <v>367.87849999999997</v>
      </c>
      <c r="M1223">
        <v>0.9998958</v>
      </c>
      <c r="N1223">
        <v>-1.440965E-2</v>
      </c>
      <c r="O1223">
        <v>9.7491169999999999E-4</v>
      </c>
      <c r="P1223">
        <v>0.95406069999999998</v>
      </c>
      <c r="Q1223">
        <v>0.29678300000000002</v>
      </c>
      <c r="R1223">
        <v>4.1087650000000003E-2</v>
      </c>
      <c r="S1223">
        <v>3.2884220000000002</v>
      </c>
      <c r="T1223">
        <v>-0.43980799999999998</v>
      </c>
      <c r="U1223">
        <v>-0.15301509999999999</v>
      </c>
      <c r="V1223">
        <v>-4.0438729999999999E-2</v>
      </c>
      <c r="W1223">
        <v>0.31046380000000001</v>
      </c>
      <c r="X1223">
        <v>0.94972469999999998</v>
      </c>
      <c r="Y1223">
        <v>4.6985289999999999E-2</v>
      </c>
      <c r="Z1223">
        <v>-3.582553E-3</v>
      </c>
      <c r="AA1223">
        <v>0.99888909999999997</v>
      </c>
      <c r="AB1223">
        <v>32</v>
      </c>
      <c r="AC1223">
        <v>0.73390000000000499</v>
      </c>
      <c r="AD1223">
        <v>-0.12080539999999899</v>
      </c>
      <c r="AE1223">
        <v>-4.2499999999961298E-2</v>
      </c>
      <c r="AF1223">
        <v>4.20791911984277E-2</v>
      </c>
      <c r="AG1223">
        <v>-0.12080539999999899</v>
      </c>
      <c r="AH1223">
        <v>0.71456144792882104</v>
      </c>
      <c r="AI1223">
        <v>99.5795326138158</v>
      </c>
      <c r="AJ1223">
        <v>86.629850472297406</v>
      </c>
      <c r="AK1223">
        <v>0.72592194199322002</v>
      </c>
      <c r="AL1223">
        <v>71.912817187165402</v>
      </c>
      <c r="AM1223">
        <v>92.438148499362796</v>
      </c>
      <c r="AN1223">
        <v>1.0000000338922701</v>
      </c>
    </row>
    <row r="1224" spans="1:40" x14ac:dyDescent="0.25">
      <c r="A1224" t="str">
        <f>"20190304164354403"</f>
        <v>20190304164354403</v>
      </c>
      <c r="B1224" t="str">
        <f>"1551689034391262"</f>
        <v>1551689034391262</v>
      </c>
      <c r="C1224" t="s">
        <v>40</v>
      </c>
      <c r="D1224">
        <v>5.1959980000000003</v>
      </c>
      <c r="E1224">
        <v>0.54904909999999996</v>
      </c>
      <c r="F1224" t="s">
        <v>41</v>
      </c>
      <c r="G1224">
        <v>-230.5258</v>
      </c>
      <c r="H1224">
        <v>1.0111460000000001</v>
      </c>
      <c r="I1224">
        <v>367.8433</v>
      </c>
      <c r="J1224">
        <v>-231.1062</v>
      </c>
      <c r="K1224">
        <v>1.111067</v>
      </c>
      <c r="L1224">
        <v>367.87889999999999</v>
      </c>
      <c r="M1224">
        <v>0.99989550000000005</v>
      </c>
      <c r="N1224">
        <v>-1.4408000000000001E-2</v>
      </c>
      <c r="O1224">
        <v>1.189744E-3</v>
      </c>
      <c r="P1224">
        <v>0.95416469999999998</v>
      </c>
      <c r="Q1224">
        <v>0.2964966</v>
      </c>
      <c r="R1224">
        <v>4.0738580000000003E-2</v>
      </c>
      <c r="S1224">
        <v>3.2885740000000001</v>
      </c>
      <c r="T1224">
        <v>-0.44179079999999898</v>
      </c>
      <c r="U1224">
        <v>-0.15487670000000001</v>
      </c>
      <c r="V1224">
        <v>-3.9877000000000003E-2</v>
      </c>
      <c r="W1224">
        <v>0.31017909999999999</v>
      </c>
      <c r="X1224">
        <v>0.94984139999999995</v>
      </c>
      <c r="Y1224">
        <v>4.7748859999999997E-2</v>
      </c>
      <c r="Z1224">
        <v>-3.6790899999999999E-3</v>
      </c>
      <c r="AA1224">
        <v>0.99885259999999998</v>
      </c>
      <c r="AB1224">
        <v>32</v>
      </c>
      <c r="AC1224">
        <v>0.58039999999999703</v>
      </c>
      <c r="AD1224">
        <v>-9.9921000000000093E-2</v>
      </c>
      <c r="AE1224">
        <v>-3.5599999999988002E-2</v>
      </c>
      <c r="AF1224">
        <v>3.5249734464533201E-2</v>
      </c>
      <c r="AG1224">
        <v>-9.9921000000000093E-2</v>
      </c>
      <c r="AH1224">
        <v>0.56371217236650994</v>
      </c>
      <c r="AI1224">
        <v>100.032383794114</v>
      </c>
      <c r="AJ1224">
        <v>86.421871199649999</v>
      </c>
      <c r="AK1224">
        <v>0.57358361491153997</v>
      </c>
      <c r="AL1224">
        <v>71.929975170249406</v>
      </c>
      <c r="AM1224">
        <v>92.404025413922895</v>
      </c>
      <c r="AN1224">
        <v>0.99999996717988404</v>
      </c>
    </row>
    <row r="1225" spans="1:40" x14ac:dyDescent="0.25">
      <c r="A1225" t="str">
        <f>"20190304164354417"</f>
        <v>20190304164354417</v>
      </c>
      <c r="B1225" t="str">
        <f>"1551689034410781"</f>
        <v>1551689034410781</v>
      </c>
      <c r="C1225" t="s">
        <v>40</v>
      </c>
      <c r="D1225">
        <v>5.1910400000000001</v>
      </c>
      <c r="E1225">
        <v>0.54910369999999997</v>
      </c>
      <c r="F1225" t="s">
        <v>41</v>
      </c>
      <c r="G1225">
        <v>-230.2499</v>
      </c>
      <c r="H1225">
        <v>0.99549259999999995</v>
      </c>
      <c r="I1225">
        <v>367.83800000000002</v>
      </c>
      <c r="J1225">
        <v>-230.9076</v>
      </c>
      <c r="K1225">
        <v>1.111051</v>
      </c>
      <c r="L1225">
        <v>367.87939999999998</v>
      </c>
      <c r="M1225">
        <v>0.99989519999999998</v>
      </c>
      <c r="N1225">
        <v>-1.4405980000000001E-2</v>
      </c>
      <c r="O1225">
        <v>1.4429079999999999E-3</v>
      </c>
      <c r="P1225">
        <v>0.95427729999999999</v>
      </c>
      <c r="Q1225">
        <v>0.29618610000000001</v>
      </c>
      <c r="R1225">
        <v>4.0359069999999997E-2</v>
      </c>
      <c r="S1225">
        <v>3.2887729999999999</v>
      </c>
      <c r="T1225">
        <v>-0.44388749999999999</v>
      </c>
      <c r="U1225">
        <v>-0.15710450000000001</v>
      </c>
      <c r="V1225">
        <v>-3.9245700000000001E-2</v>
      </c>
      <c r="W1225">
        <v>0.30987029999999999</v>
      </c>
      <c r="X1225">
        <v>0.94996849999999999</v>
      </c>
      <c r="Y1225">
        <v>4.8658760000000002E-2</v>
      </c>
      <c r="Z1225">
        <v>-3.7926190000000001E-3</v>
      </c>
      <c r="AA1225">
        <v>0.99880829999999998</v>
      </c>
      <c r="AB1225">
        <v>32</v>
      </c>
      <c r="AC1225">
        <v>0.65770000000000495</v>
      </c>
      <c r="AD1225">
        <v>-0.11555840000000001</v>
      </c>
      <c r="AE1225">
        <v>-4.1399999999953203E-2</v>
      </c>
      <c r="AF1225">
        <v>4.1085714345199899E-2</v>
      </c>
      <c r="AG1225">
        <v>-0.11555840000000001</v>
      </c>
      <c r="AH1225">
        <v>0.63802110832991998</v>
      </c>
      <c r="AI1225">
        <v>100.245350571553</v>
      </c>
      <c r="AJ1225">
        <v>86.315494621529197</v>
      </c>
      <c r="AK1225">
        <v>0.64970201970469199</v>
      </c>
      <c r="AL1225">
        <v>71.948585458824198</v>
      </c>
      <c r="AM1225">
        <v>92.365694253353794</v>
      </c>
      <c r="AN1225">
        <v>0.99999998939141399</v>
      </c>
    </row>
    <row r="1226" spans="1:40" x14ac:dyDescent="0.25">
      <c r="A1226" t="str">
        <f>"20190304164354430"</f>
        <v>20190304164354430</v>
      </c>
      <c r="B1226" t="str">
        <f>"1551689034421518"</f>
        <v>1551689034421518</v>
      </c>
      <c r="C1226" t="s">
        <v>40</v>
      </c>
      <c r="D1226">
        <v>5.2140750000000002</v>
      </c>
      <c r="E1226">
        <v>0.54914469999999904</v>
      </c>
      <c r="F1226" t="s">
        <v>41</v>
      </c>
      <c r="G1226">
        <v>-229.97200000000001</v>
      </c>
      <c r="H1226">
        <v>0.98449089999999995</v>
      </c>
      <c r="I1226">
        <v>367.83390000000003</v>
      </c>
      <c r="J1226">
        <v>-230.7242</v>
      </c>
      <c r="K1226">
        <v>1.111032</v>
      </c>
      <c r="L1226">
        <v>367.87990000000002</v>
      </c>
      <c r="M1226">
        <v>0.99989490000000003</v>
      </c>
      <c r="N1226">
        <v>-1.440401E-2</v>
      </c>
      <c r="O1226">
        <v>1.66256E-3</v>
      </c>
      <c r="P1226">
        <v>0.95436279999999996</v>
      </c>
      <c r="Q1226">
        <v>0.296014</v>
      </c>
      <c r="R1226">
        <v>3.9593660000000003E-2</v>
      </c>
      <c r="S1226">
        <v>3.288589</v>
      </c>
      <c r="T1226">
        <v>-0.44506410000000002</v>
      </c>
      <c r="U1226">
        <v>-0.15899659999999999</v>
      </c>
      <c r="V1226">
        <v>-3.8259969999999997E-2</v>
      </c>
      <c r="W1226">
        <v>0.30969989999999997</v>
      </c>
      <c r="X1226">
        <v>0.95006429999999997</v>
      </c>
      <c r="Y1226">
        <v>4.9442100000000003E-2</v>
      </c>
      <c r="Z1226">
        <v>-3.8866590000000002E-3</v>
      </c>
      <c r="AA1226">
        <v>0.99876940000000003</v>
      </c>
      <c r="AB1226">
        <v>32</v>
      </c>
      <c r="AC1226">
        <v>0.75219999999998699</v>
      </c>
      <c r="AD1226">
        <v>-0.12654109999999999</v>
      </c>
      <c r="AE1226">
        <v>-4.59999999999922E-2</v>
      </c>
      <c r="AF1226">
        <v>4.5954934521779303E-2</v>
      </c>
      <c r="AG1226">
        <v>-0.12654109999999999</v>
      </c>
      <c r="AH1226">
        <v>0.73149773874892299</v>
      </c>
      <c r="AI1226">
        <v>99.795476446460796</v>
      </c>
      <c r="AJ1226">
        <v>86.405227406174106</v>
      </c>
      <c r="AK1226">
        <v>0.74378319945458504</v>
      </c>
      <c r="AL1226">
        <v>71.958854248673504</v>
      </c>
      <c r="AM1226">
        <v>92.306108046898103</v>
      </c>
      <c r="AN1226">
        <v>1.00000001374945</v>
      </c>
    </row>
    <row r="1227" spans="1:40" x14ac:dyDescent="0.25">
      <c r="A1227" t="str">
        <f>"20190304164354442"</f>
        <v>20190304164354442</v>
      </c>
      <c r="B1227" t="str">
        <f>"1551689034431278"</f>
        <v>1551689034431278</v>
      </c>
      <c r="C1227" t="s">
        <v>40</v>
      </c>
      <c r="D1227">
        <v>5.1924070000000002</v>
      </c>
      <c r="E1227">
        <v>0.54921549999999997</v>
      </c>
      <c r="F1227" t="s">
        <v>41</v>
      </c>
      <c r="G1227">
        <v>-229.9606</v>
      </c>
      <c r="H1227">
        <v>1.0073099999999999</v>
      </c>
      <c r="I1227">
        <v>367.84210000000002</v>
      </c>
      <c r="J1227">
        <v>-230.5505</v>
      </c>
      <c r="K1227">
        <v>1.1110169999999999</v>
      </c>
      <c r="L1227">
        <v>367.88040000000001</v>
      </c>
      <c r="M1227">
        <v>0.99989459999999997</v>
      </c>
      <c r="N1227">
        <v>-1.440205E-2</v>
      </c>
      <c r="O1227">
        <v>1.8591969999999999E-3</v>
      </c>
      <c r="P1227">
        <v>0.95449649999999997</v>
      </c>
      <c r="Q1227">
        <v>0.29562519999999998</v>
      </c>
      <c r="R1227">
        <v>3.9273620000000002E-2</v>
      </c>
      <c r="S1227">
        <v>3.2888030000000001</v>
      </c>
      <c r="T1227">
        <v>-0.44701299999999999</v>
      </c>
      <c r="U1227">
        <v>-0.1616821</v>
      </c>
      <c r="V1227">
        <v>-3.7740349999999999E-2</v>
      </c>
      <c r="W1227">
        <v>0.30931310000000001</v>
      </c>
      <c r="X1227">
        <v>0.95021100000000003</v>
      </c>
      <c r="Y1227">
        <v>5.0433310000000002E-2</v>
      </c>
      <c r="Z1227">
        <v>-3.999715E-3</v>
      </c>
      <c r="AA1227">
        <v>0.99871940000000003</v>
      </c>
      <c r="AB1227">
        <v>32</v>
      </c>
      <c r="AC1227">
        <v>0.58989999999999998</v>
      </c>
      <c r="AD1227">
        <v>-0.10370699999999999</v>
      </c>
      <c r="AE1227">
        <v>-3.8299999999992403E-2</v>
      </c>
      <c r="AF1227">
        <v>3.8220459978105803E-2</v>
      </c>
      <c r="AG1227">
        <v>-0.10370699999999999</v>
      </c>
      <c r="AH1227">
        <v>0.57221641054154604</v>
      </c>
      <c r="AI1227">
        <v>100.250276227691</v>
      </c>
      <c r="AJ1227">
        <v>86.178678089638794</v>
      </c>
      <c r="AK1227">
        <v>0.58279290138349205</v>
      </c>
      <c r="AL1227">
        <v>71.982159217806796</v>
      </c>
      <c r="AM1227">
        <v>92.274470405756205</v>
      </c>
      <c r="AN1227">
        <v>0.99999993618536398</v>
      </c>
    </row>
    <row r="1228" spans="1:40" x14ac:dyDescent="0.25">
      <c r="A1228" t="str">
        <f>"20190304164354457"</f>
        <v>20190304164354457</v>
      </c>
      <c r="B1228" t="str">
        <f>"1551689034450797"</f>
        <v>1551689034450797</v>
      </c>
      <c r="C1228" t="s">
        <v>40</v>
      </c>
      <c r="D1228">
        <v>5.2135720000000001</v>
      </c>
      <c r="E1228">
        <v>0.54927930000000003</v>
      </c>
      <c r="F1228" t="s">
        <v>41</v>
      </c>
      <c r="G1228">
        <v>-229.68469999999999</v>
      </c>
      <c r="H1228">
        <v>0.9930985</v>
      </c>
      <c r="I1228">
        <v>367.83710000000002</v>
      </c>
      <c r="J1228">
        <v>-230.33860000000001</v>
      </c>
      <c r="K1228">
        <v>1.110994</v>
      </c>
      <c r="L1228">
        <v>367.88099999999997</v>
      </c>
      <c r="M1228">
        <v>0.99989419999999996</v>
      </c>
      <c r="N1228">
        <v>-1.439962E-2</v>
      </c>
      <c r="O1228">
        <v>2.0869339999999999E-3</v>
      </c>
      <c r="P1228">
        <v>0.95466689999999998</v>
      </c>
      <c r="Q1228">
        <v>0.2952053</v>
      </c>
      <c r="R1228">
        <v>3.8276020000000001E-2</v>
      </c>
      <c r="S1228">
        <v>3.2885279999999999</v>
      </c>
      <c r="T1228">
        <v>-0.44803460000000001</v>
      </c>
      <c r="U1228">
        <v>-0.1636658</v>
      </c>
      <c r="V1228">
        <v>-3.6510389999999997E-2</v>
      </c>
      <c r="W1228">
        <v>0.3088959</v>
      </c>
      <c r="X1228">
        <v>0.95039479999999998</v>
      </c>
      <c r="Y1228">
        <v>5.1253420000000001E-2</v>
      </c>
      <c r="Z1228">
        <v>-4.0973290000000002E-3</v>
      </c>
      <c r="AA1228">
        <v>0.99867729999999999</v>
      </c>
      <c r="AB1228">
        <v>32</v>
      </c>
      <c r="AC1228">
        <v>0.65390000000002102</v>
      </c>
      <c r="AD1228">
        <v>-0.117895499999999</v>
      </c>
      <c r="AE1228">
        <v>-4.3899999999950902E-2</v>
      </c>
      <c r="AF1228">
        <v>4.3845808210453897E-2</v>
      </c>
      <c r="AG1228">
        <v>-0.117895499999999</v>
      </c>
      <c r="AH1228">
        <v>0.63331247594920104</v>
      </c>
      <c r="AI1228">
        <v>100.520678737159</v>
      </c>
      <c r="AJ1228">
        <v>86.039589276983193</v>
      </c>
      <c r="AK1228">
        <v>0.64568296865473096</v>
      </c>
      <c r="AL1228">
        <v>72.007294742375393</v>
      </c>
      <c r="AM1228">
        <v>92.199994255969997</v>
      </c>
      <c r="AN1228">
        <v>0.99999998074090002</v>
      </c>
    </row>
    <row r="1229" spans="1:40" x14ac:dyDescent="0.25">
      <c r="A1229" t="str">
        <f>"20190304164354480"</f>
        <v>20190304164354480</v>
      </c>
      <c r="B1229" t="str">
        <f>"1551689034471293"</f>
        <v>1551689034471293</v>
      </c>
      <c r="C1229" t="s">
        <v>40</v>
      </c>
      <c r="D1229">
        <v>5.2306860000000004</v>
      </c>
      <c r="E1229">
        <v>0.54932709999999996</v>
      </c>
      <c r="F1229" t="s">
        <v>41</v>
      </c>
      <c r="G1229">
        <v>-229.40690000000001</v>
      </c>
      <c r="H1229">
        <v>0.98315079999999999</v>
      </c>
      <c r="I1229">
        <v>367.83359999999999</v>
      </c>
      <c r="J1229">
        <v>-230.0284</v>
      </c>
      <c r="K1229">
        <v>1.1109599999999999</v>
      </c>
      <c r="L1229">
        <v>367.88200000000001</v>
      </c>
      <c r="M1229">
        <v>0.99989349999999999</v>
      </c>
      <c r="N1229">
        <v>-1.4396020000000001E-2</v>
      </c>
      <c r="O1229">
        <v>2.382959E-3</v>
      </c>
      <c r="P1229">
        <v>0.95488110000000004</v>
      </c>
      <c r="Q1229">
        <v>0.29467539999999998</v>
      </c>
      <c r="R1229">
        <v>3.6995470000000003E-2</v>
      </c>
      <c r="S1229">
        <v>3.2887569999999999</v>
      </c>
      <c r="T1229">
        <v>-0.45150040000000002</v>
      </c>
      <c r="U1229">
        <v>-0.16656489999999999</v>
      </c>
      <c r="V1229">
        <v>-3.4922750000000002E-2</v>
      </c>
      <c r="W1229">
        <v>0.30836970000000002</v>
      </c>
      <c r="X1229">
        <v>0.95062530000000001</v>
      </c>
      <c r="Y1229">
        <v>5.2401789999999997E-2</v>
      </c>
      <c r="Z1229">
        <v>-4.2486349999999997E-3</v>
      </c>
      <c r="AA1229">
        <v>0.99861710000000004</v>
      </c>
      <c r="AB1229">
        <v>32</v>
      </c>
      <c r="AC1229">
        <v>0.62149999999999705</v>
      </c>
      <c r="AD1229">
        <v>-0.12780919999999901</v>
      </c>
      <c r="AE1229">
        <v>-4.8399999999958199E-2</v>
      </c>
      <c r="AF1229">
        <v>4.7868835402696999E-2</v>
      </c>
      <c r="AG1229">
        <v>-0.12780919999999901</v>
      </c>
      <c r="AH1229">
        <v>0.59631643729935402</v>
      </c>
      <c r="AI1229">
        <v>102.059594767124</v>
      </c>
      <c r="AJ1229">
        <v>85.410467488005693</v>
      </c>
      <c r="AK1229">
        <v>0.61173516361318103</v>
      </c>
      <c r="AL1229">
        <v>72.038990882010594</v>
      </c>
      <c r="AM1229">
        <v>92.103906530317502</v>
      </c>
      <c r="AN1229">
        <v>0.99999996567286997</v>
      </c>
    </row>
    <row r="1230" spans="1:40" x14ac:dyDescent="0.25">
      <c r="A1230" t="str">
        <f>"20190304164354494"</f>
        <v>20190304164354494</v>
      </c>
      <c r="B1230" t="str">
        <f>"1551689034481053"</f>
        <v>1551689034481053</v>
      </c>
      <c r="C1230" t="s">
        <v>40</v>
      </c>
      <c r="D1230">
        <v>5.2360410000000002</v>
      </c>
      <c r="E1230">
        <v>0.54933580000000004</v>
      </c>
      <c r="F1230" t="s">
        <v>41</v>
      </c>
      <c r="G1230">
        <v>-229.1232</v>
      </c>
      <c r="H1230">
        <v>0.98573160000000004</v>
      </c>
      <c r="I1230">
        <v>367.83499999999998</v>
      </c>
      <c r="J1230">
        <v>-229.82239999999999</v>
      </c>
      <c r="K1230">
        <v>1.110941</v>
      </c>
      <c r="L1230">
        <v>367.8827</v>
      </c>
      <c r="M1230">
        <v>0.99989309999999998</v>
      </c>
      <c r="N1230">
        <v>-1.4393639999999999E-2</v>
      </c>
      <c r="O1230">
        <v>2.561055E-3</v>
      </c>
      <c r="P1230">
        <v>0.95495629999999998</v>
      </c>
      <c r="Q1230">
        <v>0.29448659999999999</v>
      </c>
      <c r="R1230">
        <v>3.655485E-2</v>
      </c>
      <c r="S1230">
        <v>3.2887879999999998</v>
      </c>
      <c r="T1230">
        <v>-0.45510529999999999</v>
      </c>
      <c r="U1230">
        <v>-0.1704407</v>
      </c>
      <c r="V1230">
        <v>-3.4295770000000003E-2</v>
      </c>
      <c r="W1230">
        <v>0.30818190000000001</v>
      </c>
      <c r="X1230">
        <v>0.95070900000000003</v>
      </c>
      <c r="Y1230">
        <v>5.3729079999999999E-2</v>
      </c>
      <c r="Z1230">
        <v>-4.4022519999999997E-3</v>
      </c>
      <c r="AA1230">
        <v>0.99854580000000004</v>
      </c>
      <c r="AB1230">
        <v>32</v>
      </c>
      <c r="AC1230">
        <v>0.69919999999999005</v>
      </c>
      <c r="AD1230">
        <v>-0.1252094</v>
      </c>
      <c r="AE1230">
        <v>-4.7700000000020198E-2</v>
      </c>
      <c r="AF1230">
        <v>4.7959869361584098E-2</v>
      </c>
      <c r="AG1230">
        <v>-0.1252094</v>
      </c>
      <c r="AH1230">
        <v>0.67745169203183297</v>
      </c>
      <c r="AI1230">
        <v>100.445906666685</v>
      </c>
      <c r="AJ1230">
        <v>85.950528737914595</v>
      </c>
      <c r="AK1230">
        <v>0.69059274391954995</v>
      </c>
      <c r="AL1230">
        <v>72.050301489816505</v>
      </c>
      <c r="AM1230">
        <v>92.065985671406295</v>
      </c>
      <c r="AN1230">
        <v>0.99999994300424899</v>
      </c>
    </row>
    <row r="1231" spans="1:40" x14ac:dyDescent="0.25">
      <c r="A1231" t="str">
        <f>"20190304164354509"</f>
        <v>20190304164354509</v>
      </c>
      <c r="B1231" t="str">
        <f>"1551689034501549"</f>
        <v>1551689034501549</v>
      </c>
      <c r="C1231" t="s">
        <v>40</v>
      </c>
      <c r="D1231">
        <v>5.2385120000000001</v>
      </c>
      <c r="E1231">
        <v>0.54936339999999995</v>
      </c>
      <c r="F1231" t="s">
        <v>41</v>
      </c>
      <c r="G1231">
        <v>-228.84620000000001</v>
      </c>
      <c r="H1231">
        <v>0.97547510000000004</v>
      </c>
      <c r="I1231">
        <v>367.83139999999997</v>
      </c>
      <c r="J1231">
        <v>-229.60810000000001</v>
      </c>
      <c r="K1231">
        <v>1.1109180000000001</v>
      </c>
      <c r="L1231">
        <v>367.88339999999999</v>
      </c>
      <c r="M1231">
        <v>0.99989280000000003</v>
      </c>
      <c r="N1231">
        <v>-1.439115E-2</v>
      </c>
      <c r="O1231">
        <v>2.7200950000000001E-3</v>
      </c>
      <c r="P1231">
        <v>0.95505960000000001</v>
      </c>
      <c r="Q1231">
        <v>0.29424739999999999</v>
      </c>
      <c r="R1231">
        <v>3.5775620000000001E-2</v>
      </c>
      <c r="S1231">
        <v>3.28891</v>
      </c>
      <c r="T1231">
        <v>-0.45663140000000002</v>
      </c>
      <c r="U1231">
        <v>-0.17224120000000001</v>
      </c>
      <c r="V1231">
        <v>-3.3346000000000001E-2</v>
      </c>
      <c r="W1231">
        <v>0.307944299999999</v>
      </c>
      <c r="X1231">
        <v>0.95081979999999999</v>
      </c>
      <c r="Y1231">
        <v>5.4418979999999999E-2</v>
      </c>
      <c r="Z1231">
        <v>-4.4877679999999996E-3</v>
      </c>
      <c r="AA1231">
        <v>0.99850810000000001</v>
      </c>
      <c r="AB1231">
        <v>32</v>
      </c>
      <c r="AC1231">
        <v>0.76189999999999702</v>
      </c>
      <c r="AD1231">
        <v>-0.1354429</v>
      </c>
      <c r="AE1231">
        <v>-5.2000000000020898E-2</v>
      </c>
      <c r="AF1231">
        <v>5.2423450384194402E-2</v>
      </c>
      <c r="AG1231">
        <v>-0.1354429</v>
      </c>
      <c r="AH1231">
        <v>0.73852496109819099</v>
      </c>
      <c r="AI1231">
        <v>100.366842439346</v>
      </c>
      <c r="AJ1231">
        <v>85.939727206831904</v>
      </c>
      <c r="AK1231">
        <v>0.75266999108220001</v>
      </c>
      <c r="AL1231">
        <v>72.064611390240501</v>
      </c>
      <c r="AM1231">
        <v>92.008584935521398</v>
      </c>
      <c r="AN1231">
        <v>0.99999996984526396</v>
      </c>
    </row>
    <row r="1232" spans="1:40" x14ac:dyDescent="0.25">
      <c r="A1232" t="str">
        <f>"20190304164354522"</f>
        <v>20190304164354522</v>
      </c>
      <c r="B1232" t="str">
        <f>"1551689034511310"</f>
        <v>1551689034511310</v>
      </c>
      <c r="C1232" t="s">
        <v>40</v>
      </c>
      <c r="D1232">
        <v>5.2472469999999998</v>
      </c>
      <c r="E1232">
        <v>0.54937009999999997</v>
      </c>
      <c r="F1232" t="s">
        <v>41</v>
      </c>
      <c r="G1232">
        <v>-228.83260000000001</v>
      </c>
      <c r="H1232">
        <v>1.0029079999999999</v>
      </c>
      <c r="I1232">
        <v>367.84190000000001</v>
      </c>
      <c r="J1232">
        <v>-229.43119999999999</v>
      </c>
      <c r="K1232">
        <v>1.1108990000000001</v>
      </c>
      <c r="L1232">
        <v>367.88400000000001</v>
      </c>
      <c r="M1232">
        <v>0.99989249999999996</v>
      </c>
      <c r="N1232">
        <v>-1.43890999999999E-2</v>
      </c>
      <c r="O1232">
        <v>2.8350850000000002E-3</v>
      </c>
      <c r="P1232">
        <v>0.95516089999999998</v>
      </c>
      <c r="Q1232">
        <v>0.29402260000000002</v>
      </c>
      <c r="R1232">
        <v>3.4904579999999998E-2</v>
      </c>
      <c r="S1232">
        <v>3.2889249999999999</v>
      </c>
      <c r="T1232">
        <v>-0.45833030000000002</v>
      </c>
      <c r="U1232">
        <v>-0.17517089999999999</v>
      </c>
      <c r="V1232">
        <v>-3.2348710000000003E-2</v>
      </c>
      <c r="W1232">
        <v>0.30772149999999998</v>
      </c>
      <c r="X1232">
        <v>0.95092639999999995</v>
      </c>
      <c r="Y1232">
        <v>5.5404929999999998E-2</v>
      </c>
      <c r="Z1232">
        <v>-4.5926049999999996E-3</v>
      </c>
      <c r="AA1232">
        <v>0.99845340000000005</v>
      </c>
      <c r="AB1232">
        <v>32</v>
      </c>
      <c r="AC1232">
        <v>0.59859999999997604</v>
      </c>
      <c r="AD1232">
        <v>-0.107991</v>
      </c>
      <c r="AE1232">
        <v>-4.2100000000004897E-2</v>
      </c>
      <c r="AF1232">
        <v>4.2423166911200599E-2</v>
      </c>
      <c r="AG1232">
        <v>-0.107991</v>
      </c>
      <c r="AH1232">
        <v>0.57970387072764895</v>
      </c>
      <c r="AI1232">
        <v>100.524959144505</v>
      </c>
      <c r="AJ1232">
        <v>85.814512643757197</v>
      </c>
      <c r="AK1232">
        <v>0.59120077715476105</v>
      </c>
      <c r="AL1232">
        <v>72.078028777767699</v>
      </c>
      <c r="AM1232">
        <v>91.948342266128705</v>
      </c>
      <c r="AN1232">
        <v>0.99999998940893697</v>
      </c>
    </row>
    <row r="1233" spans="1:40" x14ac:dyDescent="0.25">
      <c r="A1233" t="str">
        <f>"20190304164354539"</f>
        <v>20190304164354539</v>
      </c>
      <c r="B1233" t="str">
        <f>"1551689034530829"</f>
        <v>1551689034530829</v>
      </c>
      <c r="C1233" t="s">
        <v>40</v>
      </c>
      <c r="D1233">
        <v>5.2450700000000001</v>
      </c>
      <c r="E1233">
        <v>0.54939399999999905</v>
      </c>
      <c r="F1233" t="s">
        <v>41</v>
      </c>
      <c r="G1233">
        <v>-228.55779999999999</v>
      </c>
      <c r="H1233">
        <v>0.98878010000000005</v>
      </c>
      <c r="I1233">
        <v>367.83679999999998</v>
      </c>
      <c r="J1233">
        <v>-229.19579999999999</v>
      </c>
      <c r="K1233">
        <v>1.11087</v>
      </c>
      <c r="L1233">
        <v>367.88479999999998</v>
      </c>
      <c r="M1233">
        <v>0.99989220000000001</v>
      </c>
      <c r="N1233">
        <v>-1.4386370000000001E-2</v>
      </c>
      <c r="O1233">
        <v>2.9640479999999999E-3</v>
      </c>
      <c r="P1233">
        <v>0.95542059999999995</v>
      </c>
      <c r="Q1233">
        <v>0.29342679999999999</v>
      </c>
      <c r="R1233">
        <v>3.2749529999999999E-2</v>
      </c>
      <c r="S1233">
        <v>3.2888790000000001</v>
      </c>
      <c r="T1233">
        <v>-0.45978279999999999</v>
      </c>
      <c r="U1233">
        <v>-0.17779539999999999</v>
      </c>
      <c r="V1233">
        <v>-3.004712E-2</v>
      </c>
      <c r="W1233">
        <v>0.30712979999999901</v>
      </c>
      <c r="X1233">
        <v>0.95119319999999896</v>
      </c>
      <c r="Y1233">
        <v>5.6314450000000002E-2</v>
      </c>
      <c r="Z1233">
        <v>-4.6917010000000004E-3</v>
      </c>
      <c r="AA1233">
        <v>0.99840209999999996</v>
      </c>
      <c r="AB1233">
        <v>32</v>
      </c>
      <c r="AC1233">
        <v>0.63800000000000501</v>
      </c>
      <c r="AD1233">
        <v>-0.1220899</v>
      </c>
      <c r="AE1233">
        <v>-4.8000000000001798E-2</v>
      </c>
      <c r="AF1233">
        <v>4.8138151058315697E-2</v>
      </c>
      <c r="AG1233">
        <v>-0.1220899</v>
      </c>
      <c r="AH1233">
        <v>0.61544420431435298</v>
      </c>
      <c r="AI1233">
        <v>101.187180340875</v>
      </c>
      <c r="AJ1233">
        <v>85.527606208583705</v>
      </c>
      <c r="AK1233">
        <v>0.62928117236530301</v>
      </c>
      <c r="AL1233">
        <v>72.113656677385507</v>
      </c>
      <c r="AM1233">
        <v>91.809307380750695</v>
      </c>
      <c r="AN1233">
        <v>1.0000000235972799</v>
      </c>
    </row>
    <row r="1234" spans="1:40" x14ac:dyDescent="0.25">
      <c r="A1234" t="str">
        <f>"20190304164354551"</f>
        <v>20190304164354551</v>
      </c>
      <c r="B1234" t="str">
        <f>"1551689034541565"</f>
        <v>1551689034541565</v>
      </c>
      <c r="C1234" t="s">
        <v>40</v>
      </c>
      <c r="D1234">
        <v>5.2330940000000004</v>
      </c>
      <c r="E1234">
        <v>0.54938409999999904</v>
      </c>
      <c r="F1234" t="s">
        <v>41</v>
      </c>
      <c r="G1234">
        <v>-228.27969999999999</v>
      </c>
      <c r="H1234">
        <v>0.98196039999999996</v>
      </c>
      <c r="I1234">
        <v>367.83319999999998</v>
      </c>
      <c r="J1234">
        <v>-229.00810000000001</v>
      </c>
      <c r="K1234">
        <v>1.110843</v>
      </c>
      <c r="L1234">
        <v>367.88549999999998</v>
      </c>
      <c r="M1234">
        <v>0.99989209999999995</v>
      </c>
      <c r="N1234">
        <v>-1.43842E-2</v>
      </c>
      <c r="O1234">
        <v>3.043048E-3</v>
      </c>
      <c r="P1234">
        <v>0.9554473</v>
      </c>
      <c r="Q1234">
        <v>0.29342400000000002</v>
      </c>
      <c r="R1234">
        <v>3.1983449999999997E-2</v>
      </c>
      <c r="S1234">
        <v>3.2884519999999902</v>
      </c>
      <c r="T1234">
        <v>-0.4628929</v>
      </c>
      <c r="U1234">
        <v>-0.18469240000000001</v>
      </c>
      <c r="V1234">
        <v>-2.91849E-2</v>
      </c>
      <c r="W1234">
        <v>0.30712800000000001</v>
      </c>
      <c r="X1234">
        <v>0.95122059999999997</v>
      </c>
      <c r="Y1234">
        <v>5.8455800000000002E-2</v>
      </c>
      <c r="Z1234">
        <v>-4.8962750000000003E-3</v>
      </c>
      <c r="AA1234">
        <v>0.998278</v>
      </c>
      <c r="AB1234">
        <v>32</v>
      </c>
      <c r="AC1234">
        <v>0.72840000000002103</v>
      </c>
      <c r="AD1234">
        <v>-0.12888260000000001</v>
      </c>
      <c r="AE1234">
        <v>-5.23000000000024E-2</v>
      </c>
      <c r="AF1234">
        <v>5.2869809712594897E-2</v>
      </c>
      <c r="AG1234">
        <v>-0.12888260000000001</v>
      </c>
      <c r="AH1234">
        <v>0.70624023167278405</v>
      </c>
      <c r="AI1234">
        <v>100.31392892773501</v>
      </c>
      <c r="AJ1234">
        <v>85.718769567892295</v>
      </c>
      <c r="AK1234">
        <v>0.71984804382246703</v>
      </c>
      <c r="AL1234">
        <v>72.113764580108807</v>
      </c>
      <c r="AM1234">
        <v>91.757370675859704</v>
      </c>
      <c r="AN1234">
        <v>0.99999999831818498</v>
      </c>
    </row>
    <row r="1235" spans="1:40" x14ac:dyDescent="0.25">
      <c r="A1235" t="str">
        <f>"20190304164354563"</f>
        <v>20190304164354563</v>
      </c>
      <c r="B1235" t="str">
        <f>"1551689034551324"</f>
        <v>1551689034551324</v>
      </c>
      <c r="C1235" t="s">
        <v>40</v>
      </c>
      <c r="D1235">
        <v>5.2400989999999998</v>
      </c>
      <c r="E1235">
        <v>0.54939259999999901</v>
      </c>
      <c r="F1235" t="s">
        <v>41</v>
      </c>
      <c r="G1235">
        <v>-228.26750000000001</v>
      </c>
      <c r="H1235">
        <v>1.0064740000000001</v>
      </c>
      <c r="I1235">
        <v>367.84320000000002</v>
      </c>
      <c r="J1235">
        <v>-228.85239999999999</v>
      </c>
      <c r="K1235">
        <v>1.1108209999999901</v>
      </c>
      <c r="L1235">
        <v>367.88600000000002</v>
      </c>
      <c r="M1235">
        <v>0.99989189999999994</v>
      </c>
      <c r="N1235">
        <v>-1.438241E-2</v>
      </c>
      <c r="O1235">
        <v>3.0889160000000001E-3</v>
      </c>
      <c r="P1235">
        <v>0.95542260000000001</v>
      </c>
      <c r="Q1235">
        <v>0.2936127</v>
      </c>
      <c r="R1235">
        <v>3.0974999999999999E-2</v>
      </c>
      <c r="S1235">
        <v>3.2885589999999998</v>
      </c>
      <c r="T1235">
        <v>-0.46358349999999998</v>
      </c>
      <c r="U1235">
        <v>-0.1871033</v>
      </c>
      <c r="V1235">
        <v>-2.8115350000000001E-2</v>
      </c>
      <c r="W1235">
        <v>0.307316799999999</v>
      </c>
      <c r="X1235">
        <v>0.95119180000000003</v>
      </c>
      <c r="Y1235">
        <v>5.9218819999999998E-2</v>
      </c>
      <c r="Z1235">
        <v>-4.9674469999999998E-3</v>
      </c>
      <c r="AA1235">
        <v>0.99823269999999997</v>
      </c>
      <c r="AB1235">
        <v>32</v>
      </c>
      <c r="AC1235">
        <v>0.58489999999997599</v>
      </c>
      <c r="AD1235">
        <v>-0.104346999999999</v>
      </c>
      <c r="AE1235">
        <v>-4.27999999999428E-2</v>
      </c>
      <c r="AF1235">
        <v>4.3237883554509797E-2</v>
      </c>
      <c r="AG1235">
        <v>-0.104346999999999</v>
      </c>
      <c r="AH1235">
        <v>0.56682082552091295</v>
      </c>
      <c r="AI1235">
        <v>100.401333829023</v>
      </c>
      <c r="AJ1235">
        <v>85.637845803958101</v>
      </c>
      <c r="AK1235">
        <v>0.57796510208444496</v>
      </c>
      <c r="AL1235">
        <v>72.102396767051005</v>
      </c>
      <c r="AM1235">
        <v>91.693057076023607</v>
      </c>
      <c r="AN1235">
        <v>0.99999996442755001</v>
      </c>
    </row>
    <row r="1236" spans="1:40" x14ac:dyDescent="0.25">
      <c r="A1236" t="str">
        <f>"20190304164354575"</f>
        <v>20190304164354575</v>
      </c>
      <c r="B1236" t="str">
        <f>"1551689034570845"</f>
        <v>1551689034570845</v>
      </c>
      <c r="C1236" t="s">
        <v>40</v>
      </c>
      <c r="D1236">
        <v>5.284249</v>
      </c>
      <c r="E1236">
        <v>0.54933690000000002</v>
      </c>
      <c r="F1236" t="s">
        <v>41</v>
      </c>
      <c r="G1236">
        <v>-227.99459999999999</v>
      </c>
      <c r="H1236">
        <v>0.98994280000000001</v>
      </c>
      <c r="I1236">
        <v>367.83600000000001</v>
      </c>
      <c r="J1236">
        <v>-228.68049999999999</v>
      </c>
      <c r="K1236">
        <v>1.110792</v>
      </c>
      <c r="L1236">
        <v>367.88659999999999</v>
      </c>
      <c r="M1236">
        <v>0.9998918</v>
      </c>
      <c r="N1236">
        <v>-1.4380449999999999E-2</v>
      </c>
      <c r="O1236">
        <v>3.1317570000000002E-3</v>
      </c>
      <c r="P1236">
        <v>0.95543659999999997</v>
      </c>
      <c r="Q1236">
        <v>0.29364499999999999</v>
      </c>
      <c r="R1236">
        <v>3.0225749999999999E-2</v>
      </c>
      <c r="S1236">
        <v>3.288605</v>
      </c>
      <c r="T1236">
        <v>-0.46354200000000001</v>
      </c>
      <c r="U1236">
        <v>-0.19107060000000001</v>
      </c>
      <c r="V1236">
        <v>-2.7305889999999999E-2</v>
      </c>
      <c r="W1236">
        <v>0.30734899999999998</v>
      </c>
      <c r="X1236">
        <v>0.95120499999999997</v>
      </c>
      <c r="Y1236">
        <v>6.0447529999999999E-2</v>
      </c>
      <c r="Z1236">
        <v>-5.0671650000000002E-3</v>
      </c>
      <c r="AA1236">
        <v>0.99815849999999995</v>
      </c>
      <c r="AB1236">
        <v>31</v>
      </c>
      <c r="AC1236">
        <v>0.68590000000000295</v>
      </c>
      <c r="AD1236">
        <v>-0.1208492</v>
      </c>
      <c r="AE1236">
        <v>-5.0599999999974402E-2</v>
      </c>
      <c r="AF1236">
        <v>5.1168220306060198E-2</v>
      </c>
      <c r="AG1236">
        <v>-0.1208492</v>
      </c>
      <c r="AH1236">
        <v>0.66520001439258103</v>
      </c>
      <c r="AI1236">
        <v>100.267138410073</v>
      </c>
      <c r="AJ1236">
        <v>85.601381262232806</v>
      </c>
      <c r="AK1236">
        <v>0.67802195765168205</v>
      </c>
      <c r="AL1236">
        <v>72.100458405255495</v>
      </c>
      <c r="AM1236">
        <v>91.644317165096894</v>
      </c>
      <c r="AN1236">
        <v>0.99999998572734505</v>
      </c>
    </row>
    <row r="1237" spans="1:40" x14ac:dyDescent="0.25">
      <c r="A1237" t="str">
        <f>"20190304164354586"</f>
        <v>20190304164354586</v>
      </c>
      <c r="B1237" t="str">
        <f>"1551689034580605"</f>
        <v>1551689034580605</v>
      </c>
      <c r="C1237" t="s">
        <v>40</v>
      </c>
      <c r="D1237">
        <v>5.333297</v>
      </c>
      <c r="E1237">
        <v>0.54926649999999999</v>
      </c>
      <c r="F1237" t="s">
        <v>41</v>
      </c>
      <c r="G1237">
        <v>-227.721</v>
      </c>
      <c r="H1237">
        <v>0.97529089999999996</v>
      </c>
      <c r="I1237">
        <v>367.82990000000001</v>
      </c>
      <c r="J1237">
        <v>-228.52090000000001</v>
      </c>
      <c r="K1237">
        <v>1.1107670000000001</v>
      </c>
      <c r="L1237">
        <v>367.88709999999998</v>
      </c>
      <c r="M1237">
        <v>0.9998918</v>
      </c>
      <c r="N1237">
        <v>-1.4378719999999999E-2</v>
      </c>
      <c r="O1237">
        <v>3.1478460000000002E-3</v>
      </c>
      <c r="P1237">
        <v>0.95544450000000003</v>
      </c>
      <c r="Q1237">
        <v>0.29370279999999999</v>
      </c>
      <c r="R1237">
        <v>2.9408130000000001E-2</v>
      </c>
      <c r="S1237">
        <v>3.2888639999999998</v>
      </c>
      <c r="T1237">
        <v>-0.4646554</v>
      </c>
      <c r="U1237">
        <v>-0.1933289</v>
      </c>
      <c r="V1237">
        <v>-2.6454459999999999E-2</v>
      </c>
      <c r="W1237">
        <v>0.30740709999999999</v>
      </c>
      <c r="X1237">
        <v>0.95121029999999995</v>
      </c>
      <c r="Y1237">
        <v>6.1131459999999999E-2</v>
      </c>
      <c r="Z1237">
        <v>-5.1328110000000001E-3</v>
      </c>
      <c r="AA1237">
        <v>0.99811660000000002</v>
      </c>
      <c r="AB1237">
        <v>31</v>
      </c>
      <c r="AC1237">
        <v>0.79990000000003603</v>
      </c>
      <c r="AD1237">
        <v>-0.13547609999999999</v>
      </c>
      <c r="AE1237">
        <v>-5.7199999999966097E-2</v>
      </c>
      <c r="AF1237">
        <v>5.8060937057914999E-2</v>
      </c>
      <c r="AG1237">
        <v>-0.13547609999999999</v>
      </c>
      <c r="AH1237">
        <v>0.777526136751434</v>
      </c>
      <c r="AI1237">
        <v>99.857081545295799</v>
      </c>
      <c r="AJ1237">
        <v>85.729424708264801</v>
      </c>
      <c r="AK1237">
        <v>0.79137332493259005</v>
      </c>
      <c r="AL1237">
        <v>72.096960411094003</v>
      </c>
      <c r="AM1237">
        <v>91.593063381633399</v>
      </c>
      <c r="AN1237">
        <v>0.999999999205195</v>
      </c>
    </row>
    <row r="1238" spans="1:40" x14ac:dyDescent="0.25">
      <c r="A1238" t="str">
        <f>"20190304164354602"</f>
        <v>20190304164354602</v>
      </c>
      <c r="B1238" t="str">
        <f>"1551689034591341"</f>
        <v>1551689034591341</v>
      </c>
      <c r="C1238" t="s">
        <v>40</v>
      </c>
      <c r="D1238">
        <v>5.4354820000000004</v>
      </c>
      <c r="E1238">
        <v>0.54926649999999999</v>
      </c>
      <c r="F1238" t="s">
        <v>41</v>
      </c>
      <c r="G1238">
        <v>-227.71039999999999</v>
      </c>
      <c r="H1238">
        <v>0.99656889999999998</v>
      </c>
      <c r="I1238">
        <v>367.83870000000002</v>
      </c>
      <c r="J1238">
        <v>-228.3107</v>
      </c>
      <c r="K1238">
        <v>1.110744</v>
      </c>
      <c r="L1238">
        <v>367.88780000000003</v>
      </c>
      <c r="M1238">
        <v>0.9998918</v>
      </c>
      <c r="N1238">
        <v>-1.4376440000000001E-2</v>
      </c>
      <c r="O1238">
        <v>3.1479260000000001E-3</v>
      </c>
      <c r="P1238">
        <v>0.95543900000000004</v>
      </c>
      <c r="Q1238">
        <v>0.29394870000000001</v>
      </c>
      <c r="R1238">
        <v>2.70356E-2</v>
      </c>
      <c r="S1238">
        <v>3.2884370000000001</v>
      </c>
      <c r="T1238">
        <v>-0.46360679999999999</v>
      </c>
      <c r="U1238">
        <v>-0.19567870000000001</v>
      </c>
      <c r="V1238">
        <v>-2.4055690000000001E-2</v>
      </c>
      <c r="W1238">
        <v>0.30765300000000001</v>
      </c>
      <c r="X1238">
        <v>0.95119450000000005</v>
      </c>
      <c r="Y1238">
        <v>6.1844980000000001E-2</v>
      </c>
      <c r="Z1238">
        <v>-5.1778520000000001E-3</v>
      </c>
      <c r="AA1238">
        <v>0.99807230000000002</v>
      </c>
      <c r="AB1238">
        <v>31</v>
      </c>
      <c r="AC1238">
        <v>0.60030000000000405</v>
      </c>
      <c r="AD1238">
        <v>-0.114175099999999</v>
      </c>
      <c r="AE1238">
        <v>-4.91000000000099E-2</v>
      </c>
      <c r="AF1238">
        <v>4.9220927435775698E-2</v>
      </c>
      <c r="AG1238">
        <v>-0.114175099999999</v>
      </c>
      <c r="AH1238">
        <v>0.57932476014040002</v>
      </c>
      <c r="AI1238">
        <v>101.110115924063</v>
      </c>
      <c r="AJ1238">
        <v>85.143665602867401</v>
      </c>
      <c r="AK1238">
        <v>0.59251652370999697</v>
      </c>
      <c r="AL1238">
        <v>72.082154041182207</v>
      </c>
      <c r="AM1238">
        <v>91.4487003230456</v>
      </c>
      <c r="AN1238">
        <v>1.00000001073031</v>
      </c>
    </row>
    <row r="1239" spans="1:40" x14ac:dyDescent="0.25">
      <c r="A1239" t="str">
        <f>"20190304164354616"</f>
        <v>20190304164354616</v>
      </c>
      <c r="B1239" t="str">
        <f>"1551689034610861"</f>
        <v>1551689034610861</v>
      </c>
      <c r="C1239" t="s">
        <v>40</v>
      </c>
      <c r="D1239">
        <v>5.2989230000000003</v>
      </c>
      <c r="E1239">
        <v>0.54607669999999997</v>
      </c>
      <c r="F1239" t="s">
        <v>41</v>
      </c>
      <c r="G1239">
        <v>-227.43440000000001</v>
      </c>
      <c r="H1239">
        <v>0.98743919999999996</v>
      </c>
      <c r="I1239">
        <v>367.83330000000001</v>
      </c>
      <c r="J1239">
        <v>-228.10169999999999</v>
      </c>
      <c r="K1239">
        <v>1.1107089999999999</v>
      </c>
      <c r="L1239">
        <v>367.88839999999999</v>
      </c>
      <c r="M1239">
        <v>0.99989189999999994</v>
      </c>
      <c r="N1239">
        <v>-1.437415E-2</v>
      </c>
      <c r="O1239">
        <v>3.119063E-3</v>
      </c>
      <c r="P1239">
        <v>0.95537419999999995</v>
      </c>
      <c r="Q1239">
        <v>0.29427589999999998</v>
      </c>
      <c r="R1239">
        <v>2.5735279999999999E-2</v>
      </c>
      <c r="S1239">
        <v>3.2880859999999998</v>
      </c>
      <c r="T1239">
        <v>-0.46283659999999999</v>
      </c>
      <c r="U1239">
        <v>-0.20370479999999999</v>
      </c>
      <c r="V1239">
        <v>-2.275686E-2</v>
      </c>
      <c r="W1239">
        <v>0.30797970000000002</v>
      </c>
      <c r="X1239">
        <v>0.95112070000000004</v>
      </c>
      <c r="Y1239">
        <v>6.4226229999999995E-2</v>
      </c>
      <c r="Z1239">
        <v>-5.3503269999999898E-3</v>
      </c>
      <c r="AA1239">
        <v>0.99792099999999995</v>
      </c>
      <c r="AB1239">
        <v>31</v>
      </c>
      <c r="AC1239">
        <v>0.66729999999998302</v>
      </c>
      <c r="AD1239">
        <v>-0.123269799999999</v>
      </c>
      <c r="AE1239">
        <v>-5.5099999999981698E-2</v>
      </c>
      <c r="AF1239">
        <v>5.5306742436618803E-2</v>
      </c>
      <c r="AG1239">
        <v>-0.123269799999999</v>
      </c>
      <c r="AH1239">
        <v>0.64525474637263502</v>
      </c>
      <c r="AI1239">
        <v>100.776911422239</v>
      </c>
      <c r="AJ1239">
        <v>85.100978703892096</v>
      </c>
      <c r="AK1239">
        <v>0.65924803152334399</v>
      </c>
      <c r="AL1239">
        <v>72.062479660840495</v>
      </c>
      <c r="AM1239">
        <v>91.370618165288903</v>
      </c>
      <c r="AN1239">
        <v>0.99999997812881902</v>
      </c>
    </row>
    <row r="1240" spans="1:40" x14ac:dyDescent="0.25">
      <c r="A1240" t="str">
        <f>"20190304164354628"</f>
        <v>20190304164354628</v>
      </c>
      <c r="B1240" t="str">
        <f>"1551689034620621"</f>
        <v>1551689034620621</v>
      </c>
      <c r="C1240" t="s">
        <v>40</v>
      </c>
      <c r="D1240">
        <v>5.637391</v>
      </c>
      <c r="E1240">
        <v>0.54482319999999995</v>
      </c>
      <c r="F1240" t="s">
        <v>41</v>
      </c>
      <c r="G1240">
        <v>-227.2209</v>
      </c>
      <c r="H1240">
        <v>0.83997299999999997</v>
      </c>
      <c r="I1240">
        <v>367.85419999999999</v>
      </c>
      <c r="J1240">
        <v>-227.92689999999999</v>
      </c>
      <c r="K1240">
        <v>1.1106769999999999</v>
      </c>
      <c r="L1240">
        <v>367.88889999999998</v>
      </c>
      <c r="M1240">
        <v>0.99989220000000001</v>
      </c>
      <c r="N1240">
        <v>-1.437224E-2</v>
      </c>
      <c r="O1240">
        <v>3.0582109999999999E-3</v>
      </c>
      <c r="P1240">
        <v>0.95534189999999997</v>
      </c>
      <c r="Q1240">
        <v>0.29445159999999998</v>
      </c>
      <c r="R1240">
        <v>2.4907249999999999E-2</v>
      </c>
      <c r="S1240">
        <v>3.4725190000000001</v>
      </c>
      <c r="T1240">
        <v>-1.0673379999999999</v>
      </c>
      <c r="U1240">
        <v>-0.13452149999999999</v>
      </c>
      <c r="V1240">
        <v>-2.1960500000000001E-2</v>
      </c>
      <c r="W1240">
        <v>0.30815429999999999</v>
      </c>
      <c r="X1240">
        <v>0.95108289999999995</v>
      </c>
      <c r="Y1240">
        <v>3.971686E-2</v>
      </c>
      <c r="Z1240">
        <v>-7.131765E-3</v>
      </c>
      <c r="AA1240">
        <v>0.99918549999999995</v>
      </c>
      <c r="AB1240">
        <v>31</v>
      </c>
      <c r="AC1240">
        <v>0.70599999999998797</v>
      </c>
      <c r="AD1240">
        <v>-0.270704</v>
      </c>
      <c r="AE1240">
        <v>-3.4699999999986603E-2</v>
      </c>
      <c r="AF1240">
        <v>3.2144607838600098E-2</v>
      </c>
      <c r="AG1240">
        <v>-0.270704</v>
      </c>
      <c r="AH1240">
        <v>0.615602121416995</v>
      </c>
      <c r="AI1240">
        <v>113.708214178072</v>
      </c>
      <c r="AJ1240">
        <v>87.010927760768695</v>
      </c>
      <c r="AK1240">
        <v>0.67326065035928095</v>
      </c>
      <c r="AL1240">
        <v>72.051964985194004</v>
      </c>
      <c r="AM1240">
        <v>91.322724262478303</v>
      </c>
      <c r="AN1240">
        <v>1.0000000094205701</v>
      </c>
    </row>
    <row r="1241" spans="1:40" x14ac:dyDescent="0.25">
      <c r="A1241" t="str">
        <f>"20190304164354640"</f>
        <v>20190304164354640</v>
      </c>
      <c r="B1241" t="str">
        <f>"1551689034631358"</f>
        <v>1551689034631358</v>
      </c>
      <c r="C1241" t="s">
        <v>40</v>
      </c>
      <c r="D1241">
        <v>5.2757160000000001</v>
      </c>
      <c r="E1241">
        <v>0.54398179999999996</v>
      </c>
      <c r="F1241" t="s">
        <v>41</v>
      </c>
      <c r="G1241">
        <v>-227.2064</v>
      </c>
      <c r="H1241">
        <v>0.87418639999999903</v>
      </c>
      <c r="I1241">
        <v>367.86369999999999</v>
      </c>
      <c r="J1241">
        <v>-227.77809999999999</v>
      </c>
      <c r="K1241">
        <v>1.110646</v>
      </c>
      <c r="L1241">
        <v>367.88929999999999</v>
      </c>
      <c r="M1241">
        <v>0.99989220000000001</v>
      </c>
      <c r="N1241">
        <v>-1.4370620000000001E-2</v>
      </c>
      <c r="O1241">
        <v>2.9835600000000001E-3</v>
      </c>
      <c r="P1241">
        <v>0.95532249999999996</v>
      </c>
      <c r="Q1241">
        <v>0.29459020000000002</v>
      </c>
      <c r="R1241">
        <v>2.3990870000000001E-2</v>
      </c>
      <c r="S1241">
        <v>3.497147</v>
      </c>
      <c r="T1241">
        <v>-1.147745</v>
      </c>
      <c r="U1241">
        <v>-0.1216431</v>
      </c>
      <c r="V1241">
        <v>-2.1091470000000001E-2</v>
      </c>
      <c r="W1241">
        <v>0.30829269999999998</v>
      </c>
      <c r="X1241">
        <v>0.95105770000000001</v>
      </c>
      <c r="Y1241">
        <v>3.5646600000000001E-2</v>
      </c>
      <c r="Z1241">
        <v>-6.8734969999999897E-3</v>
      </c>
      <c r="AA1241">
        <v>0.99934080000000003</v>
      </c>
      <c r="AB1241">
        <v>31</v>
      </c>
      <c r="AC1241">
        <v>0.57169999999999199</v>
      </c>
      <c r="AD1241">
        <v>-0.23645959999999999</v>
      </c>
      <c r="AE1241">
        <v>-2.5599999999997101E-2</v>
      </c>
      <c r="AF1241">
        <v>2.3323724861276599E-2</v>
      </c>
      <c r="AG1241">
        <v>-0.23645959999999999</v>
      </c>
      <c r="AH1241">
        <v>0.48826074649068402</v>
      </c>
      <c r="AI1241">
        <v>115.814818301904</v>
      </c>
      <c r="AJ1241">
        <v>87.265117187313706</v>
      </c>
      <c r="AK1241">
        <v>0.54300616491638898</v>
      </c>
      <c r="AL1241">
        <v>72.043629134988805</v>
      </c>
      <c r="AM1241">
        <v>91.270432027780103</v>
      </c>
      <c r="AN1241">
        <v>0.99999999385466998</v>
      </c>
    </row>
    <row r="1242" spans="1:40" x14ac:dyDescent="0.25">
      <c r="A1242" t="str">
        <f>"20190304164354651"</f>
        <v>20190304164354651</v>
      </c>
      <c r="B1242" t="str">
        <f>"1551689034641117"</f>
        <v>1551689034641117</v>
      </c>
      <c r="C1242" t="s">
        <v>40</v>
      </c>
      <c r="D1242">
        <v>5.2826700000000004</v>
      </c>
      <c r="E1242">
        <v>0.54346039999999995</v>
      </c>
      <c r="F1242" t="s">
        <v>41</v>
      </c>
      <c r="G1242">
        <v>-226.94630000000001</v>
      </c>
      <c r="H1242">
        <v>0.82647169999999903</v>
      </c>
      <c r="I1242">
        <v>367.8621</v>
      </c>
      <c r="J1242">
        <v>-227.6037</v>
      </c>
      <c r="K1242">
        <v>1.1106049999999901</v>
      </c>
      <c r="L1242">
        <v>367.88979999999998</v>
      </c>
      <c r="M1242">
        <v>0.99989269999999997</v>
      </c>
      <c r="N1242">
        <v>-1.436876E-2</v>
      </c>
      <c r="O1242">
        <v>2.8724520000000002E-3</v>
      </c>
      <c r="P1242">
        <v>0.95534839999999999</v>
      </c>
      <c r="Q1242">
        <v>0.29456900000000003</v>
      </c>
      <c r="R1242">
        <v>2.320939E-2</v>
      </c>
      <c r="S1242">
        <v>3.5133209999999999</v>
      </c>
      <c r="T1242">
        <v>-1.2002429999999999</v>
      </c>
      <c r="U1242">
        <v>-0.1147156</v>
      </c>
      <c r="V1242">
        <v>-2.0384159999999998E-2</v>
      </c>
      <c r="W1242">
        <v>0.3082722</v>
      </c>
      <c r="X1242">
        <v>0.95107980000000003</v>
      </c>
      <c r="Y1242">
        <v>3.3379449999999998E-2</v>
      </c>
      <c r="Z1242">
        <v>-6.7036070000000003E-3</v>
      </c>
      <c r="AA1242">
        <v>0.99942030000000004</v>
      </c>
      <c r="AB1242">
        <v>31</v>
      </c>
      <c r="AC1242">
        <v>0.65739999999999499</v>
      </c>
      <c r="AD1242">
        <v>-0.28413329999999898</v>
      </c>
      <c r="AE1242">
        <v>-2.76999999999816E-2</v>
      </c>
      <c r="AF1242">
        <v>2.4938153744495699E-2</v>
      </c>
      <c r="AG1242">
        <v>-0.28413329999999898</v>
      </c>
      <c r="AH1242">
        <v>0.55401012802829197</v>
      </c>
      <c r="AI1242">
        <v>117.128233099612</v>
      </c>
      <c r="AJ1242">
        <v>87.422633652976003</v>
      </c>
      <c r="AK1242">
        <v>0.62312187061520996</v>
      </c>
      <c r="AL1242">
        <v>72.044864405901194</v>
      </c>
      <c r="AM1242">
        <v>91.227812381157804</v>
      </c>
      <c r="AN1242">
        <v>1.0000000246198899</v>
      </c>
    </row>
    <row r="1243" spans="1:40" x14ac:dyDescent="0.25">
      <c r="A1243" t="str">
        <f>"20190304164354664"</f>
        <v>20190304164354664</v>
      </c>
      <c r="B1243" t="str">
        <f>"1551689034650877"</f>
        <v>1551689034650877</v>
      </c>
      <c r="C1243" t="s">
        <v>40</v>
      </c>
      <c r="D1243">
        <v>5.2831469999999996</v>
      </c>
      <c r="E1243">
        <v>0.54307430000000001</v>
      </c>
      <c r="F1243" t="s">
        <v>41</v>
      </c>
      <c r="G1243">
        <v>-226.92660000000001</v>
      </c>
      <c r="H1243">
        <v>0.87333739999999904</v>
      </c>
      <c r="I1243">
        <v>367.86840000000001</v>
      </c>
      <c r="J1243">
        <v>-227.43690000000001</v>
      </c>
      <c r="K1243">
        <v>1.110555</v>
      </c>
      <c r="L1243">
        <v>367.89010000000002</v>
      </c>
      <c r="M1243">
        <v>0.99989309999999998</v>
      </c>
      <c r="N1243">
        <v>-1.4367090000000001E-2</v>
      </c>
      <c r="O1243">
        <v>2.712505E-3</v>
      </c>
      <c r="P1243">
        <v>0.95541880000000001</v>
      </c>
      <c r="Q1243">
        <v>0.29441600000000001</v>
      </c>
      <c r="R1243">
        <v>2.2232120000000001E-2</v>
      </c>
      <c r="S1243">
        <v>3.5235750000000001</v>
      </c>
      <c r="T1243">
        <v>-1.2346549999999901</v>
      </c>
      <c r="U1243">
        <v>-0.1106873</v>
      </c>
      <c r="V1243">
        <v>-1.9522580000000001E-2</v>
      </c>
      <c r="W1243">
        <v>0.30812030000000001</v>
      </c>
      <c r="X1243">
        <v>0.95114710000000002</v>
      </c>
      <c r="Y1243">
        <v>3.197349E-2</v>
      </c>
      <c r="Z1243">
        <v>-6.5599129999999997E-3</v>
      </c>
      <c r="AA1243">
        <v>0.9994672</v>
      </c>
      <c r="AB1243">
        <v>31</v>
      </c>
      <c r="AC1243">
        <v>0.51029999999999998</v>
      </c>
      <c r="AD1243">
        <v>-0.2372176</v>
      </c>
      <c r="AE1243">
        <v>-2.1700000000009802E-2</v>
      </c>
      <c r="AF1243">
        <v>1.8988385068462999E-2</v>
      </c>
      <c r="AG1243">
        <v>-0.2372176</v>
      </c>
      <c r="AH1243">
        <v>0.41970684013034398</v>
      </c>
      <c r="AI1243">
        <v>119.44997506416701</v>
      </c>
      <c r="AJ1243">
        <v>87.409589644677695</v>
      </c>
      <c r="AK1243">
        <v>0.48247961632536002</v>
      </c>
      <c r="AL1243">
        <v>72.054013025557694</v>
      </c>
      <c r="AM1243">
        <v>91.175847984058393</v>
      </c>
      <c r="AN1243">
        <v>1.00000002812017</v>
      </c>
    </row>
    <row r="1244" spans="1:40" x14ac:dyDescent="0.25">
      <c r="A1244" t="str">
        <f>"20190304164354676"</f>
        <v>20190304164354676</v>
      </c>
      <c r="B1244" t="str">
        <f>"1551689034671373"</f>
        <v>1551689034671373</v>
      </c>
      <c r="C1244" t="s">
        <v>40</v>
      </c>
      <c r="D1244">
        <v>5.1764839999999896</v>
      </c>
      <c r="E1244">
        <v>0.54315780000000002</v>
      </c>
      <c r="F1244" t="s">
        <v>41</v>
      </c>
      <c r="G1244">
        <v>-226.66329999999999</v>
      </c>
      <c r="H1244">
        <v>0.83457479999999995</v>
      </c>
      <c r="I1244">
        <v>367.86579999999998</v>
      </c>
      <c r="J1244">
        <v>-227.27369999999999</v>
      </c>
      <c r="K1244">
        <v>1.1105020000000001</v>
      </c>
      <c r="L1244">
        <v>367.8904</v>
      </c>
      <c r="M1244">
        <v>0.9998937</v>
      </c>
      <c r="N1244">
        <v>-1.43655E-2</v>
      </c>
      <c r="O1244">
        <v>2.5351050000000002E-3</v>
      </c>
      <c r="P1244">
        <v>0.95535789999999998</v>
      </c>
      <c r="Q1244">
        <v>0.29472419999999999</v>
      </c>
      <c r="R1244">
        <v>2.071359E-2</v>
      </c>
      <c r="S1244">
        <v>3.5306090000000001</v>
      </c>
      <c r="T1244">
        <v>-1.2593799999999999</v>
      </c>
      <c r="U1244">
        <v>-0.1093445</v>
      </c>
      <c r="V1244">
        <v>-1.813509E-2</v>
      </c>
      <c r="W1244">
        <v>0.30842779999999997</v>
      </c>
      <c r="X1244">
        <v>0.95107489999999995</v>
      </c>
      <c r="Y1244">
        <v>3.1331100000000001E-2</v>
      </c>
      <c r="Z1244">
        <v>-6.4932890000000002E-3</v>
      </c>
      <c r="AA1244">
        <v>0.99948800000000004</v>
      </c>
      <c r="AB1244">
        <v>31</v>
      </c>
      <c r="AC1244">
        <v>0.61039999999999806</v>
      </c>
      <c r="AD1244">
        <v>-0.27592719999999998</v>
      </c>
      <c r="AE1244">
        <v>-2.46000000000208E-2</v>
      </c>
      <c r="AF1244">
        <v>2.1716987988642199E-2</v>
      </c>
      <c r="AG1244">
        <v>-0.27592719999999998</v>
      </c>
      <c r="AH1244">
        <v>0.50691836825302095</v>
      </c>
      <c r="AI1244">
        <v>118.538405319175</v>
      </c>
      <c r="AJ1244">
        <v>87.5468804718992</v>
      </c>
      <c r="AK1244">
        <v>0.57755837742988703</v>
      </c>
      <c r="AL1244">
        <v>72.035492569508605</v>
      </c>
      <c r="AM1244">
        <v>91.092383170883707</v>
      </c>
      <c r="AN1244">
        <v>1.0000000273560701</v>
      </c>
    </row>
    <row r="1245" spans="1:40" x14ac:dyDescent="0.25">
      <c r="A1245" t="str">
        <f>"20190304164354690"</f>
        <v>20190304164354690</v>
      </c>
      <c r="B1245" t="str">
        <f>"1551689034681133"</f>
        <v>1551689034681133</v>
      </c>
      <c r="C1245" t="s">
        <v>40</v>
      </c>
      <c r="D1245">
        <v>5.1524109999999999</v>
      </c>
      <c r="E1245">
        <v>0.54297340000000005</v>
      </c>
      <c r="F1245" t="s">
        <v>41</v>
      </c>
      <c r="G1245">
        <v>-226.39840000000001</v>
      </c>
      <c r="H1245">
        <v>0.79835719999999899</v>
      </c>
      <c r="I1245">
        <v>367.86189999999999</v>
      </c>
      <c r="J1245">
        <v>-227.0581</v>
      </c>
      <c r="K1245">
        <v>1.1104210000000001</v>
      </c>
      <c r="L1245">
        <v>367.89069999999998</v>
      </c>
      <c r="M1245">
        <v>0.99989450000000002</v>
      </c>
      <c r="N1245">
        <v>-1.4363600000000001E-2</v>
      </c>
      <c r="O1245">
        <v>2.2186430000000002E-3</v>
      </c>
      <c r="P1245">
        <v>0.95550570000000001</v>
      </c>
      <c r="Q1245">
        <v>0.29438109999999901</v>
      </c>
      <c r="R1245">
        <v>1.869005E-2</v>
      </c>
      <c r="S1245">
        <v>3.5311279999999998</v>
      </c>
      <c r="T1245">
        <v>-1.2591410000000001</v>
      </c>
      <c r="U1245">
        <v>-0.11489870000000001</v>
      </c>
      <c r="V1245">
        <v>-1.6352849999999999E-2</v>
      </c>
      <c r="W1245">
        <v>0.308087099999999</v>
      </c>
      <c r="X1245">
        <v>0.9512176</v>
      </c>
      <c r="Y1245">
        <v>3.2523610000000001E-2</v>
      </c>
      <c r="Z1245">
        <v>-6.6011319999999896E-3</v>
      </c>
      <c r="AA1245">
        <v>0.99944920000000004</v>
      </c>
      <c r="AB1245">
        <v>31</v>
      </c>
      <c r="AC1245">
        <v>0.65969999999998596</v>
      </c>
      <c r="AD1245">
        <v>-0.3120638</v>
      </c>
      <c r="AE1245">
        <v>-2.8799999999989698E-2</v>
      </c>
      <c r="AF1245">
        <v>2.47385958107183E-2</v>
      </c>
      <c r="AG1245">
        <v>-0.3120638</v>
      </c>
      <c r="AH1245">
        <v>0.53920771439169002</v>
      </c>
      <c r="AI1245">
        <v>120.03379183198101</v>
      </c>
      <c r="AJ1245">
        <v>87.373138726398196</v>
      </c>
      <c r="AK1245">
        <v>0.62349079596465296</v>
      </c>
      <c r="AL1245">
        <v>72.056011988021396</v>
      </c>
      <c r="AM1245">
        <v>90.984902928693401</v>
      </c>
      <c r="AN1245">
        <v>0.99999999971964604</v>
      </c>
    </row>
    <row r="1246" spans="1:40" x14ac:dyDescent="0.25">
      <c r="A1246" t="str">
        <f>"20190304164354706"</f>
        <v>20190304164354706</v>
      </c>
      <c r="B1246" t="str">
        <f>"1551689034700653"</f>
        <v>1551689034700653</v>
      </c>
      <c r="C1246" t="s">
        <v>40</v>
      </c>
      <c r="D1246">
        <v>5.2009869999999996</v>
      </c>
      <c r="E1246">
        <v>0.54293419999999903</v>
      </c>
      <c r="F1246" t="s">
        <v>41</v>
      </c>
      <c r="G1246">
        <v>-226.37119999999999</v>
      </c>
      <c r="H1246">
        <v>0.8650892</v>
      </c>
      <c r="I1246">
        <v>367.86759999999998</v>
      </c>
      <c r="J1246">
        <v>-226.8501</v>
      </c>
      <c r="K1246">
        <v>1.1103350000000001</v>
      </c>
      <c r="L1246">
        <v>367.89080000000001</v>
      </c>
      <c r="M1246">
        <v>0.99989519999999998</v>
      </c>
      <c r="N1246">
        <v>-1.436204E-2</v>
      </c>
      <c r="O1246">
        <v>1.8391519999999999E-3</v>
      </c>
      <c r="P1246">
        <v>0.95546189999999998</v>
      </c>
      <c r="Q1246">
        <v>0.29459930000000001</v>
      </c>
      <c r="R1246">
        <v>1.7429650000000001E-2</v>
      </c>
      <c r="S1246">
        <v>3.5304869999999999</v>
      </c>
      <c r="T1246">
        <v>-1.260872</v>
      </c>
      <c r="U1246">
        <v>-0.1187134</v>
      </c>
      <c r="V1246">
        <v>-1.539103E-2</v>
      </c>
      <c r="W1246">
        <v>0.30830580000000002</v>
      </c>
      <c r="X1246">
        <v>0.95116279999999997</v>
      </c>
      <c r="Y1246">
        <v>3.3200420000000001E-2</v>
      </c>
      <c r="Z1246">
        <v>-6.6064790000000002E-3</v>
      </c>
      <c r="AA1246">
        <v>0.99942690000000001</v>
      </c>
      <c r="AB1246">
        <v>31</v>
      </c>
      <c r="AC1246">
        <v>0.47890000000000998</v>
      </c>
      <c r="AD1246">
        <v>-0.24524580000000001</v>
      </c>
      <c r="AE1246">
        <v>-2.3200000000031199E-2</v>
      </c>
      <c r="AF1246">
        <v>1.9086998979676601E-2</v>
      </c>
      <c r="AG1246">
        <v>-0.24524580000000001</v>
      </c>
      <c r="AH1246">
        <v>0.37955241124948402</v>
      </c>
      <c r="AI1246">
        <v>122.835337699389</v>
      </c>
      <c r="AJ1246">
        <v>87.121124839206402</v>
      </c>
      <c r="AK1246">
        <v>0.45229398496220102</v>
      </c>
      <c r="AL1246">
        <v>72.042840447687794</v>
      </c>
      <c r="AM1246">
        <v>90.927038050891198</v>
      </c>
      <c r="AN1246">
        <v>1.0000000111109699</v>
      </c>
    </row>
    <row r="1247" spans="1:40" x14ac:dyDescent="0.25">
      <c r="A1247" t="str">
        <f>"20190304164354720"</f>
        <v>20190304164354720</v>
      </c>
      <c r="B1247" t="str">
        <f>"1551689034711389"</f>
        <v>1551689034711389</v>
      </c>
      <c r="C1247" t="s">
        <v>40</v>
      </c>
      <c r="D1247">
        <v>5.2836220000000003</v>
      </c>
      <c r="E1247">
        <v>0.54320299999999999</v>
      </c>
      <c r="F1247" t="s">
        <v>41</v>
      </c>
      <c r="G1247">
        <v>-226.10120000000001</v>
      </c>
      <c r="H1247">
        <v>0.84334120000000001</v>
      </c>
      <c r="I1247">
        <v>367.86439999999999</v>
      </c>
      <c r="J1247">
        <v>-226.6592</v>
      </c>
      <c r="K1247">
        <v>1.110247</v>
      </c>
      <c r="L1247">
        <v>367.89069999999998</v>
      </c>
      <c r="M1247">
        <v>0.9998958</v>
      </c>
      <c r="N1247">
        <v>-1.436074E-2</v>
      </c>
      <c r="O1247">
        <v>1.4335859999999999E-3</v>
      </c>
      <c r="P1247">
        <v>0.9555245</v>
      </c>
      <c r="Q1247">
        <v>0.2944272</v>
      </c>
      <c r="R1247">
        <v>1.690092E-2</v>
      </c>
      <c r="S1247">
        <v>3.530106</v>
      </c>
      <c r="T1247">
        <v>-1.2583690000000001</v>
      </c>
      <c r="U1247">
        <v>-0.12323000000000001</v>
      </c>
      <c r="V1247">
        <v>-1.518826E-2</v>
      </c>
      <c r="W1247">
        <v>0.30813659999999998</v>
      </c>
      <c r="X1247">
        <v>0.95122090000000004</v>
      </c>
      <c r="Y1247">
        <v>3.405238E-2</v>
      </c>
      <c r="Z1247">
        <v>-6.6140330000000001E-3</v>
      </c>
      <c r="AA1247">
        <v>0.99939820000000001</v>
      </c>
      <c r="AB1247">
        <v>31</v>
      </c>
      <c r="AC1247">
        <v>0.55799999999999195</v>
      </c>
      <c r="AD1247">
        <v>-0.26690580000000003</v>
      </c>
      <c r="AE1247">
        <v>-2.6299999999992E-2</v>
      </c>
      <c r="AF1247">
        <v>2.2063218749246199E-2</v>
      </c>
      <c r="AG1247">
        <v>-0.26690580000000003</v>
      </c>
      <c r="AH1247">
        <v>0.45425952241753298</v>
      </c>
      <c r="AI1247">
        <v>120.407417826539</v>
      </c>
      <c r="AJ1247">
        <v>87.219350111329305</v>
      </c>
      <c r="AK1247">
        <v>0.52733026217184098</v>
      </c>
      <c r="AL1247">
        <v>72.053031264698603</v>
      </c>
      <c r="AM1247">
        <v>90.914770957288695</v>
      </c>
      <c r="AN1247">
        <v>1.0000000240490901</v>
      </c>
    </row>
    <row r="1248" spans="1:40" x14ac:dyDescent="0.25">
      <c r="A1248" t="str">
        <f>"20190304164354735"</f>
        <v>20190304164354735</v>
      </c>
      <c r="B1248" t="str">
        <f>"1551689034730910"</f>
        <v>1551689034730910</v>
      </c>
      <c r="C1248" t="s">
        <v>40</v>
      </c>
      <c r="D1248">
        <v>5.2770869999999999</v>
      </c>
      <c r="E1248">
        <v>0.54361839999999995</v>
      </c>
      <c r="F1248" t="s">
        <v>41</v>
      </c>
      <c r="G1248">
        <v>-225.83320000000001</v>
      </c>
      <c r="H1248">
        <v>0.8165019</v>
      </c>
      <c r="I1248">
        <v>367.8605</v>
      </c>
      <c r="J1248">
        <v>-226.44990000000001</v>
      </c>
      <c r="K1248">
        <v>1.1101510000000001</v>
      </c>
      <c r="L1248">
        <v>367.89060000000001</v>
      </c>
      <c r="M1248">
        <v>0.99989649999999997</v>
      </c>
      <c r="N1248">
        <v>-1.4359429999999999E-2</v>
      </c>
      <c r="O1248">
        <v>9.2030479999999999E-4</v>
      </c>
      <c r="P1248">
        <v>0.95562849999999999</v>
      </c>
      <c r="Q1248">
        <v>0.29414190000000001</v>
      </c>
      <c r="R1248">
        <v>1.5966660000000001E-2</v>
      </c>
      <c r="S1248">
        <v>3.5285799999999998</v>
      </c>
      <c r="T1248">
        <v>-1.254856</v>
      </c>
      <c r="U1248">
        <v>-0.12911989999999901</v>
      </c>
      <c r="V1248">
        <v>-1.4674400000000001E-2</v>
      </c>
      <c r="W1248">
        <v>0.30785439999999997</v>
      </c>
      <c r="X1248">
        <v>0.95132030000000001</v>
      </c>
      <c r="Y1248">
        <v>3.5187299999999998E-2</v>
      </c>
      <c r="Z1248">
        <v>-6.6338650000000001E-3</v>
      </c>
      <c r="AA1248">
        <v>0.99935870000000004</v>
      </c>
      <c r="AB1248">
        <v>31</v>
      </c>
      <c r="AC1248">
        <v>0.61670000000000802</v>
      </c>
      <c r="AD1248">
        <v>-0.2936491</v>
      </c>
      <c r="AE1248">
        <v>-3.0100000000004401E-2</v>
      </c>
      <c r="AF1248">
        <v>2.50104492026989E-2</v>
      </c>
      <c r="AG1248">
        <v>-0.2936491</v>
      </c>
      <c r="AH1248">
        <v>0.50291662023035399</v>
      </c>
      <c r="AI1248">
        <v>120.249519518517</v>
      </c>
      <c r="AJ1248">
        <v>87.152980159854295</v>
      </c>
      <c r="AK1248">
        <v>0.58290689085312197</v>
      </c>
      <c r="AL1248">
        <v>72.070025693881902</v>
      </c>
      <c r="AM1248">
        <v>90.883734438642506</v>
      </c>
      <c r="AN1248">
        <v>0.99999999140340401</v>
      </c>
    </row>
    <row r="1249" spans="1:40" x14ac:dyDescent="0.25">
      <c r="A1249" t="str">
        <f>"20190304164354748"</f>
        <v>20190304164354748</v>
      </c>
      <c r="B1249" t="str">
        <f>"1551689034740669"</f>
        <v>1551689034740669</v>
      </c>
      <c r="C1249" t="s">
        <v>40</v>
      </c>
      <c r="D1249">
        <v>5.367629</v>
      </c>
      <c r="E1249">
        <v>0.54374029999999995</v>
      </c>
      <c r="F1249" t="s">
        <v>41</v>
      </c>
      <c r="G1249">
        <v>-225.56270000000001</v>
      </c>
      <c r="H1249">
        <v>0.79610300000000001</v>
      </c>
      <c r="I1249">
        <v>367.85590000000002</v>
      </c>
      <c r="J1249">
        <v>-226.2501</v>
      </c>
      <c r="K1249">
        <v>1.110053</v>
      </c>
      <c r="L1249">
        <v>367.89019999999999</v>
      </c>
      <c r="M1249">
        <v>0.99989689999999998</v>
      </c>
      <c r="N1249">
        <v>-1.435842E-2</v>
      </c>
      <c r="O1249">
        <v>3.3038469999999999E-4</v>
      </c>
      <c r="P1249">
        <v>0.95577420000000002</v>
      </c>
      <c r="Q1249">
        <v>0.29374980000000001</v>
      </c>
      <c r="R1249">
        <v>1.4385820000000001E-2</v>
      </c>
      <c r="S1249">
        <v>3.525665</v>
      </c>
      <c r="T1249">
        <v>-1.2478419999999999</v>
      </c>
      <c r="U1249">
        <v>-0.13723750000000001</v>
      </c>
      <c r="V1249">
        <v>-1.358885E-2</v>
      </c>
      <c r="W1249">
        <v>0.30746469999999998</v>
      </c>
      <c r="X1249">
        <v>0.95146240000000004</v>
      </c>
      <c r="Y1249">
        <v>3.6872929999999998E-2</v>
      </c>
      <c r="Z1249">
        <v>-6.7123759999999999E-3</v>
      </c>
      <c r="AA1249">
        <v>0.9992974</v>
      </c>
      <c r="AB1249">
        <v>31</v>
      </c>
      <c r="AC1249">
        <v>0.68739999999999601</v>
      </c>
      <c r="AD1249">
        <v>-0.31394999999999901</v>
      </c>
      <c r="AE1249">
        <v>-3.4299999999973303E-2</v>
      </c>
      <c r="AF1249">
        <v>2.8580262002445001E-2</v>
      </c>
      <c r="AG1249">
        <v>-0.31394999999999901</v>
      </c>
      <c r="AH1249">
        <v>0.56899453472462003</v>
      </c>
      <c r="AI1249">
        <v>118.857754485584</v>
      </c>
      <c r="AJ1249">
        <v>87.124483253983996</v>
      </c>
      <c r="AK1249">
        <v>0.65048921161124196</v>
      </c>
      <c r="AL1249">
        <v>72.093491267944898</v>
      </c>
      <c r="AM1249">
        <v>90.818246545604495</v>
      </c>
      <c r="AN1249">
        <v>0.99999994860208397</v>
      </c>
    </row>
    <row r="1250" spans="1:40" x14ac:dyDescent="0.25">
      <c r="A1250" t="str">
        <f>"20190304164354762"</f>
        <v>20190304164354762</v>
      </c>
      <c r="B1250" t="str">
        <f>"1551689034751405"</f>
        <v>1551689034751405</v>
      </c>
      <c r="C1250" t="s">
        <v>40</v>
      </c>
      <c r="D1250">
        <v>5.4168159999999999</v>
      </c>
      <c r="E1250">
        <v>0.54376919999999995</v>
      </c>
      <c r="F1250" t="s">
        <v>41</v>
      </c>
      <c r="G1250">
        <v>-225.5377</v>
      </c>
      <c r="H1250">
        <v>0.85817549999999898</v>
      </c>
      <c r="I1250">
        <v>367.86079999999998</v>
      </c>
      <c r="J1250">
        <v>-226.0667</v>
      </c>
      <c r="K1250">
        <v>1.1099680000000001</v>
      </c>
      <c r="L1250">
        <v>367.8897</v>
      </c>
      <c r="M1250">
        <v>0.99989700000000004</v>
      </c>
      <c r="N1250">
        <v>-1.435759E-2</v>
      </c>
      <c r="O1250">
        <v>-2.6970130000000001E-4</v>
      </c>
      <c r="P1250">
        <v>0.95571510000000004</v>
      </c>
      <c r="Q1250">
        <v>0.2939852</v>
      </c>
      <c r="R1250">
        <v>1.347692E-2</v>
      </c>
      <c r="S1250">
        <v>3.5238649999999998</v>
      </c>
      <c r="T1250">
        <v>-1.245781</v>
      </c>
      <c r="U1250">
        <v>-0.14450070000000001</v>
      </c>
      <c r="V1250">
        <v>-1.3189909999999999E-2</v>
      </c>
      <c r="W1250">
        <v>0.30770069999999999</v>
      </c>
      <c r="X1250">
        <v>0.95139180000000001</v>
      </c>
      <c r="Y1250">
        <v>3.8298230000000003E-2</v>
      </c>
      <c r="Z1250">
        <v>-6.7626989999999996E-3</v>
      </c>
      <c r="AA1250">
        <v>0.99924349999999995</v>
      </c>
      <c r="AB1250">
        <v>31</v>
      </c>
      <c r="AC1250">
        <v>0.52899999999999603</v>
      </c>
      <c r="AD1250">
        <v>-0.25179249999999997</v>
      </c>
      <c r="AE1250">
        <v>-2.8900000000021402E-2</v>
      </c>
      <c r="AF1250">
        <v>2.3458483262976199E-2</v>
      </c>
      <c r="AG1250">
        <v>-0.25179249999999997</v>
      </c>
      <c r="AH1250">
        <v>0.43153268084545099</v>
      </c>
      <c r="AI1250">
        <v>120.226103353132</v>
      </c>
      <c r="AJ1250">
        <v>86.888415338719895</v>
      </c>
      <c r="AK1250">
        <v>0.50017018916655898</v>
      </c>
      <c r="AL1250">
        <v>72.079281977123102</v>
      </c>
      <c r="AM1250">
        <v>90.794286604744997</v>
      </c>
      <c r="AN1250">
        <v>1.0000000258067601</v>
      </c>
    </row>
    <row r="1251" spans="1:40" x14ac:dyDescent="0.25">
      <c r="A1251" t="str">
        <f>"20190304164354774"</f>
        <v>20190304164354774</v>
      </c>
      <c r="B1251" t="str">
        <f>"1551689034770925"</f>
        <v>1551689034770925</v>
      </c>
      <c r="C1251" t="s">
        <v>40</v>
      </c>
      <c r="D1251">
        <v>5.2989160000000002</v>
      </c>
      <c r="E1251">
        <v>0.54421649999999999</v>
      </c>
      <c r="F1251" t="s">
        <v>41</v>
      </c>
      <c r="G1251">
        <v>-225.27109999999999</v>
      </c>
      <c r="H1251">
        <v>0.82946719999999896</v>
      </c>
      <c r="I1251">
        <v>367.8562</v>
      </c>
      <c r="J1251">
        <v>-225.89599999999999</v>
      </c>
      <c r="K1251">
        <v>1.10989</v>
      </c>
      <c r="L1251">
        <v>367.88909999999998</v>
      </c>
      <c r="M1251">
        <v>0.99989660000000002</v>
      </c>
      <c r="N1251">
        <v>-1.4356829999999999E-2</v>
      </c>
      <c r="O1251">
        <v>-8.6473789999999995E-4</v>
      </c>
      <c r="P1251">
        <v>0.95575889999999997</v>
      </c>
      <c r="Q1251">
        <v>0.29388170000000002</v>
      </c>
      <c r="R1251">
        <v>1.2599239999999999E-2</v>
      </c>
      <c r="S1251">
        <v>3.523209</v>
      </c>
      <c r="T1251">
        <v>-1.2421789999999999</v>
      </c>
      <c r="U1251">
        <v>-0.1478882</v>
      </c>
      <c r="V1251">
        <v>-1.282289E-2</v>
      </c>
      <c r="W1251">
        <v>0.3075985</v>
      </c>
      <c r="X1251">
        <v>0.95142979999999999</v>
      </c>
      <c r="Y1251">
        <v>3.8691129999999997E-2</v>
      </c>
      <c r="Z1251">
        <v>-6.6208550000000001E-3</v>
      </c>
      <c r="AA1251">
        <v>0.99922929999999999</v>
      </c>
      <c r="AB1251">
        <v>31</v>
      </c>
      <c r="AC1251">
        <v>0.62489999999999601</v>
      </c>
      <c r="AD1251">
        <v>-0.28042280000000003</v>
      </c>
      <c r="AE1251">
        <v>-3.2899999999983699E-2</v>
      </c>
      <c r="AF1251">
        <v>2.6947919748029101E-2</v>
      </c>
      <c r="AG1251">
        <v>-0.28042280000000003</v>
      </c>
      <c r="AH1251">
        <v>0.52041859963167203</v>
      </c>
      <c r="AI1251">
        <v>118.28557902087201</v>
      </c>
      <c r="AJ1251">
        <v>87.035800970089497</v>
      </c>
      <c r="AK1251">
        <v>0.591775849440628</v>
      </c>
      <c r="AL1251">
        <v>72.085434936946996</v>
      </c>
      <c r="AM1251">
        <v>90.7721568094925</v>
      </c>
      <c r="AN1251">
        <v>0.99999996401911995</v>
      </c>
    </row>
    <row r="1252" spans="1:40" x14ac:dyDescent="0.25">
      <c r="A1252" t="str">
        <f>"20190304164354791"</f>
        <v>20190304164354791</v>
      </c>
      <c r="B1252" t="str">
        <f>"1551689034780685"</f>
        <v>1551689034780685</v>
      </c>
      <c r="C1252" t="s">
        <v>40</v>
      </c>
      <c r="D1252">
        <v>5.4100390000000003</v>
      </c>
      <c r="E1252">
        <v>0.54442760000000001</v>
      </c>
      <c r="F1252" t="s">
        <v>41</v>
      </c>
      <c r="G1252">
        <v>-225.00569999999999</v>
      </c>
      <c r="H1252">
        <v>0.79796639999999996</v>
      </c>
      <c r="I1252">
        <v>367.84960000000001</v>
      </c>
      <c r="J1252">
        <v>-225.65440000000001</v>
      </c>
      <c r="K1252">
        <v>1.1097779999999999</v>
      </c>
      <c r="L1252">
        <v>367.8879</v>
      </c>
      <c r="M1252">
        <v>0.99989530000000004</v>
      </c>
      <c r="N1252">
        <v>-1.4355949999999999E-2</v>
      </c>
      <c r="O1252">
        <v>-1.839827E-3</v>
      </c>
      <c r="P1252">
        <v>0.95596490000000001</v>
      </c>
      <c r="Q1252">
        <v>0.29327629999999999</v>
      </c>
      <c r="R1252">
        <v>1.096012E-2</v>
      </c>
      <c r="S1252">
        <v>3.5200809999999998</v>
      </c>
      <c r="T1252">
        <v>-1.2330779999999999</v>
      </c>
      <c r="U1252">
        <v>-0.15499879999999999</v>
      </c>
      <c r="V1252">
        <v>-1.203276E-2</v>
      </c>
      <c r="W1252">
        <v>0.30699729999999997</v>
      </c>
      <c r="X1252">
        <v>0.95163430000000004</v>
      </c>
      <c r="Y1252">
        <v>3.978363E-2</v>
      </c>
      <c r="Z1252">
        <v>-6.4579260000000001E-3</v>
      </c>
      <c r="AA1252">
        <v>0.99918750000000001</v>
      </c>
      <c r="AB1252">
        <v>31</v>
      </c>
      <c r="AC1252">
        <v>0.64870000000001904</v>
      </c>
      <c r="AD1252">
        <v>-0.31181160000000002</v>
      </c>
      <c r="AE1252">
        <v>-3.8299999999992403E-2</v>
      </c>
      <c r="AF1252">
        <v>3.01617905293921E-2</v>
      </c>
      <c r="AG1252">
        <v>-0.31181160000000002</v>
      </c>
      <c r="AH1252">
        <v>0.52735080853346605</v>
      </c>
      <c r="AI1252">
        <v>120.553970476502</v>
      </c>
      <c r="AJ1252">
        <v>86.726538463226305</v>
      </c>
      <c r="AK1252">
        <v>0.61338004757523701</v>
      </c>
      <c r="AL1252">
        <v>72.121633039010703</v>
      </c>
      <c r="AM1252">
        <v>90.7244270471448</v>
      </c>
      <c r="AN1252">
        <v>0.99999998522849798</v>
      </c>
    </row>
    <row r="1253" spans="1:40" x14ac:dyDescent="0.25">
      <c r="A1253" t="str">
        <f>"20190304164354805"</f>
        <v>20190304164354805</v>
      </c>
      <c r="B1253" t="str">
        <f>"1551689034801182"</f>
        <v>1551689034801182</v>
      </c>
      <c r="C1253" t="s">
        <v>40</v>
      </c>
      <c r="D1253">
        <v>5.3812889999999998</v>
      </c>
      <c r="E1253">
        <v>0.54476480000000005</v>
      </c>
      <c r="F1253" t="s">
        <v>41</v>
      </c>
      <c r="G1253">
        <v>-224.97559999999999</v>
      </c>
      <c r="H1253">
        <v>0.87226340000000002</v>
      </c>
      <c r="I1253">
        <v>367.85640000000001</v>
      </c>
      <c r="J1253">
        <v>-225.47800000000001</v>
      </c>
      <c r="K1253">
        <v>1.1096969999999999</v>
      </c>
      <c r="L1253">
        <v>367.88679999999999</v>
      </c>
      <c r="M1253">
        <v>0.99989349999999999</v>
      </c>
      <c r="N1253">
        <v>-1.435558E-2</v>
      </c>
      <c r="O1253">
        <v>-2.6322009999999998E-3</v>
      </c>
      <c r="P1253">
        <v>0.9559609</v>
      </c>
      <c r="Q1253">
        <v>0.29332140000000001</v>
      </c>
      <c r="R1253">
        <v>1.005989E-2</v>
      </c>
      <c r="S1253">
        <v>3.5175169999999998</v>
      </c>
      <c r="T1253">
        <v>-1.230437</v>
      </c>
      <c r="U1253">
        <v>-0.16204830000000001</v>
      </c>
      <c r="V1253">
        <v>-1.182747E-2</v>
      </c>
      <c r="W1253">
        <v>0.30704399999999998</v>
      </c>
      <c r="X1253">
        <v>0.95162179999999996</v>
      </c>
      <c r="Y1253">
        <v>4.0997060000000002E-2</v>
      </c>
      <c r="Z1253">
        <v>-6.4064530000000003E-3</v>
      </c>
      <c r="AA1253">
        <v>0.99913870000000005</v>
      </c>
      <c r="AB1253">
        <v>31</v>
      </c>
      <c r="AC1253">
        <v>0.50239999999999396</v>
      </c>
      <c r="AD1253">
        <v>-0.237433599999999</v>
      </c>
      <c r="AE1253">
        <v>-3.03999999999859E-2</v>
      </c>
      <c r="AF1253">
        <v>2.3784469306807901E-2</v>
      </c>
      <c r="AG1253">
        <v>-0.237433599999999</v>
      </c>
      <c r="AH1253">
        <v>0.41101349460959202</v>
      </c>
      <c r="AI1253">
        <v>119.97263130671701</v>
      </c>
      <c r="AJ1253">
        <v>86.688109673754795</v>
      </c>
      <c r="AK1253">
        <v>0.47526046347277301</v>
      </c>
      <c r="AL1253">
        <v>72.118821416251194</v>
      </c>
      <c r="AM1253">
        <v>90.712078288621001</v>
      </c>
      <c r="AN1253">
        <v>0.99999997860891998</v>
      </c>
    </row>
    <row r="1254" spans="1:40" x14ac:dyDescent="0.25">
      <c r="A1254" t="str">
        <f>"20190304164354817"</f>
        <v>20190304164354817</v>
      </c>
      <c r="B1254" t="str">
        <f>"1551689034810941"</f>
        <v>1551689034810941</v>
      </c>
      <c r="C1254" t="s">
        <v>40</v>
      </c>
      <c r="D1254">
        <v>5.2933130000000004</v>
      </c>
      <c r="E1254">
        <v>0.54490939999999999</v>
      </c>
      <c r="F1254" t="s">
        <v>41</v>
      </c>
      <c r="G1254">
        <v>-224.71010000000001</v>
      </c>
      <c r="H1254">
        <v>0.84259619999999902</v>
      </c>
      <c r="I1254">
        <v>367.84960000000001</v>
      </c>
      <c r="J1254">
        <v>-225.3022</v>
      </c>
      <c r="K1254">
        <v>1.109613</v>
      </c>
      <c r="L1254">
        <v>367.88560000000001</v>
      </c>
      <c r="M1254">
        <v>0.99989099999999997</v>
      </c>
      <c r="N1254">
        <v>-1.435528E-2</v>
      </c>
      <c r="O1254">
        <v>-3.4640729999999998E-3</v>
      </c>
      <c r="P1254">
        <v>0.9559183</v>
      </c>
      <c r="Q1254">
        <v>0.29348289999999999</v>
      </c>
      <c r="R1254">
        <v>9.3984159999999997E-3</v>
      </c>
      <c r="S1254">
        <v>3.515091</v>
      </c>
      <c r="T1254">
        <v>-1.222494</v>
      </c>
      <c r="U1254">
        <v>-0.16983029999999999</v>
      </c>
      <c r="V1254">
        <v>-1.1897599999999999E-2</v>
      </c>
      <c r="W1254">
        <v>0.3072069</v>
      </c>
      <c r="X1254">
        <v>0.95156839999999998</v>
      </c>
      <c r="Y1254">
        <v>4.2390629999999999E-2</v>
      </c>
      <c r="Z1254">
        <v>-6.3493409999999997E-3</v>
      </c>
      <c r="AA1254">
        <v>0.999081</v>
      </c>
      <c r="AB1254">
        <v>31</v>
      </c>
      <c r="AC1254">
        <v>0.59209999999998697</v>
      </c>
      <c r="AD1254">
        <v>-0.2670168</v>
      </c>
      <c r="AE1254">
        <v>-3.6000000000001302E-2</v>
      </c>
      <c r="AF1254">
        <v>2.82287551575158E-2</v>
      </c>
      <c r="AG1254">
        <v>-0.2670168</v>
      </c>
      <c r="AH1254">
        <v>0.49244204413631898</v>
      </c>
      <c r="AI1254">
        <v>118.42850869801801</v>
      </c>
      <c r="AJ1254">
        <v>86.719166381431194</v>
      </c>
      <c r="AK1254">
        <v>0.56088679867967906</v>
      </c>
      <c r="AL1254">
        <v>72.109014806340298</v>
      </c>
      <c r="AM1254">
        <v>90.716340252050998</v>
      </c>
      <c r="AN1254">
        <v>1.0000000260859601</v>
      </c>
    </row>
    <row r="1255" spans="1:40" x14ac:dyDescent="0.25">
      <c r="A1255" t="str">
        <f>"20190304164354837"</f>
        <v>20190304164354837</v>
      </c>
      <c r="B1255" t="str">
        <f>"1551689034831437"</f>
        <v>1551689034831437</v>
      </c>
      <c r="C1255" t="s">
        <v>40</v>
      </c>
      <c r="D1255">
        <v>5.3088889999999997</v>
      </c>
      <c r="E1255">
        <v>0.54512620000000001</v>
      </c>
      <c r="F1255" t="s">
        <v>41</v>
      </c>
      <c r="G1255">
        <v>-224.44479999999999</v>
      </c>
      <c r="H1255">
        <v>0.81204449999999995</v>
      </c>
      <c r="I1255">
        <v>367.84280000000001</v>
      </c>
      <c r="J1255">
        <v>-225.02760000000001</v>
      </c>
      <c r="K1255">
        <v>1.109478</v>
      </c>
      <c r="L1255">
        <v>367.88319999999999</v>
      </c>
      <c r="M1255">
        <v>0.99988509999999997</v>
      </c>
      <c r="N1255">
        <v>-1.435519E-2</v>
      </c>
      <c r="O1255">
        <v>-4.9038160000000001E-3</v>
      </c>
      <c r="P1255">
        <v>0.95585569999999997</v>
      </c>
      <c r="Q1255">
        <v>0.29371199999999997</v>
      </c>
      <c r="R1255">
        <v>8.5713079999999997E-3</v>
      </c>
      <c r="S1255">
        <v>3.5145110000000002</v>
      </c>
      <c r="T1255">
        <v>-1.219589</v>
      </c>
      <c r="U1255">
        <v>-0.17468259999999999</v>
      </c>
      <c r="V1255">
        <v>-1.2343099999999999E-2</v>
      </c>
      <c r="W1255">
        <v>0.30744060000000001</v>
      </c>
      <c r="X1255">
        <v>0.95148719999999998</v>
      </c>
      <c r="Y1255">
        <v>4.2421809999999997E-2</v>
      </c>
      <c r="Z1255">
        <v>-5.8770840000000003E-3</v>
      </c>
      <c r="AA1255">
        <v>0.99908249999999998</v>
      </c>
      <c r="AB1255">
        <v>31</v>
      </c>
      <c r="AC1255">
        <v>0.58280000000001997</v>
      </c>
      <c r="AD1255">
        <v>-0.29743350000000002</v>
      </c>
      <c r="AE1255">
        <v>-4.0399999999976899E-2</v>
      </c>
      <c r="AF1255">
        <v>2.98132572811983E-2</v>
      </c>
      <c r="AG1255">
        <v>-0.29743350000000002</v>
      </c>
      <c r="AH1255">
        <v>0.46298011713536502</v>
      </c>
      <c r="AI1255">
        <v>122.664124019808</v>
      </c>
      <c r="AJ1255">
        <v>86.315568292021396</v>
      </c>
      <c r="AK1255">
        <v>0.55109536932788705</v>
      </c>
      <c r="AL1255">
        <v>72.094943023992002</v>
      </c>
      <c r="AM1255">
        <v>90.743223733922093</v>
      </c>
      <c r="AN1255">
        <v>0.99999998320490402</v>
      </c>
    </row>
    <row r="1256" spans="1:40" x14ac:dyDescent="0.25">
      <c r="A1256" t="str">
        <f>"20190304164354849"</f>
        <v>20190304164354849</v>
      </c>
      <c r="B1256" t="str">
        <f>"1551689034841197"</f>
        <v>1551689034841197</v>
      </c>
      <c r="C1256" t="s">
        <v>40</v>
      </c>
      <c r="D1256">
        <v>5.2932540000000001</v>
      </c>
      <c r="E1256">
        <v>0.54514549999999995</v>
      </c>
      <c r="F1256" t="s">
        <v>41</v>
      </c>
      <c r="G1256">
        <v>-224.1677</v>
      </c>
      <c r="H1256">
        <v>0.81203780000000003</v>
      </c>
      <c r="I1256">
        <v>367.83870000000002</v>
      </c>
      <c r="J1256">
        <v>-224.845</v>
      </c>
      <c r="K1256">
        <v>1.1093869999999999</v>
      </c>
      <c r="L1256">
        <v>367.88130000000001</v>
      </c>
      <c r="M1256">
        <v>0.99987939999999997</v>
      </c>
      <c r="N1256">
        <v>-1.4355400000000001E-2</v>
      </c>
      <c r="O1256">
        <v>-5.942218E-3</v>
      </c>
      <c r="P1256">
        <v>0.95587529999999998</v>
      </c>
      <c r="Q1256">
        <v>0.29366730000000002</v>
      </c>
      <c r="R1256">
        <v>7.8995899999999997E-3</v>
      </c>
      <c r="S1256">
        <v>3.5135800000000001</v>
      </c>
      <c r="T1256">
        <v>-1.215247</v>
      </c>
      <c r="U1256">
        <v>-0.18139649999999999</v>
      </c>
      <c r="V1256">
        <v>-1.259644E-2</v>
      </c>
      <c r="W1256">
        <v>0.30740030000000002</v>
      </c>
      <c r="X1256">
        <v>0.95149689999999998</v>
      </c>
      <c r="Y1256">
        <v>4.3317469999999997E-2</v>
      </c>
      <c r="Z1256">
        <v>-5.6824680000000004E-3</v>
      </c>
      <c r="AA1256">
        <v>0.99904519999999997</v>
      </c>
      <c r="AB1256">
        <v>31</v>
      </c>
      <c r="AC1256">
        <v>0.67730000000000201</v>
      </c>
      <c r="AD1256">
        <v>-0.29734919999999998</v>
      </c>
      <c r="AE1256">
        <v>-4.2599999999992998E-2</v>
      </c>
      <c r="AF1256">
        <v>3.2361414387597397E-2</v>
      </c>
      <c r="AG1256">
        <v>-0.29734919999999998</v>
      </c>
      <c r="AH1256">
        <v>0.56841643435799505</v>
      </c>
      <c r="AI1256">
        <v>117.576842736686</v>
      </c>
      <c r="AJ1256">
        <v>86.741520974292399</v>
      </c>
      <c r="AK1256">
        <v>0.64230915510372599</v>
      </c>
      <c r="AL1256">
        <v>72.0973695426147</v>
      </c>
      <c r="AM1256">
        <v>90.758468777418202</v>
      </c>
      <c r="AN1256">
        <v>0.99999998272518598</v>
      </c>
    </row>
    <row r="1257" spans="1:40" x14ac:dyDescent="0.25">
      <c r="A1257" t="str">
        <f>"20190304164354863"</f>
        <v>20190304164354863</v>
      </c>
      <c r="B1257" t="str">
        <f>"1551689034850958"</f>
        <v>1551689034850958</v>
      </c>
      <c r="C1257" t="s">
        <v>40</v>
      </c>
      <c r="D1257">
        <v>5.4945469999999998</v>
      </c>
      <c r="E1257">
        <v>0.5452536</v>
      </c>
      <c r="F1257" t="s">
        <v>41</v>
      </c>
      <c r="G1257">
        <v>-224.14529999999999</v>
      </c>
      <c r="H1257">
        <v>0.86726780000000003</v>
      </c>
      <c r="I1257">
        <v>367.84460000000001</v>
      </c>
      <c r="J1257">
        <v>-224.66419999999999</v>
      </c>
      <c r="K1257">
        <v>1.1093040000000001</v>
      </c>
      <c r="L1257">
        <v>367.87920000000003</v>
      </c>
      <c r="M1257">
        <v>0.99987239999999999</v>
      </c>
      <c r="N1257">
        <v>-1.435576E-2</v>
      </c>
      <c r="O1257">
        <v>-7.0326360000000001E-3</v>
      </c>
      <c r="P1257">
        <v>0.95599860000000003</v>
      </c>
      <c r="Q1257">
        <v>0.29328700000000002</v>
      </c>
      <c r="R1257">
        <v>7.0630650000000003E-3</v>
      </c>
      <c r="S1257">
        <v>3.513458</v>
      </c>
      <c r="T1257">
        <v>-1.2155629999999999</v>
      </c>
      <c r="U1257">
        <v>-0.18371580000000001</v>
      </c>
      <c r="V1257">
        <v>-1.2740080000000001E-2</v>
      </c>
      <c r="W1257">
        <v>0.30702499999999999</v>
      </c>
      <c r="X1257">
        <v>0.95161620000000002</v>
      </c>
      <c r="Y1257">
        <v>4.2965780000000002E-2</v>
      </c>
      <c r="Z1257">
        <v>-5.27109E-3</v>
      </c>
      <c r="AA1257">
        <v>0.99906269999999997</v>
      </c>
      <c r="AB1257">
        <v>31</v>
      </c>
      <c r="AC1257">
        <v>0.51890000000000203</v>
      </c>
      <c r="AD1257">
        <v>-0.24203620000000001</v>
      </c>
      <c r="AE1257">
        <v>-3.4600000000011698E-2</v>
      </c>
      <c r="AF1257">
        <v>2.5439281563553701E-2</v>
      </c>
      <c r="AG1257">
        <v>-0.24203620000000001</v>
      </c>
      <c r="AH1257">
        <v>0.42670456623284903</v>
      </c>
      <c r="AI1257">
        <v>119.519259263854</v>
      </c>
      <c r="AJ1257">
        <v>86.588177443231501</v>
      </c>
      <c r="AK1257">
        <v>0.49122852726696697</v>
      </c>
      <c r="AL1257">
        <v>72.119966166243998</v>
      </c>
      <c r="AM1257">
        <v>90.767020578816002</v>
      </c>
      <c r="AN1257">
        <v>1.0000000261829201</v>
      </c>
    </row>
    <row r="1258" spans="1:40" x14ac:dyDescent="0.25">
      <c r="A1258" t="str">
        <f>"20190304164354877"</f>
        <v>20190304164354877</v>
      </c>
      <c r="B1258" t="str">
        <f>"1551689034871453"</f>
        <v>1551689034871453</v>
      </c>
      <c r="C1258" t="s">
        <v>40</v>
      </c>
      <c r="D1258">
        <v>5.2582959999999996</v>
      </c>
      <c r="E1258">
        <v>0.54543999999999904</v>
      </c>
      <c r="F1258" t="s">
        <v>41</v>
      </c>
      <c r="G1258">
        <v>-223.88050000000001</v>
      </c>
      <c r="H1258">
        <v>0.83768069999999895</v>
      </c>
      <c r="I1258">
        <v>367.83730000000003</v>
      </c>
      <c r="J1258">
        <v>-224.47880000000001</v>
      </c>
      <c r="K1258">
        <v>1.1092139999999999</v>
      </c>
      <c r="L1258">
        <v>367.8768</v>
      </c>
      <c r="M1258">
        <v>0.99986339999999996</v>
      </c>
      <c r="N1258">
        <v>-1.435607E-2</v>
      </c>
      <c r="O1258">
        <v>-8.1935159999999996E-3</v>
      </c>
      <c r="P1258">
        <v>0.95603680000000002</v>
      </c>
      <c r="Q1258">
        <v>0.29319200000000001</v>
      </c>
      <c r="R1258">
        <v>5.6932199999999997E-3</v>
      </c>
      <c r="S1258">
        <v>3.5129700000000001</v>
      </c>
      <c r="T1258">
        <v>-1.2174450000000001</v>
      </c>
      <c r="U1258">
        <v>-0.18673709999999999</v>
      </c>
      <c r="V1258">
        <v>-1.241692E-2</v>
      </c>
      <c r="W1258">
        <v>0.30693290000000001</v>
      </c>
      <c r="X1258">
        <v>0.95165010000000005</v>
      </c>
      <c r="Y1258">
        <v>4.2738909999999998E-2</v>
      </c>
      <c r="Z1258">
        <v>-4.8645099999999998E-3</v>
      </c>
      <c r="AA1258">
        <v>0.99907449999999998</v>
      </c>
      <c r="AB1258">
        <v>31</v>
      </c>
      <c r="AC1258">
        <v>0.59829999999999395</v>
      </c>
      <c r="AD1258">
        <v>-0.27153329999999998</v>
      </c>
      <c r="AE1258">
        <v>-3.9499999999975402E-2</v>
      </c>
      <c r="AF1258">
        <v>2.8708502153516301E-2</v>
      </c>
      <c r="AG1258">
        <v>-0.27153329999999998</v>
      </c>
      <c r="AH1258">
        <v>0.49673425741260302</v>
      </c>
      <c r="AI1258">
        <v>118.622458080782</v>
      </c>
      <c r="AJ1258">
        <v>86.692299272438007</v>
      </c>
      <c r="AK1258">
        <v>0.566832809205712</v>
      </c>
      <c r="AL1258">
        <v>72.125509396248901</v>
      </c>
      <c r="AM1258">
        <v>90.747540237652203</v>
      </c>
      <c r="AN1258">
        <v>0.999999948917352</v>
      </c>
    </row>
    <row r="1259" spans="1:40" x14ac:dyDescent="0.25">
      <c r="A1259" t="str">
        <f>"20190304164354888"</f>
        <v>20190304164354888</v>
      </c>
      <c r="B1259" t="str">
        <f>"1551689034881213"</f>
        <v>1551689034881213</v>
      </c>
      <c r="C1259" t="s">
        <v>40</v>
      </c>
      <c r="D1259">
        <v>5.245844</v>
      </c>
      <c r="E1259">
        <v>0.54551830000000001</v>
      </c>
      <c r="F1259" t="s">
        <v>41</v>
      </c>
      <c r="G1259">
        <v>-223.61519999999999</v>
      </c>
      <c r="H1259">
        <v>0.80952869999999999</v>
      </c>
      <c r="I1259">
        <v>367.8295</v>
      </c>
      <c r="J1259">
        <v>-224.3126</v>
      </c>
      <c r="K1259">
        <v>1.1091409999999999</v>
      </c>
      <c r="L1259">
        <v>367.87439999999998</v>
      </c>
      <c r="M1259">
        <v>0.99985369999999996</v>
      </c>
      <c r="N1259">
        <v>-1.4356270000000001E-2</v>
      </c>
      <c r="O1259">
        <v>-9.3003970000000002E-3</v>
      </c>
      <c r="P1259">
        <v>0.95617549999999996</v>
      </c>
      <c r="Q1259">
        <v>0.29276190000000002</v>
      </c>
      <c r="R1259">
        <v>4.3167580000000004E-3</v>
      </c>
      <c r="S1259">
        <v>3.5129090000000001</v>
      </c>
      <c r="T1259">
        <v>-1.21889</v>
      </c>
      <c r="U1259">
        <v>-0.19232179999999999</v>
      </c>
      <c r="V1259">
        <v>-1.204657E-2</v>
      </c>
      <c r="W1259">
        <v>0.30650579999999999</v>
      </c>
      <c r="X1259">
        <v>0.95179259999999999</v>
      </c>
      <c r="Y1259">
        <v>4.324165E-2</v>
      </c>
      <c r="Z1259">
        <v>-4.6004239999999997E-3</v>
      </c>
      <c r="AA1259">
        <v>0.99905409999999994</v>
      </c>
      <c r="AB1259">
        <v>31</v>
      </c>
      <c r="AC1259">
        <v>0.69740000000001501</v>
      </c>
      <c r="AD1259">
        <v>-0.299612299999999</v>
      </c>
      <c r="AE1259">
        <v>-4.4899999999984098E-2</v>
      </c>
      <c r="AF1259">
        <v>3.2447295047846603E-2</v>
      </c>
      <c r="AG1259">
        <v>-0.299612299999999</v>
      </c>
      <c r="AH1259">
        <v>0.58944425619383001</v>
      </c>
      <c r="AI1259">
        <v>116.90906317926201</v>
      </c>
      <c r="AJ1259">
        <v>86.849203904929993</v>
      </c>
      <c r="AK1259">
        <v>0.66201577656964405</v>
      </c>
      <c r="AL1259">
        <v>72.151221328447804</v>
      </c>
      <c r="AM1259">
        <v>90.725137772931205</v>
      </c>
      <c r="AN1259">
        <v>1.0000000393485799</v>
      </c>
    </row>
    <row r="1260" spans="1:40" x14ac:dyDescent="0.25">
      <c r="A1260" t="str">
        <f>"20190304164354903"</f>
        <v>20190304164354903</v>
      </c>
      <c r="B1260" t="str">
        <f>"1551689034890973"</f>
        <v>1551689034890973</v>
      </c>
      <c r="C1260" t="s">
        <v>40</v>
      </c>
      <c r="D1260">
        <v>5.2429050000000004</v>
      </c>
      <c r="E1260">
        <v>0.54558519999999999</v>
      </c>
      <c r="F1260" t="s">
        <v>41</v>
      </c>
      <c r="G1260">
        <v>-223.595</v>
      </c>
      <c r="H1260">
        <v>0.85964229999999997</v>
      </c>
      <c r="I1260">
        <v>367.834</v>
      </c>
      <c r="J1260">
        <v>-224.10650000000001</v>
      </c>
      <c r="K1260">
        <v>1.1090519999999999</v>
      </c>
      <c r="L1260">
        <v>367.87099999999998</v>
      </c>
      <c r="M1260">
        <v>0.99983949999999999</v>
      </c>
      <c r="N1260">
        <v>-1.4356549999999999E-2</v>
      </c>
      <c r="O1260">
        <v>-1.0732419999999999E-2</v>
      </c>
      <c r="P1260">
        <v>0.95641739999999997</v>
      </c>
      <c r="Q1260">
        <v>0.29199750000000002</v>
      </c>
      <c r="R1260">
        <v>1.815908E-3</v>
      </c>
      <c r="S1260">
        <v>3.512283</v>
      </c>
      <c r="T1260">
        <v>-1.22116</v>
      </c>
      <c r="U1260">
        <v>-0.19741819999999999</v>
      </c>
      <c r="V1260">
        <v>-1.085618E-2</v>
      </c>
      <c r="W1260">
        <v>0.30574319999999999</v>
      </c>
      <c r="X1260">
        <v>0.95205209999999996</v>
      </c>
      <c r="Y1260">
        <v>4.3329520000000003E-2</v>
      </c>
      <c r="Z1260">
        <v>-4.1605289999999996E-3</v>
      </c>
      <c r="AA1260">
        <v>0.99905219999999995</v>
      </c>
      <c r="AB1260">
        <v>31</v>
      </c>
      <c r="AC1260">
        <v>0.51150000000001195</v>
      </c>
      <c r="AD1260">
        <v>-0.24940970000000001</v>
      </c>
      <c r="AE1260">
        <v>-3.6999999999977697E-2</v>
      </c>
      <c r="AF1260">
        <v>2.5480911730937399E-2</v>
      </c>
      <c r="AG1260">
        <v>-0.24940970000000001</v>
      </c>
      <c r="AH1260">
        <v>0.41395808413979401</v>
      </c>
      <c r="AI1260">
        <v>121.021089739608</v>
      </c>
      <c r="AJ1260">
        <v>86.477640966634794</v>
      </c>
      <c r="AK1260">
        <v>0.48395843906415997</v>
      </c>
      <c r="AL1260">
        <v>72.197117474178</v>
      </c>
      <c r="AM1260">
        <v>90.653311240304802</v>
      </c>
      <c r="AN1260">
        <v>0.99999998105242005</v>
      </c>
    </row>
    <row r="1261" spans="1:40" x14ac:dyDescent="0.25">
      <c r="A1261" t="str">
        <f>"20190304164354918"</f>
        <v>20190304164354918</v>
      </c>
      <c r="B1261" t="str">
        <f>"1551689034911470"</f>
        <v>1551689034911470</v>
      </c>
      <c r="C1261" t="s">
        <v>40</v>
      </c>
      <c r="D1261">
        <v>5.2193610000000001</v>
      </c>
      <c r="E1261">
        <v>0.54564319999999999</v>
      </c>
      <c r="F1261" t="s">
        <v>41</v>
      </c>
      <c r="G1261">
        <v>-223.32769999999999</v>
      </c>
      <c r="H1261">
        <v>0.83737589999999995</v>
      </c>
      <c r="I1261">
        <v>367.82510000000002</v>
      </c>
      <c r="J1261">
        <v>-223.9111</v>
      </c>
      <c r="K1261">
        <v>1.108975</v>
      </c>
      <c r="L1261">
        <v>367.86759999999998</v>
      </c>
      <c r="M1261">
        <v>0.99982320000000002</v>
      </c>
      <c r="N1261">
        <v>-1.4356850000000001E-2</v>
      </c>
      <c r="O1261">
        <v>-1.214089E-2</v>
      </c>
      <c r="P1261">
        <v>0.95648409999999995</v>
      </c>
      <c r="Q1261">
        <v>0.2917845</v>
      </c>
      <c r="R1261">
        <v>-3.8808579999999998E-4</v>
      </c>
      <c r="S1261">
        <v>3.5110169999999998</v>
      </c>
      <c r="T1261">
        <v>-1.2247220000000001</v>
      </c>
      <c r="U1261">
        <v>-0.20700070000000001</v>
      </c>
      <c r="V1261">
        <v>-9.9434959999999996E-3</v>
      </c>
      <c r="W1261">
        <v>0.30552970000000002</v>
      </c>
      <c r="X1261">
        <v>0.95213060000000005</v>
      </c>
      <c r="Y1261">
        <v>4.464328E-2</v>
      </c>
      <c r="Z1261">
        <v>-3.9467800000000004E-3</v>
      </c>
      <c r="AA1261">
        <v>0.99899519999999997</v>
      </c>
      <c r="AB1261">
        <v>31</v>
      </c>
      <c r="AC1261">
        <v>0.58340000000001102</v>
      </c>
      <c r="AD1261">
        <v>-0.27159909999999998</v>
      </c>
      <c r="AE1261">
        <v>-4.2499999999961298E-2</v>
      </c>
      <c r="AF1261">
        <v>2.9132513441168299E-2</v>
      </c>
      <c r="AG1261">
        <v>-0.27159909999999998</v>
      </c>
      <c r="AH1261">
        <v>0.48032138038362998</v>
      </c>
      <c r="AI1261">
        <v>119.441063405157</v>
      </c>
      <c r="AJ1261">
        <v>86.529140988582398</v>
      </c>
      <c r="AK1261">
        <v>0.55256076852582003</v>
      </c>
      <c r="AL1261">
        <v>72.209964784579199</v>
      </c>
      <c r="AM1261">
        <v>90.598341911906402</v>
      </c>
      <c r="AN1261">
        <v>0.99999997507557503</v>
      </c>
    </row>
    <row r="1262" spans="1:40" x14ac:dyDescent="0.25">
      <c r="A1262" t="str">
        <f>"20190304164354936"</f>
        <v>20190304164354936</v>
      </c>
      <c r="B1262" t="str">
        <f>"1551689034930989"</f>
        <v>1551689034930989</v>
      </c>
      <c r="C1262" t="s">
        <v>40</v>
      </c>
      <c r="D1262">
        <v>5.1757879999999998</v>
      </c>
      <c r="E1262">
        <v>0.54567809999999894</v>
      </c>
      <c r="F1262" t="s">
        <v>41</v>
      </c>
      <c r="G1262">
        <v>-223.06190000000001</v>
      </c>
      <c r="H1262">
        <v>0.8120153</v>
      </c>
      <c r="I1262">
        <v>367.81549999999999</v>
      </c>
      <c r="J1262">
        <v>-223.6557</v>
      </c>
      <c r="K1262">
        <v>1.1088819999999999</v>
      </c>
      <c r="L1262">
        <v>367.86250000000001</v>
      </c>
      <c r="M1262">
        <v>0.99979819999999997</v>
      </c>
      <c r="N1262">
        <v>-1.435736E-2</v>
      </c>
      <c r="O1262">
        <v>-1.4064810000000001E-2</v>
      </c>
      <c r="P1262">
        <v>0.95647570000000004</v>
      </c>
      <c r="Q1262">
        <v>0.29179559999999999</v>
      </c>
      <c r="R1262">
        <v>-3.1684080000000002E-3</v>
      </c>
      <c r="S1262">
        <v>3.5109409999999999</v>
      </c>
      <c r="T1262">
        <v>-1.227697</v>
      </c>
      <c r="U1262">
        <v>-0.21496580000000001</v>
      </c>
      <c r="V1262">
        <v>-8.9346449999999997E-3</v>
      </c>
      <c r="W1262">
        <v>0.30554019999999998</v>
      </c>
      <c r="X1262">
        <v>0.95213720000000002</v>
      </c>
      <c r="Y1262">
        <v>4.5050880000000001E-2</v>
      </c>
      <c r="Z1262">
        <v>-3.4009909999999999E-3</v>
      </c>
      <c r="AA1262">
        <v>0.9989789</v>
      </c>
      <c r="AB1262">
        <v>31</v>
      </c>
      <c r="AC1262">
        <v>0.593799999999987</v>
      </c>
      <c r="AD1262">
        <v>-0.29686669999999898</v>
      </c>
      <c r="AE1262">
        <v>-4.7000000000025403E-2</v>
      </c>
      <c r="AF1262">
        <v>3.0954168875555601E-2</v>
      </c>
      <c r="AG1262">
        <v>-0.29686669999999898</v>
      </c>
      <c r="AH1262">
        <v>0.476135996508951</v>
      </c>
      <c r="AI1262">
        <v>121.88896456003</v>
      </c>
      <c r="AJ1262">
        <v>86.280367448265494</v>
      </c>
      <c r="AK1262">
        <v>0.56195505630898801</v>
      </c>
      <c r="AL1262">
        <v>72.209332406659897</v>
      </c>
      <c r="AM1262">
        <v>90.537635148651503</v>
      </c>
      <c r="AN1262">
        <v>0.99999994466057596</v>
      </c>
    </row>
    <row r="1263" spans="1:40" x14ac:dyDescent="0.25">
      <c r="A1263" t="str">
        <f>"20190304164354947"</f>
        <v>20190304164354947</v>
      </c>
      <c r="B1263" t="str">
        <f>"1551689034940749"</f>
        <v>1551689034940749</v>
      </c>
      <c r="C1263" t="s">
        <v>40</v>
      </c>
      <c r="D1263">
        <v>5.1850480000000001</v>
      </c>
      <c r="E1263">
        <v>0.54569630000000002</v>
      </c>
      <c r="F1263" t="s">
        <v>41</v>
      </c>
      <c r="G1263">
        <v>-222.78899999999999</v>
      </c>
      <c r="H1263">
        <v>0.80518029999999996</v>
      </c>
      <c r="I1263">
        <v>367.80669999999998</v>
      </c>
      <c r="J1263">
        <v>-223.4879</v>
      </c>
      <c r="K1263">
        <v>1.1088370000000001</v>
      </c>
      <c r="L1263">
        <v>367.85890000000001</v>
      </c>
      <c r="M1263">
        <v>0.99977870000000002</v>
      </c>
      <c r="N1263">
        <v>-1.435761E-2</v>
      </c>
      <c r="O1263">
        <v>-1.537527E-2</v>
      </c>
      <c r="P1263">
        <v>0.95647389999999999</v>
      </c>
      <c r="Q1263">
        <v>0.29173389999999999</v>
      </c>
      <c r="R1263">
        <v>-7.0067310000000004E-3</v>
      </c>
      <c r="S1263">
        <v>3.5110929999999998</v>
      </c>
      <c r="T1263">
        <v>-1.2302660000000001</v>
      </c>
      <c r="U1263">
        <v>-0.22540279999999999</v>
      </c>
      <c r="V1263">
        <v>-6.3101099999999999E-3</v>
      </c>
      <c r="W1263">
        <v>0.30546839999999997</v>
      </c>
      <c r="X1263">
        <v>0.95218130000000001</v>
      </c>
      <c r="Y1263">
        <v>4.6661370000000001E-2</v>
      </c>
      <c r="Z1263">
        <v>-3.2649630000000001E-3</v>
      </c>
      <c r="AA1263">
        <v>0.99890540000000005</v>
      </c>
      <c r="AB1263">
        <v>31</v>
      </c>
      <c r="AC1263">
        <v>0.69889999999997998</v>
      </c>
      <c r="AD1263">
        <v>-0.3036567</v>
      </c>
      <c r="AE1263">
        <v>-5.2200000000027502E-2</v>
      </c>
      <c r="AF1263">
        <v>3.48961085787673E-2</v>
      </c>
      <c r="AG1263">
        <v>-0.3036567</v>
      </c>
      <c r="AH1263">
        <v>0.58904262489496795</v>
      </c>
      <c r="AI1263">
        <v>117.230650641144</v>
      </c>
      <c r="AJ1263">
        <v>86.609641603380098</v>
      </c>
      <c r="AK1263">
        <v>0.66362364619713898</v>
      </c>
      <c r="AL1263">
        <v>72.2136537144995</v>
      </c>
      <c r="AM1263">
        <v>90.379693844813403</v>
      </c>
      <c r="AN1263">
        <v>0.99999999447823096</v>
      </c>
    </row>
    <row r="1264" spans="1:40" x14ac:dyDescent="0.25">
      <c r="A1264" t="str">
        <f>"20190304164354961"</f>
        <v>20190304164354961</v>
      </c>
      <c r="B1264" t="str">
        <f>"1551689034951485"</f>
        <v>1551689034951485</v>
      </c>
      <c r="C1264" t="s">
        <v>40</v>
      </c>
      <c r="D1264">
        <v>5.1464790000000002</v>
      </c>
      <c r="E1264">
        <v>0.54570459999999998</v>
      </c>
      <c r="F1264" t="s">
        <v>41</v>
      </c>
      <c r="G1264">
        <v>-222.76849999999999</v>
      </c>
      <c r="H1264">
        <v>0.8564098</v>
      </c>
      <c r="I1264">
        <v>367.80970000000002</v>
      </c>
      <c r="J1264">
        <v>-223.3167</v>
      </c>
      <c r="K1264">
        <v>1.108787</v>
      </c>
      <c r="L1264">
        <v>367.85489999999999</v>
      </c>
      <c r="M1264">
        <v>0.9997568</v>
      </c>
      <c r="N1264">
        <v>-1.4357730000000001E-2</v>
      </c>
      <c r="O1264">
        <v>-1.6738099999999999E-2</v>
      </c>
      <c r="P1264">
        <v>0.95623020000000003</v>
      </c>
      <c r="Q1264">
        <v>0.2924562</v>
      </c>
      <c r="R1264">
        <v>-9.644527E-3</v>
      </c>
      <c r="S1264">
        <v>3.5104519999999901</v>
      </c>
      <c r="T1264">
        <v>-1.231725</v>
      </c>
      <c r="U1264">
        <v>-0.2393188</v>
      </c>
      <c r="V1264">
        <v>-4.9322790000000004E-3</v>
      </c>
      <c r="W1264">
        <v>0.30618260000000003</v>
      </c>
      <c r="X1264">
        <v>0.95196000000000003</v>
      </c>
      <c r="Y1264">
        <v>4.916831E-2</v>
      </c>
      <c r="Z1264">
        <v>-3.2687219999999999E-3</v>
      </c>
      <c r="AA1264">
        <v>0.99878509999999998</v>
      </c>
      <c r="AB1264">
        <v>31</v>
      </c>
      <c r="AC1264">
        <v>0.54820000000000801</v>
      </c>
      <c r="AD1264">
        <v>-0.25237720000000002</v>
      </c>
      <c r="AE1264">
        <v>-4.5199999999965698E-2</v>
      </c>
      <c r="AF1264">
        <v>2.97534042767044E-2</v>
      </c>
      <c r="AG1264">
        <v>-0.25237720000000002</v>
      </c>
      <c r="AH1264">
        <v>0.45342730929050201</v>
      </c>
      <c r="AI1264">
        <v>119.04799319203801</v>
      </c>
      <c r="AJ1264">
        <v>86.245695898683294</v>
      </c>
      <c r="AK1264">
        <v>0.51978441776982698</v>
      </c>
      <c r="AL1264">
        <v>72.170673468889007</v>
      </c>
      <c r="AM1264">
        <v>90.296857264345107</v>
      </c>
      <c r="AN1264">
        <v>0.99999997675944596</v>
      </c>
    </row>
    <row r="1265" spans="1:40" x14ac:dyDescent="0.25">
      <c r="A1265" t="str">
        <f>"20190304164354972"</f>
        <v>20190304164354972</v>
      </c>
      <c r="B1265" t="str">
        <f>"1551689034961245"</f>
        <v>1551689034961245</v>
      </c>
      <c r="C1265" t="s">
        <v>40</v>
      </c>
      <c r="D1265">
        <v>5.1449509999999998</v>
      </c>
      <c r="E1265">
        <v>0.54571610000000004</v>
      </c>
      <c r="F1265" t="s">
        <v>41</v>
      </c>
      <c r="G1265">
        <v>-222.506</v>
      </c>
      <c r="H1265">
        <v>0.82463169999999897</v>
      </c>
      <c r="I1265">
        <v>367.79730000000001</v>
      </c>
      <c r="J1265">
        <v>-223.1473</v>
      </c>
      <c r="K1265">
        <v>1.108743</v>
      </c>
      <c r="L1265">
        <v>367.85079999999999</v>
      </c>
      <c r="M1265">
        <v>0.99973299999999998</v>
      </c>
      <c r="N1265">
        <v>-1.4357709999999999E-2</v>
      </c>
      <c r="O1265">
        <v>-1.8104990000000001E-2</v>
      </c>
      <c r="P1265">
        <v>0.95606539999999995</v>
      </c>
      <c r="Q1265">
        <v>0.29290329999999998</v>
      </c>
      <c r="R1265">
        <v>-1.212418E-2</v>
      </c>
      <c r="S1265">
        <v>3.5111539999999999</v>
      </c>
      <c r="T1265">
        <v>-1.230518</v>
      </c>
      <c r="U1265">
        <v>-0.24908449999999999</v>
      </c>
      <c r="V1265">
        <v>-3.721547E-3</v>
      </c>
      <c r="W1265">
        <v>0.30662200000000001</v>
      </c>
      <c r="X1265">
        <v>0.95182409999999995</v>
      </c>
      <c r="Y1265">
        <v>5.0548170000000003E-2</v>
      </c>
      <c r="Z1265">
        <v>-3.0649119999999999E-3</v>
      </c>
      <c r="AA1265">
        <v>0.99871699999999997</v>
      </c>
      <c r="AB1265">
        <v>31</v>
      </c>
      <c r="AC1265">
        <v>0.64130000000002896</v>
      </c>
      <c r="AD1265">
        <v>-0.28411130000000001</v>
      </c>
      <c r="AE1265">
        <v>-5.34999999999854E-2</v>
      </c>
      <c r="AF1265">
        <v>3.50479706235814E-2</v>
      </c>
      <c r="AG1265">
        <v>-0.28411130000000001</v>
      </c>
      <c r="AH1265">
        <v>0.537414168280273</v>
      </c>
      <c r="AI1265">
        <v>117.813570761452</v>
      </c>
      <c r="AJ1265">
        <v>86.268685752399193</v>
      </c>
      <c r="AK1265">
        <v>0.60890194555519295</v>
      </c>
      <c r="AL1265">
        <v>72.144226212924394</v>
      </c>
      <c r="AM1265">
        <v>90.224020225793296</v>
      </c>
      <c r="AN1265">
        <v>1.00000000906844</v>
      </c>
    </row>
    <row r="1266" spans="1:40" x14ac:dyDescent="0.25">
      <c r="A1266" t="str">
        <f>"20190304164354985"</f>
        <v>20190304164354985</v>
      </c>
      <c r="B1266" t="str">
        <f>"1551689034980765"</f>
        <v>1551689034980765</v>
      </c>
      <c r="C1266" t="s">
        <v>40</v>
      </c>
      <c r="D1266">
        <v>5.1143599999999996</v>
      </c>
      <c r="E1266">
        <v>0.54571099999999995</v>
      </c>
      <c r="F1266" t="s">
        <v>41</v>
      </c>
      <c r="G1266">
        <v>-222.48480000000001</v>
      </c>
      <c r="H1266">
        <v>0.87662839999999997</v>
      </c>
      <c r="I1266">
        <v>367.80189999999999</v>
      </c>
      <c r="J1266">
        <v>-222.98320000000001</v>
      </c>
      <c r="K1266">
        <v>1.108706</v>
      </c>
      <c r="L1266">
        <v>367.84640000000002</v>
      </c>
      <c r="M1266">
        <v>0.99970749999999997</v>
      </c>
      <c r="N1266">
        <v>-1.435757E-2</v>
      </c>
      <c r="O1266">
        <v>-1.9464809999999999E-2</v>
      </c>
      <c r="P1266">
        <v>0.9558913</v>
      </c>
      <c r="Q1266">
        <v>0.29335670000000003</v>
      </c>
      <c r="R1266">
        <v>-1.46299E-2</v>
      </c>
      <c r="S1266">
        <v>3.511444</v>
      </c>
      <c r="T1266">
        <v>-1.2300990000000001</v>
      </c>
      <c r="U1266">
        <v>-0.25842290000000001</v>
      </c>
      <c r="V1266">
        <v>-2.4830239999999999E-3</v>
      </c>
      <c r="W1266">
        <v>0.30706809999999901</v>
      </c>
      <c r="X1266">
        <v>0.95168430000000004</v>
      </c>
      <c r="Y1266">
        <v>5.1823639999999997E-2</v>
      </c>
      <c r="Z1266">
        <v>-2.8470600000000002E-3</v>
      </c>
      <c r="AA1266">
        <v>0.99865219999999999</v>
      </c>
      <c r="AB1266">
        <v>31</v>
      </c>
      <c r="AC1266">
        <v>0.49840000000000301</v>
      </c>
      <c r="AD1266">
        <v>-0.2320776</v>
      </c>
      <c r="AE1266">
        <v>-4.4500000000027698E-2</v>
      </c>
      <c r="AF1266">
        <v>2.8630566408401201E-2</v>
      </c>
      <c r="AG1266">
        <v>-0.2320776</v>
      </c>
      <c r="AH1266">
        <v>0.41080359445486397</v>
      </c>
      <c r="AI1266">
        <v>119.404243283779</v>
      </c>
      <c r="AJ1266">
        <v>86.013271576161003</v>
      </c>
      <c r="AK1266">
        <v>0.47269367985161598</v>
      </c>
      <c r="AL1266">
        <v>72.117370801961698</v>
      </c>
      <c r="AM1266">
        <v>90.149489145520803</v>
      </c>
      <c r="AN1266">
        <v>0.99999999515614202</v>
      </c>
    </row>
    <row r="1267" spans="1:40" x14ac:dyDescent="0.25">
      <c r="A1267" t="str">
        <f>"20190304164354997"</f>
        <v>20190304164354997</v>
      </c>
      <c r="B1267" t="str">
        <f>"1551689034991502"</f>
        <v>1551689034991502</v>
      </c>
      <c r="C1267" t="s">
        <v>40</v>
      </c>
      <c r="D1267">
        <v>5.1086239999999998</v>
      </c>
      <c r="E1267">
        <v>0.54570839999999998</v>
      </c>
      <c r="F1267" t="s">
        <v>41</v>
      </c>
      <c r="G1267">
        <v>-222.22380000000001</v>
      </c>
      <c r="H1267">
        <v>0.84246589999999999</v>
      </c>
      <c r="I1267">
        <v>367.7885</v>
      </c>
      <c r="J1267">
        <v>-222.82490000000001</v>
      </c>
      <c r="K1267">
        <v>1.10867</v>
      </c>
      <c r="L1267">
        <v>367.84210000000002</v>
      </c>
      <c r="M1267">
        <v>0.99968080000000004</v>
      </c>
      <c r="N1267">
        <v>-1.435734E-2</v>
      </c>
      <c r="O1267">
        <v>-2.078727E-2</v>
      </c>
      <c r="P1267">
        <v>0.95572650000000003</v>
      </c>
      <c r="Q1267">
        <v>0.2937652</v>
      </c>
      <c r="R1267">
        <v>-1.6992119999999999E-2</v>
      </c>
      <c r="S1267">
        <v>3.5121920000000002</v>
      </c>
      <c r="T1267">
        <v>-1.2311730000000001</v>
      </c>
      <c r="U1267">
        <v>-0.26684570000000002</v>
      </c>
      <c r="V1267">
        <v>-1.3533340000000001E-3</v>
      </c>
      <c r="W1267">
        <v>0.3074692</v>
      </c>
      <c r="X1267">
        <v>0.95155699999999999</v>
      </c>
      <c r="Y1267">
        <v>5.2873749999999997E-2</v>
      </c>
      <c r="Z1267">
        <v>-2.603677E-3</v>
      </c>
      <c r="AA1267">
        <v>0.99859779999999998</v>
      </c>
      <c r="AB1267">
        <v>31</v>
      </c>
      <c r="AC1267">
        <v>0.60110000000000197</v>
      </c>
      <c r="AD1267">
        <v>-0.2662041</v>
      </c>
      <c r="AE1267">
        <v>-5.3600000000017099E-2</v>
      </c>
      <c r="AF1267">
        <v>3.4398638640622002E-2</v>
      </c>
      <c r="AG1267">
        <v>-0.2662041</v>
      </c>
      <c r="AH1267">
        <v>0.50401378446882905</v>
      </c>
      <c r="AI1267">
        <v>117.786650936481</v>
      </c>
      <c r="AJ1267">
        <v>86.095652010470502</v>
      </c>
      <c r="AK1267">
        <v>0.57103220936452403</v>
      </c>
      <c r="AL1267">
        <v>72.093220010668503</v>
      </c>
      <c r="AM1267">
        <v>90.081487787058705</v>
      </c>
      <c r="AN1267">
        <v>0.99999993235527496</v>
      </c>
    </row>
    <row r="1268" spans="1:40" x14ac:dyDescent="0.25">
      <c r="A1268" t="str">
        <f>"20190304164355008"</f>
        <v>20190304164355008</v>
      </c>
      <c r="B1268" t="str">
        <f>"1551689035001261"</f>
        <v>1551689035001261</v>
      </c>
      <c r="C1268" t="s">
        <v>40</v>
      </c>
      <c r="D1268">
        <v>5.0424329999999999</v>
      </c>
      <c r="E1268">
        <v>0.54587140000000001</v>
      </c>
      <c r="F1268" t="s">
        <v>41</v>
      </c>
      <c r="G1268">
        <v>-221.96350000000001</v>
      </c>
      <c r="H1268">
        <v>0.8067375</v>
      </c>
      <c r="I1268">
        <v>367.7747</v>
      </c>
      <c r="J1268">
        <v>-222.6584</v>
      </c>
      <c r="K1268">
        <v>1.1086400000000001</v>
      </c>
      <c r="L1268">
        <v>367.8372</v>
      </c>
      <c r="M1268">
        <v>0.99965029999999999</v>
      </c>
      <c r="N1268">
        <v>-1.4357119999999999E-2</v>
      </c>
      <c r="O1268">
        <v>-2.2207350000000001E-2</v>
      </c>
      <c r="P1268">
        <v>0.9556692</v>
      </c>
      <c r="Q1268">
        <v>0.29381210000000002</v>
      </c>
      <c r="R1268">
        <v>-1.9257679999999999E-2</v>
      </c>
      <c r="S1268">
        <v>3.5124970000000002</v>
      </c>
      <c r="T1268">
        <v>-1.23112</v>
      </c>
      <c r="U1268">
        <v>-0.27478029999999998</v>
      </c>
      <c r="V1268">
        <v>-4.181713E-4</v>
      </c>
      <c r="W1268">
        <v>0.30751089999999998</v>
      </c>
      <c r="X1268">
        <v>0.95154450000000002</v>
      </c>
      <c r="Y1268">
        <v>5.371745E-2</v>
      </c>
      <c r="Z1268">
        <v>-2.2903929999999999E-3</v>
      </c>
      <c r="AA1268">
        <v>0.99855360000000004</v>
      </c>
      <c r="AB1268">
        <v>31</v>
      </c>
      <c r="AC1268">
        <v>0.69489999999998897</v>
      </c>
      <c r="AD1268">
        <v>-0.30190250000000002</v>
      </c>
      <c r="AE1268">
        <v>-6.25E-2</v>
      </c>
      <c r="AF1268">
        <v>3.9630788264483803E-2</v>
      </c>
      <c r="AG1268">
        <v>-0.30190250000000002</v>
      </c>
      <c r="AH1268">
        <v>0.58633379903756599</v>
      </c>
      <c r="AI1268">
        <v>117.190768545442</v>
      </c>
      <c r="AJ1268">
        <v>86.133212037590994</v>
      </c>
      <c r="AK1268">
        <v>0.66068376911994697</v>
      </c>
      <c r="AL1268">
        <v>72.090710972185207</v>
      </c>
      <c r="AM1268">
        <v>90.025179536071093</v>
      </c>
      <c r="AN1268">
        <v>1.0000000319831399</v>
      </c>
    </row>
    <row r="1269" spans="1:40" x14ac:dyDescent="0.25">
      <c r="A1269" t="str">
        <f>"20190304164355019"</f>
        <v>20190304164355019</v>
      </c>
      <c r="B1269" t="str">
        <f>"1551689035011022"</f>
        <v>1551689035011022</v>
      </c>
      <c r="C1269" t="s">
        <v>40</v>
      </c>
      <c r="D1269">
        <v>5.0748949999999997</v>
      </c>
      <c r="E1269">
        <v>0.54587140000000001</v>
      </c>
      <c r="F1269" t="s">
        <v>41</v>
      </c>
      <c r="G1269">
        <v>-221.94290000000001</v>
      </c>
      <c r="H1269">
        <v>0.85806849999999901</v>
      </c>
      <c r="I1269">
        <v>367.77929999999998</v>
      </c>
      <c r="J1269">
        <v>-222.51050000000001</v>
      </c>
      <c r="K1269">
        <v>1.1086119999999999</v>
      </c>
      <c r="L1269">
        <v>367.83269999999999</v>
      </c>
      <c r="M1269">
        <v>0.99962110000000004</v>
      </c>
      <c r="N1269">
        <v>-1.435697E-2</v>
      </c>
      <c r="O1269">
        <v>-2.348391E-2</v>
      </c>
      <c r="P1269">
        <v>0.95555449999999997</v>
      </c>
      <c r="Q1269">
        <v>0.29404380000000002</v>
      </c>
      <c r="R1269">
        <v>-2.1309930000000001E-2</v>
      </c>
      <c r="S1269">
        <v>3.5114589999999901</v>
      </c>
      <c r="T1269">
        <v>-1.2295590000000001</v>
      </c>
      <c r="U1269">
        <v>-0.28402709999999998</v>
      </c>
      <c r="V1269">
        <v>4.3952649999999999E-4</v>
      </c>
      <c r="W1269">
        <v>0.30773779999999901</v>
      </c>
      <c r="X1269">
        <v>0.95147110000000001</v>
      </c>
      <c r="Y1269">
        <v>5.5068649999999997E-2</v>
      </c>
      <c r="Z1269">
        <v>-2.1128879999999998E-3</v>
      </c>
      <c r="AA1269">
        <v>0.99848029999999999</v>
      </c>
      <c r="AB1269">
        <v>31</v>
      </c>
      <c r="AC1269">
        <v>0.567599999999998</v>
      </c>
      <c r="AD1269">
        <v>-0.25054349999999997</v>
      </c>
      <c r="AE1269">
        <v>-5.3400000000010502E-2</v>
      </c>
      <c r="AF1269">
        <v>3.35708250405157E-2</v>
      </c>
      <c r="AG1269">
        <v>-0.25054349999999997</v>
      </c>
      <c r="AH1269">
        <v>0.47664261910137501</v>
      </c>
      <c r="AI1269">
        <v>117.669969523086</v>
      </c>
      <c r="AJ1269">
        <v>85.971204840288493</v>
      </c>
      <c r="AK1269">
        <v>0.53952500593574904</v>
      </c>
      <c r="AL1269">
        <v>72.0770474298957</v>
      </c>
      <c r="AM1269">
        <v>89.973532552231106</v>
      </c>
      <c r="AN1269">
        <v>1.0000000004337899</v>
      </c>
    </row>
    <row r="1270" spans="1:40" x14ac:dyDescent="0.25">
      <c r="A1270" t="str">
        <f>"20190304164355031"</f>
        <v>20190304164355031</v>
      </c>
      <c r="B1270" t="str">
        <f>"1551689035020782"</f>
        <v>1551689035020782</v>
      </c>
      <c r="C1270" t="s">
        <v>40</v>
      </c>
      <c r="D1270">
        <v>5.2475949999999996</v>
      </c>
      <c r="E1270">
        <v>0.57547939999999997</v>
      </c>
      <c r="F1270" t="s">
        <v>41</v>
      </c>
      <c r="G1270">
        <v>-221.6842</v>
      </c>
      <c r="H1270">
        <v>0.8193684</v>
      </c>
      <c r="I1270">
        <v>367.76409999999998</v>
      </c>
      <c r="J1270">
        <v>-222.34180000000001</v>
      </c>
      <c r="K1270">
        <v>1.108582</v>
      </c>
      <c r="L1270">
        <v>367.82729999999998</v>
      </c>
      <c r="M1270">
        <v>0.99958550000000002</v>
      </c>
      <c r="N1270">
        <v>-1.4356839999999999E-2</v>
      </c>
      <c r="O1270">
        <v>-2.4956039999999999E-2</v>
      </c>
      <c r="P1270">
        <v>0.95537380000000005</v>
      </c>
      <c r="Q1270">
        <v>0.29446539999999999</v>
      </c>
      <c r="R1270">
        <v>-2.347165E-2</v>
      </c>
      <c r="S1270">
        <v>3.5111690000000002</v>
      </c>
      <c r="T1270">
        <v>-1.228785</v>
      </c>
      <c r="U1270">
        <v>-0.29074100000000003</v>
      </c>
      <c r="V1270">
        <v>1.224943E-3</v>
      </c>
      <c r="W1270">
        <v>0.30815340000000002</v>
      </c>
      <c r="X1270">
        <v>0.95133590000000001</v>
      </c>
      <c r="Y1270">
        <v>5.5554069999999997E-2</v>
      </c>
      <c r="Z1270">
        <v>-1.719431E-3</v>
      </c>
      <c r="AA1270">
        <v>0.99845419999999996</v>
      </c>
      <c r="AB1270">
        <v>31</v>
      </c>
      <c r="AC1270">
        <v>0.65760000000000196</v>
      </c>
      <c r="AD1270">
        <v>-0.28921359999999902</v>
      </c>
      <c r="AE1270">
        <v>-6.3199999999994802E-2</v>
      </c>
      <c r="AF1270">
        <v>3.9245853661530203E-2</v>
      </c>
      <c r="AG1270">
        <v>-0.28921359999999902</v>
      </c>
      <c r="AH1270">
        <v>0.55298921719193495</v>
      </c>
      <c r="AI1270">
        <v>117.55052072802199</v>
      </c>
      <c r="AJ1270">
        <v>85.940503368321501</v>
      </c>
      <c r="AK1270">
        <v>0.62528538907056697</v>
      </c>
      <c r="AL1270">
        <v>72.052019135368397</v>
      </c>
      <c r="AM1270">
        <v>89.926225820703706</v>
      </c>
      <c r="AN1270">
        <v>1.00000000652286</v>
      </c>
    </row>
    <row r="1271" spans="1:40" x14ac:dyDescent="0.25">
      <c r="A1271" t="str">
        <f>"20190304164355044"</f>
        <v>20190304164355044</v>
      </c>
      <c r="B1271" t="str">
        <f>"1551689035041313"</f>
        <v>1551689035041313</v>
      </c>
      <c r="C1271" t="s">
        <v>40</v>
      </c>
      <c r="D1271">
        <v>5.0582279999999997</v>
      </c>
      <c r="E1271">
        <v>0.59215240000000002</v>
      </c>
      <c r="F1271" t="s">
        <v>41</v>
      </c>
      <c r="G1271">
        <v>-221.6258</v>
      </c>
      <c r="H1271">
        <v>0.95637680000000003</v>
      </c>
      <c r="I1271">
        <v>367.70530000000002</v>
      </c>
      <c r="J1271">
        <v>-222.18049999999999</v>
      </c>
      <c r="K1271">
        <v>1.1085510000000001</v>
      </c>
      <c r="L1271">
        <v>367.8218</v>
      </c>
      <c r="M1271">
        <v>0.99954869999999996</v>
      </c>
      <c r="N1271">
        <v>-1.435671E-2</v>
      </c>
      <c r="O1271">
        <v>-2.6389869999999999E-2</v>
      </c>
      <c r="P1271">
        <v>0.95518020000000003</v>
      </c>
      <c r="Q1271">
        <v>0.29493509999999901</v>
      </c>
      <c r="R1271">
        <v>-2.5385669999999999E-2</v>
      </c>
      <c r="S1271">
        <v>3.3453219999999999</v>
      </c>
      <c r="T1271">
        <v>-0.71108209999999905</v>
      </c>
      <c r="U1271">
        <v>-0.56890869999999905</v>
      </c>
      <c r="V1271">
        <v>1.798846E-3</v>
      </c>
      <c r="W1271">
        <v>0.3086179</v>
      </c>
      <c r="X1271">
        <v>0.95118440000000004</v>
      </c>
      <c r="Y1271">
        <v>0.1388489</v>
      </c>
      <c r="Z1271">
        <v>-1.037546E-2</v>
      </c>
      <c r="AA1271">
        <v>0.99025920000000001</v>
      </c>
      <c r="AB1271">
        <v>31</v>
      </c>
      <c r="AC1271">
        <v>0.55469999999999597</v>
      </c>
      <c r="AD1271">
        <v>-0.15217420000000001</v>
      </c>
      <c r="AE1271">
        <v>-0.116499999999973</v>
      </c>
      <c r="AF1271">
        <v>9.4973671914514404E-2</v>
      </c>
      <c r="AG1271">
        <v>-0.15217420000000001</v>
      </c>
      <c r="AH1271">
        <v>0.52009280941563696</v>
      </c>
      <c r="AI1271">
        <v>106.057448734941</v>
      </c>
      <c r="AJ1271">
        <v>79.651294337535703</v>
      </c>
      <c r="AK1271">
        <v>0.55015771912099498</v>
      </c>
      <c r="AL1271">
        <v>72.0240416058151</v>
      </c>
      <c r="AM1271">
        <v>89.891644395217099</v>
      </c>
      <c r="AN1271">
        <v>1.00000000342535</v>
      </c>
    </row>
    <row r="1272" spans="1:40" x14ac:dyDescent="0.25">
      <c r="A1272" t="str">
        <f>"20190304164355056"</f>
        <v>20190304164355056</v>
      </c>
      <c r="B1272" t="str">
        <f>"1551689035051073"</f>
        <v>1551689035051073</v>
      </c>
      <c r="C1272" t="s">
        <v>40</v>
      </c>
      <c r="D1272">
        <v>5.3152059999999999</v>
      </c>
      <c r="E1272">
        <v>0.59457190000000004</v>
      </c>
      <c r="F1272" t="s">
        <v>41</v>
      </c>
      <c r="G1272">
        <v>-221.34280000000001</v>
      </c>
      <c r="H1272">
        <v>0.97502109999999997</v>
      </c>
      <c r="I1272">
        <v>367.63760000000002</v>
      </c>
      <c r="J1272">
        <v>-222.0026</v>
      </c>
      <c r="K1272">
        <v>1.108517</v>
      </c>
      <c r="L1272">
        <v>367.81560000000002</v>
      </c>
      <c r="M1272">
        <v>0.99950539999999999</v>
      </c>
      <c r="N1272">
        <v>-1.4356529999999999E-2</v>
      </c>
      <c r="O1272">
        <v>-2.7984479999999999E-2</v>
      </c>
      <c r="P1272">
        <v>0.95515070000000002</v>
      </c>
      <c r="Q1272">
        <v>0.294854</v>
      </c>
      <c r="R1272">
        <v>-2.7363229999999999E-2</v>
      </c>
      <c r="S1272">
        <v>3.2832029999999999</v>
      </c>
      <c r="T1272">
        <v>-0.52341150000000003</v>
      </c>
      <c r="U1272">
        <v>-0.72134399999999999</v>
      </c>
      <c r="V1272">
        <v>2.2781759999999998E-3</v>
      </c>
      <c r="W1272">
        <v>0.30853439999999999</v>
      </c>
      <c r="X1272">
        <v>0.95121040000000001</v>
      </c>
      <c r="Y1272">
        <v>0.1850116</v>
      </c>
      <c r="Z1272">
        <v>-1.1854689999999999E-2</v>
      </c>
      <c r="AA1272">
        <v>0.9826648</v>
      </c>
      <c r="AB1272">
        <v>31</v>
      </c>
      <c r="AC1272">
        <v>0.65979999999998995</v>
      </c>
      <c r="AD1272">
        <v>-0.133495899999999</v>
      </c>
      <c r="AE1272">
        <v>-0.17799999999999699</v>
      </c>
      <c r="AF1272">
        <v>0.15360283702349101</v>
      </c>
      <c r="AG1272">
        <v>-0.133495899999999</v>
      </c>
      <c r="AH1272">
        <v>0.64009761777767404</v>
      </c>
      <c r="AI1272">
        <v>101.464009689539</v>
      </c>
      <c r="AJ1272">
        <v>76.506009491777107</v>
      </c>
      <c r="AK1272">
        <v>0.67166952226755705</v>
      </c>
      <c r="AL1272">
        <v>72.029070176686105</v>
      </c>
      <c r="AM1272">
        <v>89.862775238571004</v>
      </c>
      <c r="AN1272">
        <v>0.99999994556870198</v>
      </c>
    </row>
    <row r="1273" spans="1:40" x14ac:dyDescent="0.25">
      <c r="A1273" t="str">
        <f>"20190304164355070"</f>
        <v>20190304164355070</v>
      </c>
      <c r="B1273" t="str">
        <f>"1551689035060833"</f>
        <v>1551689035060833</v>
      </c>
      <c r="C1273" t="s">
        <v>40</v>
      </c>
      <c r="D1273">
        <v>5.4817839999999904</v>
      </c>
      <c r="E1273">
        <v>0.59460990000000002</v>
      </c>
      <c r="F1273" t="s">
        <v>41</v>
      </c>
      <c r="G1273">
        <v>-221.0727</v>
      </c>
      <c r="H1273">
        <v>0.96784340000000002</v>
      </c>
      <c r="I1273">
        <v>367.60239999999999</v>
      </c>
      <c r="J1273">
        <v>-221.80539999999999</v>
      </c>
      <c r="K1273">
        <v>1.108471</v>
      </c>
      <c r="L1273">
        <v>367.80829999999997</v>
      </c>
      <c r="M1273">
        <v>0.99945320000000004</v>
      </c>
      <c r="N1273">
        <v>-1.435646E-2</v>
      </c>
      <c r="O1273">
        <v>-2.978724E-2</v>
      </c>
      <c r="P1273">
        <v>0.95504540000000004</v>
      </c>
      <c r="Q1273">
        <v>0.29492040000000003</v>
      </c>
      <c r="R1273">
        <v>-3.0173769999999999E-2</v>
      </c>
      <c r="S1273">
        <v>3.2722470000000001</v>
      </c>
      <c r="T1273">
        <v>-0.495091</v>
      </c>
      <c r="U1273">
        <v>-0.74954219999999905</v>
      </c>
      <c r="V1273">
        <v>3.3982230000000001E-3</v>
      </c>
      <c r="W1273">
        <v>0.30859379999999997</v>
      </c>
      <c r="X1273">
        <v>0.95118780000000003</v>
      </c>
      <c r="Y1273">
        <v>0.19212170000000001</v>
      </c>
      <c r="Z1273">
        <v>-1.1674769999999999E-2</v>
      </c>
      <c r="AA1273">
        <v>0.98130170000000005</v>
      </c>
      <c r="AB1273">
        <v>31</v>
      </c>
      <c r="AC1273">
        <v>0.73269999999999402</v>
      </c>
      <c r="AD1273">
        <v>-0.14062759999999899</v>
      </c>
      <c r="AE1273">
        <v>-0.20589999999998501</v>
      </c>
      <c r="AF1273">
        <v>0.177907277980458</v>
      </c>
      <c r="AG1273">
        <v>-0.14062759999999899</v>
      </c>
      <c r="AH1273">
        <v>0.71412742244025096</v>
      </c>
      <c r="AI1273">
        <v>100.817785380598</v>
      </c>
      <c r="AJ1273">
        <v>76.010929553380905</v>
      </c>
      <c r="AK1273">
        <v>0.749269709064321</v>
      </c>
      <c r="AL1273">
        <v>72.025492411009296</v>
      </c>
      <c r="AM1273">
        <v>89.795305398807201</v>
      </c>
      <c r="AN1273">
        <v>0.99999995609341696</v>
      </c>
    </row>
    <row r="1274" spans="1:40" x14ac:dyDescent="0.25">
      <c r="A1274" t="str">
        <f>"20190304164355084"</f>
        <v>20190304164355084</v>
      </c>
      <c r="B1274" t="str">
        <f>"1551689035081328"</f>
        <v>1551689035081328</v>
      </c>
      <c r="C1274" t="s">
        <v>40</v>
      </c>
      <c r="D1274">
        <v>5.4291679999999998</v>
      </c>
      <c r="E1274">
        <v>0.59467230000000004</v>
      </c>
      <c r="F1274" t="s">
        <v>41</v>
      </c>
      <c r="G1274">
        <v>-221.05869999999999</v>
      </c>
      <c r="H1274">
        <v>0.99737690000000001</v>
      </c>
      <c r="I1274">
        <v>367.6343</v>
      </c>
      <c r="J1274">
        <v>-221.63130000000001</v>
      </c>
      <c r="K1274">
        <v>1.1084339999999999</v>
      </c>
      <c r="L1274">
        <v>367.8014</v>
      </c>
      <c r="M1274">
        <v>0.99940359999999995</v>
      </c>
      <c r="N1274">
        <v>-1.4356600000000001E-2</v>
      </c>
      <c r="O1274">
        <v>-3.1409430000000002E-2</v>
      </c>
      <c r="P1274">
        <v>0.95492489999999997</v>
      </c>
      <c r="Q1274">
        <v>0.29510110000000001</v>
      </c>
      <c r="R1274">
        <v>-3.2155459999999997E-2</v>
      </c>
      <c r="S1274">
        <v>3.2673489999999998</v>
      </c>
      <c r="T1274">
        <v>-0.48620590000000002</v>
      </c>
      <c r="U1274">
        <v>-0.76025390000000004</v>
      </c>
      <c r="V1274">
        <v>3.8605480000000001E-3</v>
      </c>
      <c r="W1274">
        <v>0.30877110000000002</v>
      </c>
      <c r="X1274">
        <v>0.95112850000000004</v>
      </c>
      <c r="Y1274">
        <v>0.1939594</v>
      </c>
      <c r="Z1274">
        <v>-1.144478E-2</v>
      </c>
      <c r="AA1274">
        <v>0.9809428</v>
      </c>
      <c r="AB1274">
        <v>31</v>
      </c>
      <c r="AC1274">
        <v>0.57260000000002198</v>
      </c>
      <c r="AD1274">
        <v>-0.11105709999999901</v>
      </c>
      <c r="AE1274">
        <v>-0.167100000000004</v>
      </c>
      <c r="AF1274">
        <v>0.14403753932390501</v>
      </c>
      <c r="AG1274">
        <v>-0.11105709999999901</v>
      </c>
      <c r="AH1274">
        <v>0.558215757732198</v>
      </c>
      <c r="AI1274">
        <v>100.903909831109</v>
      </c>
      <c r="AJ1274">
        <v>75.531451573096604</v>
      </c>
      <c r="AK1274">
        <v>0.58709907543397399</v>
      </c>
      <c r="AL1274">
        <v>72.014812375922304</v>
      </c>
      <c r="AM1274">
        <v>89.767442682752701</v>
      </c>
      <c r="AN1274">
        <v>0.99999995976915901</v>
      </c>
    </row>
    <row r="1275" spans="1:40" x14ac:dyDescent="0.25">
      <c r="A1275" t="str">
        <f>"20190304164355095"</f>
        <v>20190304164355095</v>
      </c>
      <c r="B1275" t="str">
        <f>"1551689035091089"</f>
        <v>1551689035091089</v>
      </c>
      <c r="C1275" t="s">
        <v>40</v>
      </c>
      <c r="D1275">
        <v>5.412687</v>
      </c>
      <c r="E1275">
        <v>0.59451739999999997</v>
      </c>
      <c r="F1275" t="s">
        <v>41</v>
      </c>
      <c r="G1275">
        <v>-220.7919</v>
      </c>
      <c r="H1275">
        <v>0.98445309999999997</v>
      </c>
      <c r="I1275">
        <v>367.60390000000001</v>
      </c>
      <c r="J1275">
        <v>-221.46899999999999</v>
      </c>
      <c r="K1275">
        <v>1.1083989999999999</v>
      </c>
      <c r="L1275">
        <v>367.79489999999998</v>
      </c>
      <c r="M1275">
        <v>0.99935439999999998</v>
      </c>
      <c r="N1275">
        <v>-1.435675E-2</v>
      </c>
      <c r="O1275">
        <v>-3.293658E-2</v>
      </c>
      <c r="P1275">
        <v>0.95473620000000003</v>
      </c>
      <c r="Q1275">
        <v>0.29548190000000002</v>
      </c>
      <c r="R1275">
        <v>-3.4196879999999999E-2</v>
      </c>
      <c r="S1275">
        <v>3.2647710000000001</v>
      </c>
      <c r="T1275">
        <v>-0.4822806</v>
      </c>
      <c r="U1275">
        <v>-0.76797490000000002</v>
      </c>
      <c r="V1275">
        <v>4.4753040000000003E-3</v>
      </c>
      <c r="W1275">
        <v>0.3091467</v>
      </c>
      <c r="X1275">
        <v>0.95100379999999995</v>
      </c>
      <c r="Y1275">
        <v>0.1948617</v>
      </c>
      <c r="Z1275">
        <v>-1.124589E-2</v>
      </c>
      <c r="AA1275">
        <v>0.98076620000000003</v>
      </c>
      <c r="AB1275">
        <v>31</v>
      </c>
      <c r="AC1275">
        <v>0.67710000000002402</v>
      </c>
      <c r="AD1275">
        <v>-0.1239459</v>
      </c>
      <c r="AE1275">
        <v>-0.190999999999974</v>
      </c>
      <c r="AF1275">
        <v>0.16351728998007101</v>
      </c>
      <c r="AG1275">
        <v>-0.1239459</v>
      </c>
      <c r="AH1275">
        <v>0.66246196978698102</v>
      </c>
      <c r="AI1275">
        <v>100.295360337228</v>
      </c>
      <c r="AJ1275">
        <v>76.1346803646436</v>
      </c>
      <c r="AK1275">
        <v>0.69351016695019296</v>
      </c>
      <c r="AL1275">
        <v>71.992185219430795</v>
      </c>
      <c r="AM1275">
        <v>89.7303752745634</v>
      </c>
      <c r="AN1275">
        <v>0.99999996904060995</v>
      </c>
    </row>
    <row r="1276" spans="1:40" x14ac:dyDescent="0.25">
      <c r="A1276" t="str">
        <f>"20190304164355107"</f>
        <v>20190304164355107</v>
      </c>
      <c r="B1276" t="str">
        <f>"1551689035100850"</f>
        <v>1551689035100850</v>
      </c>
      <c r="C1276" t="s">
        <v>40</v>
      </c>
      <c r="D1276">
        <v>5.4360589999999904</v>
      </c>
      <c r="E1276">
        <v>0.5942518</v>
      </c>
      <c r="F1276" t="s">
        <v>41</v>
      </c>
      <c r="G1276">
        <v>-220.5266</v>
      </c>
      <c r="H1276">
        <v>0.96904120000000005</v>
      </c>
      <c r="I1276">
        <v>367.57100000000003</v>
      </c>
      <c r="J1276">
        <v>-221.3038</v>
      </c>
      <c r="K1276">
        <v>1.1083590000000001</v>
      </c>
      <c r="L1276">
        <v>367.7878</v>
      </c>
      <c r="M1276">
        <v>0.99930039999999998</v>
      </c>
      <c r="N1276">
        <v>-1.435704E-2</v>
      </c>
      <c r="O1276">
        <v>-3.4532739999999999E-2</v>
      </c>
      <c r="P1276">
        <v>0.95455210000000001</v>
      </c>
      <c r="Q1276">
        <v>0.29585149999999999</v>
      </c>
      <c r="R1276">
        <v>-3.608252E-2</v>
      </c>
      <c r="S1276">
        <v>3.263916</v>
      </c>
      <c r="T1276">
        <v>-0.4827149</v>
      </c>
      <c r="U1276">
        <v>-0.77374270000000001</v>
      </c>
      <c r="V1276">
        <v>4.8723789999999996E-3</v>
      </c>
      <c r="W1276">
        <v>0.30951260000000003</v>
      </c>
      <c r="X1276">
        <v>0.95088289999999998</v>
      </c>
      <c r="Y1276">
        <v>0.19500310000000001</v>
      </c>
      <c r="Z1276">
        <v>-1.10578E-2</v>
      </c>
      <c r="AA1276">
        <v>0.98074030000000001</v>
      </c>
      <c r="AB1276">
        <v>30</v>
      </c>
      <c r="AC1276">
        <v>0.77719999999999301</v>
      </c>
      <c r="AD1276">
        <v>-0.13931779999999999</v>
      </c>
      <c r="AE1276">
        <v>-0.21680000000003399</v>
      </c>
      <c r="AF1276">
        <v>0.18433353716484999</v>
      </c>
      <c r="AG1276">
        <v>-0.13931779999999999</v>
      </c>
      <c r="AH1276">
        <v>0.76152069008742995</v>
      </c>
      <c r="AI1276">
        <v>100.082483609959</v>
      </c>
      <c r="AJ1276">
        <v>76.392729371391496</v>
      </c>
      <c r="AK1276">
        <v>0.79580277943205302</v>
      </c>
      <c r="AL1276">
        <v>71.970140770911996</v>
      </c>
      <c r="AM1276">
        <v>89.706415679930601</v>
      </c>
      <c r="AN1276">
        <v>1.00000003957414</v>
      </c>
    </row>
    <row r="1277" spans="1:40" x14ac:dyDescent="0.25">
      <c r="A1277" t="str">
        <f>"20190304164355120"</f>
        <v>20190304164355120</v>
      </c>
      <c r="B1277" t="str">
        <f>"1551689035110609"</f>
        <v>1551689035110609</v>
      </c>
      <c r="C1277" t="s">
        <v>40</v>
      </c>
      <c r="D1277">
        <v>5.4042379999999897</v>
      </c>
      <c r="E1277">
        <v>0.59404419999999902</v>
      </c>
      <c r="F1277" t="s">
        <v>41</v>
      </c>
      <c r="G1277">
        <v>-220.51589999999999</v>
      </c>
      <c r="H1277">
        <v>0.99142549999999996</v>
      </c>
      <c r="I1277">
        <v>367.59949999999998</v>
      </c>
      <c r="J1277">
        <v>-221.12780000000001</v>
      </c>
      <c r="K1277">
        <v>1.1083160000000001</v>
      </c>
      <c r="L1277">
        <v>367.78</v>
      </c>
      <c r="M1277">
        <v>0.9992394</v>
      </c>
      <c r="N1277">
        <v>-1.435755E-2</v>
      </c>
      <c r="O1277">
        <v>-3.6259189999999997E-2</v>
      </c>
      <c r="P1277">
        <v>0.95444289999999998</v>
      </c>
      <c r="Q1277">
        <v>0.2958982</v>
      </c>
      <c r="R1277">
        <v>-3.851429E-2</v>
      </c>
      <c r="S1277">
        <v>3.2635649999999998</v>
      </c>
      <c r="T1277">
        <v>-0.4844408</v>
      </c>
      <c r="U1277">
        <v>-0.7780762</v>
      </c>
      <c r="V1277">
        <v>5.6891390000000002E-3</v>
      </c>
      <c r="W1277">
        <v>0.30955429999999901</v>
      </c>
      <c r="X1277">
        <v>0.95086470000000001</v>
      </c>
      <c r="Y1277">
        <v>0.19457269999999999</v>
      </c>
      <c r="Z1277">
        <v>-1.0829139999999999E-2</v>
      </c>
      <c r="AA1277">
        <v>0.98082829999999999</v>
      </c>
      <c r="AB1277">
        <v>30</v>
      </c>
      <c r="AC1277">
        <v>0.61190000000001898</v>
      </c>
      <c r="AD1277">
        <v>-0.11689049999999999</v>
      </c>
      <c r="AE1277">
        <v>-0.180499999999995</v>
      </c>
      <c r="AF1277">
        <v>0.15305385498832799</v>
      </c>
      <c r="AG1277">
        <v>-0.11689049999999999</v>
      </c>
      <c r="AH1277">
        <v>0.59796869754215398</v>
      </c>
      <c r="AI1277">
        <v>100.72336758562</v>
      </c>
      <c r="AJ1277">
        <v>75.643013339217504</v>
      </c>
      <c r="AK1277">
        <v>0.62821607330384199</v>
      </c>
      <c r="AL1277">
        <v>71.967626547947404</v>
      </c>
      <c r="AM1277">
        <v>89.657196482044995</v>
      </c>
      <c r="AN1277">
        <v>0.99999995432856903</v>
      </c>
    </row>
    <row r="1278" spans="1:40" x14ac:dyDescent="0.25">
      <c r="A1278" t="str">
        <f>"20190304164355135"</f>
        <v>20190304164355135</v>
      </c>
      <c r="B1278" t="str">
        <f>"1551689035131105"</f>
        <v>1551689035131105</v>
      </c>
      <c r="C1278" t="s">
        <v>40</v>
      </c>
      <c r="D1278">
        <v>5.4142619999999999</v>
      </c>
      <c r="E1278">
        <v>0.59376149999999905</v>
      </c>
      <c r="F1278" t="s">
        <v>41</v>
      </c>
      <c r="G1278">
        <v>-220.25049999999999</v>
      </c>
      <c r="H1278">
        <v>0.97716720000000001</v>
      </c>
      <c r="I1278">
        <v>367.56880000000001</v>
      </c>
      <c r="J1278">
        <v>-220.94139999999999</v>
      </c>
      <c r="K1278">
        <v>1.108268</v>
      </c>
      <c r="L1278">
        <v>367.7715</v>
      </c>
      <c r="M1278">
        <v>0.99917009999999995</v>
      </c>
      <c r="N1278">
        <v>-1.4358269999999999E-2</v>
      </c>
      <c r="O1278">
        <v>-3.8117819999999997E-2</v>
      </c>
      <c r="P1278">
        <v>0.9542022</v>
      </c>
      <c r="Q1278">
        <v>0.29632269999999999</v>
      </c>
      <c r="R1278">
        <v>-4.1120619999999997E-2</v>
      </c>
      <c r="S1278">
        <v>3.2627410000000001</v>
      </c>
      <c r="T1278">
        <v>-0.48771520000000002</v>
      </c>
      <c r="U1278">
        <v>-0.78436280000000003</v>
      </c>
      <c r="V1278">
        <v>6.5646569999999998E-3</v>
      </c>
      <c r="W1278">
        <v>0.30997190000000002</v>
      </c>
      <c r="X1278">
        <v>0.95072310000000004</v>
      </c>
      <c r="Y1278">
        <v>0.19458420000000001</v>
      </c>
      <c r="Z1278">
        <v>-1.06447E-2</v>
      </c>
      <c r="AA1278">
        <v>0.98082800000000003</v>
      </c>
      <c r="AB1278">
        <v>30</v>
      </c>
      <c r="AC1278">
        <v>0.69089999999999896</v>
      </c>
      <c r="AD1278">
        <v>-0.13110079999999999</v>
      </c>
      <c r="AE1278">
        <v>-0.202699999999993</v>
      </c>
      <c r="AF1278">
        <v>0.17055980262359499</v>
      </c>
      <c r="AG1278">
        <v>-0.13110079999999999</v>
      </c>
      <c r="AH1278">
        <v>0.67572294364771701</v>
      </c>
      <c r="AI1278">
        <v>100.65372464236501</v>
      </c>
      <c r="AJ1278">
        <v>75.833824309988302</v>
      </c>
      <c r="AK1278">
        <v>0.70914001621934697</v>
      </c>
      <c r="AL1278">
        <v>71.942463743784501</v>
      </c>
      <c r="AM1278">
        <v>89.604384112906402</v>
      </c>
      <c r="AN1278">
        <v>1.0000000431923699</v>
      </c>
    </row>
    <row r="1279" spans="1:40" x14ac:dyDescent="0.25">
      <c r="A1279" t="str">
        <f>"20190304164355148"</f>
        <v>20190304164355148</v>
      </c>
      <c r="B1279" t="str">
        <f>"1551689035140865"</f>
        <v>1551689035140865</v>
      </c>
      <c r="C1279" t="s">
        <v>40</v>
      </c>
      <c r="D1279">
        <v>5.390879</v>
      </c>
      <c r="E1279">
        <v>0.5935802</v>
      </c>
      <c r="F1279" t="s">
        <v>41</v>
      </c>
      <c r="G1279">
        <v>-219.9847</v>
      </c>
      <c r="H1279">
        <v>0.96408930000000004</v>
      </c>
      <c r="I1279">
        <v>367.53969999999998</v>
      </c>
      <c r="J1279">
        <v>-220.7362</v>
      </c>
      <c r="K1279">
        <v>1.108214</v>
      </c>
      <c r="L1279">
        <v>367.76150000000001</v>
      </c>
      <c r="M1279">
        <v>0.99908719999999995</v>
      </c>
      <c r="N1279">
        <v>-1.435931E-2</v>
      </c>
      <c r="O1279">
        <v>-4.0232169999999998E-2</v>
      </c>
      <c r="P1279">
        <v>0.95408369999999998</v>
      </c>
      <c r="Q1279">
        <v>0.29626809999999998</v>
      </c>
      <c r="R1279">
        <v>-4.4154619999999999E-2</v>
      </c>
      <c r="S1279">
        <v>3.2626499999999998</v>
      </c>
      <c r="T1279">
        <v>-0.4917629</v>
      </c>
      <c r="U1279">
        <v>-0.79006960000000004</v>
      </c>
      <c r="V1279">
        <v>7.6229679999999999E-3</v>
      </c>
      <c r="W1279">
        <v>0.30991109999999999</v>
      </c>
      <c r="X1279">
        <v>0.950735</v>
      </c>
      <c r="Y1279">
        <v>0.19413179999999999</v>
      </c>
      <c r="Z1279">
        <v>-1.0396509999999999E-2</v>
      </c>
      <c r="AA1279">
        <v>0.98092040000000003</v>
      </c>
      <c r="AB1279">
        <v>30</v>
      </c>
      <c r="AC1279">
        <v>0.75149999999999195</v>
      </c>
      <c r="AD1279">
        <v>-0.14412469999999999</v>
      </c>
      <c r="AE1279">
        <v>-0.22180000000003</v>
      </c>
      <c r="AF1279">
        <v>0.18511956814191799</v>
      </c>
      <c r="AG1279">
        <v>-0.14412469999999999</v>
      </c>
      <c r="AH1279">
        <v>0.73494998934754796</v>
      </c>
      <c r="AI1279">
        <v>100.766916216868</v>
      </c>
      <c r="AJ1279">
        <v>75.862394892697694</v>
      </c>
      <c r="AK1279">
        <v>0.77148731065462195</v>
      </c>
      <c r="AL1279">
        <v>71.946127323846895</v>
      </c>
      <c r="AM1279">
        <v>89.540613804498605</v>
      </c>
      <c r="AN1279">
        <v>1.0000000198846599</v>
      </c>
    </row>
    <row r="1280" spans="1:40" x14ac:dyDescent="0.25">
      <c r="A1280" t="str">
        <f>"20190304164355161"</f>
        <v>20190304164355161</v>
      </c>
      <c r="B1280" t="str">
        <f>"1551689035151602"</f>
        <v>1551689035151602</v>
      </c>
      <c r="C1280" t="s">
        <v>40</v>
      </c>
      <c r="D1280">
        <v>5.4018280000000001</v>
      </c>
      <c r="E1280">
        <v>0.59348590000000001</v>
      </c>
      <c r="F1280" t="s">
        <v>41</v>
      </c>
      <c r="G1280">
        <v>-219.97120000000001</v>
      </c>
      <c r="H1280">
        <v>0.9921082</v>
      </c>
      <c r="I1280">
        <v>367.57400000000001</v>
      </c>
      <c r="J1280">
        <v>-220.57730000000001</v>
      </c>
      <c r="K1280">
        <v>1.108169</v>
      </c>
      <c r="L1280">
        <v>367.7534</v>
      </c>
      <c r="M1280">
        <v>0.99901850000000003</v>
      </c>
      <c r="N1280">
        <v>-1.436018E-2</v>
      </c>
      <c r="O1280">
        <v>-4.1902799999999997E-2</v>
      </c>
      <c r="P1280">
        <v>0.95362829999999998</v>
      </c>
      <c r="Q1280">
        <v>0.2971472</v>
      </c>
      <c r="R1280">
        <v>-4.792503E-2</v>
      </c>
      <c r="S1280">
        <v>3.2611080000000001</v>
      </c>
      <c r="T1280">
        <v>-0.49495020000000001</v>
      </c>
      <c r="U1280">
        <v>-0.7986145</v>
      </c>
      <c r="V1280">
        <v>9.8520670000000008E-3</v>
      </c>
      <c r="W1280">
        <v>0.3107724</v>
      </c>
      <c r="X1280">
        <v>0.95043330000000004</v>
      </c>
      <c r="Y1280">
        <v>0.1950055</v>
      </c>
      <c r="Z1280">
        <v>-1.029948E-2</v>
      </c>
      <c r="AA1280">
        <v>0.98074810000000001</v>
      </c>
      <c r="AB1280">
        <v>30</v>
      </c>
      <c r="AC1280">
        <v>0.60609999999999697</v>
      </c>
      <c r="AD1280">
        <v>-0.11606079999999901</v>
      </c>
      <c r="AE1280">
        <v>-0.17939999999998599</v>
      </c>
      <c r="AF1280">
        <v>0.14882501958337599</v>
      </c>
      <c r="AG1280">
        <v>-0.11606079999999901</v>
      </c>
      <c r="AH1280">
        <v>0.59309029127666801</v>
      </c>
      <c r="AI1280">
        <v>100.747117714979</v>
      </c>
      <c r="AJ1280">
        <v>75.9135375358224</v>
      </c>
      <c r="AK1280">
        <v>0.622394641170114</v>
      </c>
      <c r="AL1280">
        <v>71.894214995035</v>
      </c>
      <c r="AM1280">
        <v>89.406100731327498</v>
      </c>
      <c r="AN1280">
        <v>1.0000000027874101</v>
      </c>
    </row>
    <row r="1281" spans="1:40" x14ac:dyDescent="0.25">
      <c r="A1281" t="str">
        <f>"20190304164355174"</f>
        <v>20190304164355174</v>
      </c>
      <c r="B1281" t="str">
        <f>"1551689035171121"</f>
        <v>1551689035171121</v>
      </c>
      <c r="C1281" t="s">
        <v>40</v>
      </c>
      <c r="D1281">
        <v>5.4149240000000001</v>
      </c>
      <c r="E1281">
        <v>0.59313990000000005</v>
      </c>
      <c r="F1281" t="s">
        <v>41</v>
      </c>
      <c r="G1281">
        <v>-219.7073</v>
      </c>
      <c r="H1281">
        <v>0.97643420000000003</v>
      </c>
      <c r="I1281">
        <v>367.53699999999998</v>
      </c>
      <c r="J1281">
        <v>-220.39959999999999</v>
      </c>
      <c r="K1281">
        <v>1.108123</v>
      </c>
      <c r="L1281">
        <v>367.7441</v>
      </c>
      <c r="M1281">
        <v>0.99893750000000003</v>
      </c>
      <c r="N1281">
        <v>-1.436112E-2</v>
      </c>
      <c r="O1281">
        <v>-4.3794819999999998E-2</v>
      </c>
      <c r="P1281">
        <v>0.9534125</v>
      </c>
      <c r="Q1281">
        <v>0.29732609999999998</v>
      </c>
      <c r="R1281">
        <v>-5.1014150000000001E-2</v>
      </c>
      <c r="S1281">
        <v>3.2589570000000001</v>
      </c>
      <c r="T1281">
        <v>-0.49349929999999997</v>
      </c>
      <c r="U1281">
        <v>-0.81002810000000003</v>
      </c>
      <c r="V1281">
        <v>1.117958E-2</v>
      </c>
      <c r="W1281">
        <v>0.31094189999999999</v>
      </c>
      <c r="X1281">
        <v>0.95036319999999996</v>
      </c>
      <c r="Y1281">
        <v>0.1965442</v>
      </c>
      <c r="Z1281">
        <v>-1.0150299999999999E-2</v>
      </c>
      <c r="AA1281">
        <v>0.98044240000000005</v>
      </c>
      <c r="AB1281">
        <v>30</v>
      </c>
      <c r="AC1281">
        <v>0.69229999999998804</v>
      </c>
      <c r="AD1281">
        <v>-0.13168879999999999</v>
      </c>
      <c r="AE1281">
        <v>-0.20710000000002499</v>
      </c>
      <c r="AF1281">
        <v>0.170903065975717</v>
      </c>
      <c r="AG1281">
        <v>-0.13168879999999999</v>
      </c>
      <c r="AH1281">
        <v>0.67818312428063798</v>
      </c>
      <c r="AI1281">
        <v>100.66349304163199</v>
      </c>
      <c r="AJ1281">
        <v>75.855883532040195</v>
      </c>
      <c r="AK1281">
        <v>0.71167559187061302</v>
      </c>
      <c r="AL1281">
        <v>71.8839976442802</v>
      </c>
      <c r="AM1281">
        <v>89.326033239516406</v>
      </c>
      <c r="AN1281">
        <v>1.0000000300494101</v>
      </c>
    </row>
    <row r="1282" spans="1:40" x14ac:dyDescent="0.25">
      <c r="A1282" t="str">
        <f>"20190304164355185"</f>
        <v>20190304164355185</v>
      </c>
      <c r="B1282" t="str">
        <f>"1551689035180881"</f>
        <v>1551689035180881</v>
      </c>
      <c r="C1282" t="s">
        <v>40</v>
      </c>
      <c r="D1282">
        <v>5.4243730000000001</v>
      </c>
      <c r="E1282">
        <v>0.592898699999999</v>
      </c>
      <c r="F1282" t="s">
        <v>41</v>
      </c>
      <c r="G1282">
        <v>-219.44309999999999</v>
      </c>
      <c r="H1282">
        <v>0.96174300000000001</v>
      </c>
      <c r="I1282">
        <v>367.50409999999999</v>
      </c>
      <c r="J1282">
        <v>-220.23679999999999</v>
      </c>
      <c r="K1282">
        <v>1.108074</v>
      </c>
      <c r="L1282">
        <v>367.73509999999999</v>
      </c>
      <c r="M1282">
        <v>0.99885699999999999</v>
      </c>
      <c r="N1282">
        <v>-1.436226E-2</v>
      </c>
      <c r="O1282">
        <v>-4.5591569999999998E-2</v>
      </c>
      <c r="P1282">
        <v>0.95320269999999996</v>
      </c>
      <c r="Q1282">
        <v>0.2975332</v>
      </c>
      <c r="R1282">
        <v>-5.3655849999999998E-2</v>
      </c>
      <c r="S1282">
        <v>3.258362</v>
      </c>
      <c r="T1282">
        <v>-0.49867509999999998</v>
      </c>
      <c r="U1282">
        <v>-0.81741330000000001</v>
      </c>
      <c r="V1282">
        <v>1.215025E-2</v>
      </c>
      <c r="W1282">
        <v>0.31114130000000001</v>
      </c>
      <c r="X1282">
        <v>0.95028599999999996</v>
      </c>
      <c r="Y1282">
        <v>0.19689010000000001</v>
      </c>
      <c r="Z1282">
        <v>-1.001954E-2</v>
      </c>
      <c r="AA1282">
        <v>0.98037430000000003</v>
      </c>
      <c r="AB1282">
        <v>30</v>
      </c>
      <c r="AC1282">
        <v>0.79370000000000096</v>
      </c>
      <c r="AD1282">
        <v>-0.14633099999999999</v>
      </c>
      <c r="AE1282">
        <v>-0.23099999999999399</v>
      </c>
      <c r="AF1282">
        <v>0.188658136267018</v>
      </c>
      <c r="AG1282">
        <v>-0.14633099999999999</v>
      </c>
      <c r="AH1282">
        <v>0.77899636397289596</v>
      </c>
      <c r="AI1282">
        <v>100.346420936952</v>
      </c>
      <c r="AJ1282">
        <v>76.386167804475505</v>
      </c>
      <c r="AK1282">
        <v>0.81476376270900597</v>
      </c>
      <c r="AL1282">
        <v>71.871976190682204</v>
      </c>
      <c r="AM1282">
        <v>89.267462518623702</v>
      </c>
      <c r="AN1282">
        <v>1.0000000094683701</v>
      </c>
    </row>
    <row r="1283" spans="1:40" x14ac:dyDescent="0.25">
      <c r="A1283" t="str">
        <f>"20190304164355197"</f>
        <v>20190304164355197</v>
      </c>
      <c r="B1283" t="str">
        <f>"1551689035191619"</f>
        <v>1551689035191619</v>
      </c>
      <c r="C1283" t="s">
        <v>40</v>
      </c>
      <c r="D1283">
        <v>5.4309960000000004</v>
      </c>
      <c r="E1283">
        <v>0.59269680000000002</v>
      </c>
      <c r="F1283" t="s">
        <v>41</v>
      </c>
      <c r="G1283">
        <v>-219.4323</v>
      </c>
      <c r="H1283">
        <v>0.98416570000000003</v>
      </c>
      <c r="I1283">
        <v>367.53140000000002</v>
      </c>
      <c r="J1283">
        <v>-220.08080000000001</v>
      </c>
      <c r="K1283">
        <v>1.1080289999999999</v>
      </c>
      <c r="L1283">
        <v>367.72629999999998</v>
      </c>
      <c r="M1283">
        <v>0.99877609999999994</v>
      </c>
      <c r="N1283">
        <v>-1.4363320000000001E-2</v>
      </c>
      <c r="O1283">
        <v>-4.7330949999999997E-2</v>
      </c>
      <c r="P1283">
        <v>0.95296970000000003</v>
      </c>
      <c r="Q1283">
        <v>0.29776049999999998</v>
      </c>
      <c r="R1283">
        <v>-5.6460610000000001E-2</v>
      </c>
      <c r="S1283">
        <v>3.2574619999999999</v>
      </c>
      <c r="T1283">
        <v>-0.5016642</v>
      </c>
      <c r="U1283">
        <v>-0.82431030000000005</v>
      </c>
      <c r="V1283">
        <v>1.3338529999999999E-2</v>
      </c>
      <c r="W1283">
        <v>0.31135930000000001</v>
      </c>
      <c r="X1283">
        <v>0.95019869999999995</v>
      </c>
      <c r="Y1283">
        <v>0.19719010000000001</v>
      </c>
      <c r="Z1283">
        <v>-9.8552699999999993E-3</v>
      </c>
      <c r="AA1283">
        <v>0.98031570000000001</v>
      </c>
      <c r="AB1283">
        <v>30</v>
      </c>
      <c r="AC1283">
        <v>0.64850000000001196</v>
      </c>
      <c r="AD1283">
        <v>-0.1238633</v>
      </c>
      <c r="AE1283">
        <v>-0.19489999999996099</v>
      </c>
      <c r="AF1283">
        <v>0.15867516614435401</v>
      </c>
      <c r="AG1283">
        <v>-0.1238633</v>
      </c>
      <c r="AH1283">
        <v>0.63572813583863996</v>
      </c>
      <c r="AI1283">
        <v>100.70473289994401</v>
      </c>
      <c r="AJ1283">
        <v>75.985547334494498</v>
      </c>
      <c r="AK1283">
        <v>0.66683595294097697</v>
      </c>
      <c r="AL1283">
        <v>71.858833611429205</v>
      </c>
      <c r="AM1283">
        <v>89.195756339504499</v>
      </c>
      <c r="AN1283">
        <v>1.0000000497803601</v>
      </c>
    </row>
    <row r="1284" spans="1:40" x14ac:dyDescent="0.25">
      <c r="A1284" t="str">
        <f>"20190304164355208"</f>
        <v>20190304164355208</v>
      </c>
      <c r="B1284" t="str">
        <f>"1551689035201377"</f>
        <v>1551689035201377</v>
      </c>
      <c r="C1284" t="s">
        <v>40</v>
      </c>
      <c r="D1284">
        <v>5.3876299999999997</v>
      </c>
      <c r="E1284">
        <v>0.59255419999999903</v>
      </c>
      <c r="F1284" t="s">
        <v>41</v>
      </c>
      <c r="G1284">
        <v>-219.16980000000001</v>
      </c>
      <c r="H1284">
        <v>0.96704590000000001</v>
      </c>
      <c r="I1284">
        <v>367.49369999999999</v>
      </c>
      <c r="J1284">
        <v>-219.9288</v>
      </c>
      <c r="K1284">
        <v>1.1079859999999999</v>
      </c>
      <c r="L1284">
        <v>367.7174</v>
      </c>
      <c r="M1284">
        <v>0.99869240000000004</v>
      </c>
      <c r="N1284">
        <v>-1.436452E-2</v>
      </c>
      <c r="O1284">
        <v>-4.906398E-2</v>
      </c>
      <c r="P1284">
        <v>0.95273989999999997</v>
      </c>
      <c r="Q1284">
        <v>0.29793130000000001</v>
      </c>
      <c r="R1284">
        <v>-5.9360830000000003E-2</v>
      </c>
      <c r="S1284">
        <v>3.256256</v>
      </c>
      <c r="T1284">
        <v>-0.50390740000000001</v>
      </c>
      <c r="U1284">
        <v>-0.83154300000000003</v>
      </c>
      <c r="V1284">
        <v>1.462692E-2</v>
      </c>
      <c r="W1284">
        <v>0.31152059999999998</v>
      </c>
      <c r="X1284">
        <v>0.95012680000000005</v>
      </c>
      <c r="Y1284">
        <v>0.19761570000000001</v>
      </c>
      <c r="Z1284">
        <v>-9.6891010000000003E-3</v>
      </c>
      <c r="AA1284">
        <v>0.98023170000000004</v>
      </c>
      <c r="AB1284">
        <v>30</v>
      </c>
      <c r="AC1284">
        <v>0.75899999999998602</v>
      </c>
      <c r="AD1284">
        <v>-0.14094010000000001</v>
      </c>
      <c r="AE1284">
        <v>-0.223700000000008</v>
      </c>
      <c r="AF1284">
        <v>0.18046186818579901</v>
      </c>
      <c r="AG1284">
        <v>-0.14094010000000001</v>
      </c>
      <c r="AH1284">
        <v>0.74541375336211502</v>
      </c>
      <c r="AI1284">
        <v>100.412931155796</v>
      </c>
      <c r="AJ1284">
        <v>76.390756377711099</v>
      </c>
      <c r="AK1284">
        <v>0.779789882826467</v>
      </c>
      <c r="AL1284">
        <v>71.849106869035097</v>
      </c>
      <c r="AM1284">
        <v>89.118018156358801</v>
      </c>
      <c r="AN1284">
        <v>0.99999998354564301</v>
      </c>
    </row>
    <row r="1285" spans="1:40" x14ac:dyDescent="0.25">
      <c r="A1285" t="str">
        <f>"20190304164355219"</f>
        <v>20190304164355219</v>
      </c>
      <c r="B1285" t="str">
        <f>"1551689035211137"</f>
        <v>1551689035211137</v>
      </c>
      <c r="C1285" t="s">
        <v>40</v>
      </c>
      <c r="D1285">
        <v>5.4395639999999998</v>
      </c>
      <c r="E1285">
        <v>0.59211359999999902</v>
      </c>
      <c r="F1285" t="s">
        <v>41</v>
      </c>
      <c r="G1285">
        <v>-219.1593</v>
      </c>
      <c r="H1285">
        <v>0.98843879999999995</v>
      </c>
      <c r="I1285">
        <v>367.5188</v>
      </c>
      <c r="J1285">
        <v>-219.78290000000001</v>
      </c>
      <c r="K1285">
        <v>1.107944</v>
      </c>
      <c r="L1285">
        <v>367.70859999999999</v>
      </c>
      <c r="M1285">
        <v>0.99860789999999999</v>
      </c>
      <c r="N1285">
        <v>-1.436571E-2</v>
      </c>
      <c r="O1285">
        <v>-5.0753810000000003E-2</v>
      </c>
      <c r="P1285">
        <v>0.95263200000000003</v>
      </c>
      <c r="Q1285">
        <v>0.2977339</v>
      </c>
      <c r="R1285">
        <v>-6.2025070000000002E-2</v>
      </c>
      <c r="S1285">
        <v>3.254578</v>
      </c>
      <c r="T1285">
        <v>-0.50559279999999995</v>
      </c>
      <c r="U1285">
        <v>-0.84002690000000002</v>
      </c>
      <c r="V1285">
        <v>1.571059E-2</v>
      </c>
      <c r="W1285">
        <v>0.3113166</v>
      </c>
      <c r="X1285">
        <v>0.95017640000000003</v>
      </c>
      <c r="Y1285">
        <v>0.1984686</v>
      </c>
      <c r="Z1285">
        <v>-9.5551690000000005E-3</v>
      </c>
      <c r="AA1285">
        <v>0.98006059999999995</v>
      </c>
      <c r="AB1285">
        <v>30</v>
      </c>
      <c r="AC1285">
        <v>0.62360000000001004</v>
      </c>
      <c r="AD1285">
        <v>-0.11950519999999901</v>
      </c>
      <c r="AE1285">
        <v>-0.189799999999991</v>
      </c>
      <c r="AF1285">
        <v>0.15276727966440201</v>
      </c>
      <c r="AG1285">
        <v>-0.11950519999999901</v>
      </c>
      <c r="AH1285">
        <v>0.61186461146167603</v>
      </c>
      <c r="AI1285">
        <v>100.730097097688</v>
      </c>
      <c r="AJ1285">
        <v>75.981285156006706</v>
      </c>
      <c r="AK1285">
        <v>0.64187042097470903</v>
      </c>
      <c r="AL1285">
        <v>71.861407528243504</v>
      </c>
      <c r="AM1285">
        <v>89.052735382026995</v>
      </c>
      <c r="AN1285">
        <v>1.00000001959533</v>
      </c>
    </row>
    <row r="1286" spans="1:40" x14ac:dyDescent="0.25">
      <c r="A1286" t="str">
        <f>"20190304164355230"</f>
        <v>20190304164355230</v>
      </c>
      <c r="B1286" t="str">
        <f>"1551689035220897"</f>
        <v>1551689035220897</v>
      </c>
      <c r="C1286" t="s">
        <v>40</v>
      </c>
      <c r="D1286">
        <v>5.4066460000000003</v>
      </c>
      <c r="E1286">
        <v>0.59198779999999995</v>
      </c>
      <c r="F1286" t="s">
        <v>41</v>
      </c>
      <c r="G1286">
        <v>-218.89859999999999</v>
      </c>
      <c r="H1286">
        <v>0.96856399999999998</v>
      </c>
      <c r="I1286">
        <v>367.4787</v>
      </c>
      <c r="J1286">
        <v>-219.62459999999999</v>
      </c>
      <c r="K1286">
        <v>1.1078950000000001</v>
      </c>
      <c r="L1286">
        <v>367.69869999999997</v>
      </c>
      <c r="M1286">
        <v>0.99851160000000005</v>
      </c>
      <c r="N1286">
        <v>-1.4367019999999999E-2</v>
      </c>
      <c r="O1286">
        <v>-5.2616339999999998E-2</v>
      </c>
      <c r="P1286">
        <v>0.95239779999999996</v>
      </c>
      <c r="Q1286">
        <v>0.29784549999999999</v>
      </c>
      <c r="R1286">
        <v>-6.5012570000000006E-2</v>
      </c>
      <c r="S1286">
        <v>3.2544400000000002</v>
      </c>
      <c r="T1286">
        <v>-0.51288440000000002</v>
      </c>
      <c r="U1286">
        <v>-0.84487919999999905</v>
      </c>
      <c r="V1286">
        <v>1.6963140000000002E-2</v>
      </c>
      <c r="W1286">
        <v>0.31141819999999998</v>
      </c>
      <c r="X1286">
        <v>0.95012160000000001</v>
      </c>
      <c r="Y1286">
        <v>0.1979928</v>
      </c>
      <c r="Z1286">
        <v>-9.3602029999999992E-3</v>
      </c>
      <c r="AA1286">
        <v>0.9801588</v>
      </c>
      <c r="AB1286">
        <v>30</v>
      </c>
      <c r="AC1286">
        <v>0.72599999999999898</v>
      </c>
      <c r="AD1286">
        <v>-0.13933100000000001</v>
      </c>
      <c r="AE1286">
        <v>-0.21999999999997</v>
      </c>
      <c r="AF1286">
        <v>0.175569137892506</v>
      </c>
      <c r="AG1286">
        <v>-0.13933100000000001</v>
      </c>
      <c r="AH1286">
        <v>0.71253426990208002</v>
      </c>
      <c r="AI1286">
        <v>100.750454276102</v>
      </c>
      <c r="AJ1286">
        <v>76.1579993547344</v>
      </c>
      <c r="AK1286">
        <v>0.74695564495236799</v>
      </c>
      <c r="AL1286">
        <v>71.855282316951104</v>
      </c>
      <c r="AM1286">
        <v>88.9771697833269</v>
      </c>
      <c r="AN1286">
        <v>1.0000000490982199</v>
      </c>
    </row>
    <row r="1287" spans="1:40" x14ac:dyDescent="0.25">
      <c r="A1287" t="str">
        <f>"20190304164355241"</f>
        <v>20190304164355241</v>
      </c>
      <c r="B1287" t="str">
        <f>"1551689035231634"</f>
        <v>1551689035231634</v>
      </c>
      <c r="C1287" t="s">
        <v>40</v>
      </c>
      <c r="D1287">
        <v>5.392366</v>
      </c>
      <c r="E1287">
        <v>0.59188499999999999</v>
      </c>
      <c r="F1287" t="s">
        <v>41</v>
      </c>
      <c r="G1287">
        <v>-218.88720000000001</v>
      </c>
      <c r="H1287">
        <v>0.99127069999999995</v>
      </c>
      <c r="I1287">
        <v>367.50479999999999</v>
      </c>
      <c r="J1287">
        <v>-219.4845</v>
      </c>
      <c r="K1287">
        <v>1.107855</v>
      </c>
      <c r="L1287">
        <v>367.68959999999998</v>
      </c>
      <c r="M1287">
        <v>0.99842129999999996</v>
      </c>
      <c r="N1287">
        <v>-1.4368250000000001E-2</v>
      </c>
      <c r="O1287">
        <v>-5.430169E-2</v>
      </c>
      <c r="P1287">
        <v>0.95217099999999999</v>
      </c>
      <c r="Q1287">
        <v>0.29794219999999999</v>
      </c>
      <c r="R1287">
        <v>-6.7831379999999997E-2</v>
      </c>
      <c r="S1287">
        <v>3.2525019999999998</v>
      </c>
      <c r="T1287">
        <v>-0.51433459999999998</v>
      </c>
      <c r="U1287">
        <v>-0.85391240000000002</v>
      </c>
      <c r="V1287">
        <v>1.821128E-2</v>
      </c>
      <c r="W1287">
        <v>0.31150480000000003</v>
      </c>
      <c r="X1287">
        <v>0.95007010000000003</v>
      </c>
      <c r="Y1287">
        <v>0.19902159999999999</v>
      </c>
      <c r="Z1287">
        <v>-9.2340040000000005E-3</v>
      </c>
      <c r="AA1287">
        <v>0.97995160000000003</v>
      </c>
      <c r="AB1287">
        <v>30</v>
      </c>
      <c r="AC1287">
        <v>0.59729999999998995</v>
      </c>
      <c r="AD1287">
        <v>-0.116584299999999</v>
      </c>
      <c r="AE1287">
        <v>-0.184799999999995</v>
      </c>
      <c r="AF1287">
        <v>0.146979198484434</v>
      </c>
      <c r="AG1287">
        <v>-0.116584299999999</v>
      </c>
      <c r="AH1287">
        <v>0.58607712881796303</v>
      </c>
      <c r="AI1287">
        <v>100.92090739384901</v>
      </c>
      <c r="AJ1287">
        <v>75.921447076068205</v>
      </c>
      <c r="AK1287">
        <v>0.61537077011922103</v>
      </c>
      <c r="AL1287">
        <v>71.850060662888296</v>
      </c>
      <c r="AM1287">
        <v>88.901868696431904</v>
      </c>
      <c r="AN1287">
        <v>1.0000000430281399</v>
      </c>
    </row>
    <row r="1288" spans="1:40" x14ac:dyDescent="0.25">
      <c r="A1288" t="str">
        <f>"20190304164355254"</f>
        <v>20190304164355254</v>
      </c>
      <c r="B1288" t="str">
        <f>"1551689035251154"</f>
        <v>1551689035251154</v>
      </c>
      <c r="C1288" t="s">
        <v>40</v>
      </c>
      <c r="D1288">
        <v>5.4072649999999998</v>
      </c>
      <c r="E1288">
        <v>0.59173629999999999</v>
      </c>
      <c r="F1288" t="s">
        <v>41</v>
      </c>
      <c r="G1288">
        <v>-218.62690000000001</v>
      </c>
      <c r="H1288">
        <v>0.97170979999999996</v>
      </c>
      <c r="I1288">
        <v>367.4622</v>
      </c>
      <c r="J1288">
        <v>-219.31319999999999</v>
      </c>
      <c r="K1288">
        <v>1.107804</v>
      </c>
      <c r="L1288">
        <v>367.67829999999998</v>
      </c>
      <c r="M1288">
        <v>0.99830609999999997</v>
      </c>
      <c r="N1288">
        <v>-1.4369659999999999E-2</v>
      </c>
      <c r="O1288">
        <v>-5.637971E-2</v>
      </c>
      <c r="P1288">
        <v>0.95187029999999995</v>
      </c>
      <c r="Q1288">
        <v>0.2981432</v>
      </c>
      <c r="R1288">
        <v>-7.1091459999999995E-2</v>
      </c>
      <c r="S1288">
        <v>3.2507480000000002</v>
      </c>
      <c r="T1288">
        <v>-0.51606019999999997</v>
      </c>
      <c r="U1288">
        <v>-0.86212160000000004</v>
      </c>
      <c r="V1288">
        <v>1.9536120000000001E-2</v>
      </c>
      <c r="W1288">
        <v>0.31169459999999999</v>
      </c>
      <c r="X1288">
        <v>0.94998150000000003</v>
      </c>
      <c r="Y1288">
        <v>0.1994283</v>
      </c>
      <c r="Z1288">
        <v>-9.0023259999999997E-3</v>
      </c>
      <c r="AA1288">
        <v>0.97987109999999999</v>
      </c>
      <c r="AB1288">
        <v>30</v>
      </c>
      <c r="AC1288">
        <v>0.68629999999998803</v>
      </c>
      <c r="AD1288">
        <v>-0.1360942</v>
      </c>
      <c r="AE1288">
        <v>-0.216099999999983</v>
      </c>
      <c r="AF1288">
        <v>0.17094310439204999</v>
      </c>
      <c r="AG1288">
        <v>-0.1360942</v>
      </c>
      <c r="AH1288">
        <v>0.67330471376147805</v>
      </c>
      <c r="AI1288">
        <v>101.084603845188</v>
      </c>
      <c r="AJ1288">
        <v>75.754357556900104</v>
      </c>
      <c r="AK1288">
        <v>0.70787174953253795</v>
      </c>
      <c r="AL1288">
        <v>71.838615652107194</v>
      </c>
      <c r="AM1288">
        <v>88.821893403493803</v>
      </c>
      <c r="AN1288">
        <v>1.0000000169980301</v>
      </c>
    </row>
    <row r="1289" spans="1:40" x14ac:dyDescent="0.25">
      <c r="A1289" t="str">
        <f>"20190304164355265"</f>
        <v>20190304164355265</v>
      </c>
      <c r="B1289" t="str">
        <f>"1551689035260914"</f>
        <v>1551689035260914</v>
      </c>
      <c r="C1289" t="s">
        <v>40</v>
      </c>
      <c r="D1289">
        <v>5.4266110000000003</v>
      </c>
      <c r="E1289">
        <v>0.59162890000000001</v>
      </c>
      <c r="F1289" t="s">
        <v>41</v>
      </c>
      <c r="G1289">
        <v>-218.3648</v>
      </c>
      <c r="H1289">
        <v>0.9563777</v>
      </c>
      <c r="I1289">
        <v>367.42349999999999</v>
      </c>
      <c r="J1289">
        <v>-219.15780000000001</v>
      </c>
      <c r="K1289">
        <v>1.107761</v>
      </c>
      <c r="L1289">
        <v>367.66759999999999</v>
      </c>
      <c r="M1289">
        <v>0.99819460000000004</v>
      </c>
      <c r="N1289">
        <v>-1.4371099999999999E-2</v>
      </c>
      <c r="O1289">
        <v>-5.8317979999999998E-2</v>
      </c>
      <c r="P1289">
        <v>0.95171600000000001</v>
      </c>
      <c r="Q1289">
        <v>0.29793540000000002</v>
      </c>
      <c r="R1289">
        <v>-7.3967699999999997E-2</v>
      </c>
      <c r="S1289">
        <v>3.2490540000000001</v>
      </c>
      <c r="T1289">
        <v>-0.51869339999999997</v>
      </c>
      <c r="U1289">
        <v>-0.87200929999999999</v>
      </c>
      <c r="V1289">
        <v>2.059561E-2</v>
      </c>
      <c r="W1289">
        <v>0.31147940000000002</v>
      </c>
      <c r="X1289">
        <v>0.95002969999999998</v>
      </c>
      <c r="Y1289">
        <v>0.20042399999999999</v>
      </c>
      <c r="Z1289">
        <v>-8.8494349999999992E-3</v>
      </c>
      <c r="AA1289">
        <v>0.97966929999999997</v>
      </c>
      <c r="AB1289">
        <v>30</v>
      </c>
      <c r="AC1289">
        <v>0.79300000000000603</v>
      </c>
      <c r="AD1289">
        <v>-0.1513833</v>
      </c>
      <c r="AE1289">
        <v>-0.24410000000000301</v>
      </c>
      <c r="AF1289">
        <v>0.191073008294005</v>
      </c>
      <c r="AG1289">
        <v>-0.1513833</v>
      </c>
      <c r="AH1289">
        <v>0.77992448308121398</v>
      </c>
      <c r="AI1289">
        <v>100.676366437193</v>
      </c>
      <c r="AJ1289">
        <v>76.234287705326807</v>
      </c>
      <c r="AK1289">
        <v>0.817134014300537</v>
      </c>
      <c r="AL1289">
        <v>71.8515916122508</v>
      </c>
      <c r="AM1289">
        <v>88.758084386008704</v>
      </c>
      <c r="AN1289">
        <v>1.00000001332886</v>
      </c>
    </row>
    <row r="1290" spans="1:40" x14ac:dyDescent="0.25">
      <c r="A1290" t="str">
        <f>"20190304164355277"</f>
        <v>20190304164355277</v>
      </c>
      <c r="B1290" t="str">
        <f>"1551689035270674"</f>
        <v>1551689035270674</v>
      </c>
      <c r="C1290" t="s">
        <v>40</v>
      </c>
      <c r="D1290">
        <v>5.4374789999999997</v>
      </c>
      <c r="E1290">
        <v>0.59152360000000004</v>
      </c>
      <c r="F1290" t="s">
        <v>41</v>
      </c>
      <c r="G1290">
        <v>-218.3536</v>
      </c>
      <c r="H1290">
        <v>0.97876810000000003</v>
      </c>
      <c r="I1290">
        <v>367.44900000000001</v>
      </c>
      <c r="J1290">
        <v>-218.99100000000001</v>
      </c>
      <c r="K1290">
        <v>1.107712</v>
      </c>
      <c r="L1290">
        <v>367.6558</v>
      </c>
      <c r="M1290">
        <v>0.99807009999999996</v>
      </c>
      <c r="N1290">
        <v>-1.437254E-2</v>
      </c>
      <c r="O1290">
        <v>-6.0412819999999999E-2</v>
      </c>
      <c r="P1290">
        <v>0.95143829999999996</v>
      </c>
      <c r="Q1290">
        <v>0.29810639999999999</v>
      </c>
      <c r="R1290">
        <v>-7.6797110000000002E-2</v>
      </c>
      <c r="S1290">
        <v>3.2467350000000001</v>
      </c>
      <c r="T1290">
        <v>-0.52070879999999997</v>
      </c>
      <c r="U1290">
        <v>-0.88125609999999999</v>
      </c>
      <c r="V1290">
        <v>2.146969E-2</v>
      </c>
      <c r="W1290">
        <v>0.31164249999999999</v>
      </c>
      <c r="X1290">
        <v>0.94995680000000005</v>
      </c>
      <c r="Y1290">
        <v>0.20114070000000001</v>
      </c>
      <c r="Z1290">
        <v>-8.6420899999999998E-3</v>
      </c>
      <c r="AA1290">
        <v>0.97952430000000001</v>
      </c>
      <c r="AB1290">
        <v>30</v>
      </c>
      <c r="AC1290">
        <v>0.63739999999998498</v>
      </c>
      <c r="AD1290">
        <v>-0.128943899999999</v>
      </c>
      <c r="AE1290">
        <v>-0.20679999999998699</v>
      </c>
      <c r="AF1290">
        <v>0.16191592449831099</v>
      </c>
      <c r="AG1290">
        <v>-0.128943899999999</v>
      </c>
      <c r="AH1290">
        <v>0.625567662690515</v>
      </c>
      <c r="AI1290">
        <v>101.284985927249</v>
      </c>
      <c r="AJ1290">
        <v>75.488571891514795</v>
      </c>
      <c r="AK1290">
        <v>0.65892199580635202</v>
      </c>
      <c r="AL1290">
        <v>71.841756145160701</v>
      </c>
      <c r="AM1290">
        <v>88.705295605923098</v>
      </c>
      <c r="AN1290">
        <v>0.99999995863059199</v>
      </c>
    </row>
    <row r="1291" spans="1:40" x14ac:dyDescent="0.25">
      <c r="A1291" t="str">
        <f>"20190304164355288"</f>
        <v>20190304164355288</v>
      </c>
      <c r="B1291" t="str">
        <f>"1551689035281409"</f>
        <v>1551689035281409</v>
      </c>
      <c r="C1291" t="s">
        <v>40</v>
      </c>
      <c r="D1291">
        <v>5.4509379999999998</v>
      </c>
      <c r="E1291">
        <v>0.59138729999999995</v>
      </c>
      <c r="F1291" t="s">
        <v>41</v>
      </c>
      <c r="G1291">
        <v>-218.09209999999999</v>
      </c>
      <c r="H1291">
        <v>0.96333349999999995</v>
      </c>
      <c r="I1291">
        <v>367.40899999999999</v>
      </c>
      <c r="J1291">
        <v>-218.83680000000001</v>
      </c>
      <c r="K1291">
        <v>1.107672</v>
      </c>
      <c r="L1291">
        <v>367.64449999999999</v>
      </c>
      <c r="M1291">
        <v>0.99794890000000003</v>
      </c>
      <c r="N1291">
        <v>-1.437389E-2</v>
      </c>
      <c r="O1291">
        <v>-6.2379950000000003E-2</v>
      </c>
      <c r="P1291">
        <v>0.95121500000000003</v>
      </c>
      <c r="Q1291">
        <v>0.29806440000000001</v>
      </c>
      <c r="R1291">
        <v>-7.9670889999999994E-2</v>
      </c>
      <c r="S1291">
        <v>3.2445369999999998</v>
      </c>
      <c r="T1291">
        <v>-0.52108909999999997</v>
      </c>
      <c r="U1291">
        <v>-0.89044190000000001</v>
      </c>
      <c r="V1291">
        <v>2.2500599999999999E-2</v>
      </c>
      <c r="W1291">
        <v>0.31159170000000003</v>
      </c>
      <c r="X1291">
        <v>0.94994970000000001</v>
      </c>
      <c r="Y1291">
        <v>0.20196459999999999</v>
      </c>
      <c r="Z1291">
        <v>-8.4408969999999993E-3</v>
      </c>
      <c r="AA1291">
        <v>0.97935649999999996</v>
      </c>
      <c r="AB1291">
        <v>30</v>
      </c>
      <c r="AC1291">
        <v>0.74470000000002201</v>
      </c>
      <c r="AD1291">
        <v>-0.14433850000000001</v>
      </c>
      <c r="AE1291">
        <v>-0.23550000000000099</v>
      </c>
      <c r="AF1291">
        <v>0.18235446918789899</v>
      </c>
      <c r="AG1291">
        <v>-0.14433850000000001</v>
      </c>
      <c r="AH1291">
        <v>0.73291149397391298</v>
      </c>
      <c r="AI1291">
        <v>100.81944139066</v>
      </c>
      <c r="AJ1291">
        <v>76.028037010390804</v>
      </c>
      <c r="AK1291">
        <v>0.768925232395272</v>
      </c>
      <c r="AL1291">
        <v>71.844820980692603</v>
      </c>
      <c r="AM1291">
        <v>88.643140362245703</v>
      </c>
      <c r="AN1291">
        <v>1.0000000485196601</v>
      </c>
    </row>
    <row r="1292" spans="1:40" x14ac:dyDescent="0.25">
      <c r="A1292" t="str">
        <f>"20190304164355300"</f>
        <v>20190304164355300</v>
      </c>
      <c r="B1292" t="str">
        <f>"1551689035291170"</f>
        <v>1551689035291170</v>
      </c>
      <c r="C1292" t="s">
        <v>40</v>
      </c>
      <c r="D1292">
        <v>5.4700319999999998</v>
      </c>
      <c r="E1292">
        <v>0.59127949999999996</v>
      </c>
      <c r="F1292" t="s">
        <v>41</v>
      </c>
      <c r="G1292">
        <v>-218.08080000000001</v>
      </c>
      <c r="H1292">
        <v>0.98576470000000005</v>
      </c>
      <c r="I1292">
        <v>367.4348</v>
      </c>
      <c r="J1292">
        <v>-218.6833</v>
      </c>
      <c r="K1292">
        <v>1.107637</v>
      </c>
      <c r="L1292">
        <v>367.63299999999998</v>
      </c>
      <c r="M1292">
        <v>0.99782309999999996</v>
      </c>
      <c r="N1292">
        <v>-1.437511E-2</v>
      </c>
      <c r="O1292">
        <v>-6.4361660000000001E-2</v>
      </c>
      <c r="P1292">
        <v>0.95096950000000002</v>
      </c>
      <c r="Q1292">
        <v>0.29805690000000001</v>
      </c>
      <c r="R1292">
        <v>-8.2579449999999999E-2</v>
      </c>
      <c r="S1292">
        <v>3.2423860000000002</v>
      </c>
      <c r="T1292">
        <v>-0.52283009999999996</v>
      </c>
      <c r="U1292">
        <v>-0.89898679999999997</v>
      </c>
      <c r="V1292">
        <v>2.355144E-2</v>
      </c>
      <c r="W1292">
        <v>0.3115754</v>
      </c>
      <c r="X1292">
        <v>0.94992949999999998</v>
      </c>
      <c r="Y1292">
        <v>0.20258329999999999</v>
      </c>
      <c r="Z1292">
        <v>-8.2346550000000004E-3</v>
      </c>
      <c r="AA1292">
        <v>0.97923039999999995</v>
      </c>
      <c r="AB1292">
        <v>30</v>
      </c>
      <c r="AC1292">
        <v>0.60249999999999204</v>
      </c>
      <c r="AD1292">
        <v>-0.1218723</v>
      </c>
      <c r="AE1292">
        <v>-0.19820000000004201</v>
      </c>
      <c r="AF1292">
        <v>0.15334542871492299</v>
      </c>
      <c r="AG1292">
        <v>-0.1218723</v>
      </c>
      <c r="AH1292">
        <v>0.59214583155577505</v>
      </c>
      <c r="AI1292">
        <v>101.26817583136101</v>
      </c>
      <c r="AJ1292">
        <v>75.481309226939203</v>
      </c>
      <c r="AK1292">
        <v>0.62370214353001396</v>
      </c>
      <c r="AL1292">
        <v>71.845802496716999</v>
      </c>
      <c r="AM1292">
        <v>88.579766466111195</v>
      </c>
      <c r="AN1292">
        <v>0.999999977590741</v>
      </c>
    </row>
    <row r="1293" spans="1:40" x14ac:dyDescent="0.25">
      <c r="A1293" t="str">
        <f>"20190304164355312"</f>
        <v>20190304164355312</v>
      </c>
      <c r="B1293" t="str">
        <f>"1551689035300930"</f>
        <v>1551689035300930</v>
      </c>
      <c r="C1293" t="s">
        <v>40</v>
      </c>
      <c r="D1293">
        <v>5.4558879999999998</v>
      </c>
      <c r="E1293">
        <v>0.59118130000000002</v>
      </c>
      <c r="F1293" t="s">
        <v>41</v>
      </c>
      <c r="G1293">
        <v>-217.82089999999999</v>
      </c>
      <c r="H1293">
        <v>0.96805350000000001</v>
      </c>
      <c r="I1293">
        <v>367.39139999999998</v>
      </c>
      <c r="J1293">
        <v>-218.51499999999999</v>
      </c>
      <c r="K1293">
        <v>1.107593</v>
      </c>
      <c r="L1293">
        <v>367.62</v>
      </c>
      <c r="M1293">
        <v>0.99767939999999999</v>
      </c>
      <c r="N1293">
        <v>-1.437628E-2</v>
      </c>
      <c r="O1293">
        <v>-6.6553589999999996E-2</v>
      </c>
      <c r="P1293">
        <v>0.95062210000000003</v>
      </c>
      <c r="Q1293">
        <v>0.29826520000000001</v>
      </c>
      <c r="R1293">
        <v>-8.5766510000000004E-2</v>
      </c>
      <c r="S1293">
        <v>3.2402500000000001</v>
      </c>
      <c r="T1293">
        <v>-0.5243312</v>
      </c>
      <c r="U1293">
        <v>-0.90716549999999996</v>
      </c>
      <c r="V1293">
        <v>2.4688829999999998E-2</v>
      </c>
      <c r="W1293">
        <v>0.31177250000000001</v>
      </c>
      <c r="X1293">
        <v>0.94983600000000001</v>
      </c>
      <c r="Y1293">
        <v>0.2028992</v>
      </c>
      <c r="Z1293">
        <v>-7.9680189999999998E-3</v>
      </c>
      <c r="AA1293">
        <v>0.97916720000000002</v>
      </c>
      <c r="AB1293">
        <v>30</v>
      </c>
      <c r="AC1293">
        <v>0.69409999999999095</v>
      </c>
      <c r="AD1293">
        <v>-0.13953950000000001</v>
      </c>
      <c r="AE1293">
        <v>-0.228600000000028</v>
      </c>
      <c r="AF1293">
        <v>0.17549475699320499</v>
      </c>
      <c r="AG1293">
        <v>-0.13953950000000001</v>
      </c>
      <c r="AH1293">
        <v>0.68287818302358305</v>
      </c>
      <c r="AI1293">
        <v>101.19470262196501</v>
      </c>
      <c r="AJ1293">
        <v>75.587293087882202</v>
      </c>
      <c r="AK1293">
        <v>0.71874355276547996</v>
      </c>
      <c r="AL1293">
        <v>71.833918452734395</v>
      </c>
      <c r="AM1293">
        <v>88.511061574184595</v>
      </c>
      <c r="AN1293">
        <v>1.0000000284895001</v>
      </c>
    </row>
    <row r="1294" spans="1:40" x14ac:dyDescent="0.25">
      <c r="A1294" t="str">
        <f>"20190304164355329"</f>
        <v>20190304164355329</v>
      </c>
      <c r="B1294" t="str">
        <f>"1551689035321425"</f>
        <v>1551689035321425</v>
      </c>
      <c r="C1294" t="s">
        <v>40</v>
      </c>
      <c r="D1294">
        <v>5.4603190000000001</v>
      </c>
      <c r="E1294">
        <v>0.59099069999999898</v>
      </c>
      <c r="F1294" t="s">
        <v>41</v>
      </c>
      <c r="G1294">
        <v>-217.8081</v>
      </c>
      <c r="H1294">
        <v>0.99282349999999997</v>
      </c>
      <c r="I1294">
        <v>367.41989999999998</v>
      </c>
      <c r="J1294">
        <v>-218.30619999999999</v>
      </c>
      <c r="K1294">
        <v>1.1075549999999901</v>
      </c>
      <c r="L1294">
        <v>367.60309999999998</v>
      </c>
      <c r="M1294">
        <v>0.99749080000000001</v>
      </c>
      <c r="N1294">
        <v>-1.43777E-2</v>
      </c>
      <c r="O1294">
        <v>-6.9320339999999994E-2</v>
      </c>
      <c r="P1294">
        <v>0.95010249999999996</v>
      </c>
      <c r="Q1294">
        <v>0.29843900000000001</v>
      </c>
      <c r="R1294">
        <v>-9.0772350000000002E-2</v>
      </c>
      <c r="S1294">
        <v>3.2381440000000001</v>
      </c>
      <c r="T1294">
        <v>-0.52573599999999998</v>
      </c>
      <c r="U1294">
        <v>-0.91592410000000002</v>
      </c>
      <c r="V1294">
        <v>2.710628E-2</v>
      </c>
      <c r="W1294">
        <v>0.31192520000000001</v>
      </c>
      <c r="X1294">
        <v>0.94971989999999995</v>
      </c>
      <c r="Y1294">
        <v>0.20282249999999999</v>
      </c>
      <c r="Z1294">
        <v>-7.5822169999999996E-3</v>
      </c>
      <c r="AA1294">
        <v>0.97918620000000001</v>
      </c>
      <c r="AB1294">
        <v>30</v>
      </c>
      <c r="AC1294">
        <v>0.49809999999999299</v>
      </c>
      <c r="AD1294">
        <v>-0.114731499999999</v>
      </c>
      <c r="AE1294">
        <v>-0.183199999999999</v>
      </c>
      <c r="AF1294">
        <v>0.141609241501544</v>
      </c>
      <c r="AG1294">
        <v>-0.114731499999999</v>
      </c>
      <c r="AH1294">
        <v>0.48684999489999597</v>
      </c>
      <c r="AI1294">
        <v>102.750329642285</v>
      </c>
      <c r="AJ1294">
        <v>73.781959911357305</v>
      </c>
      <c r="AK1294">
        <v>0.51984556543748595</v>
      </c>
      <c r="AL1294">
        <v>71.824709362186297</v>
      </c>
      <c r="AM1294">
        <v>88.3651454156998</v>
      </c>
      <c r="AN1294">
        <v>0.99999998463324402</v>
      </c>
    </row>
    <row r="1295" spans="1:40" x14ac:dyDescent="0.25">
      <c r="A1295" t="str">
        <f>"20190304164355343"</f>
        <v>20190304164355343</v>
      </c>
      <c r="B1295" t="str">
        <f>"1551689035331186"</f>
        <v>1551689035331186</v>
      </c>
      <c r="C1295" t="s">
        <v>40</v>
      </c>
      <c r="D1295">
        <v>5.5008629999999998</v>
      </c>
      <c r="E1295">
        <v>0.5908814</v>
      </c>
      <c r="F1295" t="s">
        <v>41</v>
      </c>
      <c r="G1295">
        <v>-217.5445</v>
      </c>
      <c r="H1295">
        <v>0.98323930000000004</v>
      </c>
      <c r="I1295">
        <v>367.38409999999999</v>
      </c>
      <c r="J1295">
        <v>-218.10849999999999</v>
      </c>
      <c r="K1295">
        <v>1.1075200000000001</v>
      </c>
      <c r="L1295">
        <v>367.58670000000001</v>
      </c>
      <c r="M1295">
        <v>0.9973031</v>
      </c>
      <c r="N1295">
        <v>-1.437896E-2</v>
      </c>
      <c r="O1295">
        <v>-7.197373E-2</v>
      </c>
      <c r="P1295">
        <v>0.94958410000000004</v>
      </c>
      <c r="Q1295">
        <v>0.29904449999999999</v>
      </c>
      <c r="R1295">
        <v>-9.4143530000000003E-2</v>
      </c>
      <c r="S1295">
        <v>3.2344970000000002</v>
      </c>
      <c r="T1295">
        <v>-0.52791569999999899</v>
      </c>
      <c r="U1295">
        <v>-0.93032840000000006</v>
      </c>
      <c r="V1295">
        <v>2.8001910000000001E-2</v>
      </c>
      <c r="W1295">
        <v>0.31251950000000001</v>
      </c>
      <c r="X1295">
        <v>0.94949850000000002</v>
      </c>
      <c r="Y1295">
        <v>0.20452790000000001</v>
      </c>
      <c r="Z1295">
        <v>-7.3732650000000004E-3</v>
      </c>
      <c r="AA1295">
        <v>0.97883299999999995</v>
      </c>
      <c r="AB1295">
        <v>30</v>
      </c>
      <c r="AC1295">
        <v>0.56399999999999295</v>
      </c>
      <c r="AD1295">
        <v>-0.12428069999999999</v>
      </c>
      <c r="AE1295">
        <v>-0.20260000000001799</v>
      </c>
      <c r="AF1295">
        <v>0.15481877414147799</v>
      </c>
      <c r="AG1295">
        <v>-0.12428069999999999</v>
      </c>
      <c r="AH1295">
        <v>0.55332351606744301</v>
      </c>
      <c r="AI1295">
        <v>102.20507876779</v>
      </c>
      <c r="AJ1295">
        <v>74.368490184049193</v>
      </c>
      <c r="AK1295">
        <v>0.58786176832006798</v>
      </c>
      <c r="AL1295">
        <v>71.788866452967895</v>
      </c>
      <c r="AM1295">
        <v>88.3107647117384</v>
      </c>
      <c r="AN1295">
        <v>0.99999997317307299</v>
      </c>
    </row>
    <row r="1296" spans="1:40" x14ac:dyDescent="0.25">
      <c r="A1296" t="str">
        <f>"20190304164355358"</f>
        <v>20190304164355358</v>
      </c>
      <c r="B1296" t="str">
        <f>"1551689035350705"</f>
        <v>1551689035350705</v>
      </c>
      <c r="C1296" t="s">
        <v>40</v>
      </c>
      <c r="D1296">
        <v>5.5167129999999904</v>
      </c>
      <c r="E1296">
        <v>0.59065349999999905</v>
      </c>
      <c r="F1296" t="s">
        <v>41</v>
      </c>
      <c r="G1296">
        <v>-217.28190000000001</v>
      </c>
      <c r="H1296">
        <v>0.97267099999999995</v>
      </c>
      <c r="I1296">
        <v>367.34589999999997</v>
      </c>
      <c r="J1296">
        <v>-217.911</v>
      </c>
      <c r="K1296">
        <v>1.1074850000000001</v>
      </c>
      <c r="L1296">
        <v>367.56979999999999</v>
      </c>
      <c r="M1296">
        <v>0.99710600000000005</v>
      </c>
      <c r="N1296">
        <v>-1.438013E-2</v>
      </c>
      <c r="O1296">
        <v>-7.4651729999999999E-2</v>
      </c>
      <c r="P1296">
        <v>0.94914430000000005</v>
      </c>
      <c r="Q1296">
        <v>0.29938480000000001</v>
      </c>
      <c r="R1296">
        <v>-9.7436990000000001E-2</v>
      </c>
      <c r="S1296">
        <v>3.2319789999999999</v>
      </c>
      <c r="T1296">
        <v>-0.52714939999999999</v>
      </c>
      <c r="U1296">
        <v>-0.94100950000000005</v>
      </c>
      <c r="V1296">
        <v>2.8787920000000002E-2</v>
      </c>
      <c r="W1296">
        <v>0.31285059999999998</v>
      </c>
      <c r="X1296">
        <v>0.94936600000000004</v>
      </c>
      <c r="Y1296">
        <v>0.2051115</v>
      </c>
      <c r="Z1296">
        <v>-7.0347519999999896E-3</v>
      </c>
      <c r="AA1296">
        <v>0.97871330000000001</v>
      </c>
      <c r="AB1296">
        <v>30</v>
      </c>
      <c r="AC1296">
        <v>0.62909999999996502</v>
      </c>
      <c r="AD1296">
        <v>-0.13481399999999999</v>
      </c>
      <c r="AE1296">
        <v>-0.223900000000014</v>
      </c>
      <c r="AF1296">
        <v>0.169402025342693</v>
      </c>
      <c r="AG1296">
        <v>-0.13481399999999999</v>
      </c>
      <c r="AH1296">
        <v>0.618836689069997</v>
      </c>
      <c r="AI1296">
        <v>101.86637556367999</v>
      </c>
      <c r="AJ1296">
        <v>74.690743463212996</v>
      </c>
      <c r="AK1296">
        <v>0.65561475618332599</v>
      </c>
      <c r="AL1296">
        <v>71.7688952795841</v>
      </c>
      <c r="AM1296">
        <v>88.263134507885098</v>
      </c>
      <c r="AN1296">
        <v>1.0000000221071399</v>
      </c>
    </row>
    <row r="1297" spans="1:40" x14ac:dyDescent="0.25">
      <c r="A1297" t="str">
        <f>"20190304164355369"</f>
        <v>20190304164355369</v>
      </c>
      <c r="B1297" t="str">
        <f>"1551689035361442"</f>
        <v>1551689035361442</v>
      </c>
      <c r="C1297" t="s">
        <v>40</v>
      </c>
      <c r="D1297">
        <v>5.5228510000000002</v>
      </c>
      <c r="E1297">
        <v>0.59052249999999995</v>
      </c>
      <c r="F1297" t="s">
        <v>41</v>
      </c>
      <c r="G1297">
        <v>-217.01990000000001</v>
      </c>
      <c r="H1297">
        <v>0.9616787</v>
      </c>
      <c r="I1297">
        <v>367.30739999999997</v>
      </c>
      <c r="J1297">
        <v>-217.7544</v>
      </c>
      <c r="K1297">
        <v>1.1074550000000001</v>
      </c>
      <c r="L1297">
        <v>367.55590000000001</v>
      </c>
      <c r="M1297">
        <v>0.99694300000000002</v>
      </c>
      <c r="N1297">
        <v>-1.4381039999999999E-2</v>
      </c>
      <c r="O1297">
        <v>-7.6797470000000007E-2</v>
      </c>
      <c r="P1297">
        <v>0.94862139999999995</v>
      </c>
      <c r="Q1297">
        <v>0.30001030000000001</v>
      </c>
      <c r="R1297">
        <v>-0.1005559</v>
      </c>
      <c r="S1297">
        <v>3.2299039999999999</v>
      </c>
      <c r="T1297">
        <v>-0.528528</v>
      </c>
      <c r="U1297">
        <v>-0.95034790000000002</v>
      </c>
      <c r="V1297">
        <v>2.9910800000000001E-2</v>
      </c>
      <c r="W1297">
        <v>0.31346279999999999</v>
      </c>
      <c r="X1297">
        <v>0.94912929999999995</v>
      </c>
      <c r="Y1297">
        <v>0.2057842</v>
      </c>
      <c r="Z1297">
        <v>-6.7976750000000004E-3</v>
      </c>
      <c r="AA1297">
        <v>0.97857380000000005</v>
      </c>
      <c r="AB1297">
        <v>30</v>
      </c>
      <c r="AC1297">
        <v>0.73449999999999704</v>
      </c>
      <c r="AD1297">
        <v>-0.145776299999999</v>
      </c>
      <c r="AE1297">
        <v>-0.248500000000035</v>
      </c>
      <c r="AF1297">
        <v>0.184819976240716</v>
      </c>
      <c r="AG1297">
        <v>-0.145776299999999</v>
      </c>
      <c r="AH1297">
        <v>0.725764582520392</v>
      </c>
      <c r="AI1297">
        <v>101.014706694967</v>
      </c>
      <c r="AJ1297">
        <v>75.712980460927099</v>
      </c>
      <c r="AK1297">
        <v>0.76298321246296597</v>
      </c>
      <c r="AL1297">
        <v>71.731960753254896</v>
      </c>
      <c r="AM1297">
        <v>88.194981852267603</v>
      </c>
      <c r="AN1297">
        <v>1.00000000552948</v>
      </c>
    </row>
    <row r="1298" spans="1:40" x14ac:dyDescent="0.25">
      <c r="A1298" t="str">
        <f>"20190304164355383"</f>
        <v>20190304164355383</v>
      </c>
      <c r="B1298" t="str">
        <f>"1551689035371201"</f>
        <v>1551689035371201</v>
      </c>
      <c r="C1298" t="s">
        <v>40</v>
      </c>
      <c r="D1298">
        <v>5.4983500000000003</v>
      </c>
      <c r="E1298">
        <v>0.59045590000000003</v>
      </c>
      <c r="F1298" t="s">
        <v>41</v>
      </c>
      <c r="G1298">
        <v>-217.0076</v>
      </c>
      <c r="H1298">
        <v>0.98532489999999995</v>
      </c>
      <c r="I1298">
        <v>367.33370000000002</v>
      </c>
      <c r="J1298">
        <v>-217.56549999999999</v>
      </c>
      <c r="K1298">
        <v>1.1074219999999999</v>
      </c>
      <c r="L1298">
        <v>367.53870000000001</v>
      </c>
      <c r="M1298">
        <v>0.99673860000000003</v>
      </c>
      <c r="N1298">
        <v>-1.438208E-2</v>
      </c>
      <c r="O1298">
        <v>-7.9406760000000007E-2</v>
      </c>
      <c r="P1298">
        <v>0.94784369999999996</v>
      </c>
      <c r="Q1298">
        <v>0.30082399999999998</v>
      </c>
      <c r="R1298">
        <v>-0.1053446</v>
      </c>
      <c r="S1298">
        <v>3.227722</v>
      </c>
      <c r="T1298">
        <v>-0.52796960000000004</v>
      </c>
      <c r="U1298">
        <v>-0.95959470000000002</v>
      </c>
      <c r="V1298">
        <v>3.2279679999999998E-2</v>
      </c>
      <c r="W1298">
        <v>0.31425150000000002</v>
      </c>
      <c r="X1298">
        <v>0.94879080000000005</v>
      </c>
      <c r="Y1298">
        <v>0.20600750000000001</v>
      </c>
      <c r="Z1298">
        <v>-6.4393879999999999E-3</v>
      </c>
      <c r="AA1298">
        <v>0.97852919999999999</v>
      </c>
      <c r="AB1298">
        <v>30</v>
      </c>
      <c r="AC1298">
        <v>0.55789999999998896</v>
      </c>
      <c r="AD1298">
        <v>-0.122097099999999</v>
      </c>
      <c r="AE1298">
        <v>-0.204999999999984</v>
      </c>
      <c r="AF1298">
        <v>0.15356667493171</v>
      </c>
      <c r="AG1298">
        <v>-0.122097099999999</v>
      </c>
      <c r="AH1298">
        <v>0.54924099223719103</v>
      </c>
      <c r="AI1298">
        <v>102.08407283963</v>
      </c>
      <c r="AJ1298">
        <v>74.379114951378099</v>
      </c>
      <c r="AK1298">
        <v>0.58322902279609301</v>
      </c>
      <c r="AL1298">
        <v>71.684366215459903</v>
      </c>
      <c r="AM1298">
        <v>88.051439438212199</v>
      </c>
      <c r="AN1298">
        <v>0.999999982578896</v>
      </c>
    </row>
    <row r="1299" spans="1:40" x14ac:dyDescent="0.25">
      <c r="A1299" t="str">
        <f>"20190304164355395"</f>
        <v>20190304164355395</v>
      </c>
      <c r="B1299" t="str">
        <f>"1551689035390721"</f>
        <v>1551689035390721</v>
      </c>
      <c r="C1299" t="s">
        <v>40</v>
      </c>
      <c r="D1299">
        <v>5.5273300000000001</v>
      </c>
      <c r="E1299">
        <v>0.59023979999999998</v>
      </c>
      <c r="F1299" t="s">
        <v>41</v>
      </c>
      <c r="G1299">
        <v>-216.7466</v>
      </c>
      <c r="H1299">
        <v>0.97362539999999997</v>
      </c>
      <c r="I1299">
        <v>367.29109999999997</v>
      </c>
      <c r="J1299">
        <v>-217.40809999999999</v>
      </c>
      <c r="K1299">
        <v>1.107399</v>
      </c>
      <c r="L1299">
        <v>367.524</v>
      </c>
      <c r="M1299">
        <v>0.99656210000000001</v>
      </c>
      <c r="N1299">
        <v>-1.4382819999999999E-2</v>
      </c>
      <c r="O1299">
        <v>-8.1591620000000004E-2</v>
      </c>
      <c r="P1299">
        <v>0.94745729999999995</v>
      </c>
      <c r="Q1299">
        <v>0.3009386</v>
      </c>
      <c r="R1299">
        <v>-0.1084473</v>
      </c>
      <c r="S1299">
        <v>3.2239990000000001</v>
      </c>
      <c r="T1299">
        <v>-0.52658149999999904</v>
      </c>
      <c r="U1299">
        <v>-0.97348020000000002</v>
      </c>
      <c r="V1299">
        <v>3.3332830000000001E-2</v>
      </c>
      <c r="W1299">
        <v>0.3143552</v>
      </c>
      <c r="X1299">
        <v>0.94872000000000001</v>
      </c>
      <c r="Y1299">
        <v>0.20804149999999999</v>
      </c>
      <c r="Z1299">
        <v>-6.2956610000000001E-3</v>
      </c>
      <c r="AA1299">
        <v>0.97809979999999996</v>
      </c>
      <c r="AB1299">
        <v>30</v>
      </c>
      <c r="AC1299">
        <v>0.66149999999998899</v>
      </c>
      <c r="AD1299">
        <v>-0.13377359999999899</v>
      </c>
      <c r="AE1299">
        <v>-0.232900000000029</v>
      </c>
      <c r="AF1299">
        <v>0.171890522534379</v>
      </c>
      <c r="AG1299">
        <v>-0.13377359999999899</v>
      </c>
      <c r="AH1299">
        <v>0.654484777717525</v>
      </c>
      <c r="AI1299">
        <v>101.182662773719</v>
      </c>
      <c r="AJ1299">
        <v>75.284467166423696</v>
      </c>
      <c r="AK1299">
        <v>0.68977681322153706</v>
      </c>
      <c r="AL1299">
        <v>71.678106921008194</v>
      </c>
      <c r="AM1299">
        <v>87.987767512186096</v>
      </c>
      <c r="AN1299">
        <v>0.99999995386142304</v>
      </c>
    </row>
    <row r="1300" spans="1:40" x14ac:dyDescent="0.25">
      <c r="A1300" t="str">
        <f>"20190304164355407"</f>
        <v>20190304164355407</v>
      </c>
      <c r="B1300" t="str">
        <f>"1551689035401457"</f>
        <v>1551689035401457</v>
      </c>
      <c r="C1300" t="s">
        <v>40</v>
      </c>
      <c r="D1300">
        <v>5.5341490000000002</v>
      </c>
      <c r="E1300">
        <v>0.59010699999999905</v>
      </c>
      <c r="F1300" t="s">
        <v>41</v>
      </c>
      <c r="G1300">
        <v>-216.48859999999999</v>
      </c>
      <c r="H1300">
        <v>0.95650939999999995</v>
      </c>
      <c r="I1300">
        <v>367.2439</v>
      </c>
      <c r="J1300">
        <v>-217.24189999999999</v>
      </c>
      <c r="K1300">
        <v>1.1073759999999999</v>
      </c>
      <c r="L1300">
        <v>367.50810000000001</v>
      </c>
      <c r="M1300">
        <v>0.99636860000000005</v>
      </c>
      <c r="N1300">
        <v>-1.4383470000000001E-2</v>
      </c>
      <c r="O1300">
        <v>-8.3922239999999995E-2</v>
      </c>
      <c r="P1300">
        <v>0.94711489999999998</v>
      </c>
      <c r="Q1300">
        <v>0.30076720000000001</v>
      </c>
      <c r="R1300">
        <v>-0.11186</v>
      </c>
      <c r="S1300">
        <v>3.2219389999999999</v>
      </c>
      <c r="T1300">
        <v>-0.52874639999999995</v>
      </c>
      <c r="U1300">
        <v>-0.98168949999999999</v>
      </c>
      <c r="V1300">
        <v>3.4549150000000001E-2</v>
      </c>
      <c r="W1300">
        <v>0.31417319999999999</v>
      </c>
      <c r="X1300">
        <v>0.94873680000000005</v>
      </c>
      <c r="Y1300">
        <v>0.2082165</v>
      </c>
      <c r="Z1300">
        <v>-5.9915589999999996E-3</v>
      </c>
      <c r="AA1300">
        <v>0.97806439999999994</v>
      </c>
      <c r="AB1300">
        <v>30</v>
      </c>
      <c r="AC1300">
        <v>0.75329999999999497</v>
      </c>
      <c r="AD1300">
        <v>-0.15086659999999899</v>
      </c>
      <c r="AE1300">
        <v>-0.26420000000001598</v>
      </c>
      <c r="AF1300">
        <v>0.19314421492637299</v>
      </c>
      <c r="AG1300">
        <v>-0.15086659999999899</v>
      </c>
      <c r="AH1300">
        <v>0.74616620599337402</v>
      </c>
      <c r="AI1300">
        <v>101.074929294989</v>
      </c>
      <c r="AJ1300">
        <v>75.487584385038105</v>
      </c>
      <c r="AK1300">
        <v>0.78538489017909696</v>
      </c>
      <c r="AL1300">
        <v>71.689091755737607</v>
      </c>
      <c r="AM1300">
        <v>87.914441446489803</v>
      </c>
      <c r="AN1300">
        <v>0.99999997951910102</v>
      </c>
    </row>
    <row r="1301" spans="1:40" x14ac:dyDescent="0.25">
      <c r="A1301" t="str">
        <f>"20190304164355420"</f>
        <v>20190304164355420</v>
      </c>
      <c r="B1301" t="str">
        <f>"1551689035411218"</f>
        <v>1551689035411218</v>
      </c>
      <c r="C1301" t="s">
        <v>40</v>
      </c>
      <c r="D1301">
        <v>5.5027990000000004</v>
      </c>
      <c r="E1301">
        <v>0.59000240000000004</v>
      </c>
      <c r="F1301" t="s">
        <v>41</v>
      </c>
      <c r="G1301">
        <v>-216.47579999999999</v>
      </c>
      <c r="H1301">
        <v>0.98092820000000003</v>
      </c>
      <c r="I1301">
        <v>367.2722</v>
      </c>
      <c r="J1301">
        <v>-217.0908</v>
      </c>
      <c r="K1301">
        <v>1.1073580000000001</v>
      </c>
      <c r="L1301">
        <v>367.4932</v>
      </c>
      <c r="M1301">
        <v>0.99618680000000004</v>
      </c>
      <c r="N1301">
        <v>-1.4383979999999999E-2</v>
      </c>
      <c r="O1301">
        <v>-8.6052999999999893E-2</v>
      </c>
      <c r="P1301">
        <v>0.94681170000000003</v>
      </c>
      <c r="Q1301">
        <v>0.30061749999999998</v>
      </c>
      <c r="R1301">
        <v>-0.11479060000000001</v>
      </c>
      <c r="S1301">
        <v>3.2191619999999999</v>
      </c>
      <c r="T1301">
        <v>-0.53127250000000004</v>
      </c>
      <c r="U1301">
        <v>-0.99114990000000003</v>
      </c>
      <c r="V1301">
        <v>3.5470130000000002E-2</v>
      </c>
      <c r="W1301">
        <v>0.31401519999999999</v>
      </c>
      <c r="X1301">
        <v>0.94875509999999996</v>
      </c>
      <c r="Y1301">
        <v>0.20898259999999999</v>
      </c>
      <c r="Z1301">
        <v>-5.767711E-3</v>
      </c>
      <c r="AA1301">
        <v>0.97790239999999995</v>
      </c>
      <c r="AB1301">
        <v>30</v>
      </c>
      <c r="AC1301">
        <v>0.61500000000000898</v>
      </c>
      <c r="AD1301">
        <v>-0.12642980000000001</v>
      </c>
      <c r="AE1301">
        <v>-0.221000000000003</v>
      </c>
      <c r="AF1301">
        <v>0.16121781597219101</v>
      </c>
      <c r="AG1301">
        <v>-0.12642980000000001</v>
      </c>
      <c r="AH1301">
        <v>0.60894589223723505</v>
      </c>
      <c r="AI1301">
        <v>101.348817745795</v>
      </c>
      <c r="AJ1301">
        <v>75.171211367763803</v>
      </c>
      <c r="AK1301">
        <v>0.64248795956615801</v>
      </c>
      <c r="AL1301">
        <v>71.698626642780695</v>
      </c>
      <c r="AM1301">
        <v>87.858938844792604</v>
      </c>
      <c r="AN1301">
        <v>0.99999995786463203</v>
      </c>
    </row>
    <row r="1302" spans="1:40" x14ac:dyDescent="0.25">
      <c r="A1302" t="str">
        <f>"20190304164355432"</f>
        <v>20190304164355432</v>
      </c>
      <c r="B1302" t="str">
        <f>"1551689035420978"</f>
        <v>1551689035420978</v>
      </c>
      <c r="C1302" t="s">
        <v>40</v>
      </c>
      <c r="D1302">
        <v>5.5390620000000004</v>
      </c>
      <c r="E1302">
        <v>0.5899044</v>
      </c>
      <c r="F1302" t="s">
        <v>41</v>
      </c>
      <c r="G1302">
        <v>-216.21899999999999</v>
      </c>
      <c r="H1302">
        <v>0.96282060000000003</v>
      </c>
      <c r="I1302">
        <v>367.22219999999999</v>
      </c>
      <c r="J1302">
        <v>-216.9117</v>
      </c>
      <c r="K1302">
        <v>1.1073360000000001</v>
      </c>
      <c r="L1302">
        <v>367.4753</v>
      </c>
      <c r="M1302">
        <v>0.99596430000000002</v>
      </c>
      <c r="N1302">
        <v>-1.43845E-2</v>
      </c>
      <c r="O1302">
        <v>-8.8590440000000006E-2</v>
      </c>
      <c r="P1302">
        <v>0.94645199999999996</v>
      </c>
      <c r="Q1302">
        <v>0.30043910000000001</v>
      </c>
      <c r="R1302">
        <v>-0.11817370000000001</v>
      </c>
      <c r="S1302">
        <v>3.2166290000000002</v>
      </c>
      <c r="T1302">
        <v>-0.5332093</v>
      </c>
      <c r="U1302">
        <v>-0.9995117</v>
      </c>
      <c r="V1302">
        <v>3.6459270000000002E-2</v>
      </c>
      <c r="W1302">
        <v>0.31382729999999998</v>
      </c>
      <c r="X1302">
        <v>0.94877979999999995</v>
      </c>
      <c r="Y1302">
        <v>0.20904110000000001</v>
      </c>
      <c r="Z1302">
        <v>-5.4167939999999999E-3</v>
      </c>
      <c r="AA1302">
        <v>0.97789190000000004</v>
      </c>
      <c r="AB1302">
        <v>30</v>
      </c>
      <c r="AC1302">
        <v>0.692699999999973</v>
      </c>
      <c r="AD1302">
        <v>-0.14451539999999999</v>
      </c>
      <c r="AE1302">
        <v>-0.25310000000001698</v>
      </c>
      <c r="AF1302">
        <v>0.183678697347228</v>
      </c>
      <c r="AG1302">
        <v>-0.14451539999999999</v>
      </c>
      <c r="AH1302">
        <v>0.68605680456085805</v>
      </c>
      <c r="AI1302">
        <v>101.50151836779401</v>
      </c>
      <c r="AJ1302">
        <v>75.011662906703606</v>
      </c>
      <c r="AK1302">
        <v>0.72477341547589202</v>
      </c>
      <c r="AL1302">
        <v>71.709966155019401</v>
      </c>
      <c r="AM1302">
        <v>87.799347155831398</v>
      </c>
      <c r="AN1302">
        <v>0.99999998074113094</v>
      </c>
    </row>
    <row r="1303" spans="1:40" x14ac:dyDescent="0.25">
      <c r="A1303" t="str">
        <f>"20190304164355447"</f>
        <v>20190304164355447</v>
      </c>
      <c r="B1303" t="str">
        <f>"1551689035441243"</f>
        <v>1551689035441243</v>
      </c>
      <c r="C1303" t="s">
        <v>40</v>
      </c>
      <c r="D1303">
        <v>5.5651769999999896</v>
      </c>
      <c r="E1303">
        <v>0.58964740000000004</v>
      </c>
      <c r="F1303" t="s">
        <v>41</v>
      </c>
      <c r="G1303">
        <v>-216.2046</v>
      </c>
      <c r="H1303">
        <v>0.98957910000000004</v>
      </c>
      <c r="I1303">
        <v>367.2527</v>
      </c>
      <c r="J1303">
        <v>-216.7304</v>
      </c>
      <c r="K1303">
        <v>1.107315</v>
      </c>
      <c r="L1303">
        <v>367.45639999999997</v>
      </c>
      <c r="M1303">
        <v>0.99572989999999995</v>
      </c>
      <c r="N1303">
        <v>-1.43851E-2</v>
      </c>
      <c r="O1303">
        <v>-9.1186870000000003E-2</v>
      </c>
      <c r="P1303">
        <v>0.94601670000000004</v>
      </c>
      <c r="Q1303">
        <v>0.30053980000000002</v>
      </c>
      <c r="R1303">
        <v>-0.1213607</v>
      </c>
      <c r="S1303">
        <v>3.213409</v>
      </c>
      <c r="T1303">
        <v>-0.53499030000000003</v>
      </c>
      <c r="U1303">
        <v>-1.0103150000000001</v>
      </c>
      <c r="V1303">
        <v>3.7204870000000001E-2</v>
      </c>
      <c r="W1303">
        <v>0.31392019999999998</v>
      </c>
      <c r="X1303">
        <v>0.94872020000000001</v>
      </c>
      <c r="Y1303">
        <v>0.2097695</v>
      </c>
      <c r="Z1303">
        <v>-5.1131099999999997E-3</v>
      </c>
      <c r="AA1303">
        <v>0.97773750000000004</v>
      </c>
      <c r="AB1303">
        <v>30</v>
      </c>
      <c r="AC1303">
        <v>0.52580000000000304</v>
      </c>
      <c r="AD1303">
        <v>-0.1177359</v>
      </c>
      <c r="AE1303">
        <v>-0.20369999999996899</v>
      </c>
      <c r="AF1303">
        <v>0.14842923625159199</v>
      </c>
      <c r="AG1303">
        <v>-0.1177359</v>
      </c>
      <c r="AH1303">
        <v>0.51953597508321103</v>
      </c>
      <c r="AI1303">
        <v>102.292554445837</v>
      </c>
      <c r="AJ1303">
        <v>74.055584318190398</v>
      </c>
      <c r="AK1303">
        <v>0.55300145544899204</v>
      </c>
      <c r="AL1303">
        <v>71.704361499723703</v>
      </c>
      <c r="AM1303">
        <v>87.754248010756399</v>
      </c>
      <c r="AN1303">
        <v>1.00000005610389</v>
      </c>
    </row>
    <row r="1304" spans="1:40" x14ac:dyDescent="0.25">
      <c r="A1304" t="str">
        <f>"20190304164355458"</f>
        <v>20190304164355458</v>
      </c>
      <c r="B1304" t="str">
        <f>"1551689035451003"</f>
        <v>1551689035451003</v>
      </c>
      <c r="C1304" t="s">
        <v>40</v>
      </c>
      <c r="D1304">
        <v>5.5492189999999999</v>
      </c>
      <c r="E1304">
        <v>0.58954819999999997</v>
      </c>
      <c r="F1304" t="s">
        <v>41</v>
      </c>
      <c r="G1304">
        <v>-215.94589999999999</v>
      </c>
      <c r="H1304">
        <v>0.9760375</v>
      </c>
      <c r="I1304">
        <v>367.20740000000001</v>
      </c>
      <c r="J1304">
        <v>-216.55959999999999</v>
      </c>
      <c r="K1304">
        <v>1.107294</v>
      </c>
      <c r="L1304">
        <v>367.43830000000003</v>
      </c>
      <c r="M1304">
        <v>0.99550179999999999</v>
      </c>
      <c r="N1304">
        <v>-1.438564E-2</v>
      </c>
      <c r="O1304">
        <v>-9.3645110000000004E-2</v>
      </c>
      <c r="P1304">
        <v>0.94564309999999996</v>
      </c>
      <c r="Q1304">
        <v>0.30038670000000001</v>
      </c>
      <c r="R1304">
        <v>-0.12460639999999901</v>
      </c>
      <c r="S1304">
        <v>3.211166</v>
      </c>
      <c r="T1304">
        <v>-0.53735069999999996</v>
      </c>
      <c r="U1304">
        <v>-1.0189509999999999</v>
      </c>
      <c r="V1304">
        <v>3.8132699999999999E-2</v>
      </c>
      <c r="W1304">
        <v>0.31375799999999998</v>
      </c>
      <c r="X1304">
        <v>0.94873700000000005</v>
      </c>
      <c r="Y1304">
        <v>0.20995069999999999</v>
      </c>
      <c r="Z1304">
        <v>-4.7802649999999997E-3</v>
      </c>
      <c r="AA1304">
        <v>0.97770029999999997</v>
      </c>
      <c r="AB1304">
        <v>30</v>
      </c>
      <c r="AC1304">
        <v>0.61369999999999403</v>
      </c>
      <c r="AD1304">
        <v>-0.1312565</v>
      </c>
      <c r="AE1304">
        <v>-0.23090000000001901</v>
      </c>
      <c r="AF1304">
        <v>0.16576673095240699</v>
      </c>
      <c r="AG1304">
        <v>-0.1312565</v>
      </c>
      <c r="AH1304">
        <v>0.60825410397942203</v>
      </c>
      <c r="AI1304">
        <v>101.760912701856</v>
      </c>
      <c r="AJ1304">
        <v>74.755468850998895</v>
      </c>
      <c r="AK1304">
        <v>0.64395646816435304</v>
      </c>
      <c r="AL1304">
        <v>71.714149096755506</v>
      </c>
      <c r="AM1304">
        <v>87.698342762809006</v>
      </c>
      <c r="AN1304">
        <v>1.00000004027114</v>
      </c>
    </row>
    <row r="1305" spans="1:40" x14ac:dyDescent="0.25">
      <c r="A1305" t="str">
        <f>"20190304164355473"</f>
        <v>20190304164355473</v>
      </c>
      <c r="B1305" t="str">
        <f>"1551689035460763"</f>
        <v>1551689035460763</v>
      </c>
      <c r="C1305" t="s">
        <v>40</v>
      </c>
      <c r="D1305">
        <v>5.5434380000000001</v>
      </c>
      <c r="E1305">
        <v>0.58946449999999995</v>
      </c>
      <c r="F1305" t="s">
        <v>41</v>
      </c>
      <c r="G1305">
        <v>-215.68860000000001</v>
      </c>
      <c r="H1305">
        <v>0.96089080000000004</v>
      </c>
      <c r="I1305">
        <v>367.15859999999998</v>
      </c>
      <c r="J1305">
        <v>-216.36879999999999</v>
      </c>
      <c r="K1305">
        <v>1.1072789999999999</v>
      </c>
      <c r="L1305">
        <v>367.41759999999999</v>
      </c>
      <c r="M1305">
        <v>0.99523759999999994</v>
      </c>
      <c r="N1305">
        <v>-1.438625E-2</v>
      </c>
      <c r="O1305">
        <v>-9.6412310000000001E-2</v>
      </c>
      <c r="P1305">
        <v>0.94509509999999997</v>
      </c>
      <c r="Q1305">
        <v>0.30038340000000002</v>
      </c>
      <c r="R1305">
        <v>-0.1287065</v>
      </c>
      <c r="S1305">
        <v>3.2079930000000001</v>
      </c>
      <c r="T1305">
        <v>-0.53905059999999905</v>
      </c>
      <c r="U1305">
        <v>-1.0296019999999999</v>
      </c>
      <c r="V1305">
        <v>3.9634849999999999E-2</v>
      </c>
      <c r="W1305">
        <v>0.31374000000000002</v>
      </c>
      <c r="X1305">
        <v>0.94868140000000001</v>
      </c>
      <c r="Y1305">
        <v>0.21046880000000001</v>
      </c>
      <c r="Z1305">
        <v>-4.4272110000000003E-3</v>
      </c>
      <c r="AA1305">
        <v>0.97759059999999998</v>
      </c>
      <c r="AB1305">
        <v>30</v>
      </c>
      <c r="AC1305">
        <v>0.68019999999998404</v>
      </c>
      <c r="AD1305">
        <v>-0.146388199999999</v>
      </c>
      <c r="AE1305">
        <v>-0.259000000000014</v>
      </c>
      <c r="AF1305">
        <v>0.18473392489460499</v>
      </c>
      <c r="AG1305">
        <v>-0.146388199999999</v>
      </c>
      <c r="AH1305">
        <v>0.67471067622266601</v>
      </c>
      <c r="AI1305">
        <v>101.81930041963</v>
      </c>
      <c r="AJ1305">
        <v>74.687836054146999</v>
      </c>
      <c r="AK1305">
        <v>0.71469617650792905</v>
      </c>
      <c r="AL1305">
        <v>71.715235522315595</v>
      </c>
      <c r="AM1305">
        <v>87.607637572988196</v>
      </c>
      <c r="AN1305">
        <v>1.0000000538202301</v>
      </c>
    </row>
    <row r="1306" spans="1:40" x14ac:dyDescent="0.25">
      <c r="A1306" t="str">
        <f>"20190304164355488"</f>
        <v>20190304164355488</v>
      </c>
      <c r="B1306" t="str">
        <f>"1551689035481260"</f>
        <v>1551689035481260</v>
      </c>
      <c r="C1306" t="s">
        <v>40</v>
      </c>
      <c r="D1306">
        <v>5.561566</v>
      </c>
      <c r="E1306">
        <v>0.58928449999999999</v>
      </c>
      <c r="F1306" t="s">
        <v>41</v>
      </c>
      <c r="G1306">
        <v>-215.67269999999999</v>
      </c>
      <c r="H1306">
        <v>0.99001799999999995</v>
      </c>
      <c r="I1306">
        <v>367.19069999999999</v>
      </c>
      <c r="J1306">
        <v>-216.17580000000001</v>
      </c>
      <c r="K1306">
        <v>1.107256</v>
      </c>
      <c r="L1306">
        <v>367.39589999999998</v>
      </c>
      <c r="M1306">
        <v>0.9949595</v>
      </c>
      <c r="N1306">
        <v>-1.4387E-2</v>
      </c>
      <c r="O1306">
        <v>-9.9239720000000003E-2</v>
      </c>
      <c r="P1306">
        <v>0.94460189999999999</v>
      </c>
      <c r="Q1306">
        <v>0.30064600000000002</v>
      </c>
      <c r="R1306">
        <v>-0.13167899999999999</v>
      </c>
      <c r="S1306">
        <v>3.2036289999999998</v>
      </c>
      <c r="T1306">
        <v>-0.53963079999999997</v>
      </c>
      <c r="U1306">
        <v>-1.044006</v>
      </c>
      <c r="V1306">
        <v>3.9954320000000002E-2</v>
      </c>
      <c r="W1306">
        <v>0.31399670000000002</v>
      </c>
      <c r="X1306">
        <v>0.94858299999999995</v>
      </c>
      <c r="Y1306">
        <v>0.21206120000000001</v>
      </c>
      <c r="Z1306">
        <v>-4.1564949999999996E-3</v>
      </c>
      <c r="AA1306">
        <v>0.97724750000000005</v>
      </c>
      <c r="AB1306">
        <v>30</v>
      </c>
      <c r="AC1306">
        <v>0.50310000000001698</v>
      </c>
      <c r="AD1306">
        <v>-0.117237999999999</v>
      </c>
      <c r="AE1306">
        <v>-0.20519999999999</v>
      </c>
      <c r="AF1306">
        <v>0.14739186171559601</v>
      </c>
      <c r="AG1306">
        <v>-0.117237999999999</v>
      </c>
      <c r="AH1306">
        <v>0.49780515802719599</v>
      </c>
      <c r="AI1306">
        <v>102.72506449212</v>
      </c>
      <c r="AJ1306">
        <v>73.506850965271397</v>
      </c>
      <c r="AK1306">
        <v>0.53223968745525796</v>
      </c>
      <c r="AL1306">
        <v>71.699743722299104</v>
      </c>
      <c r="AM1306">
        <v>87.588127145740401</v>
      </c>
      <c r="AN1306">
        <v>0.99999999159327602</v>
      </c>
    </row>
    <row r="1307" spans="1:40" x14ac:dyDescent="0.25">
      <c r="A1307" t="str">
        <f>"20190304164355507"</f>
        <v>20190304164355507</v>
      </c>
      <c r="B1307" t="str">
        <f>"1551689035500782"</f>
        <v>1551689035500782</v>
      </c>
      <c r="C1307" t="s">
        <v>40</v>
      </c>
      <c r="D1307">
        <v>5.5642300000000002</v>
      </c>
      <c r="E1307">
        <v>0.58909209999999901</v>
      </c>
      <c r="F1307" t="s">
        <v>41</v>
      </c>
      <c r="G1307">
        <v>-215.41390000000001</v>
      </c>
      <c r="H1307">
        <v>0.97864289999999998</v>
      </c>
      <c r="I1307">
        <v>367.14519999999999</v>
      </c>
      <c r="J1307">
        <v>-215.92089999999999</v>
      </c>
      <c r="K1307">
        <v>1.1072299999999999</v>
      </c>
      <c r="L1307">
        <v>367.36649999999997</v>
      </c>
      <c r="M1307">
        <v>0.99457689999999999</v>
      </c>
      <c r="N1307">
        <v>-1.438799E-2</v>
      </c>
      <c r="O1307">
        <v>-0.1030032</v>
      </c>
      <c r="P1307">
        <v>0.94362880000000005</v>
      </c>
      <c r="Q1307">
        <v>0.30156559999999999</v>
      </c>
      <c r="R1307">
        <v>-0.1364667</v>
      </c>
      <c r="S1307">
        <v>3.2010800000000001</v>
      </c>
      <c r="T1307">
        <v>-0.54039729999999997</v>
      </c>
      <c r="U1307">
        <v>-1.0534969999999999</v>
      </c>
      <c r="V1307">
        <v>4.1243870000000002E-2</v>
      </c>
      <c r="W1307">
        <v>0.31489830000000002</v>
      </c>
      <c r="X1307">
        <v>0.94822890000000004</v>
      </c>
      <c r="Y1307">
        <v>0.2112571</v>
      </c>
      <c r="Z1307">
        <v>-3.533156E-3</v>
      </c>
      <c r="AA1307">
        <v>0.97742410000000002</v>
      </c>
      <c r="AB1307">
        <v>30</v>
      </c>
      <c r="AC1307">
        <v>0.50699999999997603</v>
      </c>
      <c r="AD1307">
        <v>-0.12858709999999901</v>
      </c>
      <c r="AE1307">
        <v>-0.22129999999998501</v>
      </c>
      <c r="AF1307">
        <v>0.159288171610794</v>
      </c>
      <c r="AG1307">
        <v>-0.12858709999999901</v>
      </c>
      <c r="AH1307">
        <v>0.50007998097958195</v>
      </c>
      <c r="AI1307">
        <v>103.766538330071</v>
      </c>
      <c r="AJ1307">
        <v>72.332001983642101</v>
      </c>
      <c r="AK1307">
        <v>0.54035853956244495</v>
      </c>
      <c r="AL1307">
        <v>71.645326039352994</v>
      </c>
      <c r="AM1307">
        <v>87.509450364415002</v>
      </c>
      <c r="AN1307">
        <v>1.00000002147533</v>
      </c>
    </row>
    <row r="1308" spans="1:40" x14ac:dyDescent="0.25">
      <c r="A1308" t="str">
        <f>"20190304164355520"</f>
        <v>20190304164355520</v>
      </c>
      <c r="B1308" t="str">
        <f>"1551689035511515"</f>
        <v>1551689035511515</v>
      </c>
      <c r="C1308" t="s">
        <v>40</v>
      </c>
      <c r="D1308">
        <v>5.5749309999999896</v>
      </c>
      <c r="E1308">
        <v>0.58899099999999904</v>
      </c>
      <c r="F1308" t="s">
        <v>41</v>
      </c>
      <c r="G1308">
        <v>-215.15010000000001</v>
      </c>
      <c r="H1308">
        <v>0.97727790000000003</v>
      </c>
      <c r="I1308">
        <v>367.10840000000002</v>
      </c>
      <c r="J1308">
        <v>-215.75149999999999</v>
      </c>
      <c r="K1308">
        <v>1.1072090000000001</v>
      </c>
      <c r="L1308">
        <v>367.34649999999999</v>
      </c>
      <c r="M1308">
        <v>0.99431230000000004</v>
      </c>
      <c r="N1308">
        <v>-1.438861E-2</v>
      </c>
      <c r="O1308">
        <v>-0.1055273</v>
      </c>
      <c r="P1308">
        <v>0.94310459999999996</v>
      </c>
      <c r="Q1308">
        <v>0.30184139999999998</v>
      </c>
      <c r="R1308">
        <v>-0.13944719999999999</v>
      </c>
      <c r="S1308">
        <v>3.196701</v>
      </c>
      <c r="T1308">
        <v>-0.53884980000000005</v>
      </c>
      <c r="U1308">
        <v>-1.0697939999999999</v>
      </c>
      <c r="V1308">
        <v>4.1864039999999998E-2</v>
      </c>
      <c r="W1308">
        <v>0.3151658</v>
      </c>
      <c r="X1308">
        <v>0.94811279999999998</v>
      </c>
      <c r="Y1308">
        <v>0.21366370000000001</v>
      </c>
      <c r="Z1308">
        <v>-3.3766170000000002E-3</v>
      </c>
      <c r="AA1308">
        <v>0.97690140000000003</v>
      </c>
      <c r="AB1308">
        <v>30</v>
      </c>
      <c r="AC1308">
        <v>0.60139999999998395</v>
      </c>
      <c r="AD1308">
        <v>-0.12993109999999999</v>
      </c>
      <c r="AE1308">
        <v>-0.238099999999974</v>
      </c>
      <c r="AF1308">
        <v>0.16657787828154999</v>
      </c>
      <c r="AG1308">
        <v>-0.12993109999999999</v>
      </c>
      <c r="AH1308">
        <v>0.59899933109600101</v>
      </c>
      <c r="AI1308">
        <v>101.80396495394299</v>
      </c>
      <c r="AJ1308">
        <v>74.459091501413099</v>
      </c>
      <c r="AK1308">
        <v>0.63516177382888095</v>
      </c>
      <c r="AL1308">
        <v>71.629176352005899</v>
      </c>
      <c r="AM1308">
        <v>87.471739887066803</v>
      </c>
      <c r="AN1308">
        <v>0.99999998042930005</v>
      </c>
    </row>
    <row r="1309" spans="1:40" x14ac:dyDescent="0.25">
      <c r="A1309" t="str">
        <f>"20190304164355532"</f>
        <v>20190304164355532</v>
      </c>
      <c r="B1309" t="str">
        <f>"1551689035521277"</f>
        <v>1551689035521277</v>
      </c>
      <c r="C1309" t="s">
        <v>40</v>
      </c>
      <c r="D1309">
        <v>5.5631750000000002</v>
      </c>
      <c r="E1309">
        <v>0.58888409999999902</v>
      </c>
      <c r="F1309" t="s">
        <v>41</v>
      </c>
      <c r="G1309">
        <v>-214.89410000000001</v>
      </c>
      <c r="H1309">
        <v>0.96254479999999998</v>
      </c>
      <c r="I1309">
        <v>367.05630000000002</v>
      </c>
      <c r="J1309">
        <v>-215.58179999999999</v>
      </c>
      <c r="K1309">
        <v>1.1071879999999901</v>
      </c>
      <c r="L1309">
        <v>367.32600000000002</v>
      </c>
      <c r="M1309">
        <v>0.99403920000000001</v>
      </c>
      <c r="N1309">
        <v>-1.438918E-2</v>
      </c>
      <c r="O1309">
        <v>-0.108069</v>
      </c>
      <c r="P1309">
        <v>0.94264150000000002</v>
      </c>
      <c r="Q1309">
        <v>0.30206870000000002</v>
      </c>
      <c r="R1309">
        <v>-0.1420622</v>
      </c>
      <c r="S1309">
        <v>3.1936800000000001</v>
      </c>
      <c r="T1309">
        <v>-0.53877280000000005</v>
      </c>
      <c r="U1309">
        <v>-1.080322</v>
      </c>
      <c r="V1309">
        <v>4.2096769999999999E-2</v>
      </c>
      <c r="W1309">
        <v>0.315388</v>
      </c>
      <c r="X1309">
        <v>0.9480286</v>
      </c>
      <c r="Y1309">
        <v>0.21435509999999999</v>
      </c>
      <c r="Z1309">
        <v>-3.065903E-3</v>
      </c>
      <c r="AA1309">
        <v>0.97675100000000004</v>
      </c>
      <c r="AB1309">
        <v>30</v>
      </c>
      <c r="AC1309">
        <v>0.687699999999978</v>
      </c>
      <c r="AD1309">
        <v>-0.144643199999999</v>
      </c>
      <c r="AE1309">
        <v>-0.26969999999994299</v>
      </c>
      <c r="AF1309">
        <v>0.18663747777142101</v>
      </c>
      <c r="AG1309">
        <v>-0.144643199999999</v>
      </c>
      <c r="AH1309">
        <v>0.68649954282128001</v>
      </c>
      <c r="AI1309">
        <v>101.49254684909801</v>
      </c>
      <c r="AJ1309">
        <v>74.790698465068104</v>
      </c>
      <c r="AK1309">
        <v>0.72597301995938102</v>
      </c>
      <c r="AL1309">
        <v>71.6157609894111</v>
      </c>
      <c r="AM1309">
        <v>87.457477707746193</v>
      </c>
      <c r="AN1309">
        <v>0.99999997750319602</v>
      </c>
    </row>
    <row r="1310" spans="1:40" x14ac:dyDescent="0.25">
      <c r="A1310" t="str">
        <f>"20190304164355545"</f>
        <v>20190304164355545</v>
      </c>
      <c r="B1310" t="str">
        <f>"1551689035541432"</f>
        <v>1551689035541432</v>
      </c>
      <c r="C1310" t="s">
        <v>40</v>
      </c>
      <c r="D1310">
        <v>5.648714</v>
      </c>
      <c r="E1310">
        <v>0.58878459999999999</v>
      </c>
      <c r="F1310" t="s">
        <v>41</v>
      </c>
      <c r="G1310">
        <v>-214.87950000000001</v>
      </c>
      <c r="H1310">
        <v>0.98853559999999996</v>
      </c>
      <c r="I1310">
        <v>367.0865</v>
      </c>
      <c r="J1310">
        <v>-215.41720000000001</v>
      </c>
      <c r="K1310">
        <v>1.1071679999999999</v>
      </c>
      <c r="L1310">
        <v>367.30540000000002</v>
      </c>
      <c r="M1310">
        <v>0.99376540000000002</v>
      </c>
      <c r="N1310">
        <v>-1.438976E-2</v>
      </c>
      <c r="O1310">
        <v>-0.11055959999999999</v>
      </c>
      <c r="P1310">
        <v>0.94221469999999896</v>
      </c>
      <c r="Q1310">
        <v>0.30188730000000003</v>
      </c>
      <c r="R1310">
        <v>-0.14524279999999901</v>
      </c>
      <c r="S1310">
        <v>3.19136</v>
      </c>
      <c r="T1310">
        <v>-0.53911980000000004</v>
      </c>
      <c r="U1310">
        <v>-1.087952</v>
      </c>
      <c r="V1310">
        <v>4.2932159999999997E-2</v>
      </c>
      <c r="W1310">
        <v>0.3151988</v>
      </c>
      <c r="X1310">
        <v>0.94805410000000001</v>
      </c>
      <c r="Y1310">
        <v>0.21424260000000001</v>
      </c>
      <c r="Z1310">
        <v>-2.6906759999999999E-3</v>
      </c>
      <c r="AA1310">
        <v>0.9767768</v>
      </c>
      <c r="AB1310">
        <v>30</v>
      </c>
      <c r="AC1310">
        <v>0.53770000000000095</v>
      </c>
      <c r="AD1310">
        <v>-0.118632399999999</v>
      </c>
      <c r="AE1310">
        <v>-0.218900000000019</v>
      </c>
      <c r="AF1310">
        <v>0.15176642714312899</v>
      </c>
      <c r="AG1310">
        <v>-0.118632399999999</v>
      </c>
      <c r="AH1310">
        <v>0.53621627313656794</v>
      </c>
      <c r="AI1310">
        <v>102.017596115468</v>
      </c>
      <c r="AJ1310">
        <v>74.196783209545103</v>
      </c>
      <c r="AK1310">
        <v>0.56976713340980001</v>
      </c>
      <c r="AL1310">
        <v>71.627184707443803</v>
      </c>
      <c r="AM1310">
        <v>87.407160423054904</v>
      </c>
      <c r="AN1310">
        <v>1.0000000152052499</v>
      </c>
    </row>
    <row r="1311" spans="1:40" x14ac:dyDescent="0.25">
      <c r="A1311" t="str">
        <f>"20190304164355559"</f>
        <v>20190304164355559</v>
      </c>
      <c r="B1311" t="str">
        <f>"1551689035551192"</f>
        <v>1551689035551192</v>
      </c>
      <c r="C1311" t="s">
        <v>40</v>
      </c>
      <c r="D1311">
        <v>5.9086740000000004</v>
      </c>
      <c r="E1311">
        <v>0.58887789999999995</v>
      </c>
      <c r="F1311" t="s">
        <v>41</v>
      </c>
      <c r="G1311">
        <v>-214.62479999999999</v>
      </c>
      <c r="H1311">
        <v>0.97259280000000004</v>
      </c>
      <c r="I1311">
        <v>367.03219999999999</v>
      </c>
      <c r="J1311">
        <v>-215.24279999999999</v>
      </c>
      <c r="K1311">
        <v>1.107145</v>
      </c>
      <c r="L1311">
        <v>367.28339999999997</v>
      </c>
      <c r="M1311">
        <v>0.99346670000000004</v>
      </c>
      <c r="N1311">
        <v>-1.439034E-2</v>
      </c>
      <c r="O1311">
        <v>-0.1132117</v>
      </c>
      <c r="P1311">
        <v>0.94179170000000001</v>
      </c>
      <c r="Q1311">
        <v>0.30174699999999999</v>
      </c>
      <c r="R1311">
        <v>-0.14824709999999999</v>
      </c>
      <c r="S1311">
        <v>3.1881870000000001</v>
      </c>
      <c r="T1311">
        <v>-0.54149959999999997</v>
      </c>
      <c r="U1311">
        <v>-1.0982670000000001</v>
      </c>
      <c r="V1311">
        <v>4.3437389999999999E-2</v>
      </c>
      <c r="W1311">
        <v>0.31505270000000002</v>
      </c>
      <c r="X1311">
        <v>0.94807960000000002</v>
      </c>
      <c r="Y1311">
        <v>0.21476770000000001</v>
      </c>
      <c r="Z1311">
        <v>-2.344994E-3</v>
      </c>
      <c r="AA1311">
        <v>0.97666229999999998</v>
      </c>
      <c r="AB1311">
        <v>30</v>
      </c>
      <c r="AC1311">
        <v>0.617999999999995</v>
      </c>
      <c r="AD1311">
        <v>-0.13455220000000001</v>
      </c>
      <c r="AE1311">
        <v>-0.25119999999998299</v>
      </c>
      <c r="AF1311">
        <v>0.17259132673862401</v>
      </c>
      <c r="AG1311">
        <v>-0.13455220000000001</v>
      </c>
      <c r="AH1311">
        <v>0.61735287706334196</v>
      </c>
      <c r="AI1311">
        <v>101.85439148688999</v>
      </c>
      <c r="AJ1311">
        <v>74.380775780928502</v>
      </c>
      <c r="AK1311">
        <v>0.65499361478462104</v>
      </c>
      <c r="AL1311">
        <v>71.636004142623904</v>
      </c>
      <c r="AM1311">
        <v>87.376760461456399</v>
      </c>
      <c r="AN1311">
        <v>0.99999996928172996</v>
      </c>
    </row>
    <row r="1312" spans="1:40" x14ac:dyDescent="0.25">
      <c r="A1312" t="str">
        <f>"20190304164355571"</f>
        <v>20190304164355571</v>
      </c>
      <c r="B1312" t="str">
        <f>"1551689035560953"</f>
        <v>1551689035560953</v>
      </c>
      <c r="C1312" t="s">
        <v>40</v>
      </c>
      <c r="D1312">
        <v>5.6844960000000002</v>
      </c>
      <c r="E1312">
        <v>0.58887789999999995</v>
      </c>
      <c r="F1312" t="s">
        <v>41</v>
      </c>
      <c r="G1312">
        <v>-214.36940000000001</v>
      </c>
      <c r="H1312">
        <v>0.95852919999999997</v>
      </c>
      <c r="I1312">
        <v>366.9794</v>
      </c>
      <c r="J1312">
        <v>-215.0575</v>
      </c>
      <c r="K1312">
        <v>1.1071219999999999</v>
      </c>
      <c r="L1312">
        <v>367.25940000000003</v>
      </c>
      <c r="M1312">
        <v>0.9931392</v>
      </c>
      <c r="N1312">
        <v>-1.4390969999999999E-2</v>
      </c>
      <c r="O1312">
        <v>-0.1160505</v>
      </c>
      <c r="P1312">
        <v>0.94137899999999997</v>
      </c>
      <c r="Q1312">
        <v>0.30138860000000001</v>
      </c>
      <c r="R1312">
        <v>-0.15156169999999999</v>
      </c>
      <c r="S1312">
        <v>3.1846160000000001</v>
      </c>
      <c r="T1312">
        <v>-0.54194589999999998</v>
      </c>
      <c r="U1312">
        <v>-1.108368</v>
      </c>
      <c r="V1312">
        <v>4.4068969999999999E-2</v>
      </c>
      <c r="W1312">
        <v>0.31468790000000002</v>
      </c>
      <c r="X1312">
        <v>0.94817169999999895</v>
      </c>
      <c r="Y1312">
        <v>0.2151026</v>
      </c>
      <c r="Z1312">
        <v>-1.9554609999999999E-3</v>
      </c>
      <c r="AA1312">
        <v>0.9765895</v>
      </c>
      <c r="AB1312">
        <v>30</v>
      </c>
      <c r="AC1312">
        <v>0.68809999999999105</v>
      </c>
      <c r="AD1312">
        <v>-0.148592799999999</v>
      </c>
      <c r="AE1312">
        <v>-0.280000000000029</v>
      </c>
      <c r="AF1312">
        <v>0.19061880198626499</v>
      </c>
      <c r="AG1312">
        <v>-0.148592799999999</v>
      </c>
      <c r="AH1312">
        <v>0.68840536285043197</v>
      </c>
      <c r="AI1312">
        <v>101.751252937285</v>
      </c>
      <c r="AJ1312">
        <v>74.522639583077606</v>
      </c>
      <c r="AK1312">
        <v>0.729600775413344</v>
      </c>
      <c r="AL1312">
        <v>71.658027515595506</v>
      </c>
      <c r="AM1312">
        <v>87.338931117137506</v>
      </c>
      <c r="AN1312">
        <v>1.00000006060207</v>
      </c>
    </row>
    <row r="1313" spans="1:40" x14ac:dyDescent="0.25">
      <c r="A1313" t="str">
        <f>"20190304164355586"</f>
        <v>20190304164355586</v>
      </c>
      <c r="B1313" t="str">
        <f>"1551689035581449"</f>
        <v>1551689035581449</v>
      </c>
      <c r="C1313" t="s">
        <v>40</v>
      </c>
      <c r="D1313">
        <v>5.6789909999999999</v>
      </c>
      <c r="E1313">
        <v>0.589136199999999</v>
      </c>
      <c r="F1313" t="s">
        <v>41</v>
      </c>
      <c r="G1313">
        <v>-214.35339999999999</v>
      </c>
      <c r="H1313">
        <v>0.9868538</v>
      </c>
      <c r="I1313">
        <v>367.01170000000002</v>
      </c>
      <c r="J1313">
        <v>-214.88290000000001</v>
      </c>
      <c r="K1313">
        <v>1.107102</v>
      </c>
      <c r="L1313">
        <v>367.23610000000002</v>
      </c>
      <c r="M1313">
        <v>0.99281980000000003</v>
      </c>
      <c r="N1313">
        <v>-1.4391579999999999E-2</v>
      </c>
      <c r="O1313">
        <v>-0.1187496</v>
      </c>
      <c r="P1313">
        <v>0.94097759999999997</v>
      </c>
      <c r="Q1313">
        <v>0.30075930000000001</v>
      </c>
      <c r="R1313">
        <v>-0.15525749999999999</v>
      </c>
      <c r="S1313">
        <v>3.1806950000000001</v>
      </c>
      <c r="T1313">
        <v>-0.54342809999999997</v>
      </c>
      <c r="U1313">
        <v>-1.1187739999999999</v>
      </c>
      <c r="V1313">
        <v>4.5206419999999997E-2</v>
      </c>
      <c r="W1313">
        <v>0.31404959999999998</v>
      </c>
      <c r="X1313">
        <v>0.94832969999999905</v>
      </c>
      <c r="Y1313">
        <v>0.21568010000000001</v>
      </c>
      <c r="Z1313">
        <v>-1.6042109999999999E-3</v>
      </c>
      <c r="AA1313">
        <v>0.97646279999999996</v>
      </c>
      <c r="AB1313">
        <v>30</v>
      </c>
      <c r="AC1313">
        <v>0.52950000000001296</v>
      </c>
      <c r="AD1313">
        <v>-0.1202482</v>
      </c>
      <c r="AE1313">
        <v>-0.22440000000000199</v>
      </c>
      <c r="AF1313">
        <v>0.15322815668158599</v>
      </c>
      <c r="AG1313">
        <v>-0.1202482</v>
      </c>
      <c r="AH1313">
        <v>0.52926291112479396</v>
      </c>
      <c r="AI1313">
        <v>102.31105244953901</v>
      </c>
      <c r="AJ1313">
        <v>73.853616389228904</v>
      </c>
      <c r="AK1313">
        <v>0.56396606874489197</v>
      </c>
      <c r="AL1313">
        <v>71.696551366705705</v>
      </c>
      <c r="AM1313">
        <v>87.270803797755406</v>
      </c>
      <c r="AN1313">
        <v>0.99999999578573295</v>
      </c>
    </row>
    <row r="1314" spans="1:40" x14ac:dyDescent="0.25">
      <c r="A1314" t="str">
        <f>"20190304164355598"</f>
        <v>20190304164355598</v>
      </c>
      <c r="B1314" t="str">
        <f>"1551689035591208"</f>
        <v>1551689035591208</v>
      </c>
      <c r="C1314" t="s">
        <v>40</v>
      </c>
      <c r="D1314">
        <v>5.6953110000000002</v>
      </c>
      <c r="E1314">
        <v>0.58924619999999905</v>
      </c>
      <c r="F1314" t="s">
        <v>41</v>
      </c>
      <c r="G1314">
        <v>-214.09889999999999</v>
      </c>
      <c r="H1314">
        <v>0.97244759999999997</v>
      </c>
      <c r="I1314">
        <v>366.95659999999998</v>
      </c>
      <c r="J1314">
        <v>-214.72190000000001</v>
      </c>
      <c r="K1314">
        <v>1.1070869999999999</v>
      </c>
      <c r="L1314">
        <v>367.21440000000001</v>
      </c>
      <c r="M1314">
        <v>0.99251769999999995</v>
      </c>
      <c r="N1314">
        <v>-1.43921E-2</v>
      </c>
      <c r="O1314">
        <v>-0.12124989999999999</v>
      </c>
      <c r="P1314">
        <v>0.94042789999999998</v>
      </c>
      <c r="Q1314">
        <v>0.30109540000000001</v>
      </c>
      <c r="R1314">
        <v>-0.15791359999999999</v>
      </c>
      <c r="S1314">
        <v>3.1757970000000002</v>
      </c>
      <c r="T1314">
        <v>-0.54540369999999905</v>
      </c>
      <c r="U1314">
        <v>-1.131561</v>
      </c>
      <c r="V1314">
        <v>4.5526860000000002E-2</v>
      </c>
      <c r="W1314">
        <v>0.31437959999999998</v>
      </c>
      <c r="X1314">
        <v>0.94820499999999996</v>
      </c>
      <c r="Y1314">
        <v>0.21717919999999999</v>
      </c>
      <c r="Z1314">
        <v>-1.361405E-3</v>
      </c>
      <c r="AA1314">
        <v>0.97613079999999997</v>
      </c>
      <c r="AB1314">
        <v>30</v>
      </c>
      <c r="AC1314">
        <v>0.62300000000001798</v>
      </c>
      <c r="AD1314">
        <v>-0.13463939999999999</v>
      </c>
      <c r="AE1314">
        <v>-0.257800000000031</v>
      </c>
      <c r="AF1314">
        <v>0.17343495014278701</v>
      </c>
      <c r="AG1314">
        <v>-0.13463939999999999</v>
      </c>
      <c r="AH1314">
        <v>0.62475071352649003</v>
      </c>
      <c r="AI1314">
        <v>101.731086613429</v>
      </c>
      <c r="AJ1314">
        <v>74.484992162565504</v>
      </c>
      <c r="AK1314">
        <v>0.66220910897936902</v>
      </c>
      <c r="AL1314">
        <v>71.676634641272997</v>
      </c>
      <c r="AM1314">
        <v>87.251126888684198</v>
      </c>
      <c r="AN1314">
        <v>0.99999997495130899</v>
      </c>
    </row>
    <row r="1315" spans="1:40" x14ac:dyDescent="0.25">
      <c r="A1315" t="str">
        <f>"20190304164355607"</f>
        <v>20190304164355607</v>
      </c>
      <c r="B1315" t="str">
        <f>"1551689035600969"</f>
        <v>1551689035600969</v>
      </c>
      <c r="C1315" t="s">
        <v>40</v>
      </c>
      <c r="D1315">
        <v>5.6582610000000004</v>
      </c>
      <c r="E1315">
        <v>0.58937600000000001</v>
      </c>
      <c r="F1315" t="s">
        <v>41</v>
      </c>
      <c r="G1315">
        <v>-213.84559999999999</v>
      </c>
      <c r="H1315">
        <v>0.95675279999999996</v>
      </c>
      <c r="I1315">
        <v>366.89909999999998</v>
      </c>
      <c r="J1315">
        <v>-214.59129999999999</v>
      </c>
      <c r="K1315">
        <v>1.1070799999999901</v>
      </c>
      <c r="L1315">
        <v>367.19639999999998</v>
      </c>
      <c r="M1315">
        <v>0.99226579999999998</v>
      </c>
      <c r="N1315">
        <v>-1.4392540000000001E-2</v>
      </c>
      <c r="O1315">
        <v>-0.123294</v>
      </c>
      <c r="P1315">
        <v>0.93992699999999996</v>
      </c>
      <c r="Q1315">
        <v>0.30158489999999999</v>
      </c>
      <c r="R1315">
        <v>-0.1599479</v>
      </c>
      <c r="S1315">
        <v>3.1726529999999999</v>
      </c>
      <c r="T1315">
        <v>-0.54417990000000005</v>
      </c>
      <c r="U1315">
        <v>-1.1411129999999901</v>
      </c>
      <c r="V1315">
        <v>4.5661189999999997E-2</v>
      </c>
      <c r="W1315">
        <v>0.31486439999999999</v>
      </c>
      <c r="X1315">
        <v>0.94803769999999998</v>
      </c>
      <c r="Y1315">
        <v>0.21809480000000001</v>
      </c>
      <c r="Z1315">
        <v>-1.144939E-3</v>
      </c>
      <c r="AA1315">
        <v>0.97592690000000004</v>
      </c>
      <c r="AB1315">
        <v>30</v>
      </c>
      <c r="AC1315">
        <v>0.74569999999999903</v>
      </c>
      <c r="AD1315">
        <v>-0.15032719999999899</v>
      </c>
      <c r="AE1315">
        <v>-0.297300000000007</v>
      </c>
      <c r="AF1315">
        <v>0.196201392717054</v>
      </c>
      <c r="AG1315">
        <v>-0.15032719999999899</v>
      </c>
      <c r="AH1315">
        <v>0.75035661943096699</v>
      </c>
      <c r="AI1315">
        <v>100.969316508944</v>
      </c>
      <c r="AJ1315">
        <v>75.3465167374668</v>
      </c>
      <c r="AK1315">
        <v>0.79001791744733296</v>
      </c>
      <c r="AL1315">
        <v>71.647372202851102</v>
      </c>
      <c r="AM1315">
        <v>87.2425428815489</v>
      </c>
      <c r="AN1315">
        <v>1.0000000076404301</v>
      </c>
    </row>
    <row r="1316" spans="1:40" x14ac:dyDescent="0.25">
      <c r="A1316" t="str">
        <f>"20190304164355618"</f>
        <v>20190304164355618</v>
      </c>
      <c r="B1316" t="str">
        <f>"1551689035610729"</f>
        <v>1551689035610729</v>
      </c>
      <c r="C1316" t="s">
        <v>40</v>
      </c>
      <c r="D1316">
        <v>5.6630129999999896</v>
      </c>
      <c r="E1316">
        <v>0.58951500000000001</v>
      </c>
      <c r="F1316" t="s">
        <v>41</v>
      </c>
      <c r="G1316">
        <v>-213.8338</v>
      </c>
      <c r="H1316">
        <v>0.97759649999999998</v>
      </c>
      <c r="I1316">
        <v>366.92169999999999</v>
      </c>
      <c r="J1316">
        <v>-214.44980000000001</v>
      </c>
      <c r="K1316">
        <v>1.1070679999999999</v>
      </c>
      <c r="L1316">
        <v>367.17649999999998</v>
      </c>
      <c r="M1316">
        <v>0.9919869</v>
      </c>
      <c r="N1316">
        <v>-1.439299E-2</v>
      </c>
      <c r="O1316">
        <v>-0.12551860000000001</v>
      </c>
      <c r="P1316">
        <v>0.93935820000000003</v>
      </c>
      <c r="Q1316">
        <v>0.30212869999999997</v>
      </c>
      <c r="R1316">
        <v>-0.162248799999999</v>
      </c>
      <c r="S1316">
        <v>3.170029</v>
      </c>
      <c r="T1316">
        <v>-0.54180539999999999</v>
      </c>
      <c r="U1316">
        <v>-1.1492610000000001</v>
      </c>
      <c r="V1316">
        <v>4.5896489999999998E-2</v>
      </c>
      <c r="W1316">
        <v>0.31540200000000002</v>
      </c>
      <c r="X1316">
        <v>0.94784760000000001</v>
      </c>
      <c r="Y1316">
        <v>0.218415</v>
      </c>
      <c r="Z1316">
        <v>-8.5469989999999998E-4</v>
      </c>
      <c r="AA1316">
        <v>0.97585560000000005</v>
      </c>
      <c r="AB1316">
        <v>30</v>
      </c>
      <c r="AC1316">
        <v>0.61600000000001298</v>
      </c>
      <c r="AD1316">
        <v>-0.12947149999999899</v>
      </c>
      <c r="AE1316">
        <v>-0.25479999999998798</v>
      </c>
      <c r="AF1316">
        <v>0.16907897327625401</v>
      </c>
      <c r="AG1316">
        <v>-0.12947149999999899</v>
      </c>
      <c r="AH1316">
        <v>0.61973500975629503</v>
      </c>
      <c r="AI1316">
        <v>101.39518781711</v>
      </c>
      <c r="AJ1316">
        <v>74.739689570304293</v>
      </c>
      <c r="AK1316">
        <v>0.65530302214627201</v>
      </c>
      <c r="AL1316">
        <v>71.614915964754402</v>
      </c>
      <c r="AM1316">
        <v>87.227800316332406</v>
      </c>
      <c r="AN1316">
        <v>0.99999999111203997</v>
      </c>
    </row>
    <row r="1317" spans="1:40" x14ac:dyDescent="0.25">
      <c r="A1317" t="str">
        <f>"20190304164355630"</f>
        <v>20190304164355630</v>
      </c>
      <c r="B1317" t="str">
        <f>"1551689035621464"</f>
        <v>1551689035621464</v>
      </c>
      <c r="C1317" t="s">
        <v>40</v>
      </c>
      <c r="D1317">
        <v>5.6451320000000003</v>
      </c>
      <c r="E1317">
        <v>0.58964859999999997</v>
      </c>
      <c r="F1317" t="s">
        <v>41</v>
      </c>
      <c r="G1317">
        <v>-213.58260000000001</v>
      </c>
      <c r="H1317">
        <v>0.9593507</v>
      </c>
      <c r="I1317">
        <v>366.85930000000002</v>
      </c>
      <c r="J1317">
        <v>-214.28559999999999</v>
      </c>
      <c r="K1317">
        <v>1.107051</v>
      </c>
      <c r="L1317">
        <v>367.15320000000003</v>
      </c>
      <c r="M1317">
        <v>0.99165479999999995</v>
      </c>
      <c r="N1317">
        <v>-1.439349E-2</v>
      </c>
      <c r="O1317">
        <v>-0.1281158</v>
      </c>
      <c r="P1317">
        <v>0.93849150000000003</v>
      </c>
      <c r="Q1317">
        <v>0.30324469999999998</v>
      </c>
      <c r="R1317">
        <v>-0.165156</v>
      </c>
      <c r="S1317">
        <v>3.1672060000000002</v>
      </c>
      <c r="T1317">
        <v>-0.539439</v>
      </c>
      <c r="U1317">
        <v>-1.157837</v>
      </c>
      <c r="V1317">
        <v>4.6421379999999998E-2</v>
      </c>
      <c r="W1317">
        <v>0.31650630000000002</v>
      </c>
      <c r="X1317">
        <v>0.94745389999999996</v>
      </c>
      <c r="Y1317">
        <v>0.21851000000000001</v>
      </c>
      <c r="Z1317">
        <v>-4.9234180000000004E-4</v>
      </c>
      <c r="AA1317">
        <v>0.9758346</v>
      </c>
      <c r="AB1317">
        <v>30</v>
      </c>
      <c r="AC1317">
        <v>0.70299999999997398</v>
      </c>
      <c r="AD1317">
        <v>-0.14770030000000001</v>
      </c>
      <c r="AE1317">
        <v>-0.29390000000000699</v>
      </c>
      <c r="AF1317">
        <v>0.19410919129381701</v>
      </c>
      <c r="AG1317">
        <v>-0.14770030000000001</v>
      </c>
      <c r="AH1317">
        <v>0.70825033138859295</v>
      </c>
      <c r="AI1317">
        <v>101.37193219048901</v>
      </c>
      <c r="AJ1317">
        <v>74.673372747617293</v>
      </c>
      <c r="AK1317">
        <v>0.74907428782256402</v>
      </c>
      <c r="AL1317">
        <v>71.548228996213794</v>
      </c>
      <c r="AM1317">
        <v>87.194983437559898</v>
      </c>
      <c r="AN1317">
        <v>1.000000037543</v>
      </c>
    </row>
    <row r="1318" spans="1:40" x14ac:dyDescent="0.25">
      <c r="A1318" t="str">
        <f>"20190304164355641"</f>
        <v>20190304164355641</v>
      </c>
      <c r="B1318" t="str">
        <f>"1551689035631225"</f>
        <v>1551689035631225</v>
      </c>
      <c r="C1318" t="s">
        <v>40</v>
      </c>
      <c r="D1318">
        <v>5.6410869999999997</v>
      </c>
      <c r="E1318">
        <v>0.58976969999999995</v>
      </c>
      <c r="F1318" t="s">
        <v>41</v>
      </c>
      <c r="G1318">
        <v>-213.5676</v>
      </c>
      <c r="H1318">
        <v>0.98564510000000005</v>
      </c>
      <c r="I1318">
        <v>366.88749999999999</v>
      </c>
      <c r="J1318">
        <v>-214.1422</v>
      </c>
      <c r="K1318">
        <v>1.1070359999999999</v>
      </c>
      <c r="L1318">
        <v>367.13229999999999</v>
      </c>
      <c r="M1318">
        <v>0.99135709999999999</v>
      </c>
      <c r="N1318">
        <v>-1.4393950000000001E-2</v>
      </c>
      <c r="O1318">
        <v>-0.1304005</v>
      </c>
      <c r="P1318">
        <v>0.93783099999999997</v>
      </c>
      <c r="Q1318">
        <v>0.30405140000000003</v>
      </c>
      <c r="R1318">
        <v>-0.16741</v>
      </c>
      <c r="S1318">
        <v>3.1636510000000002</v>
      </c>
      <c r="T1318">
        <v>-0.53485509999999903</v>
      </c>
      <c r="U1318">
        <v>-1.169403</v>
      </c>
      <c r="V1318">
        <v>4.6568900000000003E-2</v>
      </c>
      <c r="W1318">
        <v>0.3173068</v>
      </c>
      <c r="X1318">
        <v>0.94717879999999999</v>
      </c>
      <c r="Y1318">
        <v>0.2197876</v>
      </c>
      <c r="Z1318">
        <v>-2.9765439999999998E-4</v>
      </c>
      <c r="AA1318">
        <v>0.97554770000000002</v>
      </c>
      <c r="AB1318">
        <v>30</v>
      </c>
      <c r="AC1318">
        <v>0.574600000000003</v>
      </c>
      <c r="AD1318">
        <v>-0.1213909</v>
      </c>
      <c r="AE1318">
        <v>-0.24479999999999699</v>
      </c>
      <c r="AF1318">
        <v>0.161666481582496</v>
      </c>
      <c r="AG1318">
        <v>-0.1213909</v>
      </c>
      <c r="AH1318">
        <v>0.57971912907836798</v>
      </c>
      <c r="AI1318">
        <v>101.40355382405301</v>
      </c>
      <c r="AJ1318">
        <v>74.417789367607497</v>
      </c>
      <c r="AK1318">
        <v>0.61395933944313896</v>
      </c>
      <c r="AL1318">
        <v>71.499869979742101</v>
      </c>
      <c r="AM1318">
        <v>87.185267866893895</v>
      </c>
      <c r="AN1318">
        <v>0.99999997347144398</v>
      </c>
    </row>
    <row r="1319" spans="1:40" x14ac:dyDescent="0.25">
      <c r="A1319" t="str">
        <f>"20190304164355653"</f>
        <v>20190304164355653</v>
      </c>
      <c r="B1319" t="str">
        <f>"1551689035640985"</f>
        <v>1551689035640985</v>
      </c>
      <c r="C1319" t="s">
        <v>40</v>
      </c>
      <c r="D1319">
        <v>5.6556620000000004</v>
      </c>
      <c r="E1319">
        <v>0.58985710000000002</v>
      </c>
      <c r="F1319" t="s">
        <v>41</v>
      </c>
      <c r="G1319">
        <v>-213.31659999999999</v>
      </c>
      <c r="H1319">
        <v>0.96825410000000001</v>
      </c>
      <c r="I1319">
        <v>366.8245</v>
      </c>
      <c r="J1319">
        <v>-213.98580000000001</v>
      </c>
      <c r="K1319">
        <v>1.1070199999999999</v>
      </c>
      <c r="L1319">
        <v>367.10930000000002</v>
      </c>
      <c r="M1319">
        <v>0.99102469999999998</v>
      </c>
      <c r="N1319">
        <v>-1.4394399999999899E-2</v>
      </c>
      <c r="O1319">
        <v>-0.13290099999999999</v>
      </c>
      <c r="P1319">
        <v>0.93689579999999995</v>
      </c>
      <c r="Q1319">
        <v>0.30547269999999999</v>
      </c>
      <c r="R1319">
        <v>-0.17003670000000001</v>
      </c>
      <c r="S1319">
        <v>3.160828</v>
      </c>
      <c r="T1319">
        <v>-0.53129950000000004</v>
      </c>
      <c r="U1319">
        <v>-1.178131</v>
      </c>
      <c r="V1319">
        <v>4.6923060000000003E-2</v>
      </c>
      <c r="W1319">
        <v>0.3187159</v>
      </c>
      <c r="X1319">
        <v>0.94668810000000003</v>
      </c>
      <c r="Y1319">
        <v>0.22001799999999999</v>
      </c>
      <c r="Z1319" s="1">
        <v>2.278946E-5</v>
      </c>
      <c r="AA1319">
        <v>0.97549580000000002</v>
      </c>
      <c r="AB1319">
        <v>30</v>
      </c>
      <c r="AC1319">
        <v>0.669200000000017</v>
      </c>
      <c r="AD1319">
        <v>-0.1387659</v>
      </c>
      <c r="AE1319">
        <v>-0.28480000000001798</v>
      </c>
      <c r="AF1319">
        <v>0.186535724354114</v>
      </c>
      <c r="AG1319">
        <v>-0.1387659</v>
      </c>
      <c r="AH1319">
        <v>0.67648914001341398</v>
      </c>
      <c r="AI1319">
        <v>101.18573679044</v>
      </c>
      <c r="AJ1319">
        <v>74.584290389074795</v>
      </c>
      <c r="AK1319">
        <v>0.71532447743608796</v>
      </c>
      <c r="AL1319">
        <v>71.414713860121196</v>
      </c>
      <c r="AM1319">
        <v>87.162428788965499</v>
      </c>
      <c r="AN1319">
        <v>0.999999978577091</v>
      </c>
    </row>
    <row r="1320" spans="1:40" x14ac:dyDescent="0.25">
      <c r="A1320" t="str">
        <f>"20190304164355665"</f>
        <v>20190304164355665</v>
      </c>
      <c r="B1320" t="str">
        <f>"1551689035661481"</f>
        <v>1551689035661481</v>
      </c>
      <c r="C1320" t="s">
        <v>40</v>
      </c>
      <c r="D1320">
        <v>5.688053</v>
      </c>
      <c r="E1320">
        <v>0.59003359999999905</v>
      </c>
      <c r="F1320" t="s">
        <v>41</v>
      </c>
      <c r="G1320">
        <v>-213.30199999999999</v>
      </c>
      <c r="H1320">
        <v>0.99304680000000001</v>
      </c>
      <c r="I1320">
        <v>366.85199999999998</v>
      </c>
      <c r="J1320">
        <v>-213.84280000000001</v>
      </c>
      <c r="K1320">
        <v>1.107003</v>
      </c>
      <c r="L1320">
        <v>367.08769999999998</v>
      </c>
      <c r="M1320">
        <v>0.99071169999999997</v>
      </c>
      <c r="N1320">
        <v>-1.439498E-2</v>
      </c>
      <c r="O1320">
        <v>-0.13521459999999999</v>
      </c>
      <c r="P1320">
        <v>0.93622399999999995</v>
      </c>
      <c r="Q1320">
        <v>0.30624770000000001</v>
      </c>
      <c r="R1320">
        <v>-0.172327799999999</v>
      </c>
      <c r="S1320">
        <v>3.1580349999999999</v>
      </c>
      <c r="T1320">
        <v>-0.52641009999999999</v>
      </c>
      <c r="U1320">
        <v>-1.18808</v>
      </c>
      <c r="V1320">
        <v>4.7084519999999998E-2</v>
      </c>
      <c r="W1320">
        <v>0.3194842</v>
      </c>
      <c r="X1320">
        <v>0.94642110000000002</v>
      </c>
      <c r="Y1320">
        <v>0.2207557</v>
      </c>
      <c r="Z1320">
        <v>2.5696310000000001E-4</v>
      </c>
      <c r="AA1320">
        <v>0.97532909999999995</v>
      </c>
      <c r="AB1320">
        <v>30</v>
      </c>
      <c r="AC1320">
        <v>0.54079999999998996</v>
      </c>
      <c r="AD1320">
        <v>-0.11395619999999899</v>
      </c>
      <c r="AE1320">
        <v>-0.23570000000000799</v>
      </c>
      <c r="AF1320">
        <v>0.15463332090530599</v>
      </c>
      <c r="AG1320">
        <v>-0.11395619999999899</v>
      </c>
      <c r="AH1320">
        <v>0.54728440840887105</v>
      </c>
      <c r="AI1320">
        <v>101.330670321133</v>
      </c>
      <c r="AJ1320">
        <v>74.222544131590197</v>
      </c>
      <c r="AK1320">
        <v>0.58001526112688695</v>
      </c>
      <c r="AL1320">
        <v>71.368265681601002</v>
      </c>
      <c r="AM1320">
        <v>87.151878932165701</v>
      </c>
      <c r="AN1320">
        <v>1.0000000022992399</v>
      </c>
    </row>
    <row r="1321" spans="1:40" x14ac:dyDescent="0.25">
      <c r="A1321" t="str">
        <f>"20190304164355676"</f>
        <v>20190304164355676</v>
      </c>
      <c r="B1321" t="str">
        <f>"1551689035671240"</f>
        <v>1551689035671240</v>
      </c>
      <c r="C1321" t="s">
        <v>40</v>
      </c>
      <c r="D1321">
        <v>5.6871859999999996</v>
      </c>
      <c r="E1321">
        <v>0.59011349999999996</v>
      </c>
      <c r="F1321" t="s">
        <v>41</v>
      </c>
      <c r="G1321">
        <v>-213.05170000000001</v>
      </c>
      <c r="H1321">
        <v>0.97579340000000003</v>
      </c>
      <c r="I1321">
        <v>366.78739999999999</v>
      </c>
      <c r="J1321">
        <v>-213.69220000000001</v>
      </c>
      <c r="K1321">
        <v>1.106984</v>
      </c>
      <c r="L1321">
        <v>367.06470000000002</v>
      </c>
      <c r="M1321">
        <v>0.99037520000000001</v>
      </c>
      <c r="N1321">
        <v>-1.439556E-2</v>
      </c>
      <c r="O1321">
        <v>-0.13765749999999999</v>
      </c>
      <c r="P1321">
        <v>0.93559639999999999</v>
      </c>
      <c r="Q1321">
        <v>0.30671739999999997</v>
      </c>
      <c r="R1321">
        <v>-0.1748826</v>
      </c>
      <c r="S1321">
        <v>3.155106</v>
      </c>
      <c r="T1321">
        <v>-0.52328609999999998</v>
      </c>
      <c r="U1321">
        <v>-1.1976009999999999</v>
      </c>
      <c r="V1321">
        <v>4.737628E-2</v>
      </c>
      <c r="W1321">
        <v>0.3199478</v>
      </c>
      <c r="X1321">
        <v>0.94624989999999998</v>
      </c>
      <c r="Y1321">
        <v>0.22125710000000001</v>
      </c>
      <c r="Z1321">
        <v>5.3830260000000004E-4</v>
      </c>
      <c r="AA1321">
        <v>0.97521539999999995</v>
      </c>
      <c r="AB1321">
        <v>29</v>
      </c>
      <c r="AC1321">
        <v>0.64050000000000296</v>
      </c>
      <c r="AD1321">
        <v>-0.13119059999999899</v>
      </c>
      <c r="AE1321">
        <v>-0.27730000000002503</v>
      </c>
      <c r="AF1321">
        <v>0.18011704039104801</v>
      </c>
      <c r="AG1321">
        <v>-0.13119059999999899</v>
      </c>
      <c r="AH1321">
        <v>0.64962557720106995</v>
      </c>
      <c r="AI1321">
        <v>101.012479395784</v>
      </c>
      <c r="AJ1321">
        <v>74.503282301643793</v>
      </c>
      <c r="AK1321">
        <v>0.68677981356575502</v>
      </c>
      <c r="AL1321">
        <v>71.340231724819901</v>
      </c>
      <c r="AM1321">
        <v>87.133742213068203</v>
      </c>
      <c r="AN1321">
        <v>0.99999998994074402</v>
      </c>
    </row>
    <row r="1322" spans="1:40" x14ac:dyDescent="0.25">
      <c r="A1322" t="str">
        <f>"20190304164355686"</f>
        <v>20190304164355686</v>
      </c>
      <c r="B1322" t="str">
        <f>"1551689035681001"</f>
        <v>1551689035681001</v>
      </c>
      <c r="C1322" t="s">
        <v>40</v>
      </c>
      <c r="D1322">
        <v>5.6880110000000004</v>
      </c>
      <c r="E1322">
        <v>0.59017149999999996</v>
      </c>
      <c r="F1322" t="s">
        <v>41</v>
      </c>
      <c r="G1322">
        <v>-212.80119999999999</v>
      </c>
      <c r="H1322">
        <v>0.95946609999999999</v>
      </c>
      <c r="I1322">
        <v>366.72359999999998</v>
      </c>
      <c r="J1322">
        <v>-213.55289999999999</v>
      </c>
      <c r="K1322">
        <v>1.106965</v>
      </c>
      <c r="L1322">
        <v>367.04300000000001</v>
      </c>
      <c r="M1322">
        <v>0.99005480000000001</v>
      </c>
      <c r="N1322">
        <v>-1.4396320000000001E-2</v>
      </c>
      <c r="O1322">
        <v>-0.13994319999999999</v>
      </c>
      <c r="P1322">
        <v>0.93523999999999996</v>
      </c>
      <c r="Q1322">
        <v>0.3064385</v>
      </c>
      <c r="R1322">
        <v>-0.17726129999999901</v>
      </c>
      <c r="S1322">
        <v>3.1520839999999999</v>
      </c>
      <c r="T1322">
        <v>-0.52177549999999995</v>
      </c>
      <c r="U1322">
        <v>-1.206329</v>
      </c>
      <c r="V1322">
        <v>4.7601070000000002E-2</v>
      </c>
      <c r="W1322">
        <v>0.31966630000000001</v>
      </c>
      <c r="X1322">
        <v>0.9463338</v>
      </c>
      <c r="Y1322">
        <v>0.22169759999999999</v>
      </c>
      <c r="Z1322">
        <v>8.1253420000000002E-4</v>
      </c>
      <c r="AA1322">
        <v>0.97511510000000001</v>
      </c>
      <c r="AB1322">
        <v>29</v>
      </c>
      <c r="AC1322">
        <v>0.75169999999999904</v>
      </c>
      <c r="AD1322">
        <v>-0.14749889999999999</v>
      </c>
      <c r="AE1322">
        <v>-0.31940000000002999</v>
      </c>
      <c r="AF1322">
        <v>0.204384258331341</v>
      </c>
      <c r="AG1322">
        <v>-0.14749889999999999</v>
      </c>
      <c r="AH1322">
        <v>0.76408389290347201</v>
      </c>
      <c r="AI1322">
        <v>100.563405535428</v>
      </c>
      <c r="AJ1322">
        <v>75.024588124880097</v>
      </c>
      <c r="AK1322">
        <v>0.80458252898592497</v>
      </c>
      <c r="AL1322">
        <v>71.357255310768707</v>
      </c>
      <c r="AM1322">
        <v>87.120420181960597</v>
      </c>
      <c r="AN1322">
        <v>1.0000000331216301</v>
      </c>
    </row>
    <row r="1323" spans="1:40" x14ac:dyDescent="0.25">
      <c r="A1323" t="str">
        <f>"20190304164355697"</f>
        <v>20190304164355697</v>
      </c>
      <c r="B1323" t="str">
        <f>"1551689035690761"</f>
        <v>1551689035690761</v>
      </c>
      <c r="C1323" t="s">
        <v>40</v>
      </c>
      <c r="D1323">
        <v>5.6892860000000001</v>
      </c>
      <c r="E1323">
        <v>0.59024279999999996</v>
      </c>
      <c r="F1323" t="s">
        <v>41</v>
      </c>
      <c r="G1323">
        <v>-212.78890000000001</v>
      </c>
      <c r="H1323">
        <v>0.98004389999999997</v>
      </c>
      <c r="I1323">
        <v>366.74799999999999</v>
      </c>
      <c r="J1323">
        <v>-213.41560000000001</v>
      </c>
      <c r="K1323">
        <v>1.1069420000000001</v>
      </c>
      <c r="L1323">
        <v>367.02140000000003</v>
      </c>
      <c r="M1323">
        <v>0.98973230000000001</v>
      </c>
      <c r="N1323">
        <v>-1.4397099999999999E-2</v>
      </c>
      <c r="O1323">
        <v>-0.14220629999999901</v>
      </c>
      <c r="P1323">
        <v>0.93482370000000004</v>
      </c>
      <c r="Q1323">
        <v>0.30641620000000003</v>
      </c>
      <c r="R1323">
        <v>-0.17948210000000001</v>
      </c>
      <c r="S1323">
        <v>3.1487270000000001</v>
      </c>
      <c r="T1323">
        <v>-0.52290919999999996</v>
      </c>
      <c r="U1323">
        <v>-1.2150879999999999</v>
      </c>
      <c r="V1323">
        <v>4.770141E-2</v>
      </c>
      <c r="W1323">
        <v>0.31964150000000002</v>
      </c>
      <c r="X1323">
        <v>0.94633710000000004</v>
      </c>
      <c r="Y1323">
        <v>0.22218869999999999</v>
      </c>
      <c r="Z1323">
        <v>1.1015630000000001E-3</v>
      </c>
      <c r="AA1323">
        <v>0.97500310000000001</v>
      </c>
      <c r="AB1323">
        <v>29</v>
      </c>
      <c r="AC1323">
        <v>0.62669999999999904</v>
      </c>
      <c r="AD1323">
        <v>-0.12689809999999899</v>
      </c>
      <c r="AE1323">
        <v>-0.27339999999998099</v>
      </c>
      <c r="AF1323">
        <v>0.17544761772693601</v>
      </c>
      <c r="AG1323">
        <v>-0.12689809999999899</v>
      </c>
      <c r="AH1323">
        <v>0.637262182012579</v>
      </c>
      <c r="AI1323">
        <v>100.86780093086701</v>
      </c>
      <c r="AJ1323">
        <v>74.606989241553407</v>
      </c>
      <c r="AK1323">
        <v>0.67304389379378604</v>
      </c>
      <c r="AL1323">
        <v>71.358754476102405</v>
      </c>
      <c r="AM1323">
        <v>87.114370506585203</v>
      </c>
      <c r="AN1323">
        <v>1.0000000099373201</v>
      </c>
    </row>
    <row r="1324" spans="1:40" x14ac:dyDescent="0.25">
      <c r="A1324" t="str">
        <f>"20190304164355708"</f>
        <v>20190304164355708</v>
      </c>
      <c r="B1324" t="str">
        <f>"1551689035701497"</f>
        <v>1551689035701497</v>
      </c>
      <c r="C1324" t="s">
        <v>40</v>
      </c>
      <c r="D1324">
        <v>5.6883699999999999</v>
      </c>
      <c r="E1324">
        <v>0.59028019999999903</v>
      </c>
      <c r="F1324" t="s">
        <v>41</v>
      </c>
      <c r="G1324">
        <v>-212.5403</v>
      </c>
      <c r="H1324">
        <v>0.96150990000000003</v>
      </c>
      <c r="I1324">
        <v>366.68090000000001</v>
      </c>
      <c r="J1324">
        <v>-213.26840000000001</v>
      </c>
      <c r="K1324">
        <v>1.106922</v>
      </c>
      <c r="L1324">
        <v>366.99770000000001</v>
      </c>
      <c r="M1324">
        <v>0.98937730000000002</v>
      </c>
      <c r="N1324">
        <v>-1.439815E-2</v>
      </c>
      <c r="O1324">
        <v>-0.1446556</v>
      </c>
      <c r="P1324">
        <v>0.9345928</v>
      </c>
      <c r="Q1324">
        <v>0.305705</v>
      </c>
      <c r="R1324">
        <v>-0.18188199999999999</v>
      </c>
      <c r="S1324">
        <v>3.145645</v>
      </c>
      <c r="T1324">
        <v>-0.52271339999999999</v>
      </c>
      <c r="U1324">
        <v>-1.2232970000000001</v>
      </c>
      <c r="V1324">
        <v>4.7768629999999999E-2</v>
      </c>
      <c r="W1324">
        <v>0.31893110000000002</v>
      </c>
      <c r="X1324">
        <v>0.94657340000000001</v>
      </c>
      <c r="Y1324">
        <v>0.22233140000000001</v>
      </c>
      <c r="Z1324">
        <v>1.4358179999999999E-3</v>
      </c>
      <c r="AA1324">
        <v>0.97497009999999995</v>
      </c>
      <c r="AB1324">
        <v>29</v>
      </c>
      <c r="AC1324">
        <v>0.72810000000001196</v>
      </c>
      <c r="AD1324">
        <v>-0.14541209999999899</v>
      </c>
      <c r="AE1324">
        <v>-0.31680000000000003</v>
      </c>
      <c r="AF1324">
        <v>0.20137895626423599</v>
      </c>
      <c r="AG1324">
        <v>-0.14541209999999899</v>
      </c>
      <c r="AH1324">
        <v>0.74140750546661804</v>
      </c>
      <c r="AI1324">
        <v>100.71771289536299</v>
      </c>
      <c r="AJ1324">
        <v>74.804102552335607</v>
      </c>
      <c r="AK1324">
        <v>0.781910002503303</v>
      </c>
      <c r="AL1324">
        <v>71.401706207178293</v>
      </c>
      <c r="AM1324">
        <v>87.111031166678998</v>
      </c>
      <c r="AN1324">
        <v>1.0000000450734201</v>
      </c>
    </row>
    <row r="1325" spans="1:40" x14ac:dyDescent="0.25">
      <c r="A1325" t="str">
        <f>"20190304164355719"</f>
        <v>20190304164355719</v>
      </c>
      <c r="B1325" t="str">
        <f>"1551689035711257"</f>
        <v>1551689035711257</v>
      </c>
      <c r="C1325" t="s">
        <v>40</v>
      </c>
      <c r="D1325">
        <v>5.7023000000000001</v>
      </c>
      <c r="E1325">
        <v>0.59031250000000002</v>
      </c>
      <c r="F1325" t="s">
        <v>41</v>
      </c>
      <c r="G1325">
        <v>-212.5273</v>
      </c>
      <c r="H1325">
        <v>0.98296190000000006</v>
      </c>
      <c r="I1325">
        <v>366.70699999999999</v>
      </c>
      <c r="J1325">
        <v>-213.12739999999999</v>
      </c>
      <c r="K1325">
        <v>1.106897</v>
      </c>
      <c r="L1325">
        <v>366.97469999999998</v>
      </c>
      <c r="M1325">
        <v>0.98902889999999999</v>
      </c>
      <c r="N1325">
        <v>-1.4399210000000001E-2</v>
      </c>
      <c r="O1325">
        <v>-0.1470195</v>
      </c>
      <c r="P1325">
        <v>0.93422430000000001</v>
      </c>
      <c r="Q1325">
        <v>0.30549199999999999</v>
      </c>
      <c r="R1325">
        <v>-0.18411959999999999</v>
      </c>
      <c r="S1325">
        <v>3.1422119999999998</v>
      </c>
      <c r="T1325">
        <v>-0.52567319999999995</v>
      </c>
      <c r="U1325">
        <v>-1.231781</v>
      </c>
      <c r="V1325">
        <v>4.778085E-2</v>
      </c>
      <c r="W1325">
        <v>0.31871729999999998</v>
      </c>
      <c r="X1325">
        <v>0.94664470000000001</v>
      </c>
      <c r="Y1325">
        <v>0.22265070000000001</v>
      </c>
      <c r="Z1325">
        <v>1.7754029999999901E-3</v>
      </c>
      <c r="AA1325">
        <v>0.97489669999999895</v>
      </c>
      <c r="AB1325">
        <v>29</v>
      </c>
      <c r="AC1325">
        <v>0.60009999999999697</v>
      </c>
      <c r="AD1325">
        <v>-0.12393509999999899</v>
      </c>
      <c r="AE1325">
        <v>-0.26769999999999</v>
      </c>
      <c r="AF1325">
        <v>0.17049004336385201</v>
      </c>
      <c r="AG1325">
        <v>-0.12393509999999899</v>
      </c>
      <c r="AH1325">
        <v>0.61119669220626205</v>
      </c>
      <c r="AI1325">
        <v>101.051758847108</v>
      </c>
      <c r="AJ1325">
        <v>74.413840368218303</v>
      </c>
      <c r="AK1325">
        <v>0.64652003871658403</v>
      </c>
      <c r="AL1325">
        <v>71.414628826491594</v>
      </c>
      <c r="AM1325">
        <v>87.110510653418402</v>
      </c>
      <c r="AN1325">
        <v>0.99999995749204995</v>
      </c>
    </row>
    <row r="1326" spans="1:40" x14ac:dyDescent="0.25">
      <c r="A1326" t="str">
        <f>"20190304164355733"</f>
        <v>20190304164355733</v>
      </c>
      <c r="B1326" t="str">
        <f>"1551689035721017"</f>
        <v>1551689035721017</v>
      </c>
      <c r="C1326" t="s">
        <v>40</v>
      </c>
      <c r="D1326">
        <v>5.6945309999999996</v>
      </c>
      <c r="E1326">
        <v>0.59036149999999998</v>
      </c>
      <c r="F1326" t="s">
        <v>41</v>
      </c>
      <c r="G1326">
        <v>-212.2792</v>
      </c>
      <c r="H1326">
        <v>0.96459600000000001</v>
      </c>
      <c r="I1326">
        <v>366.63959999999997</v>
      </c>
      <c r="J1326">
        <v>-212.94470000000001</v>
      </c>
      <c r="K1326">
        <v>1.1068629999999999</v>
      </c>
      <c r="L1326">
        <v>366.94450000000001</v>
      </c>
      <c r="M1326">
        <v>0.98856509999999997</v>
      </c>
      <c r="N1326">
        <v>-1.4400619999999999E-2</v>
      </c>
      <c r="O1326">
        <v>-0.1501053</v>
      </c>
      <c r="P1326">
        <v>0.93365489999999995</v>
      </c>
      <c r="Q1326">
        <v>0.30545809999999901</v>
      </c>
      <c r="R1326">
        <v>-0.1870407</v>
      </c>
      <c r="S1326">
        <v>3.1390380000000002</v>
      </c>
      <c r="T1326">
        <v>-0.52663719999999903</v>
      </c>
      <c r="U1326">
        <v>-1.239868</v>
      </c>
      <c r="V1326">
        <v>4.781241E-2</v>
      </c>
      <c r="W1326">
        <v>0.31868079999999999</v>
      </c>
      <c r="X1326">
        <v>0.94665549999999998</v>
      </c>
      <c r="Y1326">
        <v>0.22215070000000001</v>
      </c>
      <c r="Z1326">
        <v>2.2718180000000001E-3</v>
      </c>
      <c r="AA1326">
        <v>0.97500969999999998</v>
      </c>
      <c r="AB1326">
        <v>29</v>
      </c>
      <c r="AC1326">
        <v>0.66550000000000797</v>
      </c>
      <c r="AD1326">
        <v>-0.142267</v>
      </c>
      <c r="AE1326">
        <v>-0.30490000000003098</v>
      </c>
      <c r="AF1326">
        <v>0.19420399407144401</v>
      </c>
      <c r="AG1326">
        <v>-0.142267</v>
      </c>
      <c r="AH1326">
        <v>0.67811683700765701</v>
      </c>
      <c r="AI1326">
        <v>101.402959454174</v>
      </c>
      <c r="AJ1326">
        <v>74.018964187341197</v>
      </c>
      <c r="AK1326">
        <v>0.719581500064844</v>
      </c>
      <c r="AL1326">
        <v>71.416837092086197</v>
      </c>
      <c r="AM1326">
        <v>87.108638268747498</v>
      </c>
      <c r="AN1326">
        <v>1.0000000572594401</v>
      </c>
    </row>
    <row r="1327" spans="1:40" x14ac:dyDescent="0.25">
      <c r="A1327" t="str">
        <f>"20190304164355748"</f>
        <v>20190304164355748</v>
      </c>
      <c r="B1327" t="str">
        <f>"1551689035741513"</f>
        <v>1551689035741513</v>
      </c>
      <c r="C1327" t="s">
        <v>40</v>
      </c>
      <c r="D1327">
        <v>5.701797</v>
      </c>
      <c r="E1327">
        <v>0.59048940000000005</v>
      </c>
      <c r="F1327" t="s">
        <v>41</v>
      </c>
      <c r="G1327">
        <v>-212.26230000000001</v>
      </c>
      <c r="H1327">
        <v>0.99216760000000004</v>
      </c>
      <c r="I1327">
        <v>366.67230000000001</v>
      </c>
      <c r="J1327">
        <v>-212.7646</v>
      </c>
      <c r="K1327">
        <v>1.106827</v>
      </c>
      <c r="L1327">
        <v>366.91379999999998</v>
      </c>
      <c r="M1327">
        <v>0.98809000000000002</v>
      </c>
      <c r="N1327">
        <v>-1.4402440000000001E-2</v>
      </c>
      <c r="O1327">
        <v>-0.153201</v>
      </c>
      <c r="P1327">
        <v>0.93320099999999995</v>
      </c>
      <c r="Q1327">
        <v>0.30509989999999998</v>
      </c>
      <c r="R1327">
        <v>-0.18986839999999999</v>
      </c>
      <c r="S1327">
        <v>3.1351170000000002</v>
      </c>
      <c r="T1327">
        <v>-0.52694730000000001</v>
      </c>
      <c r="U1327">
        <v>-1.2502139999999999</v>
      </c>
      <c r="V1327">
        <v>4.7723229999999998E-2</v>
      </c>
      <c r="W1327">
        <v>0.31832270000000001</v>
      </c>
      <c r="X1327">
        <v>0.94678039999999997</v>
      </c>
      <c r="Y1327">
        <v>0.22231960000000001</v>
      </c>
      <c r="Z1327">
        <v>2.7049819999999999E-3</v>
      </c>
      <c r="AA1327">
        <v>0.97497009999999995</v>
      </c>
      <c r="AB1327">
        <v>29</v>
      </c>
      <c r="AC1327">
        <v>0.50229999999999098</v>
      </c>
      <c r="AD1327">
        <v>-0.11465939999999999</v>
      </c>
      <c r="AE1327">
        <v>-0.24149999999997299</v>
      </c>
      <c r="AF1327">
        <v>0.155122368913166</v>
      </c>
      <c r="AG1327">
        <v>-0.11465939999999999</v>
      </c>
      <c r="AH1327">
        <v>0.51171361539754001</v>
      </c>
      <c r="AI1327">
        <v>102.102838843089</v>
      </c>
      <c r="AJ1327">
        <v>73.135690663382505</v>
      </c>
      <c r="AK1327">
        <v>0.546864289864326</v>
      </c>
      <c r="AL1327">
        <v>71.438480569922405</v>
      </c>
      <c r="AM1327">
        <v>87.114402205652794</v>
      </c>
      <c r="AN1327">
        <v>0.99999998692054104</v>
      </c>
    </row>
    <row r="1328" spans="1:40" x14ac:dyDescent="0.25">
      <c r="A1328" t="str">
        <f>"20190304164355764"</f>
        <v>20190304164355764</v>
      </c>
      <c r="B1328" t="str">
        <f>"1551689035761032"</f>
        <v>1551689035761032</v>
      </c>
      <c r="C1328" t="s">
        <v>40</v>
      </c>
      <c r="D1328">
        <v>5.7270320000000003</v>
      </c>
      <c r="E1328">
        <v>0.59054949999999995</v>
      </c>
      <c r="F1328" t="s">
        <v>41</v>
      </c>
      <c r="G1328">
        <v>-212.0112</v>
      </c>
      <c r="H1328">
        <v>0.97967269999999895</v>
      </c>
      <c r="I1328">
        <v>366.61040000000003</v>
      </c>
      <c r="J1328">
        <v>-212.54310000000001</v>
      </c>
      <c r="K1328">
        <v>1.106773</v>
      </c>
      <c r="L1328">
        <v>366.87540000000001</v>
      </c>
      <c r="M1328">
        <v>0.98748389999999997</v>
      </c>
      <c r="N1328">
        <v>-1.440497E-2</v>
      </c>
      <c r="O1328">
        <v>-0.15706110000000001</v>
      </c>
      <c r="P1328">
        <v>0.93241770000000002</v>
      </c>
      <c r="Q1328">
        <v>0.30473</v>
      </c>
      <c r="R1328">
        <v>-0.1942603</v>
      </c>
      <c r="S1328">
        <v>3.1311339999999999</v>
      </c>
      <c r="T1328">
        <v>-0.52833149999999995</v>
      </c>
      <c r="U1328">
        <v>-1.2599180000000001</v>
      </c>
      <c r="V1328">
        <v>4.850368E-2</v>
      </c>
      <c r="W1328">
        <v>0.31794299999999998</v>
      </c>
      <c r="X1328">
        <v>0.94686840000000005</v>
      </c>
      <c r="Y1328">
        <v>0.221582</v>
      </c>
      <c r="Z1328">
        <v>3.3426279999999998E-3</v>
      </c>
      <c r="AA1328">
        <v>0.975136</v>
      </c>
      <c r="AB1328">
        <v>29</v>
      </c>
      <c r="AC1328">
        <v>0.53190000000000703</v>
      </c>
      <c r="AD1328">
        <v>-0.1271003</v>
      </c>
      <c r="AE1328">
        <v>-0.26499999999998602</v>
      </c>
      <c r="AF1328">
        <v>0.17036745836217801</v>
      </c>
      <c r="AG1328">
        <v>-0.1271003</v>
      </c>
      <c r="AH1328">
        <v>0.542123264660195</v>
      </c>
      <c r="AI1328">
        <v>102.607537634023</v>
      </c>
      <c r="AJ1328">
        <v>72.554171582320393</v>
      </c>
      <c r="AK1328">
        <v>0.58230334982267395</v>
      </c>
      <c r="AL1328">
        <v>71.461429438133806</v>
      </c>
      <c r="AM1328">
        <v>87.067565892248794</v>
      </c>
      <c r="AN1328">
        <v>1.0000000625705401</v>
      </c>
    </row>
    <row r="1329" spans="1:40" x14ac:dyDescent="0.25">
      <c r="A1329" t="str">
        <f>"20190304164355776"</f>
        <v>20190304164355776</v>
      </c>
      <c r="B1329" t="str">
        <f>"1551689035770793"</f>
        <v>1551689035770793</v>
      </c>
      <c r="C1329" t="s">
        <v>40</v>
      </c>
      <c r="D1329">
        <v>5.7242749999999996</v>
      </c>
      <c r="E1329">
        <v>0.59056960000000003</v>
      </c>
      <c r="F1329" t="s">
        <v>41</v>
      </c>
      <c r="G1329">
        <v>-211.7569</v>
      </c>
      <c r="H1329">
        <v>0.97335260000000001</v>
      </c>
      <c r="I1329">
        <v>366.55470000000003</v>
      </c>
      <c r="J1329">
        <v>-212.3845</v>
      </c>
      <c r="K1329">
        <v>1.106735</v>
      </c>
      <c r="L1329">
        <v>366.84739999999999</v>
      </c>
      <c r="M1329">
        <v>0.98703459999999998</v>
      </c>
      <c r="N1329">
        <v>-1.440702E-2</v>
      </c>
      <c r="O1329">
        <v>-0.1598598</v>
      </c>
      <c r="P1329">
        <v>0.93192280000000005</v>
      </c>
      <c r="Q1329">
        <v>0.30456409999999901</v>
      </c>
      <c r="R1329">
        <v>-0.19687830000000001</v>
      </c>
      <c r="S1329">
        <v>3.1251069999999999</v>
      </c>
      <c r="T1329">
        <v>-0.53038509999999905</v>
      </c>
      <c r="U1329">
        <v>-1.275269</v>
      </c>
      <c r="V1329">
        <v>4.8501059999999999E-2</v>
      </c>
      <c r="W1329">
        <v>0.31777480000000002</v>
      </c>
      <c r="X1329">
        <v>0.94692489999999996</v>
      </c>
      <c r="Y1329">
        <v>0.22357440000000001</v>
      </c>
      <c r="Z1329">
        <v>3.6006290000000002E-3</v>
      </c>
      <c r="AA1329">
        <v>0.9746802</v>
      </c>
      <c r="AB1329">
        <v>29</v>
      </c>
      <c r="AC1329">
        <v>0.62760000000000005</v>
      </c>
      <c r="AD1329">
        <v>-0.13338239999999901</v>
      </c>
      <c r="AE1329">
        <v>-0.29269999999996799</v>
      </c>
      <c r="AF1329">
        <v>0.181850185054277</v>
      </c>
      <c r="AG1329">
        <v>-0.13338239999999901</v>
      </c>
      <c r="AH1329">
        <v>0.642487579079566</v>
      </c>
      <c r="AI1329">
        <v>101.296477876856</v>
      </c>
      <c r="AJ1329">
        <v>74.196323727010494</v>
      </c>
      <c r="AK1329">
        <v>0.68091896999977597</v>
      </c>
      <c r="AL1329">
        <v>71.471591974846405</v>
      </c>
      <c r="AM1329">
        <v>87.067898669965601</v>
      </c>
      <c r="AN1329">
        <v>0.99999997128808604</v>
      </c>
    </row>
    <row r="1330" spans="1:40" x14ac:dyDescent="0.25">
      <c r="A1330" t="str">
        <f>"20190304164355787"</f>
        <v>20190304164355787</v>
      </c>
      <c r="B1330" t="str">
        <f>"1551689035781528"</f>
        <v>1551689035781528</v>
      </c>
      <c r="C1330" t="s">
        <v>40</v>
      </c>
      <c r="D1330">
        <v>5.7120069999999998</v>
      </c>
      <c r="E1330">
        <v>0.59058310000000003</v>
      </c>
      <c r="F1330" t="s">
        <v>41</v>
      </c>
      <c r="G1330">
        <v>-211.50890000000001</v>
      </c>
      <c r="H1330">
        <v>0.95770670000000002</v>
      </c>
      <c r="I1330">
        <v>366.48669999999998</v>
      </c>
      <c r="J1330">
        <v>-212.23949999999999</v>
      </c>
      <c r="K1330">
        <v>1.1066929999999999</v>
      </c>
      <c r="L1330">
        <v>366.82119999999998</v>
      </c>
      <c r="M1330">
        <v>0.98660899999999996</v>
      </c>
      <c r="N1330">
        <v>-1.4409480000000001E-2</v>
      </c>
      <c r="O1330">
        <v>-0.16246549999999901</v>
      </c>
      <c r="P1330">
        <v>0.93133259999999995</v>
      </c>
      <c r="Q1330">
        <v>0.30457580000000001</v>
      </c>
      <c r="R1330">
        <v>-0.1996328</v>
      </c>
      <c r="S1330">
        <v>3.1212770000000001</v>
      </c>
      <c r="T1330">
        <v>-0.53120919999999905</v>
      </c>
      <c r="U1330">
        <v>-1.2850950000000001</v>
      </c>
      <c r="V1330">
        <v>4.8835940000000001E-2</v>
      </c>
      <c r="W1330">
        <v>0.31778119999999999</v>
      </c>
      <c r="X1330">
        <v>0.94690560000000001</v>
      </c>
      <c r="Y1330">
        <v>0.22406219999999999</v>
      </c>
      <c r="Z1330">
        <v>3.946789E-3</v>
      </c>
      <c r="AA1330">
        <v>0.97456690000000001</v>
      </c>
      <c r="AB1330">
        <v>29</v>
      </c>
      <c r="AC1330">
        <v>0.73059999999998104</v>
      </c>
      <c r="AD1330">
        <v>-0.14898629999999999</v>
      </c>
      <c r="AE1330">
        <v>-0.33449999999999103</v>
      </c>
      <c r="AF1330">
        <v>0.20432114668960399</v>
      </c>
      <c r="AG1330">
        <v>-0.14898629999999999</v>
      </c>
      <c r="AH1330">
        <v>0.74947602743888397</v>
      </c>
      <c r="AI1330">
        <v>100.856813441687</v>
      </c>
      <c r="AJ1330">
        <v>74.750673937990399</v>
      </c>
      <c r="AK1330">
        <v>0.79098569157590704</v>
      </c>
      <c r="AL1330">
        <v>71.471206318725606</v>
      </c>
      <c r="AM1330">
        <v>87.047629333663593</v>
      </c>
      <c r="AN1330">
        <v>1.0000000277102401</v>
      </c>
    </row>
    <row r="1331" spans="1:40" x14ac:dyDescent="0.25">
      <c r="A1331" t="str">
        <f>"20190304164355798"</f>
        <v>20190304164355798</v>
      </c>
      <c r="B1331" t="str">
        <f>"1551689035791288"</f>
        <v>1551689035791288</v>
      </c>
      <c r="C1331" t="s">
        <v>40</v>
      </c>
      <c r="D1331">
        <v>5.686661</v>
      </c>
      <c r="E1331">
        <v>0.59061739999999996</v>
      </c>
      <c r="F1331" t="s">
        <v>41</v>
      </c>
      <c r="G1331">
        <v>-211.49529999999999</v>
      </c>
      <c r="H1331">
        <v>0.97981510000000005</v>
      </c>
      <c r="I1331">
        <v>366.51179999999999</v>
      </c>
      <c r="J1331">
        <v>-212.1062</v>
      </c>
      <c r="K1331">
        <v>1.106654</v>
      </c>
      <c r="L1331">
        <v>366.79680000000002</v>
      </c>
      <c r="M1331">
        <v>0.98620790000000003</v>
      </c>
      <c r="N1331">
        <v>-1.44119E-2</v>
      </c>
      <c r="O1331">
        <v>-0.16488259999999999</v>
      </c>
      <c r="P1331">
        <v>0.93071820000000005</v>
      </c>
      <c r="Q1331">
        <v>0.30476019999999998</v>
      </c>
      <c r="R1331">
        <v>-0.2022002</v>
      </c>
      <c r="S1331">
        <v>3.1173860000000002</v>
      </c>
      <c r="T1331">
        <v>-0.53141119999999997</v>
      </c>
      <c r="U1331">
        <v>-1.2950740000000001</v>
      </c>
      <c r="V1331">
        <v>4.9171350000000003E-2</v>
      </c>
      <c r="W1331">
        <v>0.31795839999999997</v>
      </c>
      <c r="X1331">
        <v>0.94682869999999997</v>
      </c>
      <c r="Y1331">
        <v>0.2247797</v>
      </c>
      <c r="Z1331">
        <v>4.2370239999999998E-3</v>
      </c>
      <c r="AA1331">
        <v>0.97440040000000006</v>
      </c>
      <c r="AB1331">
        <v>29</v>
      </c>
      <c r="AC1331">
        <v>0.61090000000001499</v>
      </c>
      <c r="AD1331">
        <v>-0.1268389</v>
      </c>
      <c r="AE1331">
        <v>-0.28500000000002501</v>
      </c>
      <c r="AF1331">
        <v>0.17419415375452199</v>
      </c>
      <c r="AG1331">
        <v>-0.1268389</v>
      </c>
      <c r="AH1331">
        <v>0.62732405917197098</v>
      </c>
      <c r="AI1331">
        <v>101.024222143988</v>
      </c>
      <c r="AJ1331">
        <v>74.481191071812702</v>
      </c>
      <c r="AK1331">
        <v>0.66330022235143404</v>
      </c>
      <c r="AL1331">
        <v>71.460497134803703</v>
      </c>
      <c r="AM1331">
        <v>87.027147409754605</v>
      </c>
      <c r="AN1331">
        <v>0.99999997646753602</v>
      </c>
    </row>
    <row r="1332" spans="1:40" x14ac:dyDescent="0.25">
      <c r="A1332" t="str">
        <f>"20190304164355808"</f>
        <v>20190304164355808</v>
      </c>
      <c r="B1332" t="str">
        <f>"1551689035801049"</f>
        <v>1551689035801049</v>
      </c>
      <c r="C1332" t="s">
        <v>40</v>
      </c>
      <c r="D1332">
        <v>5.6900870000000001</v>
      </c>
      <c r="E1332">
        <v>0.59064510000000003</v>
      </c>
      <c r="F1332" t="s">
        <v>41</v>
      </c>
      <c r="G1332">
        <v>-211.25020000000001</v>
      </c>
      <c r="H1332">
        <v>0.96084570000000002</v>
      </c>
      <c r="I1332">
        <v>366.43790000000001</v>
      </c>
      <c r="J1332">
        <v>-211.96549999999999</v>
      </c>
      <c r="K1332">
        <v>1.1066069999999999</v>
      </c>
      <c r="L1332">
        <v>366.77069999999998</v>
      </c>
      <c r="M1332">
        <v>0.98577199999999998</v>
      </c>
      <c r="N1332">
        <v>-1.441479E-2</v>
      </c>
      <c r="O1332">
        <v>-0.1674687</v>
      </c>
      <c r="P1332">
        <v>0.93012910000000004</v>
      </c>
      <c r="Q1332">
        <v>0.30469289999999999</v>
      </c>
      <c r="R1332">
        <v>-0.20499329999999999</v>
      </c>
      <c r="S1332">
        <v>3.113251</v>
      </c>
      <c r="T1332">
        <v>-0.53034329999999996</v>
      </c>
      <c r="U1332">
        <v>-1.3058780000000001</v>
      </c>
      <c r="V1332">
        <v>4.9563000000000003E-2</v>
      </c>
      <c r="W1332">
        <v>0.31788509999999998</v>
      </c>
      <c r="X1332">
        <v>0.94683289999999998</v>
      </c>
      <c r="Y1332">
        <v>0.2255807</v>
      </c>
      <c r="Z1332">
        <v>4.5241420000000001E-3</v>
      </c>
      <c r="AA1332">
        <v>0.97421400000000002</v>
      </c>
      <c r="AB1332">
        <v>29</v>
      </c>
      <c r="AC1332">
        <v>0.71529999999998495</v>
      </c>
      <c r="AD1332">
        <v>-0.14576129999999901</v>
      </c>
      <c r="AE1332">
        <v>-0.33279999999996301</v>
      </c>
      <c r="AF1332">
        <v>0.20142058440864599</v>
      </c>
      <c r="AG1332">
        <v>-0.14576129999999901</v>
      </c>
      <c r="AH1332">
        <v>0.73581775528086901</v>
      </c>
      <c r="AI1332">
        <v>100.816857781558</v>
      </c>
      <c r="AJ1332">
        <v>74.691044351891804</v>
      </c>
      <c r="AK1332">
        <v>0.77668808242935505</v>
      </c>
      <c r="AL1332">
        <v>71.464926884307602</v>
      </c>
      <c r="AM1332">
        <v>87.003524877612406</v>
      </c>
      <c r="AN1332">
        <v>0.99999998414670899</v>
      </c>
    </row>
    <row r="1333" spans="1:40" x14ac:dyDescent="0.25">
      <c r="A1333" t="str">
        <f>"20190304164355820"</f>
        <v>20190304164355820</v>
      </c>
      <c r="B1333" t="str">
        <f>"1551689035810810"</f>
        <v>1551689035810810</v>
      </c>
      <c r="C1333" t="s">
        <v>40</v>
      </c>
      <c r="D1333">
        <v>5.6848289999999997</v>
      </c>
      <c r="E1333">
        <v>0.59066799999999997</v>
      </c>
      <c r="F1333" t="s">
        <v>41</v>
      </c>
      <c r="G1333">
        <v>-211.23679999999999</v>
      </c>
      <c r="H1333">
        <v>0.98231599999999997</v>
      </c>
      <c r="I1333">
        <v>366.46199999999999</v>
      </c>
      <c r="J1333">
        <v>-211.81370000000001</v>
      </c>
      <c r="K1333">
        <v>1.1065529999999999</v>
      </c>
      <c r="L1333">
        <v>366.74200000000002</v>
      </c>
      <c r="M1333">
        <v>0.98528590000000005</v>
      </c>
      <c r="N1333">
        <v>-1.4418210000000001E-2</v>
      </c>
      <c r="O1333">
        <v>-0.17030509999999999</v>
      </c>
      <c r="P1333">
        <v>0.92945</v>
      </c>
      <c r="Q1333">
        <v>0.30470350000000002</v>
      </c>
      <c r="R1333">
        <v>-0.2080351</v>
      </c>
      <c r="S1333">
        <v>3.1087799999999999</v>
      </c>
      <c r="T1333">
        <v>-0.53032109999999899</v>
      </c>
      <c r="U1333">
        <v>-1.3172299999999999</v>
      </c>
      <c r="V1333">
        <v>4.9979410000000002E-2</v>
      </c>
      <c r="W1333">
        <v>0.317887799999999</v>
      </c>
      <c r="X1333">
        <v>0.94681009999999999</v>
      </c>
      <c r="Y1333">
        <v>0.22631509999999999</v>
      </c>
      <c r="Z1333">
        <v>4.8694819999999996E-3</v>
      </c>
      <c r="AA1333">
        <v>0.97404199999999996</v>
      </c>
      <c r="AB1333">
        <v>29</v>
      </c>
      <c r="AC1333">
        <v>0.57690000000002295</v>
      </c>
      <c r="AD1333">
        <v>-0.124237</v>
      </c>
      <c r="AE1333">
        <v>-0.27999999999997199</v>
      </c>
      <c r="AF1333">
        <v>0.17122269035718199</v>
      </c>
      <c r="AG1333">
        <v>-0.124237</v>
      </c>
      <c r="AH1333">
        <v>0.59387009521480605</v>
      </c>
      <c r="AI1333">
        <v>101.365621666702</v>
      </c>
      <c r="AJ1333">
        <v>73.916842932210898</v>
      </c>
      <c r="AK1333">
        <v>0.630423454396007</v>
      </c>
      <c r="AL1333">
        <v>71.464763645269898</v>
      </c>
      <c r="AM1333">
        <v>86.978323431939401</v>
      </c>
      <c r="AN1333">
        <v>0.99999998013739799</v>
      </c>
    </row>
    <row r="1334" spans="1:40" x14ac:dyDescent="0.25">
      <c r="A1334" t="str">
        <f>"20190304164355832"</f>
        <v>20190304164355832</v>
      </c>
      <c r="B1334" t="str">
        <f>"1551689035821545"</f>
        <v>1551689035821545</v>
      </c>
      <c r="C1334" t="s">
        <v>40</v>
      </c>
      <c r="D1334">
        <v>5.679189</v>
      </c>
      <c r="E1334">
        <v>0.59068520000000002</v>
      </c>
      <c r="F1334" t="s">
        <v>41</v>
      </c>
      <c r="G1334">
        <v>-210.99080000000001</v>
      </c>
      <c r="H1334">
        <v>0.96594440000000004</v>
      </c>
      <c r="I1334">
        <v>366.3895</v>
      </c>
      <c r="J1334">
        <v>-211.65199999999999</v>
      </c>
      <c r="K1334">
        <v>1.106492</v>
      </c>
      <c r="L1334">
        <v>366.71109999999999</v>
      </c>
      <c r="M1334">
        <v>0.98475290000000004</v>
      </c>
      <c r="N1334">
        <v>-1.44219E-2</v>
      </c>
      <c r="O1334">
        <v>-0.17335970000000001</v>
      </c>
      <c r="P1334">
        <v>0.92870490000000006</v>
      </c>
      <c r="Q1334">
        <v>0.30458930000000001</v>
      </c>
      <c r="R1334">
        <v>-0.21150040000000001</v>
      </c>
      <c r="S1334">
        <v>3.1042019999999999</v>
      </c>
      <c r="T1334">
        <v>-0.53029599999999999</v>
      </c>
      <c r="U1334">
        <v>-1.3285830000000001</v>
      </c>
      <c r="V1334">
        <v>5.0616639999999997E-2</v>
      </c>
      <c r="W1334">
        <v>0.31776399999999999</v>
      </c>
      <c r="X1334">
        <v>0.94681780000000004</v>
      </c>
      <c r="Y1334">
        <v>0.22684860000000001</v>
      </c>
      <c r="Z1334">
        <v>5.2641650000000003E-3</v>
      </c>
      <c r="AA1334">
        <v>0.9739158</v>
      </c>
      <c r="AB1334">
        <v>29</v>
      </c>
      <c r="AC1334">
        <v>0.661200000000007</v>
      </c>
      <c r="AD1334">
        <v>-0.14054759999999999</v>
      </c>
      <c r="AE1334">
        <v>-0.32159999999998901</v>
      </c>
      <c r="AF1334">
        <v>0.19496811752095899</v>
      </c>
      <c r="AG1334">
        <v>-0.14054759999999999</v>
      </c>
      <c r="AH1334">
        <v>0.68202394005921096</v>
      </c>
      <c r="AI1334">
        <v>101.207279773888</v>
      </c>
      <c r="AJ1334">
        <v>74.046516475049003</v>
      </c>
      <c r="AK1334">
        <v>0.72313404672254</v>
      </c>
      <c r="AL1334">
        <v>71.472244670440404</v>
      </c>
      <c r="AM1334">
        <v>86.939895110617996</v>
      </c>
      <c r="AN1334">
        <v>0.99999997516886396</v>
      </c>
    </row>
    <row r="1335" spans="1:40" x14ac:dyDescent="0.25">
      <c r="A1335" t="str">
        <f>"20190304164355844"</f>
        <v>20190304164355844</v>
      </c>
      <c r="B1335" t="str">
        <f>"1551689035841571"</f>
        <v>1551689035841571</v>
      </c>
      <c r="C1335" t="s">
        <v>40</v>
      </c>
      <c r="D1335">
        <v>5.7019070000000003</v>
      </c>
      <c r="E1335">
        <v>0.59073089999999995</v>
      </c>
      <c r="F1335" t="s">
        <v>41</v>
      </c>
      <c r="G1335">
        <v>-210.9752</v>
      </c>
      <c r="H1335">
        <v>0.99049710000000002</v>
      </c>
      <c r="I1335">
        <v>366.4178</v>
      </c>
      <c r="J1335">
        <v>-211.51650000000001</v>
      </c>
      <c r="K1335">
        <v>1.1064350000000001</v>
      </c>
      <c r="L1335">
        <v>366.68439999999998</v>
      </c>
      <c r="M1335">
        <v>0.98428470000000001</v>
      </c>
      <c r="N1335">
        <v>-1.4426E-2</v>
      </c>
      <c r="O1335">
        <v>-0.1759993</v>
      </c>
      <c r="P1335">
        <v>0.92805249999999995</v>
      </c>
      <c r="Q1335">
        <v>0.304579299999999</v>
      </c>
      <c r="R1335">
        <v>-0.21436060000000001</v>
      </c>
      <c r="S1335">
        <v>3.098862</v>
      </c>
      <c r="T1335">
        <v>-0.53083290000000005</v>
      </c>
      <c r="U1335">
        <v>-1.3416440000000001</v>
      </c>
      <c r="V1335">
        <v>5.1042249999999997E-2</v>
      </c>
      <c r="W1335">
        <v>0.31774629999999998</v>
      </c>
      <c r="X1335">
        <v>0.94680089999999995</v>
      </c>
      <c r="Y1335">
        <v>0.22831119999999999</v>
      </c>
      <c r="Z1335">
        <v>5.5274779999999997E-3</v>
      </c>
      <c r="AA1335">
        <v>0.97357249999999995</v>
      </c>
      <c r="AB1335">
        <v>29</v>
      </c>
      <c r="AC1335">
        <v>0.541300000000006</v>
      </c>
      <c r="AD1335">
        <v>-0.1159379</v>
      </c>
      <c r="AE1335">
        <v>-0.26659999999998202</v>
      </c>
      <c r="AF1335">
        <v>0.161207595917051</v>
      </c>
      <c r="AG1335">
        <v>-0.1159379</v>
      </c>
      <c r="AH1335">
        <v>0.55913225702783798</v>
      </c>
      <c r="AI1335">
        <v>101.26792149935</v>
      </c>
      <c r="AJ1335">
        <v>73.916804535368797</v>
      </c>
      <c r="AK1335">
        <v>0.593345065275519</v>
      </c>
      <c r="AL1335">
        <v>71.473314395461401</v>
      </c>
      <c r="AM1335">
        <v>86.914158767139497</v>
      </c>
      <c r="AN1335">
        <v>0.99999998334478102</v>
      </c>
    </row>
    <row r="1336" spans="1:40" x14ac:dyDescent="0.25">
      <c r="A1336" t="str">
        <f>"20190304164355855"</f>
        <v>20190304164355855</v>
      </c>
      <c r="B1336" t="str">
        <f>"1551689035851331"</f>
        <v>1551689035851331</v>
      </c>
      <c r="C1336" t="s">
        <v>40</v>
      </c>
      <c r="D1336">
        <v>5.7249939999999997</v>
      </c>
      <c r="E1336">
        <v>0.59071640000000003</v>
      </c>
      <c r="F1336" t="s">
        <v>41</v>
      </c>
      <c r="G1336">
        <v>-210.73150000000001</v>
      </c>
      <c r="H1336">
        <v>0.97173909999999997</v>
      </c>
      <c r="I1336">
        <v>366.34100000000001</v>
      </c>
      <c r="J1336">
        <v>-211.37379999999999</v>
      </c>
      <c r="K1336">
        <v>1.106371</v>
      </c>
      <c r="L1336">
        <v>366.65609999999998</v>
      </c>
      <c r="M1336">
        <v>0.98378100000000002</v>
      </c>
      <c r="N1336">
        <v>-1.4430170000000001E-2</v>
      </c>
      <c r="O1336">
        <v>-0.17879229999999999</v>
      </c>
      <c r="P1336">
        <v>0.92730109999999999</v>
      </c>
      <c r="Q1336">
        <v>0.30450700000000003</v>
      </c>
      <c r="R1336">
        <v>-0.2176883</v>
      </c>
      <c r="S1336">
        <v>3.0942989999999999</v>
      </c>
      <c r="T1336">
        <v>-0.53083519999999995</v>
      </c>
      <c r="U1336">
        <v>-1.353027</v>
      </c>
      <c r="V1336">
        <v>5.1799610000000003E-2</v>
      </c>
      <c r="W1336">
        <v>0.31766179999999999</v>
      </c>
      <c r="X1336">
        <v>0.94678810000000002</v>
      </c>
      <c r="Y1336">
        <v>0.2290992</v>
      </c>
      <c r="Z1336">
        <v>5.8625530000000004E-3</v>
      </c>
      <c r="AA1336">
        <v>0.97338550000000001</v>
      </c>
      <c r="AB1336">
        <v>29</v>
      </c>
      <c r="AC1336">
        <v>0.642299999999977</v>
      </c>
      <c r="AD1336">
        <v>-0.1346319</v>
      </c>
      <c r="AE1336">
        <v>-0.31509999999997201</v>
      </c>
      <c r="AF1336">
        <v>0.18849618738291599</v>
      </c>
      <c r="AG1336">
        <v>-0.1346319</v>
      </c>
      <c r="AH1336">
        <v>0.66475077512977099</v>
      </c>
      <c r="AI1336">
        <v>101.025811759039</v>
      </c>
      <c r="AJ1336">
        <v>74.168828091235696</v>
      </c>
      <c r="AK1336">
        <v>0.703953232957373</v>
      </c>
      <c r="AL1336">
        <v>71.478420033733698</v>
      </c>
      <c r="AM1336">
        <v>86.8684195660244</v>
      </c>
      <c r="AN1336">
        <v>0.99999996253849999</v>
      </c>
    </row>
    <row r="1337" spans="1:40" x14ac:dyDescent="0.25">
      <c r="A1337" t="str">
        <f>"20190304164355865"</f>
        <v>20190304164355865</v>
      </c>
      <c r="B1337" t="str">
        <f>"1551689035861091"</f>
        <v>1551689035861091</v>
      </c>
      <c r="C1337" t="s">
        <v>40</v>
      </c>
      <c r="D1337">
        <v>5.5882569999999996</v>
      </c>
      <c r="E1337">
        <v>0.59071640000000003</v>
      </c>
      <c r="F1337" t="s">
        <v>41</v>
      </c>
      <c r="G1337">
        <v>-210.48769999999999</v>
      </c>
      <c r="H1337">
        <v>0.95408519999999997</v>
      </c>
      <c r="I1337">
        <v>366.26409999999998</v>
      </c>
      <c r="J1337">
        <v>-211.22649999999999</v>
      </c>
      <c r="K1337">
        <v>1.106295</v>
      </c>
      <c r="L1337">
        <v>366.62619999999998</v>
      </c>
      <c r="M1337">
        <v>0.98323450000000001</v>
      </c>
      <c r="N1337">
        <v>-1.443608E-2</v>
      </c>
      <c r="O1337">
        <v>-0.18177309999999999</v>
      </c>
      <c r="P1337">
        <v>0.92643039999999999</v>
      </c>
      <c r="Q1337">
        <v>0.30501339999999999</v>
      </c>
      <c r="R1337">
        <v>-0.22066659999999999</v>
      </c>
      <c r="S1337">
        <v>3.0888819999999999</v>
      </c>
      <c r="T1337">
        <v>-0.53070509999999904</v>
      </c>
      <c r="U1337">
        <v>-1.36557</v>
      </c>
      <c r="V1337">
        <v>5.2069570000000003E-2</v>
      </c>
      <c r="W1337">
        <v>0.31815909999999997</v>
      </c>
      <c r="X1337">
        <v>0.94660630000000001</v>
      </c>
      <c r="Y1337">
        <v>0.2301031</v>
      </c>
      <c r="Z1337">
        <v>6.2039269999999997E-3</v>
      </c>
      <c r="AA1337">
        <v>0.97314650000000003</v>
      </c>
      <c r="AB1337">
        <v>29</v>
      </c>
      <c r="AC1337">
        <v>0.73879999999999701</v>
      </c>
      <c r="AD1337">
        <v>-0.15220980000000001</v>
      </c>
      <c r="AE1337">
        <v>-0.36209999999999798</v>
      </c>
      <c r="AF1337">
        <v>0.21441999863592601</v>
      </c>
      <c r="AG1337">
        <v>-0.15220980000000001</v>
      </c>
      <c r="AH1337">
        <v>0.76609717786429399</v>
      </c>
      <c r="AI1337">
        <v>100.83146273503201</v>
      </c>
      <c r="AJ1337">
        <v>74.363801988953099</v>
      </c>
      <c r="AK1337">
        <v>0.80996829873934295</v>
      </c>
      <c r="AL1337">
        <v>71.448367896599194</v>
      </c>
      <c r="AM1337">
        <v>86.851528343298597</v>
      </c>
      <c r="AN1337">
        <v>0.99999997011624198</v>
      </c>
    </row>
    <row r="1338" spans="1:40" x14ac:dyDescent="0.25">
      <c r="A1338" t="str">
        <f>"20190304164355877"</f>
        <v>20190304164355877</v>
      </c>
      <c r="B1338" t="str">
        <f>"1551689035870852"</f>
        <v>1551689035870852</v>
      </c>
      <c r="C1338" t="s">
        <v>40</v>
      </c>
      <c r="D1338">
        <v>5.3881880000000004</v>
      </c>
      <c r="E1338">
        <v>0.57818380000000003</v>
      </c>
      <c r="F1338" t="s">
        <v>41</v>
      </c>
      <c r="G1338">
        <v>-210.47309999999999</v>
      </c>
      <c r="H1338">
        <v>0.97708989999999996</v>
      </c>
      <c r="I1338">
        <v>366.28989999999999</v>
      </c>
      <c r="J1338">
        <v>-211.0864</v>
      </c>
      <c r="K1338">
        <v>1.106223</v>
      </c>
      <c r="L1338">
        <v>366.59739999999999</v>
      </c>
      <c r="M1338">
        <v>0.98270060000000004</v>
      </c>
      <c r="N1338">
        <v>-1.4441910000000001E-2</v>
      </c>
      <c r="O1338">
        <v>-0.1846373</v>
      </c>
      <c r="P1338">
        <v>0.92535909999999999</v>
      </c>
      <c r="Q1338">
        <v>0.3056526</v>
      </c>
      <c r="R1338">
        <v>-0.2242479</v>
      </c>
      <c r="S1338">
        <v>3.084641</v>
      </c>
      <c r="T1338">
        <v>-0.52878950000000002</v>
      </c>
      <c r="U1338">
        <v>-1.3758539999999999</v>
      </c>
      <c r="V1338">
        <v>5.3082020000000001E-2</v>
      </c>
      <c r="W1338">
        <v>0.3187797</v>
      </c>
      <c r="X1338">
        <v>0.94634130000000005</v>
      </c>
      <c r="Y1338">
        <v>0.2305014</v>
      </c>
      <c r="Z1338">
        <v>6.5442919999999898E-3</v>
      </c>
      <c r="AA1338">
        <v>0.97304999999999997</v>
      </c>
      <c r="AB1338">
        <v>29</v>
      </c>
      <c r="AC1338">
        <v>0.61330000000000895</v>
      </c>
      <c r="AD1338">
        <v>-0.1291331</v>
      </c>
      <c r="AE1338">
        <v>-0.30750000000000399</v>
      </c>
      <c r="AF1338">
        <v>0.18249673296868801</v>
      </c>
      <c r="AG1338">
        <v>-0.1291331</v>
      </c>
      <c r="AH1338">
        <v>0.63696898878179598</v>
      </c>
      <c r="AI1338">
        <v>101.028104319874</v>
      </c>
      <c r="AJ1338">
        <v>74.012566805113494</v>
      </c>
      <c r="AK1338">
        <v>0.675062891684588</v>
      </c>
      <c r="AL1338">
        <v>71.410858159301696</v>
      </c>
      <c r="AM1338">
        <v>86.789538790484301</v>
      </c>
      <c r="AN1338">
        <v>1.00000002703252</v>
      </c>
    </row>
    <row r="1339" spans="1:40" x14ac:dyDescent="0.25">
      <c r="A1339" t="str">
        <f>"20190304164355887"</f>
        <v>20190304164355887</v>
      </c>
      <c r="B1339" t="str">
        <f>"1551689035881587"</f>
        <v>1551689035881587</v>
      </c>
      <c r="C1339" t="s">
        <v>40</v>
      </c>
      <c r="D1339">
        <v>5.3724100000000004</v>
      </c>
      <c r="E1339">
        <v>0.57598729999999998</v>
      </c>
      <c r="F1339" t="s">
        <v>41</v>
      </c>
      <c r="G1339">
        <v>-210.22049999999999</v>
      </c>
      <c r="H1339">
        <v>0.97181550000000005</v>
      </c>
      <c r="I1339">
        <v>366.2355</v>
      </c>
      <c r="J1339">
        <v>-210.94659999999999</v>
      </c>
      <c r="K1339">
        <v>1.106147</v>
      </c>
      <c r="L1339">
        <v>366.56819999999999</v>
      </c>
      <c r="M1339">
        <v>0.98214579999999996</v>
      </c>
      <c r="N1339">
        <v>-1.4448880000000001E-2</v>
      </c>
      <c r="O1339">
        <v>-0.18756619999999999</v>
      </c>
      <c r="P1339">
        <v>0.92431379999999996</v>
      </c>
      <c r="Q1339">
        <v>0.30613380000000001</v>
      </c>
      <c r="R1339">
        <v>-0.22787370000000001</v>
      </c>
      <c r="S1339">
        <v>3.0874790000000001</v>
      </c>
      <c r="T1339">
        <v>-0.47932219999999998</v>
      </c>
      <c r="U1339">
        <v>-1.2907709999999999</v>
      </c>
      <c r="V1339">
        <v>5.4073209999999997E-2</v>
      </c>
      <c r="W1339">
        <v>0.31924390000000002</v>
      </c>
      <c r="X1339">
        <v>0.94612870000000004</v>
      </c>
      <c r="Y1339">
        <v>0.20504639999999999</v>
      </c>
      <c r="Z1339">
        <v>8.0473569999999998E-3</v>
      </c>
      <c r="AA1339">
        <v>0.97871920000000001</v>
      </c>
      <c r="AB1339">
        <v>29</v>
      </c>
      <c r="AC1339">
        <v>0.72610000000000197</v>
      </c>
      <c r="AD1339">
        <v>-0.13433149999999899</v>
      </c>
      <c r="AE1339">
        <v>-0.33269999999998801</v>
      </c>
      <c r="AF1339">
        <v>0.18534500052542899</v>
      </c>
      <c r="AG1339">
        <v>-0.13433149999999899</v>
      </c>
      <c r="AH1339">
        <v>0.75428336151517805</v>
      </c>
      <c r="AI1339">
        <v>99.812063001016597</v>
      </c>
      <c r="AJ1339">
        <v>76.194610243531301</v>
      </c>
      <c r="AK1339">
        <v>0.78825193343921396</v>
      </c>
      <c r="AL1339">
        <v>71.382795600952704</v>
      </c>
      <c r="AM1339">
        <v>86.728986160085498</v>
      </c>
      <c r="AN1339">
        <v>1.0000000483453</v>
      </c>
    </row>
    <row r="1340" spans="1:40" x14ac:dyDescent="0.25">
      <c r="A1340" t="str">
        <f>"20190304164355899"</f>
        <v>20190304164355899</v>
      </c>
      <c r="B1340" t="str">
        <f>"1551689035891347"</f>
        <v>1551689035891347</v>
      </c>
      <c r="C1340" t="s">
        <v>40</v>
      </c>
      <c r="D1340">
        <v>5.3914039999999996</v>
      </c>
      <c r="E1340">
        <v>0.57474759999999903</v>
      </c>
      <c r="F1340" t="s">
        <v>41</v>
      </c>
      <c r="G1340">
        <v>-210.2072</v>
      </c>
      <c r="H1340">
        <v>0.99146449999999997</v>
      </c>
      <c r="I1340">
        <v>366.26029999999997</v>
      </c>
      <c r="J1340">
        <v>-210.8075</v>
      </c>
      <c r="K1340">
        <v>1.1060680000000001</v>
      </c>
      <c r="L1340">
        <v>366.53859999999997</v>
      </c>
      <c r="M1340">
        <v>0.98157470000000002</v>
      </c>
      <c r="N1340">
        <v>-1.4456139999999999E-2</v>
      </c>
      <c r="O1340">
        <v>-0.19053100000000001</v>
      </c>
      <c r="P1340">
        <v>0.92330849999999998</v>
      </c>
      <c r="Q1340">
        <v>0.30645029999999901</v>
      </c>
      <c r="R1340">
        <v>-0.23149449999999999</v>
      </c>
      <c r="S1340">
        <v>3.0871430000000002</v>
      </c>
      <c r="T1340">
        <v>-0.47892499999999999</v>
      </c>
      <c r="U1340">
        <v>-1.286346</v>
      </c>
      <c r="V1340">
        <v>5.5017360000000001E-2</v>
      </c>
      <c r="W1340">
        <v>0.31954349999999998</v>
      </c>
      <c r="X1340">
        <v>0.94597310000000001</v>
      </c>
      <c r="Y1340">
        <v>0.20100109999999999</v>
      </c>
      <c r="Z1340">
        <v>8.7531120000000004E-3</v>
      </c>
      <c r="AA1340">
        <v>0.97955190000000003</v>
      </c>
      <c r="AB1340">
        <v>29</v>
      </c>
      <c r="AC1340">
        <v>0.60030000000000405</v>
      </c>
      <c r="AD1340">
        <v>-0.114603499999999</v>
      </c>
      <c r="AE1340">
        <v>-0.27830000000000099</v>
      </c>
      <c r="AF1340">
        <v>0.15418758207893499</v>
      </c>
      <c r="AG1340">
        <v>-0.114603499999999</v>
      </c>
      <c r="AH1340">
        <v>0.62362304344285702</v>
      </c>
      <c r="AI1340">
        <v>100.11507470316</v>
      </c>
      <c r="AJ1340">
        <v>76.1124255759498</v>
      </c>
      <c r="AK1340">
        <v>0.65254384756315797</v>
      </c>
      <c r="AL1340">
        <v>71.364680666942803</v>
      </c>
      <c r="AM1340">
        <v>86.671453433264304</v>
      </c>
      <c r="AN1340">
        <v>1.00000003210861</v>
      </c>
    </row>
    <row r="1341" spans="1:40" x14ac:dyDescent="0.25">
      <c r="A1341" t="str">
        <f>"20190304164355909"</f>
        <v>20190304164355909</v>
      </c>
      <c r="B1341" t="str">
        <f>"1551689035901107"</f>
        <v>1551689035901107</v>
      </c>
      <c r="C1341" t="s">
        <v>40</v>
      </c>
      <c r="D1341">
        <v>5.3647400000000003</v>
      </c>
      <c r="E1341">
        <v>0.57404390000000005</v>
      </c>
      <c r="F1341" t="s">
        <v>41</v>
      </c>
      <c r="G1341">
        <v>-209.96379999999999</v>
      </c>
      <c r="H1341">
        <v>0.97437969999999896</v>
      </c>
      <c r="I1341">
        <v>366.1859</v>
      </c>
      <c r="J1341">
        <v>-210.66990000000001</v>
      </c>
      <c r="K1341">
        <v>1.1059859999999999</v>
      </c>
      <c r="L1341">
        <v>366.50889999999998</v>
      </c>
      <c r="M1341">
        <v>0.98098960000000002</v>
      </c>
      <c r="N1341">
        <v>-1.446369E-2</v>
      </c>
      <c r="O1341">
        <v>-0.1935211</v>
      </c>
      <c r="P1341">
        <v>0.92230889999999999</v>
      </c>
      <c r="Q1341">
        <v>0.30653069999999999</v>
      </c>
      <c r="R1341">
        <v>-0.23534169999999999</v>
      </c>
      <c r="S1341">
        <v>3.0858759999999998</v>
      </c>
      <c r="T1341">
        <v>-0.4816124</v>
      </c>
      <c r="U1341">
        <v>-1.2890010000000001</v>
      </c>
      <c r="V1341">
        <v>5.6156369999999997E-2</v>
      </c>
      <c r="W1341">
        <v>0.3196058</v>
      </c>
      <c r="X1341">
        <v>0.94588510000000003</v>
      </c>
      <c r="Y1341">
        <v>0.19891909999999999</v>
      </c>
      <c r="Z1341">
        <v>9.3841930000000007E-3</v>
      </c>
      <c r="AA1341">
        <v>0.97997100000000004</v>
      </c>
      <c r="AB1341">
        <v>29</v>
      </c>
      <c r="AC1341">
        <v>0.70610000000002004</v>
      </c>
      <c r="AD1341">
        <v>-0.13160630000000001</v>
      </c>
      <c r="AE1341">
        <v>-0.32299999999997903</v>
      </c>
      <c r="AF1341">
        <v>0.175200098726531</v>
      </c>
      <c r="AG1341">
        <v>-0.13160630000000001</v>
      </c>
      <c r="AH1341">
        <v>0.73417179622658102</v>
      </c>
      <c r="AI1341">
        <v>99.890783668123206</v>
      </c>
      <c r="AJ1341">
        <v>76.578164120602295</v>
      </c>
      <c r="AK1341">
        <v>0.76617460096771794</v>
      </c>
      <c r="AL1341">
        <v>71.360913246139205</v>
      </c>
      <c r="AM1341">
        <v>86.602387850179298</v>
      </c>
      <c r="AN1341">
        <v>1.00000001384361</v>
      </c>
    </row>
    <row r="1342" spans="1:40" x14ac:dyDescent="0.25">
      <c r="A1342" t="str">
        <f>"20190304164355920"</f>
        <v>20190304164355920</v>
      </c>
      <c r="B1342" t="str">
        <f>"1551689035910868"</f>
        <v>1551689035910868</v>
      </c>
      <c r="C1342" t="s">
        <v>40</v>
      </c>
      <c r="D1342">
        <v>5.3633649999999999</v>
      </c>
      <c r="E1342">
        <v>0.5736521</v>
      </c>
      <c r="F1342" t="s">
        <v>41</v>
      </c>
      <c r="G1342">
        <v>-209.9513</v>
      </c>
      <c r="H1342">
        <v>0.99335240000000002</v>
      </c>
      <c r="I1342">
        <v>366.20609999999999</v>
      </c>
      <c r="J1342">
        <v>-210.5309</v>
      </c>
      <c r="K1342">
        <v>1.105899</v>
      </c>
      <c r="L1342">
        <v>366.47820000000002</v>
      </c>
      <c r="M1342">
        <v>0.98037390000000002</v>
      </c>
      <c r="N1342">
        <v>-1.4471909999999999E-2</v>
      </c>
      <c r="O1342">
        <v>-0.19661519999999999</v>
      </c>
      <c r="P1342">
        <v>0.9215428</v>
      </c>
      <c r="Q1342">
        <v>0.3060485</v>
      </c>
      <c r="R1342">
        <v>-0.23894190000000001</v>
      </c>
      <c r="S1342">
        <v>3.08223</v>
      </c>
      <c r="T1342">
        <v>-0.48311730000000003</v>
      </c>
      <c r="U1342">
        <v>-1.2973629999999901</v>
      </c>
      <c r="V1342">
        <v>5.6903479999999999E-2</v>
      </c>
      <c r="W1342">
        <v>0.31911240000000002</v>
      </c>
      <c r="X1342">
        <v>0.94600700000000004</v>
      </c>
      <c r="Y1342">
        <v>0.19852710000000001</v>
      </c>
      <c r="Z1342">
        <v>9.865558E-3</v>
      </c>
      <c r="AA1342">
        <v>0.98004570000000002</v>
      </c>
      <c r="AB1342">
        <v>29</v>
      </c>
      <c r="AC1342">
        <v>0.579599999999999</v>
      </c>
      <c r="AD1342">
        <v>-0.1125466</v>
      </c>
      <c r="AE1342">
        <v>-0.27210000000002299</v>
      </c>
      <c r="AF1342">
        <v>0.14823756837201599</v>
      </c>
      <c r="AG1342">
        <v>-0.1125466</v>
      </c>
      <c r="AH1342">
        <v>0.60315356556847999</v>
      </c>
      <c r="AI1342">
        <v>100.270805732741</v>
      </c>
      <c r="AJ1342">
        <v>76.192040914971699</v>
      </c>
      <c r="AK1342">
        <v>0.63121734569510901</v>
      </c>
      <c r="AL1342">
        <v>71.390744650366202</v>
      </c>
      <c r="AM1342">
        <v>86.557736236400302</v>
      </c>
      <c r="AN1342">
        <v>0.99999998695943504</v>
      </c>
    </row>
    <row r="1343" spans="1:40" x14ac:dyDescent="0.25">
      <c r="A1343" t="str">
        <f>"20190304164355931"</f>
        <v>20190304164355931</v>
      </c>
      <c r="B1343" t="str">
        <f>"1551689035921603"</f>
        <v>1551689035921603</v>
      </c>
      <c r="C1343" t="s">
        <v>40</v>
      </c>
      <c r="D1343">
        <v>5.3555679999999999</v>
      </c>
      <c r="E1343">
        <v>0.57329059999999998</v>
      </c>
      <c r="F1343" t="s">
        <v>41</v>
      </c>
      <c r="G1343">
        <v>-209.709</v>
      </c>
      <c r="H1343">
        <v>0.97612509999999997</v>
      </c>
      <c r="I1343">
        <v>366.12900000000002</v>
      </c>
      <c r="J1343">
        <v>-210.38900000000001</v>
      </c>
      <c r="K1343">
        <v>1.1058059999999901</v>
      </c>
      <c r="L1343">
        <v>366.44659999999999</v>
      </c>
      <c r="M1343">
        <v>0.97972510000000002</v>
      </c>
      <c r="N1343">
        <v>-1.448034E-2</v>
      </c>
      <c r="O1343">
        <v>-0.1998229</v>
      </c>
      <c r="P1343">
        <v>0.92059080000000004</v>
      </c>
      <c r="Q1343">
        <v>0.30580819999999997</v>
      </c>
      <c r="R1343">
        <v>-0.24288689999999999</v>
      </c>
      <c r="S1343">
        <v>3.0777890000000001</v>
      </c>
      <c r="T1343">
        <v>-0.4858055</v>
      </c>
      <c r="U1343">
        <v>-1.3072509999999999</v>
      </c>
      <c r="V1343">
        <v>5.7919650000000003E-2</v>
      </c>
      <c r="W1343">
        <v>0.31885560000000002</v>
      </c>
      <c r="X1343">
        <v>0.94603190000000004</v>
      </c>
      <c r="Y1343">
        <v>0.19851779999999999</v>
      </c>
      <c r="Z1343">
        <v>1.0370259999999999E-2</v>
      </c>
      <c r="AA1343">
        <v>0.98004239999999998</v>
      </c>
      <c r="AB1343">
        <v>29</v>
      </c>
      <c r="AC1343">
        <v>0.68000000000000604</v>
      </c>
      <c r="AD1343">
        <v>-0.12968089999999899</v>
      </c>
      <c r="AE1343">
        <v>-0.31759999999997002</v>
      </c>
      <c r="AF1343">
        <v>0.17021742854662</v>
      </c>
      <c r="AG1343">
        <v>-0.12968089999999899</v>
      </c>
      <c r="AH1343">
        <v>0.70859720840205798</v>
      </c>
      <c r="AI1343">
        <v>100.09008163036199</v>
      </c>
      <c r="AJ1343">
        <v>76.492485809933896</v>
      </c>
      <c r="AK1343">
        <v>0.74020342647209003</v>
      </c>
      <c r="AL1343">
        <v>71.406268836209904</v>
      </c>
      <c r="AM1343">
        <v>86.496508806403597</v>
      </c>
      <c r="AN1343">
        <v>0.99999996766254495</v>
      </c>
    </row>
    <row r="1344" spans="1:40" x14ac:dyDescent="0.25">
      <c r="A1344" t="str">
        <f>"20190304164355945"</f>
        <v>20190304164355945</v>
      </c>
      <c r="B1344" t="str">
        <f>"1551689035941631"</f>
        <v>1551689035941631</v>
      </c>
      <c r="C1344" t="s">
        <v>40</v>
      </c>
      <c r="D1344">
        <v>5.356287</v>
      </c>
      <c r="E1344">
        <v>0.57282189999999999</v>
      </c>
      <c r="F1344" t="s">
        <v>41</v>
      </c>
      <c r="G1344">
        <v>-209.6962</v>
      </c>
      <c r="H1344">
        <v>0.99545709999999998</v>
      </c>
      <c r="I1344">
        <v>366.14920000000001</v>
      </c>
      <c r="J1344">
        <v>-210.22239999999999</v>
      </c>
      <c r="K1344">
        <v>1.105685</v>
      </c>
      <c r="L1344">
        <v>366.40839999999997</v>
      </c>
      <c r="M1344">
        <v>0.97892020000000002</v>
      </c>
      <c r="N1344">
        <v>-1.4492120000000001E-2</v>
      </c>
      <c r="O1344">
        <v>-0.20372860000000001</v>
      </c>
      <c r="P1344">
        <v>0.9193538</v>
      </c>
      <c r="Q1344">
        <v>0.30582979999999998</v>
      </c>
      <c r="R1344">
        <v>-0.2475012</v>
      </c>
      <c r="S1344">
        <v>3.0734409999999999</v>
      </c>
      <c r="T1344">
        <v>-0.48928310000000003</v>
      </c>
      <c r="U1344">
        <v>-1.3185420000000001</v>
      </c>
      <c r="V1344">
        <v>5.8992799999999998E-2</v>
      </c>
      <c r="W1344">
        <v>0.31885790000000003</v>
      </c>
      <c r="X1344">
        <v>0.9459649</v>
      </c>
      <c r="Y1344">
        <v>0.19818479999999999</v>
      </c>
      <c r="Z1344">
        <v>1.102061E-2</v>
      </c>
      <c r="AA1344">
        <v>0.98010269999999999</v>
      </c>
      <c r="AB1344">
        <v>29</v>
      </c>
      <c r="AC1344">
        <v>0.52619999999998801</v>
      </c>
      <c r="AD1344">
        <v>-0.1102279</v>
      </c>
      <c r="AE1344">
        <v>-0.25919999999996401</v>
      </c>
      <c r="AF1344">
        <v>0.14155091689242499</v>
      </c>
      <c r="AG1344">
        <v>-0.1102279</v>
      </c>
      <c r="AH1344">
        <v>0.54860111062515404</v>
      </c>
      <c r="AI1344">
        <v>101.009563418867</v>
      </c>
      <c r="AJ1344">
        <v>75.532013207683406</v>
      </c>
      <c r="AK1344">
        <v>0.57719150252810303</v>
      </c>
      <c r="AL1344">
        <v>71.4061314133548</v>
      </c>
      <c r="AM1344">
        <v>86.431509350684195</v>
      </c>
      <c r="AN1344">
        <v>1.00000005143812</v>
      </c>
    </row>
    <row r="1345" spans="1:40" x14ac:dyDescent="0.25">
      <c r="A1345" t="str">
        <f>"20190304164355960"</f>
        <v>20190304164355960</v>
      </c>
      <c r="B1345" t="str">
        <f>"1551689035951390"</f>
        <v>1551689035951390</v>
      </c>
      <c r="C1345" t="s">
        <v>40</v>
      </c>
      <c r="D1345">
        <v>5.3691420000000001</v>
      </c>
      <c r="E1345">
        <v>0.57253949999999998</v>
      </c>
      <c r="F1345" t="s">
        <v>41</v>
      </c>
      <c r="G1345">
        <v>-209.4522</v>
      </c>
      <c r="H1345">
        <v>0.98223959999999999</v>
      </c>
      <c r="I1345">
        <v>366.07380000000001</v>
      </c>
      <c r="J1345">
        <v>-210.0436</v>
      </c>
      <c r="K1345">
        <v>1.1055539999999999</v>
      </c>
      <c r="L1345">
        <v>366.36680000000001</v>
      </c>
      <c r="M1345">
        <v>0.97801910000000003</v>
      </c>
      <c r="N1345">
        <v>-1.450561E-2</v>
      </c>
      <c r="O1345">
        <v>-0.2080108</v>
      </c>
      <c r="P1345">
        <v>0.91801889999999997</v>
      </c>
      <c r="Q1345">
        <v>0.3058032</v>
      </c>
      <c r="R1345">
        <v>-0.2524402</v>
      </c>
      <c r="S1345">
        <v>3.0680079999999998</v>
      </c>
      <c r="T1345">
        <v>-0.49163580000000001</v>
      </c>
      <c r="U1345">
        <v>-1.3325199999999999</v>
      </c>
      <c r="V1345">
        <v>6.004727E-2</v>
      </c>
      <c r="W1345">
        <v>0.31881130000000002</v>
      </c>
      <c r="X1345">
        <v>0.94591420000000004</v>
      </c>
      <c r="Y1345">
        <v>0.1983182</v>
      </c>
      <c r="Z1345">
        <v>1.1654980000000001E-2</v>
      </c>
      <c r="AA1345">
        <v>0.98006839999999995</v>
      </c>
      <c r="AB1345">
        <v>29</v>
      </c>
      <c r="AC1345">
        <v>0.59139999999999204</v>
      </c>
      <c r="AD1345">
        <v>-0.1233144</v>
      </c>
      <c r="AE1345">
        <v>-0.29300000000000598</v>
      </c>
      <c r="AF1345">
        <v>0.158042111902645</v>
      </c>
      <c r="AG1345">
        <v>-0.1233144</v>
      </c>
      <c r="AH1345">
        <v>0.61784647843797902</v>
      </c>
      <c r="AI1345">
        <v>100.94375383949399</v>
      </c>
      <c r="AJ1345">
        <v>75.651680953250505</v>
      </c>
      <c r="AK1345">
        <v>0.64955216980641395</v>
      </c>
      <c r="AL1345">
        <v>71.408947359902001</v>
      </c>
      <c r="AM1345">
        <v>86.3676992687477</v>
      </c>
      <c r="AN1345">
        <v>0.99999999670189099</v>
      </c>
    </row>
    <row r="1346" spans="1:40" x14ac:dyDescent="0.25">
      <c r="A1346" t="str">
        <f>"20190304164355972"</f>
        <v>20190304164355972</v>
      </c>
      <c r="B1346" t="str">
        <f>"1551689035961152"</f>
        <v>1551689035961152</v>
      </c>
      <c r="C1346" t="s">
        <v>40</v>
      </c>
      <c r="D1346">
        <v>5.3615729999999999</v>
      </c>
      <c r="E1346">
        <v>0.57231430000000005</v>
      </c>
      <c r="F1346" t="s">
        <v>41</v>
      </c>
      <c r="G1346">
        <v>-209.20779999999999</v>
      </c>
      <c r="H1346">
        <v>0.97080500000000003</v>
      </c>
      <c r="I1346">
        <v>365.99860000000001</v>
      </c>
      <c r="J1346">
        <v>-209.8681</v>
      </c>
      <c r="K1346">
        <v>1.105415</v>
      </c>
      <c r="L1346">
        <v>366.32510000000002</v>
      </c>
      <c r="M1346">
        <v>0.9770896</v>
      </c>
      <c r="N1346">
        <v>-1.4520180000000001E-2</v>
      </c>
      <c r="O1346">
        <v>-0.21233260000000001</v>
      </c>
      <c r="P1346">
        <v>0.91642889999999999</v>
      </c>
      <c r="Q1346">
        <v>0.3063804</v>
      </c>
      <c r="R1346">
        <v>-0.25746659999999999</v>
      </c>
      <c r="S1346">
        <v>3.0615230000000002</v>
      </c>
      <c r="T1346">
        <v>-0.4934192</v>
      </c>
      <c r="U1346">
        <v>-1.348206</v>
      </c>
      <c r="V1346">
        <v>6.121269E-2</v>
      </c>
      <c r="W1346">
        <v>0.3193645</v>
      </c>
      <c r="X1346">
        <v>0.94565279999999996</v>
      </c>
      <c r="Y1346">
        <v>0.19898399999999999</v>
      </c>
      <c r="Z1346">
        <v>1.223897E-2</v>
      </c>
      <c r="AA1346">
        <v>0.97992630000000003</v>
      </c>
      <c r="AB1346">
        <v>29</v>
      </c>
      <c r="AC1346">
        <v>0.66030000000000599</v>
      </c>
      <c r="AD1346">
        <v>-0.13461000000000001</v>
      </c>
      <c r="AE1346">
        <v>-0.32650000000001</v>
      </c>
      <c r="AF1346">
        <v>0.17305624385616999</v>
      </c>
      <c r="AG1346">
        <v>-0.13461000000000001</v>
      </c>
      <c r="AH1346">
        <v>0.69148239501846898</v>
      </c>
      <c r="AI1346">
        <v>100.694053570165</v>
      </c>
      <c r="AJ1346">
        <v>75.949279863974894</v>
      </c>
      <c r="AK1346">
        <v>0.72540762213950005</v>
      </c>
      <c r="AL1346">
        <v>71.375502090145005</v>
      </c>
      <c r="AM1346">
        <v>86.296375819435895</v>
      </c>
      <c r="AN1346">
        <v>0.99999994771256095</v>
      </c>
    </row>
    <row r="1347" spans="1:40" x14ac:dyDescent="0.25">
      <c r="A1347" t="str">
        <f>"20190304164355988"</f>
        <v>20190304164355988</v>
      </c>
      <c r="B1347" t="str">
        <f>"1551689035981646"</f>
        <v>1551689035981646</v>
      </c>
      <c r="C1347" t="s">
        <v>40</v>
      </c>
      <c r="D1347">
        <v>5.3505669999999999</v>
      </c>
      <c r="E1347">
        <v>0.57182540000000004</v>
      </c>
      <c r="F1347" t="s">
        <v>41</v>
      </c>
      <c r="G1347">
        <v>-209.19110000000001</v>
      </c>
      <c r="H1347">
        <v>0.99618119999999999</v>
      </c>
      <c r="I1347">
        <v>366.0224</v>
      </c>
      <c r="J1347">
        <v>-209.67750000000001</v>
      </c>
      <c r="K1347">
        <v>1.105262</v>
      </c>
      <c r="L1347">
        <v>366.27839999999998</v>
      </c>
      <c r="M1347">
        <v>0.9760162</v>
      </c>
      <c r="N1347">
        <v>-1.4538819999999999E-2</v>
      </c>
      <c r="O1347">
        <v>-0.21721199999999999</v>
      </c>
      <c r="P1347">
        <v>0.91406829999999994</v>
      </c>
      <c r="Q1347">
        <v>0.30721209999999999</v>
      </c>
      <c r="R1347">
        <v>-0.26476440000000001</v>
      </c>
      <c r="S1347">
        <v>3.054764</v>
      </c>
      <c r="T1347">
        <v>-0.49268459999999997</v>
      </c>
      <c r="U1347">
        <v>-1.365173</v>
      </c>
      <c r="V1347">
        <v>6.4237269999999999E-2</v>
      </c>
      <c r="W1347">
        <v>0.32014340000000002</v>
      </c>
      <c r="X1347">
        <v>0.94518880000000005</v>
      </c>
      <c r="Y1347">
        <v>0.1994688</v>
      </c>
      <c r="Z1347">
        <v>1.282691E-2</v>
      </c>
      <c r="AA1347">
        <v>0.97982020000000003</v>
      </c>
      <c r="AB1347">
        <v>29</v>
      </c>
      <c r="AC1347">
        <v>0.486400000000003</v>
      </c>
      <c r="AD1347">
        <v>-0.10908080000000001</v>
      </c>
      <c r="AE1347">
        <v>-0.25599999999997097</v>
      </c>
      <c r="AF1347">
        <v>0.138758650446552</v>
      </c>
      <c r="AG1347">
        <v>-0.10908080000000001</v>
      </c>
      <c r="AH1347">
        <v>0.51029916270445297</v>
      </c>
      <c r="AI1347">
        <v>101.65487948230999</v>
      </c>
      <c r="AJ1347">
        <v>74.788139700242297</v>
      </c>
      <c r="AK1347">
        <v>0.53996094253126703</v>
      </c>
      <c r="AL1347">
        <v>71.328403553444005</v>
      </c>
      <c r="AM1347">
        <v>86.112021774992101</v>
      </c>
      <c r="AN1347">
        <v>1.00000004553302</v>
      </c>
    </row>
    <row r="1348" spans="1:40" x14ac:dyDescent="0.25">
      <c r="A1348" t="str">
        <f>"20190304164355999"</f>
        <v>20190304164355999</v>
      </c>
      <c r="B1348" t="str">
        <f>"1551689035991406"</f>
        <v>1551689035991406</v>
      </c>
      <c r="C1348" t="s">
        <v>40</v>
      </c>
      <c r="D1348">
        <v>5.4701139999999997</v>
      </c>
      <c r="E1348">
        <v>0.57164380000000004</v>
      </c>
      <c r="F1348" t="s">
        <v>41</v>
      </c>
      <c r="G1348">
        <v>-208.94649999999999</v>
      </c>
      <c r="H1348">
        <v>0.98702780000000001</v>
      </c>
      <c r="I1348">
        <v>365.9452</v>
      </c>
      <c r="J1348">
        <v>-209.53790000000001</v>
      </c>
      <c r="K1348">
        <v>1.1051409999999999</v>
      </c>
      <c r="L1348">
        <v>366.24360000000001</v>
      </c>
      <c r="M1348">
        <v>0.97519469999999997</v>
      </c>
      <c r="N1348">
        <v>-1.4553E-2</v>
      </c>
      <c r="O1348">
        <v>-0.2208705</v>
      </c>
      <c r="P1348">
        <v>0.91249630000000004</v>
      </c>
      <c r="Q1348">
        <v>0.30766690000000002</v>
      </c>
      <c r="R1348">
        <v>-0.26961429999999997</v>
      </c>
      <c r="S1348">
        <v>3.045563</v>
      </c>
      <c r="T1348">
        <v>-0.49258350000000001</v>
      </c>
      <c r="U1348">
        <v>-1.387939</v>
      </c>
      <c r="V1348">
        <v>6.5854930000000006E-2</v>
      </c>
      <c r="W1348">
        <v>0.32056800000000002</v>
      </c>
      <c r="X1348">
        <v>0.94493349999999998</v>
      </c>
      <c r="Y1348">
        <v>0.20296710000000001</v>
      </c>
      <c r="Z1348">
        <v>1.3026329999999999E-2</v>
      </c>
      <c r="AA1348">
        <v>0.97909889999999999</v>
      </c>
      <c r="AB1348">
        <v>29</v>
      </c>
      <c r="AC1348">
        <v>0.59140000000002102</v>
      </c>
      <c r="AD1348">
        <v>-0.118113199999999</v>
      </c>
      <c r="AE1348">
        <v>-0.29840000000001499</v>
      </c>
      <c r="AF1348">
        <v>0.15545000190782299</v>
      </c>
      <c r="AG1348">
        <v>-0.118113199999999</v>
      </c>
      <c r="AH1348">
        <v>0.62290186016022797</v>
      </c>
      <c r="AI1348">
        <v>100.424439031856</v>
      </c>
      <c r="AJ1348">
        <v>75.987606220747693</v>
      </c>
      <c r="AK1348">
        <v>0.65278032943591002</v>
      </c>
      <c r="AL1348">
        <v>71.302721740769996</v>
      </c>
      <c r="AM1348">
        <v>86.013350802018394</v>
      </c>
      <c r="AN1348">
        <v>1.0000000169257699</v>
      </c>
    </row>
    <row r="1349" spans="1:40" x14ac:dyDescent="0.25">
      <c r="A1349" t="str">
        <f>"20190304164356010"</f>
        <v>20190304164356010</v>
      </c>
      <c r="B1349" t="str">
        <f>"1551689036001166"</f>
        <v>1551689036001166</v>
      </c>
      <c r="C1349" t="s">
        <v>40</v>
      </c>
      <c r="D1349">
        <v>5.3688580000000004</v>
      </c>
      <c r="E1349">
        <v>0.57140389999999996</v>
      </c>
      <c r="F1349" t="s">
        <v>41</v>
      </c>
      <c r="G1349">
        <v>-208.7073</v>
      </c>
      <c r="H1349">
        <v>0.97105929999999996</v>
      </c>
      <c r="I1349">
        <v>365.85939999999999</v>
      </c>
      <c r="J1349">
        <v>-209.393</v>
      </c>
      <c r="K1349">
        <v>1.105003</v>
      </c>
      <c r="L1349">
        <v>366.20679999999999</v>
      </c>
      <c r="M1349">
        <v>0.97430539999999999</v>
      </c>
      <c r="N1349">
        <v>-1.456841E-2</v>
      </c>
      <c r="O1349">
        <v>-0.22475990000000001</v>
      </c>
      <c r="P1349">
        <v>0.91091690000000003</v>
      </c>
      <c r="Q1349">
        <v>0.30800319999999998</v>
      </c>
      <c r="R1349">
        <v>-0.27452650000000001</v>
      </c>
      <c r="S1349">
        <v>3.0380099999999999</v>
      </c>
      <c r="T1349">
        <v>-0.49009920000000001</v>
      </c>
      <c r="U1349">
        <v>-1.404388</v>
      </c>
      <c r="V1349">
        <v>6.7315819999999998E-2</v>
      </c>
      <c r="W1349">
        <v>0.32087520000000003</v>
      </c>
      <c r="X1349">
        <v>0.94472630000000002</v>
      </c>
      <c r="Y1349">
        <v>0.20437230000000001</v>
      </c>
      <c r="Z1349">
        <v>1.3344369999999999E-2</v>
      </c>
      <c r="AA1349">
        <v>0.97880230000000001</v>
      </c>
      <c r="AB1349">
        <v>29</v>
      </c>
      <c r="AC1349">
        <v>0.68569999999999698</v>
      </c>
      <c r="AD1349">
        <v>-0.133943699999999</v>
      </c>
      <c r="AE1349">
        <v>-0.34739999999999299</v>
      </c>
      <c r="AF1349">
        <v>0.17894206887321301</v>
      </c>
      <c r="AG1349">
        <v>-0.133943699999999</v>
      </c>
      <c r="AH1349">
        <v>0.72425110548941996</v>
      </c>
      <c r="AI1349">
        <v>100.178559867342</v>
      </c>
      <c r="AJ1349">
        <v>76.121766148439505</v>
      </c>
      <c r="AK1349">
        <v>0.75795833829107195</v>
      </c>
      <c r="AL1349">
        <v>71.284139404726602</v>
      </c>
      <c r="AM1349">
        <v>85.924317143819295</v>
      </c>
      <c r="AN1349">
        <v>1.0000000477544999</v>
      </c>
    </row>
    <row r="1350" spans="1:40" x14ac:dyDescent="0.25">
      <c r="A1350" t="str">
        <f>"20190304164356022"</f>
        <v>20190304164356022</v>
      </c>
      <c r="B1350" t="str">
        <f>"1551689036010927"</f>
        <v>1551689036010927</v>
      </c>
      <c r="C1350" t="s">
        <v>40</v>
      </c>
      <c r="D1350">
        <v>5.3454470000000001</v>
      </c>
      <c r="E1350">
        <v>0.57118579999999997</v>
      </c>
      <c r="F1350" t="s">
        <v>41</v>
      </c>
      <c r="G1350">
        <v>-208.69319999999999</v>
      </c>
      <c r="H1350">
        <v>0.99228019999999995</v>
      </c>
      <c r="I1350">
        <v>365.87880000000001</v>
      </c>
      <c r="J1350">
        <v>-209.24189999999999</v>
      </c>
      <c r="K1350">
        <v>1.104859</v>
      </c>
      <c r="L1350">
        <v>366.16750000000002</v>
      </c>
      <c r="M1350">
        <v>0.97333099999999995</v>
      </c>
      <c r="N1350">
        <v>-1.4586200000000001E-2</v>
      </c>
      <c r="O1350">
        <v>-0.22894120000000001</v>
      </c>
      <c r="P1350">
        <v>0.909192</v>
      </c>
      <c r="Q1350">
        <v>0.308369</v>
      </c>
      <c r="R1350">
        <v>-0.27978360000000002</v>
      </c>
      <c r="S1350">
        <v>3.030411</v>
      </c>
      <c r="T1350">
        <v>-0.4878458</v>
      </c>
      <c r="U1350">
        <v>-1.419891</v>
      </c>
      <c r="V1350">
        <v>6.8868040000000005E-2</v>
      </c>
      <c r="W1350">
        <v>0.3212102</v>
      </c>
      <c r="X1350">
        <v>0.94450049999999997</v>
      </c>
      <c r="Y1350">
        <v>0.2052428</v>
      </c>
      <c r="Z1350">
        <v>1.374976E-2</v>
      </c>
      <c r="AA1350">
        <v>0.97861450000000005</v>
      </c>
      <c r="AB1350">
        <v>29</v>
      </c>
      <c r="AC1350">
        <v>0.54869999999999597</v>
      </c>
      <c r="AD1350">
        <v>-0.11257880000000001</v>
      </c>
      <c r="AE1350">
        <v>-0.28870000000000501</v>
      </c>
      <c r="AF1350">
        <v>0.15043735585443199</v>
      </c>
      <c r="AG1350">
        <v>-0.11257880000000001</v>
      </c>
      <c r="AH1350">
        <v>0.58106853422470195</v>
      </c>
      <c r="AI1350">
        <v>100.62300281405</v>
      </c>
      <c r="AJ1350">
        <v>75.484953209828305</v>
      </c>
      <c r="AK1350">
        <v>0.61069306997210704</v>
      </c>
      <c r="AL1350">
        <v>71.263871498201894</v>
      </c>
      <c r="AM1350">
        <v>85.829671373660403</v>
      </c>
      <c r="AN1350">
        <v>0.99999999700886499</v>
      </c>
    </row>
    <row r="1351" spans="1:40" x14ac:dyDescent="0.25">
      <c r="A1351" t="str">
        <f>"20190304164356034"</f>
        <v>20190304164356034</v>
      </c>
      <c r="B1351" t="str">
        <f>"1551689036021662"</f>
        <v>1551689036021662</v>
      </c>
      <c r="C1351" t="s">
        <v>40</v>
      </c>
      <c r="D1351">
        <v>5.3736090000000001</v>
      </c>
      <c r="E1351">
        <v>0.57097749999999903</v>
      </c>
      <c r="F1351" t="s">
        <v>41</v>
      </c>
      <c r="G1351">
        <v>-208.45400000000001</v>
      </c>
      <c r="H1351">
        <v>0.97774119999999998</v>
      </c>
      <c r="I1351">
        <v>365.79259999999999</v>
      </c>
      <c r="J1351">
        <v>-209.08539999999999</v>
      </c>
      <c r="K1351">
        <v>1.1047100000000001</v>
      </c>
      <c r="L1351">
        <v>366.12630000000001</v>
      </c>
      <c r="M1351">
        <v>0.97228599999999998</v>
      </c>
      <c r="N1351">
        <v>-1.460471E-2</v>
      </c>
      <c r="O1351">
        <v>-0.23333809999999999</v>
      </c>
      <c r="P1351">
        <v>0.90747829999999996</v>
      </c>
      <c r="Q1351">
        <v>0.30870389999999998</v>
      </c>
      <c r="R1351">
        <v>-0.28493000000000002</v>
      </c>
      <c r="S1351">
        <v>3.0225680000000001</v>
      </c>
      <c r="T1351">
        <v>-0.48748950000000002</v>
      </c>
      <c r="U1351">
        <v>-1.4376530000000001</v>
      </c>
      <c r="V1351">
        <v>7.0104120000000006E-2</v>
      </c>
      <c r="W1351">
        <v>0.32151770000000002</v>
      </c>
      <c r="X1351">
        <v>0.9443049</v>
      </c>
      <c r="Y1351">
        <v>0.2065158</v>
      </c>
      <c r="Z1351">
        <v>1.4215709999999999E-2</v>
      </c>
      <c r="AA1351">
        <v>0.97833999999999999</v>
      </c>
      <c r="AB1351">
        <v>29</v>
      </c>
      <c r="AC1351">
        <v>0.63139999999998497</v>
      </c>
      <c r="AD1351">
        <v>-0.12696879999999999</v>
      </c>
      <c r="AE1351">
        <v>-0.33370000000002098</v>
      </c>
      <c r="AF1351">
        <v>0.17171342883113999</v>
      </c>
      <c r="AG1351">
        <v>-0.12696879999999999</v>
      </c>
      <c r="AH1351">
        <v>0.67064201806147195</v>
      </c>
      <c r="AI1351">
        <v>100.392982516084</v>
      </c>
      <c r="AJ1351">
        <v>75.638332482825405</v>
      </c>
      <c r="AK1351">
        <v>0.70382334019550097</v>
      </c>
      <c r="AL1351">
        <v>71.245265839090393</v>
      </c>
      <c r="AM1351">
        <v>85.754215255509905</v>
      </c>
      <c r="AN1351">
        <v>0.99999998160913695</v>
      </c>
    </row>
    <row r="1352" spans="1:40" x14ac:dyDescent="0.25">
      <c r="A1352" t="str">
        <f>"20190304164356045"</f>
        <v>20190304164356045</v>
      </c>
      <c r="B1352" t="str">
        <f>"1551689036040713"</f>
        <v>1551689036040713</v>
      </c>
      <c r="C1352" t="s">
        <v>40</v>
      </c>
      <c r="D1352">
        <v>5.3568860000000003</v>
      </c>
      <c r="E1352">
        <v>0.56599929999999998</v>
      </c>
      <c r="F1352" t="s">
        <v>41</v>
      </c>
      <c r="G1352">
        <v>-208.21510000000001</v>
      </c>
      <c r="H1352">
        <v>0.96388079999999998</v>
      </c>
      <c r="I1352">
        <v>365.70650000000001</v>
      </c>
      <c r="J1352">
        <v>-208.9477</v>
      </c>
      <c r="K1352">
        <v>1.1045799999999999</v>
      </c>
      <c r="L1352">
        <v>366.08890000000002</v>
      </c>
      <c r="M1352">
        <v>0.97131020000000001</v>
      </c>
      <c r="N1352">
        <v>-1.462334E-2</v>
      </c>
      <c r="O1352">
        <v>-0.23736679999999999</v>
      </c>
      <c r="P1352">
        <v>0.90566190000000002</v>
      </c>
      <c r="Q1352">
        <v>0.30936960000000002</v>
      </c>
      <c r="R1352">
        <v>-0.28994399999999998</v>
      </c>
      <c r="S1352">
        <v>3.0151819999999998</v>
      </c>
      <c r="T1352">
        <v>-0.4878942</v>
      </c>
      <c r="U1352">
        <v>-1.454407</v>
      </c>
      <c r="V1352">
        <v>7.1587949999999997E-2</v>
      </c>
      <c r="W1352">
        <v>0.32215199999999999</v>
      </c>
      <c r="X1352">
        <v>0.94397739999999997</v>
      </c>
      <c r="Y1352">
        <v>0.2078257</v>
      </c>
      <c r="Z1352">
        <v>1.46584E-2</v>
      </c>
      <c r="AA1352">
        <v>0.97805609999999998</v>
      </c>
      <c r="AB1352">
        <v>29</v>
      </c>
      <c r="AC1352">
        <v>0.73259999999999004</v>
      </c>
      <c r="AD1352">
        <v>-0.140699199999999</v>
      </c>
      <c r="AE1352">
        <v>-0.382400000000018</v>
      </c>
      <c r="AF1352">
        <v>0.19198995188256099</v>
      </c>
      <c r="AG1352">
        <v>-0.140699199999999</v>
      </c>
      <c r="AH1352">
        <v>0.77983149103621296</v>
      </c>
      <c r="AI1352">
        <v>99.936883416643695</v>
      </c>
      <c r="AJ1352">
        <v>76.169171679271699</v>
      </c>
      <c r="AK1352">
        <v>0.81534873576664801</v>
      </c>
      <c r="AL1352">
        <v>71.206881997668702</v>
      </c>
      <c r="AM1352">
        <v>85.6631893452642</v>
      </c>
      <c r="AN1352">
        <v>1.0000000386999801</v>
      </c>
    </row>
    <row r="1353" spans="1:40" x14ac:dyDescent="0.25">
      <c r="A1353" t="str">
        <f>"20190304164356058"</f>
        <v>20190304164356058</v>
      </c>
      <c r="B1353" t="str">
        <f>"1551689036051450"</f>
        <v>1551689036051450</v>
      </c>
      <c r="C1353" t="s">
        <v>40</v>
      </c>
      <c r="D1353">
        <v>5.4766620000000001</v>
      </c>
      <c r="E1353">
        <v>0.56692609999999999</v>
      </c>
      <c r="F1353" t="s">
        <v>41</v>
      </c>
      <c r="G1353">
        <v>-208.203</v>
      </c>
      <c r="H1353">
        <v>0.97640570000000004</v>
      </c>
      <c r="I1353">
        <v>365.73590000000002</v>
      </c>
      <c r="J1353">
        <v>-208.7912</v>
      </c>
      <c r="K1353">
        <v>1.104427</v>
      </c>
      <c r="L1353">
        <v>366.04590000000002</v>
      </c>
      <c r="M1353">
        <v>0.97016429999999998</v>
      </c>
      <c r="N1353">
        <v>-1.464437E-2</v>
      </c>
      <c r="O1353">
        <v>-0.24200579999999999</v>
      </c>
      <c r="P1353">
        <v>0.90352049999999995</v>
      </c>
      <c r="Q1353">
        <v>0.31011640000000001</v>
      </c>
      <c r="R1353">
        <v>-0.29576750000000002</v>
      </c>
      <c r="S1353">
        <v>3.0307010000000001</v>
      </c>
      <c r="T1353">
        <v>-0.52157509999999996</v>
      </c>
      <c r="U1353">
        <v>-1.436707</v>
      </c>
      <c r="V1353">
        <v>7.3354939999999993E-2</v>
      </c>
      <c r="W1353">
        <v>0.32286100000000001</v>
      </c>
      <c r="X1353">
        <v>0.94359939999999998</v>
      </c>
      <c r="Y1353">
        <v>0.19669780000000001</v>
      </c>
      <c r="Z1353">
        <v>1.7563140000000001E-2</v>
      </c>
      <c r="AA1353">
        <v>0.98030689999999998</v>
      </c>
      <c r="AB1353">
        <v>29</v>
      </c>
      <c r="AC1353">
        <v>0.58819999999999995</v>
      </c>
      <c r="AD1353">
        <v>-0.1280213</v>
      </c>
      <c r="AE1353">
        <v>-0.310000000000002</v>
      </c>
      <c r="AF1353">
        <v>0.15275686535615299</v>
      </c>
      <c r="AG1353">
        <v>-0.1280213</v>
      </c>
      <c r="AH1353">
        <v>0.62265753964688897</v>
      </c>
      <c r="AI1353">
        <v>101.292483523515</v>
      </c>
      <c r="AJ1353">
        <v>76.215838460281603</v>
      </c>
      <c r="AK1353">
        <v>0.65377865126221801</v>
      </c>
      <c r="AL1353">
        <v>71.163965426082001</v>
      </c>
      <c r="AM1353">
        <v>85.554795459370993</v>
      </c>
      <c r="AN1353">
        <v>1.0000000001118801</v>
      </c>
    </row>
    <row r="1354" spans="1:40" x14ac:dyDescent="0.25">
      <c r="A1354" t="str">
        <f>"20190304164356069"</f>
        <v>20190304164356069</v>
      </c>
      <c r="B1354" t="str">
        <f>"1551689036061209"</f>
        <v>1551689036061209</v>
      </c>
      <c r="C1354" t="s">
        <v>40</v>
      </c>
      <c r="D1354">
        <v>5.651834</v>
      </c>
      <c r="E1354">
        <v>0.56692609999999999</v>
      </c>
      <c r="F1354" t="s">
        <v>41</v>
      </c>
      <c r="G1354">
        <v>-207.9665</v>
      </c>
      <c r="H1354">
        <v>0.96001289999999995</v>
      </c>
      <c r="I1354">
        <v>365.64620000000002</v>
      </c>
      <c r="J1354">
        <v>-208.6559</v>
      </c>
      <c r="K1354">
        <v>1.1042959999999999</v>
      </c>
      <c r="L1354">
        <v>366.00790000000001</v>
      </c>
      <c r="M1354">
        <v>0.96912849999999995</v>
      </c>
      <c r="N1354">
        <v>-1.4663610000000001E-2</v>
      </c>
      <c r="O1354">
        <v>-0.2461198</v>
      </c>
      <c r="P1354">
        <v>0.90151919999999997</v>
      </c>
      <c r="Q1354">
        <v>0.31075209999999998</v>
      </c>
      <c r="R1354">
        <v>-0.30115910000000001</v>
      </c>
      <c r="S1354">
        <v>3.022583</v>
      </c>
      <c r="T1354">
        <v>-0.52920319999999899</v>
      </c>
      <c r="U1354">
        <v>-1.4644779999999999</v>
      </c>
      <c r="V1354">
        <v>7.5163179999999996E-2</v>
      </c>
      <c r="W1354">
        <v>0.32345940000000001</v>
      </c>
      <c r="X1354">
        <v>0.94325210000000004</v>
      </c>
      <c r="Y1354">
        <v>0.20086370000000001</v>
      </c>
      <c r="Z1354">
        <v>1.8095670000000001E-2</v>
      </c>
      <c r="AA1354">
        <v>0.97945210000000005</v>
      </c>
      <c r="AB1354">
        <v>29</v>
      </c>
      <c r="AC1354">
        <v>0.68940000000000601</v>
      </c>
      <c r="AD1354">
        <v>-0.144283099999999</v>
      </c>
      <c r="AE1354">
        <v>-0.36169999999998398</v>
      </c>
      <c r="AF1354">
        <v>0.17487192962706399</v>
      </c>
      <c r="AG1354">
        <v>-0.144283099999999</v>
      </c>
      <c r="AH1354">
        <v>0.73207561605051297</v>
      </c>
      <c r="AI1354">
        <v>100.851646361871</v>
      </c>
      <c r="AJ1354">
        <v>76.565424412444699</v>
      </c>
      <c r="AK1354">
        <v>0.76637622114261905</v>
      </c>
      <c r="AL1354">
        <v>71.127735806311094</v>
      </c>
      <c r="AM1354">
        <v>85.444004351643898</v>
      </c>
      <c r="AN1354">
        <v>1.0000000056152401</v>
      </c>
    </row>
    <row r="1355" spans="1:40" x14ac:dyDescent="0.25">
      <c r="A1355" t="str">
        <f>"20190304164356079"</f>
        <v>20190304164356079</v>
      </c>
      <c r="B1355" t="str">
        <f>"1551689036070969"</f>
        <v>1551689036070969</v>
      </c>
      <c r="C1355" t="s">
        <v>40</v>
      </c>
      <c r="D1355">
        <v>5.8375529999999998</v>
      </c>
      <c r="E1355">
        <v>0.57879060000000004</v>
      </c>
      <c r="F1355" t="s">
        <v>41</v>
      </c>
      <c r="G1355">
        <v>-207.9528</v>
      </c>
      <c r="H1355">
        <v>0.98132989999999998</v>
      </c>
      <c r="I1355">
        <v>365.6617</v>
      </c>
      <c r="J1355">
        <v>-208.5172</v>
      </c>
      <c r="K1355">
        <v>1.10416</v>
      </c>
      <c r="L1355">
        <v>365.96809999999999</v>
      </c>
      <c r="M1355">
        <v>0.96802220000000005</v>
      </c>
      <c r="N1355">
        <v>-1.468384E-2</v>
      </c>
      <c r="O1355">
        <v>-0.2504345</v>
      </c>
      <c r="P1355">
        <v>0.89951000000000003</v>
      </c>
      <c r="Q1355">
        <v>0.31106499999999998</v>
      </c>
      <c r="R1355">
        <v>-0.30679060000000002</v>
      </c>
      <c r="S1355">
        <v>3.0138699999999998</v>
      </c>
      <c r="T1355">
        <v>-0.52688259999999998</v>
      </c>
      <c r="U1355">
        <v>-1.4831540000000001</v>
      </c>
      <c r="V1355">
        <v>7.700709E-2</v>
      </c>
      <c r="W1355">
        <v>0.323735099999999</v>
      </c>
      <c r="X1355">
        <v>0.94300870000000003</v>
      </c>
      <c r="Y1355">
        <v>0.20252619999999999</v>
      </c>
      <c r="Z1355">
        <v>1.8472720000000002E-2</v>
      </c>
      <c r="AA1355">
        <v>0.97910260000000005</v>
      </c>
      <c r="AB1355">
        <v>29</v>
      </c>
      <c r="AC1355">
        <v>0.56440000000000601</v>
      </c>
      <c r="AD1355">
        <v>-0.122830099999999</v>
      </c>
      <c r="AE1355">
        <v>-0.30639999999999601</v>
      </c>
      <c r="AF1355">
        <v>0.14979383000496699</v>
      </c>
      <c r="AG1355">
        <v>-0.122830099999999</v>
      </c>
      <c r="AH1355">
        <v>0.60116069335390898</v>
      </c>
      <c r="AI1355">
        <v>101.214012656181</v>
      </c>
      <c r="AJ1355">
        <v>76.008288265505698</v>
      </c>
      <c r="AK1355">
        <v>0.63160082663603201</v>
      </c>
      <c r="AL1355">
        <v>71.111040158123799</v>
      </c>
      <c r="AM1355">
        <v>85.331524810802705</v>
      </c>
      <c r="AN1355">
        <v>0.99999995757898297</v>
      </c>
    </row>
    <row r="1356" spans="1:40" x14ac:dyDescent="0.25">
      <c r="A1356" t="str">
        <f>"20190304164356090"</f>
        <v>20190304164356090</v>
      </c>
      <c r="B1356" t="str">
        <f>"1551689036080730"</f>
        <v>1551689036080730</v>
      </c>
      <c r="C1356" t="s">
        <v>40</v>
      </c>
      <c r="D1356">
        <v>5.7361610000000001</v>
      </c>
      <c r="E1356">
        <v>0.58038940000000006</v>
      </c>
      <c r="F1356" t="s">
        <v>41</v>
      </c>
      <c r="G1356">
        <v>-207.73750000000001</v>
      </c>
      <c r="H1356">
        <v>0.92929649999999997</v>
      </c>
      <c r="I1356">
        <v>365.5557</v>
      </c>
      <c r="J1356">
        <v>-208.3766</v>
      </c>
      <c r="K1356">
        <v>1.1040239999999999</v>
      </c>
      <c r="L1356">
        <v>365.92720000000003</v>
      </c>
      <c r="M1356">
        <v>0.96686119999999998</v>
      </c>
      <c r="N1356">
        <v>-1.470433E-2</v>
      </c>
      <c r="O1356">
        <v>-0.25487949999999998</v>
      </c>
      <c r="P1356">
        <v>0.89756259999999999</v>
      </c>
      <c r="Q1356">
        <v>0.31111050000000001</v>
      </c>
      <c r="R1356">
        <v>-0.31239719999999999</v>
      </c>
      <c r="S1356">
        <v>3.0240170000000002</v>
      </c>
      <c r="T1356">
        <v>-0.67843629999999999</v>
      </c>
      <c r="U1356">
        <v>-1.6001890000000001</v>
      </c>
      <c r="V1356">
        <v>7.8679120000000005E-2</v>
      </c>
      <c r="W1356">
        <v>0.32374550000000002</v>
      </c>
      <c r="X1356">
        <v>0.94286720000000002</v>
      </c>
      <c r="Y1356">
        <v>0.2264321</v>
      </c>
      <c r="Z1356">
        <v>2.290031E-2</v>
      </c>
      <c r="AA1356">
        <v>0.97375769999999995</v>
      </c>
      <c r="AB1356">
        <v>29</v>
      </c>
      <c r="AC1356">
        <v>0.63909999999998401</v>
      </c>
      <c r="AD1356">
        <v>-0.17472749999999901</v>
      </c>
      <c r="AE1356">
        <v>-0.37150000000002498</v>
      </c>
      <c r="AF1356">
        <v>0.18592914327236101</v>
      </c>
      <c r="AG1356">
        <v>-0.17472749999999901</v>
      </c>
      <c r="AH1356">
        <v>0.67497607264861004</v>
      </c>
      <c r="AI1356">
        <v>104.013019447445</v>
      </c>
      <c r="AJ1356">
        <v>74.599230130115899</v>
      </c>
      <c r="AK1356">
        <v>0.72158994188000303</v>
      </c>
      <c r="AL1356">
        <v>71.110412270445593</v>
      </c>
      <c r="AM1356">
        <v>85.2299099296945</v>
      </c>
      <c r="AN1356">
        <v>1.0000000547650301</v>
      </c>
    </row>
    <row r="1357" spans="1:40" x14ac:dyDescent="0.25">
      <c r="A1357" t="str">
        <f>"20190304164356101"</f>
        <v>20190304164356101</v>
      </c>
      <c r="B1357" t="str">
        <f>"1551689036091465"</f>
        <v>1551689036091465</v>
      </c>
      <c r="C1357" t="s">
        <v>40</v>
      </c>
      <c r="D1357">
        <v>5.71685</v>
      </c>
      <c r="E1357">
        <v>0.58110059999999997</v>
      </c>
      <c r="F1357" t="s">
        <v>41</v>
      </c>
      <c r="G1357">
        <v>-207.72280000000001</v>
      </c>
      <c r="H1357">
        <v>0.95227890000000004</v>
      </c>
      <c r="I1357">
        <v>365.57339999999999</v>
      </c>
      <c r="J1357">
        <v>-208.25200000000001</v>
      </c>
      <c r="K1357">
        <v>1.1039000000000001</v>
      </c>
      <c r="L1357">
        <v>365.89</v>
      </c>
      <c r="M1357">
        <v>0.96578140000000001</v>
      </c>
      <c r="N1357">
        <v>-1.472392E-2</v>
      </c>
      <c r="O1357">
        <v>-0.25893929999999998</v>
      </c>
      <c r="P1357">
        <v>0.89568570000000003</v>
      </c>
      <c r="Q1357">
        <v>0.31119049999999998</v>
      </c>
      <c r="R1357">
        <v>-0.31765949999999998</v>
      </c>
      <c r="S1357">
        <v>3.0166170000000001</v>
      </c>
      <c r="T1357">
        <v>-0.7003838</v>
      </c>
      <c r="U1357">
        <v>-1.6334839999999999</v>
      </c>
      <c r="V1357">
        <v>8.0365080000000005E-2</v>
      </c>
      <c r="W1357">
        <v>0.32379150000000001</v>
      </c>
      <c r="X1357">
        <v>0.94270909999999997</v>
      </c>
      <c r="Y1357">
        <v>0.2316271</v>
      </c>
      <c r="Z1357">
        <v>2.3933989999999999E-2</v>
      </c>
      <c r="AA1357">
        <v>0.97251019999999999</v>
      </c>
      <c r="AB1357">
        <v>29</v>
      </c>
      <c r="AC1357">
        <v>0.529200000000003</v>
      </c>
      <c r="AD1357">
        <v>-0.15162110000000001</v>
      </c>
      <c r="AE1357">
        <v>-0.316599999999993</v>
      </c>
      <c r="AF1357">
        <v>0.15913411945932801</v>
      </c>
      <c r="AG1357">
        <v>-0.15162110000000001</v>
      </c>
      <c r="AH1357">
        <v>0.55932404930573898</v>
      </c>
      <c r="AI1357">
        <v>104.61348296850799</v>
      </c>
      <c r="AJ1357">
        <v>74.118338223791596</v>
      </c>
      <c r="AK1357">
        <v>0.60096257626667104</v>
      </c>
      <c r="AL1357">
        <v>71.107624847255707</v>
      </c>
      <c r="AM1357">
        <v>85.1273687264881</v>
      </c>
      <c r="AN1357">
        <v>0.999999964389232</v>
      </c>
    </row>
    <row r="1358" spans="1:40" x14ac:dyDescent="0.25">
      <c r="A1358" t="str">
        <f>"20190304164356112"</f>
        <v>20190304164356112</v>
      </c>
      <c r="B1358" t="str">
        <f>"1551689036101225"</f>
        <v>1551689036101225</v>
      </c>
      <c r="C1358" t="s">
        <v>40</v>
      </c>
      <c r="D1358">
        <v>5.7049139999999996</v>
      </c>
      <c r="E1358">
        <v>0.58193159999999999</v>
      </c>
      <c r="F1358" t="s">
        <v>41</v>
      </c>
      <c r="G1358">
        <v>-207.49539999999999</v>
      </c>
      <c r="H1358">
        <v>0.92430710000000005</v>
      </c>
      <c r="I1358">
        <v>365.47280000000001</v>
      </c>
      <c r="J1358">
        <v>-208.1129</v>
      </c>
      <c r="K1358">
        <v>1.1037650000000001</v>
      </c>
      <c r="L1358">
        <v>365.84809999999999</v>
      </c>
      <c r="M1358">
        <v>0.96454300000000004</v>
      </c>
      <c r="N1358">
        <v>-1.474526E-2</v>
      </c>
      <c r="O1358">
        <v>-0.26351400000000003</v>
      </c>
      <c r="P1358">
        <v>0.8938007</v>
      </c>
      <c r="Q1358">
        <v>0.31101980000000001</v>
      </c>
      <c r="R1358">
        <v>-0.32309009999999999</v>
      </c>
      <c r="S1358">
        <v>3.0092620000000001</v>
      </c>
      <c r="T1358">
        <v>-0.71371110000000004</v>
      </c>
      <c r="U1358">
        <v>-1.6582030000000001</v>
      </c>
      <c r="V1358">
        <v>8.1715499999999996E-2</v>
      </c>
      <c r="W1358">
        <v>0.32359169999999998</v>
      </c>
      <c r="X1358">
        <v>0.94266159999999999</v>
      </c>
      <c r="Y1358">
        <v>0.2341792</v>
      </c>
      <c r="Z1358">
        <v>2.5049720000000001E-2</v>
      </c>
      <c r="AA1358">
        <v>0.97187069999999998</v>
      </c>
      <c r="AB1358">
        <v>29</v>
      </c>
      <c r="AC1358">
        <v>0.61750000000000604</v>
      </c>
      <c r="AD1358">
        <v>-0.179457899999999</v>
      </c>
      <c r="AE1358">
        <v>-0.37529999999998098</v>
      </c>
      <c r="AF1358">
        <v>0.18771688411270401</v>
      </c>
      <c r="AG1358">
        <v>-0.179457899999999</v>
      </c>
      <c r="AH1358">
        <v>0.65422666744510605</v>
      </c>
      <c r="AI1358">
        <v>104.77080771224099</v>
      </c>
      <c r="AJ1358">
        <v>73.990256734259802</v>
      </c>
      <c r="AK1358">
        <v>0.70388585640693302</v>
      </c>
      <c r="AL1358">
        <v>71.119723677955307</v>
      </c>
      <c r="AM1358">
        <v>85.0456468919907</v>
      </c>
      <c r="AN1358">
        <v>0.99999995168184797</v>
      </c>
    </row>
    <row r="1359" spans="1:40" x14ac:dyDescent="0.25">
      <c r="A1359" t="str">
        <f>"20190304164356123"</f>
        <v>20190304164356123</v>
      </c>
      <c r="B1359" t="str">
        <f>"1551689036110985"</f>
        <v>1551689036110985</v>
      </c>
      <c r="C1359" t="s">
        <v>40</v>
      </c>
      <c r="D1359">
        <v>5.6889989999999999</v>
      </c>
      <c r="E1359">
        <v>0.5824471</v>
      </c>
      <c r="F1359" t="s">
        <v>41</v>
      </c>
      <c r="G1359">
        <v>-207.47829999999999</v>
      </c>
      <c r="H1359">
        <v>0.95154989999999995</v>
      </c>
      <c r="I1359">
        <v>365.49149999999997</v>
      </c>
      <c r="J1359">
        <v>-207.98769999999999</v>
      </c>
      <c r="K1359">
        <v>1.10364</v>
      </c>
      <c r="L1359">
        <v>365.80930000000001</v>
      </c>
      <c r="M1359">
        <v>0.96337019999999995</v>
      </c>
      <c r="N1359">
        <v>-1.476687E-2</v>
      </c>
      <c r="O1359">
        <v>-0.26776909999999998</v>
      </c>
      <c r="P1359">
        <v>0.89187559999999999</v>
      </c>
      <c r="Q1359">
        <v>0.31090630000000002</v>
      </c>
      <c r="R1359">
        <v>-0.32847459999999901</v>
      </c>
      <c r="S1359">
        <v>2.997757</v>
      </c>
      <c r="T1359">
        <v>-0.71832200000000002</v>
      </c>
      <c r="U1359">
        <v>-1.6838379999999999</v>
      </c>
      <c r="V1359">
        <v>8.3333779999999996E-2</v>
      </c>
      <c r="W1359">
        <v>0.3234455</v>
      </c>
      <c r="X1359">
        <v>0.94257009999999997</v>
      </c>
      <c r="Y1359">
        <v>0.23779520000000001</v>
      </c>
      <c r="Z1359">
        <v>2.5658529999999999E-2</v>
      </c>
      <c r="AA1359">
        <v>0.97097639999999996</v>
      </c>
      <c r="AB1359">
        <v>29</v>
      </c>
      <c r="AC1359">
        <v>0.50939999999999896</v>
      </c>
      <c r="AD1359">
        <v>-0.15209010000000001</v>
      </c>
      <c r="AE1359">
        <v>-0.317800000000033</v>
      </c>
      <c r="AF1359">
        <v>0.15953875265537501</v>
      </c>
      <c r="AG1359">
        <v>-0.15209010000000001</v>
      </c>
      <c r="AH1359">
        <v>0.54117467885590198</v>
      </c>
      <c r="AI1359">
        <v>105.086464195245</v>
      </c>
      <c r="AJ1359">
        <v>73.574438559478295</v>
      </c>
      <c r="AK1359">
        <v>0.58434069270557498</v>
      </c>
      <c r="AL1359">
        <v>71.128576409024504</v>
      </c>
      <c r="AM1359">
        <v>84.947546690422101</v>
      </c>
      <c r="AN1359">
        <v>0.99999995188667301</v>
      </c>
    </row>
    <row r="1360" spans="1:40" x14ac:dyDescent="0.25">
      <c r="A1360" t="str">
        <f>"20190304164356134"</f>
        <v>20190304164356134</v>
      </c>
      <c r="B1360" t="str">
        <f>"1551689036131481"</f>
        <v>1551689036131481</v>
      </c>
      <c r="C1360" t="s">
        <v>40</v>
      </c>
      <c r="D1360">
        <v>5.6951269999999896</v>
      </c>
      <c r="E1360">
        <v>0.58252499999999996</v>
      </c>
      <c r="F1360" t="s">
        <v>41</v>
      </c>
      <c r="G1360">
        <v>-207.25120000000001</v>
      </c>
      <c r="H1360">
        <v>0.92561769999999999</v>
      </c>
      <c r="I1360">
        <v>365.38850000000002</v>
      </c>
      <c r="J1360">
        <v>-207.84649999999999</v>
      </c>
      <c r="K1360">
        <v>1.1034999999999999</v>
      </c>
      <c r="L1360">
        <v>365.76519999999999</v>
      </c>
      <c r="M1360">
        <v>0.96201559999999997</v>
      </c>
      <c r="N1360">
        <v>-1.4790360000000001E-2</v>
      </c>
      <c r="O1360">
        <v>-0.2725938</v>
      </c>
      <c r="P1360">
        <v>0.8897294</v>
      </c>
      <c r="Q1360">
        <v>0.31100830000000002</v>
      </c>
      <c r="R1360">
        <v>-0.33414919999999998</v>
      </c>
      <c r="S1360">
        <v>2.9868769999999998</v>
      </c>
      <c r="T1360">
        <v>-0.72181110000000004</v>
      </c>
      <c r="U1360">
        <v>-1.7063600000000001</v>
      </c>
      <c r="V1360">
        <v>8.4744009999999995E-2</v>
      </c>
      <c r="W1360">
        <v>0.32351540000000001</v>
      </c>
      <c r="X1360">
        <v>0.94242040000000005</v>
      </c>
      <c r="Y1360">
        <v>0.24000750000000001</v>
      </c>
      <c r="Z1360">
        <v>2.6502399999999999E-2</v>
      </c>
      <c r="AA1360">
        <v>0.97040919999999997</v>
      </c>
      <c r="AB1360">
        <v>29</v>
      </c>
      <c r="AC1360">
        <v>0.59529999999997996</v>
      </c>
      <c r="AD1360">
        <v>-0.17788229999999899</v>
      </c>
      <c r="AE1360">
        <v>-0.376699999999971</v>
      </c>
      <c r="AF1360">
        <v>0.188142485168906</v>
      </c>
      <c r="AG1360">
        <v>-0.17788229999999899</v>
      </c>
      <c r="AH1360">
        <v>0.63496381283436898</v>
      </c>
      <c r="AI1360">
        <v>105.034916572808</v>
      </c>
      <c r="AJ1360">
        <v>73.495218951951799</v>
      </c>
      <c r="AK1360">
        <v>0.68572498203578802</v>
      </c>
      <c r="AL1360">
        <v>71.124344535169996</v>
      </c>
      <c r="AM1360">
        <v>84.861687765635494</v>
      </c>
      <c r="AN1360">
        <v>0.99999998580210003</v>
      </c>
    </row>
    <row r="1361" spans="1:40" x14ac:dyDescent="0.25">
      <c r="A1361" t="str">
        <f>"20190304164356147"</f>
        <v>20190304164356147</v>
      </c>
      <c r="B1361" t="str">
        <f>"1551689036141241"</f>
        <v>1551689036141241</v>
      </c>
      <c r="C1361" t="s">
        <v>40</v>
      </c>
      <c r="D1361">
        <v>5.6743959999999998</v>
      </c>
      <c r="E1361">
        <v>0.58252409999999999</v>
      </c>
      <c r="F1361" t="s">
        <v>41</v>
      </c>
      <c r="G1361">
        <v>-207.02340000000001</v>
      </c>
      <c r="H1361">
        <v>0.90157330000000002</v>
      </c>
      <c r="I1361">
        <v>365.2876</v>
      </c>
      <c r="J1361">
        <v>-207.6858</v>
      </c>
      <c r="K1361">
        <v>1.1033409999999999</v>
      </c>
      <c r="L1361">
        <v>365.71339999999998</v>
      </c>
      <c r="M1361">
        <v>0.96038690000000004</v>
      </c>
      <c r="N1361">
        <v>-1.4820089999999999E-2</v>
      </c>
      <c r="O1361">
        <v>-0.27827560000000001</v>
      </c>
      <c r="P1361">
        <v>0.88713500000000001</v>
      </c>
      <c r="Q1361">
        <v>0.31141249999999998</v>
      </c>
      <c r="R1361">
        <v>-0.34060790000000002</v>
      </c>
      <c r="S1361">
        <v>2.9781949999999999</v>
      </c>
      <c r="T1361">
        <v>-0.73019279999999998</v>
      </c>
      <c r="U1361">
        <v>-1.727722</v>
      </c>
      <c r="V1361">
        <v>8.6204279999999994E-2</v>
      </c>
      <c r="W1361">
        <v>0.32388630000000002</v>
      </c>
      <c r="X1361">
        <v>0.94216049999999996</v>
      </c>
      <c r="Y1361">
        <v>0.24079349999999999</v>
      </c>
      <c r="Z1361">
        <v>2.789078E-2</v>
      </c>
      <c r="AA1361">
        <v>0.97017560000000003</v>
      </c>
      <c r="AB1361">
        <v>29</v>
      </c>
      <c r="AC1361">
        <v>0.662399999999991</v>
      </c>
      <c r="AD1361">
        <v>-0.201767699999999</v>
      </c>
      <c r="AE1361">
        <v>-0.42579999999998103</v>
      </c>
      <c r="AF1361">
        <v>0.210788704791259</v>
      </c>
      <c r="AG1361">
        <v>-0.201767699999999</v>
      </c>
      <c r="AH1361">
        <v>0.70823503673670896</v>
      </c>
      <c r="AI1361">
        <v>105.27238536527599</v>
      </c>
      <c r="AJ1361">
        <v>73.425660221672103</v>
      </c>
      <c r="AK1361">
        <v>0.76598887073658795</v>
      </c>
      <c r="AL1361">
        <v>71.101883760442007</v>
      </c>
      <c r="AM1361">
        <v>84.772199196118606</v>
      </c>
      <c r="AN1361">
        <v>0.99999996048912798</v>
      </c>
    </row>
    <row r="1362" spans="1:40" x14ac:dyDescent="0.25">
      <c r="A1362" t="str">
        <f>"20190304164356164"</f>
        <v>20190304164356164</v>
      </c>
      <c r="B1362" t="str">
        <f>"1551689036160762"</f>
        <v>1551689036160762</v>
      </c>
      <c r="C1362" t="s">
        <v>40</v>
      </c>
      <c r="D1362">
        <v>5.7086629999999996</v>
      </c>
      <c r="E1362">
        <v>0.58204259999999997</v>
      </c>
      <c r="F1362" t="s">
        <v>41</v>
      </c>
      <c r="G1362">
        <v>-207.0025</v>
      </c>
      <c r="H1362">
        <v>0.9347512</v>
      </c>
      <c r="I1362">
        <v>365.31020000000001</v>
      </c>
      <c r="J1362">
        <v>-207.47970000000001</v>
      </c>
      <c r="K1362">
        <v>1.103143</v>
      </c>
      <c r="L1362">
        <v>365.64550000000003</v>
      </c>
      <c r="M1362">
        <v>0.95820340000000004</v>
      </c>
      <c r="N1362">
        <v>-1.485827E-2</v>
      </c>
      <c r="O1362">
        <v>-0.2857015</v>
      </c>
      <c r="P1362">
        <v>0.88396219999999903</v>
      </c>
      <c r="Q1362">
        <v>0.31163960000000002</v>
      </c>
      <c r="R1362">
        <v>-0.34855700000000001</v>
      </c>
      <c r="S1362">
        <v>2.9667509999999999</v>
      </c>
      <c r="T1362">
        <v>-0.73152320000000004</v>
      </c>
      <c r="U1362">
        <v>-1.74960299999999</v>
      </c>
      <c r="V1362">
        <v>8.7558339999999998E-2</v>
      </c>
      <c r="W1362">
        <v>0.32408209999999998</v>
      </c>
      <c r="X1362">
        <v>0.94196829999999998</v>
      </c>
      <c r="Y1362">
        <v>0.24037</v>
      </c>
      <c r="Z1362">
        <v>2.9480349999999999E-2</v>
      </c>
      <c r="AA1362">
        <v>0.97023360000000003</v>
      </c>
      <c r="AB1362">
        <v>29</v>
      </c>
      <c r="AC1362">
        <v>0.47720000000001001</v>
      </c>
      <c r="AD1362">
        <v>-0.16839180000000001</v>
      </c>
      <c r="AE1362">
        <v>-0.33530000000001697</v>
      </c>
      <c r="AF1362">
        <v>0.17073609487413</v>
      </c>
      <c r="AG1362">
        <v>-0.16839180000000001</v>
      </c>
      <c r="AH1362">
        <v>0.51055015654633795</v>
      </c>
      <c r="AI1362">
        <v>107.369525128691</v>
      </c>
      <c r="AJ1362">
        <v>71.509244985589106</v>
      </c>
      <c r="AK1362">
        <v>0.56406389243559796</v>
      </c>
      <c r="AL1362">
        <v>71.090025920881402</v>
      </c>
      <c r="AM1362">
        <v>84.689471680808396</v>
      </c>
      <c r="AN1362">
        <v>0.999999974324427</v>
      </c>
    </row>
    <row r="1363" spans="1:40" x14ac:dyDescent="0.25">
      <c r="A1363" t="str">
        <f>"20190304164356181"</f>
        <v>20190304164356181</v>
      </c>
      <c r="B1363" t="str">
        <f>"1551689036171497"</f>
        <v>1551689036171497</v>
      </c>
      <c r="C1363" t="s">
        <v>40</v>
      </c>
      <c r="D1363">
        <v>5.6701959999999998</v>
      </c>
      <c r="E1363">
        <v>0.58197369999999904</v>
      </c>
      <c r="F1363" t="s">
        <v>41</v>
      </c>
      <c r="G1363">
        <v>-206.76679999999999</v>
      </c>
      <c r="H1363">
        <v>0.92466559999999998</v>
      </c>
      <c r="I1363">
        <v>365.2176</v>
      </c>
      <c r="J1363">
        <v>-207.28020000000001</v>
      </c>
      <c r="K1363">
        <v>1.1029599999999999</v>
      </c>
      <c r="L1363">
        <v>365.5779</v>
      </c>
      <c r="M1363">
        <v>0.95598079999999996</v>
      </c>
      <c r="N1363">
        <v>-1.489498E-2</v>
      </c>
      <c r="O1363">
        <v>-0.29305150000000002</v>
      </c>
      <c r="P1363">
        <v>0.88022060000000002</v>
      </c>
      <c r="Q1363">
        <v>0.31152570000000002</v>
      </c>
      <c r="R1363">
        <v>-0.35800019999999999</v>
      </c>
      <c r="S1363">
        <v>2.9552309999999999</v>
      </c>
      <c r="T1363">
        <v>-0.74004169999999903</v>
      </c>
      <c r="U1363">
        <v>-1.773987</v>
      </c>
      <c r="V1363">
        <v>9.0552579999999994E-2</v>
      </c>
      <c r="W1363">
        <v>0.32390560000000002</v>
      </c>
      <c r="X1363">
        <v>0.94174590000000002</v>
      </c>
      <c r="Y1363">
        <v>0.24060719999999999</v>
      </c>
      <c r="Z1363">
        <v>3.1326880000000001E-2</v>
      </c>
      <c r="AA1363">
        <v>0.97011689999999995</v>
      </c>
      <c r="AB1363">
        <v>28</v>
      </c>
      <c r="AC1363">
        <v>0.51340000000001795</v>
      </c>
      <c r="AD1363">
        <v>-0.17829439999999999</v>
      </c>
      <c r="AE1363">
        <v>-0.36029999999999501</v>
      </c>
      <c r="AF1363">
        <v>0.179503683026594</v>
      </c>
      <c r="AG1363">
        <v>-0.17829439999999999</v>
      </c>
      <c r="AH1363">
        <v>0.55185929497073805</v>
      </c>
      <c r="AI1363">
        <v>107.078795824903</v>
      </c>
      <c r="AJ1363">
        <v>71.981809036106</v>
      </c>
      <c r="AK1363">
        <v>0.60709072364604</v>
      </c>
      <c r="AL1363">
        <v>71.100715205456098</v>
      </c>
      <c r="AM1363">
        <v>84.507670040623296</v>
      </c>
      <c r="AN1363">
        <v>0.99999997381141204</v>
      </c>
    </row>
    <row r="1364" spans="1:40" x14ac:dyDescent="0.25">
      <c r="A1364" t="str">
        <f>"20190304164356197"</f>
        <v>20190304164356197</v>
      </c>
      <c r="B1364" t="str">
        <f>"1551689036191017"</f>
        <v>1551689036191017</v>
      </c>
      <c r="C1364" t="s">
        <v>40</v>
      </c>
      <c r="D1364">
        <v>5.7007510000000003</v>
      </c>
      <c r="E1364">
        <v>0.58180209999999999</v>
      </c>
      <c r="F1364" t="s">
        <v>41</v>
      </c>
      <c r="G1364">
        <v>-206.53389999999999</v>
      </c>
      <c r="H1364">
        <v>0.91412570000000004</v>
      </c>
      <c r="I1364">
        <v>365.11849999999998</v>
      </c>
      <c r="J1364">
        <v>-207.06450000000001</v>
      </c>
      <c r="K1364">
        <v>1.10277</v>
      </c>
      <c r="L1364">
        <v>365.50279999999998</v>
      </c>
      <c r="M1364">
        <v>0.95344930000000006</v>
      </c>
      <c r="N1364">
        <v>-1.4933419999999999E-2</v>
      </c>
      <c r="O1364">
        <v>-0.3011836</v>
      </c>
      <c r="P1364">
        <v>0.87675340000000002</v>
      </c>
      <c r="Q1364">
        <v>0.31092740000000002</v>
      </c>
      <c r="R1364">
        <v>-0.36691679999999999</v>
      </c>
      <c r="S1364">
        <v>2.93634</v>
      </c>
      <c r="T1364">
        <v>-0.74218919999999999</v>
      </c>
      <c r="U1364">
        <v>-1.806122</v>
      </c>
      <c r="V1364">
        <v>9.2168319999999998E-2</v>
      </c>
      <c r="W1364">
        <v>0.32327539999999999</v>
      </c>
      <c r="X1364">
        <v>0.94180569999999997</v>
      </c>
      <c r="Y1364">
        <v>0.2429238</v>
      </c>
      <c r="Z1364">
        <v>3.2826370000000001E-2</v>
      </c>
      <c r="AA1364">
        <v>0.96948979999999996</v>
      </c>
      <c r="AB1364">
        <v>28</v>
      </c>
      <c r="AC1364">
        <v>0.53060000000002105</v>
      </c>
      <c r="AD1364">
        <v>-0.18864429999999999</v>
      </c>
      <c r="AE1364">
        <v>-0.38429999999999598</v>
      </c>
      <c r="AF1364">
        <v>0.19080594054442901</v>
      </c>
      <c r="AG1364">
        <v>-0.18864429999999999</v>
      </c>
      <c r="AH1364">
        <v>0.57411474762611303</v>
      </c>
      <c r="AI1364">
        <v>107.318166211177</v>
      </c>
      <c r="AJ1364">
        <v>71.615871375554903</v>
      </c>
      <c r="AK1364">
        <v>0.63372022400372396</v>
      </c>
      <c r="AL1364">
        <v>71.138876294876397</v>
      </c>
      <c r="AM1364">
        <v>84.410637702351096</v>
      </c>
      <c r="AN1364">
        <v>0.99999998000463597</v>
      </c>
    </row>
    <row r="1365" spans="1:40" x14ac:dyDescent="0.25">
      <c r="A1365" t="str">
        <f>"20190304164356209"</f>
        <v>20190304164356209</v>
      </c>
      <c r="B1365" t="str">
        <f>"1551689036200777"</f>
        <v>1551689036200777</v>
      </c>
      <c r="C1365" t="s">
        <v>40</v>
      </c>
      <c r="D1365">
        <v>5.6889159999999999</v>
      </c>
      <c r="E1365">
        <v>0.58169709999999997</v>
      </c>
      <c r="F1365" t="s">
        <v>41</v>
      </c>
      <c r="G1365">
        <v>-206.29949999999999</v>
      </c>
      <c r="H1365">
        <v>0.90673419999999905</v>
      </c>
      <c r="I1365">
        <v>365.02199999999999</v>
      </c>
      <c r="J1365">
        <v>-206.9171</v>
      </c>
      <c r="K1365">
        <v>1.102643</v>
      </c>
      <c r="L1365">
        <v>365.45</v>
      </c>
      <c r="M1365">
        <v>0.95164009999999999</v>
      </c>
      <c r="N1365">
        <v>-1.4958849999999999E-2</v>
      </c>
      <c r="O1365">
        <v>-0.30685089999999998</v>
      </c>
      <c r="P1365">
        <v>0.87329239999999997</v>
      </c>
      <c r="Q1365">
        <v>0.30983309999999997</v>
      </c>
      <c r="R1365">
        <v>-0.37598429999999999</v>
      </c>
      <c r="S1365">
        <v>2.9193120000000001</v>
      </c>
      <c r="T1365">
        <v>-0.74812380000000001</v>
      </c>
      <c r="U1365">
        <v>-1.834473</v>
      </c>
      <c r="V1365">
        <v>9.629625E-2</v>
      </c>
      <c r="W1365">
        <v>0.32209779999999999</v>
      </c>
      <c r="X1365">
        <v>0.94179619999999997</v>
      </c>
      <c r="Y1365">
        <v>0.24647849999999999</v>
      </c>
      <c r="Z1365">
        <v>3.3889540000000003E-2</v>
      </c>
      <c r="AA1365">
        <v>0.96855559999999996</v>
      </c>
      <c r="AB1365">
        <v>28</v>
      </c>
      <c r="AC1365">
        <v>0.61760000000001003</v>
      </c>
      <c r="AD1365">
        <v>-0.19590879999999999</v>
      </c>
      <c r="AE1365">
        <v>-0.42799999999999699</v>
      </c>
      <c r="AF1365">
        <v>0.20395137964841301</v>
      </c>
      <c r="AG1365">
        <v>-0.19590879999999999</v>
      </c>
      <c r="AH1365">
        <v>0.67337229036201096</v>
      </c>
      <c r="AI1365">
        <v>105.559606939609</v>
      </c>
      <c r="AJ1365">
        <v>73.149459363930603</v>
      </c>
      <c r="AK1365">
        <v>0.73034694810433198</v>
      </c>
      <c r="AL1365">
        <v>71.210161940298704</v>
      </c>
      <c r="AM1365">
        <v>84.161941575630095</v>
      </c>
      <c r="AN1365">
        <v>1.00000002143167</v>
      </c>
    </row>
    <row r="1366" spans="1:40" x14ac:dyDescent="0.25">
      <c r="A1366" t="str">
        <f>"20190304164356221"</f>
        <v>20190304164356221</v>
      </c>
      <c r="B1366" t="str">
        <f>"1551689036211514"</f>
        <v>1551689036211514</v>
      </c>
      <c r="C1366" t="s">
        <v>40</v>
      </c>
      <c r="D1366">
        <v>5.7067489999999896</v>
      </c>
      <c r="E1366">
        <v>0.58145669999999905</v>
      </c>
      <c r="F1366" t="s">
        <v>41</v>
      </c>
      <c r="G1366">
        <v>-206.2799</v>
      </c>
      <c r="H1366">
        <v>0.93690989999999996</v>
      </c>
      <c r="I1366">
        <v>365.04180000000002</v>
      </c>
      <c r="J1366">
        <v>-206.78319999999999</v>
      </c>
      <c r="K1366">
        <v>1.1025400000000001</v>
      </c>
      <c r="L1366">
        <v>365.40120000000002</v>
      </c>
      <c r="M1366">
        <v>0.94994060000000002</v>
      </c>
      <c r="N1366">
        <v>-1.498144E-2</v>
      </c>
      <c r="O1366">
        <v>-0.31207190000000001</v>
      </c>
      <c r="P1366">
        <v>0.87033939999999999</v>
      </c>
      <c r="Q1366">
        <v>0.30939159999999999</v>
      </c>
      <c r="R1366">
        <v>-0.38312780000000002</v>
      </c>
      <c r="S1366">
        <v>2.9025120000000002</v>
      </c>
      <c r="T1366">
        <v>-0.75514969999999904</v>
      </c>
      <c r="U1366">
        <v>-1.8597109999999999</v>
      </c>
      <c r="V1366">
        <v>9.8872730000000006E-2</v>
      </c>
      <c r="W1366">
        <v>0.32160260000000002</v>
      </c>
      <c r="X1366">
        <v>0.94169840000000005</v>
      </c>
      <c r="Y1366">
        <v>0.24970220000000001</v>
      </c>
      <c r="Z1366">
        <v>3.4984990000000001E-2</v>
      </c>
      <c r="AA1366">
        <v>0.96769050000000001</v>
      </c>
      <c r="AB1366">
        <v>28</v>
      </c>
      <c r="AC1366">
        <v>0.50329999999999497</v>
      </c>
      <c r="AD1366">
        <v>-0.165630099999999</v>
      </c>
      <c r="AE1366">
        <v>-0.359399999999993</v>
      </c>
      <c r="AF1366">
        <v>0.17202501602951001</v>
      </c>
      <c r="AG1366">
        <v>-0.165630099999999</v>
      </c>
      <c r="AH1366">
        <v>0.55082213523566204</v>
      </c>
      <c r="AI1366">
        <v>106.01476627814699</v>
      </c>
      <c r="AJ1366">
        <v>72.656106346920794</v>
      </c>
      <c r="AK1366">
        <v>0.600359026609526</v>
      </c>
      <c r="AL1366">
        <v>71.240128217537801</v>
      </c>
      <c r="AM1366">
        <v>84.006244176915004</v>
      </c>
      <c r="AN1366">
        <v>0.99999996281348502</v>
      </c>
    </row>
    <row r="1367" spans="1:40" x14ac:dyDescent="0.25">
      <c r="A1367" t="str">
        <f>"20190304164356232"</f>
        <v>20190304164356232</v>
      </c>
      <c r="B1367" t="str">
        <f>"1551689036221273"</f>
        <v>1551689036221273</v>
      </c>
      <c r="C1367" t="s">
        <v>40</v>
      </c>
      <c r="D1367">
        <v>5.6851349999999998</v>
      </c>
      <c r="E1367">
        <v>0.58129049999999904</v>
      </c>
      <c r="F1367" t="s">
        <v>41</v>
      </c>
      <c r="G1367">
        <v>-206.05879999999999</v>
      </c>
      <c r="H1367">
        <v>0.91174750000000004</v>
      </c>
      <c r="I1367">
        <v>364.92989999999998</v>
      </c>
      <c r="J1367">
        <v>-206.63550000000001</v>
      </c>
      <c r="K1367">
        <v>1.1024339999999999</v>
      </c>
      <c r="L1367">
        <v>365.34660000000002</v>
      </c>
      <c r="M1367">
        <v>0.94801590000000002</v>
      </c>
      <c r="N1367">
        <v>-1.500543E-2</v>
      </c>
      <c r="O1367">
        <v>-0.31786930000000002</v>
      </c>
      <c r="P1367">
        <v>0.86703600000000003</v>
      </c>
      <c r="Q1367">
        <v>0.30932310000000002</v>
      </c>
      <c r="R1367">
        <v>-0.39059959999999999</v>
      </c>
      <c r="S1367">
        <v>2.8901819999999998</v>
      </c>
      <c r="T1367">
        <v>-0.76085459999999905</v>
      </c>
      <c r="U1367">
        <v>-1.879181</v>
      </c>
      <c r="V1367">
        <v>0.1013023</v>
      </c>
      <c r="W1367">
        <v>0.32148070000000001</v>
      </c>
      <c r="X1367">
        <v>0.94148180000000004</v>
      </c>
      <c r="Y1367">
        <v>0.2503572</v>
      </c>
      <c r="Z1367">
        <v>3.6434229999999998E-2</v>
      </c>
      <c r="AA1367">
        <v>0.96746770000000004</v>
      </c>
      <c r="AB1367">
        <v>28</v>
      </c>
      <c r="AC1367">
        <v>0.57670000000001598</v>
      </c>
      <c r="AD1367">
        <v>-0.19068649999999901</v>
      </c>
      <c r="AE1367">
        <v>-0.41670000000004798</v>
      </c>
      <c r="AF1367">
        <v>0.197556553857897</v>
      </c>
      <c r="AG1367">
        <v>-0.19068649999999901</v>
      </c>
      <c r="AH1367">
        <v>0.63373298619297702</v>
      </c>
      <c r="AI1367">
        <v>106.027235423934</v>
      </c>
      <c r="AJ1367">
        <v>72.685932112562796</v>
      </c>
      <c r="AK1367">
        <v>0.69065724570406595</v>
      </c>
      <c r="AL1367">
        <v>71.247504767475903</v>
      </c>
      <c r="AM1367">
        <v>83.858671282130103</v>
      </c>
      <c r="AN1367">
        <v>0.99999998809450996</v>
      </c>
    </row>
    <row r="1368" spans="1:40" x14ac:dyDescent="0.25">
      <c r="A1368" t="str">
        <f>"20190304164356244"</f>
        <v>20190304164356244</v>
      </c>
      <c r="B1368" t="str">
        <f>"1551689036240793"</f>
        <v>1551689036240793</v>
      </c>
      <c r="C1368" t="s">
        <v>40</v>
      </c>
      <c r="D1368">
        <v>5.6947700000000001</v>
      </c>
      <c r="E1368">
        <v>0.58112379999999997</v>
      </c>
      <c r="F1368" t="s">
        <v>41</v>
      </c>
      <c r="G1368">
        <v>-206.0376</v>
      </c>
      <c r="H1368">
        <v>0.94353699999999996</v>
      </c>
      <c r="I1368">
        <v>364.9513</v>
      </c>
      <c r="J1368">
        <v>-206.5077</v>
      </c>
      <c r="K1368">
        <v>1.102355</v>
      </c>
      <c r="L1368">
        <v>365.2978</v>
      </c>
      <c r="M1368">
        <v>0.94628270000000003</v>
      </c>
      <c r="N1368">
        <v>-1.5026060000000001E-2</v>
      </c>
      <c r="O1368">
        <v>-0.32299090000000003</v>
      </c>
      <c r="P1368">
        <v>0.86410019999999998</v>
      </c>
      <c r="Q1368">
        <v>0.30891289999999999</v>
      </c>
      <c r="R1368">
        <v>-0.39737090000000003</v>
      </c>
      <c r="S1368">
        <v>2.8763429999999999</v>
      </c>
      <c r="T1368">
        <v>-0.76400469999999998</v>
      </c>
      <c r="U1368">
        <v>-1.900757</v>
      </c>
      <c r="V1368">
        <v>0.10359549999999999</v>
      </c>
      <c r="W1368">
        <v>0.3210228</v>
      </c>
      <c r="X1368">
        <v>0.94138849999999996</v>
      </c>
      <c r="Y1368">
        <v>0.2523688</v>
      </c>
      <c r="Z1368">
        <v>3.7456290000000003E-2</v>
      </c>
      <c r="AA1368">
        <v>0.96690589999999998</v>
      </c>
      <c r="AB1368">
        <v>28</v>
      </c>
      <c r="AC1368">
        <v>0.47010000000000202</v>
      </c>
      <c r="AD1368">
        <v>-0.15881799999999899</v>
      </c>
      <c r="AE1368">
        <v>-0.34649999999999098</v>
      </c>
      <c r="AF1368">
        <v>0.16394416907480699</v>
      </c>
      <c r="AG1368">
        <v>-0.15881799999999899</v>
      </c>
      <c r="AH1368">
        <v>0.51848190160091201</v>
      </c>
      <c r="AI1368">
        <v>106.281011702095</v>
      </c>
      <c r="AJ1368">
        <v>72.453026380748796</v>
      </c>
      <c r="AK1368">
        <v>0.56650183581814295</v>
      </c>
      <c r="AL1368">
        <v>71.275208976490404</v>
      </c>
      <c r="AM1368">
        <v>83.720129832040499</v>
      </c>
      <c r="AN1368">
        <v>0.99999998683616897</v>
      </c>
    </row>
    <row r="1369" spans="1:40" x14ac:dyDescent="0.25">
      <c r="A1369" t="str">
        <f>"20190304164356255"</f>
        <v>20190304164356255</v>
      </c>
      <c r="B1369" t="str">
        <f>"1551689036251529"</f>
        <v>1551689036251529</v>
      </c>
      <c r="C1369" t="s">
        <v>40</v>
      </c>
      <c r="D1369">
        <v>5.6828139999999996</v>
      </c>
      <c r="E1369">
        <v>0.58103419999999995</v>
      </c>
      <c r="F1369" t="s">
        <v>41</v>
      </c>
      <c r="G1369">
        <v>-205.81890000000001</v>
      </c>
      <c r="H1369">
        <v>0.9175529</v>
      </c>
      <c r="I1369">
        <v>364.83580000000001</v>
      </c>
      <c r="J1369">
        <v>-206.3724</v>
      </c>
      <c r="K1369">
        <v>1.102271</v>
      </c>
      <c r="L1369">
        <v>365.24590000000001</v>
      </c>
      <c r="M1369">
        <v>0.94441070000000005</v>
      </c>
      <c r="N1369">
        <v>-1.504701E-2</v>
      </c>
      <c r="O1369">
        <v>-0.32842379999999999</v>
      </c>
      <c r="P1369">
        <v>0.86088770000000003</v>
      </c>
      <c r="Q1369">
        <v>0.3089597</v>
      </c>
      <c r="R1369">
        <v>-0.40424840000000001</v>
      </c>
      <c r="S1369">
        <v>2.863251</v>
      </c>
      <c r="T1369">
        <v>-0.76812049999999998</v>
      </c>
      <c r="U1369">
        <v>-1.9205019999999999</v>
      </c>
      <c r="V1369">
        <v>0.10577400000000001</v>
      </c>
      <c r="W1369">
        <v>0.32102049999999999</v>
      </c>
      <c r="X1369">
        <v>0.94114699999999996</v>
      </c>
      <c r="Y1369">
        <v>0.25353510000000001</v>
      </c>
      <c r="Z1369">
        <v>3.8710580000000001E-2</v>
      </c>
      <c r="AA1369">
        <v>0.9665513</v>
      </c>
      <c r="AB1369">
        <v>28</v>
      </c>
      <c r="AC1369">
        <v>0.553499999999985</v>
      </c>
      <c r="AD1369">
        <v>-0.1847181</v>
      </c>
      <c r="AE1369">
        <v>-0.41009999999999902</v>
      </c>
      <c r="AF1369">
        <v>0.19175584005701601</v>
      </c>
      <c r="AG1369">
        <v>-0.1847181</v>
      </c>
      <c r="AH1369">
        <v>0.61338833100357404</v>
      </c>
      <c r="AI1369">
        <v>106.036034111142</v>
      </c>
      <c r="AJ1369">
        <v>72.639849631225403</v>
      </c>
      <c r="AK1369">
        <v>0.66868252801679495</v>
      </c>
      <c r="AL1369">
        <v>71.275348145095606</v>
      </c>
      <c r="AM1369">
        <v>83.587527972079101</v>
      </c>
      <c r="AN1369">
        <v>0.99999998805262402</v>
      </c>
    </row>
    <row r="1370" spans="1:40" x14ac:dyDescent="0.25">
      <c r="A1370" t="str">
        <f>"20190304164356266"</f>
        <v>20190304164356266</v>
      </c>
      <c r="B1370" t="str">
        <f>"1551689036261289"</f>
        <v>1551689036261289</v>
      </c>
      <c r="C1370" t="s">
        <v>40</v>
      </c>
      <c r="D1370">
        <v>5.6942029999999999</v>
      </c>
      <c r="E1370">
        <v>0.58101630000000004</v>
      </c>
      <c r="F1370" t="s">
        <v>41</v>
      </c>
      <c r="G1370">
        <v>-205.6002</v>
      </c>
      <c r="H1370">
        <v>0.89372580000000001</v>
      </c>
      <c r="I1370">
        <v>364.71929999999998</v>
      </c>
      <c r="J1370">
        <v>-206.2379</v>
      </c>
      <c r="K1370">
        <v>1.1021920000000001</v>
      </c>
      <c r="L1370">
        <v>365.19290000000001</v>
      </c>
      <c r="M1370">
        <v>0.94248209999999999</v>
      </c>
      <c r="N1370">
        <v>-1.5068E-2</v>
      </c>
      <c r="O1370">
        <v>-0.33391690000000002</v>
      </c>
      <c r="P1370">
        <v>0.85752569999999995</v>
      </c>
      <c r="Q1370">
        <v>0.30921559999999998</v>
      </c>
      <c r="R1370">
        <v>-0.41113909999999998</v>
      </c>
      <c r="S1370">
        <v>2.84877</v>
      </c>
      <c r="T1370">
        <v>-0.76902099999999995</v>
      </c>
      <c r="U1370">
        <v>-1.9421999999999999</v>
      </c>
      <c r="V1370">
        <v>0.10794860000000001</v>
      </c>
      <c r="W1370">
        <v>0.32122640000000002</v>
      </c>
      <c r="X1370">
        <v>0.94082980000000005</v>
      </c>
      <c r="Y1370">
        <v>0.2552799</v>
      </c>
      <c r="Z1370">
        <v>3.9731559999999999E-2</v>
      </c>
      <c r="AA1370">
        <v>0.96605050000000003</v>
      </c>
      <c r="AB1370">
        <v>28</v>
      </c>
      <c r="AC1370">
        <v>0.63769999999999505</v>
      </c>
      <c r="AD1370">
        <v>-0.20846619999999999</v>
      </c>
      <c r="AE1370">
        <v>-0.47360000000003299</v>
      </c>
      <c r="AF1370">
        <v>0.21840430231469399</v>
      </c>
      <c r="AG1370">
        <v>-0.20846619999999999</v>
      </c>
      <c r="AH1370">
        <v>0.71032537550163</v>
      </c>
      <c r="AI1370">
        <v>105.669836604312</v>
      </c>
      <c r="AJ1370">
        <v>72.908866243538</v>
      </c>
      <c r="AK1370">
        <v>0.77182947267744295</v>
      </c>
      <c r="AL1370">
        <v>71.262891547727705</v>
      </c>
      <c r="AM1370">
        <v>83.454639409253403</v>
      </c>
      <c r="AN1370">
        <v>1.00000000643348</v>
      </c>
    </row>
    <row r="1371" spans="1:40" x14ac:dyDescent="0.25">
      <c r="A1371" t="str">
        <f>"20190304164356278"</f>
        <v>20190304164356278</v>
      </c>
      <c r="B1371" t="str">
        <f>"1551689036271049"</f>
        <v>1551689036271049</v>
      </c>
      <c r="C1371" t="s">
        <v>40</v>
      </c>
      <c r="D1371">
        <v>5.7161780000000002</v>
      </c>
      <c r="E1371">
        <v>0.58089559999999996</v>
      </c>
      <c r="F1371" t="s">
        <v>41</v>
      </c>
      <c r="G1371">
        <v>-205.5806</v>
      </c>
      <c r="H1371">
        <v>0.92393040000000004</v>
      </c>
      <c r="I1371">
        <v>364.7371</v>
      </c>
      <c r="J1371">
        <v>-206.09690000000001</v>
      </c>
      <c r="K1371">
        <v>1.1021160000000001</v>
      </c>
      <c r="L1371">
        <v>365.13659999999999</v>
      </c>
      <c r="M1371">
        <v>0.94040970000000002</v>
      </c>
      <c r="N1371">
        <v>-1.508936E-2</v>
      </c>
      <c r="O1371">
        <v>-0.33970889999999998</v>
      </c>
      <c r="P1371">
        <v>0.854035399999999</v>
      </c>
      <c r="Q1371">
        <v>0.30934460000000003</v>
      </c>
      <c r="R1371">
        <v>-0.41824640000000002</v>
      </c>
      <c r="S1371">
        <v>2.8337249999999998</v>
      </c>
      <c r="T1371">
        <v>-0.76818249999999999</v>
      </c>
      <c r="U1371">
        <v>-1.964172</v>
      </c>
      <c r="V1371">
        <v>0.1100633</v>
      </c>
      <c r="W1371">
        <v>0.32130769999999997</v>
      </c>
      <c r="X1371">
        <v>0.94055690000000003</v>
      </c>
      <c r="Y1371">
        <v>0.25686249999999999</v>
      </c>
      <c r="Z1371">
        <v>4.0735819999999999E-2</v>
      </c>
      <c r="AA1371">
        <v>0.96558909999999998</v>
      </c>
      <c r="AB1371">
        <v>28</v>
      </c>
      <c r="AC1371">
        <v>0.51630000000000098</v>
      </c>
      <c r="AD1371">
        <v>-0.1781856</v>
      </c>
      <c r="AE1371">
        <v>-0.39949999999998898</v>
      </c>
      <c r="AF1371">
        <v>0.18643501917982</v>
      </c>
      <c r="AG1371">
        <v>-0.1781856</v>
      </c>
      <c r="AH1371">
        <v>0.57823814651727601</v>
      </c>
      <c r="AI1371">
        <v>106.34563980882101</v>
      </c>
      <c r="AJ1371">
        <v>72.129687608450197</v>
      </c>
      <c r="AK1371">
        <v>0.63314096259180297</v>
      </c>
      <c r="AL1371">
        <v>71.257971062129101</v>
      </c>
      <c r="AM1371">
        <v>83.325643277435404</v>
      </c>
      <c r="AN1371">
        <v>0.99999992511189195</v>
      </c>
    </row>
    <row r="1372" spans="1:40" x14ac:dyDescent="0.25">
      <c r="A1372" t="str">
        <f>"20190304164356288"</f>
        <v>20190304164356288</v>
      </c>
      <c r="B1372" t="str">
        <f>"1551689036280810"</f>
        <v>1551689036280810</v>
      </c>
      <c r="C1372" t="s">
        <v>40</v>
      </c>
      <c r="D1372">
        <v>5.7070679999999996</v>
      </c>
      <c r="E1372">
        <v>0.5807928</v>
      </c>
      <c r="F1372" t="s">
        <v>41</v>
      </c>
      <c r="G1372">
        <v>-205.36250000000001</v>
      </c>
      <c r="H1372">
        <v>0.9017889</v>
      </c>
      <c r="I1372">
        <v>364.6191</v>
      </c>
      <c r="J1372">
        <v>-205.96940000000001</v>
      </c>
      <c r="K1372">
        <v>1.102044</v>
      </c>
      <c r="L1372">
        <v>365.0847</v>
      </c>
      <c r="M1372">
        <v>0.93848379999999998</v>
      </c>
      <c r="N1372">
        <v>-1.5108430000000001E-2</v>
      </c>
      <c r="O1372">
        <v>-0.34499249999999998</v>
      </c>
      <c r="P1372">
        <v>0.85086019999999896</v>
      </c>
      <c r="Q1372">
        <v>0.30943670000000001</v>
      </c>
      <c r="R1372">
        <v>-0.42460120000000001</v>
      </c>
      <c r="S1372">
        <v>2.8186339999999999</v>
      </c>
      <c r="T1372">
        <v>-0.76913560000000003</v>
      </c>
      <c r="U1372">
        <v>-1.9862059999999999</v>
      </c>
      <c r="V1372">
        <v>0.111858399999999</v>
      </c>
      <c r="W1372">
        <v>0.32135920000000001</v>
      </c>
      <c r="X1372">
        <v>0.94032760000000004</v>
      </c>
      <c r="Y1372">
        <v>0.2589571</v>
      </c>
      <c r="Z1372">
        <v>4.1679099999999997E-2</v>
      </c>
      <c r="AA1372">
        <v>0.96498919999999999</v>
      </c>
      <c r="AB1372">
        <v>28</v>
      </c>
      <c r="AC1372">
        <v>0.606899999999996</v>
      </c>
      <c r="AD1372">
        <v>-0.20025509999999899</v>
      </c>
      <c r="AE1372">
        <v>-0.46559999999999402</v>
      </c>
      <c r="AF1372">
        <v>0.213008970736731</v>
      </c>
      <c r="AG1372">
        <v>-0.20025509999999899</v>
      </c>
      <c r="AH1372">
        <v>0.68343659582406302</v>
      </c>
      <c r="AI1372">
        <v>105.628421558559</v>
      </c>
      <c r="AJ1372">
        <v>72.689135428057597</v>
      </c>
      <c r="AK1372">
        <v>0.74334413780019504</v>
      </c>
      <c r="AL1372">
        <v>71.254856847470094</v>
      </c>
      <c r="AM1372">
        <v>83.216154044280799</v>
      </c>
      <c r="AN1372">
        <v>1.0000000161984799</v>
      </c>
    </row>
    <row r="1373" spans="1:40" x14ac:dyDescent="0.25">
      <c r="A1373" t="str">
        <f>"20190304164356300"</f>
        <v>20190304164356300</v>
      </c>
      <c r="B1373" t="str">
        <f>"1551689036291546"</f>
        <v>1551689036291546</v>
      </c>
      <c r="C1373" t="s">
        <v>40</v>
      </c>
      <c r="D1373">
        <v>5.6978390000000001</v>
      </c>
      <c r="E1373">
        <v>0.58071640000000002</v>
      </c>
      <c r="F1373" t="s">
        <v>41</v>
      </c>
      <c r="G1373">
        <v>-205.3434</v>
      </c>
      <c r="H1373">
        <v>0.93029050000000002</v>
      </c>
      <c r="I1373">
        <v>364.637</v>
      </c>
      <c r="J1373">
        <v>-205.8458</v>
      </c>
      <c r="K1373">
        <v>1.101979</v>
      </c>
      <c r="L1373">
        <v>365.0335</v>
      </c>
      <c r="M1373">
        <v>0.93657020000000002</v>
      </c>
      <c r="N1373">
        <v>-1.512633E-2</v>
      </c>
      <c r="O1373">
        <v>-0.35015410000000002</v>
      </c>
      <c r="P1373">
        <v>0.84773399999999999</v>
      </c>
      <c r="Q1373">
        <v>0.30924390000000002</v>
      </c>
      <c r="R1373">
        <v>-0.43094759999999999</v>
      </c>
      <c r="S1373">
        <v>2.8046570000000002</v>
      </c>
      <c r="T1373">
        <v>-0.76977959999999901</v>
      </c>
      <c r="U1373">
        <v>-2.0061339999999999</v>
      </c>
      <c r="V1373">
        <v>0.11373560000000001</v>
      </c>
      <c r="W1373">
        <v>0.321125299999999</v>
      </c>
      <c r="X1373">
        <v>0.94018230000000003</v>
      </c>
      <c r="Y1373">
        <v>0.26051279999999999</v>
      </c>
      <c r="Z1373">
        <v>4.2644920000000003E-2</v>
      </c>
      <c r="AA1373">
        <v>0.9645281</v>
      </c>
      <c r="AB1373">
        <v>28</v>
      </c>
      <c r="AC1373">
        <v>0.50239999999999396</v>
      </c>
      <c r="AD1373">
        <v>-0.17168849999999999</v>
      </c>
      <c r="AE1373">
        <v>-0.39650000000005903</v>
      </c>
      <c r="AF1373">
        <v>0.18233386918642</v>
      </c>
      <c r="AG1373">
        <v>-0.17168849999999999</v>
      </c>
      <c r="AH1373">
        <v>0.56852626049277399</v>
      </c>
      <c r="AI1373">
        <v>106.043209988797</v>
      </c>
      <c r="AJ1373">
        <v>72.218269076124599</v>
      </c>
      <c r="AK1373">
        <v>0.62124446859077798</v>
      </c>
      <c r="AL1373">
        <v>71.269008111393006</v>
      </c>
      <c r="AM1373">
        <v>83.102339991822106</v>
      </c>
      <c r="AN1373">
        <v>1.00000000112036</v>
      </c>
    </row>
    <row r="1374" spans="1:40" x14ac:dyDescent="0.25">
      <c r="A1374" t="str">
        <f>"20190304164356310"</f>
        <v>20190304164356310</v>
      </c>
      <c r="B1374" t="str">
        <f>"1551689036301306"</f>
        <v>1551689036301306</v>
      </c>
      <c r="C1374" t="s">
        <v>40</v>
      </c>
      <c r="D1374">
        <v>5.7041550000000001</v>
      </c>
      <c r="E1374">
        <v>0.58065540000000004</v>
      </c>
      <c r="F1374" t="s">
        <v>41</v>
      </c>
      <c r="G1374">
        <v>-205.12989999999999</v>
      </c>
      <c r="H1374">
        <v>0.90401799999999999</v>
      </c>
      <c r="I1374">
        <v>364.51369999999997</v>
      </c>
      <c r="J1374">
        <v>-205.7139</v>
      </c>
      <c r="K1374">
        <v>1.1019139999999901</v>
      </c>
      <c r="L1374">
        <v>364.97809999999998</v>
      </c>
      <c r="M1374">
        <v>0.93447979999999997</v>
      </c>
      <c r="N1374">
        <v>-1.514481E-2</v>
      </c>
      <c r="O1374">
        <v>-0.35569410000000001</v>
      </c>
      <c r="P1374">
        <v>0.84459099999999998</v>
      </c>
      <c r="Q1374">
        <v>0.30896659999999998</v>
      </c>
      <c r="R1374">
        <v>-0.43727090000000002</v>
      </c>
      <c r="S1374">
        <v>2.7904659999999999</v>
      </c>
      <c r="T1374">
        <v>-0.77110109999999998</v>
      </c>
      <c r="U1374">
        <v>-2.0255130000000001</v>
      </c>
      <c r="V1374">
        <v>0.1152073</v>
      </c>
      <c r="W1374">
        <v>0.3208164</v>
      </c>
      <c r="X1374">
        <v>0.94010859999999996</v>
      </c>
      <c r="Y1374">
        <v>0.2615961</v>
      </c>
      <c r="Z1374">
        <v>4.3798650000000001E-2</v>
      </c>
      <c r="AA1374">
        <v>0.96418320000000002</v>
      </c>
      <c r="AB1374">
        <v>28</v>
      </c>
      <c r="AC1374">
        <v>0.58400000000000296</v>
      </c>
      <c r="AD1374">
        <v>-0.19789599999999899</v>
      </c>
      <c r="AE1374">
        <v>-0.46440000000001103</v>
      </c>
      <c r="AF1374">
        <v>0.21140188625621401</v>
      </c>
      <c r="AG1374">
        <v>-0.19789599999999899</v>
      </c>
      <c r="AH1374">
        <v>0.664273563085646</v>
      </c>
      <c r="AI1374">
        <v>105.848404704126</v>
      </c>
      <c r="AJ1374">
        <v>72.346577140460496</v>
      </c>
      <c r="AK1374">
        <v>0.72464677667342503</v>
      </c>
      <c r="AL1374">
        <v>71.287696149282795</v>
      </c>
      <c r="AM1374">
        <v>83.013420790827297</v>
      </c>
      <c r="AN1374">
        <v>1.0000000321381</v>
      </c>
    </row>
    <row r="1375" spans="1:40" x14ac:dyDescent="0.25">
      <c r="A1375" t="str">
        <f>"20190304164356322"</f>
        <v>20190304164356322</v>
      </c>
      <c r="B1375" t="str">
        <f>"1551689036311066"</f>
        <v>1551689036311066</v>
      </c>
      <c r="C1375" t="s">
        <v>40</v>
      </c>
      <c r="D1375">
        <v>5.7832780000000001</v>
      </c>
      <c r="E1375">
        <v>0.58050889999999999</v>
      </c>
      <c r="F1375" t="s">
        <v>41</v>
      </c>
      <c r="G1375">
        <v>-205.1096</v>
      </c>
      <c r="H1375">
        <v>0.93365980000000004</v>
      </c>
      <c r="I1375">
        <v>364.53250000000003</v>
      </c>
      <c r="J1375">
        <v>-205.58240000000001</v>
      </c>
      <c r="K1375">
        <v>1.1018539999999999</v>
      </c>
      <c r="L1375">
        <v>364.92160000000001</v>
      </c>
      <c r="M1375">
        <v>0.93233630000000001</v>
      </c>
      <c r="N1375">
        <v>-1.516255E-2</v>
      </c>
      <c r="O1375">
        <v>-0.3612744</v>
      </c>
      <c r="P1375">
        <v>0.84137459999999997</v>
      </c>
      <c r="Q1375">
        <v>0.30870730000000002</v>
      </c>
      <c r="R1375">
        <v>-0.44360880000000003</v>
      </c>
      <c r="S1375">
        <v>2.7753450000000002</v>
      </c>
      <c r="T1375">
        <v>-0.77216680000000004</v>
      </c>
      <c r="U1375">
        <v>-2.0457459999999998</v>
      </c>
      <c r="V1375">
        <v>0.1166667</v>
      </c>
      <c r="W1375">
        <v>0.32052599999999998</v>
      </c>
      <c r="X1375">
        <v>0.94002770000000002</v>
      </c>
      <c r="Y1375">
        <v>0.262964799999999</v>
      </c>
      <c r="Z1375">
        <v>4.4917940000000003E-2</v>
      </c>
      <c r="AA1375">
        <v>0.96375920000000004</v>
      </c>
      <c r="AB1375">
        <v>28</v>
      </c>
      <c r="AC1375">
        <v>0.47280000000000599</v>
      </c>
      <c r="AD1375">
        <v>-0.16819419999999999</v>
      </c>
      <c r="AE1375">
        <v>-0.38909999999998401</v>
      </c>
      <c r="AF1375">
        <v>0.17851457654618999</v>
      </c>
      <c r="AG1375">
        <v>-0.16819419999999999</v>
      </c>
      <c r="AH1375">
        <v>0.54065465719427197</v>
      </c>
      <c r="AI1375">
        <v>106.457528413562</v>
      </c>
      <c r="AJ1375">
        <v>71.727693376897506</v>
      </c>
      <c r="AK1375">
        <v>0.59368695564157503</v>
      </c>
      <c r="AL1375">
        <v>71.305262978581098</v>
      </c>
      <c r="AM1375">
        <v>82.925206145436405</v>
      </c>
      <c r="AN1375">
        <v>1.00000005616608</v>
      </c>
    </row>
    <row r="1376" spans="1:40" x14ac:dyDescent="0.25">
      <c r="A1376" t="str">
        <f>"20190304164356334"</f>
        <v>20190304164356334</v>
      </c>
      <c r="B1376" t="str">
        <f>"1551689036331561"</f>
        <v>1551689036331561</v>
      </c>
      <c r="C1376" t="s">
        <v>40</v>
      </c>
      <c r="D1376">
        <v>5.7268220000000003</v>
      </c>
      <c r="E1376">
        <v>0.58033009999999996</v>
      </c>
      <c r="F1376" t="s">
        <v>41</v>
      </c>
      <c r="G1376">
        <v>-204.8964</v>
      </c>
      <c r="H1376">
        <v>0.90959049999999997</v>
      </c>
      <c r="I1376">
        <v>364.40820000000002</v>
      </c>
      <c r="J1376">
        <v>-205.4417</v>
      </c>
      <c r="K1376">
        <v>1.101791</v>
      </c>
      <c r="L1376">
        <v>364.86070000000001</v>
      </c>
      <c r="M1376">
        <v>0.92999620000000005</v>
      </c>
      <c r="N1376">
        <v>-1.51807E-2</v>
      </c>
      <c r="O1376">
        <v>-0.36725590000000002</v>
      </c>
      <c r="P1376">
        <v>0.83793649999999997</v>
      </c>
      <c r="Q1376">
        <v>0.30868669999999998</v>
      </c>
      <c r="R1376">
        <v>-0.45008389999999998</v>
      </c>
      <c r="S1376">
        <v>2.7603300000000002</v>
      </c>
      <c r="T1376">
        <v>-0.77350620000000003</v>
      </c>
      <c r="U1376">
        <v>-2.0656129999999999</v>
      </c>
      <c r="V1376">
        <v>0.11792619999999999</v>
      </c>
      <c r="W1376">
        <v>0.32047720000000002</v>
      </c>
      <c r="X1376">
        <v>0.93988709999999998</v>
      </c>
      <c r="Y1376">
        <v>0.26382460000000002</v>
      </c>
      <c r="Z1376">
        <v>4.6206070000000002E-2</v>
      </c>
      <c r="AA1376">
        <v>0.96346330000000002</v>
      </c>
      <c r="AB1376">
        <v>28</v>
      </c>
      <c r="AC1376">
        <v>0.54529999999999701</v>
      </c>
      <c r="AD1376">
        <v>-0.192200499999999</v>
      </c>
      <c r="AE1376">
        <v>-0.45249999999998602</v>
      </c>
      <c r="AF1376">
        <v>0.20546741123081499</v>
      </c>
      <c r="AG1376">
        <v>-0.192200499999999</v>
      </c>
      <c r="AH1376">
        <v>0.62724049035277896</v>
      </c>
      <c r="AI1376">
        <v>106.235401706571</v>
      </c>
      <c r="AJ1376">
        <v>71.862571342937898</v>
      </c>
      <c r="AK1376">
        <v>0.687450741519811</v>
      </c>
      <c r="AL1376">
        <v>71.308213489905299</v>
      </c>
      <c r="AM1376">
        <v>82.848556551294706</v>
      </c>
      <c r="AN1376">
        <v>0.99999999255634398</v>
      </c>
    </row>
    <row r="1377" spans="1:40" x14ac:dyDescent="0.25">
      <c r="A1377" t="str">
        <f>"20190304164356346"</f>
        <v>20190304164356346</v>
      </c>
      <c r="B1377" t="str">
        <f>"1551689036341322"</f>
        <v>1551689036341322</v>
      </c>
      <c r="C1377" t="s">
        <v>40</v>
      </c>
      <c r="D1377">
        <v>5.7297640000000003</v>
      </c>
      <c r="E1377">
        <v>0.58026460000000002</v>
      </c>
      <c r="F1377" t="s">
        <v>41</v>
      </c>
      <c r="G1377">
        <v>-204.6815</v>
      </c>
      <c r="H1377">
        <v>0.88728859999999998</v>
      </c>
      <c r="I1377">
        <v>364.28289999999998</v>
      </c>
      <c r="J1377">
        <v>-205.2963</v>
      </c>
      <c r="K1377">
        <v>1.101729</v>
      </c>
      <c r="L1377">
        <v>364.79579999999999</v>
      </c>
      <c r="M1377">
        <v>0.92749680000000001</v>
      </c>
      <c r="N1377">
        <v>-1.519908E-2</v>
      </c>
      <c r="O1377">
        <v>-0.37352229999999997</v>
      </c>
      <c r="P1377">
        <v>0.834356599999999</v>
      </c>
      <c r="Q1377">
        <v>0.30874559999999901</v>
      </c>
      <c r="R1377">
        <v>-0.456646</v>
      </c>
      <c r="S1377">
        <v>2.7450559999999999</v>
      </c>
      <c r="T1377">
        <v>-0.77425769999999905</v>
      </c>
      <c r="U1377">
        <v>-2.0859070000000002</v>
      </c>
      <c r="V1377">
        <v>0.1190195</v>
      </c>
      <c r="W1377">
        <v>0.3205115</v>
      </c>
      <c r="X1377">
        <v>0.93973759999999995</v>
      </c>
      <c r="Y1377">
        <v>0.26451839999999999</v>
      </c>
      <c r="Z1377">
        <v>4.7537360000000001E-2</v>
      </c>
      <c r="AA1377">
        <v>0.96320830000000002</v>
      </c>
      <c r="AB1377">
        <v>28</v>
      </c>
      <c r="AC1377">
        <v>0.61480000000000201</v>
      </c>
      <c r="AD1377">
        <v>-0.2144404</v>
      </c>
      <c r="AE1377">
        <v>-0.51290000000000102</v>
      </c>
      <c r="AF1377">
        <v>0.22962789484090901</v>
      </c>
      <c r="AG1377">
        <v>-0.2144404</v>
      </c>
      <c r="AH1377">
        <v>0.71089712173305697</v>
      </c>
      <c r="AI1377">
        <v>106.01583229869399</v>
      </c>
      <c r="AJ1377">
        <v>72.0989504514001</v>
      </c>
      <c r="AK1377">
        <v>0.77723122230747599</v>
      </c>
      <c r="AL1377">
        <v>71.306139142838106</v>
      </c>
      <c r="AM1377">
        <v>82.781815036889896</v>
      </c>
      <c r="AN1377">
        <v>1.0000000099331201</v>
      </c>
    </row>
    <row r="1378" spans="1:40" x14ac:dyDescent="0.25">
      <c r="A1378" t="str">
        <f>"20190304164356358"</f>
        <v>20190304164356358</v>
      </c>
      <c r="B1378" t="str">
        <f>"1551689036351080"</f>
        <v>1551689036351080</v>
      </c>
      <c r="C1378" t="s">
        <v>40</v>
      </c>
      <c r="D1378">
        <v>5.7284649999999999</v>
      </c>
      <c r="E1378">
        <v>0.58018119999999995</v>
      </c>
      <c r="F1378" t="s">
        <v>41</v>
      </c>
      <c r="G1378">
        <v>-204.65989999999999</v>
      </c>
      <c r="H1378">
        <v>0.92117740000000004</v>
      </c>
      <c r="I1378">
        <v>364.30450000000002</v>
      </c>
      <c r="J1378">
        <v>-205.15369999999999</v>
      </c>
      <c r="K1378">
        <v>1.101672</v>
      </c>
      <c r="L1378">
        <v>364.73140000000001</v>
      </c>
      <c r="M1378">
        <v>0.92499050000000005</v>
      </c>
      <c r="N1378">
        <v>-1.5216520000000001E-2</v>
      </c>
      <c r="O1378">
        <v>-0.37968580000000002</v>
      </c>
      <c r="P1378">
        <v>0.83062389999999997</v>
      </c>
      <c r="Q1378">
        <v>0.30879640000000003</v>
      </c>
      <c r="R1378">
        <v>-0.46336709999999898</v>
      </c>
      <c r="S1378">
        <v>2.7293400000000001</v>
      </c>
      <c r="T1378">
        <v>-0.77401900000000001</v>
      </c>
      <c r="U1378">
        <v>-2.1060789999999998</v>
      </c>
      <c r="V1378">
        <v>0.1204093</v>
      </c>
      <c r="W1378">
        <v>0.3205305</v>
      </c>
      <c r="X1378">
        <v>0.939554</v>
      </c>
      <c r="Y1378">
        <v>0.26534049999999998</v>
      </c>
      <c r="Z1378">
        <v>4.8769350000000003E-2</v>
      </c>
      <c r="AA1378">
        <v>0.96292049999999996</v>
      </c>
      <c r="AB1378">
        <v>28</v>
      </c>
      <c r="AC1378">
        <v>0.49379999999999302</v>
      </c>
      <c r="AD1378">
        <v>-0.18049460000000001</v>
      </c>
      <c r="AE1378">
        <v>-0.42689999999998901</v>
      </c>
      <c r="AF1378">
        <v>0.19268115075435799</v>
      </c>
      <c r="AG1378">
        <v>-0.18049460000000001</v>
      </c>
      <c r="AH1378">
        <v>0.57495834379006905</v>
      </c>
      <c r="AI1378">
        <v>106.575985604707</v>
      </c>
      <c r="AJ1378">
        <v>71.472869501268406</v>
      </c>
      <c r="AK1378">
        <v>0.63267797778886203</v>
      </c>
      <c r="AL1378">
        <v>71.304988920747704</v>
      </c>
      <c r="AM1378">
        <v>82.697020749368207</v>
      </c>
      <c r="AN1378">
        <v>0.99999995993636903</v>
      </c>
    </row>
    <row r="1379" spans="1:40" x14ac:dyDescent="0.25">
      <c r="A1379" t="str">
        <f>"20190304164356371"</f>
        <v>20190304164356371</v>
      </c>
      <c r="B1379" t="str">
        <f>"1551689036360841"</f>
        <v>1551689036360841</v>
      </c>
      <c r="C1379" t="s">
        <v>40</v>
      </c>
      <c r="D1379">
        <v>5.7911460000000003</v>
      </c>
      <c r="E1379">
        <v>0.58031949999999999</v>
      </c>
      <c r="F1379" t="s">
        <v>41</v>
      </c>
      <c r="G1379">
        <v>-204.4478</v>
      </c>
      <c r="H1379">
        <v>0.90016090000000004</v>
      </c>
      <c r="I1379">
        <v>364.17790000000002</v>
      </c>
      <c r="J1379">
        <v>-205.00710000000001</v>
      </c>
      <c r="K1379">
        <v>1.1016170000000001</v>
      </c>
      <c r="L1379">
        <v>364.66390000000001</v>
      </c>
      <c r="M1379">
        <v>0.92234819999999995</v>
      </c>
      <c r="N1379">
        <v>-1.5234040000000001E-2</v>
      </c>
      <c r="O1379">
        <v>-0.3860596</v>
      </c>
      <c r="P1379">
        <v>0.82666539999999999</v>
      </c>
      <c r="Q1379">
        <v>0.309195099999999</v>
      </c>
      <c r="R1379">
        <v>-0.47013090000000002</v>
      </c>
      <c r="S1379">
        <v>2.7132260000000001</v>
      </c>
      <c r="T1379">
        <v>-0.77441680000000002</v>
      </c>
      <c r="U1379">
        <v>-2.1267399999999999</v>
      </c>
      <c r="V1379">
        <v>0.1217058</v>
      </c>
      <c r="W1379">
        <v>0.32089859999999998</v>
      </c>
      <c r="X1379">
        <v>0.93926129999999997</v>
      </c>
      <c r="Y1379">
        <v>0.26610800000000001</v>
      </c>
      <c r="Z1379">
        <v>5.009802E-2</v>
      </c>
      <c r="AA1379">
        <v>0.96264050000000001</v>
      </c>
      <c r="AB1379">
        <v>28</v>
      </c>
      <c r="AC1379">
        <v>0.55930000000000701</v>
      </c>
      <c r="AD1379">
        <v>-0.2014561</v>
      </c>
      <c r="AE1379">
        <v>-0.48599999999999</v>
      </c>
      <c r="AF1379">
        <v>0.216370314382891</v>
      </c>
      <c r="AG1379">
        <v>-0.2014561</v>
      </c>
      <c r="AH1379">
        <v>0.65514563390677405</v>
      </c>
      <c r="AI1379">
        <v>106.27707799662601</v>
      </c>
      <c r="AJ1379">
        <v>71.723525962032298</v>
      </c>
      <c r="AK1379">
        <v>0.71876037369937795</v>
      </c>
      <c r="AL1379">
        <v>71.282722925374799</v>
      </c>
      <c r="AM1379">
        <v>82.616974173136498</v>
      </c>
      <c r="AN1379">
        <v>1.0000000014566399</v>
      </c>
    </row>
    <row r="1380" spans="1:40" x14ac:dyDescent="0.25">
      <c r="A1380" t="str">
        <f>"20190304164356384"</f>
        <v>20190304164356384</v>
      </c>
      <c r="B1380" t="str">
        <f>"1551689036381337"</f>
        <v>1551689036381337</v>
      </c>
      <c r="C1380" t="s">
        <v>40</v>
      </c>
      <c r="D1380">
        <v>5.7419669999999998</v>
      </c>
      <c r="E1380">
        <v>0.59147510000000003</v>
      </c>
      <c r="F1380" t="s">
        <v>41</v>
      </c>
      <c r="G1380">
        <v>-204.4237</v>
      </c>
      <c r="H1380">
        <v>0.93449139999999997</v>
      </c>
      <c r="I1380">
        <v>364.19869999999997</v>
      </c>
      <c r="J1380">
        <v>-204.863</v>
      </c>
      <c r="K1380">
        <v>1.101575</v>
      </c>
      <c r="L1380">
        <v>364.596</v>
      </c>
      <c r="M1380">
        <v>0.91967670000000001</v>
      </c>
      <c r="N1380">
        <v>-1.525052E-2</v>
      </c>
      <c r="O1380">
        <v>-0.39238050000000002</v>
      </c>
      <c r="P1380">
        <v>0.82288130000000004</v>
      </c>
      <c r="Q1380">
        <v>0.30933060000000001</v>
      </c>
      <c r="R1380">
        <v>-0.47663559999999999</v>
      </c>
      <c r="S1380">
        <v>2.695694</v>
      </c>
      <c r="T1380">
        <v>-0.77204079999999997</v>
      </c>
      <c r="U1380">
        <v>-2.1489560000000001</v>
      </c>
      <c r="V1380">
        <v>0.12273000000000001</v>
      </c>
      <c r="W1380">
        <v>0.32101190000000002</v>
      </c>
      <c r="X1380">
        <v>0.93908930000000002</v>
      </c>
      <c r="Y1380">
        <v>0.26746999999999999</v>
      </c>
      <c r="Z1380">
        <v>5.1142920000000001E-2</v>
      </c>
      <c r="AA1380">
        <v>0.96220799999999995</v>
      </c>
      <c r="AB1380">
        <v>28</v>
      </c>
      <c r="AC1380">
        <v>0.43930000000000202</v>
      </c>
      <c r="AD1380">
        <v>-0.167083599999999</v>
      </c>
      <c r="AE1380">
        <v>-0.39730000000002902</v>
      </c>
      <c r="AF1380">
        <v>0.17880877433061099</v>
      </c>
      <c r="AG1380">
        <v>-0.167083599999999</v>
      </c>
      <c r="AH1380">
        <v>0.51869721672733105</v>
      </c>
      <c r="AI1380">
        <v>106.937304964677</v>
      </c>
      <c r="AJ1380">
        <v>70.979560741249898</v>
      </c>
      <c r="AK1380">
        <v>0.57352969391937803</v>
      </c>
      <c r="AL1380">
        <v>71.275868717694294</v>
      </c>
      <c r="AM1380">
        <v>82.554189083295199</v>
      </c>
      <c r="AN1380">
        <v>1.00000000310804</v>
      </c>
    </row>
    <row r="1381" spans="1:40" x14ac:dyDescent="0.25">
      <c r="A1381" t="str">
        <f>"20190304164356395"</f>
        <v>20190304164356395</v>
      </c>
      <c r="B1381" t="str">
        <f>"1551689036391097"</f>
        <v>1551689036391097</v>
      </c>
      <c r="C1381" t="s">
        <v>40</v>
      </c>
      <c r="D1381">
        <v>5.7417959999999999</v>
      </c>
      <c r="E1381">
        <v>0.59190730000000003</v>
      </c>
      <c r="F1381" t="s">
        <v>44</v>
      </c>
      <c r="G1381">
        <v>-200.74459999999999</v>
      </c>
      <c r="H1381" s="1">
        <v>-2.709652E-6</v>
      </c>
      <c r="I1381">
        <v>361.06470000000002</v>
      </c>
      <c r="J1381">
        <v>-204.73220000000001</v>
      </c>
      <c r="K1381">
        <v>1.1015330000000001</v>
      </c>
      <c r="L1381">
        <v>364.53379999999999</v>
      </c>
      <c r="M1381">
        <v>0.9172051</v>
      </c>
      <c r="N1381">
        <v>-1.526484E-2</v>
      </c>
      <c r="O1381">
        <v>-0.3981228</v>
      </c>
      <c r="P1381">
        <v>0.81927559999999999</v>
      </c>
      <c r="Q1381">
        <v>0.30949710000000002</v>
      </c>
      <c r="R1381">
        <v>-0.48270000000000002</v>
      </c>
      <c r="S1381">
        <v>2.6113430000000002</v>
      </c>
      <c r="T1381">
        <v>-0.69848350000000003</v>
      </c>
      <c r="U1381">
        <v>-2.2391359999999998</v>
      </c>
      <c r="V1381">
        <v>0.1238591</v>
      </c>
      <c r="W1381">
        <v>0.32115199999999999</v>
      </c>
      <c r="X1381">
        <v>0.93889310000000004</v>
      </c>
      <c r="Y1381">
        <v>0.29504590000000003</v>
      </c>
      <c r="Z1381">
        <v>4.3987600000000002E-2</v>
      </c>
      <c r="AA1381">
        <v>0.95447000000000004</v>
      </c>
      <c r="AB1381">
        <v>28</v>
      </c>
      <c r="AC1381">
        <v>3.9876000000000098</v>
      </c>
      <c r="AD1381">
        <v>-1.101535709652</v>
      </c>
      <c r="AE1381">
        <v>-3.4690999999999601</v>
      </c>
      <c r="AF1381">
        <v>1.5281331956003601</v>
      </c>
      <c r="AG1381">
        <v>-1.101535709652</v>
      </c>
      <c r="AH1381">
        <v>4.8293975650271301</v>
      </c>
      <c r="AI1381">
        <v>102.268682570986</v>
      </c>
      <c r="AJ1381">
        <v>72.441422919245795</v>
      </c>
      <c r="AK1381">
        <v>5.1837874979810099</v>
      </c>
      <c r="AL1381">
        <v>71.267392118071001</v>
      </c>
      <c r="AM1381">
        <v>82.484915557190106</v>
      </c>
      <c r="AN1381">
        <v>0.99999996849220896</v>
      </c>
    </row>
    <row r="1382" spans="1:40" x14ac:dyDescent="0.25">
      <c r="A1382" t="str">
        <f>"20190304164356405"</f>
        <v>20190304164356405</v>
      </c>
      <c r="B1382" t="str">
        <f>"1551689036400858"</f>
        <v>1551689036400858</v>
      </c>
      <c r="C1382" t="s">
        <v>40</v>
      </c>
      <c r="D1382">
        <v>5.7505699999999997</v>
      </c>
      <c r="E1382">
        <v>0.59251089999999995</v>
      </c>
      <c r="F1382" t="s">
        <v>44</v>
      </c>
      <c r="G1382">
        <v>-200.63249999999999</v>
      </c>
      <c r="H1382" s="1">
        <v>-2.6723639999999999E-6</v>
      </c>
      <c r="I1382">
        <v>360.95940000000002</v>
      </c>
      <c r="J1382">
        <v>-204.61070000000001</v>
      </c>
      <c r="K1382">
        <v>1.101499</v>
      </c>
      <c r="L1382">
        <v>364.47460000000001</v>
      </c>
      <c r="M1382">
        <v>0.91484849999999995</v>
      </c>
      <c r="N1382">
        <v>-1.5277529999999999E-2</v>
      </c>
      <c r="O1382">
        <v>-0.40350839999999999</v>
      </c>
      <c r="P1382">
        <v>0.81599529999999998</v>
      </c>
      <c r="Q1382">
        <v>0.30978509999999998</v>
      </c>
      <c r="R1382">
        <v>-0.48804219999999998</v>
      </c>
      <c r="S1382">
        <v>2.5929869999999999</v>
      </c>
      <c r="T1382">
        <v>-0.69669440000000005</v>
      </c>
      <c r="U1382">
        <v>-2.260742</v>
      </c>
      <c r="V1382">
        <v>0.1245522</v>
      </c>
      <c r="W1382">
        <v>0.32142419999999999</v>
      </c>
      <c r="X1382">
        <v>0.93870830000000005</v>
      </c>
      <c r="Y1382">
        <v>0.29732540000000002</v>
      </c>
      <c r="Z1382">
        <v>4.467716E-2</v>
      </c>
      <c r="AA1382">
        <v>0.95373030000000003</v>
      </c>
      <c r="AB1382">
        <v>28</v>
      </c>
      <c r="AC1382">
        <v>3.97820000000001</v>
      </c>
      <c r="AD1382">
        <v>-1.1015016723639901</v>
      </c>
      <c r="AE1382">
        <v>-3.5151999999999899</v>
      </c>
      <c r="AF1382">
        <v>1.5443401013443201</v>
      </c>
      <c r="AG1382">
        <v>-1.1015016723639901</v>
      </c>
      <c r="AH1382">
        <v>4.8496677111682596</v>
      </c>
      <c r="AI1382">
        <v>102.211681263687</v>
      </c>
      <c r="AJ1382">
        <v>72.336316173447202</v>
      </c>
      <c r="AK1382">
        <v>5.2074532347001297</v>
      </c>
      <c r="AL1382">
        <v>71.250924035942901</v>
      </c>
      <c r="AM1382">
        <v>82.4418762797944</v>
      </c>
      <c r="AN1382">
        <v>1.0000000196796801</v>
      </c>
    </row>
    <row r="1383" spans="1:40" x14ac:dyDescent="0.25">
      <c r="A1383" t="str">
        <f>"20190304164356416"</f>
        <v>20190304164356416</v>
      </c>
      <c r="B1383" t="str">
        <f>"1551689036411594"</f>
        <v>1551689036411594</v>
      </c>
      <c r="C1383" t="s">
        <v>40</v>
      </c>
      <c r="D1383">
        <v>5.7438750000000001</v>
      </c>
      <c r="E1383">
        <v>0.59289789999999998</v>
      </c>
      <c r="F1383" t="s">
        <v>44</v>
      </c>
      <c r="G1383">
        <v>-200.50890000000001</v>
      </c>
      <c r="H1383" s="1">
        <v>-2.6311850000000001E-6</v>
      </c>
      <c r="I1383">
        <v>360.83909999999997</v>
      </c>
      <c r="J1383">
        <v>-204.49170000000001</v>
      </c>
      <c r="K1383">
        <v>1.101464</v>
      </c>
      <c r="L1383">
        <v>364.4162</v>
      </c>
      <c r="M1383">
        <v>0.91250310000000001</v>
      </c>
      <c r="N1383">
        <v>-1.5289489999999999E-2</v>
      </c>
      <c r="O1383">
        <v>-0.40878399999999998</v>
      </c>
      <c r="P1383">
        <v>0.81286459999999905</v>
      </c>
      <c r="Q1383">
        <v>0.30985550000000001</v>
      </c>
      <c r="R1383">
        <v>-0.49319469999999999</v>
      </c>
      <c r="S1383">
        <v>2.574341</v>
      </c>
      <c r="T1383">
        <v>-0.69130029999999998</v>
      </c>
      <c r="U1383">
        <v>-2.2815859999999999</v>
      </c>
      <c r="V1383">
        <v>0.12510959999999999</v>
      </c>
      <c r="W1383">
        <v>0.32148330000000003</v>
      </c>
      <c r="X1383">
        <v>0.9386139</v>
      </c>
      <c r="Y1383">
        <v>0.29958559999999901</v>
      </c>
      <c r="Z1383">
        <v>4.507924E-2</v>
      </c>
      <c r="AA1383">
        <v>0.95300379999999996</v>
      </c>
      <c r="AB1383">
        <v>28</v>
      </c>
      <c r="AC1383">
        <v>3.9827999999999899</v>
      </c>
      <c r="AD1383">
        <v>-1.1014666311849901</v>
      </c>
      <c r="AE1383">
        <v>-3.5771000000000299</v>
      </c>
      <c r="AF1383">
        <v>1.56974711873398</v>
      </c>
      <c r="AG1383">
        <v>-1.1014666311849901</v>
      </c>
      <c r="AH1383">
        <v>4.8901534431142304</v>
      </c>
      <c r="AI1383">
        <v>102.104480682036</v>
      </c>
      <c r="AJ1383">
        <v>72.2032862699118</v>
      </c>
      <c r="AK1383">
        <v>5.2527074403196696</v>
      </c>
      <c r="AL1383">
        <v>71.247347459612499</v>
      </c>
      <c r="AM1383">
        <v>82.407690937897399</v>
      </c>
      <c r="AN1383">
        <v>0.99999998873212903</v>
      </c>
    </row>
    <row r="1384" spans="1:40" x14ac:dyDescent="0.25">
      <c r="A1384" t="str">
        <f>"20190304164356428"</f>
        <v>20190304164356428</v>
      </c>
      <c r="B1384" t="str">
        <f>"1551689036421353"</f>
        <v>1551689036421353</v>
      </c>
      <c r="C1384" t="s">
        <v>40</v>
      </c>
      <c r="D1384">
        <v>5.7704440000000004</v>
      </c>
      <c r="E1384">
        <v>0.59321210000000002</v>
      </c>
      <c r="F1384" t="s">
        <v>44</v>
      </c>
      <c r="G1384">
        <v>-200.39850000000001</v>
      </c>
      <c r="H1384" s="1">
        <v>-2.593782E-6</v>
      </c>
      <c r="I1384">
        <v>360.73430000000002</v>
      </c>
      <c r="J1384">
        <v>-204.35130000000001</v>
      </c>
      <c r="K1384">
        <v>1.1014349999999999</v>
      </c>
      <c r="L1384">
        <v>364.34559999999999</v>
      </c>
      <c r="M1384">
        <v>0.90966919999999996</v>
      </c>
      <c r="N1384">
        <v>-1.5303010000000001E-2</v>
      </c>
      <c r="O1384">
        <v>-0.41505140000000001</v>
      </c>
      <c r="P1384">
        <v>0.80936209999999997</v>
      </c>
      <c r="Q1384">
        <v>0.30966050000000001</v>
      </c>
      <c r="R1384">
        <v>-0.49904270000000001</v>
      </c>
      <c r="S1384">
        <v>2.5572810000000001</v>
      </c>
      <c r="T1384">
        <v>-0.68815280000000001</v>
      </c>
      <c r="U1384">
        <v>-2.3002929999999999</v>
      </c>
      <c r="V1384">
        <v>0.12541079999999999</v>
      </c>
      <c r="W1384">
        <v>0.32128570000000001</v>
      </c>
      <c r="X1384">
        <v>0.93864139999999996</v>
      </c>
      <c r="Y1384">
        <v>0.30010809999999999</v>
      </c>
      <c r="Z1384">
        <v>4.6018160000000002E-2</v>
      </c>
      <c r="AA1384">
        <v>0.95279460000000005</v>
      </c>
      <c r="AB1384">
        <v>28</v>
      </c>
      <c r="AC1384">
        <v>3.9527999999999901</v>
      </c>
      <c r="AD1384">
        <v>-1.101437593782</v>
      </c>
      <c r="AE1384">
        <v>-3.6112999999999702</v>
      </c>
      <c r="AF1384">
        <v>1.57788880998214</v>
      </c>
      <c r="AG1384">
        <v>-1.101437593782</v>
      </c>
      <c r="AH1384">
        <v>4.8883355495686196</v>
      </c>
      <c r="AI1384">
        <v>102.102423195025</v>
      </c>
      <c r="AJ1384">
        <v>72.110620159305896</v>
      </c>
      <c r="AK1384">
        <v>5.25344861161118</v>
      </c>
      <c r="AL1384">
        <v>71.259304063452404</v>
      </c>
      <c r="AM1384">
        <v>82.389846867428304</v>
      </c>
      <c r="AN1384">
        <v>1.0000000237875399</v>
      </c>
    </row>
    <row r="1385" spans="1:40" x14ac:dyDescent="0.25">
      <c r="A1385" t="str">
        <f>"20190304164356438"</f>
        <v>20190304164356438</v>
      </c>
      <c r="B1385" t="str">
        <f>"1551689036431114"</f>
        <v>1551689036431114</v>
      </c>
      <c r="C1385" t="s">
        <v>40</v>
      </c>
      <c r="D1385">
        <v>5.752294</v>
      </c>
      <c r="E1385">
        <v>0.59326420000000002</v>
      </c>
      <c r="F1385" t="s">
        <v>44</v>
      </c>
      <c r="G1385">
        <v>-200.27430000000001</v>
      </c>
      <c r="H1385" s="1">
        <v>-2.5513980000000002E-6</v>
      </c>
      <c r="I1385">
        <v>360.61720000000003</v>
      </c>
      <c r="J1385">
        <v>-204.2286</v>
      </c>
      <c r="K1385">
        <v>1.1014120000000001</v>
      </c>
      <c r="L1385">
        <v>364.28309999999999</v>
      </c>
      <c r="M1385">
        <v>0.90714320000000004</v>
      </c>
      <c r="N1385">
        <v>-1.531414E-2</v>
      </c>
      <c r="O1385">
        <v>-0.4205431</v>
      </c>
      <c r="P1385">
        <v>0.80636099999999999</v>
      </c>
      <c r="Q1385">
        <v>0.30984859999999997</v>
      </c>
      <c r="R1385">
        <v>-0.50376149999999997</v>
      </c>
      <c r="S1385">
        <v>2.5379179999999999</v>
      </c>
      <c r="T1385">
        <v>-0.68563869999999905</v>
      </c>
      <c r="U1385">
        <v>-2.3208920000000002</v>
      </c>
      <c r="V1385">
        <v>0.1252714</v>
      </c>
      <c r="W1385">
        <v>0.32148019999999999</v>
      </c>
      <c r="X1385">
        <v>0.93859340000000002</v>
      </c>
      <c r="Y1385">
        <v>0.30220390000000003</v>
      </c>
      <c r="Z1385">
        <v>4.6687600000000003E-2</v>
      </c>
      <c r="AA1385">
        <v>0.95209929999999998</v>
      </c>
      <c r="AB1385">
        <v>28</v>
      </c>
      <c r="AC1385">
        <v>3.9542999999999799</v>
      </c>
      <c r="AD1385">
        <v>-1.101414551398</v>
      </c>
      <c r="AE1385">
        <v>-3.6658999999999602</v>
      </c>
      <c r="AF1385">
        <v>1.5961417380885199</v>
      </c>
      <c r="AG1385">
        <v>-1.101414551398</v>
      </c>
      <c r="AH1385">
        <v>4.9239447553125197</v>
      </c>
      <c r="AI1385">
        <v>102.012520452244</v>
      </c>
      <c r="AJ1385">
        <v>72.039423837629201</v>
      </c>
      <c r="AK1385">
        <v>5.2920709004575102</v>
      </c>
      <c r="AL1385">
        <v>71.247535381069</v>
      </c>
      <c r="AM1385">
        <v>82.397822723697701</v>
      </c>
      <c r="AN1385">
        <v>1.00000000658678</v>
      </c>
    </row>
    <row r="1386" spans="1:40" x14ac:dyDescent="0.25">
      <c r="A1386" t="str">
        <f>"20190304164356450"</f>
        <v>20190304164356450</v>
      </c>
      <c r="B1386" t="str">
        <f>"1551689036440874"</f>
        <v>1551689036440874</v>
      </c>
      <c r="C1386" t="s">
        <v>40</v>
      </c>
      <c r="D1386">
        <v>5.7433040000000002</v>
      </c>
      <c r="E1386">
        <v>0.59332469999999904</v>
      </c>
      <c r="F1386" t="s">
        <v>44</v>
      </c>
      <c r="G1386">
        <v>-200.16380000000001</v>
      </c>
      <c r="H1386" s="1">
        <v>-2.513011E-6</v>
      </c>
      <c r="I1386">
        <v>360.51560000000001</v>
      </c>
      <c r="J1386">
        <v>-204.09790000000001</v>
      </c>
      <c r="K1386">
        <v>1.1013930000000001</v>
      </c>
      <c r="L1386">
        <v>364.21559999999999</v>
      </c>
      <c r="M1386">
        <v>0.90440050000000005</v>
      </c>
      <c r="N1386">
        <v>-1.532535E-2</v>
      </c>
      <c r="O1386">
        <v>-0.42640919999999999</v>
      </c>
      <c r="P1386">
        <v>0.8032475</v>
      </c>
      <c r="Q1386">
        <v>0.3100967</v>
      </c>
      <c r="R1386">
        <v>-0.50856020000000002</v>
      </c>
      <c r="S1386">
        <v>2.5224299999999999</v>
      </c>
      <c r="T1386">
        <v>-0.68347919999999995</v>
      </c>
      <c r="U1386">
        <v>-2.337952</v>
      </c>
      <c r="V1386">
        <v>0.1248503</v>
      </c>
      <c r="W1386">
        <v>0.32174209999999998</v>
      </c>
      <c r="X1386">
        <v>0.93855980000000006</v>
      </c>
      <c r="Y1386">
        <v>0.3024792</v>
      </c>
      <c r="Z1386">
        <v>4.7631119999999999E-2</v>
      </c>
      <c r="AA1386">
        <v>0.95196510000000001</v>
      </c>
      <c r="AB1386">
        <v>28</v>
      </c>
      <c r="AC1386">
        <v>3.9340999999999999</v>
      </c>
      <c r="AD1386">
        <v>-1.101395513011</v>
      </c>
      <c r="AE1386">
        <v>-3.6999999999999802</v>
      </c>
      <c r="AF1386">
        <v>1.6023011810068799</v>
      </c>
      <c r="AG1386">
        <v>-1.101395513011</v>
      </c>
      <c r="AH1386">
        <v>4.9312278596986001</v>
      </c>
      <c r="AI1386">
        <v>101.99245750832</v>
      </c>
      <c r="AJ1386">
        <v>71.999494257255805</v>
      </c>
      <c r="AK1386">
        <v>5.3007027227533197</v>
      </c>
      <c r="AL1386">
        <v>71.231688252860096</v>
      </c>
      <c r="AM1386">
        <v>82.422811970309496</v>
      </c>
      <c r="AN1386">
        <v>1.0000000372492599</v>
      </c>
    </row>
    <row r="1387" spans="1:40" x14ac:dyDescent="0.25">
      <c r="A1387" t="str">
        <f>"20190304164356462"</f>
        <v>20190304164356462</v>
      </c>
      <c r="B1387" t="str">
        <f>"1551689036451610"</f>
        <v>1551689036451610</v>
      </c>
      <c r="C1387" t="s">
        <v>40</v>
      </c>
      <c r="D1387">
        <v>5.7553219999999996</v>
      </c>
      <c r="E1387">
        <v>0.59348610000000002</v>
      </c>
      <c r="F1387" t="s">
        <v>44</v>
      </c>
      <c r="G1387">
        <v>-200.042</v>
      </c>
      <c r="H1387" s="1">
        <v>-2.470957E-6</v>
      </c>
      <c r="I1387">
        <v>360.40269999999998</v>
      </c>
      <c r="J1387">
        <v>-203.9676</v>
      </c>
      <c r="K1387">
        <v>1.1013790000000001</v>
      </c>
      <c r="L1387">
        <v>364.14690000000002</v>
      </c>
      <c r="M1387">
        <v>0.90160799999999997</v>
      </c>
      <c r="N1387">
        <v>-1.5335430000000001E-2</v>
      </c>
      <c r="O1387">
        <v>-0.4322821</v>
      </c>
      <c r="P1387">
        <v>0.80028440000000001</v>
      </c>
      <c r="Q1387">
        <v>0.31004470000000001</v>
      </c>
      <c r="R1387">
        <v>-0.51324209999999904</v>
      </c>
      <c r="S1387">
        <v>2.5060120000000001</v>
      </c>
      <c r="T1387">
        <v>-0.68051799999999996</v>
      </c>
      <c r="U1387">
        <v>-2.3558650000000001</v>
      </c>
      <c r="V1387">
        <v>0.1242269</v>
      </c>
      <c r="W1387">
        <v>0.32171050000000001</v>
      </c>
      <c r="X1387">
        <v>0.93865330000000002</v>
      </c>
      <c r="Y1387">
        <v>0.30306660000000002</v>
      </c>
      <c r="Z1387">
        <v>4.8471590000000002E-2</v>
      </c>
      <c r="AA1387">
        <v>0.95173589999999997</v>
      </c>
      <c r="AB1387">
        <v>28</v>
      </c>
      <c r="AC1387">
        <v>3.9256000000000002</v>
      </c>
      <c r="AD1387">
        <v>-1.101381470957</v>
      </c>
      <c r="AE1387">
        <v>-3.7442000000000299</v>
      </c>
      <c r="AF1387">
        <v>1.61256370379616</v>
      </c>
      <c r="AG1387">
        <v>-1.101381470957</v>
      </c>
      <c r="AH1387">
        <v>4.9542997490906302</v>
      </c>
      <c r="AI1387">
        <v>101.936163807227</v>
      </c>
      <c r="AJ1387">
        <v>71.970567626344604</v>
      </c>
      <c r="AK1387">
        <v>5.3252688990517401</v>
      </c>
      <c r="AL1387">
        <v>71.233599606130397</v>
      </c>
      <c r="AM1387">
        <v>82.460952291637597</v>
      </c>
      <c r="AN1387">
        <v>0.99999999304737497</v>
      </c>
    </row>
    <row r="1388" spans="1:40" x14ac:dyDescent="0.25">
      <c r="A1388" t="str">
        <f>"20190304164356474"</f>
        <v>20190304164356474</v>
      </c>
      <c r="B1388" t="str">
        <f>"1551689036461370"</f>
        <v>1551689036461370</v>
      </c>
      <c r="C1388" t="s">
        <v>40</v>
      </c>
      <c r="D1388">
        <v>5.7645869999999997</v>
      </c>
      <c r="E1388">
        <v>0.59333809999999998</v>
      </c>
      <c r="F1388" t="s">
        <v>44</v>
      </c>
      <c r="G1388">
        <v>-199.91929999999999</v>
      </c>
      <c r="H1388" s="1">
        <v>-1.023234E-5</v>
      </c>
      <c r="I1388">
        <v>360.28390000000002</v>
      </c>
      <c r="J1388">
        <v>-203.84049999999999</v>
      </c>
      <c r="K1388">
        <v>1.101364</v>
      </c>
      <c r="L1388">
        <v>364.0795</v>
      </c>
      <c r="M1388">
        <v>0.89884109999999995</v>
      </c>
      <c r="N1388">
        <v>-1.5344760000000001E-2</v>
      </c>
      <c r="O1388">
        <v>-0.43800610000000001</v>
      </c>
      <c r="P1388">
        <v>0.79735089999999997</v>
      </c>
      <c r="Q1388">
        <v>0.310338</v>
      </c>
      <c r="R1388">
        <v>-0.51761210000000002</v>
      </c>
      <c r="S1388">
        <v>2.4882049999999998</v>
      </c>
      <c r="T1388">
        <v>-0.67695309999999997</v>
      </c>
      <c r="U1388">
        <v>-2.3743590000000001</v>
      </c>
      <c r="V1388">
        <v>0.123457399999999</v>
      </c>
      <c r="W1388">
        <v>0.32202609999999998</v>
      </c>
      <c r="X1388">
        <v>0.9386466</v>
      </c>
      <c r="Y1388">
        <v>0.30415779999999998</v>
      </c>
      <c r="Z1388">
        <v>4.9180269999999998E-2</v>
      </c>
      <c r="AA1388">
        <v>0.95135130000000001</v>
      </c>
      <c r="AB1388">
        <v>28</v>
      </c>
      <c r="AC1388">
        <v>3.92119999999999</v>
      </c>
      <c r="AD1388">
        <v>-1.10137423234</v>
      </c>
      <c r="AE1388">
        <v>-3.7955999999999701</v>
      </c>
      <c r="AF1388">
        <v>1.6280224133796399</v>
      </c>
      <c r="AG1388">
        <v>-1.10137423234</v>
      </c>
      <c r="AH1388">
        <v>4.9846204558264002</v>
      </c>
      <c r="AI1388">
        <v>101.861736610197</v>
      </c>
      <c r="AJ1388">
        <v>71.912490848834295</v>
      </c>
      <c r="AK1388">
        <v>5.3581641694494602</v>
      </c>
      <c r="AL1388">
        <v>71.214500623942698</v>
      </c>
      <c r="AM1388">
        <v>82.507066373393698</v>
      </c>
      <c r="AN1388">
        <v>0.99999998919376398</v>
      </c>
    </row>
    <row r="1389" spans="1:40" x14ac:dyDescent="0.25">
      <c r="A1389" t="str">
        <f>"20190304164356485"</f>
        <v>20190304164356485</v>
      </c>
      <c r="B1389" t="str">
        <f>"1551689036480890"</f>
        <v>1551689036480890</v>
      </c>
      <c r="C1389" t="s">
        <v>40</v>
      </c>
      <c r="D1389">
        <v>5.756202</v>
      </c>
      <c r="E1389">
        <v>0.59316869999999999</v>
      </c>
      <c r="F1389" t="s">
        <v>41</v>
      </c>
      <c r="G1389">
        <v>-203.3091</v>
      </c>
      <c r="H1389">
        <v>0.95620119999999997</v>
      </c>
      <c r="I1389">
        <v>363.5659</v>
      </c>
      <c r="J1389">
        <v>-203.71520000000001</v>
      </c>
      <c r="K1389">
        <v>1.101362</v>
      </c>
      <c r="L1389">
        <v>364.0111</v>
      </c>
      <c r="M1389">
        <v>0.89604910000000004</v>
      </c>
      <c r="N1389">
        <v>-1.5352660000000001E-2</v>
      </c>
      <c r="O1389">
        <v>-0.44368970000000002</v>
      </c>
      <c r="P1389">
        <v>0.79430000000000001</v>
      </c>
      <c r="Q1389">
        <v>0.3106679</v>
      </c>
      <c r="R1389">
        <v>-0.52208549999999998</v>
      </c>
      <c r="S1389">
        <v>2.4737849999999999</v>
      </c>
      <c r="T1389">
        <v>-0.67568109999999904</v>
      </c>
      <c r="U1389">
        <v>-2.3902589999999999</v>
      </c>
      <c r="V1389">
        <v>0.1228566</v>
      </c>
      <c r="W1389">
        <v>0.32237460000000001</v>
      </c>
      <c r="X1389">
        <v>0.93860580000000005</v>
      </c>
      <c r="Y1389">
        <v>0.30413119999999999</v>
      </c>
      <c r="Z1389">
        <v>5.0167639999999999E-2</v>
      </c>
      <c r="AA1389">
        <v>0.9513083</v>
      </c>
      <c r="AB1389">
        <v>28</v>
      </c>
      <c r="AC1389">
        <v>0.40610000000000901</v>
      </c>
      <c r="AD1389">
        <v>-0.14516080000000001</v>
      </c>
      <c r="AE1389">
        <v>-0.44519999999999899</v>
      </c>
      <c r="AF1389">
        <v>0.20676592211693101</v>
      </c>
      <c r="AG1389">
        <v>-0.14516080000000001</v>
      </c>
      <c r="AH1389">
        <v>0.53068685062626098</v>
      </c>
      <c r="AI1389">
        <v>104.29865721349699</v>
      </c>
      <c r="AJ1389">
        <v>68.713143876211305</v>
      </c>
      <c r="AK1389">
        <v>0.58775193562686301</v>
      </c>
      <c r="AL1389">
        <v>71.193408181937301</v>
      </c>
      <c r="AM1389">
        <v>82.542798560732706</v>
      </c>
      <c r="AN1389">
        <v>0.99999998734118001</v>
      </c>
    </row>
    <row r="1390" spans="1:40" x14ac:dyDescent="0.25">
      <c r="A1390" t="str">
        <f>"20190304164356498"</f>
        <v>20190304164356498</v>
      </c>
      <c r="B1390" t="str">
        <f>"1551689036491627"</f>
        <v>1551689036491627</v>
      </c>
      <c r="C1390" t="s">
        <v>40</v>
      </c>
      <c r="D1390">
        <v>5.7736260000000001</v>
      </c>
      <c r="E1390">
        <v>0.59299950000000001</v>
      </c>
      <c r="F1390" t="s">
        <v>44</v>
      </c>
      <c r="G1390">
        <v>-199.69759999999999</v>
      </c>
      <c r="H1390" s="1">
        <v>-1.018066E-5</v>
      </c>
      <c r="I1390">
        <v>360.08229999999998</v>
      </c>
      <c r="J1390">
        <v>-203.57060000000001</v>
      </c>
      <c r="K1390">
        <v>1.1013580000000001</v>
      </c>
      <c r="L1390">
        <v>363.93150000000003</v>
      </c>
      <c r="M1390">
        <v>0.89277629999999997</v>
      </c>
      <c r="N1390">
        <v>-1.5361120000000001E-2</v>
      </c>
      <c r="O1390">
        <v>-0.45023879999999999</v>
      </c>
      <c r="P1390">
        <v>0.7904871</v>
      </c>
      <c r="Q1390">
        <v>0.31087619999999999</v>
      </c>
      <c r="R1390">
        <v>-0.52771809999999997</v>
      </c>
      <c r="S1390">
        <v>2.4596710000000002</v>
      </c>
      <c r="T1390">
        <v>-0.67428719999999998</v>
      </c>
      <c r="U1390">
        <v>-2.4052730000000002</v>
      </c>
      <c r="V1390">
        <v>0.12270159999999999</v>
      </c>
      <c r="W1390">
        <v>0.32259169999999998</v>
      </c>
      <c r="X1390">
        <v>0.93855149999999998</v>
      </c>
      <c r="Y1390">
        <v>0.30295490000000003</v>
      </c>
      <c r="Z1390">
        <v>5.1428710000000002E-2</v>
      </c>
      <c r="AA1390">
        <v>0.95161620000000002</v>
      </c>
      <c r="AB1390">
        <v>28</v>
      </c>
      <c r="AC1390">
        <v>3.87300000000001</v>
      </c>
      <c r="AD1390">
        <v>-1.10136818066</v>
      </c>
      <c r="AE1390">
        <v>-3.8492000000000499</v>
      </c>
      <c r="AF1390">
        <v>1.6267198023562199</v>
      </c>
      <c r="AG1390">
        <v>-1.10136818066</v>
      </c>
      <c r="AH1390">
        <v>4.9884499499064701</v>
      </c>
      <c r="AI1390">
        <v>101.854563959258</v>
      </c>
      <c r="AJ1390">
        <v>71.938995061051799</v>
      </c>
      <c r="AK1390">
        <v>5.3613302535350398</v>
      </c>
      <c r="AL1390">
        <v>71.180267517373906</v>
      </c>
      <c r="AM1390">
        <v>82.551675062981403</v>
      </c>
      <c r="AN1390">
        <v>1.0000000028518401</v>
      </c>
    </row>
    <row r="1391" spans="1:40" x14ac:dyDescent="0.25">
      <c r="A1391" t="str">
        <f>"20190304164356512"</f>
        <v>20190304164356512</v>
      </c>
      <c r="B1391" t="str">
        <f>"1551689036501386"</f>
        <v>1551689036501386</v>
      </c>
      <c r="C1391" t="s">
        <v>40</v>
      </c>
      <c r="D1391">
        <v>5.7570269999999999</v>
      </c>
      <c r="E1391">
        <v>0.59290019999999999</v>
      </c>
      <c r="F1391" t="s">
        <v>44</v>
      </c>
      <c r="G1391">
        <v>-199.58090000000001</v>
      </c>
      <c r="H1391" s="1">
        <v>-1.015466E-5</v>
      </c>
      <c r="I1391">
        <v>359.97199999999998</v>
      </c>
      <c r="J1391">
        <v>-203.41409999999999</v>
      </c>
      <c r="K1391">
        <v>1.1013580000000001</v>
      </c>
      <c r="L1391">
        <v>363.84379999999999</v>
      </c>
      <c r="M1391">
        <v>0.88915869999999997</v>
      </c>
      <c r="N1391">
        <v>-1.53691E-2</v>
      </c>
      <c r="O1391">
        <v>-0.4573411</v>
      </c>
      <c r="P1391">
        <v>0.78624459999999996</v>
      </c>
      <c r="Q1391">
        <v>0.31229400000000002</v>
      </c>
      <c r="R1391">
        <v>-0.53319050000000001</v>
      </c>
      <c r="S1391">
        <v>2.4422299999999999</v>
      </c>
      <c r="T1391">
        <v>-0.67417879999999997</v>
      </c>
      <c r="U1391">
        <v>-2.4237060000000001</v>
      </c>
      <c r="V1391">
        <v>0.122019</v>
      </c>
      <c r="W1391">
        <v>0.32402609999999998</v>
      </c>
      <c r="X1391">
        <v>0.93814629999999999</v>
      </c>
      <c r="Y1391">
        <v>0.30247629999999998</v>
      </c>
      <c r="Z1391">
        <v>5.283525E-2</v>
      </c>
      <c r="AA1391">
        <v>0.95169139999999997</v>
      </c>
      <c r="AB1391">
        <v>28</v>
      </c>
      <c r="AC1391">
        <v>3.83319999999997</v>
      </c>
      <c r="AD1391">
        <v>-1.10136815466</v>
      </c>
      <c r="AE1391">
        <v>-3.8717999999999999</v>
      </c>
      <c r="AF1391">
        <v>1.6234247713290599</v>
      </c>
      <c r="AG1391">
        <v>-1.10136815466</v>
      </c>
      <c r="AH1391">
        <v>4.9763162085864501</v>
      </c>
      <c r="AI1391">
        <v>101.882195295795</v>
      </c>
      <c r="AJ1391">
        <v>71.9321085015427</v>
      </c>
      <c r="AK1391">
        <v>5.3490412980368998</v>
      </c>
      <c r="AL1391">
        <v>71.093418297772601</v>
      </c>
      <c r="AM1391">
        <v>82.589485537590704</v>
      </c>
      <c r="AN1391">
        <v>1.00000001502295</v>
      </c>
    </row>
    <row r="1392" spans="1:40" x14ac:dyDescent="0.25">
      <c r="A1392" t="str">
        <f>"20190304164356523"</f>
        <v>20190304164356523</v>
      </c>
      <c r="B1392" t="str">
        <f>"1551689036511145"</f>
        <v>1551689036511145</v>
      </c>
      <c r="C1392" t="s">
        <v>40</v>
      </c>
      <c r="D1392">
        <v>5.7538739999999997</v>
      </c>
      <c r="E1392">
        <v>0.59263480000000002</v>
      </c>
      <c r="F1392" t="s">
        <v>44</v>
      </c>
      <c r="G1392">
        <v>-199.42009999999999</v>
      </c>
      <c r="H1392" s="1">
        <v>-1.0122029999999999E-5</v>
      </c>
      <c r="I1392">
        <v>359.81959999999998</v>
      </c>
      <c r="J1392">
        <v>-203.29050000000001</v>
      </c>
      <c r="K1392">
        <v>1.101359</v>
      </c>
      <c r="L1392">
        <v>363.77280000000002</v>
      </c>
      <c r="M1392">
        <v>0.88624080000000005</v>
      </c>
      <c r="N1392">
        <v>-1.5374280000000001E-2</v>
      </c>
      <c r="O1392">
        <v>-0.46296989999999999</v>
      </c>
      <c r="P1392">
        <v>0.7830819</v>
      </c>
      <c r="Q1392">
        <v>0.3130018</v>
      </c>
      <c r="R1392">
        <v>-0.53741340000000004</v>
      </c>
      <c r="S1392">
        <v>2.4245610000000002</v>
      </c>
      <c r="T1392">
        <v>-0.66858050000000002</v>
      </c>
      <c r="U1392">
        <v>-2.442841</v>
      </c>
      <c r="V1392">
        <v>0.12125900000000001</v>
      </c>
      <c r="W1392">
        <v>0.32475549999999997</v>
      </c>
      <c r="X1392">
        <v>0.93799259999999995</v>
      </c>
      <c r="Y1392">
        <v>0.3036585</v>
      </c>
      <c r="Z1392">
        <v>5.3280109999999999E-2</v>
      </c>
      <c r="AA1392">
        <v>0.95128999999999997</v>
      </c>
      <c r="AB1392">
        <v>28</v>
      </c>
      <c r="AC1392">
        <v>3.8704000000000098</v>
      </c>
      <c r="AD1392">
        <v>-1.1013691220299999</v>
      </c>
      <c r="AE1392">
        <v>-3.95320000000003</v>
      </c>
      <c r="AF1392">
        <v>1.6465560461756801</v>
      </c>
      <c r="AG1392">
        <v>-1.1013691220299999</v>
      </c>
      <c r="AH1392">
        <v>5.06039226386227</v>
      </c>
      <c r="AI1392">
        <v>101.69310910406099</v>
      </c>
      <c r="AJ1392">
        <v>71.976090755006297</v>
      </c>
      <c r="AK1392">
        <v>5.4343105009114003</v>
      </c>
      <c r="AL1392">
        <v>71.049237282765603</v>
      </c>
      <c r="AM1392">
        <v>82.633940342865898</v>
      </c>
      <c r="AN1392">
        <v>0.99999999875800405</v>
      </c>
    </row>
    <row r="1393" spans="1:40" x14ac:dyDescent="0.25">
      <c r="A1393" t="str">
        <f>"20190304164356535"</f>
        <v>20190304164356535</v>
      </c>
      <c r="B1393" t="str">
        <f>"1551689036531642"</f>
        <v>1551689036531642</v>
      </c>
      <c r="C1393" t="s">
        <v>40</v>
      </c>
      <c r="D1393">
        <v>5.7506969999999997</v>
      </c>
      <c r="E1393">
        <v>0.59224200000000005</v>
      </c>
      <c r="F1393" t="s">
        <v>44</v>
      </c>
      <c r="G1393">
        <v>-199.31110000000001</v>
      </c>
      <c r="H1393" s="1">
        <v>-1.009952E-5</v>
      </c>
      <c r="I1393">
        <v>359.71879999999999</v>
      </c>
      <c r="J1393">
        <v>-203.16050000000001</v>
      </c>
      <c r="K1393">
        <v>1.1013630000000001</v>
      </c>
      <c r="L1393">
        <v>363.69779999999997</v>
      </c>
      <c r="M1393">
        <v>0.88312780000000002</v>
      </c>
      <c r="N1393">
        <v>-1.537942E-2</v>
      </c>
      <c r="O1393">
        <v>-0.46888079999999999</v>
      </c>
      <c r="P1393">
        <v>0.7797212</v>
      </c>
      <c r="Q1393">
        <v>0.31334139999999999</v>
      </c>
      <c r="R1393">
        <v>-0.54208129999999999</v>
      </c>
      <c r="S1393">
        <v>2.411667</v>
      </c>
      <c r="T1393">
        <v>-0.66746519999999898</v>
      </c>
      <c r="U1393">
        <v>-2.456909</v>
      </c>
      <c r="V1393">
        <v>0.1206612</v>
      </c>
      <c r="W1393">
        <v>0.3251135</v>
      </c>
      <c r="X1393">
        <v>0.93794569999999999</v>
      </c>
      <c r="Y1393">
        <v>0.30264600000000003</v>
      </c>
      <c r="Z1393">
        <v>5.4397870000000001E-2</v>
      </c>
      <c r="AA1393">
        <v>0.95154939999999999</v>
      </c>
      <c r="AB1393">
        <v>28</v>
      </c>
      <c r="AC1393">
        <v>3.8494000000000002</v>
      </c>
      <c r="AD1393">
        <v>-1.10137309952</v>
      </c>
      <c r="AE1393">
        <v>-3.9789999999999801</v>
      </c>
      <c r="AF1393">
        <v>1.64418690055033</v>
      </c>
      <c r="AG1393">
        <v>-1.10137309952</v>
      </c>
      <c r="AH1393">
        <v>5.0653435222663701</v>
      </c>
      <c r="AI1393">
        <v>101.68465900286201</v>
      </c>
      <c r="AJ1393">
        <v>72.016811231249207</v>
      </c>
      <c r="AK1393">
        <v>5.43820542705528</v>
      </c>
      <c r="AL1393">
        <v>71.027548993050004</v>
      </c>
      <c r="AM1393">
        <v>82.669496145370303</v>
      </c>
      <c r="AN1393">
        <v>1.00000002460808</v>
      </c>
    </row>
    <row r="1394" spans="1:40" x14ac:dyDescent="0.25">
      <c r="A1394" t="str">
        <f>"20190304164356547"</f>
        <v>20190304164356547</v>
      </c>
      <c r="B1394" t="str">
        <f>"1551689036541402"</f>
        <v>1551689036541402</v>
      </c>
      <c r="C1394" t="s">
        <v>40</v>
      </c>
      <c r="D1394">
        <v>5.7775189999999998</v>
      </c>
      <c r="E1394">
        <v>0.59196159999999998</v>
      </c>
      <c r="F1394" t="s">
        <v>44</v>
      </c>
      <c r="G1394">
        <v>-199.20939999999999</v>
      </c>
      <c r="H1394" s="1">
        <v>-1.007845E-5</v>
      </c>
      <c r="I1394">
        <v>359.62520000000001</v>
      </c>
      <c r="J1394">
        <v>-203.03399999999999</v>
      </c>
      <c r="K1394">
        <v>1.101372</v>
      </c>
      <c r="L1394">
        <v>363.62299999999999</v>
      </c>
      <c r="M1394">
        <v>0.88003829999999905</v>
      </c>
      <c r="N1394">
        <v>-1.538344E-2</v>
      </c>
      <c r="O1394">
        <v>-0.47465380000000001</v>
      </c>
      <c r="P1394">
        <v>0.77678950000000002</v>
      </c>
      <c r="Q1394">
        <v>0.31331639999999999</v>
      </c>
      <c r="R1394">
        <v>-0.54628859999999901</v>
      </c>
      <c r="S1394">
        <v>2.3978730000000001</v>
      </c>
      <c r="T1394">
        <v>-0.66841149999999905</v>
      </c>
      <c r="U1394">
        <v>-2.4715579999999999</v>
      </c>
      <c r="V1394">
        <v>0.11957420000000001</v>
      </c>
      <c r="W1394">
        <v>0.32512069999999998</v>
      </c>
      <c r="X1394">
        <v>0.93808239999999998</v>
      </c>
      <c r="Y1394">
        <v>0.3020468</v>
      </c>
      <c r="Z1394">
        <v>5.5643379999999999E-2</v>
      </c>
      <c r="AA1394">
        <v>0.95166779999999995</v>
      </c>
      <c r="AB1394">
        <v>28</v>
      </c>
      <c r="AC1394">
        <v>3.82460000000003</v>
      </c>
      <c r="AD1394">
        <v>-1.1013820784499999</v>
      </c>
      <c r="AE1394">
        <v>-3.9978000000000402</v>
      </c>
      <c r="AF1394">
        <v>1.6381396373600501</v>
      </c>
      <c r="AG1394">
        <v>-1.1013820784499999</v>
      </c>
      <c r="AH1394">
        <v>5.0633327691574301</v>
      </c>
      <c r="AI1394">
        <v>101.69281655053</v>
      </c>
      <c r="AJ1394">
        <v>72.072053963280794</v>
      </c>
      <c r="AK1394">
        <v>5.4345085044964696</v>
      </c>
      <c r="AL1394">
        <v>71.027112753462404</v>
      </c>
      <c r="AM1394">
        <v>82.735873068562995</v>
      </c>
      <c r="AN1394">
        <v>1.00000002403194</v>
      </c>
    </row>
    <row r="1395" spans="1:40" x14ac:dyDescent="0.25">
      <c r="A1395" t="str">
        <f>"20190304164356558"</f>
        <v>20190304164356558</v>
      </c>
      <c r="B1395" t="str">
        <f>"1551689036551162"</f>
        <v>1551689036551162</v>
      </c>
      <c r="C1395" t="s">
        <v>40</v>
      </c>
      <c r="D1395">
        <v>5.7512800000000004</v>
      </c>
      <c r="E1395">
        <v>0.59196159999999998</v>
      </c>
      <c r="F1395" t="s">
        <v>44</v>
      </c>
      <c r="G1395">
        <v>-199.1147</v>
      </c>
      <c r="H1395" s="1">
        <v>-6.6905800000000002E-6</v>
      </c>
      <c r="I1395">
        <v>359.53980000000001</v>
      </c>
      <c r="J1395">
        <v>-202.91290000000001</v>
      </c>
      <c r="K1395">
        <v>1.10138</v>
      </c>
      <c r="L1395">
        <v>363.55070000000001</v>
      </c>
      <c r="M1395">
        <v>0.87703940000000002</v>
      </c>
      <c r="N1395">
        <v>-1.538696E-2</v>
      </c>
      <c r="O1395">
        <v>-0.48017199999999999</v>
      </c>
      <c r="P1395">
        <v>0.77369309999999902</v>
      </c>
      <c r="Q1395">
        <v>0.31315229999999999</v>
      </c>
      <c r="R1395">
        <v>-0.55075810000000003</v>
      </c>
      <c r="S1395">
        <v>2.3849490000000002</v>
      </c>
      <c r="T1395">
        <v>-0.67021489999999995</v>
      </c>
      <c r="U1395">
        <v>-2.4847410000000001</v>
      </c>
      <c r="V1395">
        <v>0.11904720000000001</v>
      </c>
      <c r="W1395">
        <v>0.32497599999999999</v>
      </c>
      <c r="X1395">
        <v>0.93819949999999996</v>
      </c>
      <c r="Y1395">
        <v>0.30124980000000001</v>
      </c>
      <c r="Z1395">
        <v>5.6952330000000002E-2</v>
      </c>
      <c r="AA1395">
        <v>0.95184299999999999</v>
      </c>
      <c r="AB1395">
        <v>28</v>
      </c>
      <c r="AC1395">
        <v>3.7982</v>
      </c>
      <c r="AD1395">
        <v>-1.10138669058</v>
      </c>
      <c r="AE1395">
        <v>-4.0108999999999897</v>
      </c>
      <c r="AF1395">
        <v>1.6293545155412801</v>
      </c>
      <c r="AG1395">
        <v>-1.10138669058</v>
      </c>
      <c r="AH1395">
        <v>5.0566894794995996</v>
      </c>
      <c r="AI1395">
        <v>101.71217109378701</v>
      </c>
      <c r="AJ1395">
        <v>72.140144133420307</v>
      </c>
      <c r="AK1395">
        <v>5.4256757433137697</v>
      </c>
      <c r="AL1395">
        <v>71.035878428761507</v>
      </c>
      <c r="AM1395">
        <v>82.768441701015405</v>
      </c>
      <c r="AN1395">
        <v>0.99999996910204403</v>
      </c>
    </row>
    <row r="1396" spans="1:40" x14ac:dyDescent="0.25">
      <c r="A1396" t="str">
        <f>"20190304164356570"</f>
        <v>20190304164356570</v>
      </c>
      <c r="B1396" t="str">
        <f>"1551689036560921"</f>
        <v>1551689036560921</v>
      </c>
      <c r="C1396" t="s">
        <v>40</v>
      </c>
      <c r="D1396">
        <v>5.7829370000000004</v>
      </c>
      <c r="E1396">
        <v>0.5875319</v>
      </c>
      <c r="F1396" t="s">
        <v>44</v>
      </c>
      <c r="G1396">
        <v>-199.01920000000001</v>
      </c>
      <c r="H1396" s="1">
        <v>-6.6436079999999996E-6</v>
      </c>
      <c r="I1396">
        <v>359.44400000000002</v>
      </c>
      <c r="J1396">
        <v>-202.7792</v>
      </c>
      <c r="K1396">
        <v>1.10138799999999</v>
      </c>
      <c r="L1396">
        <v>363.46969999999999</v>
      </c>
      <c r="M1396">
        <v>0.87367299999999903</v>
      </c>
      <c r="N1396">
        <v>-1.5390259999999999E-2</v>
      </c>
      <c r="O1396">
        <v>-0.48627009999999998</v>
      </c>
      <c r="P1396">
        <v>0.77012689999999995</v>
      </c>
      <c r="Q1396">
        <v>0.3133185</v>
      </c>
      <c r="R1396">
        <v>-0.55564029999999998</v>
      </c>
      <c r="S1396">
        <v>2.369659</v>
      </c>
      <c r="T1396">
        <v>-0.67030000000000001</v>
      </c>
      <c r="U1396">
        <v>-2.4993289999999999</v>
      </c>
      <c r="V1396">
        <v>0.1184713</v>
      </c>
      <c r="W1396">
        <v>0.32516129999999999</v>
      </c>
      <c r="X1396">
        <v>0.93820820000000005</v>
      </c>
      <c r="Y1396">
        <v>0.30053590000000002</v>
      </c>
      <c r="Z1396">
        <v>5.8212849999999997E-2</v>
      </c>
      <c r="AA1396">
        <v>0.95199230000000001</v>
      </c>
      <c r="AB1396">
        <v>28</v>
      </c>
      <c r="AC1396">
        <v>3.75999999999999</v>
      </c>
      <c r="AD1396">
        <v>-1.10139464360799</v>
      </c>
      <c r="AE1396">
        <v>-4.0256999999999703</v>
      </c>
      <c r="AF1396">
        <v>1.62404470680576</v>
      </c>
      <c r="AG1396">
        <v>-1.10139464360799</v>
      </c>
      <c r="AH1396">
        <v>5.04165649164075</v>
      </c>
      <c r="AI1396">
        <v>101.74651548891001</v>
      </c>
      <c r="AJ1396">
        <v>72.144941112741094</v>
      </c>
      <c r="AK1396">
        <v>5.4100731557323298</v>
      </c>
      <c r="AL1396">
        <v>71.024651888954395</v>
      </c>
      <c r="AM1396">
        <v>82.803123265749093</v>
      </c>
      <c r="AN1396">
        <v>0.999999973244309</v>
      </c>
    </row>
    <row r="1397" spans="1:40" x14ac:dyDescent="0.25">
      <c r="A1397" t="str">
        <f>"20190304164356582"</f>
        <v>20190304164356582</v>
      </c>
      <c r="B1397" t="str">
        <f>"1551689036571657"</f>
        <v>1551689036571657</v>
      </c>
      <c r="C1397" t="s">
        <v>40</v>
      </c>
      <c r="D1397">
        <v>5.7639480000000001</v>
      </c>
      <c r="E1397">
        <v>0.58730919999999998</v>
      </c>
      <c r="F1397" t="s">
        <v>41</v>
      </c>
      <c r="G1397">
        <v>-202.25069999999999</v>
      </c>
      <c r="H1397">
        <v>0.94449309999999997</v>
      </c>
      <c r="I1397">
        <v>362.91730000000001</v>
      </c>
      <c r="J1397">
        <v>-202.65469999999999</v>
      </c>
      <c r="K1397">
        <v>1.1013999999999999</v>
      </c>
      <c r="L1397">
        <v>363.39280000000002</v>
      </c>
      <c r="M1397">
        <v>0.87048320000000001</v>
      </c>
      <c r="N1397">
        <v>-1.5392670000000001E-2</v>
      </c>
      <c r="O1397">
        <v>-0.49195749999999999</v>
      </c>
      <c r="P1397">
        <v>0.76679149999999996</v>
      </c>
      <c r="Q1397">
        <v>0.31340639999999997</v>
      </c>
      <c r="R1397">
        <v>-0.56018509999999999</v>
      </c>
      <c r="S1397">
        <v>2.3850859999999998</v>
      </c>
      <c r="T1397">
        <v>-0.70807189999999998</v>
      </c>
      <c r="U1397">
        <v>-2.4927060000000001</v>
      </c>
      <c r="V1397">
        <v>0.1179108</v>
      </c>
      <c r="W1397">
        <v>0.3252678</v>
      </c>
      <c r="X1397">
        <v>0.93824200000000002</v>
      </c>
      <c r="Y1397">
        <v>0.29040929999999998</v>
      </c>
      <c r="Z1397">
        <v>6.4018679999999994E-2</v>
      </c>
      <c r="AA1397">
        <v>0.95475860000000001</v>
      </c>
      <c r="AB1397">
        <v>28</v>
      </c>
      <c r="AC1397">
        <v>0.40399999999999597</v>
      </c>
      <c r="AD1397">
        <v>-0.15690689999999899</v>
      </c>
      <c r="AE1397">
        <v>-0.47550000000001003</v>
      </c>
      <c r="AF1397">
        <v>0.20239053941843299</v>
      </c>
      <c r="AG1397">
        <v>-0.15690689999999899</v>
      </c>
      <c r="AH1397">
        <v>0.55083629589918603</v>
      </c>
      <c r="AI1397">
        <v>104.96932273400699</v>
      </c>
      <c r="AJ1397">
        <v>69.825450488690393</v>
      </c>
      <c r="AK1397">
        <v>0.60745562026672395</v>
      </c>
      <c r="AL1397">
        <v>71.018201113172907</v>
      </c>
      <c r="AM1397">
        <v>82.837073289625806</v>
      </c>
      <c r="AN1397">
        <v>1.0000000745187301</v>
      </c>
    </row>
    <row r="1398" spans="1:40" x14ac:dyDescent="0.25">
      <c r="A1398" t="str">
        <f>"20190304164356596"</f>
        <v>20190304164356596</v>
      </c>
      <c r="B1398" t="str">
        <f>"1551689036591177"</f>
        <v>1551689036591177</v>
      </c>
      <c r="C1398" t="s">
        <v>40</v>
      </c>
      <c r="D1398">
        <v>5.7784319999999996</v>
      </c>
      <c r="E1398">
        <v>0.58659300000000003</v>
      </c>
      <c r="F1398" t="s">
        <v>44</v>
      </c>
      <c r="G1398">
        <v>-198.9725</v>
      </c>
      <c r="H1398" s="1">
        <v>-6.65509699999999E-6</v>
      </c>
      <c r="I1398">
        <v>359.50009999999997</v>
      </c>
      <c r="J1398">
        <v>-202.51840000000001</v>
      </c>
      <c r="K1398">
        <v>1.1014120000000001</v>
      </c>
      <c r="L1398">
        <v>363.30779999999999</v>
      </c>
      <c r="M1398">
        <v>0.86693809999999905</v>
      </c>
      <c r="N1398">
        <v>-1.539506E-2</v>
      </c>
      <c r="O1398">
        <v>-0.49817820000000002</v>
      </c>
      <c r="P1398">
        <v>0.76328059999999998</v>
      </c>
      <c r="Q1398">
        <v>0.31335990000000002</v>
      </c>
      <c r="R1398">
        <v>-0.56498530000000002</v>
      </c>
      <c r="S1398">
        <v>2.3710629999999999</v>
      </c>
      <c r="T1398">
        <v>-0.70922779999999996</v>
      </c>
      <c r="U1398">
        <v>-2.5066220000000001</v>
      </c>
      <c r="V1398">
        <v>0.1170561</v>
      </c>
      <c r="W1398">
        <v>0.32524740000000002</v>
      </c>
      <c r="X1398">
        <v>0.93835599999999997</v>
      </c>
      <c r="Y1398">
        <v>0.28913879999999997</v>
      </c>
      <c r="Z1398">
        <v>6.5531870000000006E-2</v>
      </c>
      <c r="AA1398">
        <v>0.95504149999999999</v>
      </c>
      <c r="AB1398">
        <v>28</v>
      </c>
      <c r="AC1398">
        <v>3.5459000000000098</v>
      </c>
      <c r="AD1398">
        <v>-1.101418655097</v>
      </c>
      <c r="AE1398">
        <v>-3.8077000000000099</v>
      </c>
      <c r="AF1398">
        <v>1.46890857831755</v>
      </c>
      <c r="AG1398">
        <v>-1.101418655097</v>
      </c>
      <c r="AH1398">
        <v>4.7583511179602196</v>
      </c>
      <c r="AI1398">
        <v>102.471452363967</v>
      </c>
      <c r="AJ1398">
        <v>72.844481459161997</v>
      </c>
      <c r="AK1398">
        <v>5.10026674077384</v>
      </c>
      <c r="AL1398">
        <v>71.019435534912404</v>
      </c>
      <c r="AM1398">
        <v>82.889316794193206</v>
      </c>
      <c r="AN1398">
        <v>0.99999999224498504</v>
      </c>
    </row>
    <row r="1399" spans="1:40" x14ac:dyDescent="0.25">
      <c r="A1399" t="str">
        <f>"20190304164356613"</f>
        <v>20190304164356613</v>
      </c>
      <c r="B1399" t="str">
        <f>"1551689036600937"</f>
        <v>1551689036600937</v>
      </c>
      <c r="C1399" t="s">
        <v>40</v>
      </c>
      <c r="D1399">
        <v>5.7576289999999997</v>
      </c>
      <c r="E1399">
        <v>0.58656119999999901</v>
      </c>
      <c r="F1399" t="s">
        <v>44</v>
      </c>
      <c r="G1399">
        <v>-198.8836</v>
      </c>
      <c r="H1399" s="1">
        <v>-6.6173119999999996E-6</v>
      </c>
      <c r="I1399">
        <v>359.42869999999999</v>
      </c>
      <c r="J1399">
        <v>-202.32239999999999</v>
      </c>
      <c r="K1399">
        <v>1.1014250000000001</v>
      </c>
      <c r="L1399">
        <v>363.18279999999999</v>
      </c>
      <c r="M1399">
        <v>0.8617302</v>
      </c>
      <c r="N1399">
        <v>-1.539741E-2</v>
      </c>
      <c r="O1399">
        <v>-0.50713350000000001</v>
      </c>
      <c r="P1399">
        <v>0.75795419999999902</v>
      </c>
      <c r="Q1399">
        <v>0.31408219999999998</v>
      </c>
      <c r="R1399">
        <v>-0.57171539999999998</v>
      </c>
      <c r="S1399">
        <v>2.3598020000000002</v>
      </c>
      <c r="T1399">
        <v>-0.71507869999999996</v>
      </c>
      <c r="U1399">
        <v>-2.5184630000000001</v>
      </c>
      <c r="V1399">
        <v>0.1157823</v>
      </c>
      <c r="W1399">
        <v>0.32600440000000003</v>
      </c>
      <c r="X1399">
        <v>0.93825139999999996</v>
      </c>
      <c r="Y1399">
        <v>0.28398610000000002</v>
      </c>
      <c r="Z1399">
        <v>6.8492899999999995E-2</v>
      </c>
      <c r="AA1399">
        <v>0.95637890000000003</v>
      </c>
      <c r="AB1399">
        <v>28</v>
      </c>
      <c r="AC1399">
        <v>3.4387999999999801</v>
      </c>
      <c r="AD1399">
        <v>-1.101431617312</v>
      </c>
      <c r="AE1399">
        <v>-3.75409999999999</v>
      </c>
      <c r="AF1399">
        <v>1.4245876223126701</v>
      </c>
      <c r="AG1399">
        <v>-1.101431617312</v>
      </c>
      <c r="AH1399">
        <v>4.6500715979654696</v>
      </c>
      <c r="AI1399">
        <v>102.760731216881</v>
      </c>
      <c r="AJ1399">
        <v>72.967124363357101</v>
      </c>
      <c r="AK1399">
        <v>4.9865586698108899</v>
      </c>
      <c r="AL1399">
        <v>70.973563622007802</v>
      </c>
      <c r="AM1399">
        <v>82.965139297087106</v>
      </c>
      <c r="AN1399">
        <v>1.0000000497073001</v>
      </c>
    </row>
    <row r="1400" spans="1:40" x14ac:dyDescent="0.25">
      <c r="A1400" t="str">
        <f>"20190304164356624"</f>
        <v>20190304164356624</v>
      </c>
      <c r="B1400" t="str">
        <f>"1551689036621434"</f>
        <v>1551689036621434</v>
      </c>
      <c r="C1400" t="s">
        <v>40</v>
      </c>
      <c r="D1400">
        <v>5.7785469999999997</v>
      </c>
      <c r="E1400">
        <v>0.58622589999999997</v>
      </c>
      <c r="F1400" t="s">
        <v>41</v>
      </c>
      <c r="G1400">
        <v>-201.8295</v>
      </c>
      <c r="H1400">
        <v>0.95116780000000001</v>
      </c>
      <c r="I1400">
        <v>362.64609999999999</v>
      </c>
      <c r="J1400">
        <v>-202.2107</v>
      </c>
      <c r="K1400">
        <v>1.1014349999999999</v>
      </c>
      <c r="L1400">
        <v>363.10989999999998</v>
      </c>
      <c r="M1400">
        <v>0.85869930000000005</v>
      </c>
      <c r="N1400">
        <v>-1.5398139999999999E-2</v>
      </c>
      <c r="O1400">
        <v>-0.51224820000000004</v>
      </c>
      <c r="P1400">
        <v>0.754791199999999</v>
      </c>
      <c r="Q1400">
        <v>0.314573299999999</v>
      </c>
      <c r="R1400">
        <v>-0.57561619999999902</v>
      </c>
      <c r="S1400">
        <v>2.335175</v>
      </c>
      <c r="T1400">
        <v>-0.71150159999999996</v>
      </c>
      <c r="U1400">
        <v>-2.542389</v>
      </c>
      <c r="V1400">
        <v>0.1151456</v>
      </c>
      <c r="W1400">
        <v>0.32651200000000002</v>
      </c>
      <c r="X1400">
        <v>0.93815320000000002</v>
      </c>
      <c r="Y1400">
        <v>0.28777329999999901</v>
      </c>
      <c r="Z1400">
        <v>6.8769239999999995E-2</v>
      </c>
      <c r="AA1400">
        <v>0.95522640000000003</v>
      </c>
      <c r="AB1400">
        <v>28</v>
      </c>
      <c r="AC1400">
        <v>0.38120000000000598</v>
      </c>
      <c r="AD1400">
        <v>-0.15026719999999899</v>
      </c>
      <c r="AE1400">
        <v>-0.463799999999992</v>
      </c>
      <c r="AF1400">
        <v>0.19105065892341599</v>
      </c>
      <c r="AG1400">
        <v>-0.15026719999999899</v>
      </c>
      <c r="AH1400">
        <v>0.53167496808797499</v>
      </c>
      <c r="AI1400">
        <v>104.894624471741</v>
      </c>
      <c r="AJ1400">
        <v>70.2347432446537</v>
      </c>
      <c r="AK1400">
        <v>0.58460145172780797</v>
      </c>
      <c r="AL1400">
        <v>70.942795977173901</v>
      </c>
      <c r="AM1400">
        <v>83.002715225140093</v>
      </c>
      <c r="AN1400">
        <v>1.0000000110067999</v>
      </c>
    </row>
    <row r="1401" spans="1:40" x14ac:dyDescent="0.25">
      <c r="A1401" t="str">
        <f>"20190304164356637"</f>
        <v>20190304164356637</v>
      </c>
      <c r="B1401" t="str">
        <f>"1551689036631194"</f>
        <v>1551689036631194</v>
      </c>
      <c r="C1401" t="s">
        <v>40</v>
      </c>
      <c r="D1401">
        <v>5.7762209999999996</v>
      </c>
      <c r="E1401">
        <v>0.58622589999999997</v>
      </c>
      <c r="F1401" t="s">
        <v>41</v>
      </c>
      <c r="G1401">
        <v>-201.6438</v>
      </c>
      <c r="H1401">
        <v>0.92777430000000005</v>
      </c>
      <c r="I1401">
        <v>362.48649999999998</v>
      </c>
      <c r="J1401">
        <v>-202.0831</v>
      </c>
      <c r="K1401">
        <v>1.1014489999999999</v>
      </c>
      <c r="L1401">
        <v>363.02609999999999</v>
      </c>
      <c r="M1401">
        <v>0.85519449999999997</v>
      </c>
      <c r="N1401">
        <v>-1.539894E-2</v>
      </c>
      <c r="O1401">
        <v>-0.51807829999999999</v>
      </c>
      <c r="P1401">
        <v>0.75101430000000002</v>
      </c>
      <c r="Q1401">
        <v>0.31520579999999998</v>
      </c>
      <c r="R1401">
        <v>-0.58019240000000005</v>
      </c>
      <c r="S1401">
        <v>2.3231959999999998</v>
      </c>
      <c r="T1401">
        <v>-0.71150990000000003</v>
      </c>
      <c r="U1401">
        <v>-2.5543209999999998</v>
      </c>
      <c r="V1401">
        <v>0.1146025</v>
      </c>
      <c r="W1401">
        <v>0.32715870000000002</v>
      </c>
      <c r="X1401">
        <v>0.93799440000000001</v>
      </c>
      <c r="Y1401">
        <v>0.28603990000000001</v>
      </c>
      <c r="Z1401">
        <v>7.013113E-2</v>
      </c>
      <c r="AA1401">
        <v>0.95564789999999999</v>
      </c>
      <c r="AB1401">
        <v>28</v>
      </c>
      <c r="AC1401">
        <v>0.43930000000000202</v>
      </c>
      <c r="AD1401">
        <v>-0.17367469999999899</v>
      </c>
      <c r="AE1401">
        <v>-0.53960000000000696</v>
      </c>
      <c r="AF1401">
        <v>0.22018150710262999</v>
      </c>
      <c r="AG1401">
        <v>-0.17367469999999899</v>
      </c>
      <c r="AH1401">
        <v>0.61688740480363402</v>
      </c>
      <c r="AI1401">
        <v>104.85029354273701</v>
      </c>
      <c r="AJ1401">
        <v>70.357331819584104</v>
      </c>
      <c r="AK1401">
        <v>0.67763771124062899</v>
      </c>
      <c r="AL1401">
        <v>70.903589836891996</v>
      </c>
      <c r="AM1401">
        <v>83.034226473383697</v>
      </c>
      <c r="AN1401">
        <v>1.00000002121164</v>
      </c>
    </row>
    <row r="1402" spans="1:40" x14ac:dyDescent="0.25">
      <c r="A1402" t="str">
        <f>"20190304164356646"</f>
        <v>20190304164356646</v>
      </c>
      <c r="B1402" t="str">
        <f>"1551689036640953"</f>
        <v>1551689036640953</v>
      </c>
      <c r="C1402" t="s">
        <v>40</v>
      </c>
      <c r="D1402">
        <v>5.7688189999999997</v>
      </c>
      <c r="E1402">
        <v>0.58329900000000001</v>
      </c>
      <c r="F1402" t="s">
        <v>44</v>
      </c>
      <c r="G1402">
        <v>-198.49879999999999</v>
      </c>
      <c r="H1402" s="1">
        <v>-6.4246789999999997E-6</v>
      </c>
      <c r="I1402">
        <v>359.03280000000001</v>
      </c>
      <c r="J1402">
        <v>-201.96870000000001</v>
      </c>
      <c r="K1402">
        <v>1.1014660000000001</v>
      </c>
      <c r="L1402">
        <v>362.9495</v>
      </c>
      <c r="M1402">
        <v>0.85199820000000004</v>
      </c>
      <c r="N1402">
        <v>-1.5399120000000001E-2</v>
      </c>
      <c r="O1402">
        <v>-0.52331859999999997</v>
      </c>
      <c r="P1402">
        <v>0.74756339999999999</v>
      </c>
      <c r="Q1402">
        <v>0.3158165</v>
      </c>
      <c r="R1402">
        <v>-0.58430280000000001</v>
      </c>
      <c r="S1402">
        <v>2.3067169999999999</v>
      </c>
      <c r="T1402">
        <v>-0.70885180000000003</v>
      </c>
      <c r="U1402">
        <v>-2.5699160000000001</v>
      </c>
      <c r="V1402">
        <v>0.114125</v>
      </c>
      <c r="W1402">
        <v>0.3277813</v>
      </c>
      <c r="X1402">
        <v>0.93783519999999998</v>
      </c>
      <c r="Y1402">
        <v>0.28647840000000002</v>
      </c>
      <c r="Z1402">
        <v>7.0863579999999995E-2</v>
      </c>
      <c r="AA1402">
        <v>0.95546249999999999</v>
      </c>
      <c r="AB1402">
        <v>28</v>
      </c>
      <c r="AC1402">
        <v>3.46990000000002</v>
      </c>
      <c r="AD1402">
        <v>-1.101472424679</v>
      </c>
      <c r="AE1402">
        <v>-3.9166999999999899</v>
      </c>
      <c r="AF1402">
        <v>1.4567878996552299</v>
      </c>
      <c r="AG1402">
        <v>-1.101472424679</v>
      </c>
      <c r="AH1402">
        <v>4.7941923252137597</v>
      </c>
      <c r="AI1402">
        <v>102.397947396666</v>
      </c>
      <c r="AJ1402">
        <v>73.0978019295884</v>
      </c>
      <c r="AK1402">
        <v>5.1302780176174396</v>
      </c>
      <c r="AL1402">
        <v>70.865834952666106</v>
      </c>
      <c r="AM1402">
        <v>83.061800407184506</v>
      </c>
      <c r="AN1402">
        <v>0.99999997930686402</v>
      </c>
    </row>
    <row r="1403" spans="1:40" x14ac:dyDescent="0.25">
      <c r="A1403" t="str">
        <f>"20190304164356659"</f>
        <v>20190304164356659</v>
      </c>
      <c r="B1403" t="str">
        <f>"1551689036650714"</f>
        <v>1551689036650714</v>
      </c>
      <c r="C1403" t="s">
        <v>40</v>
      </c>
      <c r="D1403">
        <v>5.7687359999999996</v>
      </c>
      <c r="E1403">
        <v>0.58331889999999997</v>
      </c>
      <c r="F1403" t="s">
        <v>41</v>
      </c>
      <c r="G1403">
        <v>-201.43450000000001</v>
      </c>
      <c r="H1403">
        <v>0.93214680000000005</v>
      </c>
      <c r="I1403">
        <v>362.35599999999999</v>
      </c>
      <c r="J1403">
        <v>-201.85040000000001</v>
      </c>
      <c r="K1403">
        <v>1.101478</v>
      </c>
      <c r="L1403">
        <v>362.86939999999998</v>
      </c>
      <c r="M1403">
        <v>0.84865029999999997</v>
      </c>
      <c r="N1403">
        <v>-1.539916E-2</v>
      </c>
      <c r="O1403">
        <v>-0.52873040000000004</v>
      </c>
      <c r="P1403">
        <v>0.74376969999999898</v>
      </c>
      <c r="Q1403">
        <v>0.31632110000000002</v>
      </c>
      <c r="R1403">
        <v>-0.58885330000000002</v>
      </c>
      <c r="S1403">
        <v>2.3138890000000001</v>
      </c>
      <c r="T1403">
        <v>-0.73335830000000002</v>
      </c>
      <c r="U1403">
        <v>-2.5702820000000002</v>
      </c>
      <c r="V1403">
        <v>0.1139926</v>
      </c>
      <c r="W1403">
        <v>0.32828940000000001</v>
      </c>
      <c r="X1403">
        <v>0.9376736</v>
      </c>
      <c r="Y1403">
        <v>0.27935110000000002</v>
      </c>
      <c r="Z1403">
        <v>7.5341759999999994E-2</v>
      </c>
      <c r="AA1403">
        <v>0.95722859999999999</v>
      </c>
      <c r="AB1403">
        <v>28</v>
      </c>
      <c r="AC1403">
        <v>0.415899999999993</v>
      </c>
      <c r="AD1403">
        <v>-0.16933119999999899</v>
      </c>
      <c r="AE1403">
        <v>-0.51339999999998998</v>
      </c>
      <c r="AF1403">
        <v>0.20252187527718399</v>
      </c>
      <c r="AG1403">
        <v>-0.16933119999999899</v>
      </c>
      <c r="AH1403">
        <v>0.58598960567400504</v>
      </c>
      <c r="AI1403">
        <v>105.27580553943901</v>
      </c>
      <c r="AJ1403">
        <v>70.934512612217901</v>
      </c>
      <c r="AK1403">
        <v>0.64270676300876395</v>
      </c>
      <c r="AL1403">
        <v>70.8350183499998</v>
      </c>
      <c r="AM1403">
        <v>83.068588560182505</v>
      </c>
      <c r="AN1403">
        <v>1.00000001157204</v>
      </c>
    </row>
    <row r="1404" spans="1:40" x14ac:dyDescent="0.25">
      <c r="A1404" t="str">
        <f>"20190304164356670"</f>
        <v>20190304164356670</v>
      </c>
      <c r="B1404" t="str">
        <f>"1551689036661449"</f>
        <v>1551689036661449</v>
      </c>
      <c r="C1404" t="s">
        <v>40</v>
      </c>
      <c r="D1404">
        <v>5.7774429999999999</v>
      </c>
      <c r="E1404">
        <v>0.58306230000000003</v>
      </c>
      <c r="F1404" t="s">
        <v>41</v>
      </c>
      <c r="G1404">
        <v>-201.25040000000001</v>
      </c>
      <c r="H1404">
        <v>0.91075280000000003</v>
      </c>
      <c r="I1404">
        <v>362.19439999999997</v>
      </c>
      <c r="J1404">
        <v>-201.7328</v>
      </c>
      <c r="K1404">
        <v>1.1014930000000001</v>
      </c>
      <c r="L1404">
        <v>362.78879999999998</v>
      </c>
      <c r="M1404">
        <v>0.84527399999999997</v>
      </c>
      <c r="N1404">
        <v>-1.539893E-2</v>
      </c>
      <c r="O1404">
        <v>-0.53411109999999995</v>
      </c>
      <c r="P1404">
        <v>0.74010290000000001</v>
      </c>
      <c r="Q1404">
        <v>0.3164923</v>
      </c>
      <c r="R1404">
        <v>-0.5933638</v>
      </c>
      <c r="S1404">
        <v>2.2978670000000001</v>
      </c>
      <c r="T1404">
        <v>-0.73017279999999996</v>
      </c>
      <c r="U1404">
        <v>-2.5845030000000002</v>
      </c>
      <c r="V1404">
        <v>0.1137673</v>
      </c>
      <c r="W1404">
        <v>0.3284687</v>
      </c>
      <c r="X1404">
        <v>0.93763819999999998</v>
      </c>
      <c r="Y1404">
        <v>0.27923290000000001</v>
      </c>
      <c r="Z1404">
        <v>7.6135750000000002E-2</v>
      </c>
      <c r="AA1404">
        <v>0.9572003</v>
      </c>
      <c r="AB1404">
        <v>27</v>
      </c>
      <c r="AC1404">
        <v>0.48239999999998401</v>
      </c>
      <c r="AD1404">
        <v>-0.1907402</v>
      </c>
      <c r="AE1404">
        <v>-0.59440000000000703</v>
      </c>
      <c r="AF1404">
        <v>0.230494938277366</v>
      </c>
      <c r="AG1404">
        <v>-0.1907402</v>
      </c>
      <c r="AH1404">
        <v>0.68292401716542595</v>
      </c>
      <c r="AI1404">
        <v>104.822576491121</v>
      </c>
      <c r="AJ1404">
        <v>71.349852487637506</v>
      </c>
      <c r="AK1404">
        <v>0.745583632927179</v>
      </c>
      <c r="AL1404">
        <v>70.824142646478293</v>
      </c>
      <c r="AM1404">
        <v>83.081896576449296</v>
      </c>
      <c r="AN1404">
        <v>1.0000000397641</v>
      </c>
    </row>
    <row r="1405" spans="1:40" x14ac:dyDescent="0.25">
      <c r="A1405" t="str">
        <f>"20190304164356681"</f>
        <v>20190304164356681</v>
      </c>
      <c r="B1405" t="str">
        <f>"1551689036671210"</f>
        <v>1551689036671210</v>
      </c>
      <c r="C1405" t="s">
        <v>40</v>
      </c>
      <c r="D1405">
        <v>5.8033190000000001</v>
      </c>
      <c r="E1405">
        <v>0.58290310000000001</v>
      </c>
      <c r="F1405" t="s">
        <v>41</v>
      </c>
      <c r="G1405">
        <v>-201.2276</v>
      </c>
      <c r="H1405">
        <v>0.93949559999999999</v>
      </c>
      <c r="I1405">
        <v>362.214</v>
      </c>
      <c r="J1405">
        <v>-201.61449999999999</v>
      </c>
      <c r="K1405">
        <v>1.101513</v>
      </c>
      <c r="L1405">
        <v>362.7063</v>
      </c>
      <c r="M1405">
        <v>0.84182579999999996</v>
      </c>
      <c r="N1405">
        <v>-1.539836E-2</v>
      </c>
      <c r="O1405">
        <v>-0.5395297</v>
      </c>
      <c r="P1405">
        <v>0.73655099999999996</v>
      </c>
      <c r="Q1405">
        <v>0.31688870000000002</v>
      </c>
      <c r="R1405">
        <v>-0.5975568</v>
      </c>
      <c r="S1405">
        <v>2.2840579999999999</v>
      </c>
      <c r="T1405">
        <v>-0.73191759999999995</v>
      </c>
      <c r="U1405">
        <v>-2.5973820000000001</v>
      </c>
      <c r="V1405">
        <v>0.1131552</v>
      </c>
      <c r="W1405">
        <v>0.32888119999999998</v>
      </c>
      <c r="X1405">
        <v>0.9375677</v>
      </c>
      <c r="Y1405">
        <v>0.27839459999999999</v>
      </c>
      <c r="Z1405">
        <v>7.7561149999999995E-2</v>
      </c>
      <c r="AA1405">
        <v>0.95733000000000001</v>
      </c>
      <c r="AB1405">
        <v>27</v>
      </c>
      <c r="AC1405">
        <v>0.38689999999999702</v>
      </c>
      <c r="AD1405">
        <v>-0.16201739999999901</v>
      </c>
      <c r="AE1405">
        <v>-0.49230000000000002</v>
      </c>
      <c r="AF1405">
        <v>0.19280217554897999</v>
      </c>
      <c r="AG1405">
        <v>-0.16201739999999901</v>
      </c>
      <c r="AH1405">
        <v>0.55427187442699299</v>
      </c>
      <c r="AI1405">
        <v>105.43381333091899</v>
      </c>
      <c r="AJ1405">
        <v>70.819889243716503</v>
      </c>
      <c r="AK1405">
        <v>0.60880179663006295</v>
      </c>
      <c r="AL1405">
        <v>70.799118391788994</v>
      </c>
      <c r="AM1405">
        <v>83.118247602570307</v>
      </c>
      <c r="AN1405">
        <v>1.0000000675418801</v>
      </c>
    </row>
    <row r="1406" spans="1:40" x14ac:dyDescent="0.25">
      <c r="A1406" t="str">
        <f>"20190304164356692"</f>
        <v>20190304164356692</v>
      </c>
      <c r="B1406" t="str">
        <f>"1551689036680970"</f>
        <v>1551689036680970</v>
      </c>
      <c r="C1406" t="s">
        <v>40</v>
      </c>
      <c r="D1406">
        <v>5.7449260000000004</v>
      </c>
      <c r="E1406">
        <v>0.58294209999999902</v>
      </c>
      <c r="F1406" t="s">
        <v>41</v>
      </c>
      <c r="G1406">
        <v>-201.04660000000001</v>
      </c>
      <c r="H1406">
        <v>0.91859809999999997</v>
      </c>
      <c r="I1406">
        <v>362.053</v>
      </c>
      <c r="J1406">
        <v>-201.50319999999999</v>
      </c>
      <c r="K1406">
        <v>1.101526</v>
      </c>
      <c r="L1406">
        <v>362.62810000000002</v>
      </c>
      <c r="M1406">
        <v>0.83853860000000002</v>
      </c>
      <c r="N1406">
        <v>-1.539777E-2</v>
      </c>
      <c r="O1406">
        <v>-0.54462460000000001</v>
      </c>
      <c r="P1406">
        <v>0.73307250000000002</v>
      </c>
      <c r="Q1406">
        <v>0.31715009999999999</v>
      </c>
      <c r="R1406">
        <v>-0.60168169999999899</v>
      </c>
      <c r="S1406">
        <v>2.269485</v>
      </c>
      <c r="T1406">
        <v>-0.73104599999999997</v>
      </c>
      <c r="U1406">
        <v>-2.6107480000000001</v>
      </c>
      <c r="V1406">
        <v>0.1127869</v>
      </c>
      <c r="W1406">
        <v>0.32915309999999998</v>
      </c>
      <c r="X1406">
        <v>0.93751660000000003</v>
      </c>
      <c r="Y1406">
        <v>0.27811000000000002</v>
      </c>
      <c r="Z1406">
        <v>7.8559959999999998E-2</v>
      </c>
      <c r="AA1406">
        <v>0.95733120000000005</v>
      </c>
      <c r="AB1406">
        <v>27</v>
      </c>
      <c r="AC1406">
        <v>0.45659999999998002</v>
      </c>
      <c r="AD1406">
        <v>-0.1829279</v>
      </c>
      <c r="AE1406">
        <v>-0.57509999999996297</v>
      </c>
      <c r="AF1406">
        <v>0.219946423247352</v>
      </c>
      <c r="AG1406">
        <v>-0.1829279</v>
      </c>
      <c r="AH1406">
        <v>0.65549479099396601</v>
      </c>
      <c r="AI1406">
        <v>104.819294018082</v>
      </c>
      <c r="AJ1406">
        <v>71.451203545000794</v>
      </c>
      <c r="AK1406">
        <v>0.71520099742515497</v>
      </c>
      <c r="AL1406">
        <v>70.782620054244106</v>
      </c>
      <c r="AM1406">
        <v>83.140062392198999</v>
      </c>
      <c r="AN1406">
        <v>1.00000001166339</v>
      </c>
    </row>
    <row r="1407" spans="1:40" x14ac:dyDescent="0.25">
      <c r="A1407" t="str">
        <f>"20190304164356703"</f>
        <v>20190304164356703</v>
      </c>
      <c r="B1407" t="str">
        <f>"1551689036690729"</f>
        <v>1551689036690729</v>
      </c>
      <c r="C1407" t="s">
        <v>40</v>
      </c>
      <c r="D1407">
        <v>5.7665280000000001</v>
      </c>
      <c r="E1407">
        <v>0.58294209999999902</v>
      </c>
      <c r="F1407" t="s">
        <v>41</v>
      </c>
      <c r="G1407">
        <v>-201.0232</v>
      </c>
      <c r="H1407">
        <v>0.94628310000000004</v>
      </c>
      <c r="I1407">
        <v>362.06920000000002</v>
      </c>
      <c r="J1407">
        <v>-201.3946</v>
      </c>
      <c r="K1407">
        <v>1.101534</v>
      </c>
      <c r="L1407">
        <v>362.55020000000002</v>
      </c>
      <c r="M1407">
        <v>0.835283</v>
      </c>
      <c r="N1407">
        <v>-1.539664E-2</v>
      </c>
      <c r="O1407">
        <v>-0.54960489999999995</v>
      </c>
      <c r="P1407">
        <v>0.72965539999999995</v>
      </c>
      <c r="Q1407">
        <v>0.31748759999999998</v>
      </c>
      <c r="R1407">
        <v>-0.60564449999999903</v>
      </c>
      <c r="S1407">
        <v>2.2536770000000002</v>
      </c>
      <c r="T1407">
        <v>-0.72912749999999904</v>
      </c>
      <c r="U1407">
        <v>-2.6245419999999999</v>
      </c>
      <c r="V1407">
        <v>0.1123615</v>
      </c>
      <c r="W1407">
        <v>0.32950159999999901</v>
      </c>
      <c r="X1407">
        <v>0.93744519999999998</v>
      </c>
      <c r="Y1407">
        <v>0.27825</v>
      </c>
      <c r="Z1407">
        <v>7.9374730000000004E-2</v>
      </c>
      <c r="AA1407">
        <v>0.95722339999999995</v>
      </c>
      <c r="AB1407">
        <v>27</v>
      </c>
      <c r="AC1407">
        <v>0.37139999999999401</v>
      </c>
      <c r="AD1407">
        <v>-0.155250899999999</v>
      </c>
      <c r="AE1407">
        <v>-0.48099999999999399</v>
      </c>
      <c r="AF1407">
        <v>0.18556039221940901</v>
      </c>
      <c r="AG1407">
        <v>-0.155250899999999</v>
      </c>
      <c r="AH1407">
        <v>0.53944445650968198</v>
      </c>
      <c r="AI1407">
        <v>105.224161782268</v>
      </c>
      <c r="AJ1407">
        <v>71.017590299444805</v>
      </c>
      <c r="AK1407">
        <v>0.591215546793601</v>
      </c>
      <c r="AL1407">
        <v>70.761471700165799</v>
      </c>
      <c r="AM1407">
        <v>83.165175331919301</v>
      </c>
      <c r="AN1407">
        <v>0.99999995704392397</v>
      </c>
    </row>
    <row r="1408" spans="1:40" x14ac:dyDescent="0.25">
      <c r="A1408" t="str">
        <f>"20190304164356715"</f>
        <v>20190304164356715</v>
      </c>
      <c r="B1408" t="str">
        <f>"1551689036711226"</f>
        <v>1551689036711226</v>
      </c>
      <c r="C1408" t="s">
        <v>40</v>
      </c>
      <c r="D1408">
        <v>5.7736349999999996</v>
      </c>
      <c r="E1408">
        <v>0.57998719999999904</v>
      </c>
      <c r="F1408" t="s">
        <v>41</v>
      </c>
      <c r="G1408">
        <v>-200.84690000000001</v>
      </c>
      <c r="H1408">
        <v>0.92341359999999995</v>
      </c>
      <c r="I1408">
        <v>361.90480000000002</v>
      </c>
      <c r="J1408">
        <v>-201.28110000000001</v>
      </c>
      <c r="K1408">
        <v>1.1015520000000001</v>
      </c>
      <c r="L1408">
        <v>362.46839999999997</v>
      </c>
      <c r="M1408">
        <v>0.83184439999999904</v>
      </c>
      <c r="N1408">
        <v>-1.5395499999999999E-2</v>
      </c>
      <c r="O1408">
        <v>-0.554795699999999</v>
      </c>
      <c r="P1408">
        <v>0.72608539999999999</v>
      </c>
      <c r="Q1408">
        <v>0.31741449999999999</v>
      </c>
      <c r="R1408">
        <v>-0.609958</v>
      </c>
      <c r="S1408">
        <v>2.2387999999999999</v>
      </c>
      <c r="T1408">
        <v>-0.72753639999999997</v>
      </c>
      <c r="U1408">
        <v>-2.6376040000000001</v>
      </c>
      <c r="V1408">
        <v>0.1120464</v>
      </c>
      <c r="W1408">
        <v>0.32943909999999998</v>
      </c>
      <c r="X1408">
        <v>0.93750489999999997</v>
      </c>
      <c r="Y1408">
        <v>0.27781030000000001</v>
      </c>
      <c r="Z1408">
        <v>8.0322009999999999E-2</v>
      </c>
      <c r="AA1408">
        <v>0.95727209999999996</v>
      </c>
      <c r="AB1408">
        <v>27</v>
      </c>
      <c r="AC1408">
        <v>0.43420000000000403</v>
      </c>
      <c r="AD1408">
        <v>-0.1781384</v>
      </c>
      <c r="AE1408">
        <v>-0.56359999999995103</v>
      </c>
      <c r="AF1408">
        <v>0.214513802826129</v>
      </c>
      <c r="AG1408">
        <v>-0.1781384</v>
      </c>
      <c r="AH1408">
        <v>0.63419052419757704</v>
      </c>
      <c r="AI1408">
        <v>104.90011942068</v>
      </c>
      <c r="AJ1408">
        <v>71.311984991731407</v>
      </c>
      <c r="AK1408">
        <v>0.692782131798652</v>
      </c>
      <c r="AL1408">
        <v>70.765264849131597</v>
      </c>
      <c r="AM1408">
        <v>83.184591896501701</v>
      </c>
      <c r="AN1408">
        <v>0.999999976942889</v>
      </c>
    </row>
    <row r="1409" spans="1:40" x14ac:dyDescent="0.25">
      <c r="A1409" t="str">
        <f>"20190304164356725"</f>
        <v>20190304164356725</v>
      </c>
      <c r="B1409" t="str">
        <f>"1551689036720986"</f>
        <v>1551689036720986</v>
      </c>
      <c r="C1409" t="s">
        <v>40</v>
      </c>
      <c r="D1409">
        <v>5.8310849999999999</v>
      </c>
      <c r="E1409">
        <v>0.5797139</v>
      </c>
      <c r="F1409" t="s">
        <v>41</v>
      </c>
      <c r="G1409">
        <v>-200.66749999999999</v>
      </c>
      <c r="H1409">
        <v>0.894984</v>
      </c>
      <c r="I1409">
        <v>361.74770000000001</v>
      </c>
      <c r="J1409">
        <v>-201.17160000000001</v>
      </c>
      <c r="K1409">
        <v>1.1015699999999999</v>
      </c>
      <c r="L1409">
        <v>362.3877</v>
      </c>
      <c r="M1409">
        <v>0.8284705</v>
      </c>
      <c r="N1409">
        <v>-1.5393530000000001E-2</v>
      </c>
      <c r="O1409">
        <v>-0.55982140000000002</v>
      </c>
      <c r="P1409">
        <v>0.72259269999999998</v>
      </c>
      <c r="Q1409">
        <v>0.31738549999999999</v>
      </c>
      <c r="R1409">
        <v>-0.61410669999999901</v>
      </c>
      <c r="S1409">
        <v>2.2461700000000002</v>
      </c>
      <c r="T1409">
        <v>-0.75613390000000003</v>
      </c>
      <c r="U1409">
        <v>-2.6380309999999998</v>
      </c>
      <c r="V1409">
        <v>0.111717899999999</v>
      </c>
      <c r="W1409">
        <v>0.32942059999999901</v>
      </c>
      <c r="X1409">
        <v>0.93755060000000001</v>
      </c>
      <c r="Y1409">
        <v>0.27096520000000002</v>
      </c>
      <c r="Z1409">
        <v>8.5450769999999995E-2</v>
      </c>
      <c r="AA1409">
        <v>0.9587888</v>
      </c>
      <c r="AB1409">
        <v>27</v>
      </c>
      <c r="AC1409">
        <v>0.50410000000002197</v>
      </c>
      <c r="AD1409">
        <v>-0.20658599999999999</v>
      </c>
      <c r="AE1409">
        <v>-0.63999999999998602</v>
      </c>
      <c r="AF1409">
        <v>0.23305856055354299</v>
      </c>
      <c r="AG1409">
        <v>-0.20658599999999999</v>
      </c>
      <c r="AH1409">
        <v>0.72912584093109001</v>
      </c>
      <c r="AI1409">
        <v>105.103276823405</v>
      </c>
      <c r="AJ1409">
        <v>72.273985472207798</v>
      </c>
      <c r="AK1409">
        <v>0.79285469031642797</v>
      </c>
      <c r="AL1409">
        <v>70.766387432265901</v>
      </c>
      <c r="AM1409">
        <v>83.204714466165598</v>
      </c>
      <c r="AN1409">
        <v>0.99999997422256404</v>
      </c>
    </row>
    <row r="1410" spans="1:40" x14ac:dyDescent="0.25">
      <c r="A1410" t="str">
        <f>"20190304164356737"</f>
        <v>20190304164356737</v>
      </c>
      <c r="B1410" t="str">
        <f>"1551689036731724"</f>
        <v>1551689036731724</v>
      </c>
      <c r="C1410" t="s">
        <v>40</v>
      </c>
      <c r="D1410">
        <v>5.8175800000000004</v>
      </c>
      <c r="E1410">
        <v>0.57954819999999996</v>
      </c>
      <c r="F1410" t="s">
        <v>41</v>
      </c>
      <c r="G1410">
        <v>-200.6456</v>
      </c>
      <c r="H1410">
        <v>0.92326090000000005</v>
      </c>
      <c r="I1410">
        <v>361.76330000000002</v>
      </c>
      <c r="J1410">
        <v>-201.05279999999999</v>
      </c>
      <c r="K1410">
        <v>1.1015950000000001</v>
      </c>
      <c r="L1410">
        <v>362.29969999999997</v>
      </c>
      <c r="M1410">
        <v>0.82477250000000002</v>
      </c>
      <c r="N1410">
        <v>-1.539138E-2</v>
      </c>
      <c r="O1410">
        <v>-0.56525550000000002</v>
      </c>
      <c r="P1410">
        <v>0.71825329999999998</v>
      </c>
      <c r="Q1410">
        <v>0.31753340000000002</v>
      </c>
      <c r="R1410">
        <v>-0.61910030000000005</v>
      </c>
      <c r="S1410">
        <v>2.2320099999999998</v>
      </c>
      <c r="T1410">
        <v>-0.75671299999999997</v>
      </c>
      <c r="U1410">
        <v>-2.6499329999999999</v>
      </c>
      <c r="V1410">
        <v>0.11207979999999999</v>
      </c>
      <c r="W1410">
        <v>0.32956190000000002</v>
      </c>
      <c r="X1410">
        <v>0.93745769999999995</v>
      </c>
      <c r="Y1410">
        <v>0.26986159999999998</v>
      </c>
      <c r="Z1410">
        <v>8.6833369999999993E-2</v>
      </c>
      <c r="AA1410">
        <v>0.95897589999999999</v>
      </c>
      <c r="AB1410">
        <v>27</v>
      </c>
      <c r="AC1410">
        <v>0.40719999999998802</v>
      </c>
      <c r="AD1410">
        <v>-0.1783341</v>
      </c>
      <c r="AE1410">
        <v>-0.53639999999995702</v>
      </c>
      <c r="AF1410">
        <v>0.198352124758536</v>
      </c>
      <c r="AG1410">
        <v>-0.1783341</v>
      </c>
      <c r="AH1410">
        <v>0.597245751207378</v>
      </c>
      <c r="AI1410">
        <v>105.82140441609</v>
      </c>
      <c r="AJ1410">
        <v>71.628084530609001</v>
      </c>
      <c r="AK1410">
        <v>0.654101753517219</v>
      </c>
      <c r="AL1410">
        <v>70.757811897816097</v>
      </c>
      <c r="AM1410">
        <v>83.182239385423998</v>
      </c>
      <c r="AN1410">
        <v>0.99999993339446702</v>
      </c>
    </row>
    <row r="1411" spans="1:40" x14ac:dyDescent="0.25">
      <c r="A1411" t="str">
        <f>"20190304164356748"</f>
        <v>20190304164356748</v>
      </c>
      <c r="B1411" t="str">
        <f>"1551689036741482"</f>
        <v>1551689036741482</v>
      </c>
      <c r="C1411" t="s">
        <v>40</v>
      </c>
      <c r="D1411">
        <v>5.8009430000000002</v>
      </c>
      <c r="E1411">
        <v>0.57956809999999903</v>
      </c>
      <c r="F1411" t="s">
        <v>41</v>
      </c>
      <c r="G1411">
        <v>-200.47040000000001</v>
      </c>
      <c r="H1411">
        <v>0.90218520000000002</v>
      </c>
      <c r="I1411">
        <v>361.59890000000001</v>
      </c>
      <c r="J1411">
        <v>-200.93809999999999</v>
      </c>
      <c r="K1411">
        <v>1.101618</v>
      </c>
      <c r="L1411">
        <v>362.2133</v>
      </c>
      <c r="M1411">
        <v>0.82114769999999904</v>
      </c>
      <c r="N1411">
        <v>-1.53889E-2</v>
      </c>
      <c r="O1411">
        <v>-0.57050849999999997</v>
      </c>
      <c r="P1411">
        <v>0.71430649999999996</v>
      </c>
      <c r="Q1411">
        <v>0.31723770000000001</v>
      </c>
      <c r="R1411">
        <v>-0.62380049999999998</v>
      </c>
      <c r="S1411">
        <v>2.215103</v>
      </c>
      <c r="T1411">
        <v>-0.75787309999999997</v>
      </c>
      <c r="U1411">
        <v>-2.66452</v>
      </c>
      <c r="V1411">
        <v>0.112151399999999</v>
      </c>
      <c r="W1411">
        <v>0.32926889999999998</v>
      </c>
      <c r="X1411">
        <v>0.93755219999999995</v>
      </c>
      <c r="Y1411">
        <v>0.26998139999999998</v>
      </c>
      <c r="Z1411">
        <v>8.8118390000000005E-2</v>
      </c>
      <c r="AA1411">
        <v>0.95882489999999998</v>
      </c>
      <c r="AB1411">
        <v>27</v>
      </c>
      <c r="AC1411">
        <v>0.46769999999997902</v>
      </c>
      <c r="AD1411">
        <v>-0.19943279999999999</v>
      </c>
      <c r="AE1411">
        <v>-0.61439999999998895</v>
      </c>
      <c r="AF1411">
        <v>0.22284861541525899</v>
      </c>
      <c r="AG1411">
        <v>-0.19943279999999999</v>
      </c>
      <c r="AH1411">
        <v>0.68871516979045999</v>
      </c>
      <c r="AI1411">
        <v>105.40333581956</v>
      </c>
      <c r="AJ1411">
        <v>72.069896163667096</v>
      </c>
      <c r="AK1411">
        <v>0.75084188229469495</v>
      </c>
      <c r="AL1411">
        <v>70.7755940123199</v>
      </c>
      <c r="AM1411">
        <v>83.178606174008294</v>
      </c>
      <c r="AN1411">
        <v>1.0000000363770001</v>
      </c>
    </row>
    <row r="1412" spans="1:40" x14ac:dyDescent="0.25">
      <c r="A1412" t="str">
        <f>"20190304164356761"</f>
        <v>20190304164356761</v>
      </c>
      <c r="B1412" t="str">
        <f>"1551689036751242"</f>
        <v>1551689036751242</v>
      </c>
      <c r="C1412" t="s">
        <v>40</v>
      </c>
      <c r="D1412">
        <v>5.8021739999999999</v>
      </c>
      <c r="E1412">
        <v>0.57937510000000003</v>
      </c>
      <c r="F1412" t="s">
        <v>41</v>
      </c>
      <c r="G1412">
        <v>-200.44579999999999</v>
      </c>
      <c r="H1412">
        <v>0.9316411</v>
      </c>
      <c r="I1412">
        <v>361.61309999999997</v>
      </c>
      <c r="J1412">
        <v>-200.82730000000001</v>
      </c>
      <c r="K1412">
        <v>1.101637</v>
      </c>
      <c r="L1412">
        <v>362.12860000000001</v>
      </c>
      <c r="M1412">
        <v>0.81759769999999998</v>
      </c>
      <c r="N1412">
        <v>-1.538614E-2</v>
      </c>
      <c r="O1412">
        <v>-0.57558450000000005</v>
      </c>
      <c r="P1412">
        <v>0.71008340000000003</v>
      </c>
      <c r="Q1412">
        <v>0.31704120000000002</v>
      </c>
      <c r="R1412">
        <v>-0.62870249999999905</v>
      </c>
      <c r="S1412">
        <v>2.1979519999999999</v>
      </c>
      <c r="T1412">
        <v>-0.75820600000000005</v>
      </c>
      <c r="U1412">
        <v>-2.6779790000000001</v>
      </c>
      <c r="V1412">
        <v>0.1127286</v>
      </c>
      <c r="W1412">
        <v>0.32906220000000003</v>
      </c>
      <c r="X1412">
        <v>0.93755549999999999</v>
      </c>
      <c r="Y1412">
        <v>0.27012439999999999</v>
      </c>
      <c r="Z1412">
        <v>8.9285929999999999E-2</v>
      </c>
      <c r="AA1412">
        <v>0.95867659999999999</v>
      </c>
      <c r="AB1412">
        <v>27</v>
      </c>
      <c r="AC1412">
        <v>0.38150000000001599</v>
      </c>
      <c r="AD1412">
        <v>-0.16999589999999901</v>
      </c>
      <c r="AE1412">
        <v>-0.51550000000003104</v>
      </c>
      <c r="AF1412">
        <v>0.188654282956224</v>
      </c>
      <c r="AG1412">
        <v>-0.16999589999999901</v>
      </c>
      <c r="AH1412">
        <v>0.56873721006778699</v>
      </c>
      <c r="AI1412">
        <v>105.838644974068</v>
      </c>
      <c r="AJ1412">
        <v>71.648940529280694</v>
      </c>
      <c r="AK1412">
        <v>0.62285717352393699</v>
      </c>
      <c r="AL1412">
        <v>70.788135102770696</v>
      </c>
      <c r="AM1412">
        <v>83.143856328428996</v>
      </c>
      <c r="AN1412">
        <v>0.99999999215352497</v>
      </c>
    </row>
    <row r="1413" spans="1:40" x14ac:dyDescent="0.25">
      <c r="A1413" t="str">
        <f>"20190304164356773"</f>
        <v>20190304164356773</v>
      </c>
      <c r="B1413" t="str">
        <f>"1551689036761001"</f>
        <v>1551689036761001</v>
      </c>
      <c r="C1413" t="s">
        <v>40</v>
      </c>
      <c r="D1413">
        <v>5.7999409999999996</v>
      </c>
      <c r="E1413">
        <v>0.57927659999999903</v>
      </c>
      <c r="F1413" t="s">
        <v>41</v>
      </c>
      <c r="G1413">
        <v>-200.2741</v>
      </c>
      <c r="H1413">
        <v>0.90866709999999995</v>
      </c>
      <c r="I1413">
        <v>361.44619999999998</v>
      </c>
      <c r="J1413">
        <v>-200.69759999999999</v>
      </c>
      <c r="K1413">
        <v>1.101667</v>
      </c>
      <c r="L1413">
        <v>362.02859999999998</v>
      </c>
      <c r="M1413">
        <v>0.81339619999999901</v>
      </c>
      <c r="N1413">
        <v>-1.5382659999999999E-2</v>
      </c>
      <c r="O1413">
        <v>-0.58150690000000005</v>
      </c>
      <c r="P1413">
        <v>0.70544280000000004</v>
      </c>
      <c r="Q1413">
        <v>0.3169767</v>
      </c>
      <c r="R1413">
        <v>-0.63393739999999998</v>
      </c>
      <c r="S1413">
        <v>2.1816409999999999</v>
      </c>
      <c r="T1413">
        <v>-0.76084049999999903</v>
      </c>
      <c r="U1413">
        <v>-2.691376</v>
      </c>
      <c r="V1413">
        <v>0.11281629999999999</v>
      </c>
      <c r="W1413">
        <v>0.32899869999999998</v>
      </c>
      <c r="X1413">
        <v>0.93756719999999905</v>
      </c>
      <c r="Y1413">
        <v>0.26910460000000003</v>
      </c>
      <c r="Z1413">
        <v>9.1040759999999998E-2</v>
      </c>
      <c r="AA1413">
        <v>0.95879829999999999</v>
      </c>
      <c r="AB1413">
        <v>27</v>
      </c>
      <c r="AC1413">
        <v>0.42349999999999</v>
      </c>
      <c r="AD1413">
        <v>-0.192999899999999</v>
      </c>
      <c r="AE1413">
        <v>-0.58240000000000602</v>
      </c>
      <c r="AF1413">
        <v>0.21223496596993499</v>
      </c>
      <c r="AG1413">
        <v>-0.192999899999999</v>
      </c>
      <c r="AH1413">
        <v>0.63743418754644898</v>
      </c>
      <c r="AI1413">
        <v>106.02785383847301</v>
      </c>
      <c r="AJ1413">
        <v>71.584719088808498</v>
      </c>
      <c r="AK1413">
        <v>0.699010003957934</v>
      </c>
      <c r="AL1413">
        <v>70.791987236728204</v>
      </c>
      <c r="AM1413">
        <v>83.138658060887707</v>
      </c>
      <c r="AN1413">
        <v>0.99999995833160904</v>
      </c>
    </row>
    <row r="1414" spans="1:40" x14ac:dyDescent="0.25">
      <c r="A1414" t="str">
        <f>"20190304164356786"</f>
        <v>20190304164356786</v>
      </c>
      <c r="B1414" t="str">
        <f>"1551689036781498"</f>
        <v>1551689036781498</v>
      </c>
      <c r="C1414" t="s">
        <v>40</v>
      </c>
      <c r="D1414">
        <v>5.7962959999999999</v>
      </c>
      <c r="E1414">
        <v>0.57899089999999998</v>
      </c>
      <c r="F1414" t="s">
        <v>41</v>
      </c>
      <c r="G1414">
        <v>-200.24539999999999</v>
      </c>
      <c r="H1414">
        <v>0.94231189999999998</v>
      </c>
      <c r="I1414">
        <v>361.4624</v>
      </c>
      <c r="J1414">
        <v>-200.5718</v>
      </c>
      <c r="K1414">
        <v>1.1016969999999999</v>
      </c>
      <c r="L1414">
        <v>361.92939999999999</v>
      </c>
      <c r="M1414">
        <v>0.80925419999999904</v>
      </c>
      <c r="N1414">
        <v>-1.5378289999999999E-2</v>
      </c>
      <c r="O1414">
        <v>-0.58725740000000004</v>
      </c>
      <c r="P1414">
        <v>0.70064340000000003</v>
      </c>
      <c r="Q1414">
        <v>0.31665359999999998</v>
      </c>
      <c r="R1414">
        <v>-0.63939809999999997</v>
      </c>
      <c r="S1414">
        <v>2.1624910000000002</v>
      </c>
      <c r="T1414">
        <v>-0.76164790000000004</v>
      </c>
      <c r="U1414">
        <v>-2.7067869999999998</v>
      </c>
      <c r="V1414">
        <v>0.1133405</v>
      </c>
      <c r="W1414">
        <v>0.32866820000000002</v>
      </c>
      <c r="X1414">
        <v>0.93761989999999995</v>
      </c>
      <c r="Y1414">
        <v>0.26917239999999998</v>
      </c>
      <c r="Z1414">
        <v>9.2422370000000004E-2</v>
      </c>
      <c r="AA1414">
        <v>0.95864709999999997</v>
      </c>
      <c r="AB1414">
        <v>27</v>
      </c>
      <c r="AC1414">
        <v>0.32640000000000602</v>
      </c>
      <c r="AD1414">
        <v>-0.159385099999999</v>
      </c>
      <c r="AE1414">
        <v>-0.46699999999998398</v>
      </c>
      <c r="AF1414">
        <v>0.17274476754168899</v>
      </c>
      <c r="AG1414">
        <v>-0.159385099999999</v>
      </c>
      <c r="AH1414">
        <v>0.499374835478892</v>
      </c>
      <c r="AI1414">
        <v>106.7849978181</v>
      </c>
      <c r="AJ1414">
        <v>70.918368636983601</v>
      </c>
      <c r="AK1414">
        <v>0.55192353738956701</v>
      </c>
      <c r="AL1414">
        <v>70.812038738135399</v>
      </c>
      <c r="AM1414">
        <v>83.107466614610601</v>
      </c>
      <c r="AN1414">
        <v>0.99999996575374905</v>
      </c>
    </row>
    <row r="1415" spans="1:40" x14ac:dyDescent="0.25">
      <c r="A1415" t="str">
        <f>"20190304164356803"</f>
        <v>20190304164356803</v>
      </c>
      <c r="B1415" t="str">
        <f>"1551689036791257"</f>
        <v>1551689036791257</v>
      </c>
      <c r="C1415" t="s">
        <v>40</v>
      </c>
      <c r="D1415">
        <v>5.800421</v>
      </c>
      <c r="E1415">
        <v>0.5788432</v>
      </c>
      <c r="F1415" t="s">
        <v>41</v>
      </c>
      <c r="G1415">
        <v>-200.07249999999999</v>
      </c>
      <c r="H1415">
        <v>0.92339720000000003</v>
      </c>
      <c r="I1415">
        <v>361.29559999999998</v>
      </c>
      <c r="J1415">
        <v>-200.40369999999999</v>
      </c>
      <c r="K1415">
        <v>1.101737</v>
      </c>
      <c r="L1415">
        <v>361.79520000000002</v>
      </c>
      <c r="M1415">
        <v>0.80364259999999998</v>
      </c>
      <c r="N1415">
        <v>-1.537144E-2</v>
      </c>
      <c r="O1415">
        <v>-0.59491369999999999</v>
      </c>
      <c r="P1415">
        <v>0.69374880000000005</v>
      </c>
      <c r="Q1415">
        <v>0.31586419999999998</v>
      </c>
      <c r="R1415">
        <v>-0.64725739999999998</v>
      </c>
      <c r="S1415">
        <v>2.1445310000000002</v>
      </c>
      <c r="T1415">
        <v>-0.76506569999999996</v>
      </c>
      <c r="U1415">
        <v>-2.720825</v>
      </c>
      <c r="V1415">
        <v>0.1147523</v>
      </c>
      <c r="W1415">
        <v>0.32785419999999998</v>
      </c>
      <c r="X1415">
        <v>0.93773320000000004</v>
      </c>
      <c r="Y1415">
        <v>0.26652969999999998</v>
      </c>
      <c r="Z1415">
        <v>9.4857449999999996E-2</v>
      </c>
      <c r="AA1415">
        <v>0.95914750000000004</v>
      </c>
      <c r="AB1415">
        <v>27</v>
      </c>
      <c r="AC1415">
        <v>0.331199999999995</v>
      </c>
      <c r="AD1415">
        <v>-0.17833979999999999</v>
      </c>
      <c r="AE1415">
        <v>-0.49960000000004301</v>
      </c>
      <c r="AF1415">
        <v>0.18785908059620099</v>
      </c>
      <c r="AG1415">
        <v>-0.17833979999999999</v>
      </c>
      <c r="AH1415">
        <v>0.51763061849331204</v>
      </c>
      <c r="AI1415">
        <v>107.94518440956701</v>
      </c>
      <c r="AJ1415">
        <v>70.053096508548506</v>
      </c>
      <c r="AK1415">
        <v>0.57882430462814805</v>
      </c>
      <c r="AL1415">
        <v>70.861414402788895</v>
      </c>
      <c r="AM1415">
        <v>83.023287311088893</v>
      </c>
      <c r="AN1415">
        <v>1.0000000105975799</v>
      </c>
    </row>
    <row r="1416" spans="1:40" x14ac:dyDescent="0.25">
      <c r="A1416" t="str">
        <f>"20190304164356818"</f>
        <v>20190304164356818</v>
      </c>
      <c r="B1416" t="str">
        <f>"1551689036810778"</f>
        <v>1551689036810778</v>
      </c>
      <c r="C1416" t="s">
        <v>40</v>
      </c>
      <c r="D1416">
        <v>5.7821360000000004</v>
      </c>
      <c r="E1416">
        <v>0.57850040000000003</v>
      </c>
      <c r="F1416" t="s">
        <v>41</v>
      </c>
      <c r="G1416">
        <v>-199.8922</v>
      </c>
      <c r="H1416">
        <v>0.91565350000000001</v>
      </c>
      <c r="I1416">
        <v>361.13229999999999</v>
      </c>
      <c r="J1416">
        <v>-200.2655</v>
      </c>
      <c r="K1416">
        <v>1.1017790000000001</v>
      </c>
      <c r="L1416">
        <v>361.68299999999999</v>
      </c>
      <c r="M1416">
        <v>0.79895590000000005</v>
      </c>
      <c r="N1416">
        <v>-1.536468E-2</v>
      </c>
      <c r="O1416">
        <v>-0.60119350000000005</v>
      </c>
      <c r="P1416">
        <v>0.68826500000000002</v>
      </c>
      <c r="Q1416">
        <v>0.3156117</v>
      </c>
      <c r="R1416">
        <v>-0.65320789999999995</v>
      </c>
      <c r="S1416">
        <v>2.1163639999999999</v>
      </c>
      <c r="T1416">
        <v>-0.76952449999999994</v>
      </c>
      <c r="U1416">
        <v>-2.7420960000000001</v>
      </c>
      <c r="V1416">
        <v>0.1153734</v>
      </c>
      <c r="W1416">
        <v>0.32759300000000002</v>
      </c>
      <c r="X1416">
        <v>0.93774829999999998</v>
      </c>
      <c r="Y1416">
        <v>0.26885140000000002</v>
      </c>
      <c r="Z1416">
        <v>9.6662620000000005E-2</v>
      </c>
      <c r="AA1416">
        <v>0.95831900000000003</v>
      </c>
      <c r="AB1416">
        <v>27</v>
      </c>
      <c r="AC1416">
        <v>0.37330000000000002</v>
      </c>
      <c r="AD1416">
        <v>-0.1861255</v>
      </c>
      <c r="AE1416">
        <v>-0.55070000000006203</v>
      </c>
      <c r="AF1416">
        <v>0.199936519117109</v>
      </c>
      <c r="AG1416">
        <v>-0.1861255</v>
      </c>
      <c r="AH1416">
        <v>0.58371614637513303</v>
      </c>
      <c r="AI1416">
        <v>106.78635984336501</v>
      </c>
      <c r="AJ1416">
        <v>71.092460984645797</v>
      </c>
      <c r="AK1416">
        <v>0.644470211077247</v>
      </c>
      <c r="AL1416">
        <v>70.877255348748406</v>
      </c>
      <c r="AM1416">
        <v>82.986012628924897</v>
      </c>
      <c r="AN1416">
        <v>1.00000003461472</v>
      </c>
    </row>
    <row r="1417" spans="1:40" x14ac:dyDescent="0.25">
      <c r="A1417" t="str">
        <f>"20190304164356830"</f>
        <v>20190304164356830</v>
      </c>
      <c r="B1417" t="str">
        <f>"1551689036821514"</f>
        <v>1551689036821514</v>
      </c>
      <c r="C1417" t="s">
        <v>40</v>
      </c>
      <c r="D1417">
        <v>5.7881410000000004</v>
      </c>
      <c r="E1417">
        <v>0.57840499999999995</v>
      </c>
      <c r="F1417" t="s">
        <v>41</v>
      </c>
      <c r="G1417">
        <v>-199.71969999999999</v>
      </c>
      <c r="H1417">
        <v>0.90033600000000003</v>
      </c>
      <c r="I1417">
        <v>360.96480000000003</v>
      </c>
      <c r="J1417">
        <v>-200.14349999999999</v>
      </c>
      <c r="K1417">
        <v>1.1018190000000001</v>
      </c>
      <c r="L1417">
        <v>361.58240000000001</v>
      </c>
      <c r="M1417">
        <v>0.79477189999999998</v>
      </c>
      <c r="N1417">
        <v>-1.5357549999999999E-2</v>
      </c>
      <c r="O1417">
        <v>-0.60671419999999998</v>
      </c>
      <c r="P1417">
        <v>0.68322720000000003</v>
      </c>
      <c r="Q1417">
        <v>0.31499539999999998</v>
      </c>
      <c r="R1417">
        <v>-0.65877079999999999</v>
      </c>
      <c r="S1417">
        <v>2.0964200000000002</v>
      </c>
      <c r="T1417">
        <v>-0.77322029999999997</v>
      </c>
      <c r="U1417">
        <v>-2.7574160000000001</v>
      </c>
      <c r="V1417">
        <v>0.11627120000000001</v>
      </c>
      <c r="W1417">
        <v>0.32696219999999998</v>
      </c>
      <c r="X1417">
        <v>0.93785750000000001</v>
      </c>
      <c r="Y1417">
        <v>0.269252299999999</v>
      </c>
      <c r="Z1417">
        <v>9.8381739999999995E-2</v>
      </c>
      <c r="AA1417">
        <v>0.95803150000000004</v>
      </c>
      <c r="AB1417">
        <v>27</v>
      </c>
      <c r="AC1417">
        <v>0.42380000000000001</v>
      </c>
      <c r="AD1417">
        <v>-0.201483</v>
      </c>
      <c r="AE1417">
        <v>-0.61759999999998105</v>
      </c>
      <c r="AF1417">
        <v>0.217980559531157</v>
      </c>
      <c r="AG1417">
        <v>-0.201483</v>
      </c>
      <c r="AH1417">
        <v>0.66359824770686404</v>
      </c>
      <c r="AI1417">
        <v>106.090633843163</v>
      </c>
      <c r="AJ1417">
        <v>71.815541631714595</v>
      </c>
      <c r="AK1417">
        <v>0.72696186831369403</v>
      </c>
      <c r="AL1417">
        <v>70.915502885528298</v>
      </c>
      <c r="AM1417">
        <v>82.932796551580594</v>
      </c>
      <c r="AN1417">
        <v>0.99999998124226397</v>
      </c>
    </row>
    <row r="1418" spans="1:40" x14ac:dyDescent="0.25">
      <c r="A1418" t="str">
        <f>"20190304164356843"</f>
        <v>20190304164356843</v>
      </c>
      <c r="B1418" t="str">
        <f>"1551689036841034"</f>
        <v>1551689036841034</v>
      </c>
      <c r="C1418" t="s">
        <v>40</v>
      </c>
      <c r="D1418">
        <v>5.8235299999999999</v>
      </c>
      <c r="E1418">
        <v>0.57826999999999995</v>
      </c>
      <c r="F1418" t="s">
        <v>41</v>
      </c>
      <c r="G1418">
        <v>-199.6919</v>
      </c>
      <c r="H1418">
        <v>0.93284549999999999</v>
      </c>
      <c r="I1418">
        <v>360.97899999999998</v>
      </c>
      <c r="J1418">
        <v>-200.01759999999999</v>
      </c>
      <c r="K1418">
        <v>1.101861</v>
      </c>
      <c r="L1418">
        <v>361.4769</v>
      </c>
      <c r="M1418">
        <v>0.79040010000000005</v>
      </c>
      <c r="N1418">
        <v>-1.5348260000000001E-2</v>
      </c>
      <c r="O1418">
        <v>-0.61239889999999997</v>
      </c>
      <c r="P1418">
        <v>0.67819300000000005</v>
      </c>
      <c r="Q1418">
        <v>0.31471660000000001</v>
      </c>
      <c r="R1418">
        <v>-0.66408429999999996</v>
      </c>
      <c r="S1418">
        <v>2.0757140000000001</v>
      </c>
      <c r="T1418">
        <v>-0.7760785</v>
      </c>
      <c r="U1418">
        <v>-2.7722169999999999</v>
      </c>
      <c r="V1418">
        <v>0.116746</v>
      </c>
      <c r="W1418">
        <v>0.32667780000000002</v>
      </c>
      <c r="X1418">
        <v>0.9378976</v>
      </c>
      <c r="Y1418">
        <v>0.26949679999999998</v>
      </c>
      <c r="Z1418">
        <v>0.10007439999999999</v>
      </c>
      <c r="AA1418">
        <v>0.95778730000000001</v>
      </c>
      <c r="AB1418">
        <v>27</v>
      </c>
      <c r="AC1418">
        <v>0.325699999999983</v>
      </c>
      <c r="AD1418">
        <v>-0.16901550000000001</v>
      </c>
      <c r="AE1418">
        <v>-0.49789999999995799</v>
      </c>
      <c r="AF1418">
        <v>0.17961034187099101</v>
      </c>
      <c r="AG1418">
        <v>-0.16901550000000001</v>
      </c>
      <c r="AH1418">
        <v>0.520415833313147</v>
      </c>
      <c r="AI1418">
        <v>107.06650670742199</v>
      </c>
      <c r="AJ1418">
        <v>70.958985925983896</v>
      </c>
      <c r="AK1418">
        <v>0.57589821471357405</v>
      </c>
      <c r="AL1418">
        <v>70.932744202458295</v>
      </c>
      <c r="AM1418">
        <v>82.904531110164996</v>
      </c>
      <c r="AN1418">
        <v>0.99999996080729903</v>
      </c>
    </row>
    <row r="1419" spans="1:40" x14ac:dyDescent="0.25">
      <c r="A1419" t="str">
        <f>"20190304164356860"</f>
        <v>20190304164356860</v>
      </c>
      <c r="B1419" t="str">
        <f>"1551689036850797"</f>
        <v>1551689036850797</v>
      </c>
      <c r="C1419" t="s">
        <v>40</v>
      </c>
      <c r="D1419">
        <v>5.7909569999999997</v>
      </c>
      <c r="E1419">
        <v>0.57815550000000004</v>
      </c>
      <c r="F1419" t="s">
        <v>41</v>
      </c>
      <c r="G1419">
        <v>-199.5241</v>
      </c>
      <c r="H1419">
        <v>0.91519980000000001</v>
      </c>
      <c r="I1419">
        <v>360.80799999999999</v>
      </c>
      <c r="J1419">
        <v>-199.86539999999999</v>
      </c>
      <c r="K1419">
        <v>1.10192</v>
      </c>
      <c r="L1419">
        <v>361.3476</v>
      </c>
      <c r="M1419">
        <v>0.78504909999999894</v>
      </c>
      <c r="N1419">
        <v>-1.533414E-2</v>
      </c>
      <c r="O1419">
        <v>-0.61924380000000001</v>
      </c>
      <c r="P1419">
        <v>0.67200230000000005</v>
      </c>
      <c r="Q1419">
        <v>0.31403920000000002</v>
      </c>
      <c r="R1419">
        <v>-0.67066590000000004</v>
      </c>
      <c r="S1419">
        <v>2.056</v>
      </c>
      <c r="T1419">
        <v>-0.77776400000000001</v>
      </c>
      <c r="U1419">
        <v>-2.786346</v>
      </c>
      <c r="V1419">
        <v>0.11748690000000001</v>
      </c>
      <c r="W1419">
        <v>0.32598909999999998</v>
      </c>
      <c r="X1419">
        <v>0.93804469999999995</v>
      </c>
      <c r="Y1419">
        <v>0.26798250000000001</v>
      </c>
      <c r="Z1419">
        <v>0.1020495</v>
      </c>
      <c r="AA1419">
        <v>0.95800379999999996</v>
      </c>
      <c r="AB1419">
        <v>27</v>
      </c>
      <c r="AC1419">
        <v>0.341299999999989</v>
      </c>
      <c r="AD1419">
        <v>-0.1867202</v>
      </c>
      <c r="AE1419">
        <v>-0.53959999999995001</v>
      </c>
      <c r="AF1419">
        <v>0.19556400052487999</v>
      </c>
      <c r="AG1419">
        <v>-0.1867202</v>
      </c>
      <c r="AH1419">
        <v>0.55471057636508303</v>
      </c>
      <c r="AI1419">
        <v>107.612416292462</v>
      </c>
      <c r="AJ1419">
        <v>70.579825448272601</v>
      </c>
      <c r="AK1419">
        <v>0.61710091145664203</v>
      </c>
      <c r="AL1419">
        <v>70.974489172998403</v>
      </c>
      <c r="AM1419">
        <v>82.861072866391694</v>
      </c>
      <c r="AN1419">
        <v>0.99999996209425401</v>
      </c>
    </row>
    <row r="1420" spans="1:40" x14ac:dyDescent="0.25">
      <c r="A1420" t="str">
        <f>"20190304164356872"</f>
        <v>20190304164356872</v>
      </c>
      <c r="B1420" t="str">
        <f>"1551689036861530"</f>
        <v>1551689036861530</v>
      </c>
      <c r="C1420" t="s">
        <v>40</v>
      </c>
      <c r="D1420">
        <v>5.8204589999999996</v>
      </c>
      <c r="E1420">
        <v>0.57815550000000004</v>
      </c>
      <c r="F1420" t="s">
        <v>41</v>
      </c>
      <c r="G1420">
        <v>-199.35230000000001</v>
      </c>
      <c r="H1420">
        <v>0.90444060000000004</v>
      </c>
      <c r="I1420">
        <v>360.63850000000002</v>
      </c>
      <c r="J1420">
        <v>-199.75020000000001</v>
      </c>
      <c r="K1420">
        <v>1.10197099999999</v>
      </c>
      <c r="L1420">
        <v>361.2484</v>
      </c>
      <c r="M1420">
        <v>0.78095499999999995</v>
      </c>
      <c r="N1420">
        <v>-1.532067E-2</v>
      </c>
      <c r="O1420">
        <v>-0.6243995</v>
      </c>
      <c r="P1420">
        <v>0.66746090000000002</v>
      </c>
      <c r="Q1420">
        <v>0.31393070000000001</v>
      </c>
      <c r="R1420">
        <v>-0.6752359</v>
      </c>
      <c r="S1420">
        <v>2.0302120000000001</v>
      </c>
      <c r="T1420">
        <v>-0.78064990000000001</v>
      </c>
      <c r="U1420">
        <v>-2.804443</v>
      </c>
      <c r="V1420">
        <v>0.11763899999999999</v>
      </c>
      <c r="W1420">
        <v>0.32587820000000001</v>
      </c>
      <c r="X1420">
        <v>0.93806420000000001</v>
      </c>
      <c r="Y1420">
        <v>0.2704241</v>
      </c>
      <c r="Z1420">
        <v>0.1034341</v>
      </c>
      <c r="AA1420">
        <v>0.95716880000000004</v>
      </c>
      <c r="AB1420">
        <v>27</v>
      </c>
      <c r="AC1420">
        <v>0.39789999999999198</v>
      </c>
      <c r="AD1420">
        <v>-0.197530399999999</v>
      </c>
      <c r="AE1420">
        <v>-0.60989999999998101</v>
      </c>
      <c r="AF1420">
        <v>0.21226473840387</v>
      </c>
      <c r="AG1420">
        <v>-0.197530399999999</v>
      </c>
      <c r="AH1420">
        <v>0.64424268353487202</v>
      </c>
      <c r="AI1420">
        <v>106.23605982524801</v>
      </c>
      <c r="AJ1420">
        <v>71.7640094605824</v>
      </c>
      <c r="AK1420">
        <v>0.70648652738890705</v>
      </c>
      <c r="AL1420">
        <v>70.981210838119694</v>
      </c>
      <c r="AM1420">
        <v>82.852073316359807</v>
      </c>
      <c r="AN1420">
        <v>0.99999998943893997</v>
      </c>
    </row>
    <row r="1421" spans="1:40" x14ac:dyDescent="0.25">
      <c r="A1421" t="str">
        <f>"20190304164356884"</f>
        <v>20190304164356884</v>
      </c>
      <c r="B1421" t="str">
        <f>"1551689036881050"</f>
        <v>1551689036881050</v>
      </c>
      <c r="C1421" t="s">
        <v>40</v>
      </c>
      <c r="D1421">
        <v>5.784726</v>
      </c>
      <c r="E1421">
        <v>0.57537869999999902</v>
      </c>
      <c r="F1421" t="s">
        <v>41</v>
      </c>
      <c r="G1421">
        <v>-199.32470000000001</v>
      </c>
      <c r="H1421">
        <v>0.93654990000000005</v>
      </c>
      <c r="I1421">
        <v>360.65190000000001</v>
      </c>
      <c r="J1421">
        <v>-199.64099999999999</v>
      </c>
      <c r="K1421">
        <v>1.1020209999999999</v>
      </c>
      <c r="L1421">
        <v>361.15269999999998</v>
      </c>
      <c r="M1421">
        <v>0.77703789999999995</v>
      </c>
      <c r="N1421">
        <v>-1.5304450000000001E-2</v>
      </c>
      <c r="O1421">
        <v>-0.62926769999999999</v>
      </c>
      <c r="P1421">
        <v>0.66292259999999903</v>
      </c>
      <c r="Q1421">
        <v>0.31392959999999998</v>
      </c>
      <c r="R1421">
        <v>-0.67969269999999904</v>
      </c>
      <c r="S1421">
        <v>2.011139</v>
      </c>
      <c r="T1421">
        <v>-0.78093809999999997</v>
      </c>
      <c r="U1421">
        <v>-2.818085</v>
      </c>
      <c r="V1421">
        <v>0.11802360000000001</v>
      </c>
      <c r="W1421">
        <v>0.3258665</v>
      </c>
      <c r="X1421">
        <v>0.93801999999999996</v>
      </c>
      <c r="Y1421">
        <v>0.2709569</v>
      </c>
      <c r="Z1421">
        <v>0.1045618</v>
      </c>
      <c r="AA1421">
        <v>0.95689559999999996</v>
      </c>
      <c r="AB1421">
        <v>27</v>
      </c>
      <c r="AC1421">
        <v>0.31629999999998398</v>
      </c>
      <c r="AD1421">
        <v>-0.16547109999999901</v>
      </c>
      <c r="AE1421">
        <v>-0.50079999999996905</v>
      </c>
      <c r="AF1421">
        <v>0.17636187663455399</v>
      </c>
      <c r="AG1421">
        <v>-0.16547109999999901</v>
      </c>
      <c r="AH1421">
        <v>0.52036948454268495</v>
      </c>
      <c r="AI1421">
        <v>106.760273065014</v>
      </c>
      <c r="AJ1421">
        <v>71.277625173372499</v>
      </c>
      <c r="AK1421">
        <v>0.57381930684536098</v>
      </c>
      <c r="AL1421">
        <v>70.981920767994794</v>
      </c>
      <c r="AM1421">
        <v>82.828612932936593</v>
      </c>
      <c r="AN1421">
        <v>1.0000000331896</v>
      </c>
    </row>
    <row r="1422" spans="1:40" x14ac:dyDescent="0.25">
      <c r="A1422" t="str">
        <f>"20190304164356895"</f>
        <v>20190304164356895</v>
      </c>
      <c r="B1422" t="str">
        <f>"1551689036890810"</f>
        <v>1551689036890810</v>
      </c>
      <c r="C1422" t="s">
        <v>40</v>
      </c>
      <c r="D1422">
        <v>5.812176</v>
      </c>
      <c r="E1422">
        <v>0.57533939999999995</v>
      </c>
      <c r="F1422" t="s">
        <v>41</v>
      </c>
      <c r="G1422">
        <v>-199.16149999999999</v>
      </c>
      <c r="H1422">
        <v>0.91407550000000004</v>
      </c>
      <c r="I1422">
        <v>360.48079999999999</v>
      </c>
      <c r="J1422">
        <v>-199.535</v>
      </c>
      <c r="K1422">
        <v>1.102068</v>
      </c>
      <c r="L1422">
        <v>361.05919999999998</v>
      </c>
      <c r="M1422">
        <v>0.77320459999999902</v>
      </c>
      <c r="N1422">
        <v>-1.528764E-2</v>
      </c>
      <c r="O1422">
        <v>-0.63397239999999999</v>
      </c>
      <c r="P1422">
        <v>0.6585472</v>
      </c>
      <c r="Q1422">
        <v>0.31427880000000002</v>
      </c>
      <c r="R1422">
        <v>-0.68377239999999995</v>
      </c>
      <c r="S1422">
        <v>2.010132</v>
      </c>
      <c r="T1422">
        <v>-0.78814589999999995</v>
      </c>
      <c r="U1422">
        <v>-2.8172609999999998</v>
      </c>
      <c r="V1422">
        <v>0.118196</v>
      </c>
      <c r="W1422">
        <v>0.32620729999999998</v>
      </c>
      <c r="X1422">
        <v>0.93787980000000004</v>
      </c>
      <c r="Y1422">
        <v>0.2654571</v>
      </c>
      <c r="Z1422">
        <v>0.10728459999999999</v>
      </c>
      <c r="AA1422">
        <v>0.95813490000000001</v>
      </c>
      <c r="AB1422">
        <v>27</v>
      </c>
      <c r="AC1422">
        <v>0.37350000000000699</v>
      </c>
      <c r="AD1422">
        <v>-0.18799250000000001</v>
      </c>
      <c r="AE1422">
        <v>-0.57839999999998704</v>
      </c>
      <c r="AF1422">
        <v>0.195856022529667</v>
      </c>
      <c r="AG1422">
        <v>-0.18799250000000001</v>
      </c>
      <c r="AH1422">
        <v>0.61007590080443197</v>
      </c>
      <c r="AI1422">
        <v>106.351554187353</v>
      </c>
      <c r="AJ1422">
        <v>72.201525764481403</v>
      </c>
      <c r="AK1422">
        <v>0.66775247387016901</v>
      </c>
      <c r="AL1422">
        <v>70.961265217986906</v>
      </c>
      <c r="AM1422">
        <v>82.817184449616207</v>
      </c>
      <c r="AN1422">
        <v>1.00000000811866</v>
      </c>
    </row>
    <row r="1423" spans="1:40" x14ac:dyDescent="0.25">
      <c r="A1423" t="str">
        <f>"20190304164356907"</f>
        <v>20190304164356907</v>
      </c>
      <c r="B1423" t="str">
        <f>"1551689036901546"</f>
        <v>1551689036901546</v>
      </c>
      <c r="C1423" t="s">
        <v>40</v>
      </c>
      <c r="D1423">
        <v>5.8167479999999996</v>
      </c>
      <c r="E1423">
        <v>0.57517859999999998</v>
      </c>
      <c r="F1423" t="s">
        <v>41</v>
      </c>
      <c r="G1423">
        <v>-199.0027</v>
      </c>
      <c r="H1423">
        <v>0.89254639999999996</v>
      </c>
      <c r="I1423">
        <v>360.30399999999997</v>
      </c>
      <c r="J1423">
        <v>-199.4211</v>
      </c>
      <c r="K1423">
        <v>1.102123</v>
      </c>
      <c r="L1423">
        <v>360.95699999999999</v>
      </c>
      <c r="M1423">
        <v>0.76905019999999902</v>
      </c>
      <c r="N1423">
        <v>-1.526306E-2</v>
      </c>
      <c r="O1423">
        <v>-0.63900630000000003</v>
      </c>
      <c r="P1423">
        <v>0.65362030000000004</v>
      </c>
      <c r="Q1423">
        <v>0.31471789999999999</v>
      </c>
      <c r="R1423">
        <v>-0.68828310000000004</v>
      </c>
      <c r="S1423">
        <v>1.993134</v>
      </c>
      <c r="T1423">
        <v>-0.78461250000000005</v>
      </c>
      <c r="U1423">
        <v>-2.82843</v>
      </c>
      <c r="V1423">
        <v>0.11862250000000001</v>
      </c>
      <c r="W1423">
        <v>0.32662600000000003</v>
      </c>
      <c r="X1423">
        <v>0.93768019999999996</v>
      </c>
      <c r="Y1423">
        <v>0.26483420000000002</v>
      </c>
      <c r="Z1423">
        <v>0.108043</v>
      </c>
      <c r="AA1423">
        <v>0.95822209999999997</v>
      </c>
      <c r="AB1423">
        <v>27</v>
      </c>
      <c r="AC1423">
        <v>0.418399999999991</v>
      </c>
      <c r="AD1423">
        <v>-0.2095766</v>
      </c>
      <c r="AE1423">
        <v>-0.65299999999996305</v>
      </c>
      <c r="AF1423">
        <v>0.218873567622412</v>
      </c>
      <c r="AG1423">
        <v>-0.2095766</v>
      </c>
      <c r="AH1423">
        <v>0.68882600598218402</v>
      </c>
      <c r="AI1423">
        <v>106.170346959235</v>
      </c>
      <c r="AJ1423">
        <v>72.372413084593305</v>
      </c>
      <c r="AK1423">
        <v>0.75253521936763201</v>
      </c>
      <c r="AL1423">
        <v>70.935885143937497</v>
      </c>
      <c r="AM1423">
        <v>82.790019749708307</v>
      </c>
      <c r="AN1423">
        <v>0.99999999942714402</v>
      </c>
    </row>
    <row r="1424" spans="1:40" x14ac:dyDescent="0.25">
      <c r="A1424" t="str">
        <f>"20190304164356919"</f>
        <v>20190304164356919</v>
      </c>
      <c r="B1424" t="str">
        <f>"1551689036911307"</f>
        <v>1551689036911307</v>
      </c>
      <c r="C1424" t="s">
        <v>40</v>
      </c>
      <c r="D1424">
        <v>5.7982659999999999</v>
      </c>
      <c r="E1424">
        <v>0.57504669999999902</v>
      </c>
      <c r="F1424" t="s">
        <v>41</v>
      </c>
      <c r="G1424">
        <v>-198.9752</v>
      </c>
      <c r="H1424">
        <v>0.92524930000000005</v>
      </c>
      <c r="I1424">
        <v>360.3159</v>
      </c>
      <c r="J1424">
        <v>-199.3202</v>
      </c>
      <c r="K1424">
        <v>1.1021700000000001</v>
      </c>
      <c r="L1424">
        <v>360.8657</v>
      </c>
      <c r="M1424">
        <v>0.76534009999999997</v>
      </c>
      <c r="N1424">
        <v>-1.5238069999999999E-2</v>
      </c>
      <c r="O1424">
        <v>-0.64344579999999996</v>
      </c>
      <c r="P1424">
        <v>0.64913369999999904</v>
      </c>
      <c r="Q1424">
        <v>0.315191</v>
      </c>
      <c r="R1424">
        <v>-0.69230100000000006</v>
      </c>
      <c r="S1424">
        <v>1.9756769999999999</v>
      </c>
      <c r="T1424">
        <v>-0.78375430000000001</v>
      </c>
      <c r="U1424">
        <v>-2.840881</v>
      </c>
      <c r="V1424">
        <v>0.11909989999999999</v>
      </c>
      <c r="W1424">
        <v>0.32707570000000002</v>
      </c>
      <c r="X1424">
        <v>0.93746289999999999</v>
      </c>
      <c r="Y1424">
        <v>0.26523950000000002</v>
      </c>
      <c r="Z1424">
        <v>0.1089218</v>
      </c>
      <c r="AA1424">
        <v>0.95801049999999999</v>
      </c>
      <c r="AB1424">
        <v>27</v>
      </c>
      <c r="AC1424">
        <v>0.34499999999999797</v>
      </c>
      <c r="AD1424">
        <v>-0.17692069999999999</v>
      </c>
      <c r="AE1424">
        <v>-0.54980000000000395</v>
      </c>
      <c r="AF1424">
        <v>0.185068552071806</v>
      </c>
      <c r="AG1424">
        <v>-0.17692069999999999</v>
      </c>
      <c r="AH1424">
        <v>0.57514967502806502</v>
      </c>
      <c r="AI1424">
        <v>106.32120050127099</v>
      </c>
      <c r="AJ1424">
        <v>72.163143867950396</v>
      </c>
      <c r="AK1424">
        <v>0.62956211110527704</v>
      </c>
      <c r="AL1424">
        <v>70.908621717086305</v>
      </c>
      <c r="AM1424">
        <v>82.759650039639396</v>
      </c>
      <c r="AN1424">
        <v>0.99999999429345399</v>
      </c>
    </row>
    <row r="1425" spans="1:40" x14ac:dyDescent="0.25">
      <c r="A1425" t="str">
        <f>"20190304164356929"</f>
        <v>20190304164356929</v>
      </c>
      <c r="B1425" t="str">
        <f>"1551689036921066"</f>
        <v>1551689036921066</v>
      </c>
      <c r="C1425" t="s">
        <v>40</v>
      </c>
      <c r="D1425">
        <v>5.8362980000000002</v>
      </c>
      <c r="E1425">
        <v>0.57511029999999996</v>
      </c>
      <c r="F1425" t="s">
        <v>41</v>
      </c>
      <c r="G1425">
        <v>-198.81970000000001</v>
      </c>
      <c r="H1425">
        <v>0.90229919999999997</v>
      </c>
      <c r="I1425">
        <v>360.13729999999998</v>
      </c>
      <c r="J1425">
        <v>-199.22110000000001</v>
      </c>
      <c r="K1425">
        <v>1.1022149999999999</v>
      </c>
      <c r="L1425">
        <v>360.77480000000003</v>
      </c>
      <c r="M1425">
        <v>0.76166559999999905</v>
      </c>
      <c r="N1425">
        <v>-1.520969E-2</v>
      </c>
      <c r="O1425">
        <v>-0.64779189999999998</v>
      </c>
      <c r="P1425">
        <v>0.64443530000000004</v>
      </c>
      <c r="Q1425">
        <v>0.31528440000000002</v>
      </c>
      <c r="R1425">
        <v>-0.69663399999999998</v>
      </c>
      <c r="S1425">
        <v>1.9600979999999999</v>
      </c>
      <c r="T1425">
        <v>-0.78248070000000003</v>
      </c>
      <c r="U1425">
        <v>-2.8517459999999999</v>
      </c>
      <c r="V1425">
        <v>0.1200425</v>
      </c>
      <c r="W1425">
        <v>0.32713340000000002</v>
      </c>
      <c r="X1425">
        <v>0.93732260000000001</v>
      </c>
      <c r="Y1425">
        <v>0.26506020000000002</v>
      </c>
      <c r="Z1425">
        <v>0.1097783</v>
      </c>
      <c r="AA1425">
        <v>0.95796230000000004</v>
      </c>
      <c r="AB1425">
        <v>27</v>
      </c>
      <c r="AC1425">
        <v>0.40139999999999498</v>
      </c>
      <c r="AD1425">
        <v>-0.1999158</v>
      </c>
      <c r="AE1425">
        <v>-0.63750000000004503</v>
      </c>
      <c r="AF1425">
        <v>0.21072462835129199</v>
      </c>
      <c r="AG1425">
        <v>-0.1999158</v>
      </c>
      <c r="AH1425">
        <v>0.67149513343329903</v>
      </c>
      <c r="AI1425">
        <v>105.85766626302301</v>
      </c>
      <c r="AJ1425">
        <v>72.577408254884901</v>
      </c>
      <c r="AK1425">
        <v>0.73162620941846701</v>
      </c>
      <c r="AL1425">
        <v>70.905124596010396</v>
      </c>
      <c r="AM1425">
        <v>82.701882053744399</v>
      </c>
      <c r="AN1425">
        <v>1.0000000598362799</v>
      </c>
    </row>
    <row r="1426" spans="1:40" x14ac:dyDescent="0.25">
      <c r="A1426" t="str">
        <f>"20190304164356940"</f>
        <v>20190304164356940</v>
      </c>
      <c r="B1426" t="str">
        <f>"1551689036930826"</f>
        <v>1551689036930826</v>
      </c>
      <c r="C1426" t="s">
        <v>40</v>
      </c>
      <c r="D1426">
        <v>5.855175</v>
      </c>
      <c r="E1426">
        <v>0.57511029999999996</v>
      </c>
      <c r="F1426" t="s">
        <v>41</v>
      </c>
      <c r="G1426">
        <v>-198.7955</v>
      </c>
      <c r="H1426">
        <v>0.9310486</v>
      </c>
      <c r="I1426">
        <v>360.14729999999997</v>
      </c>
      <c r="J1426">
        <v>-199.1267</v>
      </c>
      <c r="K1426">
        <v>1.1022529999999999</v>
      </c>
      <c r="L1426">
        <v>360.68729999999999</v>
      </c>
      <c r="M1426">
        <v>0.75814090000000001</v>
      </c>
      <c r="N1426">
        <v>-1.517929E-2</v>
      </c>
      <c r="O1426">
        <v>-0.65191409999999905</v>
      </c>
      <c r="P1426">
        <v>0.63983909999999999</v>
      </c>
      <c r="Q1426">
        <v>0.31531559999999997</v>
      </c>
      <c r="R1426">
        <v>-0.70084389999999996</v>
      </c>
      <c r="S1426">
        <v>1.942245</v>
      </c>
      <c r="T1426">
        <v>-0.78095509999999901</v>
      </c>
      <c r="U1426">
        <v>-2.8630979999999999</v>
      </c>
      <c r="V1426">
        <v>0.1210832</v>
      </c>
      <c r="W1426">
        <v>0.32712439999999998</v>
      </c>
      <c r="X1426">
        <v>0.93719180000000002</v>
      </c>
      <c r="Y1426">
        <v>0.26571679999999998</v>
      </c>
      <c r="Z1426">
        <v>0.11049100000000001</v>
      </c>
      <c r="AA1426">
        <v>0.95769850000000001</v>
      </c>
      <c r="AB1426">
        <v>27</v>
      </c>
      <c r="AC1426">
        <v>0.331199999999995</v>
      </c>
      <c r="AD1426">
        <v>-0.17120440000000001</v>
      </c>
      <c r="AE1426">
        <v>-0.54000000000002002</v>
      </c>
      <c r="AF1426">
        <v>0.18033271308519899</v>
      </c>
      <c r="AG1426">
        <v>-0.17120440000000001</v>
      </c>
      <c r="AH1426">
        <v>0.562139998147413</v>
      </c>
      <c r="AI1426">
        <v>106.172239595558</v>
      </c>
      <c r="AJ1426">
        <v>72.213925285203899</v>
      </c>
      <c r="AK1426">
        <v>0.61468057680815202</v>
      </c>
      <c r="AL1426">
        <v>70.905668940116897</v>
      </c>
      <c r="AM1426">
        <v>82.638286425797901</v>
      </c>
      <c r="AN1426">
        <v>0.99999999219241897</v>
      </c>
    </row>
    <row r="1427" spans="1:40" x14ac:dyDescent="0.25">
      <c r="A1427" t="str">
        <f>"20190304164356951"</f>
        <v>20190304164356951</v>
      </c>
      <c r="B1427" t="str">
        <f>"1551689036941562"</f>
        <v>1551689036941562</v>
      </c>
      <c r="C1427" t="s">
        <v>40</v>
      </c>
      <c r="D1427">
        <v>5.8431199999999999</v>
      </c>
      <c r="E1427">
        <v>0.58596590000000004</v>
      </c>
      <c r="F1427" t="s">
        <v>41</v>
      </c>
      <c r="G1427">
        <v>-198.6437</v>
      </c>
      <c r="H1427">
        <v>0.90614629999999996</v>
      </c>
      <c r="I1427">
        <v>359.9665</v>
      </c>
      <c r="J1427">
        <v>-199.0284</v>
      </c>
      <c r="K1427">
        <v>1.102295</v>
      </c>
      <c r="L1427">
        <v>360.59539999999998</v>
      </c>
      <c r="M1427">
        <v>0.75444509999999998</v>
      </c>
      <c r="N1427">
        <v>-1.5145759999999999E-2</v>
      </c>
      <c r="O1427">
        <v>-0.65618880000000002</v>
      </c>
      <c r="P1427">
        <v>0.63514879999999996</v>
      </c>
      <c r="Q1427">
        <v>0.31542239999999999</v>
      </c>
      <c r="R1427">
        <v>-0.70504990000000001</v>
      </c>
      <c r="S1427">
        <v>1.9260250000000001</v>
      </c>
      <c r="T1427">
        <v>-0.78165130000000005</v>
      </c>
      <c r="U1427">
        <v>-2.87384</v>
      </c>
      <c r="V1427">
        <v>0.1219742</v>
      </c>
      <c r="W1427">
        <v>0.32719160000000003</v>
      </c>
      <c r="X1427">
        <v>0.93705280000000002</v>
      </c>
      <c r="Y1427">
        <v>0.2657254</v>
      </c>
      <c r="Z1427">
        <v>0.11162080000000001</v>
      </c>
      <c r="AA1427">
        <v>0.957565</v>
      </c>
      <c r="AB1427">
        <v>27</v>
      </c>
      <c r="AC1427">
        <v>0.38470000000000898</v>
      </c>
      <c r="AD1427">
        <v>-0.19614870000000001</v>
      </c>
      <c r="AE1427">
        <v>-0.62889999999998702</v>
      </c>
      <c r="AF1427">
        <v>0.20737994743864799</v>
      </c>
      <c r="AG1427">
        <v>-0.19614870000000001</v>
      </c>
      <c r="AH1427">
        <v>0.65651852314827197</v>
      </c>
      <c r="AI1427">
        <v>105.902018717297</v>
      </c>
      <c r="AJ1427">
        <v>72.469804477044093</v>
      </c>
      <c r="AK1427">
        <v>0.71588918580191896</v>
      </c>
      <c r="AL1427">
        <v>70.901594583335097</v>
      </c>
      <c r="AM1427">
        <v>82.583627698010403</v>
      </c>
      <c r="AN1427">
        <v>0.99999999928201999</v>
      </c>
    </row>
    <row r="1428" spans="1:40" x14ac:dyDescent="0.25">
      <c r="A1428" t="str">
        <f>"20190304164356962"</f>
        <v>20190304164356962</v>
      </c>
      <c r="B1428" t="str">
        <f>"1551689036951323"</f>
        <v>1551689036951323</v>
      </c>
      <c r="C1428" t="s">
        <v>40</v>
      </c>
      <c r="D1428">
        <v>5.8152239999999997</v>
      </c>
      <c r="E1428">
        <v>0.5880147</v>
      </c>
      <c r="F1428" t="s">
        <v>41</v>
      </c>
      <c r="G1428">
        <v>-198.62889999999999</v>
      </c>
      <c r="H1428">
        <v>0.94842859999999996</v>
      </c>
      <c r="I1428">
        <v>359.95440000000002</v>
      </c>
      <c r="J1428">
        <v>-198.93379999999999</v>
      </c>
      <c r="K1428">
        <v>1.102333</v>
      </c>
      <c r="L1428">
        <v>360.50560000000002</v>
      </c>
      <c r="M1428">
        <v>0.75085669999999904</v>
      </c>
      <c r="N1428">
        <v>-1.511006E-2</v>
      </c>
      <c r="O1428">
        <v>-0.66029249999999995</v>
      </c>
      <c r="P1428">
        <v>0.63028309999999999</v>
      </c>
      <c r="Q1428">
        <v>0.31525419999999998</v>
      </c>
      <c r="R1428">
        <v>-0.70947720000000003</v>
      </c>
      <c r="S1428">
        <v>1.824341</v>
      </c>
      <c r="T1428">
        <v>-0.70212259999999904</v>
      </c>
      <c r="U1428">
        <v>-2.925659</v>
      </c>
      <c r="V1428">
        <v>0.123337</v>
      </c>
      <c r="W1428">
        <v>0.32697209999999899</v>
      </c>
      <c r="X1428">
        <v>0.93695099999999998</v>
      </c>
      <c r="Y1428">
        <v>0.29069020000000001</v>
      </c>
      <c r="Z1428">
        <v>9.8570060000000001E-2</v>
      </c>
      <c r="AA1428">
        <v>0.95172639999999997</v>
      </c>
      <c r="AB1428">
        <v>27</v>
      </c>
      <c r="AC1428">
        <v>0.304900000000003</v>
      </c>
      <c r="AD1428">
        <v>-0.1539044</v>
      </c>
      <c r="AE1428">
        <v>-0.55119999999999403</v>
      </c>
      <c r="AF1428">
        <v>0.200598320060456</v>
      </c>
      <c r="AG1428">
        <v>-0.1539044</v>
      </c>
      <c r="AH1428">
        <v>0.55955383341623799</v>
      </c>
      <c r="AI1428">
        <v>104.515885194088</v>
      </c>
      <c r="AJ1428">
        <v>70.277400165303007</v>
      </c>
      <c r="AK1428">
        <v>0.61402503437664901</v>
      </c>
      <c r="AL1428">
        <v>70.914902504772201</v>
      </c>
      <c r="AM1428">
        <v>82.500897993248003</v>
      </c>
      <c r="AN1428">
        <v>0.99999997307420396</v>
      </c>
    </row>
    <row r="1429" spans="1:40" x14ac:dyDescent="0.25">
      <c r="A1429" t="str">
        <f>"20190304164356975"</f>
        <v>20190304164356975</v>
      </c>
      <c r="B1429" t="str">
        <f>"1551689036970842"</f>
        <v>1551689036970842</v>
      </c>
      <c r="C1429" t="s">
        <v>40</v>
      </c>
      <c r="D1429">
        <v>5.8142550000000002</v>
      </c>
      <c r="E1429">
        <v>0.59002339999999998</v>
      </c>
      <c r="F1429" t="s">
        <v>44</v>
      </c>
      <c r="G1429">
        <v>-196.0787</v>
      </c>
      <c r="H1429" s="1">
        <v>-4.8667009999999997E-6</v>
      </c>
      <c r="I1429">
        <v>355.80399999999997</v>
      </c>
      <c r="J1429">
        <v>-198.81979999999999</v>
      </c>
      <c r="K1429">
        <v>1.1023849999999999</v>
      </c>
      <c r="L1429">
        <v>360.39670000000001</v>
      </c>
      <c r="M1429">
        <v>0.74649919999999903</v>
      </c>
      <c r="N1429">
        <v>-1.506585E-2</v>
      </c>
      <c r="O1429">
        <v>-0.66521569999999997</v>
      </c>
      <c r="P1429">
        <v>0.62486919999999901</v>
      </c>
      <c r="Q1429">
        <v>0.31541570000000002</v>
      </c>
      <c r="R1429">
        <v>-0.71417889999999995</v>
      </c>
      <c r="S1429">
        <v>1.7890630000000001</v>
      </c>
      <c r="T1429">
        <v>-0.69073589999999996</v>
      </c>
      <c r="U1429">
        <v>-2.9460449999999998</v>
      </c>
      <c r="V1429">
        <v>0.1242162</v>
      </c>
      <c r="W1429">
        <v>0.32708520000000002</v>
      </c>
      <c r="X1429">
        <v>0.93679539999999994</v>
      </c>
      <c r="Y1429">
        <v>0.29552519999999999</v>
      </c>
      <c r="Z1429">
        <v>9.7519800000000004E-2</v>
      </c>
      <c r="AA1429">
        <v>0.95034459999999998</v>
      </c>
      <c r="AB1429">
        <v>27</v>
      </c>
      <c r="AC1429">
        <v>2.7410999999999799</v>
      </c>
      <c r="AD1429">
        <v>-1.1023898667009999</v>
      </c>
      <c r="AE1429">
        <v>-4.5926999999999696</v>
      </c>
      <c r="AF1429">
        <v>1.53979279698227</v>
      </c>
      <c r="AG1429">
        <v>-1.1023898667009999</v>
      </c>
      <c r="AH1429">
        <v>4.8940356340763396</v>
      </c>
      <c r="AI1429">
        <v>102.126638056395</v>
      </c>
      <c r="AJ1429">
        <v>72.535048382091801</v>
      </c>
      <c r="AK1429">
        <v>5.2476480506463599</v>
      </c>
      <c r="AL1429">
        <v>70.908045976256503</v>
      </c>
      <c r="AM1429">
        <v>82.446816078779406</v>
      </c>
      <c r="AN1429">
        <v>1.00000000693132</v>
      </c>
    </row>
    <row r="1430" spans="1:40" x14ac:dyDescent="0.25">
      <c r="A1430" t="str">
        <f>"20190304164356989"</f>
        <v>20190304164356989</v>
      </c>
      <c r="B1430" t="str">
        <f>"1551689036981579"</f>
        <v>1551689036981579</v>
      </c>
      <c r="C1430" t="s">
        <v>40</v>
      </c>
      <c r="D1430">
        <v>5.8077120000000004</v>
      </c>
      <c r="E1430">
        <v>0.59050480000000005</v>
      </c>
      <c r="F1430" t="s">
        <v>44</v>
      </c>
      <c r="G1430">
        <v>-195.9658</v>
      </c>
      <c r="H1430" s="1">
        <v>-4.7290269999999996E-6</v>
      </c>
      <c r="I1430">
        <v>355.56229999999999</v>
      </c>
      <c r="J1430">
        <v>-198.6953</v>
      </c>
      <c r="K1430">
        <v>1.1024320000000001</v>
      </c>
      <c r="L1430">
        <v>360.27550000000002</v>
      </c>
      <c r="M1430">
        <v>0.74168599999999996</v>
      </c>
      <c r="N1430">
        <v>-1.5012630000000001E-2</v>
      </c>
      <c r="O1430">
        <v>-0.67057919999999904</v>
      </c>
      <c r="P1430">
        <v>0.61921219999999999</v>
      </c>
      <c r="Q1430">
        <v>0.31532349999999998</v>
      </c>
      <c r="R1430">
        <v>-0.71912980000000004</v>
      </c>
      <c r="S1430">
        <v>1.7515259999999999</v>
      </c>
      <c r="T1430">
        <v>-0.6765333</v>
      </c>
      <c r="U1430">
        <v>-2.966888</v>
      </c>
      <c r="V1430">
        <v>0.1248493</v>
      </c>
      <c r="W1430">
        <v>0.32694420000000002</v>
      </c>
      <c r="X1430">
        <v>0.9367605</v>
      </c>
      <c r="Y1430">
        <v>0.30033979999999999</v>
      </c>
      <c r="Z1430">
        <v>9.612134E-2</v>
      </c>
      <c r="AA1430">
        <v>0.94897659999999995</v>
      </c>
      <c r="AB1430">
        <v>27</v>
      </c>
      <c r="AC1430">
        <v>2.7294999999999998</v>
      </c>
      <c r="AD1430">
        <v>-1.1024367290270001</v>
      </c>
      <c r="AE1430">
        <v>-4.71320000000002</v>
      </c>
      <c r="AF1430">
        <v>1.6000033003345799</v>
      </c>
      <c r="AG1430">
        <v>-1.1024367290270001</v>
      </c>
      <c r="AH1430">
        <v>4.9814958579382598</v>
      </c>
      <c r="AI1430">
        <v>101.898442334075</v>
      </c>
      <c r="AJ1430">
        <v>72.193536054511796</v>
      </c>
      <c r="AK1430">
        <v>5.3470251809062299</v>
      </c>
      <c r="AL1430">
        <v>70.916595470390604</v>
      </c>
      <c r="AM1430">
        <v>82.408487623608096</v>
      </c>
      <c r="AN1430">
        <v>1.0000000459921801</v>
      </c>
    </row>
    <row r="1431" spans="1:40" x14ac:dyDescent="0.25">
      <c r="A1431" t="str">
        <f>"20190304164357003"</f>
        <v>20190304164357003</v>
      </c>
      <c r="B1431" t="str">
        <f>"1551689036991338"</f>
        <v>1551689036991338</v>
      </c>
      <c r="C1431" t="s">
        <v>40</v>
      </c>
      <c r="D1431">
        <v>5.8004009999999999</v>
      </c>
      <c r="E1431">
        <v>0.59097630000000001</v>
      </c>
      <c r="F1431" t="s">
        <v>44</v>
      </c>
      <c r="G1431">
        <v>-195.87119999999999</v>
      </c>
      <c r="H1431" s="1">
        <v>-4.6284749999999998E-6</v>
      </c>
      <c r="I1431">
        <v>355.39139999999998</v>
      </c>
      <c r="J1431">
        <v>-198.57910000000001</v>
      </c>
      <c r="K1431">
        <v>1.102473</v>
      </c>
      <c r="L1431">
        <v>360.161</v>
      </c>
      <c r="M1431">
        <v>0.73714999999999997</v>
      </c>
      <c r="N1431">
        <v>-1.4962430000000001E-2</v>
      </c>
      <c r="O1431">
        <v>-0.67556359999999904</v>
      </c>
      <c r="P1431">
        <v>0.61407699999999998</v>
      </c>
      <c r="Q1431">
        <v>0.315085</v>
      </c>
      <c r="R1431">
        <v>-0.72362340000000003</v>
      </c>
      <c r="S1431">
        <v>1.7243040000000001</v>
      </c>
      <c r="T1431">
        <v>-0.67311940000000003</v>
      </c>
      <c r="U1431">
        <v>-2.9820859999999998</v>
      </c>
      <c r="V1431">
        <v>0.1252421</v>
      </c>
      <c r="W1431">
        <v>0.32666339999999999</v>
      </c>
      <c r="X1431">
        <v>0.93680600000000003</v>
      </c>
      <c r="Y1431">
        <v>0.30249429999999999</v>
      </c>
      <c r="Z1431">
        <v>9.649692E-2</v>
      </c>
      <c r="AA1431">
        <v>0.94825389999999998</v>
      </c>
      <c r="AB1431">
        <v>27</v>
      </c>
      <c r="AC1431">
        <v>2.70790000000002</v>
      </c>
      <c r="AD1431">
        <v>-1.102477628475</v>
      </c>
      <c r="AE1431">
        <v>-4.76960000000002</v>
      </c>
      <c r="AF1431">
        <v>1.6212345746543899</v>
      </c>
      <c r="AG1431">
        <v>-1.102477628475</v>
      </c>
      <c r="AH1431">
        <v>5.0162005574765702</v>
      </c>
      <c r="AI1431">
        <v>101.81213308937301</v>
      </c>
      <c r="AJ1431">
        <v>72.089182374008303</v>
      </c>
      <c r="AK1431">
        <v>5.38573360835559</v>
      </c>
      <c r="AL1431">
        <v>70.933618346777706</v>
      </c>
      <c r="AM1431">
        <v>82.385248632006693</v>
      </c>
      <c r="AN1431">
        <v>1.0000000210739799</v>
      </c>
    </row>
    <row r="1432" spans="1:40" x14ac:dyDescent="0.25">
      <c r="A1432" t="str">
        <f>"20190304164357017"</f>
        <v>20190304164357017</v>
      </c>
      <c r="B1432" t="str">
        <f>"1551689037010858"</f>
        <v>1551689037010858</v>
      </c>
      <c r="C1432" t="s">
        <v>40</v>
      </c>
      <c r="D1432">
        <v>5.7870249999999999</v>
      </c>
      <c r="E1432">
        <v>0.59112100000000001</v>
      </c>
      <c r="F1432" t="s">
        <v>44</v>
      </c>
      <c r="G1432">
        <v>-195.78370000000001</v>
      </c>
      <c r="H1432" s="1">
        <v>-4.5324949999999999E-6</v>
      </c>
      <c r="I1432">
        <v>355.22699999999998</v>
      </c>
      <c r="J1432">
        <v>-198.4537</v>
      </c>
      <c r="K1432">
        <v>1.1025160000000001</v>
      </c>
      <c r="L1432">
        <v>360.03609999999998</v>
      </c>
      <c r="M1432">
        <v>0.73220010000000002</v>
      </c>
      <c r="N1432">
        <v>-1.4908370000000001E-2</v>
      </c>
      <c r="O1432">
        <v>-0.68092649999999999</v>
      </c>
      <c r="P1432">
        <v>0.60838319999999901</v>
      </c>
      <c r="Q1432">
        <v>0.31504939999999998</v>
      </c>
      <c r="R1432">
        <v>-0.72843290000000005</v>
      </c>
      <c r="S1432">
        <v>1.6977690000000001</v>
      </c>
      <c r="T1432">
        <v>-0.66958689999999998</v>
      </c>
      <c r="U1432">
        <v>-2.9966740000000001</v>
      </c>
      <c r="V1432">
        <v>0.12572910000000001</v>
      </c>
      <c r="W1432">
        <v>0.3265787</v>
      </c>
      <c r="X1432">
        <v>0.93677029999999994</v>
      </c>
      <c r="Y1432">
        <v>0.30388090000000001</v>
      </c>
      <c r="Z1432">
        <v>9.6989649999999997E-2</v>
      </c>
      <c r="AA1432">
        <v>0.94776020000000005</v>
      </c>
      <c r="AB1432">
        <v>27</v>
      </c>
      <c r="AC1432">
        <v>2.6699999999999799</v>
      </c>
      <c r="AD1432">
        <v>-1.102520532495</v>
      </c>
      <c r="AE1432">
        <v>-4.8090999999999999</v>
      </c>
      <c r="AF1432">
        <v>1.6375501865868201</v>
      </c>
      <c r="AG1432">
        <v>-1.102520532495</v>
      </c>
      <c r="AH1432">
        <v>5.0281907304149502</v>
      </c>
      <c r="AI1432">
        <v>101.776883518612</v>
      </c>
      <c r="AJ1432">
        <v>71.960925495557206</v>
      </c>
      <c r="AK1432">
        <v>5.4018352584648897</v>
      </c>
      <c r="AL1432">
        <v>70.938752968190002</v>
      </c>
      <c r="AM1432">
        <v>82.355700479215699</v>
      </c>
      <c r="AN1432">
        <v>1.0000000244212901</v>
      </c>
    </row>
    <row r="1433" spans="1:40" x14ac:dyDescent="0.25">
      <c r="A1433" t="str">
        <f>"20190304164357028"</f>
        <v>20190304164357028</v>
      </c>
      <c r="B1433" t="str">
        <f>"1551689037021593"</f>
        <v>1551689037021593</v>
      </c>
      <c r="C1433" t="s">
        <v>40</v>
      </c>
      <c r="D1433">
        <v>5.8002010000000004</v>
      </c>
      <c r="E1433">
        <v>0.5912018</v>
      </c>
      <c r="F1433" t="s">
        <v>44</v>
      </c>
      <c r="G1433">
        <v>-195.69489999999999</v>
      </c>
      <c r="H1433" s="1">
        <v>-4.4352460000000003E-6</v>
      </c>
      <c r="I1433">
        <v>355.06049999999999</v>
      </c>
      <c r="J1433">
        <v>-198.34700000000001</v>
      </c>
      <c r="K1433">
        <v>1.1025469999999999</v>
      </c>
      <c r="L1433">
        <v>359.92809999999997</v>
      </c>
      <c r="M1433">
        <v>0.72793809999999903</v>
      </c>
      <c r="N1433">
        <v>-1.4863680000000001E-2</v>
      </c>
      <c r="O1433">
        <v>-0.68548180000000003</v>
      </c>
      <c r="P1433">
        <v>0.60355380000000003</v>
      </c>
      <c r="Q1433">
        <v>0.31525819999999999</v>
      </c>
      <c r="R1433">
        <v>-0.73234929999999998</v>
      </c>
      <c r="S1433">
        <v>1.670166</v>
      </c>
      <c r="T1433">
        <v>-0.66747209999999901</v>
      </c>
      <c r="U1433">
        <v>-3.012238</v>
      </c>
      <c r="V1433">
        <v>0.1259922</v>
      </c>
      <c r="W1433">
        <v>0.3267486</v>
      </c>
      <c r="X1433">
        <v>0.9366757</v>
      </c>
      <c r="Y1433">
        <v>0.30665239999999999</v>
      </c>
      <c r="Z1433">
        <v>9.7398620000000005E-2</v>
      </c>
      <c r="AA1433">
        <v>0.94682509999999998</v>
      </c>
      <c r="AB1433">
        <v>27</v>
      </c>
      <c r="AC1433">
        <v>2.6521000000000101</v>
      </c>
      <c r="AD1433">
        <v>-1.102551435246</v>
      </c>
      <c r="AE1433">
        <v>-4.8675999999999799</v>
      </c>
      <c r="AF1433">
        <v>1.6598684815104201</v>
      </c>
      <c r="AG1433">
        <v>-1.102551435246</v>
      </c>
      <c r="AH1433">
        <v>5.0673253654315902</v>
      </c>
      <c r="AI1433">
        <v>101.682425508617</v>
      </c>
      <c r="AJ1433">
        <v>71.863116782172099</v>
      </c>
      <c r="AK1433">
        <v>5.4450499908101104</v>
      </c>
      <c r="AL1433">
        <v>70.928453389134503</v>
      </c>
      <c r="AM1433">
        <v>82.339129352279002</v>
      </c>
      <c r="AN1433">
        <v>1.0000000245166401</v>
      </c>
    </row>
    <row r="1434" spans="1:40" x14ac:dyDescent="0.25">
      <c r="A1434" t="str">
        <f>"20190304164357039"</f>
        <v>20190304164357039</v>
      </c>
      <c r="B1434" t="str">
        <f>"1551689037031354"</f>
        <v>1551689037031354</v>
      </c>
      <c r="C1434" t="s">
        <v>40</v>
      </c>
      <c r="D1434">
        <v>5.8035909999999999</v>
      </c>
      <c r="E1434">
        <v>0.59117839999999999</v>
      </c>
      <c r="F1434" t="s">
        <v>44</v>
      </c>
      <c r="G1434">
        <v>-195.6147</v>
      </c>
      <c r="H1434" s="1">
        <v>-4.3506619999999999E-6</v>
      </c>
      <c r="I1434">
        <v>354.9171</v>
      </c>
      <c r="J1434">
        <v>-198.25970000000001</v>
      </c>
      <c r="K1434">
        <v>1.1025700000000001</v>
      </c>
      <c r="L1434">
        <v>359.83870000000002</v>
      </c>
      <c r="M1434">
        <v>0.72441069999999996</v>
      </c>
      <c r="N1434">
        <v>-1.48272E-2</v>
      </c>
      <c r="O1434">
        <v>-0.68920919999999997</v>
      </c>
      <c r="P1434">
        <v>0.59938930000000001</v>
      </c>
      <c r="Q1434">
        <v>0.31570369999999998</v>
      </c>
      <c r="R1434">
        <v>-0.73557039999999996</v>
      </c>
      <c r="S1434">
        <v>1.648849</v>
      </c>
      <c r="T1434">
        <v>-0.66534899999999997</v>
      </c>
      <c r="U1434">
        <v>-3.0239560000000001</v>
      </c>
      <c r="V1434">
        <v>0.126352399999999</v>
      </c>
      <c r="W1434">
        <v>0.32715680000000003</v>
      </c>
      <c r="X1434">
        <v>0.9364846</v>
      </c>
      <c r="Y1434">
        <v>0.30845270000000002</v>
      </c>
      <c r="Z1434">
        <v>9.7709389999999993E-2</v>
      </c>
      <c r="AA1434">
        <v>0.9462081</v>
      </c>
      <c r="AB1434">
        <v>27</v>
      </c>
      <c r="AC1434">
        <v>2.6450000000000098</v>
      </c>
      <c r="AD1434">
        <v>-1.102574350662</v>
      </c>
      <c r="AE1434">
        <v>-4.9216000000000104</v>
      </c>
      <c r="AF1434">
        <v>1.67718158228315</v>
      </c>
      <c r="AG1434">
        <v>-1.102574350662</v>
      </c>
      <c r="AH1434">
        <v>5.1096850007996899</v>
      </c>
      <c r="AI1434">
        <v>101.58619620290099</v>
      </c>
      <c r="AJ1434">
        <v>71.828311965693004</v>
      </c>
      <c r="AK1434">
        <v>5.4897622048759898</v>
      </c>
      <c r="AL1434">
        <v>70.9037036934009</v>
      </c>
      <c r="AM1434">
        <v>82.315939865192504</v>
      </c>
      <c r="AN1434">
        <v>0.99999995340457803</v>
      </c>
    </row>
    <row r="1435" spans="1:40" x14ac:dyDescent="0.25">
      <c r="A1435" t="str">
        <f>"20190304164357050"</f>
        <v>20190304164357050</v>
      </c>
      <c r="B1435" t="str">
        <f>"1551689037041114"</f>
        <v>1551689037041114</v>
      </c>
      <c r="C1435" t="s">
        <v>40</v>
      </c>
      <c r="D1435">
        <v>5.8264079999999998</v>
      </c>
      <c r="E1435">
        <v>0.59112290000000001</v>
      </c>
      <c r="F1435" t="s">
        <v>44</v>
      </c>
      <c r="G1435">
        <v>-195.54939999999999</v>
      </c>
      <c r="H1435" s="1">
        <v>-4.2832339999999996E-6</v>
      </c>
      <c r="I1435">
        <v>354.80340000000001</v>
      </c>
      <c r="J1435">
        <v>-198.1617</v>
      </c>
      <c r="K1435">
        <v>1.102592</v>
      </c>
      <c r="L1435">
        <v>359.73750000000001</v>
      </c>
      <c r="M1435">
        <v>0.72041759999999999</v>
      </c>
      <c r="N1435">
        <v>-1.478639E-2</v>
      </c>
      <c r="O1435">
        <v>-0.69338290000000002</v>
      </c>
      <c r="P1435">
        <v>0.59450630000000004</v>
      </c>
      <c r="Q1435">
        <v>0.31586560000000002</v>
      </c>
      <c r="R1435">
        <v>-0.73945340000000004</v>
      </c>
      <c r="S1435">
        <v>1.632584</v>
      </c>
      <c r="T1435">
        <v>-0.66416319999999995</v>
      </c>
      <c r="U1435">
        <v>-3.033112</v>
      </c>
      <c r="V1435">
        <v>0.12708039999999901</v>
      </c>
      <c r="W1435">
        <v>0.3272699</v>
      </c>
      <c r="X1435">
        <v>0.93634660000000003</v>
      </c>
      <c r="Y1435">
        <v>0.30811850000000002</v>
      </c>
      <c r="Z1435">
        <v>9.8425509999999994E-2</v>
      </c>
      <c r="AA1435">
        <v>0.94624280000000005</v>
      </c>
      <c r="AB1435">
        <v>27</v>
      </c>
      <c r="AC1435">
        <v>2.6122999999999998</v>
      </c>
      <c r="AD1435">
        <v>-1.1025962832339999</v>
      </c>
      <c r="AE1435">
        <v>-4.9340999999999999</v>
      </c>
      <c r="AF1435">
        <v>1.6780298557506601</v>
      </c>
      <c r="AG1435">
        <v>-1.1025962832339999</v>
      </c>
      <c r="AH1435">
        <v>5.1046480251944901</v>
      </c>
      <c r="AI1435">
        <v>101.595904337223</v>
      </c>
      <c r="AJ1435">
        <v>71.802968127142506</v>
      </c>
      <c r="AK1435">
        <v>5.4853381137094903</v>
      </c>
      <c r="AL1435">
        <v>70.896846664660004</v>
      </c>
      <c r="AM1435">
        <v>82.271075201265703</v>
      </c>
      <c r="AN1435">
        <v>0.99999998542086399</v>
      </c>
    </row>
    <row r="1436" spans="1:40" x14ac:dyDescent="0.25">
      <c r="A1436" t="str">
        <f>"20190304164357062"</f>
        <v>20190304164357062</v>
      </c>
      <c r="B1436" t="str">
        <f>"1551689037050874"</f>
        <v>1551689037050874</v>
      </c>
      <c r="C1436" t="s">
        <v>40</v>
      </c>
      <c r="D1436">
        <v>5.8318490000000001</v>
      </c>
      <c r="E1436">
        <v>0.59100259999999905</v>
      </c>
      <c r="F1436" t="s">
        <v>44</v>
      </c>
      <c r="G1436">
        <v>-195.4819</v>
      </c>
      <c r="H1436" s="1">
        <v>-4.213969E-6</v>
      </c>
      <c r="I1436">
        <v>354.68689999999998</v>
      </c>
      <c r="J1436">
        <v>-198.0658</v>
      </c>
      <c r="K1436">
        <v>1.1026049999999901</v>
      </c>
      <c r="L1436">
        <v>359.63709999999998</v>
      </c>
      <c r="M1436">
        <v>0.71645809999999999</v>
      </c>
      <c r="N1436">
        <v>-1.474496E-2</v>
      </c>
      <c r="O1436">
        <v>-0.6974745</v>
      </c>
      <c r="P1436">
        <v>0.58940919999999997</v>
      </c>
      <c r="Q1436">
        <v>0.31619969999999997</v>
      </c>
      <c r="R1436">
        <v>-0.74338070000000001</v>
      </c>
      <c r="S1436">
        <v>1.614487</v>
      </c>
      <c r="T1436">
        <v>-0.66426680000000005</v>
      </c>
      <c r="U1436">
        <v>-3.042786</v>
      </c>
      <c r="V1436">
        <v>0.12808079999999999</v>
      </c>
      <c r="W1436">
        <v>0.32754660000000002</v>
      </c>
      <c r="X1436">
        <v>0.93611350000000004</v>
      </c>
      <c r="Y1436">
        <v>0.30837680000000001</v>
      </c>
      <c r="Z1436">
        <v>9.9296179999999998E-2</v>
      </c>
      <c r="AA1436">
        <v>0.94606760000000001</v>
      </c>
      <c r="AB1436">
        <v>27</v>
      </c>
      <c r="AC1436">
        <v>2.5838999999999999</v>
      </c>
      <c r="AD1436">
        <v>-1.10260921396899</v>
      </c>
      <c r="AE1436">
        <v>-4.9501999999999899</v>
      </c>
      <c r="AF1436">
        <v>1.67912681528092</v>
      </c>
      <c r="AG1436">
        <v>-1.10260921396899</v>
      </c>
      <c r="AH1436">
        <v>5.1054104091811503</v>
      </c>
      <c r="AI1436">
        <v>101.593797046807</v>
      </c>
      <c r="AJ1436">
        <v>71.794396681419698</v>
      </c>
      <c r="AK1436">
        <v>5.4863858218958699</v>
      </c>
      <c r="AL1436">
        <v>70.880067946511701</v>
      </c>
      <c r="AM1436">
        <v>82.209059984669395</v>
      </c>
      <c r="AN1436">
        <v>0.99999997569122401</v>
      </c>
    </row>
    <row r="1437" spans="1:40" x14ac:dyDescent="0.25">
      <c r="A1437" t="str">
        <f>"20190304164357074"</f>
        <v>20190304164357074</v>
      </c>
      <c r="B1437" t="str">
        <f>"1551689037071370"</f>
        <v>1551689037071370</v>
      </c>
      <c r="C1437" t="s">
        <v>40</v>
      </c>
      <c r="D1437">
        <v>5.7722910000000001</v>
      </c>
      <c r="E1437">
        <v>0.59108109999999903</v>
      </c>
      <c r="F1437" t="s">
        <v>44</v>
      </c>
      <c r="G1437">
        <v>-195.41669999999999</v>
      </c>
      <c r="H1437" s="1">
        <v>-4.1443640000000004E-6</v>
      </c>
      <c r="I1437">
        <v>354.57080000000002</v>
      </c>
      <c r="J1437">
        <v>-197.96729999999999</v>
      </c>
      <c r="K1437">
        <v>1.1026199999999999</v>
      </c>
      <c r="L1437">
        <v>359.53320000000002</v>
      </c>
      <c r="M1437">
        <v>0.71235269999999995</v>
      </c>
      <c r="N1437">
        <v>-1.470196E-2</v>
      </c>
      <c r="O1437">
        <v>-0.70166770000000001</v>
      </c>
      <c r="P1437">
        <v>0.58445389999999997</v>
      </c>
      <c r="Q1437">
        <v>0.31631629999999999</v>
      </c>
      <c r="R1437">
        <v>-0.74723339999999905</v>
      </c>
      <c r="S1437">
        <v>1.596176</v>
      </c>
      <c r="T1437">
        <v>-0.6643715</v>
      </c>
      <c r="U1437">
        <v>-3.0526430000000002</v>
      </c>
      <c r="V1437">
        <v>0.12876779999999999</v>
      </c>
      <c r="W1437">
        <v>0.32761190000000001</v>
      </c>
      <c r="X1437">
        <v>0.93599639999999995</v>
      </c>
      <c r="Y1437">
        <v>0.30854510000000002</v>
      </c>
      <c r="Z1437">
        <v>0.10019260000000001</v>
      </c>
      <c r="AA1437">
        <v>0.94591829999999999</v>
      </c>
      <c r="AB1437">
        <v>27</v>
      </c>
      <c r="AC1437">
        <v>2.5506000000000002</v>
      </c>
      <c r="AD1437">
        <v>-1.1026241443639999</v>
      </c>
      <c r="AE1437">
        <v>-4.9623999999999997</v>
      </c>
      <c r="AF1437">
        <v>1.6798881251543301</v>
      </c>
      <c r="AG1437">
        <v>-1.1026241443639999</v>
      </c>
      <c r="AH1437">
        <v>5.1002706613920701</v>
      </c>
      <c r="AI1437">
        <v>101.603705046822</v>
      </c>
      <c r="AJ1437">
        <v>71.769546258464899</v>
      </c>
      <c r="AK1437">
        <v>5.4818395576873398</v>
      </c>
      <c r="AL1437">
        <v>70.8761081658254</v>
      </c>
      <c r="AM1437">
        <v>82.166820515040399</v>
      </c>
      <c r="AN1437">
        <v>0.99999998207570395</v>
      </c>
    </row>
    <row r="1438" spans="1:40" x14ac:dyDescent="0.25">
      <c r="A1438" t="str">
        <f>"20190304164357086"</f>
        <v>20190304164357086</v>
      </c>
      <c r="B1438" t="str">
        <f>"1551689037081130"</f>
        <v>1551689037081130</v>
      </c>
      <c r="C1438" t="s">
        <v>40</v>
      </c>
      <c r="D1438">
        <v>5.8272680000000001</v>
      </c>
      <c r="E1438">
        <v>0.59096300000000002</v>
      </c>
      <c r="F1438" t="s">
        <v>44</v>
      </c>
      <c r="G1438">
        <v>-195.34360000000001</v>
      </c>
      <c r="H1438" s="1">
        <v>-4.0594849999999996E-6</v>
      </c>
      <c r="I1438">
        <v>354.43439999999998</v>
      </c>
      <c r="J1438">
        <v>-197.869</v>
      </c>
      <c r="K1438">
        <v>1.1026279999999999</v>
      </c>
      <c r="L1438">
        <v>359.42750000000001</v>
      </c>
      <c r="M1438">
        <v>0.70818639999999999</v>
      </c>
      <c r="N1438">
        <v>-1.465939E-2</v>
      </c>
      <c r="O1438">
        <v>-0.70587330000000004</v>
      </c>
      <c r="P1438">
        <v>0.57951430000000004</v>
      </c>
      <c r="Q1438">
        <v>0.31634099999999998</v>
      </c>
      <c r="R1438">
        <v>-0.75106030000000001</v>
      </c>
      <c r="S1438">
        <v>1.575912</v>
      </c>
      <c r="T1438">
        <v>-0.66228469999999995</v>
      </c>
      <c r="U1438">
        <v>-3.0625610000000001</v>
      </c>
      <c r="V1438">
        <v>0.12938740000000001</v>
      </c>
      <c r="W1438">
        <v>0.32758579999999998</v>
      </c>
      <c r="X1438">
        <v>0.93592010000000003</v>
      </c>
      <c r="Y1438">
        <v>0.30912440000000002</v>
      </c>
      <c r="Z1438">
        <v>0.1007209</v>
      </c>
      <c r="AA1438">
        <v>0.94567299999999999</v>
      </c>
      <c r="AB1438">
        <v>27</v>
      </c>
      <c r="AC1438">
        <v>2.5254000000000101</v>
      </c>
      <c r="AD1438">
        <v>-1.1026320594850001</v>
      </c>
      <c r="AE1438">
        <v>-4.9931000000000196</v>
      </c>
      <c r="AF1438">
        <v>1.68806942639498</v>
      </c>
      <c r="AG1438">
        <v>-1.1026320594850001</v>
      </c>
      <c r="AH1438">
        <v>5.1148962552162702</v>
      </c>
      <c r="AI1438">
        <v>101.569300274583</v>
      </c>
      <c r="AJ1438">
        <v>71.735557826247202</v>
      </c>
      <c r="AK1438">
        <v>5.4979577616201301</v>
      </c>
      <c r="AL1438">
        <v>70.877691176416704</v>
      </c>
      <c r="AM1438">
        <v>82.128966772442297</v>
      </c>
      <c r="AN1438">
        <v>0.99999999461220501</v>
      </c>
    </row>
    <row r="1439" spans="1:40" x14ac:dyDescent="0.25">
      <c r="A1439" t="str">
        <f>"20190304164357096"</f>
        <v>20190304164357096</v>
      </c>
      <c r="B1439" t="str">
        <f>"1551689037090890"</f>
        <v>1551689037090890</v>
      </c>
      <c r="C1439" t="s">
        <v>40</v>
      </c>
      <c r="D1439">
        <v>5.7920939999999996</v>
      </c>
      <c r="E1439">
        <v>0.59091130000000003</v>
      </c>
      <c r="F1439" t="s">
        <v>44</v>
      </c>
      <c r="G1439">
        <v>-195.2792</v>
      </c>
      <c r="H1439" s="1">
        <v>-3.986051E-6</v>
      </c>
      <c r="I1439">
        <v>354.3168</v>
      </c>
      <c r="J1439">
        <v>-197.7773</v>
      </c>
      <c r="K1439">
        <v>1.1026339999999999</v>
      </c>
      <c r="L1439">
        <v>359.32850000000002</v>
      </c>
      <c r="M1439">
        <v>0.70426860000000002</v>
      </c>
      <c r="N1439">
        <v>-1.4620569999999999E-2</v>
      </c>
      <c r="O1439">
        <v>-0.70978330000000001</v>
      </c>
      <c r="P1439">
        <v>0.57524229999999998</v>
      </c>
      <c r="Q1439">
        <v>0.31651089999999998</v>
      </c>
      <c r="R1439">
        <v>-0.754266199999999</v>
      </c>
      <c r="S1439">
        <v>1.5568390000000001</v>
      </c>
      <c r="T1439">
        <v>-0.66283510000000001</v>
      </c>
      <c r="U1439">
        <v>-3.072235</v>
      </c>
      <c r="V1439">
        <v>0.12946750000000001</v>
      </c>
      <c r="W1439">
        <v>0.32771820000000002</v>
      </c>
      <c r="X1439">
        <v>0.93586270000000005</v>
      </c>
      <c r="Y1439">
        <v>0.30976759999999998</v>
      </c>
      <c r="Z1439">
        <v>0.1016027</v>
      </c>
      <c r="AA1439">
        <v>0.94536819999999999</v>
      </c>
      <c r="AB1439">
        <v>27</v>
      </c>
      <c r="AC1439">
        <v>2.4980999999999902</v>
      </c>
      <c r="AD1439">
        <v>-1.1026379860510001</v>
      </c>
      <c r="AE1439">
        <v>-5.01170000000001</v>
      </c>
      <c r="AF1439">
        <v>1.69109302127581</v>
      </c>
      <c r="AG1439">
        <v>-1.1026379860510001</v>
      </c>
      <c r="AH1439">
        <v>5.1186591128695502</v>
      </c>
      <c r="AI1439">
        <v>101.559919036962</v>
      </c>
      <c r="AJ1439">
        <v>71.7175746950508</v>
      </c>
      <c r="AK1439">
        <v>5.5023883222336201</v>
      </c>
      <c r="AL1439">
        <v>70.869662550380298</v>
      </c>
      <c r="AM1439">
        <v>82.123678180769502</v>
      </c>
      <c r="AN1439">
        <v>1.0000000227093799</v>
      </c>
    </row>
    <row r="1440" spans="1:40" x14ac:dyDescent="0.25">
      <c r="A1440" t="str">
        <f>"20190304164357107"</f>
        <v>20190304164357107</v>
      </c>
      <c r="B1440" t="str">
        <f>"1551689037101627"</f>
        <v>1551689037101627</v>
      </c>
      <c r="C1440" t="s">
        <v>40</v>
      </c>
      <c r="D1440">
        <v>5.7877850000000004</v>
      </c>
      <c r="E1440">
        <v>0.59087979999999996</v>
      </c>
      <c r="F1440" t="s">
        <v>44</v>
      </c>
      <c r="G1440">
        <v>-195.21360000000001</v>
      </c>
      <c r="H1440" s="1">
        <v>-3.9087980000000001E-6</v>
      </c>
      <c r="I1440">
        <v>354.19220000000001</v>
      </c>
      <c r="J1440">
        <v>-197.6849</v>
      </c>
      <c r="K1440">
        <v>1.102641</v>
      </c>
      <c r="L1440">
        <v>359.22710000000001</v>
      </c>
      <c r="M1440">
        <v>0.70025349999999997</v>
      </c>
      <c r="N1440">
        <v>-1.4583479999999999E-2</v>
      </c>
      <c r="O1440">
        <v>-0.71374519999999997</v>
      </c>
      <c r="P1440">
        <v>0.57092880000000001</v>
      </c>
      <c r="Q1440">
        <v>0.31654779999999999</v>
      </c>
      <c r="R1440">
        <v>-0.75752089999999905</v>
      </c>
      <c r="S1440">
        <v>1.538284</v>
      </c>
      <c r="T1440">
        <v>-0.66159389999999996</v>
      </c>
      <c r="U1440">
        <v>-3.0818180000000002</v>
      </c>
      <c r="V1440">
        <v>0.12951789999999999</v>
      </c>
      <c r="W1440">
        <v>0.32771869999999997</v>
      </c>
      <c r="X1440">
        <v>0.93585560000000001</v>
      </c>
      <c r="Y1440">
        <v>0.31015740000000003</v>
      </c>
      <c r="Z1440">
        <v>0.10220650000000001</v>
      </c>
      <c r="AA1440">
        <v>0.94517519999999999</v>
      </c>
      <c r="AB1440">
        <v>27</v>
      </c>
      <c r="AC1440">
        <v>2.4712999999999798</v>
      </c>
      <c r="AD1440">
        <v>-1.1026449087979999</v>
      </c>
      <c r="AE1440">
        <v>-5.0348999999999897</v>
      </c>
      <c r="AF1440">
        <v>1.69644806891985</v>
      </c>
      <c r="AG1440">
        <v>-1.1026449087979999</v>
      </c>
      <c r="AH1440">
        <v>5.1265971853196204</v>
      </c>
      <c r="AI1440">
        <v>101.54078642218001</v>
      </c>
      <c r="AJ1440">
        <v>71.6900456200338</v>
      </c>
      <c r="AK1440">
        <v>5.5114209189615604</v>
      </c>
      <c r="AL1440">
        <v>70.869633136038601</v>
      </c>
      <c r="AM1440">
        <v>82.120591509543502</v>
      </c>
      <c r="AN1440">
        <v>1.00000006840072</v>
      </c>
    </row>
    <row r="1441" spans="1:40" x14ac:dyDescent="0.25">
      <c r="A1441" t="str">
        <f>"20190304164357120"</f>
        <v>20190304164357120</v>
      </c>
      <c r="B1441" t="str">
        <f>"1551689037111386"</f>
        <v>1551689037111386</v>
      </c>
      <c r="C1441" t="s">
        <v>40</v>
      </c>
      <c r="D1441">
        <v>5.7796370000000001</v>
      </c>
      <c r="E1441">
        <v>0.59079359999999903</v>
      </c>
      <c r="F1441" t="s">
        <v>44</v>
      </c>
      <c r="G1441">
        <v>-195.14830000000001</v>
      </c>
      <c r="H1441" s="1">
        <v>-3.8292499999999998E-6</v>
      </c>
      <c r="I1441">
        <v>354.06290000000001</v>
      </c>
      <c r="J1441">
        <v>-197.59030000000001</v>
      </c>
      <c r="K1441">
        <v>1.1026419999999999</v>
      </c>
      <c r="L1441">
        <v>359.1223</v>
      </c>
      <c r="M1441">
        <v>0.69609460000000001</v>
      </c>
      <c r="N1441">
        <v>-1.4547579999999999E-2</v>
      </c>
      <c r="O1441">
        <v>-0.71780290000000002</v>
      </c>
      <c r="P1441">
        <v>0.56623950000000001</v>
      </c>
      <c r="Q1441">
        <v>0.31713619999999998</v>
      </c>
      <c r="R1441">
        <v>-0.76078769999999996</v>
      </c>
      <c r="S1441">
        <v>1.5185550000000001</v>
      </c>
      <c r="T1441">
        <v>-0.6601148</v>
      </c>
      <c r="U1441">
        <v>-3.0916139999999999</v>
      </c>
      <c r="V1441">
        <v>0.12970470000000001</v>
      </c>
      <c r="W1441">
        <v>0.32826549999999999</v>
      </c>
      <c r="X1441">
        <v>0.93563799999999997</v>
      </c>
      <c r="Y1441">
        <v>0.31069649999999999</v>
      </c>
      <c r="Z1441">
        <v>0.1027827</v>
      </c>
      <c r="AA1441">
        <v>0.94493570000000005</v>
      </c>
      <c r="AB1441">
        <v>27</v>
      </c>
      <c r="AC1441">
        <v>2.4420000000000002</v>
      </c>
      <c r="AD1441">
        <v>-1.1026458292500001</v>
      </c>
      <c r="AE1441">
        <v>-5.0593999999999797</v>
      </c>
      <c r="AF1441">
        <v>1.70350859038226</v>
      </c>
      <c r="AG1441">
        <v>-1.1026458292500001</v>
      </c>
      <c r="AH1441">
        <v>5.1342889376152003</v>
      </c>
      <c r="AI1441">
        <v>101.52102466925</v>
      </c>
      <c r="AJ1441">
        <v>71.644643039095897</v>
      </c>
      <c r="AK1441">
        <v>5.5207510573459402</v>
      </c>
      <c r="AL1441">
        <v>70.836467976391503</v>
      </c>
      <c r="AM1441">
        <v>82.107558317851499</v>
      </c>
      <c r="AN1441">
        <v>1.0000000073681601</v>
      </c>
    </row>
    <row r="1442" spans="1:40" x14ac:dyDescent="0.25">
      <c r="A1442" t="str">
        <f>"20190304164357130"</f>
        <v>20190304164357130</v>
      </c>
      <c r="B1442" t="str">
        <f>"1551689037121147"</f>
        <v>1551689037121147</v>
      </c>
      <c r="C1442" t="s">
        <v>40</v>
      </c>
      <c r="D1442">
        <v>5.8119709999999998</v>
      </c>
      <c r="E1442">
        <v>0.59071280000000004</v>
      </c>
      <c r="F1442" t="s">
        <v>44</v>
      </c>
      <c r="G1442">
        <v>-195.07640000000001</v>
      </c>
      <c r="H1442" s="1">
        <v>-3.7407480000000001E-6</v>
      </c>
      <c r="I1442">
        <v>353.9187</v>
      </c>
      <c r="J1442">
        <v>-197.49850000000001</v>
      </c>
      <c r="K1442">
        <v>1.102638</v>
      </c>
      <c r="L1442">
        <v>359.01940000000002</v>
      </c>
      <c r="M1442">
        <v>0.69199790000000005</v>
      </c>
      <c r="N1442">
        <v>-1.4514559999999999E-2</v>
      </c>
      <c r="O1442">
        <v>-0.72175349999999905</v>
      </c>
      <c r="P1442">
        <v>0.56139110000000003</v>
      </c>
      <c r="Q1442">
        <v>0.31752750000000002</v>
      </c>
      <c r="R1442">
        <v>-0.76420969999999999</v>
      </c>
      <c r="S1442">
        <v>1.4986109999999999</v>
      </c>
      <c r="T1442">
        <v>-0.65730980000000006</v>
      </c>
      <c r="U1442">
        <v>-3.1019589999999999</v>
      </c>
      <c r="V1442">
        <v>0.1302316</v>
      </c>
      <c r="W1442">
        <v>0.32861050000000003</v>
      </c>
      <c r="X1442">
        <v>0.93544369999999999</v>
      </c>
      <c r="Y1442">
        <v>0.31145020000000001</v>
      </c>
      <c r="Z1442">
        <v>0.10307280000000001</v>
      </c>
      <c r="AA1442">
        <v>0.94465589999999999</v>
      </c>
      <c r="AB1442">
        <v>27</v>
      </c>
      <c r="AC1442">
        <v>2.4220999999999999</v>
      </c>
      <c r="AD1442">
        <v>-1.102641740748</v>
      </c>
      <c r="AE1442">
        <v>-5.1007000000000096</v>
      </c>
      <c r="AF1442">
        <v>1.7162564655945101</v>
      </c>
      <c r="AG1442">
        <v>-1.102641740748</v>
      </c>
      <c r="AH1442">
        <v>5.1612860522850799</v>
      </c>
      <c r="AI1442">
        <v>101.4598680623</v>
      </c>
      <c r="AJ1442">
        <v>71.606745748481003</v>
      </c>
      <c r="AK1442">
        <v>5.5497953816016699</v>
      </c>
      <c r="AL1442">
        <v>70.815540275803201</v>
      </c>
      <c r="AM1442">
        <v>82.074278289707294</v>
      </c>
      <c r="AN1442">
        <v>1.0000000231092401</v>
      </c>
    </row>
    <row r="1443" spans="1:40" x14ac:dyDescent="0.25">
      <c r="A1443" t="str">
        <f>"20190304164357140"</f>
        <v>20190304164357140</v>
      </c>
      <c r="B1443" t="str">
        <f>"1551689037130907"</f>
        <v>1551689037130907</v>
      </c>
      <c r="C1443" t="s">
        <v>40</v>
      </c>
      <c r="D1443">
        <v>5.8203399999999998</v>
      </c>
      <c r="E1443">
        <v>0.59057299999999902</v>
      </c>
      <c r="F1443" t="s">
        <v>44</v>
      </c>
      <c r="G1443">
        <v>-195.011</v>
      </c>
      <c r="H1443" s="1">
        <v>-3.65883E-6</v>
      </c>
      <c r="I1443">
        <v>353.78469999999999</v>
      </c>
      <c r="J1443">
        <v>-197.41929999999999</v>
      </c>
      <c r="K1443">
        <v>1.1026229999999999</v>
      </c>
      <c r="L1443">
        <v>358.92950000000002</v>
      </c>
      <c r="M1443">
        <v>0.68840230000000002</v>
      </c>
      <c r="N1443">
        <v>-1.448719E-2</v>
      </c>
      <c r="O1443">
        <v>-0.72518450000000001</v>
      </c>
      <c r="P1443">
        <v>0.55668289999999998</v>
      </c>
      <c r="Q1443">
        <v>0.31821690000000002</v>
      </c>
      <c r="R1443">
        <v>-0.76736059999999995</v>
      </c>
      <c r="S1443">
        <v>1.478653</v>
      </c>
      <c r="T1443">
        <v>-0.65545540000000002</v>
      </c>
      <c r="U1443">
        <v>-3.1117249999999999</v>
      </c>
      <c r="V1443">
        <v>0.13116429999999901</v>
      </c>
      <c r="W1443">
        <v>0.32924680000000001</v>
      </c>
      <c r="X1443">
        <v>0.93508950000000002</v>
      </c>
      <c r="Y1443">
        <v>0.31282019999999999</v>
      </c>
      <c r="Z1443">
        <v>0.1033762</v>
      </c>
      <c r="AA1443">
        <v>0.94416990000000001</v>
      </c>
      <c r="AB1443">
        <v>27</v>
      </c>
      <c r="AC1443">
        <v>2.4082999999999899</v>
      </c>
      <c r="AD1443">
        <v>-1.10262665882999</v>
      </c>
      <c r="AE1443">
        <v>-5.1448000000000302</v>
      </c>
      <c r="AF1443">
        <v>1.73022922422551</v>
      </c>
      <c r="AG1443">
        <v>-1.10262665882999</v>
      </c>
      <c r="AH1443">
        <v>5.1936923045536103</v>
      </c>
      <c r="AI1443">
        <v>101.388041066799</v>
      </c>
      <c r="AJ1443">
        <v>71.574995702490796</v>
      </c>
      <c r="AK1443">
        <v>5.5842563042455398</v>
      </c>
      <c r="AL1443">
        <v>70.776933317184799</v>
      </c>
      <c r="AM1443">
        <v>82.015260002428903</v>
      </c>
      <c r="AN1443">
        <v>0.99999995095748795</v>
      </c>
    </row>
    <row r="1444" spans="1:40" x14ac:dyDescent="0.25">
      <c r="A1444" t="str">
        <f>"20190304164357153"</f>
        <v>20190304164357153</v>
      </c>
      <c r="B1444" t="str">
        <f>"1551689037141642"</f>
        <v>1551689037141642</v>
      </c>
      <c r="C1444" t="s">
        <v>40</v>
      </c>
      <c r="D1444">
        <v>5.8206020000000001</v>
      </c>
      <c r="E1444">
        <v>0.59041769999999905</v>
      </c>
      <c r="F1444" t="s">
        <v>44</v>
      </c>
      <c r="G1444">
        <v>-194.95490000000001</v>
      </c>
      <c r="H1444" s="1">
        <v>-3.5851740000000001E-6</v>
      </c>
      <c r="I1444">
        <v>353.66309999999999</v>
      </c>
      <c r="J1444">
        <v>-197.31880000000001</v>
      </c>
      <c r="K1444">
        <v>1.102608</v>
      </c>
      <c r="L1444">
        <v>358.81450000000001</v>
      </c>
      <c r="M1444">
        <v>0.68378760000000005</v>
      </c>
      <c r="N1444">
        <v>-1.44528E-2</v>
      </c>
      <c r="O1444">
        <v>-0.72953819999999903</v>
      </c>
      <c r="P1444">
        <v>0.55078199999999999</v>
      </c>
      <c r="Q1444">
        <v>0.31908969999999998</v>
      </c>
      <c r="R1444">
        <v>-0.77124709999999996</v>
      </c>
      <c r="S1444">
        <v>1.4604490000000001</v>
      </c>
      <c r="T1444">
        <v>-0.65344539999999995</v>
      </c>
      <c r="U1444">
        <v>-3.1210019999999998</v>
      </c>
      <c r="V1444">
        <v>0.13219449999999999</v>
      </c>
      <c r="W1444">
        <v>0.33005489999999998</v>
      </c>
      <c r="X1444">
        <v>0.93465949999999998</v>
      </c>
      <c r="Y1444">
        <v>0.3124133</v>
      </c>
      <c r="Z1444">
        <v>0.1039648</v>
      </c>
      <c r="AA1444">
        <v>0.94423999999999997</v>
      </c>
      <c r="AB1444">
        <v>27</v>
      </c>
      <c r="AC1444">
        <v>2.3639000000000001</v>
      </c>
      <c r="AD1444">
        <v>-1.1026115851739999</v>
      </c>
      <c r="AE1444">
        <v>-5.1514000000000202</v>
      </c>
      <c r="AF1444">
        <v>1.7325289020709</v>
      </c>
      <c r="AG1444">
        <v>-1.1026115851739999</v>
      </c>
      <c r="AH1444">
        <v>5.1791083275577803</v>
      </c>
      <c r="AI1444">
        <v>101.414500533565</v>
      </c>
      <c r="AJ1444">
        <v>71.503745927351602</v>
      </c>
      <c r="AK1444">
        <v>5.5714066242601001</v>
      </c>
      <c r="AL1444">
        <v>70.727892307215896</v>
      </c>
      <c r="AM1444">
        <v>81.949710514452804</v>
      </c>
      <c r="AN1444">
        <v>1.0000000018922499</v>
      </c>
    </row>
    <row r="1445" spans="1:40" x14ac:dyDescent="0.25">
      <c r="A1445" t="str">
        <f>"20190304164357167"</f>
        <v>20190304164357167</v>
      </c>
      <c r="B1445" t="str">
        <f>"1551689037161162"</f>
        <v>1551689037161162</v>
      </c>
      <c r="C1445" t="s">
        <v>40</v>
      </c>
      <c r="D1445">
        <v>5.8237680000000003</v>
      </c>
      <c r="E1445">
        <v>0.59007810000000005</v>
      </c>
      <c r="F1445" t="s">
        <v>44</v>
      </c>
      <c r="G1445">
        <v>-194.8827</v>
      </c>
      <c r="H1445" s="1">
        <v>-3.4932050000000002E-6</v>
      </c>
      <c r="I1445">
        <v>353.51209999999998</v>
      </c>
      <c r="J1445">
        <v>-197.21789999999999</v>
      </c>
      <c r="K1445">
        <v>1.102579</v>
      </c>
      <c r="L1445">
        <v>358.6968</v>
      </c>
      <c r="M1445">
        <v>0.67902769999999901</v>
      </c>
      <c r="N1445">
        <v>-1.442123E-2</v>
      </c>
      <c r="O1445">
        <v>-0.73397119999999905</v>
      </c>
      <c r="P1445">
        <v>0.5446415</v>
      </c>
      <c r="Q1445">
        <v>0.32021329999999998</v>
      </c>
      <c r="R1445">
        <v>-0.77513189999999998</v>
      </c>
      <c r="S1445">
        <v>1.438812</v>
      </c>
      <c r="T1445">
        <v>-0.65123769999999903</v>
      </c>
      <c r="U1445">
        <v>-3.1317750000000002</v>
      </c>
      <c r="V1445">
        <v>0.1332759</v>
      </c>
      <c r="W1445">
        <v>0.33110889999999998</v>
      </c>
      <c r="X1445">
        <v>0.93413299999999999</v>
      </c>
      <c r="Y1445">
        <v>0.31286730000000001</v>
      </c>
      <c r="Z1445">
        <v>0.1044636</v>
      </c>
      <c r="AA1445">
        <v>0.94403459999999995</v>
      </c>
      <c r="AB1445">
        <v>27</v>
      </c>
      <c r="AC1445">
        <v>2.33519999999998</v>
      </c>
      <c r="AD1445">
        <v>-1.1025824932049999</v>
      </c>
      <c r="AE1445">
        <v>-5.1847000000000198</v>
      </c>
      <c r="AF1445">
        <v>1.7413042724774399</v>
      </c>
      <c r="AG1445">
        <v>-1.1025824932049999</v>
      </c>
      <c r="AH1445">
        <v>5.1962786710663202</v>
      </c>
      <c r="AI1445">
        <v>101.375529881704</v>
      </c>
      <c r="AJ1445">
        <v>71.473689042139995</v>
      </c>
      <c r="AK1445">
        <v>5.5900930896586303</v>
      </c>
      <c r="AL1445">
        <v>70.663905285820505</v>
      </c>
      <c r="AM1445">
        <v>81.880216920789806</v>
      </c>
      <c r="AN1445">
        <v>1.0000000154345099</v>
      </c>
    </row>
    <row r="1446" spans="1:40" x14ac:dyDescent="0.25">
      <c r="A1446" t="str">
        <f>"20190304164357180"</f>
        <v>20190304164357180</v>
      </c>
      <c r="B1446" t="str">
        <f>"1551689037170922"</f>
        <v>1551689037170922</v>
      </c>
      <c r="C1446" t="s">
        <v>40</v>
      </c>
      <c r="D1446">
        <v>5.836519</v>
      </c>
      <c r="E1446">
        <v>0.58990759999999998</v>
      </c>
      <c r="F1446" t="s">
        <v>44</v>
      </c>
      <c r="G1446">
        <v>-194.81100000000001</v>
      </c>
      <c r="H1446" s="1">
        <v>-3.4002200000000002E-6</v>
      </c>
      <c r="I1446">
        <v>353.35899999999998</v>
      </c>
      <c r="J1446">
        <v>-197.10749999999999</v>
      </c>
      <c r="K1446">
        <v>1.1025339999999999</v>
      </c>
      <c r="L1446">
        <v>358.5668</v>
      </c>
      <c r="M1446">
        <v>0.67372809999999905</v>
      </c>
      <c r="N1446">
        <v>-1.4387759999999999E-2</v>
      </c>
      <c r="O1446">
        <v>-0.73883940000000004</v>
      </c>
      <c r="P1446">
        <v>0.53829050000000001</v>
      </c>
      <c r="Q1446">
        <v>0.32143060000000001</v>
      </c>
      <c r="R1446">
        <v>-0.77905449999999998</v>
      </c>
      <c r="S1446">
        <v>1.4170990000000001</v>
      </c>
      <c r="T1446">
        <v>-0.64916229999999997</v>
      </c>
      <c r="U1446">
        <v>-3.1427309999999999</v>
      </c>
      <c r="V1446">
        <v>0.1339128</v>
      </c>
      <c r="W1446">
        <v>0.33226090000000003</v>
      </c>
      <c r="X1446">
        <v>0.93363269999999998</v>
      </c>
      <c r="Y1446">
        <v>0.31270979999999998</v>
      </c>
      <c r="Z1446">
        <v>0.1051073</v>
      </c>
      <c r="AA1446">
        <v>0.94401539999999995</v>
      </c>
      <c r="AB1446">
        <v>27</v>
      </c>
      <c r="AC1446">
        <v>2.2965</v>
      </c>
      <c r="AD1446">
        <v>-1.1025374002199999</v>
      </c>
      <c r="AE1446">
        <v>-5.2077999999999598</v>
      </c>
      <c r="AF1446">
        <v>1.74654672271582</v>
      </c>
      <c r="AG1446">
        <v>-1.1025374002199999</v>
      </c>
      <c r="AH1446">
        <v>5.20036458368262</v>
      </c>
      <c r="AI1446">
        <v>101.363886101308</v>
      </c>
      <c r="AJ1446">
        <v>71.435332015199407</v>
      </c>
      <c r="AK1446">
        <v>5.5955165960556101</v>
      </c>
      <c r="AL1446">
        <v>70.593939120938003</v>
      </c>
      <c r="AM1446">
        <v>81.837622422745895</v>
      </c>
      <c r="AN1446">
        <v>0.99999998109096899</v>
      </c>
    </row>
    <row r="1447" spans="1:40" x14ac:dyDescent="0.25">
      <c r="A1447" t="str">
        <f>"20190304164357199"</f>
        <v>20190304164357199</v>
      </c>
      <c r="B1447" t="str">
        <f>"1551689037191419"</f>
        <v>1551689037191419</v>
      </c>
      <c r="C1447" t="s">
        <v>40</v>
      </c>
      <c r="D1447">
        <v>5.8080499999999997</v>
      </c>
      <c r="E1447">
        <v>0.58933829999999998</v>
      </c>
      <c r="F1447" t="s">
        <v>44</v>
      </c>
      <c r="G1447">
        <v>-194.7277</v>
      </c>
      <c r="H1447" s="1">
        <v>-3.2894549999999998E-6</v>
      </c>
      <c r="I1447">
        <v>353.17559999999997</v>
      </c>
      <c r="J1447">
        <v>-196.96780000000001</v>
      </c>
      <c r="K1447">
        <v>1.1024609999999999</v>
      </c>
      <c r="L1447">
        <v>358.39920000000001</v>
      </c>
      <c r="M1447">
        <v>0.66682659999999905</v>
      </c>
      <c r="N1447">
        <v>-1.4348079999999999E-2</v>
      </c>
      <c r="O1447">
        <v>-0.74507489999999998</v>
      </c>
      <c r="P1447">
        <v>0.52954380000000001</v>
      </c>
      <c r="Q1447">
        <v>0.32430419999999999</v>
      </c>
      <c r="R1447">
        <v>-0.78384350000000003</v>
      </c>
      <c r="S1447">
        <v>1.3926240000000001</v>
      </c>
      <c r="T1447">
        <v>-0.64516890000000005</v>
      </c>
      <c r="U1447">
        <v>-3.1547550000000002</v>
      </c>
      <c r="V1447">
        <v>0.13500870000000001</v>
      </c>
      <c r="W1447">
        <v>0.33503569999999999</v>
      </c>
      <c r="X1447">
        <v>0.93248249999999999</v>
      </c>
      <c r="Y1447">
        <v>0.31136150000000001</v>
      </c>
      <c r="Z1447">
        <v>0.10577490000000001</v>
      </c>
      <c r="AA1447">
        <v>0.94438639999999996</v>
      </c>
      <c r="AB1447">
        <v>27</v>
      </c>
      <c r="AC1447">
        <v>2.2401000000000102</v>
      </c>
      <c r="AD1447">
        <v>-1.1024642894550001</v>
      </c>
      <c r="AE1447">
        <v>-5.2236000000000304</v>
      </c>
      <c r="AF1447">
        <v>1.74858971509676</v>
      </c>
      <c r="AG1447">
        <v>-1.1024642894550001</v>
      </c>
      <c r="AH1447">
        <v>5.1909769166098902</v>
      </c>
      <c r="AI1447">
        <v>101.379813420506</v>
      </c>
      <c r="AJ1447">
        <v>71.383811141656807</v>
      </c>
      <c r="AK1447">
        <v>5.5874175474938701</v>
      </c>
      <c r="AL1447">
        <v>70.425289942625497</v>
      </c>
      <c r="AM1447">
        <v>81.761724934879695</v>
      </c>
      <c r="AN1447">
        <v>0.99999994107821299</v>
      </c>
    </row>
    <row r="1448" spans="1:40" x14ac:dyDescent="0.25">
      <c r="A1448" t="str">
        <f>"20190304164357219"</f>
        <v>20190304164357219</v>
      </c>
      <c r="B1448" t="str">
        <f>"1551689037210938"</f>
        <v>1551689037210938</v>
      </c>
      <c r="C1448" t="s">
        <v>40</v>
      </c>
      <c r="D1448">
        <v>5.8207170000000001</v>
      </c>
      <c r="E1448">
        <v>0.58889720000000001</v>
      </c>
      <c r="F1448" t="s">
        <v>44</v>
      </c>
      <c r="G1448">
        <v>-194.61600000000001</v>
      </c>
      <c r="H1448" s="1">
        <v>-3.1382560000000001E-6</v>
      </c>
      <c r="I1448">
        <v>352.92430000000002</v>
      </c>
      <c r="J1448">
        <v>-196.8031</v>
      </c>
      <c r="K1448">
        <v>1.1023499999999999</v>
      </c>
      <c r="L1448">
        <v>358.19699999999898</v>
      </c>
      <c r="M1448">
        <v>0.65838719999999995</v>
      </c>
      <c r="N1448">
        <v>-1.4307800000000001E-2</v>
      </c>
      <c r="O1448">
        <v>-0.75254339999999997</v>
      </c>
      <c r="P1448">
        <v>0.51939489999999999</v>
      </c>
      <c r="Q1448">
        <v>0.32663199999999998</v>
      </c>
      <c r="R1448">
        <v>-0.78964569999999901</v>
      </c>
      <c r="S1448">
        <v>1.362274</v>
      </c>
      <c r="T1448">
        <v>-0.63858819999999905</v>
      </c>
      <c r="U1448">
        <v>-3.1712340000000001</v>
      </c>
      <c r="V1448">
        <v>0.1360324</v>
      </c>
      <c r="W1448">
        <v>0.3372579</v>
      </c>
      <c r="X1448">
        <v>0.93153229999999998</v>
      </c>
      <c r="Y1448">
        <v>0.31007709999999999</v>
      </c>
      <c r="Z1448">
        <v>0.1061399</v>
      </c>
      <c r="AA1448">
        <v>0.94476800000000005</v>
      </c>
      <c r="AB1448">
        <v>27</v>
      </c>
      <c r="AC1448">
        <v>2.1871000000000098</v>
      </c>
      <c r="AD1448">
        <v>-1.1023531382559999</v>
      </c>
      <c r="AE1448">
        <v>-5.2726999999999196</v>
      </c>
      <c r="AF1448">
        <v>1.76013672049863</v>
      </c>
      <c r="AG1448">
        <v>-1.1023531382559999</v>
      </c>
      <c r="AH1448">
        <v>5.21400232675055</v>
      </c>
      <c r="AI1448">
        <v>101.327319953757</v>
      </c>
      <c r="AJ1448">
        <v>71.346407413777499</v>
      </c>
      <c r="AK1448">
        <v>5.6124044739871204</v>
      </c>
      <c r="AL1448">
        <v>70.290103036790697</v>
      </c>
      <c r="AM1448">
        <v>81.691777365627104</v>
      </c>
      <c r="AN1448">
        <v>1.0000000654527199</v>
      </c>
    </row>
    <row r="1449" spans="1:40" x14ac:dyDescent="0.25">
      <c r="A1449" t="str">
        <f>"20190304164357232"</f>
        <v>20190304164357232</v>
      </c>
      <c r="B1449" t="str">
        <f>"1551689037220698"</f>
        <v>1551689037220698</v>
      </c>
      <c r="C1449" t="s">
        <v>40</v>
      </c>
      <c r="D1449">
        <v>5.830095</v>
      </c>
      <c r="E1449">
        <v>0.58838259999999998</v>
      </c>
      <c r="F1449" t="s">
        <v>44</v>
      </c>
      <c r="G1449">
        <v>-194.4941</v>
      </c>
      <c r="H1449" s="1">
        <v>-2.9693230000000001E-6</v>
      </c>
      <c r="I1449">
        <v>352.64229999999998</v>
      </c>
      <c r="J1449">
        <v>-196.7047</v>
      </c>
      <c r="K1449">
        <v>1.1022780000000001</v>
      </c>
      <c r="L1449">
        <v>358.07420000000002</v>
      </c>
      <c r="M1449">
        <v>0.65320249999999902</v>
      </c>
      <c r="N1449">
        <v>-1.428661E-2</v>
      </c>
      <c r="O1449">
        <v>-0.75704850000000001</v>
      </c>
      <c r="P1449">
        <v>0.51348479999999996</v>
      </c>
      <c r="Q1449">
        <v>0.32749630000000002</v>
      </c>
      <c r="R1449">
        <v>-0.79314569999999995</v>
      </c>
      <c r="S1449">
        <v>1.325607</v>
      </c>
      <c r="T1449">
        <v>-0.63286409999999904</v>
      </c>
      <c r="U1449">
        <v>-3.188965</v>
      </c>
      <c r="V1449">
        <v>0.13643469999999999</v>
      </c>
      <c r="W1449">
        <v>0.33806659999999999</v>
      </c>
      <c r="X1449">
        <v>0.93118020000000001</v>
      </c>
      <c r="Y1449">
        <v>0.31462089999999998</v>
      </c>
      <c r="Z1449">
        <v>0.10564809999999999</v>
      </c>
      <c r="AA1449">
        <v>0.94331980000000004</v>
      </c>
      <c r="AB1449">
        <v>27</v>
      </c>
      <c r="AC1449">
        <v>2.2105999999999901</v>
      </c>
      <c r="AD1449">
        <v>-1.102280969323</v>
      </c>
      <c r="AE1449">
        <v>-5.4319000000000397</v>
      </c>
      <c r="AF1449">
        <v>1.8108173292066001</v>
      </c>
      <c r="AG1449">
        <v>-1.102280969323</v>
      </c>
      <c r="AH1449">
        <v>5.3671360494890896</v>
      </c>
      <c r="AI1449">
        <v>101.01205532818599</v>
      </c>
      <c r="AJ1449">
        <v>71.356126216417294</v>
      </c>
      <c r="AK1449">
        <v>5.7706353297372699</v>
      </c>
      <c r="AL1449">
        <v>70.240875591514694</v>
      </c>
      <c r="AM1449">
        <v>81.664444817163997</v>
      </c>
      <c r="AN1449">
        <v>1.0000000091358401</v>
      </c>
    </row>
    <row r="1450" spans="1:40" x14ac:dyDescent="0.25">
      <c r="A1450" t="str">
        <f>"20190304164357245"</f>
        <v>20190304164357245</v>
      </c>
      <c r="B1450" t="str">
        <f>"1551689037241194"</f>
        <v>1551689037241194</v>
      </c>
      <c r="C1450" t="s">
        <v>40</v>
      </c>
      <c r="D1450">
        <v>5.8236030000000003</v>
      </c>
      <c r="E1450">
        <v>0.58792480000000003</v>
      </c>
      <c r="F1450" t="s">
        <v>44</v>
      </c>
      <c r="G1450">
        <v>-194.43629999999999</v>
      </c>
      <c r="H1450" s="1">
        <v>-2.8945380000000002E-6</v>
      </c>
      <c r="I1450">
        <v>352.51920000000001</v>
      </c>
      <c r="J1450">
        <v>-196.61359999999999</v>
      </c>
      <c r="K1450">
        <v>1.1022099999999999</v>
      </c>
      <c r="L1450">
        <v>357.95819999999998</v>
      </c>
      <c r="M1450">
        <v>0.64824099999999996</v>
      </c>
      <c r="N1450">
        <v>-1.4270949999999999E-2</v>
      </c>
      <c r="O1450">
        <v>-0.76130140000000002</v>
      </c>
      <c r="P1450">
        <v>0.50806519999999999</v>
      </c>
      <c r="Q1450">
        <v>0.32830749999999997</v>
      </c>
      <c r="R1450">
        <v>-0.7962941</v>
      </c>
      <c r="S1450">
        <v>1.3062129999999901</v>
      </c>
      <c r="T1450">
        <v>-0.63473239999999997</v>
      </c>
      <c r="U1450">
        <v>-3.1988219999999998</v>
      </c>
      <c r="V1450">
        <v>0.1365586</v>
      </c>
      <c r="W1450">
        <v>0.33883390000000002</v>
      </c>
      <c r="X1450">
        <v>0.93088309999999996</v>
      </c>
      <c r="Y1450">
        <v>0.3143841</v>
      </c>
      <c r="Z1450">
        <v>0.1068211</v>
      </c>
      <c r="AA1450">
        <v>0.94326659999999996</v>
      </c>
      <c r="AB1450">
        <v>27</v>
      </c>
      <c r="AC1450">
        <v>2.1772999999999998</v>
      </c>
      <c r="AD1450">
        <v>-1.1022128945379901</v>
      </c>
      <c r="AE1450">
        <v>-5.4389999999999601</v>
      </c>
      <c r="AF1450">
        <v>1.80452073500516</v>
      </c>
      <c r="AG1450">
        <v>-1.1022128945379901</v>
      </c>
      <c r="AH1450">
        <v>5.36288039911192</v>
      </c>
      <c r="AI1450">
        <v>101.022864671503</v>
      </c>
      <c r="AJ1450">
        <v>71.402763157685897</v>
      </c>
      <c r="AK1450">
        <v>5.7646903232635296</v>
      </c>
      <c r="AL1450">
        <v>70.194155210994396</v>
      </c>
      <c r="AM1450">
        <v>81.654356323861293</v>
      </c>
      <c r="AN1450">
        <v>1.00000000444438</v>
      </c>
    </row>
    <row r="1451" spans="1:40" x14ac:dyDescent="0.25">
      <c r="A1451" t="str">
        <f>"20190304164357262"</f>
        <v>20190304164357262</v>
      </c>
      <c r="B1451" t="str">
        <f>"1551689037250955"</f>
        <v>1551689037250955</v>
      </c>
      <c r="C1451" t="s">
        <v>40</v>
      </c>
      <c r="D1451">
        <v>5.812233</v>
      </c>
      <c r="E1451">
        <v>0.58769839999999995</v>
      </c>
      <c r="F1451" t="s">
        <v>44</v>
      </c>
      <c r="G1451">
        <v>-194.37719999999999</v>
      </c>
      <c r="H1451" s="1">
        <v>-2.8125339999999998E-6</v>
      </c>
      <c r="I1451">
        <v>352.38670000000002</v>
      </c>
      <c r="J1451">
        <v>-196.4796</v>
      </c>
      <c r="K1451">
        <v>1.1021019999999999</v>
      </c>
      <c r="L1451">
        <v>357.78500000000003</v>
      </c>
      <c r="M1451">
        <v>0.64074560000000003</v>
      </c>
      <c r="N1451">
        <v>-1.425176E-2</v>
      </c>
      <c r="O1451">
        <v>-0.767621</v>
      </c>
      <c r="P1451">
        <v>0.50038709999999997</v>
      </c>
      <c r="Q1451">
        <v>0.33019809999999999</v>
      </c>
      <c r="R1451">
        <v>-0.80036390000000002</v>
      </c>
      <c r="S1451">
        <v>1.287552</v>
      </c>
      <c r="T1451">
        <v>-0.63456199999999996</v>
      </c>
      <c r="U1451">
        <v>-3.207611</v>
      </c>
      <c r="V1451">
        <v>0.1360161</v>
      </c>
      <c r="W1451">
        <v>0.34067399999999998</v>
      </c>
      <c r="X1451">
        <v>0.93029079999999997</v>
      </c>
      <c r="Y1451">
        <v>0.31076490000000001</v>
      </c>
      <c r="Z1451">
        <v>0.1082958</v>
      </c>
      <c r="AA1451">
        <v>0.94429719999999995</v>
      </c>
      <c r="AB1451">
        <v>27</v>
      </c>
      <c r="AC1451">
        <v>2.10240000000001</v>
      </c>
      <c r="AD1451">
        <v>-1.1021048125340001</v>
      </c>
      <c r="AE1451">
        <v>-5.3982999999999999</v>
      </c>
      <c r="AF1451">
        <v>1.78082788344881</v>
      </c>
      <c r="AG1451">
        <v>-1.1021048125340001</v>
      </c>
      <c r="AH1451">
        <v>5.2997075114370302</v>
      </c>
      <c r="AI1451">
        <v>101.151427410918</v>
      </c>
      <c r="AJ1451">
        <v>71.426425933052997</v>
      </c>
      <c r="AK1451">
        <v>5.69849828244788</v>
      </c>
      <c r="AL1451">
        <v>70.082058208103106</v>
      </c>
      <c r="AM1451">
        <v>81.681827766584306</v>
      </c>
      <c r="AN1451">
        <v>1.00000006314992</v>
      </c>
    </row>
    <row r="1452" spans="1:40" x14ac:dyDescent="0.25">
      <c r="A1452" t="str">
        <f>"20190304164357274"</f>
        <v>20190304164357274</v>
      </c>
      <c r="B1452" t="str">
        <f>"1551689037271450"</f>
        <v>1551689037271450</v>
      </c>
      <c r="C1452" t="s">
        <v>40</v>
      </c>
      <c r="D1452">
        <v>5.8381049999999997</v>
      </c>
      <c r="E1452">
        <v>0.58725609999999995</v>
      </c>
      <c r="F1452" t="s">
        <v>44</v>
      </c>
      <c r="G1452">
        <v>-194.27379999999999</v>
      </c>
      <c r="H1452" s="1">
        <v>-2.6345770000000002E-6</v>
      </c>
      <c r="I1452">
        <v>352.13240000000002</v>
      </c>
      <c r="J1452">
        <v>-196.39340000000001</v>
      </c>
      <c r="K1452">
        <v>1.102028</v>
      </c>
      <c r="L1452">
        <v>357.67219999999998</v>
      </c>
      <c r="M1452">
        <v>0.63580269999999905</v>
      </c>
      <c r="N1452">
        <v>-1.4241530000000001E-2</v>
      </c>
      <c r="O1452">
        <v>-0.77172030000000003</v>
      </c>
      <c r="P1452">
        <v>0.49529450000000003</v>
      </c>
      <c r="Q1452">
        <v>0.33108120000000002</v>
      </c>
      <c r="R1452">
        <v>-0.80316149999999997</v>
      </c>
      <c r="S1452">
        <v>1.257126</v>
      </c>
      <c r="T1452">
        <v>-0.62811879999999998</v>
      </c>
      <c r="U1452">
        <v>-3.221527</v>
      </c>
      <c r="V1452">
        <v>0.13580349999999999</v>
      </c>
      <c r="W1452">
        <v>0.34152250000000001</v>
      </c>
      <c r="X1452">
        <v>0.93001069999999997</v>
      </c>
      <c r="Y1452">
        <v>0.31373669999999998</v>
      </c>
      <c r="Z1452">
        <v>0.1076777</v>
      </c>
      <c r="AA1452">
        <v>0.94338480000000002</v>
      </c>
      <c r="AB1452">
        <v>27</v>
      </c>
      <c r="AC1452">
        <v>2.1196000000000201</v>
      </c>
      <c r="AD1452">
        <v>-1.1020306345769999</v>
      </c>
      <c r="AE1452">
        <v>-5.5397999999999499</v>
      </c>
      <c r="AF1452">
        <v>1.82371864513196</v>
      </c>
      <c r="AG1452">
        <v>-1.1020306345769999</v>
      </c>
      <c r="AH1452">
        <v>5.4357534740466997</v>
      </c>
      <c r="AI1452">
        <v>100.880021724393</v>
      </c>
      <c r="AJ1452">
        <v>71.453175859462505</v>
      </c>
      <c r="AK1452">
        <v>5.8384790011405396</v>
      </c>
      <c r="AL1452">
        <v>70.030340984631493</v>
      </c>
      <c r="AM1452">
        <v>81.692181491409002</v>
      </c>
      <c r="AN1452">
        <v>1.0000000553664901</v>
      </c>
    </row>
    <row r="1453" spans="1:40" x14ac:dyDescent="0.25">
      <c r="A1453" t="str">
        <f>"20190304164357286"</f>
        <v>20190304164357286</v>
      </c>
      <c r="B1453" t="str">
        <f>"1551689037281210"</f>
        <v>1551689037281210</v>
      </c>
      <c r="C1453" t="s">
        <v>40</v>
      </c>
      <c r="D1453">
        <v>5.8649209999999998</v>
      </c>
      <c r="E1453">
        <v>0.58724949999999998</v>
      </c>
      <c r="F1453" t="s">
        <v>44</v>
      </c>
      <c r="G1453">
        <v>-194.21729999999999</v>
      </c>
      <c r="H1453" s="1">
        <v>-2.545629E-6</v>
      </c>
      <c r="I1453">
        <v>352.00760000000002</v>
      </c>
      <c r="J1453">
        <v>-196.30369999999999</v>
      </c>
      <c r="K1453">
        <v>1.1019410000000001</v>
      </c>
      <c r="L1453">
        <v>357.55180000000001</v>
      </c>
      <c r="M1453">
        <v>0.63044100000000003</v>
      </c>
      <c r="N1453">
        <v>-1.4237690000000001E-2</v>
      </c>
      <c r="O1453">
        <v>-0.77610679999999999</v>
      </c>
      <c r="P1453">
        <v>0.48974960000000001</v>
      </c>
      <c r="Q1453">
        <v>0.33228619999999998</v>
      </c>
      <c r="R1453">
        <v>-0.80605950000000004</v>
      </c>
      <c r="S1453">
        <v>1.2405090000000001</v>
      </c>
      <c r="T1453">
        <v>-0.62822319999999998</v>
      </c>
      <c r="U1453">
        <v>-3.229187</v>
      </c>
      <c r="V1453">
        <v>0.13555819999999999</v>
      </c>
      <c r="W1453">
        <v>0.34269509999999997</v>
      </c>
      <c r="X1453">
        <v>0.92961499999999997</v>
      </c>
      <c r="Y1453">
        <v>0.31217820000000002</v>
      </c>
      <c r="Z1453">
        <v>0.1086496</v>
      </c>
      <c r="AA1453">
        <v>0.94379029999999997</v>
      </c>
      <c r="AB1453">
        <v>27</v>
      </c>
      <c r="AC1453">
        <v>2.08639999999999</v>
      </c>
      <c r="AD1453">
        <v>-1.1019435456290001</v>
      </c>
      <c r="AE1453">
        <v>-5.5441999999999796</v>
      </c>
      <c r="AF1453">
        <v>1.81345955032766</v>
      </c>
      <c r="AG1453">
        <v>-1.1019435456290001</v>
      </c>
      <c r="AH1453">
        <v>5.4308843230133199</v>
      </c>
      <c r="AI1453">
        <v>100.893785228428</v>
      </c>
      <c r="AJ1453">
        <v>71.535006910450605</v>
      </c>
      <c r="AK1453">
        <v>5.83073062732106</v>
      </c>
      <c r="AL1453">
        <v>69.958840609332597</v>
      </c>
      <c r="AM1453">
        <v>81.7034980142937</v>
      </c>
      <c r="AN1453">
        <v>1.0000000026881199</v>
      </c>
    </row>
    <row r="1454" spans="1:40" x14ac:dyDescent="0.25">
      <c r="A1454" t="str">
        <f>"20190304164357298"</f>
        <v>20190304164357298</v>
      </c>
      <c r="B1454" t="str">
        <f>"1551689037290970"</f>
        <v>1551689037290970</v>
      </c>
      <c r="C1454" t="s">
        <v>40</v>
      </c>
      <c r="D1454">
        <v>5.8491910000000003</v>
      </c>
      <c r="E1454">
        <v>0.58721330000000005</v>
      </c>
      <c r="F1454" t="s">
        <v>44</v>
      </c>
      <c r="G1454">
        <v>-194.15100000000001</v>
      </c>
      <c r="H1454" s="1">
        <v>-2.4236500000000001E-6</v>
      </c>
      <c r="I1454">
        <v>351.8313</v>
      </c>
      <c r="J1454">
        <v>-196.2166</v>
      </c>
      <c r="K1454">
        <v>1.1018539999999999</v>
      </c>
      <c r="L1454">
        <v>357.43389999999999</v>
      </c>
      <c r="M1454">
        <v>0.62514440000000004</v>
      </c>
      <c r="N1454">
        <v>-1.423524E-2</v>
      </c>
      <c r="O1454">
        <v>-0.7803795</v>
      </c>
      <c r="P1454">
        <v>0.4842109</v>
      </c>
      <c r="Q1454">
        <v>0.33343970000000001</v>
      </c>
      <c r="R1454">
        <v>-0.80892419999999998</v>
      </c>
      <c r="S1454">
        <v>1.2187190000000001</v>
      </c>
      <c r="T1454">
        <v>-0.62386229999999998</v>
      </c>
      <c r="U1454">
        <v>-3.2386170000000001</v>
      </c>
      <c r="V1454">
        <v>0.135411</v>
      </c>
      <c r="W1454">
        <v>0.34381610000000001</v>
      </c>
      <c r="X1454">
        <v>0.92922249999999995</v>
      </c>
      <c r="Y1454">
        <v>0.31217430000000002</v>
      </c>
      <c r="Z1454">
        <v>0.108653</v>
      </c>
      <c r="AA1454">
        <v>0.94379120000000005</v>
      </c>
      <c r="AB1454">
        <v>27</v>
      </c>
      <c r="AC1454">
        <v>2.0656000000000101</v>
      </c>
      <c r="AD1454">
        <v>-1.1018564236499999</v>
      </c>
      <c r="AE1454">
        <v>-5.60259999999999</v>
      </c>
      <c r="AF1454">
        <v>1.82841550146872</v>
      </c>
      <c r="AG1454">
        <v>-1.1018564236499999</v>
      </c>
      <c r="AH1454">
        <v>5.4775150516493296</v>
      </c>
      <c r="AI1454">
        <v>100.802758258327</v>
      </c>
      <c r="AJ1454">
        <v>71.540792892186104</v>
      </c>
      <c r="AK1454">
        <v>5.87880616838103</v>
      </c>
      <c r="AL1454">
        <v>69.890458233146703</v>
      </c>
      <c r="AM1454">
        <v>81.708929817923007</v>
      </c>
      <c r="AN1454">
        <v>1.00000005202322</v>
      </c>
    </row>
    <row r="1455" spans="1:40" x14ac:dyDescent="0.25">
      <c r="A1455" t="str">
        <f>"20190304164357321"</f>
        <v>20190304164357321</v>
      </c>
      <c r="B1455" t="str">
        <f>"1551689037311466"</f>
        <v>1551689037311466</v>
      </c>
      <c r="C1455" t="s">
        <v>40</v>
      </c>
      <c r="D1455">
        <v>5.8457249999999998</v>
      </c>
      <c r="E1455">
        <v>0.58709140000000004</v>
      </c>
      <c r="F1455" t="s">
        <v>44</v>
      </c>
      <c r="G1455">
        <v>-194.08969999999999</v>
      </c>
      <c r="H1455" s="1">
        <v>-2.310034E-6</v>
      </c>
      <c r="I1455">
        <v>351.6669</v>
      </c>
      <c r="J1455">
        <v>-196.06010000000001</v>
      </c>
      <c r="K1455">
        <v>1.101691</v>
      </c>
      <c r="L1455">
        <v>357.21690000000001</v>
      </c>
      <c r="M1455">
        <v>0.61524000000000001</v>
      </c>
      <c r="N1455">
        <v>-1.4237970000000001E-2</v>
      </c>
      <c r="O1455">
        <v>-0.78821160000000001</v>
      </c>
      <c r="P1455">
        <v>0.47462140000000003</v>
      </c>
      <c r="Q1455">
        <v>0.33524670000000001</v>
      </c>
      <c r="R1455">
        <v>-0.81384559999999995</v>
      </c>
      <c r="S1455">
        <v>1.197708</v>
      </c>
      <c r="T1455">
        <v>-0.62047479999999999</v>
      </c>
      <c r="U1455">
        <v>-3.2474669999999999</v>
      </c>
      <c r="V1455">
        <v>0.13437460000000001</v>
      </c>
      <c r="W1455">
        <v>0.34558949999999999</v>
      </c>
      <c r="X1455">
        <v>0.92871490000000001</v>
      </c>
      <c r="Y1455">
        <v>0.30644320000000003</v>
      </c>
      <c r="Z1455">
        <v>0.1099077</v>
      </c>
      <c r="AA1455">
        <v>0.94552250000000004</v>
      </c>
      <c r="AB1455">
        <v>27</v>
      </c>
      <c r="AC1455">
        <v>1.9704000000000099</v>
      </c>
      <c r="AD1455">
        <v>-1.1016933100340001</v>
      </c>
      <c r="AE1455">
        <v>-5.5500000000000096</v>
      </c>
      <c r="AF1455">
        <v>1.7987351320337499</v>
      </c>
      <c r="AG1455">
        <v>-1.1016933100340001</v>
      </c>
      <c r="AH1455">
        <v>5.3984990600855696</v>
      </c>
      <c r="AI1455">
        <v>100.957455463347</v>
      </c>
      <c r="AJ1455">
        <v>71.5723544764313</v>
      </c>
      <c r="AK1455">
        <v>5.7959441272609702</v>
      </c>
      <c r="AL1455">
        <v>69.782214827500198</v>
      </c>
      <c r="AM1455">
        <v>81.767079507898202</v>
      </c>
      <c r="AN1455">
        <v>1.00000000055871</v>
      </c>
    </row>
    <row r="1456" spans="1:40" x14ac:dyDescent="0.25">
      <c r="A1456" t="str">
        <f>"20190304164357335"</f>
        <v>20190304164357335</v>
      </c>
      <c r="B1456" t="str">
        <f>"1551689037330987"</f>
        <v>1551689037330987</v>
      </c>
      <c r="C1456" t="s">
        <v>40</v>
      </c>
      <c r="D1456">
        <v>5.8621939999999997</v>
      </c>
      <c r="E1456">
        <v>0.58691110000000002</v>
      </c>
      <c r="F1456" t="s">
        <v>44</v>
      </c>
      <c r="G1456">
        <v>-193.9847</v>
      </c>
      <c r="H1456" s="1">
        <v>-2.1169360000000002E-6</v>
      </c>
      <c r="I1456">
        <v>351.3879</v>
      </c>
      <c r="J1456">
        <v>-195.95529999999999</v>
      </c>
      <c r="K1456">
        <v>1.1015740000000001</v>
      </c>
      <c r="L1456">
        <v>357.06849999999997</v>
      </c>
      <c r="M1456">
        <v>0.60836459999999903</v>
      </c>
      <c r="N1456">
        <v>-1.424217E-2</v>
      </c>
      <c r="O1456">
        <v>-0.79352999999999996</v>
      </c>
      <c r="P1456">
        <v>0.46800000000000003</v>
      </c>
      <c r="Q1456">
        <v>0.33564899999999998</v>
      </c>
      <c r="R1456">
        <v>-0.81750579999999995</v>
      </c>
      <c r="S1456">
        <v>1.1616519999999999</v>
      </c>
      <c r="T1456">
        <v>-0.61665269999999905</v>
      </c>
      <c r="U1456">
        <v>-3.2626650000000001</v>
      </c>
      <c r="V1456">
        <v>0.1338395</v>
      </c>
      <c r="W1456">
        <v>0.34597250000000002</v>
      </c>
      <c r="X1456">
        <v>0.92864950000000002</v>
      </c>
      <c r="Y1456">
        <v>0.30882179999999998</v>
      </c>
      <c r="Z1456">
        <v>0.1100088</v>
      </c>
      <c r="AA1456">
        <v>0.94473649999999998</v>
      </c>
      <c r="AB1456">
        <v>27</v>
      </c>
      <c r="AC1456">
        <v>1.9705999999999899</v>
      </c>
      <c r="AD1456">
        <v>-1.1015761169359899</v>
      </c>
      <c r="AE1456">
        <v>-5.6805999999999699</v>
      </c>
      <c r="AF1456">
        <v>1.83088328070772</v>
      </c>
      <c r="AG1456">
        <v>-1.1015761169359899</v>
      </c>
      <c r="AH1456">
        <v>5.5218068439096299</v>
      </c>
      <c r="AI1456">
        <v>100.722454258402</v>
      </c>
      <c r="AJ1456">
        <v>71.655861361765702</v>
      </c>
      <c r="AK1456">
        <v>5.9208069002819297</v>
      </c>
      <c r="AL1456">
        <v>69.7588266107973</v>
      </c>
      <c r="AM1456">
        <v>81.798847794894797</v>
      </c>
      <c r="AN1456">
        <v>0.99999993818337296</v>
      </c>
    </row>
    <row r="1457" spans="1:40" x14ac:dyDescent="0.25">
      <c r="A1457" t="str">
        <f>"20190304164357351"</f>
        <v>20190304164357351</v>
      </c>
      <c r="B1457" t="str">
        <f>"1551689037340746"</f>
        <v>1551689037340746</v>
      </c>
      <c r="C1457" t="s">
        <v>40</v>
      </c>
      <c r="D1457">
        <v>5.8616169999999999</v>
      </c>
      <c r="E1457">
        <v>0.58677760000000001</v>
      </c>
      <c r="F1457" t="s">
        <v>44</v>
      </c>
      <c r="G1457">
        <v>-193.928</v>
      </c>
      <c r="H1457" s="1">
        <v>-2.0124539999999998E-6</v>
      </c>
      <c r="I1457">
        <v>351.23680000000002</v>
      </c>
      <c r="J1457">
        <v>-195.84350000000001</v>
      </c>
      <c r="K1457">
        <v>1.1014600000000001</v>
      </c>
      <c r="L1457">
        <v>356.90649999999999</v>
      </c>
      <c r="M1457">
        <v>0.60076459999999998</v>
      </c>
      <c r="N1457">
        <v>-1.4248769999999999E-2</v>
      </c>
      <c r="O1457">
        <v>-0.79929910000000004</v>
      </c>
      <c r="P1457">
        <v>0.46124379999999998</v>
      </c>
      <c r="Q1457">
        <v>0.3344182</v>
      </c>
      <c r="R1457">
        <v>-0.82183850000000003</v>
      </c>
      <c r="S1457">
        <v>1.137543</v>
      </c>
      <c r="T1457">
        <v>-0.61812259999999997</v>
      </c>
      <c r="U1457">
        <v>-3.272278</v>
      </c>
      <c r="V1457">
        <v>0.13299620000000001</v>
      </c>
      <c r="W1457">
        <v>0.34474110000000002</v>
      </c>
      <c r="X1457">
        <v>0.92922850000000001</v>
      </c>
      <c r="Y1457">
        <v>0.3068728</v>
      </c>
      <c r="Z1457">
        <v>0.111527</v>
      </c>
      <c r="AA1457">
        <v>0.94519350000000002</v>
      </c>
      <c r="AB1457">
        <v>27</v>
      </c>
      <c r="AC1457">
        <v>1.9155</v>
      </c>
      <c r="AD1457">
        <v>-1.101462012454</v>
      </c>
      <c r="AE1457">
        <v>-5.6696999999999704</v>
      </c>
      <c r="AF1457">
        <v>1.8138439837611</v>
      </c>
      <c r="AG1457">
        <v>-1.101462012454</v>
      </c>
      <c r="AH1457">
        <v>5.4969193342072398</v>
      </c>
      <c r="AI1457">
        <v>100.77379180392499</v>
      </c>
      <c r="AJ1457">
        <v>71.738420343854898</v>
      </c>
      <c r="AK1457">
        <v>5.8923145477042302</v>
      </c>
      <c r="AL1457">
        <v>69.834007861040504</v>
      </c>
      <c r="AM1457">
        <v>81.854835655344999</v>
      </c>
      <c r="AN1457">
        <v>1.00000001022795</v>
      </c>
    </row>
    <row r="1458" spans="1:40" x14ac:dyDescent="0.25">
      <c r="A1458" t="str">
        <f>"20190304164357365"</f>
        <v>20190304164357365</v>
      </c>
      <c r="B1458" t="str">
        <f>"1551689037361242"</f>
        <v>1551689037361242</v>
      </c>
      <c r="C1458" t="s">
        <v>40</v>
      </c>
      <c r="D1458">
        <v>5.8428250000000004</v>
      </c>
      <c r="E1458">
        <v>0.58662150000000002</v>
      </c>
      <c r="F1458" t="s">
        <v>44</v>
      </c>
      <c r="G1458">
        <v>-193.8835</v>
      </c>
      <c r="H1458" s="1">
        <v>-1.9371999999999999E-6</v>
      </c>
      <c r="I1458">
        <v>351.12970000000001</v>
      </c>
      <c r="J1458">
        <v>-195.75139999999999</v>
      </c>
      <c r="K1458">
        <v>1.10137</v>
      </c>
      <c r="L1458">
        <v>356.76979999999998</v>
      </c>
      <c r="M1458">
        <v>0.59428729999999996</v>
      </c>
      <c r="N1458">
        <v>-1.425506E-2</v>
      </c>
      <c r="O1458">
        <v>-0.80412669999999997</v>
      </c>
      <c r="P1458">
        <v>0.45527000000000001</v>
      </c>
      <c r="Q1458">
        <v>0.3329627</v>
      </c>
      <c r="R1458">
        <v>-0.82575149999999997</v>
      </c>
      <c r="S1458">
        <v>1.1129610000000001</v>
      </c>
      <c r="T1458">
        <v>-0.62545220000000001</v>
      </c>
      <c r="U1458">
        <v>-3.2802730000000002</v>
      </c>
      <c r="V1458">
        <v>0.13261120000000001</v>
      </c>
      <c r="W1458">
        <v>0.3432828</v>
      </c>
      <c r="X1458">
        <v>0.92982319999999996</v>
      </c>
      <c r="Y1458">
        <v>0.30632130000000002</v>
      </c>
      <c r="Z1458">
        <v>0.11398750000000001</v>
      </c>
      <c r="AA1458">
        <v>0.94507890000000006</v>
      </c>
      <c r="AB1458">
        <v>27</v>
      </c>
      <c r="AC1458">
        <v>1.8678999999999899</v>
      </c>
      <c r="AD1458">
        <v>-1.1013719371999999</v>
      </c>
      <c r="AE1458">
        <v>-5.6400999999999604</v>
      </c>
      <c r="AF1458">
        <v>1.78853892330773</v>
      </c>
      <c r="AG1458">
        <v>-1.1013719371999999</v>
      </c>
      <c r="AH1458">
        <v>5.4584268723666698</v>
      </c>
      <c r="AI1458">
        <v>100.854363206608</v>
      </c>
      <c r="AJ1458">
        <v>71.857807933291895</v>
      </c>
      <c r="AK1458">
        <v>5.8486165496819096</v>
      </c>
      <c r="AL1458">
        <v>69.922993250138006</v>
      </c>
      <c r="AM1458">
        <v>81.883224786271001</v>
      </c>
      <c r="AN1458">
        <v>0.99999999719975896</v>
      </c>
    </row>
    <row r="1459" spans="1:40" x14ac:dyDescent="0.25">
      <c r="A1459" t="str">
        <f>"20190304164357378"</f>
        <v>20190304164357378</v>
      </c>
      <c r="B1459" t="str">
        <f>"1551689037371002"</f>
        <v>1551689037371002</v>
      </c>
      <c r="C1459" t="s">
        <v>40</v>
      </c>
      <c r="D1459">
        <v>5.8380720000000004</v>
      </c>
      <c r="E1459">
        <v>0.58652230000000005</v>
      </c>
      <c r="F1459" t="s">
        <v>44</v>
      </c>
      <c r="G1459">
        <v>-193.85669999999999</v>
      </c>
      <c r="H1459" s="1">
        <v>-1.887542E-6</v>
      </c>
      <c r="I1459">
        <v>351.05790000000002</v>
      </c>
      <c r="J1459">
        <v>-195.6669</v>
      </c>
      <c r="K1459">
        <v>1.1012879999999901</v>
      </c>
      <c r="L1459">
        <v>356.6431</v>
      </c>
      <c r="M1459">
        <v>0.5882307</v>
      </c>
      <c r="N1459">
        <v>-1.4260490000000001E-2</v>
      </c>
      <c r="O1459">
        <v>-0.80856740000000005</v>
      </c>
      <c r="P1459">
        <v>0.449737</v>
      </c>
      <c r="Q1459">
        <v>0.33153680000000002</v>
      </c>
      <c r="R1459">
        <v>-0.82934909999999995</v>
      </c>
      <c r="S1459">
        <v>1.090454</v>
      </c>
      <c r="T1459">
        <v>-0.63388089999999997</v>
      </c>
      <c r="U1459">
        <v>-3.2874449999999902</v>
      </c>
      <c r="V1459">
        <v>0.13220379999999901</v>
      </c>
      <c r="W1459">
        <v>0.3418582</v>
      </c>
      <c r="X1459">
        <v>0.93040590000000001</v>
      </c>
      <c r="Y1459">
        <v>0.3057086</v>
      </c>
      <c r="Z1459">
        <v>0.1166146</v>
      </c>
      <c r="AA1459">
        <v>0.94495680000000004</v>
      </c>
      <c r="AB1459">
        <v>27</v>
      </c>
      <c r="AC1459">
        <v>1.8102</v>
      </c>
      <c r="AD1459">
        <v>-1.1012898875420001</v>
      </c>
      <c r="AE1459">
        <v>-5.58519999999998</v>
      </c>
      <c r="AF1459">
        <v>1.75997948820192</v>
      </c>
      <c r="AG1459">
        <v>-1.1012898875420001</v>
      </c>
      <c r="AH1459">
        <v>5.3916919512537502</v>
      </c>
      <c r="AI1459">
        <v>100.988595024867</v>
      </c>
      <c r="AJ1459">
        <v>71.922057059921002</v>
      </c>
      <c r="AK1459">
        <v>5.7776041152460698</v>
      </c>
      <c r="AL1459">
        <v>70.009873972971306</v>
      </c>
      <c r="AM1459">
        <v>81.912830811419198</v>
      </c>
      <c r="AN1459">
        <v>1.0000000061982399</v>
      </c>
    </row>
    <row r="1460" spans="1:40" x14ac:dyDescent="0.25">
      <c r="A1460" t="str">
        <f>"20190304164357391"</f>
        <v>20190304164357391</v>
      </c>
      <c r="B1460" t="str">
        <f>"1551689037380762"</f>
        <v>1551689037380762</v>
      </c>
      <c r="C1460" t="s">
        <v>40</v>
      </c>
      <c r="D1460">
        <v>5.8341240000000001</v>
      </c>
      <c r="E1460">
        <v>0.58641679999999996</v>
      </c>
      <c r="F1460" t="s">
        <v>44</v>
      </c>
      <c r="G1460">
        <v>-193.83019999999999</v>
      </c>
      <c r="H1460" s="1">
        <v>-1.8366689999999999E-6</v>
      </c>
      <c r="I1460">
        <v>350.98390000000001</v>
      </c>
      <c r="J1460">
        <v>-195.57429999999999</v>
      </c>
      <c r="K1460">
        <v>1.1012150000000001</v>
      </c>
      <c r="L1460">
        <v>356.50130000000001</v>
      </c>
      <c r="M1460">
        <v>0.58141119999999902</v>
      </c>
      <c r="N1460">
        <v>-1.426646E-2</v>
      </c>
      <c r="O1460">
        <v>-0.81348480000000001</v>
      </c>
      <c r="P1460">
        <v>0.44346200000000002</v>
      </c>
      <c r="Q1460">
        <v>0.32928849999999998</v>
      </c>
      <c r="R1460">
        <v>-0.83361289999999999</v>
      </c>
      <c r="S1460">
        <v>1.0690309999999901</v>
      </c>
      <c r="T1460">
        <v>-0.64097749999999998</v>
      </c>
      <c r="U1460">
        <v>-3.293793</v>
      </c>
      <c r="V1460">
        <v>0.13192300000000001</v>
      </c>
      <c r="W1460">
        <v>0.33961350000000001</v>
      </c>
      <c r="X1460">
        <v>0.93126739999999997</v>
      </c>
      <c r="Y1460">
        <v>0.30389080000000002</v>
      </c>
      <c r="Z1460">
        <v>0.11918570000000001</v>
      </c>
      <c r="AA1460">
        <v>0.94522229999999996</v>
      </c>
      <c r="AB1460">
        <v>27</v>
      </c>
      <c r="AC1460">
        <v>1.7441</v>
      </c>
      <c r="AD1460">
        <v>-1.1012168366689901</v>
      </c>
      <c r="AE1460">
        <v>-5.5174000000000003</v>
      </c>
      <c r="AF1460">
        <v>1.72672442349517</v>
      </c>
      <c r="AG1460">
        <v>-1.1012168366689901</v>
      </c>
      <c r="AH1460">
        <v>5.3105862062456302</v>
      </c>
      <c r="AI1460">
        <v>101.155609305006</v>
      </c>
      <c r="AJ1460">
        <v>71.988189164100405</v>
      </c>
      <c r="AK1460">
        <v>5.6917995054309802</v>
      </c>
      <c r="AL1460">
        <v>70.146671610240602</v>
      </c>
      <c r="AM1460">
        <v>81.937148791194005</v>
      </c>
      <c r="AN1460">
        <v>0.99999998880700403</v>
      </c>
    </row>
    <row r="1461" spans="1:40" x14ac:dyDescent="0.25">
      <c r="A1461" t="str">
        <f>"20190304164357411"</f>
        <v>20190304164357411</v>
      </c>
      <c r="B1461" t="str">
        <f>"1551689037401260"</f>
        <v>1551689037401260</v>
      </c>
      <c r="C1461" t="s">
        <v>40</v>
      </c>
      <c r="D1461">
        <v>5.8442939999999997</v>
      </c>
      <c r="E1461">
        <v>0.58624739999999997</v>
      </c>
      <c r="F1461" t="s">
        <v>44</v>
      </c>
      <c r="G1461">
        <v>-193.8081</v>
      </c>
      <c r="H1461" s="1">
        <v>-1.789778E-6</v>
      </c>
      <c r="I1461">
        <v>350.91460000000001</v>
      </c>
      <c r="J1461">
        <v>-195.44589999999999</v>
      </c>
      <c r="K1461">
        <v>1.1011280000000001</v>
      </c>
      <c r="L1461">
        <v>356.3</v>
      </c>
      <c r="M1461">
        <v>0.57165569999999999</v>
      </c>
      <c r="N1461">
        <v>-1.4273910000000001E-2</v>
      </c>
      <c r="O1461">
        <v>-0.82036949999999997</v>
      </c>
      <c r="P1461">
        <v>0.43582219999999999</v>
      </c>
      <c r="Q1461">
        <v>0.32397169999999997</v>
      </c>
      <c r="R1461">
        <v>-0.83970330000000004</v>
      </c>
      <c r="S1461">
        <v>1.0435030000000001</v>
      </c>
      <c r="T1461">
        <v>-0.65061259999999999</v>
      </c>
      <c r="U1461">
        <v>-3.3006899999999999</v>
      </c>
      <c r="V1461">
        <v>0.13042129999999999</v>
      </c>
      <c r="W1461">
        <v>0.33434599999999998</v>
      </c>
      <c r="X1461">
        <v>0.93338259999999995</v>
      </c>
      <c r="Y1461">
        <v>0.29986360000000001</v>
      </c>
      <c r="Z1461">
        <v>0.1228711</v>
      </c>
      <c r="AA1461">
        <v>0.94603619999999999</v>
      </c>
      <c r="AB1461">
        <v>27</v>
      </c>
      <c r="AC1461">
        <v>1.6377999999999899</v>
      </c>
      <c r="AD1461">
        <v>-1.1011297897779999</v>
      </c>
      <c r="AE1461">
        <v>-5.3853999999999997</v>
      </c>
      <c r="AF1461">
        <v>1.6712176466698301</v>
      </c>
      <c r="AG1461">
        <v>-1.1011297897779999</v>
      </c>
      <c r="AH1461">
        <v>5.1574603575944398</v>
      </c>
      <c r="AI1461">
        <v>101.480906938142</v>
      </c>
      <c r="AJ1461">
        <v>72.045660002191298</v>
      </c>
      <c r="AK1461">
        <v>5.5321652701844801</v>
      </c>
      <c r="AL1461">
        <v>70.467226960961995</v>
      </c>
      <c r="AM1461">
        <v>82.045577742113494</v>
      </c>
      <c r="AN1461">
        <v>1.0000000205962201</v>
      </c>
    </row>
    <row r="1462" spans="1:40" x14ac:dyDescent="0.25">
      <c r="A1462" t="str">
        <f>"20190304164357432"</f>
        <v>20190304164357432</v>
      </c>
      <c r="B1462" t="str">
        <f>"1551689037420778"</f>
        <v>1551689037420778</v>
      </c>
      <c r="C1462" t="s">
        <v>40</v>
      </c>
      <c r="D1462">
        <v>5.8416519999999998</v>
      </c>
      <c r="E1462">
        <v>0.58614509999999997</v>
      </c>
      <c r="F1462" t="s">
        <v>44</v>
      </c>
      <c r="G1462">
        <v>-193.7955</v>
      </c>
      <c r="H1462" s="1">
        <v>-1.758172E-6</v>
      </c>
      <c r="I1462">
        <v>350.86689999999999</v>
      </c>
      <c r="J1462">
        <v>-195.31360000000001</v>
      </c>
      <c r="K1462">
        <v>1.101064</v>
      </c>
      <c r="L1462">
        <v>356.08679999999998</v>
      </c>
      <c r="M1462">
        <v>0.56125150000000001</v>
      </c>
      <c r="N1462">
        <v>-1.4279969999999999E-2</v>
      </c>
      <c r="O1462">
        <v>-0.82752230000000004</v>
      </c>
      <c r="P1462">
        <v>0.42743330000000002</v>
      </c>
      <c r="Q1462">
        <v>0.31964530000000002</v>
      </c>
      <c r="R1462">
        <v>-0.84565249999999903</v>
      </c>
      <c r="S1462">
        <v>1.005341</v>
      </c>
      <c r="T1462">
        <v>-0.67076239999999998</v>
      </c>
      <c r="U1462">
        <v>-3.3096309999999902</v>
      </c>
      <c r="V1462">
        <v>0.1287885</v>
      </c>
      <c r="W1462">
        <v>0.33007199999999998</v>
      </c>
      <c r="X1462">
        <v>0.93512890000000004</v>
      </c>
      <c r="Y1462">
        <v>0.29871579999999998</v>
      </c>
      <c r="Z1462">
        <v>0.1287063</v>
      </c>
      <c r="AA1462">
        <v>0.9456234</v>
      </c>
      <c r="AB1462">
        <v>27</v>
      </c>
      <c r="AC1462">
        <v>1.5181</v>
      </c>
      <c r="AD1462">
        <v>-1.101065758172</v>
      </c>
      <c r="AE1462">
        <v>-5.2198999999999902</v>
      </c>
      <c r="AF1462">
        <v>1.6076336316761899</v>
      </c>
      <c r="AG1462">
        <v>-1.101065758172</v>
      </c>
      <c r="AH1462">
        <v>4.9683246686790001</v>
      </c>
      <c r="AI1462">
        <v>101.90660592075299</v>
      </c>
      <c r="AJ1462">
        <v>72.069632479358802</v>
      </c>
      <c r="AK1462">
        <v>5.3367669717647903</v>
      </c>
      <c r="AL1462">
        <v>70.726854971289896</v>
      </c>
      <c r="AM1462">
        <v>82.158399473853905</v>
      </c>
      <c r="AN1462">
        <v>1.00000003126572</v>
      </c>
    </row>
    <row r="1463" spans="1:40" x14ac:dyDescent="0.25">
      <c r="A1463" t="str">
        <f>"20190304164357448"</f>
        <v>20190304164357448</v>
      </c>
      <c r="B1463" t="str">
        <f>"1551689037441275"</f>
        <v>1551689037441275</v>
      </c>
      <c r="C1463" t="s">
        <v>40</v>
      </c>
      <c r="D1463">
        <v>5.8548650000000002</v>
      </c>
      <c r="E1463">
        <v>0.5860708</v>
      </c>
      <c r="F1463" t="s">
        <v>41</v>
      </c>
      <c r="G1463">
        <v>-195.10300000000001</v>
      </c>
      <c r="H1463">
        <v>0.95127890000000004</v>
      </c>
      <c r="I1463">
        <v>355.36279999999999</v>
      </c>
      <c r="J1463">
        <v>-195.2159</v>
      </c>
      <c r="K1463">
        <v>1.10103</v>
      </c>
      <c r="L1463">
        <v>355.92500000000001</v>
      </c>
      <c r="M1463">
        <v>0.55332320000000002</v>
      </c>
      <c r="N1463">
        <v>-1.428336E-2</v>
      </c>
      <c r="O1463">
        <v>-0.83284429999999998</v>
      </c>
      <c r="P1463">
        <v>0.41974899999999998</v>
      </c>
      <c r="Q1463">
        <v>0.31813089999999999</v>
      </c>
      <c r="R1463">
        <v>-0.85006109999999901</v>
      </c>
      <c r="S1463">
        <v>0.96569819999999995</v>
      </c>
      <c r="T1463">
        <v>-0.68654320000000002</v>
      </c>
      <c r="U1463">
        <v>-3.3190309999999998</v>
      </c>
      <c r="V1463">
        <v>0.12863239999999901</v>
      </c>
      <c r="W1463">
        <v>0.32856459999999998</v>
      </c>
      <c r="X1463">
        <v>0.93568099999999998</v>
      </c>
      <c r="Y1463">
        <v>0.30086859999999999</v>
      </c>
      <c r="Z1463">
        <v>0.13310039999999901</v>
      </c>
      <c r="AA1463">
        <v>0.9443317</v>
      </c>
      <c r="AB1463">
        <v>27</v>
      </c>
      <c r="AC1463">
        <v>0.112900000000024</v>
      </c>
      <c r="AD1463">
        <v>-0.149751099999999</v>
      </c>
      <c r="AE1463">
        <v>-0.56220000000001802</v>
      </c>
      <c r="AF1463">
        <v>0.20321305436029499</v>
      </c>
      <c r="AG1463">
        <v>-0.149751099999999</v>
      </c>
      <c r="AH1463">
        <v>0.49686299670503298</v>
      </c>
      <c r="AI1463">
        <v>105.587144043984</v>
      </c>
      <c r="AJ1463">
        <v>67.755824852596405</v>
      </c>
      <c r="AK1463">
        <v>0.55730940680052798</v>
      </c>
      <c r="AL1463">
        <v>70.818323551501805</v>
      </c>
      <c r="AM1463">
        <v>82.172350072991307</v>
      </c>
      <c r="AN1463">
        <v>0.99999996223195897</v>
      </c>
    </row>
    <row r="1464" spans="1:40" x14ac:dyDescent="0.25">
      <c r="A1464" t="str">
        <f>"20190304164357465"</f>
        <v>20190304164357465</v>
      </c>
      <c r="B1464" t="str">
        <f>"1551689037460794"</f>
        <v>1551689037460794</v>
      </c>
      <c r="C1464" t="s">
        <v>40</v>
      </c>
      <c r="D1464">
        <v>5.8380910000000004</v>
      </c>
      <c r="E1464">
        <v>0.58589340000000001</v>
      </c>
      <c r="F1464" t="s">
        <v>44</v>
      </c>
      <c r="G1464">
        <v>-193.7311</v>
      </c>
      <c r="H1464" s="1">
        <v>-1.606048E-6</v>
      </c>
      <c r="I1464">
        <v>350.6388</v>
      </c>
      <c r="J1464">
        <v>-195.1086</v>
      </c>
      <c r="K1464">
        <v>1.1010009999999999</v>
      </c>
      <c r="L1464">
        <v>355.7432</v>
      </c>
      <c r="M1464">
        <v>0.54438260000000005</v>
      </c>
      <c r="N1464">
        <v>-1.428635E-2</v>
      </c>
      <c r="O1464">
        <v>-0.83871549999999995</v>
      </c>
      <c r="P1464">
        <v>0.41005999999999998</v>
      </c>
      <c r="Q1464">
        <v>0.31662580000000001</v>
      </c>
      <c r="R1464">
        <v>-0.85533579999999998</v>
      </c>
      <c r="S1464">
        <v>0.93447880000000005</v>
      </c>
      <c r="T1464">
        <v>-0.69296420000000003</v>
      </c>
      <c r="U1464">
        <v>-3.327026</v>
      </c>
      <c r="V1464">
        <v>0.12954549999999901</v>
      </c>
      <c r="W1464">
        <v>0.32703969999999999</v>
      </c>
      <c r="X1464">
        <v>0.93608919999999995</v>
      </c>
      <c r="Y1464">
        <v>0.29956359999999999</v>
      </c>
      <c r="Z1464">
        <v>0.13589179999999901</v>
      </c>
      <c r="AA1464">
        <v>0.94434899999999999</v>
      </c>
      <c r="AB1464">
        <v>27</v>
      </c>
      <c r="AC1464">
        <v>1.37749999999999</v>
      </c>
      <c r="AD1464">
        <v>-1.101002606048</v>
      </c>
      <c r="AE1464">
        <v>-5.1043999999999903</v>
      </c>
      <c r="AF1464">
        <v>1.5560984409721299</v>
      </c>
      <c r="AG1464">
        <v>-1.101002606048</v>
      </c>
      <c r="AH1464">
        <v>4.8224069878140297</v>
      </c>
      <c r="AI1464">
        <v>102.258575105383</v>
      </c>
      <c r="AJ1464">
        <v>72.116102772109898</v>
      </c>
      <c r="AK1464">
        <v>5.1854853439806297</v>
      </c>
      <c r="AL1464">
        <v>70.910804440209205</v>
      </c>
      <c r="AM1464">
        <v>82.120875527568998</v>
      </c>
      <c r="AN1464">
        <v>0.99999999615148905</v>
      </c>
    </row>
    <row r="1465" spans="1:40" x14ac:dyDescent="0.25">
      <c r="A1465" t="str">
        <f>"20190304164357482"</f>
        <v>20190304164357482</v>
      </c>
      <c r="B1465" t="str">
        <f>"1551689037471531"</f>
        <v>1551689037471531</v>
      </c>
      <c r="C1465" t="s">
        <v>40</v>
      </c>
      <c r="D1465">
        <v>5.840255</v>
      </c>
      <c r="E1465">
        <v>0.58589809999999998</v>
      </c>
      <c r="F1465" t="s">
        <v>44</v>
      </c>
      <c r="G1465">
        <v>-193.6977</v>
      </c>
      <c r="H1465" s="1">
        <v>-1.5188420000000001E-6</v>
      </c>
      <c r="I1465">
        <v>350.50650000000002</v>
      </c>
      <c r="J1465">
        <v>-195.0104</v>
      </c>
      <c r="K1465">
        <v>1.1009770000000001</v>
      </c>
      <c r="L1465">
        <v>355.57310000000001</v>
      </c>
      <c r="M1465">
        <v>0.53599549999999996</v>
      </c>
      <c r="N1465">
        <v>-1.428869E-2</v>
      </c>
      <c r="O1465">
        <v>-0.84410019999999997</v>
      </c>
      <c r="P1465">
        <v>0.40131689999999998</v>
      </c>
      <c r="Q1465">
        <v>0.3164091</v>
      </c>
      <c r="R1465">
        <v>-0.85955269999999995</v>
      </c>
      <c r="S1465">
        <v>0.89881900000000003</v>
      </c>
      <c r="T1465">
        <v>-0.7014146</v>
      </c>
      <c r="U1465">
        <v>-3.3361510000000001</v>
      </c>
      <c r="V1465">
        <v>0.12980929999999999</v>
      </c>
      <c r="W1465">
        <v>0.32681569999999999</v>
      </c>
      <c r="X1465">
        <v>0.93613089999999999</v>
      </c>
      <c r="Y1465">
        <v>0.30020429999999998</v>
      </c>
      <c r="Z1465">
        <v>0.1388964</v>
      </c>
      <c r="AA1465">
        <v>0.9437082</v>
      </c>
      <c r="AB1465">
        <v>26</v>
      </c>
      <c r="AC1465">
        <v>1.3127</v>
      </c>
      <c r="AD1465">
        <v>-1.100978518842</v>
      </c>
      <c r="AE1465">
        <v>-5.0665999999999896</v>
      </c>
      <c r="AF1465">
        <v>1.53965907451174</v>
      </c>
      <c r="AG1465">
        <v>-1.100978518842</v>
      </c>
      <c r="AH1465">
        <v>4.7697668577877197</v>
      </c>
      <c r="AI1465">
        <v>102.38904196996501</v>
      </c>
      <c r="AJ1465">
        <v>72.110156291806206</v>
      </c>
      <c r="AK1465">
        <v>5.1316059515835803</v>
      </c>
      <c r="AL1465">
        <v>70.924385208119404</v>
      </c>
      <c r="AM1465">
        <v>82.105380239994204</v>
      </c>
      <c r="AN1465">
        <v>1.0000000090338901</v>
      </c>
    </row>
    <row r="1466" spans="1:40" x14ac:dyDescent="0.25">
      <c r="A1466" t="str">
        <f>"20190304164357499"</f>
        <v>20190304164357499</v>
      </c>
      <c r="B1466" t="str">
        <f>"1551689037491050"</f>
        <v>1551689037491050</v>
      </c>
      <c r="C1466" t="s">
        <v>40</v>
      </c>
      <c r="D1466">
        <v>5.8340170000000002</v>
      </c>
      <c r="E1466">
        <v>0.58590469999999994</v>
      </c>
      <c r="F1466" t="s">
        <v>44</v>
      </c>
      <c r="G1466">
        <v>-193.65389999999999</v>
      </c>
      <c r="H1466" s="1">
        <v>-1.4034570000000001E-6</v>
      </c>
      <c r="I1466">
        <v>350.33120000000002</v>
      </c>
      <c r="J1466">
        <v>-194.90299999999999</v>
      </c>
      <c r="K1466">
        <v>1.100959</v>
      </c>
      <c r="L1466">
        <v>355.38249999999999</v>
      </c>
      <c r="M1466">
        <v>0.5265706</v>
      </c>
      <c r="N1466">
        <v>-1.4291160000000001E-2</v>
      </c>
      <c r="O1466">
        <v>-0.85001150000000003</v>
      </c>
      <c r="P1466">
        <v>0.39104850000000002</v>
      </c>
      <c r="Q1466">
        <v>0.31672549999999999</v>
      </c>
      <c r="R1466">
        <v>-0.86415649999999999</v>
      </c>
      <c r="S1466">
        <v>0.86552430000000002</v>
      </c>
      <c r="T1466">
        <v>-0.70250610000000002</v>
      </c>
      <c r="U1466">
        <v>-3.3447269999999998</v>
      </c>
      <c r="V1466">
        <v>0.13050519999999999</v>
      </c>
      <c r="W1466">
        <v>0.32711129999999999</v>
      </c>
      <c r="X1466">
        <v>0.93593079999999995</v>
      </c>
      <c r="Y1466">
        <v>0.29903229999999997</v>
      </c>
      <c r="Z1466">
        <v>0.14059650000000001</v>
      </c>
      <c r="AA1466">
        <v>0.94382849999999996</v>
      </c>
      <c r="AB1466">
        <v>26</v>
      </c>
      <c r="AC1466">
        <v>1.2490999999999901</v>
      </c>
      <c r="AD1466">
        <v>-1.100960403457</v>
      </c>
      <c r="AE1466">
        <v>-5.0512999999999604</v>
      </c>
      <c r="AF1466">
        <v>1.5297948567314399</v>
      </c>
      <c r="AG1466">
        <v>-1.100960403457</v>
      </c>
      <c r="AH1466">
        <v>4.7397226571347497</v>
      </c>
      <c r="AI1466">
        <v>102.465051450335</v>
      </c>
      <c r="AJ1466">
        <v>72.111974574499598</v>
      </c>
      <c r="AK1466">
        <v>5.1007212215743296</v>
      </c>
      <c r="AL1466">
        <v>70.906462100443903</v>
      </c>
      <c r="AM1466">
        <v>82.061920364592297</v>
      </c>
      <c r="AN1466">
        <v>0.99999993610168203</v>
      </c>
    </row>
    <row r="1467" spans="1:40" x14ac:dyDescent="0.25">
      <c r="A1467" t="str">
        <f>"20190304164357511"</f>
        <v>20190304164357511</v>
      </c>
      <c r="B1467" t="str">
        <f>"1551689037501786"</f>
        <v>1551689037501786</v>
      </c>
      <c r="C1467" t="s">
        <v>40</v>
      </c>
      <c r="D1467">
        <v>5.842117</v>
      </c>
      <c r="E1467">
        <v>0.58593139999999999</v>
      </c>
      <c r="F1467" t="s">
        <v>44</v>
      </c>
      <c r="G1467">
        <v>-193.60720000000001</v>
      </c>
      <c r="H1467" s="1">
        <v>-1.263949E-6</v>
      </c>
      <c r="I1467">
        <v>350.11649999999997</v>
      </c>
      <c r="J1467">
        <v>-194.82859999999999</v>
      </c>
      <c r="K1467">
        <v>1.1009519999999999</v>
      </c>
      <c r="L1467">
        <v>355.24770000000001</v>
      </c>
      <c r="M1467">
        <v>0.5198895</v>
      </c>
      <c r="N1467">
        <v>-1.4292920000000001E-2</v>
      </c>
      <c r="O1467">
        <v>-0.85411409999999999</v>
      </c>
      <c r="P1467">
        <v>0.38406079999999998</v>
      </c>
      <c r="Q1467">
        <v>0.31718390000000002</v>
      </c>
      <c r="R1467">
        <v>-0.86711700000000003</v>
      </c>
      <c r="S1467">
        <v>0.82560730000000004</v>
      </c>
      <c r="T1467">
        <v>-0.70144450000000003</v>
      </c>
      <c r="U1467">
        <v>-3.3550420000000001</v>
      </c>
      <c r="V1467">
        <v>0.1306523</v>
      </c>
      <c r="W1467">
        <v>0.3275633</v>
      </c>
      <c r="X1467">
        <v>0.93575229999999998</v>
      </c>
      <c r="Y1467">
        <v>0.30280170000000001</v>
      </c>
      <c r="Z1467">
        <v>0.14110429999999999</v>
      </c>
      <c r="AA1467">
        <v>0.94255009999999995</v>
      </c>
      <c r="AB1467">
        <v>26</v>
      </c>
      <c r="AC1467">
        <v>1.2213999999999801</v>
      </c>
      <c r="AD1467">
        <v>-1.1009532639489901</v>
      </c>
      <c r="AE1467">
        <v>-5.13120000000003</v>
      </c>
      <c r="AF1467">
        <v>1.556782356714</v>
      </c>
      <c r="AG1467">
        <v>-1.1009532639489901</v>
      </c>
      <c r="AH1467">
        <v>4.8086341270936996</v>
      </c>
      <c r="AI1467">
        <v>102.28836672373799</v>
      </c>
      <c r="AJ1467">
        <v>72.060779344481702</v>
      </c>
      <c r="AK1467">
        <v>5.1728745938623097</v>
      </c>
      <c r="AL1467">
        <v>70.879056773227902</v>
      </c>
      <c r="AM1467">
        <v>82.051590596163393</v>
      </c>
      <c r="AN1467">
        <v>1.0000000529787301</v>
      </c>
    </row>
    <row r="1468" spans="1:40" x14ac:dyDescent="0.25">
      <c r="A1468" t="str">
        <f>"20190304164357532"</f>
        <v>20190304164357532</v>
      </c>
      <c r="B1468" t="str">
        <f>"1551689037521307"</f>
        <v>1551689037521307</v>
      </c>
      <c r="C1468" t="s">
        <v>40</v>
      </c>
      <c r="D1468">
        <v>5.8474879999999896</v>
      </c>
      <c r="E1468">
        <v>0.58593769999999901</v>
      </c>
      <c r="F1468" t="s">
        <v>41</v>
      </c>
      <c r="G1468">
        <v>-194.65530000000001</v>
      </c>
      <c r="H1468">
        <v>0.94882239999999995</v>
      </c>
      <c r="I1468">
        <v>354.51609999999999</v>
      </c>
      <c r="J1468">
        <v>-194.7157</v>
      </c>
      <c r="K1468">
        <v>1.100935</v>
      </c>
      <c r="L1468">
        <v>355.0376</v>
      </c>
      <c r="M1468">
        <v>0.50945289999999999</v>
      </c>
      <c r="N1468">
        <v>-1.42922E-2</v>
      </c>
      <c r="O1468">
        <v>-0.86037999999999903</v>
      </c>
      <c r="P1468">
        <v>0.37284679999999998</v>
      </c>
      <c r="Q1468">
        <v>0.31940760000000001</v>
      </c>
      <c r="R1468">
        <v>-0.87118549999999995</v>
      </c>
      <c r="S1468">
        <v>0.79734799999999995</v>
      </c>
      <c r="T1468">
        <v>-0.6987679</v>
      </c>
      <c r="U1468">
        <v>-3.362152</v>
      </c>
      <c r="V1468">
        <v>0.13098280000000001</v>
      </c>
      <c r="W1468">
        <v>0.32976280000000002</v>
      </c>
      <c r="X1468">
        <v>0.93493320000000002</v>
      </c>
      <c r="Y1468">
        <v>0.29918329999999999</v>
      </c>
      <c r="Z1468">
        <v>0.14222089999999901</v>
      </c>
      <c r="AA1468">
        <v>0.94353719999999996</v>
      </c>
      <c r="AB1468">
        <v>26</v>
      </c>
      <c r="AC1468">
        <v>6.0399999999987103E-2</v>
      </c>
      <c r="AD1468">
        <v>-0.15211259999999899</v>
      </c>
      <c r="AE1468">
        <v>-0.52150000000000296</v>
      </c>
      <c r="AF1468">
        <v>0.197180682898769</v>
      </c>
      <c r="AG1468">
        <v>-0.15211259999999899</v>
      </c>
      <c r="AH1468">
        <v>0.44236988294712198</v>
      </c>
      <c r="AI1468">
        <v>107.435987002196</v>
      </c>
      <c r="AJ1468">
        <v>65.975692163977499</v>
      </c>
      <c r="AK1468">
        <v>0.50765103971708303</v>
      </c>
      <c r="AL1468">
        <v>70.745621812497902</v>
      </c>
      <c r="AM1468">
        <v>82.024850864009906</v>
      </c>
      <c r="AN1468">
        <v>1.0000000433109499</v>
      </c>
    </row>
    <row r="1469" spans="1:40" x14ac:dyDescent="0.25">
      <c r="A1469" t="str">
        <f>"20190304164357545"</f>
        <v>20190304164357545</v>
      </c>
      <c r="B1469" t="str">
        <f>"1551689037541510"</f>
        <v>1551689037541510</v>
      </c>
      <c r="C1469" t="s">
        <v>40</v>
      </c>
      <c r="D1469">
        <v>5.8714789999999999</v>
      </c>
      <c r="E1469">
        <v>0.58593090000000003</v>
      </c>
      <c r="F1469" t="s">
        <v>41</v>
      </c>
      <c r="G1469">
        <v>-194.55070000000001</v>
      </c>
      <c r="H1469">
        <v>0.94985529999999996</v>
      </c>
      <c r="I1469">
        <v>354.29910000000001</v>
      </c>
      <c r="J1469">
        <v>-194.64359999999999</v>
      </c>
      <c r="K1469">
        <v>1.1009249999999999</v>
      </c>
      <c r="L1469">
        <v>354.89940000000001</v>
      </c>
      <c r="M1469">
        <v>0.50257370000000001</v>
      </c>
      <c r="N1469">
        <v>-1.428784E-2</v>
      </c>
      <c r="O1469">
        <v>-0.86441639999999997</v>
      </c>
      <c r="P1469">
        <v>0.36571179999999998</v>
      </c>
      <c r="Q1469">
        <v>0.32042039999999999</v>
      </c>
      <c r="R1469">
        <v>-0.873834</v>
      </c>
      <c r="S1469">
        <v>0.75411989999999995</v>
      </c>
      <c r="T1469">
        <v>-0.69009209999999999</v>
      </c>
      <c r="U1469">
        <v>-3.37384</v>
      </c>
      <c r="V1469">
        <v>0.1310211</v>
      </c>
      <c r="W1469">
        <v>0.33076060000000002</v>
      </c>
      <c r="X1469">
        <v>0.9345753</v>
      </c>
      <c r="Y1469">
        <v>0.30372080000000001</v>
      </c>
      <c r="Z1469">
        <v>0.1409734</v>
      </c>
      <c r="AA1469">
        <v>0.94227399999999994</v>
      </c>
      <c r="AB1469">
        <v>26</v>
      </c>
      <c r="AC1469">
        <v>9.2899999999985994E-2</v>
      </c>
      <c r="AD1469">
        <v>-0.151069699999999</v>
      </c>
      <c r="AE1469">
        <v>-0.60030000000000405</v>
      </c>
      <c r="AF1469">
        <v>0.20851654605557701</v>
      </c>
      <c r="AG1469">
        <v>-0.151069699999999</v>
      </c>
      <c r="AH1469">
        <v>0.532707974723578</v>
      </c>
      <c r="AI1469">
        <v>104.7928786895</v>
      </c>
      <c r="AJ1469">
        <v>68.623259284371201</v>
      </c>
      <c r="AK1469">
        <v>0.591674733760986</v>
      </c>
      <c r="AL1469">
        <v>70.685053641682899</v>
      </c>
      <c r="AM1469">
        <v>82.019533258672894</v>
      </c>
      <c r="AN1469">
        <v>1.00000004726382</v>
      </c>
    </row>
    <row r="1470" spans="1:40" x14ac:dyDescent="0.25">
      <c r="A1470" t="str">
        <f>"20190304164357565"</f>
        <v>20190304164357565</v>
      </c>
      <c r="B1470" t="str">
        <f>"1551689037561538"</f>
        <v>1551689037561538</v>
      </c>
      <c r="C1470" t="s">
        <v>40</v>
      </c>
      <c r="D1470">
        <v>5.8429219999999997</v>
      </c>
      <c r="E1470">
        <v>0.58594380000000001</v>
      </c>
      <c r="F1470" t="s">
        <v>42</v>
      </c>
      <c r="G1470">
        <v>-193.4776</v>
      </c>
      <c r="H1470" s="1">
        <v>-4.8665949999999998E-6</v>
      </c>
      <c r="I1470">
        <v>349.47489999999999</v>
      </c>
      <c r="J1470">
        <v>-194.5316</v>
      </c>
      <c r="K1470">
        <v>1.1009</v>
      </c>
      <c r="L1470">
        <v>354.68029999999999</v>
      </c>
      <c r="M1470">
        <v>0.4916141</v>
      </c>
      <c r="N1470">
        <v>-1.427608E-2</v>
      </c>
      <c r="O1470">
        <v>-0.87069609999999997</v>
      </c>
      <c r="P1470">
        <v>0.35494720000000002</v>
      </c>
      <c r="Q1470">
        <v>0.32386009999999998</v>
      </c>
      <c r="R1470">
        <v>-0.87699879999999997</v>
      </c>
      <c r="S1470">
        <v>0.72668459999999901</v>
      </c>
      <c r="T1470">
        <v>-0.68610990000000005</v>
      </c>
      <c r="U1470">
        <v>-3.380646</v>
      </c>
      <c r="V1470">
        <v>0.13018669999999999</v>
      </c>
      <c r="W1470">
        <v>0.33418419999999999</v>
      </c>
      <c r="X1470">
        <v>0.93347329999999995</v>
      </c>
      <c r="Y1470">
        <v>0.29941309999999999</v>
      </c>
      <c r="Z1470">
        <v>0.1418063</v>
      </c>
      <c r="AA1470">
        <v>0.94352670000000005</v>
      </c>
      <c r="AB1470">
        <v>26</v>
      </c>
      <c r="AC1470">
        <v>1.054</v>
      </c>
      <c r="AD1470">
        <v>-1.1009048665950001</v>
      </c>
      <c r="AE1470">
        <v>-5.2053999999999903</v>
      </c>
      <c r="AF1470">
        <v>1.57387601804077</v>
      </c>
      <c r="AG1470">
        <v>-1.1009048665950001</v>
      </c>
      <c r="AH1470">
        <v>4.84290947809499</v>
      </c>
      <c r="AI1470">
        <v>102.199190324805</v>
      </c>
      <c r="AJ1470">
        <v>71.996582756521306</v>
      </c>
      <c r="AK1470">
        <v>5.2098799850360002</v>
      </c>
      <c r="AL1470">
        <v>70.477063380461999</v>
      </c>
      <c r="AM1470">
        <v>82.060465058529999</v>
      </c>
      <c r="AN1470">
        <v>1.0000000290997</v>
      </c>
    </row>
    <row r="1471" spans="1:40" x14ac:dyDescent="0.25">
      <c r="A1471" t="str">
        <f>"20190304164357579"</f>
        <v>20190304164357579</v>
      </c>
      <c r="B1471" t="str">
        <f>"1551689037571298"</f>
        <v>1551689037571298</v>
      </c>
      <c r="C1471" t="s">
        <v>40</v>
      </c>
      <c r="D1471">
        <v>5.8760750000000002</v>
      </c>
      <c r="E1471">
        <v>0.58592369999999905</v>
      </c>
      <c r="F1471" t="s">
        <v>42</v>
      </c>
      <c r="G1471">
        <v>-193.40790000000001</v>
      </c>
      <c r="H1471" s="1">
        <v>-4.7362620000000001E-6</v>
      </c>
      <c r="I1471">
        <v>349.12819999999999</v>
      </c>
      <c r="J1471">
        <v>-194.45699999999999</v>
      </c>
      <c r="K1471">
        <v>1.100875</v>
      </c>
      <c r="L1471">
        <v>354.53039999999999</v>
      </c>
      <c r="M1471">
        <v>0.48408099999999998</v>
      </c>
      <c r="N1471">
        <v>-1.4265430000000001E-2</v>
      </c>
      <c r="O1471">
        <v>-0.87490679999999998</v>
      </c>
      <c r="P1471">
        <v>0.34810550000000001</v>
      </c>
      <c r="Q1471">
        <v>0.325966799999999</v>
      </c>
      <c r="R1471">
        <v>-0.87895859999999904</v>
      </c>
      <c r="S1471">
        <v>0.68640140000000005</v>
      </c>
      <c r="T1471">
        <v>-0.67242959999999996</v>
      </c>
      <c r="U1471">
        <v>-3.391235</v>
      </c>
      <c r="V1471">
        <v>0.12909409999999999</v>
      </c>
      <c r="W1471">
        <v>0.33629120000000001</v>
      </c>
      <c r="X1471">
        <v>0.93286809999999998</v>
      </c>
      <c r="Y1471">
        <v>0.30244529999999997</v>
      </c>
      <c r="Z1471">
        <v>0.13953840000000001</v>
      </c>
      <c r="AA1471">
        <v>0.9428976</v>
      </c>
      <c r="AB1471">
        <v>26</v>
      </c>
      <c r="AC1471">
        <v>1.0490999999999799</v>
      </c>
      <c r="AD1471">
        <v>-1.100879736262</v>
      </c>
      <c r="AE1471">
        <v>-5.4021999999999899</v>
      </c>
      <c r="AF1471">
        <v>1.63209642500318</v>
      </c>
      <c r="AG1471">
        <v>-1.100879736262</v>
      </c>
      <c r="AH1471">
        <v>5.0333757259539196</v>
      </c>
      <c r="AI1471">
        <v>101.75283272949</v>
      </c>
      <c r="AJ1471">
        <v>72.034462745927996</v>
      </c>
      <c r="AK1471">
        <v>5.4046781710701897</v>
      </c>
      <c r="AL1471">
        <v>70.348925200397801</v>
      </c>
      <c r="AM1471">
        <v>82.121214913309103</v>
      </c>
      <c r="AN1471">
        <v>0.99999997492492898</v>
      </c>
    </row>
    <row r="1472" spans="1:40" x14ac:dyDescent="0.25">
      <c r="A1472" t="str">
        <f>"20190304164357592"</f>
        <v>20190304164357592</v>
      </c>
      <c r="B1472" t="str">
        <f>"1551689037581058"</f>
        <v>1551689037581058</v>
      </c>
      <c r="C1472" t="s">
        <v>40</v>
      </c>
      <c r="D1472">
        <v>5.8685460000000003</v>
      </c>
      <c r="E1472">
        <v>0.58587529999999999</v>
      </c>
      <c r="F1472" t="s">
        <v>42</v>
      </c>
      <c r="G1472">
        <v>-193.36240000000001</v>
      </c>
      <c r="H1472" s="1">
        <v>-4.6513590000000004E-6</v>
      </c>
      <c r="I1472">
        <v>348.9024</v>
      </c>
      <c r="J1472">
        <v>-194.3826</v>
      </c>
      <c r="K1472">
        <v>1.100846</v>
      </c>
      <c r="L1472">
        <v>354.37790000000001</v>
      </c>
      <c r="M1472">
        <v>0.47639569999999998</v>
      </c>
      <c r="N1472">
        <v>-1.425359E-2</v>
      </c>
      <c r="O1472">
        <v>-0.87911550000000005</v>
      </c>
      <c r="P1472">
        <v>0.34107769999999998</v>
      </c>
      <c r="Q1472">
        <v>0.32785069999999999</v>
      </c>
      <c r="R1472">
        <v>-0.88101099999999999</v>
      </c>
      <c r="S1472">
        <v>0.66082759999999996</v>
      </c>
      <c r="T1472">
        <v>-0.66465580000000002</v>
      </c>
      <c r="U1472">
        <v>-3.3979189999999999</v>
      </c>
      <c r="V1472">
        <v>0.12810150000000001</v>
      </c>
      <c r="W1472">
        <v>0.33817120000000001</v>
      </c>
      <c r="X1472">
        <v>0.93232519999999997</v>
      </c>
      <c r="Y1472">
        <v>0.30126199999999997</v>
      </c>
      <c r="Z1472">
        <v>0.13879820000000001</v>
      </c>
      <c r="AA1472">
        <v>0.94338549999999999</v>
      </c>
      <c r="AB1472">
        <v>26</v>
      </c>
      <c r="AC1472">
        <v>1.02019999999998</v>
      </c>
      <c r="AD1472">
        <v>-1.100850651359</v>
      </c>
      <c r="AE1472">
        <v>-5.47550000000001</v>
      </c>
      <c r="AF1472">
        <v>1.64744724695539</v>
      </c>
      <c r="AG1472">
        <v>-1.100850651359</v>
      </c>
      <c r="AH1472">
        <v>5.1008876143256403</v>
      </c>
      <c r="AI1472">
        <v>101.60546607777501</v>
      </c>
      <c r="AJ1472">
        <v>72.100961826049598</v>
      </c>
      <c r="AK1472">
        <v>5.4722033078166197</v>
      </c>
      <c r="AL1472">
        <v>70.2345075428629</v>
      </c>
      <c r="AM1472">
        <v>82.176545772204506</v>
      </c>
      <c r="AN1472">
        <v>1.00000001668336</v>
      </c>
    </row>
    <row r="1473" spans="1:40" x14ac:dyDescent="0.25">
      <c r="A1473" t="str">
        <f>"20190304164357611"</f>
        <v>20190304164357611</v>
      </c>
      <c r="B1473" t="str">
        <f>"1551689037601553"</f>
        <v>1551689037601553</v>
      </c>
      <c r="C1473" t="s">
        <v>40</v>
      </c>
      <c r="D1473">
        <v>5.8919389999999998</v>
      </c>
      <c r="E1473">
        <v>0.58576779999999995</v>
      </c>
      <c r="F1473" t="s">
        <v>41</v>
      </c>
      <c r="G1473">
        <v>-194.2448</v>
      </c>
      <c r="H1473">
        <v>0.95799210000000001</v>
      </c>
      <c r="I1473">
        <v>353.6397</v>
      </c>
      <c r="J1473">
        <v>-194.29050000000001</v>
      </c>
      <c r="K1473">
        <v>1.100808</v>
      </c>
      <c r="L1473">
        <v>354.18329999999997</v>
      </c>
      <c r="M1473">
        <v>0.46653850000000002</v>
      </c>
      <c r="N1473">
        <v>-1.4236220000000001E-2</v>
      </c>
      <c r="O1473">
        <v>-0.88438649999999996</v>
      </c>
      <c r="P1473">
        <v>0.33235690000000001</v>
      </c>
      <c r="Q1473">
        <v>0.3307754</v>
      </c>
      <c r="R1473">
        <v>-0.88324780000000003</v>
      </c>
      <c r="S1473">
        <v>0.63609309999999997</v>
      </c>
      <c r="T1473">
        <v>-0.65824539999999998</v>
      </c>
      <c r="U1473">
        <v>-3.4039000000000001</v>
      </c>
      <c r="V1473">
        <v>0.12648180000000001</v>
      </c>
      <c r="W1473">
        <v>0.34109630000000002</v>
      </c>
      <c r="X1473">
        <v>0.93148039999999999</v>
      </c>
      <c r="Y1473">
        <v>0.2975313</v>
      </c>
      <c r="Z1473">
        <v>0.13873260000000001</v>
      </c>
      <c r="AA1473">
        <v>0.94457840000000004</v>
      </c>
      <c r="AB1473">
        <v>26</v>
      </c>
      <c r="AC1473">
        <v>4.5700000000010697E-2</v>
      </c>
      <c r="AD1473">
        <v>-0.1428159</v>
      </c>
      <c r="AE1473">
        <v>-0.543599999999969</v>
      </c>
      <c r="AF1473">
        <v>0.19953928378976399</v>
      </c>
      <c r="AG1473">
        <v>-0.1428159</v>
      </c>
      <c r="AH1473">
        <v>0.46991665824209999</v>
      </c>
      <c r="AI1473">
        <v>105.628550183672</v>
      </c>
      <c r="AJ1473">
        <v>66.992613888246595</v>
      </c>
      <c r="AK1473">
        <v>0.53012637433122001</v>
      </c>
      <c r="AL1473">
        <v>70.056320035001903</v>
      </c>
      <c r="AM1473">
        <v>82.267340361811094</v>
      </c>
      <c r="AN1473">
        <v>1.00000003359454</v>
      </c>
    </row>
    <row r="1474" spans="1:40" x14ac:dyDescent="0.25">
      <c r="A1474" t="str">
        <f>"20190304164357632"</f>
        <v>20190304164357632</v>
      </c>
      <c r="B1474" t="str">
        <f>"1551689037621075"</f>
        <v>1551689037621075</v>
      </c>
      <c r="C1474" t="s">
        <v>40</v>
      </c>
      <c r="D1474">
        <v>6.3329969999999998</v>
      </c>
      <c r="E1474">
        <v>0.58574009999999999</v>
      </c>
      <c r="F1474" t="s">
        <v>42</v>
      </c>
      <c r="G1474">
        <v>-193.25810000000001</v>
      </c>
      <c r="H1474" s="1">
        <v>-4.4619060000000002E-6</v>
      </c>
      <c r="I1474">
        <v>348.4</v>
      </c>
      <c r="J1474">
        <v>-194.1806</v>
      </c>
      <c r="K1474">
        <v>1.100754</v>
      </c>
      <c r="L1474">
        <v>353.94369999999998</v>
      </c>
      <c r="M1474">
        <v>0.45432689999999998</v>
      </c>
      <c r="N1474">
        <v>-1.420915E-2</v>
      </c>
      <c r="O1474">
        <v>-0.89072189999999996</v>
      </c>
      <c r="P1474">
        <v>0.32165909999999998</v>
      </c>
      <c r="Q1474">
        <v>0.3325147</v>
      </c>
      <c r="R1474">
        <v>-0.88654920000000004</v>
      </c>
      <c r="S1474">
        <v>0.60882569999999903</v>
      </c>
      <c r="T1474">
        <v>-0.64919079999999996</v>
      </c>
      <c r="U1474">
        <v>-3.4106139999999998</v>
      </c>
      <c r="V1474">
        <v>0.1247052</v>
      </c>
      <c r="W1474">
        <v>0.342833099999999</v>
      </c>
      <c r="X1474">
        <v>0.93108219999999997</v>
      </c>
      <c r="Y1474">
        <v>0.29203879999999999</v>
      </c>
      <c r="Z1474">
        <v>0.1383559</v>
      </c>
      <c r="AA1474">
        <v>0.94634620000000003</v>
      </c>
      <c r="AB1474">
        <v>26</v>
      </c>
      <c r="AC1474">
        <v>0.922499999999985</v>
      </c>
      <c r="AD1474">
        <v>-1.100758461906</v>
      </c>
      <c r="AE1474">
        <v>-5.5437000000000003</v>
      </c>
      <c r="AF1474">
        <v>1.6344291338150101</v>
      </c>
      <c r="AG1474">
        <v>-1.100758461906</v>
      </c>
      <c r="AH1474">
        <v>5.15960905433995</v>
      </c>
      <c r="AI1474">
        <v>101.496084650271</v>
      </c>
      <c r="AJ1474">
        <v>72.423160853880205</v>
      </c>
      <c r="AK1474">
        <v>5.5230963578908998</v>
      </c>
      <c r="AL1474">
        <v>69.950423703469696</v>
      </c>
      <c r="AM1474">
        <v>82.371445840270894</v>
      </c>
      <c r="AN1474">
        <v>0.99999999225974501</v>
      </c>
    </row>
    <row r="1475" spans="1:40" x14ac:dyDescent="0.25">
      <c r="A1475" t="str">
        <f>"20190304164357647"</f>
        <v>20190304164357647</v>
      </c>
      <c r="B1475" t="str">
        <f>"1551689037641569"</f>
        <v>1551689037641569</v>
      </c>
      <c r="C1475" t="s">
        <v>40</v>
      </c>
      <c r="D1475">
        <v>5.8238690000000002</v>
      </c>
      <c r="E1475">
        <v>0.5855051</v>
      </c>
      <c r="F1475" t="s">
        <v>41</v>
      </c>
      <c r="G1475">
        <v>-194.0575</v>
      </c>
      <c r="H1475">
        <v>0.96171719999999905</v>
      </c>
      <c r="I1475">
        <v>353.20499999999998</v>
      </c>
      <c r="J1475">
        <v>-194.11320000000001</v>
      </c>
      <c r="K1475">
        <v>1.100719</v>
      </c>
      <c r="L1475">
        <v>353.79149999999998</v>
      </c>
      <c r="M1475">
        <v>0.44653019999999999</v>
      </c>
      <c r="N1475">
        <v>-1.418702E-2</v>
      </c>
      <c r="O1475">
        <v>-0.89465609999999995</v>
      </c>
      <c r="P1475">
        <v>0.31541209999999997</v>
      </c>
      <c r="Q1475">
        <v>0.3327657</v>
      </c>
      <c r="R1475">
        <v>-0.88869679999999995</v>
      </c>
      <c r="S1475">
        <v>0.57002259999999905</v>
      </c>
      <c r="T1475">
        <v>-0.64300199999999996</v>
      </c>
      <c r="U1475">
        <v>-3.4182739999999998</v>
      </c>
      <c r="V1475">
        <v>0.1231082</v>
      </c>
      <c r="W1475">
        <v>0.343095599999999</v>
      </c>
      <c r="X1475">
        <v>0.93119810000000003</v>
      </c>
      <c r="Y1475">
        <v>0.29445900000000003</v>
      </c>
      <c r="Z1475">
        <v>0.13770170000000001</v>
      </c>
      <c r="AA1475">
        <v>0.94569130000000001</v>
      </c>
      <c r="AB1475">
        <v>26</v>
      </c>
      <c r="AC1475">
        <v>5.5700000000001602E-2</v>
      </c>
      <c r="AD1475">
        <v>-0.13900180000000001</v>
      </c>
      <c r="AE1475">
        <v>-0.58650000000000002</v>
      </c>
      <c r="AF1475">
        <v>0.20089551430795299</v>
      </c>
      <c r="AG1475">
        <v>-0.13900180000000001</v>
      </c>
      <c r="AH1475">
        <v>0.52065882727961199</v>
      </c>
      <c r="AI1475">
        <v>103.986347480088</v>
      </c>
      <c r="AJ1475">
        <v>68.900958474970807</v>
      </c>
      <c r="AK1475">
        <v>0.57512270212231897</v>
      </c>
      <c r="AL1475">
        <v>69.934413882639404</v>
      </c>
      <c r="AM1475">
        <v>82.468936585804997</v>
      </c>
      <c r="AN1475">
        <v>1.0000000605451</v>
      </c>
    </row>
    <row r="1476" spans="1:40" x14ac:dyDescent="0.25">
      <c r="A1476" t="str">
        <f>"20190304164357666"</f>
        <v>20190304164357666</v>
      </c>
      <c r="B1476" t="str">
        <f>"1551689037661089"</f>
        <v>1551689037661089</v>
      </c>
      <c r="C1476" t="s">
        <v>40</v>
      </c>
      <c r="D1476">
        <v>5.6623830000000002</v>
      </c>
      <c r="E1476">
        <v>0.58525869999999902</v>
      </c>
      <c r="F1476" t="s">
        <v>42</v>
      </c>
      <c r="G1476">
        <v>-193.172</v>
      </c>
      <c r="H1476" s="1">
        <v>-4.2764409999999999E-6</v>
      </c>
      <c r="I1476">
        <v>347.8999</v>
      </c>
      <c r="J1476">
        <v>-194.02029999999999</v>
      </c>
      <c r="K1476">
        <v>1.1006629999999999</v>
      </c>
      <c r="L1476">
        <v>353.5761</v>
      </c>
      <c r="M1476">
        <v>0.43544490000000002</v>
      </c>
      <c r="N1476">
        <v>-1.415073E-2</v>
      </c>
      <c r="O1476">
        <v>-0.90010419999999902</v>
      </c>
      <c r="P1476">
        <v>0.30787579999999998</v>
      </c>
      <c r="Q1476">
        <v>0.33274090000000001</v>
      </c>
      <c r="R1476">
        <v>-0.89134500000000005</v>
      </c>
      <c r="S1476">
        <v>0.54652400000000001</v>
      </c>
      <c r="T1476">
        <v>-0.63915690000000003</v>
      </c>
      <c r="U1476">
        <v>-3.4210820000000002</v>
      </c>
      <c r="V1476">
        <v>0.1195089</v>
      </c>
      <c r="W1476">
        <v>0.34312019999999999</v>
      </c>
      <c r="X1476">
        <v>0.93165770000000003</v>
      </c>
      <c r="Y1476">
        <v>0.28912870000000002</v>
      </c>
      <c r="Z1476">
        <v>0.13837360000000001</v>
      </c>
      <c r="AA1476">
        <v>0.94723670000000004</v>
      </c>
      <c r="AB1476">
        <v>26</v>
      </c>
      <c r="AC1476">
        <v>0.84829999999999395</v>
      </c>
      <c r="AD1476">
        <v>-1.1006672764409999</v>
      </c>
      <c r="AE1476">
        <v>-5.6761999999999899</v>
      </c>
      <c r="AF1476">
        <v>1.6476842429359899</v>
      </c>
      <c r="AG1476">
        <v>-1.1006672764409999</v>
      </c>
      <c r="AH1476">
        <v>5.2847387339903102</v>
      </c>
      <c r="AI1476">
        <v>101.245616328219</v>
      </c>
      <c r="AJ1476">
        <v>72.683482825997103</v>
      </c>
      <c r="AK1476">
        <v>5.6440052537524403</v>
      </c>
      <c r="AL1476">
        <v>69.932911199167904</v>
      </c>
      <c r="AM1476">
        <v>82.690271111983293</v>
      </c>
      <c r="AN1476">
        <v>0.99999995939826902</v>
      </c>
    </row>
    <row r="1477" spans="1:40" x14ac:dyDescent="0.25">
      <c r="A1477" t="str">
        <f>"20190304164357680"</f>
        <v>20190304164357680</v>
      </c>
      <c r="B1477" t="str">
        <f>"1551689037670850"</f>
        <v>1551689037670850</v>
      </c>
      <c r="C1477" t="s">
        <v>40</v>
      </c>
      <c r="D1477">
        <v>5.668946</v>
      </c>
      <c r="E1477">
        <v>0.5851305</v>
      </c>
      <c r="F1477" t="s">
        <v>42</v>
      </c>
      <c r="G1477">
        <v>-193.1267</v>
      </c>
      <c r="H1477" s="1">
        <v>-4.180199E-6</v>
      </c>
      <c r="I1477">
        <v>347.64069999999998</v>
      </c>
      <c r="J1477">
        <v>-193.95189999999999</v>
      </c>
      <c r="K1477">
        <v>1.100625</v>
      </c>
      <c r="L1477">
        <v>353.4128</v>
      </c>
      <c r="M1477">
        <v>0.42700280000000002</v>
      </c>
      <c r="N1477">
        <v>-1.412014E-2</v>
      </c>
      <c r="O1477">
        <v>-0.9041401</v>
      </c>
      <c r="P1477">
        <v>0.3008053</v>
      </c>
      <c r="Q1477">
        <v>0.332478</v>
      </c>
      <c r="R1477">
        <v>-0.89385400000000004</v>
      </c>
      <c r="S1477">
        <v>0.51559449999999996</v>
      </c>
      <c r="T1477">
        <v>-0.63507290000000005</v>
      </c>
      <c r="U1477">
        <v>-3.4246829999999999</v>
      </c>
      <c r="V1477">
        <v>0.1182208</v>
      </c>
      <c r="W1477">
        <v>0.34285680000000002</v>
      </c>
      <c r="X1477">
        <v>0.93191900000000005</v>
      </c>
      <c r="Y1477">
        <v>0.28867969999999998</v>
      </c>
      <c r="Z1477">
        <v>0.13843720000000001</v>
      </c>
      <c r="AA1477">
        <v>0.94736430000000005</v>
      </c>
      <c r="AB1477">
        <v>26</v>
      </c>
      <c r="AC1477">
        <v>0.82519999999999505</v>
      </c>
      <c r="AD1477">
        <v>-1.100629180199</v>
      </c>
      <c r="AE1477">
        <v>-5.7721000000000204</v>
      </c>
      <c r="AF1477">
        <v>1.6596430563759901</v>
      </c>
      <c r="AG1477">
        <v>-1.100629180199</v>
      </c>
      <c r="AH1477">
        <v>5.3800100913320703</v>
      </c>
      <c r="AI1477">
        <v>101.06110937417399</v>
      </c>
      <c r="AJ1477">
        <v>72.855881380902403</v>
      </c>
      <c r="AK1477">
        <v>5.7367506699975603</v>
      </c>
      <c r="AL1477">
        <v>69.948977983708502</v>
      </c>
      <c r="AM1477">
        <v>82.770225076238404</v>
      </c>
      <c r="AN1477">
        <v>0.99999998270993995</v>
      </c>
    </row>
    <row r="1478" spans="1:40" x14ac:dyDescent="0.25">
      <c r="A1478" t="str">
        <f>"20190304164357701"</f>
        <v>20190304164357701</v>
      </c>
      <c r="B1478" t="str">
        <f>"1551689037691345"</f>
        <v>1551689037691345</v>
      </c>
      <c r="C1478" t="s">
        <v>40</v>
      </c>
      <c r="D1478">
        <v>5.6566910000000004</v>
      </c>
      <c r="E1478">
        <v>0.58484209999999903</v>
      </c>
      <c r="F1478" t="s">
        <v>42</v>
      </c>
      <c r="G1478">
        <v>-193.10489999999999</v>
      </c>
      <c r="H1478" s="1">
        <v>-4.1173530000000004E-6</v>
      </c>
      <c r="I1478">
        <v>347.4674</v>
      </c>
      <c r="J1478">
        <v>-193.86240000000001</v>
      </c>
      <c r="K1478">
        <v>1.100581</v>
      </c>
      <c r="L1478">
        <v>353.19220000000001</v>
      </c>
      <c r="M1478">
        <v>0.4155567</v>
      </c>
      <c r="N1478">
        <v>-1.407605E-2</v>
      </c>
      <c r="O1478">
        <v>-0.90945860000000001</v>
      </c>
      <c r="P1478">
        <v>0.2917129</v>
      </c>
      <c r="Q1478">
        <v>0.33171400000000001</v>
      </c>
      <c r="R1478">
        <v>-0.89714539999999998</v>
      </c>
      <c r="S1478">
        <v>0.48838809999999999</v>
      </c>
      <c r="T1478">
        <v>-0.63459319999999997</v>
      </c>
      <c r="U1478">
        <v>-3.4279790000000001</v>
      </c>
      <c r="V1478">
        <v>0.1160307</v>
      </c>
      <c r="W1478">
        <v>0.34210600000000002</v>
      </c>
      <c r="X1478">
        <v>0.93247000000000002</v>
      </c>
      <c r="Y1478">
        <v>0.28412100000000001</v>
      </c>
      <c r="Z1478">
        <v>0.1397977</v>
      </c>
      <c r="AA1478">
        <v>0.948542</v>
      </c>
      <c r="AB1478">
        <v>26</v>
      </c>
      <c r="AC1478">
        <v>0.75750000000002105</v>
      </c>
      <c r="AD1478">
        <v>-1.1005851173529999</v>
      </c>
      <c r="AE1478">
        <v>-5.7248000000000099</v>
      </c>
      <c r="AF1478">
        <v>1.63098786043991</v>
      </c>
      <c r="AG1478">
        <v>-1.1005851173529999</v>
      </c>
      <c r="AH1478">
        <v>5.3282572212387</v>
      </c>
      <c r="AI1478">
        <v>101.172703311574</v>
      </c>
      <c r="AJ1478">
        <v>72.980568569937702</v>
      </c>
      <c r="AK1478">
        <v>5.6799413744442502</v>
      </c>
      <c r="AL1478">
        <v>69.994764351720306</v>
      </c>
      <c r="AM1478">
        <v>82.906932826500906</v>
      </c>
      <c r="AN1478">
        <v>0.99999996973924399</v>
      </c>
    </row>
    <row r="1479" spans="1:40" x14ac:dyDescent="0.25">
      <c r="A1479" t="str">
        <f>"20190304164357715"</f>
        <v>20190304164357715</v>
      </c>
      <c r="B1479" t="str">
        <f>"1551689037701105"</f>
        <v>1551689037701105</v>
      </c>
      <c r="C1479" t="s">
        <v>40</v>
      </c>
      <c r="D1479">
        <v>5.6636579999999999</v>
      </c>
      <c r="E1479">
        <v>0.58472080000000004</v>
      </c>
      <c r="F1479" t="s">
        <v>42</v>
      </c>
      <c r="G1479">
        <v>-193.07130000000001</v>
      </c>
      <c r="H1479" s="1">
        <v>-4.0395540000000003E-6</v>
      </c>
      <c r="I1479">
        <v>347.25630000000001</v>
      </c>
      <c r="J1479">
        <v>-193.7972</v>
      </c>
      <c r="K1479">
        <v>1.1005560000000001</v>
      </c>
      <c r="L1479">
        <v>353.02670000000001</v>
      </c>
      <c r="M1479">
        <v>0.4069449</v>
      </c>
      <c r="N1479">
        <v>-1.404099E-2</v>
      </c>
      <c r="O1479">
        <v>-0.91334499999999996</v>
      </c>
      <c r="P1479">
        <v>0.28436990000000001</v>
      </c>
      <c r="Q1479">
        <v>0.33124629999999999</v>
      </c>
      <c r="R1479">
        <v>-0.89967229999999998</v>
      </c>
      <c r="S1479">
        <v>0.45722960000000001</v>
      </c>
      <c r="T1479">
        <v>-0.63605019999999901</v>
      </c>
      <c r="U1479">
        <v>-3.43045</v>
      </c>
      <c r="V1479">
        <v>0.1149067</v>
      </c>
      <c r="W1479">
        <v>0.34163320000000003</v>
      </c>
      <c r="X1479">
        <v>0.93278249999999996</v>
      </c>
      <c r="Y1479">
        <v>0.28363379999999999</v>
      </c>
      <c r="Z1479">
        <v>0.14115720000000001</v>
      </c>
      <c r="AA1479">
        <v>0.94848639999999995</v>
      </c>
      <c r="AB1479">
        <v>26</v>
      </c>
      <c r="AC1479">
        <v>0.72589999999999499</v>
      </c>
      <c r="AD1479">
        <v>-1.1005600395539901</v>
      </c>
      <c r="AE1479">
        <v>-5.7703999999999898</v>
      </c>
      <c r="AF1479">
        <v>1.6271367774519701</v>
      </c>
      <c r="AG1479">
        <v>-1.1005600395539901</v>
      </c>
      <c r="AH1479">
        <v>5.3738796436245799</v>
      </c>
      <c r="AI1479">
        <v>101.089947234592</v>
      </c>
      <c r="AJ1479">
        <v>73.154410117823403</v>
      </c>
      <c r="AK1479">
        <v>5.7216596296321702</v>
      </c>
      <c r="AL1479">
        <v>70.023591135182301</v>
      </c>
      <c r="AM1479">
        <v>82.977284165054698</v>
      </c>
      <c r="AN1479">
        <v>0.99999999267668904</v>
      </c>
    </row>
    <row r="1480" spans="1:40" x14ac:dyDescent="0.25">
      <c r="A1480" t="str">
        <f>"20190304164357732"</f>
        <v>20190304164357732</v>
      </c>
      <c r="B1480" t="str">
        <f>"1551689037721601"</f>
        <v>1551689037721601</v>
      </c>
      <c r="C1480" t="s">
        <v>40</v>
      </c>
      <c r="D1480">
        <v>5.6409880000000001</v>
      </c>
      <c r="E1480">
        <v>0.58446409999999904</v>
      </c>
      <c r="F1480" t="s">
        <v>42</v>
      </c>
      <c r="G1480">
        <v>-193.0531</v>
      </c>
      <c r="H1480" s="1">
        <v>-3.9809609999999996E-6</v>
      </c>
      <c r="I1480">
        <v>347.09359999999998</v>
      </c>
      <c r="J1480">
        <v>-193.72120000000001</v>
      </c>
      <c r="K1480">
        <v>1.1005309999999999</v>
      </c>
      <c r="L1480">
        <v>352.82709999999997</v>
      </c>
      <c r="M1480">
        <v>0.39653110000000003</v>
      </c>
      <c r="N1480">
        <v>-1.3994009999999999E-2</v>
      </c>
      <c r="O1480">
        <v>-0.91791480000000003</v>
      </c>
      <c r="P1480">
        <v>0.27707929999999997</v>
      </c>
      <c r="Q1480">
        <v>0.33057809999999999</v>
      </c>
      <c r="R1480">
        <v>-0.90218940000000003</v>
      </c>
      <c r="S1480">
        <v>0.43052669999999998</v>
      </c>
      <c r="T1480">
        <v>-0.63678429999999997</v>
      </c>
      <c r="U1480">
        <v>-3.432922</v>
      </c>
      <c r="V1480">
        <v>0.1119221</v>
      </c>
      <c r="W1480">
        <v>0.34099990000000002</v>
      </c>
      <c r="X1480">
        <v>0.93337700000000001</v>
      </c>
      <c r="Y1480">
        <v>0.28010279999999999</v>
      </c>
      <c r="Z1480">
        <v>0.14261380000000001</v>
      </c>
      <c r="AA1480">
        <v>0.94931750000000004</v>
      </c>
      <c r="AB1480">
        <v>26</v>
      </c>
      <c r="AC1480">
        <v>0.66810000000000902</v>
      </c>
      <c r="AD1480">
        <v>-1.1005349809610001</v>
      </c>
      <c r="AE1480">
        <v>-5.7334999999999896</v>
      </c>
      <c r="AF1480">
        <v>1.6021746009516999</v>
      </c>
      <c r="AG1480">
        <v>-1.1005349809610001</v>
      </c>
      <c r="AH1480">
        <v>5.3344184155718404</v>
      </c>
      <c r="AI1480">
        <v>101.17702671064001</v>
      </c>
      <c r="AJ1480">
        <v>73.282536853975998</v>
      </c>
      <c r="AK1480">
        <v>5.6775135868305604</v>
      </c>
      <c r="AL1480">
        <v>70.062196083056193</v>
      </c>
      <c r="AM1480">
        <v>83.162257779381903</v>
      </c>
      <c r="AN1480">
        <v>1.0000000561986999</v>
      </c>
    </row>
    <row r="1481" spans="1:40" x14ac:dyDescent="0.25">
      <c r="A1481" t="str">
        <f>"20190304164357746"</f>
        <v>20190304164357746</v>
      </c>
      <c r="B1481" t="str">
        <f>"1551689037741654"</f>
        <v>1551689037741654</v>
      </c>
      <c r="C1481" t="s">
        <v>40</v>
      </c>
      <c r="D1481">
        <v>5.6553589999999998</v>
      </c>
      <c r="E1481">
        <v>0.58418919999999996</v>
      </c>
      <c r="F1481" t="s">
        <v>41</v>
      </c>
      <c r="G1481">
        <v>-193.63489999999999</v>
      </c>
      <c r="H1481">
        <v>0.96406700000000001</v>
      </c>
      <c r="I1481">
        <v>352.09100000000001</v>
      </c>
      <c r="J1481">
        <v>-193.66569999999999</v>
      </c>
      <c r="K1481">
        <v>1.100522</v>
      </c>
      <c r="L1481">
        <v>352.67599999999999</v>
      </c>
      <c r="M1481">
        <v>0.38863360000000002</v>
      </c>
      <c r="N1481">
        <v>-1.395448E-2</v>
      </c>
      <c r="O1481">
        <v>-0.92128679999999996</v>
      </c>
      <c r="P1481">
        <v>0.27118300000000001</v>
      </c>
      <c r="Q1481">
        <v>0.33007910000000001</v>
      </c>
      <c r="R1481">
        <v>-0.90416160000000001</v>
      </c>
      <c r="S1481">
        <v>0.4027405</v>
      </c>
      <c r="T1481">
        <v>-0.63650410000000002</v>
      </c>
      <c r="U1481">
        <v>-3.4347840000000001</v>
      </c>
      <c r="V1481">
        <v>0.1100539</v>
      </c>
      <c r="W1481">
        <v>0.34051399999999998</v>
      </c>
      <c r="X1481">
        <v>0.93377639999999995</v>
      </c>
      <c r="Y1481">
        <v>0.27950370000000002</v>
      </c>
      <c r="Z1481">
        <v>0.143453</v>
      </c>
      <c r="AA1481">
        <v>0.94936759999999998</v>
      </c>
      <c r="AB1481">
        <v>26</v>
      </c>
      <c r="AC1481">
        <v>3.07999999999992E-2</v>
      </c>
      <c r="AD1481">
        <v>-0.13645499999999999</v>
      </c>
      <c r="AE1481">
        <v>-0.58499999999997898</v>
      </c>
      <c r="AF1481">
        <v>0.18875299307080001</v>
      </c>
      <c r="AG1481">
        <v>-0.13645499999999999</v>
      </c>
      <c r="AH1481">
        <v>0.52261990421621096</v>
      </c>
      <c r="AI1481">
        <v>103.797232701658</v>
      </c>
      <c r="AJ1481">
        <v>70.141959660656397</v>
      </c>
      <c r="AK1481">
        <v>0.57217062464019197</v>
      </c>
      <c r="AL1481">
        <v>70.091807293884102</v>
      </c>
      <c r="AM1481">
        <v>83.2781891223824</v>
      </c>
      <c r="AN1481">
        <v>1.0000000051490801</v>
      </c>
    </row>
    <row r="1482" spans="1:40" x14ac:dyDescent="0.25">
      <c r="A1482" t="str">
        <f>"20190304164357768"</f>
        <v>20190304164357768</v>
      </c>
      <c r="B1482" t="str">
        <f>"1551689037761174"</f>
        <v>1551689037761174</v>
      </c>
      <c r="C1482" t="s">
        <v>40</v>
      </c>
      <c r="D1482">
        <v>5.6857430000000004</v>
      </c>
      <c r="E1482">
        <v>0.5839358</v>
      </c>
      <c r="F1482" t="s">
        <v>41</v>
      </c>
      <c r="G1482">
        <v>-193.57570000000001</v>
      </c>
      <c r="H1482">
        <v>0.94983609999999896</v>
      </c>
      <c r="I1482">
        <v>351.86219999999997</v>
      </c>
      <c r="J1482">
        <v>-193.57769999999999</v>
      </c>
      <c r="K1482">
        <v>1.1005049999999901</v>
      </c>
      <c r="L1482">
        <v>352.42939999999999</v>
      </c>
      <c r="M1482">
        <v>0.37572220000000001</v>
      </c>
      <c r="N1482">
        <v>-1.3885410000000001E-2</v>
      </c>
      <c r="O1482">
        <v>-0.92662840000000002</v>
      </c>
      <c r="P1482">
        <v>0.26208209999999998</v>
      </c>
      <c r="Q1482">
        <v>0.33047379999999998</v>
      </c>
      <c r="R1482">
        <v>-0.90669759999999999</v>
      </c>
      <c r="S1482">
        <v>0.38052370000000002</v>
      </c>
      <c r="T1482">
        <v>-0.6360133</v>
      </c>
      <c r="U1482">
        <v>-3.4360659999999998</v>
      </c>
      <c r="V1482">
        <v>0.1063323</v>
      </c>
      <c r="W1482">
        <v>0.34093849999999998</v>
      </c>
      <c r="X1482">
        <v>0.93405269999999996</v>
      </c>
      <c r="Y1482">
        <v>0.27221980000000001</v>
      </c>
      <c r="Z1482">
        <v>0.144983</v>
      </c>
      <c r="AA1482">
        <v>0.95124989999999998</v>
      </c>
      <c r="AB1482">
        <v>26</v>
      </c>
      <c r="AC1482">
        <v>1.9999999999811202E-3</v>
      </c>
      <c r="AD1482">
        <v>-0.15066889999999999</v>
      </c>
      <c r="AE1482">
        <v>-0.56720000000001303</v>
      </c>
      <c r="AF1482">
        <v>0.19735127311633399</v>
      </c>
      <c r="AG1482">
        <v>-0.15066889999999999</v>
      </c>
      <c r="AH1482">
        <v>0.49169118185886301</v>
      </c>
      <c r="AI1482">
        <v>105.87460056483501</v>
      </c>
      <c r="AJ1482">
        <v>68.130835434575502</v>
      </c>
      <c r="AK1482">
        <v>0.55082561736507296</v>
      </c>
      <c r="AL1482">
        <v>70.065937807369593</v>
      </c>
      <c r="AM1482">
        <v>83.505423516888698</v>
      </c>
      <c r="AN1482">
        <v>1.00000003259141</v>
      </c>
    </row>
    <row r="1483" spans="1:40" x14ac:dyDescent="0.25">
      <c r="A1483" t="str">
        <f>"20190304164357791"</f>
        <v>20190304164357791</v>
      </c>
      <c r="B1483" t="str">
        <f>"1551689037781669"</f>
        <v>1551689037781669</v>
      </c>
      <c r="C1483" t="s">
        <v>40</v>
      </c>
      <c r="D1483">
        <v>5.6696499999999999</v>
      </c>
      <c r="E1483">
        <v>0.57116089999999997</v>
      </c>
      <c r="F1483" t="s">
        <v>41</v>
      </c>
      <c r="G1483">
        <v>-193.49860000000001</v>
      </c>
      <c r="H1483">
        <v>0.95492770000000005</v>
      </c>
      <c r="I1483">
        <v>351.63549999999998</v>
      </c>
      <c r="J1483">
        <v>-193.4896</v>
      </c>
      <c r="K1483">
        <v>1.100498</v>
      </c>
      <c r="L1483">
        <v>352.17099999999999</v>
      </c>
      <c r="M1483">
        <v>0.36218149999999999</v>
      </c>
      <c r="N1483">
        <v>-1.380953E-2</v>
      </c>
      <c r="O1483">
        <v>-0.93200530000000004</v>
      </c>
      <c r="P1483">
        <v>0.25122729999999999</v>
      </c>
      <c r="Q1483">
        <v>0.33225310000000002</v>
      </c>
      <c r="R1483">
        <v>-0.90911649999999999</v>
      </c>
      <c r="S1483">
        <v>0.3429565</v>
      </c>
      <c r="T1483">
        <v>-0.63043919999999998</v>
      </c>
      <c r="U1483">
        <v>-3.4393310000000001</v>
      </c>
      <c r="V1483">
        <v>0.1036842</v>
      </c>
      <c r="W1483">
        <v>0.34270719999999999</v>
      </c>
      <c r="X1483">
        <v>0.93370310000000001</v>
      </c>
      <c r="Y1483">
        <v>0.26858480000000001</v>
      </c>
      <c r="Z1483">
        <v>0.14511760000000001</v>
      </c>
      <c r="AA1483">
        <v>0.9522621</v>
      </c>
      <c r="AB1483">
        <v>26</v>
      </c>
      <c r="AC1483">
        <v>-9.0000000000145502E-3</v>
      </c>
      <c r="AD1483">
        <v>-0.14557029999999899</v>
      </c>
      <c r="AE1483">
        <v>-0.53550000000001297</v>
      </c>
      <c r="AF1483">
        <v>0.188434713318894</v>
      </c>
      <c r="AG1483">
        <v>-0.14557029999999899</v>
      </c>
      <c r="AH1483">
        <v>0.46176321945429</v>
      </c>
      <c r="AI1483">
        <v>106.271533177598</v>
      </c>
      <c r="AJ1483">
        <v>67.800783495982003</v>
      </c>
      <c r="AK1483">
        <v>0.51954174448878998</v>
      </c>
      <c r="AL1483">
        <v>69.958103811182795</v>
      </c>
      <c r="AM1483">
        <v>83.663480917083604</v>
      </c>
      <c r="AN1483">
        <v>1.00000005860554</v>
      </c>
    </row>
    <row r="1484" spans="1:40" x14ac:dyDescent="0.25">
      <c r="A1484" t="str">
        <f>"20190304164357812"</f>
        <v>20190304164357812</v>
      </c>
      <c r="B1484" t="str">
        <f>"1551689037801190"</f>
        <v>1551689037801190</v>
      </c>
      <c r="C1484" t="s">
        <v>40</v>
      </c>
      <c r="D1484">
        <v>5.7185959999999998</v>
      </c>
      <c r="E1484">
        <v>0.57186910000000002</v>
      </c>
      <c r="F1484" t="s">
        <v>41</v>
      </c>
      <c r="G1484">
        <v>-193.4014</v>
      </c>
      <c r="H1484">
        <v>0.97582959999999996</v>
      </c>
      <c r="I1484">
        <v>351.40870000000001</v>
      </c>
      <c r="J1484">
        <v>-193.40690000000001</v>
      </c>
      <c r="K1484">
        <v>1.1004910000000001</v>
      </c>
      <c r="L1484">
        <v>351.91680000000002</v>
      </c>
      <c r="M1484">
        <v>0.34885830000000001</v>
      </c>
      <c r="N1484">
        <v>-1.3732960000000001E-2</v>
      </c>
      <c r="O1484">
        <v>-0.93707510000000005</v>
      </c>
      <c r="P1484">
        <v>0.24011350000000001</v>
      </c>
      <c r="Q1484">
        <v>0.33390180000000003</v>
      </c>
      <c r="R1484">
        <v>-0.91151289999999996</v>
      </c>
      <c r="S1484">
        <v>0.3933411</v>
      </c>
      <c r="T1484">
        <v>-0.55468790000000001</v>
      </c>
      <c r="U1484">
        <v>-3.3938899999999999</v>
      </c>
      <c r="V1484">
        <v>0.1015847</v>
      </c>
      <c r="W1484">
        <v>0.34433330000000001</v>
      </c>
      <c r="X1484">
        <v>0.93333549999999998</v>
      </c>
      <c r="Y1484">
        <v>0.2393615</v>
      </c>
      <c r="Z1484">
        <v>0.1301735</v>
      </c>
      <c r="AA1484">
        <v>0.96216469999999998</v>
      </c>
      <c r="AB1484">
        <v>26</v>
      </c>
      <c r="AC1484">
        <v>5.5000000000120499E-3</v>
      </c>
      <c r="AD1484">
        <v>-0.12466139999999901</v>
      </c>
      <c r="AE1484">
        <v>-0.50810000000001299</v>
      </c>
      <c r="AF1484">
        <v>0.16234580377489</v>
      </c>
      <c r="AG1484">
        <v>-0.12466139999999901</v>
      </c>
      <c r="AH1484">
        <v>0.45094950629210201</v>
      </c>
      <c r="AI1484">
        <v>104.57958825070099</v>
      </c>
      <c r="AJ1484">
        <v>70.200675811959599</v>
      </c>
      <c r="AK1484">
        <v>0.49522932251469698</v>
      </c>
      <c r="AL1484">
        <v>69.858897056611497</v>
      </c>
      <c r="AM1484">
        <v>83.788350115443606</v>
      </c>
      <c r="AN1484">
        <v>1.0000000141616101</v>
      </c>
    </row>
    <row r="1485" spans="1:40" x14ac:dyDescent="0.25">
      <c r="A1485" t="str">
        <f>"20190304164357837"</f>
        <v>20190304164357837</v>
      </c>
      <c r="B1485" t="str">
        <f>"1551689037831445"</f>
        <v>1551689037831445</v>
      </c>
      <c r="C1485" t="s">
        <v>40</v>
      </c>
      <c r="D1485">
        <v>5.6490200000000002</v>
      </c>
      <c r="E1485">
        <v>0.57203539999999997</v>
      </c>
      <c r="F1485" t="s">
        <v>41</v>
      </c>
      <c r="G1485">
        <v>-193.33109999999999</v>
      </c>
      <c r="H1485">
        <v>0.98471319999999996</v>
      </c>
      <c r="I1485">
        <v>351.17570000000001</v>
      </c>
      <c r="J1485">
        <v>-193.32310000000001</v>
      </c>
      <c r="K1485">
        <v>1.100498</v>
      </c>
      <c r="L1485">
        <v>351.64490000000001</v>
      </c>
      <c r="M1485">
        <v>0.33463710000000002</v>
      </c>
      <c r="N1485">
        <v>-1.3644170000000001E-2</v>
      </c>
      <c r="O1485">
        <v>-0.94224830000000004</v>
      </c>
      <c r="P1485">
        <v>0.23008809999999999</v>
      </c>
      <c r="Q1485">
        <v>0.33425660000000001</v>
      </c>
      <c r="R1485">
        <v>-0.91396520000000003</v>
      </c>
      <c r="S1485">
        <v>0.34768680000000002</v>
      </c>
      <c r="T1485">
        <v>-0.53026839999999997</v>
      </c>
      <c r="U1485">
        <v>-3.3938899999999999</v>
      </c>
      <c r="V1485">
        <v>9.7639409999999996E-2</v>
      </c>
      <c r="W1485">
        <v>0.34471049999999998</v>
      </c>
      <c r="X1485">
        <v>0.93361729999999998</v>
      </c>
      <c r="Y1485">
        <v>0.23740610000000001</v>
      </c>
      <c r="Z1485">
        <v>0.12533540000000001</v>
      </c>
      <c r="AA1485">
        <v>0.96329089999999995</v>
      </c>
      <c r="AB1485">
        <v>26</v>
      </c>
      <c r="AC1485">
        <v>-7.9999999999813502E-3</v>
      </c>
      <c r="AD1485">
        <v>-0.11578479999999999</v>
      </c>
      <c r="AE1485">
        <v>-0.46920000000000001</v>
      </c>
      <c r="AF1485">
        <v>0.15512153243843499</v>
      </c>
      <c r="AG1485">
        <v>-0.11578479999999999</v>
      </c>
      <c r="AH1485">
        <v>0.414248088376859</v>
      </c>
      <c r="AI1485">
        <v>104.668392419336</v>
      </c>
      <c r="AJ1485">
        <v>69.470818779444201</v>
      </c>
      <c r="AK1485">
        <v>0.45724204581487299</v>
      </c>
      <c r="AL1485">
        <v>69.835875867032399</v>
      </c>
      <c r="AM1485">
        <v>84.029605925510296</v>
      </c>
      <c r="AN1485">
        <v>1.00000002302734</v>
      </c>
    </row>
    <row r="1486" spans="1:40" x14ac:dyDescent="0.25">
      <c r="A1486" t="str">
        <f>"20190304164357857"</f>
        <v>20190304164357857</v>
      </c>
      <c r="B1486" t="str">
        <f>"1551689037850968"</f>
        <v>1551689037850968</v>
      </c>
      <c r="C1486" t="s">
        <v>40</v>
      </c>
      <c r="D1486">
        <v>5.6324839999999998</v>
      </c>
      <c r="E1486">
        <v>0.57171050000000001</v>
      </c>
      <c r="F1486" t="s">
        <v>41</v>
      </c>
      <c r="G1486">
        <v>-193.2389</v>
      </c>
      <c r="H1486">
        <v>0.95947800000000005</v>
      </c>
      <c r="I1486">
        <v>350.71319999999997</v>
      </c>
      <c r="J1486">
        <v>-193.24959999999999</v>
      </c>
      <c r="K1486">
        <v>1.1005229999999999</v>
      </c>
      <c r="L1486">
        <v>351.39370000000002</v>
      </c>
      <c r="M1486">
        <v>0.3215558</v>
      </c>
      <c r="N1486">
        <v>-1.355434E-2</v>
      </c>
      <c r="O1486">
        <v>-0.94679360000000001</v>
      </c>
      <c r="P1486">
        <v>0.22232279999999999</v>
      </c>
      <c r="Q1486">
        <v>0.33483800000000002</v>
      </c>
      <c r="R1486">
        <v>-0.91567259999999995</v>
      </c>
      <c r="S1486">
        <v>0.3070679</v>
      </c>
      <c r="T1486">
        <v>-0.51349619999999996</v>
      </c>
      <c r="U1486">
        <v>-3.392944</v>
      </c>
      <c r="V1486">
        <v>9.2524200000000001E-2</v>
      </c>
      <c r="W1486">
        <v>0.34534520000000002</v>
      </c>
      <c r="X1486">
        <v>0.93390359999999994</v>
      </c>
      <c r="Y1486">
        <v>0.2353259</v>
      </c>
      <c r="Z1486">
        <v>0.1222365</v>
      </c>
      <c r="AA1486">
        <v>0.96419909999999998</v>
      </c>
      <c r="AB1486">
        <v>26</v>
      </c>
      <c r="AC1486">
        <v>1.06999999999857E-2</v>
      </c>
      <c r="AD1486">
        <v>-0.141044999999999</v>
      </c>
      <c r="AE1486">
        <v>-0.68050000000005095</v>
      </c>
      <c r="AF1486">
        <v>0.200112595437763</v>
      </c>
      <c r="AG1486">
        <v>-0.141044999999999</v>
      </c>
      <c r="AH1486">
        <v>0.62111693705937399</v>
      </c>
      <c r="AI1486">
        <v>102.196399193595</v>
      </c>
      <c r="AJ1486">
        <v>72.142002236722504</v>
      </c>
      <c r="AK1486">
        <v>0.66762638682114395</v>
      </c>
      <c r="AL1486">
        <v>69.797130194863399</v>
      </c>
      <c r="AM1486">
        <v>84.3420251964545</v>
      </c>
      <c r="AN1486">
        <v>0.99999998442081905</v>
      </c>
    </row>
    <row r="1487" spans="1:40" x14ac:dyDescent="0.25">
      <c r="A1487" t="str">
        <f>"20190304164357880"</f>
        <v>20190304164357880</v>
      </c>
      <c r="B1487" t="str">
        <f>"1551689037871462"</f>
        <v>1551689037871462</v>
      </c>
      <c r="C1487" t="s">
        <v>40</v>
      </c>
      <c r="D1487">
        <v>5.6424180000000002</v>
      </c>
      <c r="E1487">
        <v>0.57162500000000005</v>
      </c>
      <c r="F1487" t="s">
        <v>41</v>
      </c>
      <c r="G1487">
        <v>-193.17500000000001</v>
      </c>
      <c r="H1487">
        <v>0.96370469999999997</v>
      </c>
      <c r="I1487">
        <v>350.48110000000003</v>
      </c>
      <c r="J1487">
        <v>-193.17779999999999</v>
      </c>
      <c r="K1487">
        <v>1.1005590000000001</v>
      </c>
      <c r="L1487">
        <v>351.13560000000001</v>
      </c>
      <c r="M1487">
        <v>0.30817280000000002</v>
      </c>
      <c r="N1487">
        <v>-1.3459E-2</v>
      </c>
      <c r="O1487">
        <v>-0.95123519999999995</v>
      </c>
      <c r="P1487">
        <v>0.21301129999999999</v>
      </c>
      <c r="Q1487">
        <v>0.33571649999999997</v>
      </c>
      <c r="R1487">
        <v>-0.91756230000000005</v>
      </c>
      <c r="S1487">
        <v>0.27796939999999998</v>
      </c>
      <c r="T1487">
        <v>-0.50860519999999998</v>
      </c>
      <c r="U1487">
        <v>-3.3947750000000001</v>
      </c>
      <c r="V1487">
        <v>8.8703160000000003E-2</v>
      </c>
      <c r="W1487">
        <v>0.34623920000000002</v>
      </c>
      <c r="X1487">
        <v>0.93394330000000003</v>
      </c>
      <c r="Y1487">
        <v>0.2298762</v>
      </c>
      <c r="Z1487">
        <v>0.12208090000000001</v>
      </c>
      <c r="AA1487">
        <v>0.96553259999999996</v>
      </c>
      <c r="AB1487">
        <v>26</v>
      </c>
      <c r="AC1487">
        <v>2.7999999999792601E-3</v>
      </c>
      <c r="AD1487">
        <v>-0.13685430000000001</v>
      </c>
      <c r="AE1487">
        <v>-0.65449999999998398</v>
      </c>
      <c r="AF1487">
        <v>0.19071540631763001</v>
      </c>
      <c r="AG1487">
        <v>-0.13685430000000001</v>
      </c>
      <c r="AH1487">
        <v>0.59738456507945104</v>
      </c>
      <c r="AI1487">
        <v>102.311056962122</v>
      </c>
      <c r="AJ1487">
        <v>72.294283697419402</v>
      </c>
      <c r="AK1487">
        <v>0.64184872378976798</v>
      </c>
      <c r="AL1487">
        <v>69.742539669435601</v>
      </c>
      <c r="AM1487">
        <v>84.574491866883307</v>
      </c>
      <c r="AN1487">
        <v>0.999999960912757</v>
      </c>
    </row>
    <row r="1488" spans="1:40" x14ac:dyDescent="0.25">
      <c r="A1488" t="str">
        <f>"20190304164357901"</f>
        <v>20190304164357901</v>
      </c>
      <c r="B1488" t="str">
        <f>"1551689037890990"</f>
        <v>1551689037890990</v>
      </c>
      <c r="C1488" t="s">
        <v>40</v>
      </c>
      <c r="D1488">
        <v>5.7066089999999896</v>
      </c>
      <c r="E1488">
        <v>0.57122329999999999</v>
      </c>
      <c r="F1488" t="s">
        <v>41</v>
      </c>
      <c r="G1488">
        <v>-193.11359999999999</v>
      </c>
      <c r="H1488">
        <v>0.96980540000000004</v>
      </c>
      <c r="I1488">
        <v>350.24720000000002</v>
      </c>
      <c r="J1488">
        <v>-193.11250000000001</v>
      </c>
      <c r="K1488">
        <v>1.1006049999999901</v>
      </c>
      <c r="L1488">
        <v>350.88799999999998</v>
      </c>
      <c r="M1488">
        <v>0.29541600000000001</v>
      </c>
      <c r="N1488">
        <v>-1.336441E-2</v>
      </c>
      <c r="O1488">
        <v>-0.9552754</v>
      </c>
      <c r="P1488">
        <v>0.20408850000000001</v>
      </c>
      <c r="Q1488">
        <v>0.33629989999999998</v>
      </c>
      <c r="R1488">
        <v>-0.91937530000000001</v>
      </c>
      <c r="S1488">
        <v>0.24575810000000001</v>
      </c>
      <c r="T1488">
        <v>-0.49955359999999999</v>
      </c>
      <c r="U1488">
        <v>-3.3952939999999998</v>
      </c>
      <c r="V1488">
        <v>8.5158090000000006E-2</v>
      </c>
      <c r="W1488">
        <v>0.34683360000000002</v>
      </c>
      <c r="X1488">
        <v>0.93405280000000002</v>
      </c>
      <c r="Y1488">
        <v>0.2259671</v>
      </c>
      <c r="Z1488">
        <v>0.12074650000000001</v>
      </c>
      <c r="AA1488">
        <v>0.96662250000000005</v>
      </c>
      <c r="AB1488">
        <v>26</v>
      </c>
      <c r="AC1488">
        <v>-1.09999999997967E-3</v>
      </c>
      <c r="AD1488">
        <v>-0.13079959999999899</v>
      </c>
      <c r="AE1488">
        <v>-0.64080000000001203</v>
      </c>
      <c r="AF1488">
        <v>0.18275590770761399</v>
      </c>
      <c r="AG1488">
        <v>-0.13079959999999899</v>
      </c>
      <c r="AH1488">
        <v>0.58739646743125795</v>
      </c>
      <c r="AI1488">
        <v>102.003666455236</v>
      </c>
      <c r="AJ1488">
        <v>72.717582049788007</v>
      </c>
      <c r="AK1488">
        <v>0.62892198809781996</v>
      </c>
      <c r="AL1488">
        <v>69.706235063811405</v>
      </c>
      <c r="AM1488">
        <v>84.7907147963531</v>
      </c>
      <c r="AN1488">
        <v>1.00000003978462</v>
      </c>
    </row>
    <row r="1489" spans="1:40" x14ac:dyDescent="0.25">
      <c r="A1489" t="str">
        <f>"20190304164357923"</f>
        <v>20190304164357923</v>
      </c>
      <c r="B1489" t="str">
        <f>"1551689037911478"</f>
        <v>1551689037911478</v>
      </c>
      <c r="C1489" t="s">
        <v>40</v>
      </c>
      <c r="D1489">
        <v>5.6340560000000002</v>
      </c>
      <c r="E1489">
        <v>0.57073629999999997</v>
      </c>
      <c r="F1489" t="s">
        <v>41</v>
      </c>
      <c r="G1489">
        <v>-193.05600000000001</v>
      </c>
      <c r="H1489">
        <v>0.97303580000000001</v>
      </c>
      <c r="I1489">
        <v>350.01350000000002</v>
      </c>
      <c r="J1489">
        <v>-193.0506</v>
      </c>
      <c r="K1489">
        <v>1.1006830000000001</v>
      </c>
      <c r="L1489">
        <v>350.64069999999998</v>
      </c>
      <c r="M1489">
        <v>0.28279850000000001</v>
      </c>
      <c r="N1489">
        <v>-1.326106E-2</v>
      </c>
      <c r="O1489">
        <v>-0.95908789999999999</v>
      </c>
      <c r="P1489">
        <v>0.19614470000000001</v>
      </c>
      <c r="Q1489">
        <v>0.33597690000000002</v>
      </c>
      <c r="R1489">
        <v>-0.92122029999999999</v>
      </c>
      <c r="S1489">
        <v>0.219635</v>
      </c>
      <c r="T1489">
        <v>-0.4950252</v>
      </c>
      <c r="U1489">
        <v>-3.3954469999999999</v>
      </c>
      <c r="V1489">
        <v>8.0840739999999994E-2</v>
      </c>
      <c r="W1489">
        <v>0.34654059999999998</v>
      </c>
      <c r="X1489">
        <v>0.93454499999999996</v>
      </c>
      <c r="Y1489">
        <v>0.22053739999999999</v>
      </c>
      <c r="Z1489">
        <v>0.1205671</v>
      </c>
      <c r="AA1489">
        <v>0.96789820000000004</v>
      </c>
      <c r="AB1489">
        <v>26</v>
      </c>
      <c r="AC1489">
        <v>-5.3999999999802999E-3</v>
      </c>
      <c r="AD1489">
        <v>-0.12764719999999999</v>
      </c>
      <c r="AE1489">
        <v>-0.62719999999995901</v>
      </c>
      <c r="AF1489">
        <v>0.17530567692121199</v>
      </c>
      <c r="AG1489">
        <v>-0.12764719999999999</v>
      </c>
      <c r="AH1489">
        <v>0.57620095354858003</v>
      </c>
      <c r="AI1489">
        <v>101.96621963097</v>
      </c>
      <c r="AJ1489">
        <v>73.077932125324494</v>
      </c>
      <c r="AK1489">
        <v>0.61565690680681695</v>
      </c>
      <c r="AL1489">
        <v>69.724131561822503</v>
      </c>
      <c r="AM1489">
        <v>85.0560626967128</v>
      </c>
      <c r="AN1489">
        <v>0.99999998485855301</v>
      </c>
    </row>
    <row r="1490" spans="1:40" x14ac:dyDescent="0.25">
      <c r="A1490" t="str">
        <f>"20190304164357937"</f>
        <v>20190304164357937</v>
      </c>
      <c r="B1490" t="str">
        <f>"1551689037930997"</f>
        <v>1551689037930997</v>
      </c>
      <c r="C1490" t="s">
        <v>40</v>
      </c>
      <c r="D1490">
        <v>5.6867720000000004</v>
      </c>
      <c r="E1490">
        <v>0.57013849999999999</v>
      </c>
      <c r="F1490" t="s">
        <v>41</v>
      </c>
      <c r="G1490">
        <v>-193.00139999999999</v>
      </c>
      <c r="H1490">
        <v>0.97466909999999896</v>
      </c>
      <c r="I1490">
        <v>349.77949999999998</v>
      </c>
      <c r="J1490">
        <v>-193.0094</v>
      </c>
      <c r="K1490">
        <v>1.100749</v>
      </c>
      <c r="L1490">
        <v>350.46859999999998</v>
      </c>
      <c r="M1490">
        <v>0.27409359999999999</v>
      </c>
      <c r="N1490">
        <v>-1.3180890000000001E-2</v>
      </c>
      <c r="O1490">
        <v>-0.96161280000000005</v>
      </c>
      <c r="P1490">
        <v>0.19055259999999999</v>
      </c>
      <c r="Q1490">
        <v>0.33593000000000001</v>
      </c>
      <c r="R1490">
        <v>-0.92241050000000002</v>
      </c>
      <c r="S1490">
        <v>0.1941833</v>
      </c>
      <c r="T1490">
        <v>-0.4966933</v>
      </c>
      <c r="U1490">
        <v>-3.3963619999999999</v>
      </c>
      <c r="V1490">
        <v>7.7966140000000003E-2</v>
      </c>
      <c r="W1490">
        <v>0.34650399999999998</v>
      </c>
      <c r="X1490">
        <v>0.93480280000000004</v>
      </c>
      <c r="Y1490">
        <v>0.2189488</v>
      </c>
      <c r="Z1490">
        <v>0.1216303</v>
      </c>
      <c r="AA1490">
        <v>0.96812580000000004</v>
      </c>
      <c r="AB1490">
        <v>26</v>
      </c>
      <c r="AC1490">
        <v>8.0000000000097701E-3</v>
      </c>
      <c r="AD1490">
        <v>-0.12607989999999999</v>
      </c>
      <c r="AE1490">
        <v>-0.68909999999999605</v>
      </c>
      <c r="AF1490">
        <v>0.17533217594450501</v>
      </c>
      <c r="AG1490">
        <v>-0.12607989999999999</v>
      </c>
      <c r="AH1490">
        <v>0.64336378960938201</v>
      </c>
      <c r="AI1490">
        <v>100.70677093004601</v>
      </c>
      <c r="AJ1490">
        <v>74.755713716741198</v>
      </c>
      <c r="AK1490">
        <v>0.67864164246381897</v>
      </c>
      <c r="AL1490">
        <v>69.726367585902906</v>
      </c>
      <c r="AM1490">
        <v>85.232346651011198</v>
      </c>
      <c r="AN1490">
        <v>1.0000000079451601</v>
      </c>
    </row>
    <row r="1491" spans="1:40" x14ac:dyDescent="0.25">
      <c r="A1491" t="str">
        <f>"20190304164357957"</f>
        <v>20190304164357957</v>
      </c>
      <c r="B1491" t="str">
        <f>"1551689037951026"</f>
        <v>1551689037951026</v>
      </c>
      <c r="C1491" t="s">
        <v>40</v>
      </c>
      <c r="D1491">
        <v>5.6893010000000004</v>
      </c>
      <c r="E1491">
        <v>0.56951580000000002</v>
      </c>
      <c r="F1491" t="s">
        <v>41</v>
      </c>
      <c r="G1491">
        <v>-192.96190000000001</v>
      </c>
      <c r="H1491">
        <v>0.96594869999999999</v>
      </c>
      <c r="I1491">
        <v>349.54570000000001</v>
      </c>
      <c r="J1491">
        <v>-192.95330000000001</v>
      </c>
      <c r="K1491">
        <v>1.1008629999999999</v>
      </c>
      <c r="L1491">
        <v>350.22269999999997</v>
      </c>
      <c r="M1491">
        <v>0.26184109999999999</v>
      </c>
      <c r="N1491">
        <v>-1.3049079999999999E-2</v>
      </c>
      <c r="O1491">
        <v>-0.96502299999999996</v>
      </c>
      <c r="P1491">
        <v>0.18434539999999999</v>
      </c>
      <c r="Q1491">
        <v>0.33683970000000002</v>
      </c>
      <c r="R1491">
        <v>-0.92333980000000004</v>
      </c>
      <c r="S1491">
        <v>0.17510990000000001</v>
      </c>
      <c r="T1491">
        <v>-0.49592510000000001</v>
      </c>
      <c r="U1491">
        <v>-3.3967900000000002</v>
      </c>
      <c r="V1491">
        <v>7.2155910000000004E-2</v>
      </c>
      <c r="W1491">
        <v>0.34745209999999999</v>
      </c>
      <c r="X1491">
        <v>0.93491740000000001</v>
      </c>
      <c r="Y1491">
        <v>0.21197659999999999</v>
      </c>
      <c r="Z1491">
        <v>0.1223862</v>
      </c>
      <c r="AA1491">
        <v>0.96958109999999997</v>
      </c>
      <c r="AB1491">
        <v>26</v>
      </c>
      <c r="AC1491">
        <v>-8.6000000000012698E-3</v>
      </c>
      <c r="AD1491">
        <v>-0.13491429999999999</v>
      </c>
      <c r="AE1491">
        <v>-0.67699999999996396</v>
      </c>
      <c r="AF1491">
        <v>0.178493901954936</v>
      </c>
      <c r="AG1491">
        <v>-0.13491429999999999</v>
      </c>
      <c r="AH1491">
        <v>0.626257158188813</v>
      </c>
      <c r="AI1491">
        <v>101.704875821225</v>
      </c>
      <c r="AJ1491">
        <v>74.091550136587301</v>
      </c>
      <c r="AK1491">
        <v>0.66502629238423105</v>
      </c>
      <c r="AL1491">
        <v>69.668446679124301</v>
      </c>
      <c r="AM1491">
        <v>85.586722747789295</v>
      </c>
      <c r="AN1491">
        <v>0.99999999098254899</v>
      </c>
    </row>
    <row r="1492" spans="1:40" x14ac:dyDescent="0.25">
      <c r="A1492" t="str">
        <f>"20190304164357971"</f>
        <v>20190304164357971</v>
      </c>
      <c r="B1492" t="str">
        <f>"1551689037961762"</f>
        <v>1551689037961762</v>
      </c>
      <c r="C1492" t="s">
        <v>40</v>
      </c>
      <c r="D1492">
        <v>5.6745130000000001</v>
      </c>
      <c r="E1492">
        <v>0.569272</v>
      </c>
      <c r="F1492" t="s">
        <v>41</v>
      </c>
      <c r="G1492">
        <v>-192.91319999999999</v>
      </c>
      <c r="H1492">
        <v>0.96895339999999996</v>
      </c>
      <c r="I1492">
        <v>349.30939999999998</v>
      </c>
      <c r="J1492">
        <v>-192.91829999999999</v>
      </c>
      <c r="K1492">
        <v>1.100954</v>
      </c>
      <c r="L1492">
        <v>350.06240000000003</v>
      </c>
      <c r="M1492">
        <v>0.25395800000000002</v>
      </c>
      <c r="N1492">
        <v>-1.295584E-2</v>
      </c>
      <c r="O1492">
        <v>-0.96712849999999995</v>
      </c>
      <c r="P1492">
        <v>0.1787637</v>
      </c>
      <c r="Q1492">
        <v>0.337603599999999</v>
      </c>
      <c r="R1492">
        <v>-0.92415780000000003</v>
      </c>
      <c r="S1492">
        <v>0.14942929999999999</v>
      </c>
      <c r="T1492">
        <v>-0.49083759999999999</v>
      </c>
      <c r="U1492">
        <v>-3.398285</v>
      </c>
      <c r="V1492">
        <v>7.0025340000000005E-2</v>
      </c>
      <c r="W1492">
        <v>0.34819290000000003</v>
      </c>
      <c r="X1492">
        <v>0.93480379999999996</v>
      </c>
      <c r="Y1492">
        <v>0.2113343</v>
      </c>
      <c r="Z1492">
        <v>0.12152209999999999</v>
      </c>
      <c r="AA1492">
        <v>0.96982999999999997</v>
      </c>
      <c r="AB1492">
        <v>26</v>
      </c>
      <c r="AC1492">
        <v>5.0999999999987696E-3</v>
      </c>
      <c r="AD1492">
        <v>-0.1320006</v>
      </c>
      <c r="AE1492">
        <v>-0.75300000000004197</v>
      </c>
      <c r="AF1492">
        <v>0.18075918492583601</v>
      </c>
      <c r="AG1492">
        <v>-0.1320006</v>
      </c>
      <c r="AH1492">
        <v>0.70785287625269</v>
      </c>
      <c r="AI1492">
        <v>100.24182740799699</v>
      </c>
      <c r="AJ1492">
        <v>75.674940255235498</v>
      </c>
      <c r="AK1492">
        <v>0.74239728970048002</v>
      </c>
      <c r="AL1492">
        <v>69.623175300690207</v>
      </c>
      <c r="AM1492">
        <v>85.716024013305301</v>
      </c>
      <c r="AN1492">
        <v>0.99999999417348195</v>
      </c>
    </row>
    <row r="1493" spans="1:40" x14ac:dyDescent="0.25">
      <c r="A1493" t="str">
        <f>"20190304164357993"</f>
        <v>20190304164357993</v>
      </c>
      <c r="B1493" t="str">
        <f>"1551689037981281"</f>
        <v>1551689037981281</v>
      </c>
      <c r="C1493" t="s">
        <v>40</v>
      </c>
      <c r="D1493">
        <v>5.6780189999999999</v>
      </c>
      <c r="E1493">
        <v>0.5687238</v>
      </c>
      <c r="F1493" t="s">
        <v>41</v>
      </c>
      <c r="G1493">
        <v>-192.88910000000001</v>
      </c>
      <c r="H1493">
        <v>0.99228749999999999</v>
      </c>
      <c r="I1493">
        <v>349.30500000000001</v>
      </c>
      <c r="J1493">
        <v>-192.8647</v>
      </c>
      <c r="K1493">
        <v>1.1011219999999999</v>
      </c>
      <c r="L1493">
        <v>349.80540000000002</v>
      </c>
      <c r="M1493">
        <v>0.24152100000000001</v>
      </c>
      <c r="N1493">
        <v>-1.2799690000000001E-2</v>
      </c>
      <c r="O1493">
        <v>-0.97031129999999999</v>
      </c>
      <c r="P1493">
        <v>0.16937179999999999</v>
      </c>
      <c r="Q1493">
        <v>0.33930060000000001</v>
      </c>
      <c r="R1493">
        <v>-0.92530449999999997</v>
      </c>
      <c r="S1493">
        <v>0.13084409999999999</v>
      </c>
      <c r="T1493">
        <v>-0.48770760000000002</v>
      </c>
      <c r="U1493">
        <v>-3.3990480000000001</v>
      </c>
      <c r="V1493">
        <v>6.723461E-2</v>
      </c>
      <c r="W1493">
        <v>0.34983059999999899</v>
      </c>
      <c r="X1493">
        <v>0.93439720000000004</v>
      </c>
      <c r="Y1493">
        <v>0.20409730000000001</v>
      </c>
      <c r="Z1493">
        <v>0.121589</v>
      </c>
      <c r="AA1493">
        <v>0.97137039999999997</v>
      </c>
      <c r="AB1493">
        <v>26</v>
      </c>
      <c r="AC1493">
        <v>-2.4400000000014101E-2</v>
      </c>
      <c r="AD1493">
        <v>-0.108834499999999</v>
      </c>
      <c r="AE1493">
        <v>-0.50040000000001295</v>
      </c>
      <c r="AF1493">
        <v>0.138030604851408</v>
      </c>
      <c r="AG1493">
        <v>-0.108834499999999</v>
      </c>
      <c r="AH1493">
        <v>0.45807259618436802</v>
      </c>
      <c r="AI1493">
        <v>102.816033068262</v>
      </c>
      <c r="AJ1493">
        <v>73.230917096569499</v>
      </c>
      <c r="AK1493">
        <v>0.49064029557404198</v>
      </c>
      <c r="AL1493">
        <v>69.523046529535094</v>
      </c>
      <c r="AM1493">
        <v>85.884371689259197</v>
      </c>
      <c r="AN1493">
        <v>1.00000003442302</v>
      </c>
    </row>
    <row r="1494" spans="1:40" x14ac:dyDescent="0.25">
      <c r="A1494" t="str">
        <f>"20190304164358016"</f>
        <v>20190304164358016</v>
      </c>
      <c r="B1494" t="str">
        <f>"1551689038011538"</f>
        <v>1551689038011538</v>
      </c>
      <c r="C1494" t="s">
        <v>40</v>
      </c>
      <c r="D1494">
        <v>5.6875330000000002</v>
      </c>
      <c r="E1494">
        <v>0.5610366</v>
      </c>
      <c r="F1494" t="s">
        <v>41</v>
      </c>
      <c r="G1494">
        <v>-192.84209999999999</v>
      </c>
      <c r="H1494">
        <v>0.99636440000000004</v>
      </c>
      <c r="I1494">
        <v>349.06709999999998</v>
      </c>
      <c r="J1494">
        <v>-192.8142</v>
      </c>
      <c r="K1494">
        <v>1.101326</v>
      </c>
      <c r="L1494">
        <v>349.54750000000001</v>
      </c>
      <c r="M1494">
        <v>0.2293781</v>
      </c>
      <c r="N1494">
        <v>-1.2640480000000001E-2</v>
      </c>
      <c r="O1494">
        <v>-0.97325539999999999</v>
      </c>
      <c r="P1494">
        <v>0.1612632</v>
      </c>
      <c r="Q1494">
        <v>0.34051679999999901</v>
      </c>
      <c r="R1494">
        <v>-0.92630610000000002</v>
      </c>
      <c r="S1494">
        <v>0.1049042</v>
      </c>
      <c r="T1494">
        <v>-0.48218539999999999</v>
      </c>
      <c r="U1494">
        <v>-3.3997799999999998</v>
      </c>
      <c r="V1494">
        <v>6.3458760000000003E-2</v>
      </c>
      <c r="W1494">
        <v>0.35101280000000001</v>
      </c>
      <c r="X1494">
        <v>0.93421790000000005</v>
      </c>
      <c r="Y1494">
        <v>0.19928170000000001</v>
      </c>
      <c r="Z1494">
        <v>0.12091209999999999</v>
      </c>
      <c r="AA1494">
        <v>0.97245409999999999</v>
      </c>
      <c r="AB1494">
        <v>27</v>
      </c>
      <c r="AC1494">
        <v>-2.7899999999988202E-2</v>
      </c>
      <c r="AD1494">
        <v>-0.1049616</v>
      </c>
      <c r="AE1494">
        <v>-0.48040000000003102</v>
      </c>
      <c r="AF1494">
        <v>0.13111980552657801</v>
      </c>
      <c r="AG1494">
        <v>-0.1049616</v>
      </c>
      <c r="AH1494">
        <v>0.44024379224169002</v>
      </c>
      <c r="AI1494">
        <v>102.870991998695</v>
      </c>
      <c r="AJ1494">
        <v>73.414650980144998</v>
      </c>
      <c r="AK1494">
        <v>0.47119416113024198</v>
      </c>
      <c r="AL1494">
        <v>69.450725910813105</v>
      </c>
      <c r="AM1494">
        <v>86.114030367183403</v>
      </c>
      <c r="AN1494">
        <v>1.00000004233249</v>
      </c>
    </row>
    <row r="1495" spans="1:40" x14ac:dyDescent="0.25">
      <c r="A1495" t="str">
        <f>"20190304164358036"</f>
        <v>20190304164358036</v>
      </c>
      <c r="B1495" t="str">
        <f>"1551689038031058"</f>
        <v>1551689038031058</v>
      </c>
      <c r="C1495" t="s">
        <v>40</v>
      </c>
      <c r="D1495">
        <v>5.6861050000000004</v>
      </c>
      <c r="E1495">
        <v>0.5605502</v>
      </c>
      <c r="F1495" t="s">
        <v>41</v>
      </c>
      <c r="G1495">
        <v>-192.77549999999999</v>
      </c>
      <c r="H1495">
        <v>0.9669143</v>
      </c>
      <c r="I1495">
        <v>348.60250000000002</v>
      </c>
      <c r="J1495">
        <v>-192.7679</v>
      </c>
      <c r="K1495">
        <v>1.1015629999999901</v>
      </c>
      <c r="L1495">
        <v>349.29660000000001</v>
      </c>
      <c r="M1495">
        <v>0.2179101</v>
      </c>
      <c r="N1495">
        <v>-1.248209E-2</v>
      </c>
      <c r="O1495">
        <v>-0.97588909999999995</v>
      </c>
      <c r="P1495">
        <v>0.16010239999999901</v>
      </c>
      <c r="Q1495">
        <v>0.34218579999999998</v>
      </c>
      <c r="R1495">
        <v>-0.92589219999999905</v>
      </c>
      <c r="S1495">
        <v>0.1393585</v>
      </c>
      <c r="T1495">
        <v>-0.48228759999999998</v>
      </c>
      <c r="U1495">
        <v>-3.3916930000000001</v>
      </c>
      <c r="V1495">
        <v>5.3277629999999999E-2</v>
      </c>
      <c r="W1495">
        <v>0.3527901</v>
      </c>
      <c r="X1495">
        <v>0.93418449999999997</v>
      </c>
      <c r="Y1495">
        <v>0.17780199999999999</v>
      </c>
      <c r="Z1495">
        <v>0.12224169999999999</v>
      </c>
      <c r="AA1495">
        <v>0.97644419999999998</v>
      </c>
      <c r="AB1495">
        <v>27</v>
      </c>
      <c r="AC1495">
        <v>-7.5999999999964898E-3</v>
      </c>
      <c r="AD1495">
        <v>-0.13464869999999901</v>
      </c>
      <c r="AE1495">
        <v>-0.69409999999999095</v>
      </c>
      <c r="AF1495">
        <v>0.15292623829735599</v>
      </c>
      <c r="AG1495">
        <v>-0.13464869999999901</v>
      </c>
      <c r="AH1495">
        <v>0.65125581482571104</v>
      </c>
      <c r="AI1495">
        <v>101.380306374217</v>
      </c>
      <c r="AJ1495">
        <v>76.785360453480607</v>
      </c>
      <c r="AK1495">
        <v>0.68238613930513803</v>
      </c>
      <c r="AL1495">
        <v>69.341935077021702</v>
      </c>
      <c r="AM1495">
        <v>86.7358907994861</v>
      </c>
      <c r="AN1495">
        <v>1.0000000202783299</v>
      </c>
    </row>
    <row r="1496" spans="1:40" x14ac:dyDescent="0.25">
      <c r="A1496" t="str">
        <f>"20190304164358058"</f>
        <v>20190304164358058</v>
      </c>
      <c r="B1496" t="str">
        <f>"1551689038051085"</f>
        <v>1551689038051085</v>
      </c>
      <c r="C1496" t="s">
        <v>40</v>
      </c>
      <c r="D1496">
        <v>5.6638060000000001</v>
      </c>
      <c r="E1496">
        <v>0.56026739999999997</v>
      </c>
      <c r="F1496" t="s">
        <v>41</v>
      </c>
      <c r="G1496">
        <v>-192.7313</v>
      </c>
      <c r="H1496">
        <v>0.97083450000000004</v>
      </c>
      <c r="I1496">
        <v>348.3639</v>
      </c>
      <c r="J1496">
        <v>-192.72</v>
      </c>
      <c r="K1496">
        <v>1.1018269999999999</v>
      </c>
      <c r="L1496">
        <v>349.01990000000001</v>
      </c>
      <c r="M1496">
        <v>0.20562520000000001</v>
      </c>
      <c r="N1496">
        <v>-1.23117E-2</v>
      </c>
      <c r="O1496">
        <v>-0.97855340000000002</v>
      </c>
      <c r="P1496">
        <v>0.15396409999999999</v>
      </c>
      <c r="Q1496">
        <v>0.34336630000000001</v>
      </c>
      <c r="R1496">
        <v>-0.92649599999999999</v>
      </c>
      <c r="S1496">
        <v>0.1333618</v>
      </c>
      <c r="T1496">
        <v>-0.47544930000000002</v>
      </c>
      <c r="U1496">
        <v>-3.3927610000000001</v>
      </c>
      <c r="V1496">
        <v>4.7403899999999999E-2</v>
      </c>
      <c r="W1496">
        <v>0.35396319999999998</v>
      </c>
      <c r="X1496">
        <v>0.93405720000000003</v>
      </c>
      <c r="Y1496">
        <v>0.16716829999999999</v>
      </c>
      <c r="Z1496">
        <v>0.1211733</v>
      </c>
      <c r="AA1496">
        <v>0.97845380000000004</v>
      </c>
      <c r="AB1496">
        <v>27</v>
      </c>
      <c r="AC1496">
        <v>-1.1300000000005601E-2</v>
      </c>
      <c r="AD1496">
        <v>-0.13099250000000001</v>
      </c>
      <c r="AE1496">
        <v>-0.65600000000000502</v>
      </c>
      <c r="AF1496">
        <v>0.1403637004837</v>
      </c>
      <c r="AG1496">
        <v>-0.13099250000000001</v>
      </c>
      <c r="AH1496">
        <v>0.61513554979940199</v>
      </c>
      <c r="AI1496">
        <v>101.72870770506</v>
      </c>
      <c r="AJ1496">
        <v>77.146130596815894</v>
      </c>
      <c r="AK1496">
        <v>0.64440107704498795</v>
      </c>
      <c r="AL1496">
        <v>69.270084552870799</v>
      </c>
      <c r="AM1496">
        <v>87.094701298130801</v>
      </c>
      <c r="AN1496">
        <v>0.99999996478064401</v>
      </c>
    </row>
    <row r="1497" spans="1:40" x14ac:dyDescent="0.25">
      <c r="A1497" t="str">
        <f>"20190304164358081"</f>
        <v>20190304164358081</v>
      </c>
      <c r="B1497" t="str">
        <f>"1551689038071581"</f>
        <v>1551689038071581</v>
      </c>
      <c r="C1497" t="s">
        <v>40</v>
      </c>
      <c r="D1497">
        <v>5.6561269999999997</v>
      </c>
      <c r="E1497">
        <v>0.55992219999999904</v>
      </c>
      <c r="F1497" t="s">
        <v>41</v>
      </c>
      <c r="G1497">
        <v>-192.69139999999999</v>
      </c>
      <c r="H1497">
        <v>0.97867950000000004</v>
      </c>
      <c r="I1497">
        <v>348.12200000000001</v>
      </c>
      <c r="J1497">
        <v>-192.6772</v>
      </c>
      <c r="K1497">
        <v>1.1020570000000001</v>
      </c>
      <c r="L1497">
        <v>348.75599999999997</v>
      </c>
      <c r="M1497">
        <v>0.19424739999999999</v>
      </c>
      <c r="N1497">
        <v>-1.216045E-2</v>
      </c>
      <c r="O1497">
        <v>-0.9808772</v>
      </c>
      <c r="P1497">
        <v>0.1467039</v>
      </c>
      <c r="Q1497">
        <v>0.34495940000000003</v>
      </c>
      <c r="R1497">
        <v>-0.92708199999999996</v>
      </c>
      <c r="S1497">
        <v>0.1085358</v>
      </c>
      <c r="T1497">
        <v>-0.46500740000000002</v>
      </c>
      <c r="U1497">
        <v>-3.3922729999999999</v>
      </c>
      <c r="V1497">
        <v>4.3564640000000002E-2</v>
      </c>
      <c r="W1497">
        <v>0.35551290000000002</v>
      </c>
      <c r="X1497">
        <v>0.93365560000000003</v>
      </c>
      <c r="Y1497">
        <v>0.16286419999999999</v>
      </c>
      <c r="Z1497">
        <v>0.11898549999999999</v>
      </c>
      <c r="AA1497">
        <v>0.97944770000000003</v>
      </c>
      <c r="AB1497">
        <v>27</v>
      </c>
      <c r="AC1497">
        <v>-1.4199999999988199E-2</v>
      </c>
      <c r="AD1497">
        <v>-0.1233775</v>
      </c>
      <c r="AE1497">
        <v>-0.634000000000014</v>
      </c>
      <c r="AF1497">
        <v>0.13209166243224099</v>
      </c>
      <c r="AG1497">
        <v>-0.1233775</v>
      </c>
      <c r="AH1497">
        <v>0.59658245841074098</v>
      </c>
      <c r="AI1497">
        <v>101.415501484008</v>
      </c>
      <c r="AJ1497">
        <v>77.515332584144105</v>
      </c>
      <c r="AK1497">
        <v>0.62336253053401203</v>
      </c>
      <c r="AL1497">
        <v>69.175118760091394</v>
      </c>
      <c r="AM1497">
        <v>87.328500033658102</v>
      </c>
      <c r="AN1497">
        <v>1.00000003966804</v>
      </c>
    </row>
    <row r="1498" spans="1:40" x14ac:dyDescent="0.25">
      <c r="A1498" t="str">
        <f>"20190304164358101"</f>
        <v>20190304164358101</v>
      </c>
      <c r="B1498" t="str">
        <f>"1551689038091100"</f>
        <v>1551689038091100</v>
      </c>
      <c r="C1498" t="s">
        <v>40</v>
      </c>
      <c r="D1498">
        <v>5.5520529999999999</v>
      </c>
      <c r="E1498">
        <v>0.55866380000000004</v>
      </c>
      <c r="F1498" t="s">
        <v>41</v>
      </c>
      <c r="G1498">
        <v>-192.65369999999999</v>
      </c>
      <c r="H1498">
        <v>0.98322299999999996</v>
      </c>
      <c r="I1498">
        <v>347.8811</v>
      </c>
      <c r="J1498">
        <v>-192.63849999999999</v>
      </c>
      <c r="K1498">
        <v>1.102284</v>
      </c>
      <c r="L1498">
        <v>348.5016</v>
      </c>
      <c r="M1498">
        <v>0.18364240000000001</v>
      </c>
      <c r="N1498">
        <v>-1.202172E-2</v>
      </c>
      <c r="O1498">
        <v>-0.9829196</v>
      </c>
      <c r="P1498">
        <v>0.14227529999999999</v>
      </c>
      <c r="Q1498">
        <v>0.3450857</v>
      </c>
      <c r="R1498">
        <v>-0.92772540000000003</v>
      </c>
      <c r="S1498">
        <v>9.1583250000000005E-2</v>
      </c>
      <c r="T1498">
        <v>-0.46061360000000001</v>
      </c>
      <c r="U1498">
        <v>-3.3928530000000001</v>
      </c>
      <c r="V1498">
        <v>3.7705309999999999E-2</v>
      </c>
      <c r="W1498">
        <v>0.35565010000000002</v>
      </c>
      <c r="X1498">
        <v>0.93385830000000003</v>
      </c>
      <c r="Y1498">
        <v>0.1571071</v>
      </c>
      <c r="Z1498">
        <v>0.11835710000000001</v>
      </c>
      <c r="AA1498">
        <v>0.98046359999999999</v>
      </c>
      <c r="AB1498">
        <v>27</v>
      </c>
      <c r="AC1498">
        <v>-1.51999999999929E-2</v>
      </c>
      <c r="AD1498">
        <v>-0.119061</v>
      </c>
      <c r="AE1498">
        <v>-0.62049999999999195</v>
      </c>
      <c r="AF1498">
        <v>0.124325192175597</v>
      </c>
      <c r="AG1498">
        <v>-0.119061</v>
      </c>
      <c r="AH1498">
        <v>0.58560643113688104</v>
      </c>
      <c r="AI1498">
        <v>101.248202830441</v>
      </c>
      <c r="AJ1498">
        <v>78.013976553786605</v>
      </c>
      <c r="AK1498">
        <v>0.61038280391847</v>
      </c>
      <c r="AL1498">
        <v>69.166707331272704</v>
      </c>
      <c r="AM1498">
        <v>87.687890837079095</v>
      </c>
      <c r="AN1498">
        <v>1.0000000042555399</v>
      </c>
    </row>
    <row r="1499" spans="1:40" x14ac:dyDescent="0.25">
      <c r="A1499" t="str">
        <f>"20190304164358125"</f>
        <v>20190304164358125</v>
      </c>
      <c r="B1499" t="str">
        <f>"1551689038121357"</f>
        <v>1551689038121357</v>
      </c>
      <c r="C1499" t="s">
        <v>40</v>
      </c>
      <c r="D1499">
        <v>5.5609960000000003</v>
      </c>
      <c r="E1499">
        <v>0.55765209999999998</v>
      </c>
      <c r="F1499" t="s">
        <v>41</v>
      </c>
      <c r="G1499">
        <v>-192.61799999999999</v>
      </c>
      <c r="H1499">
        <v>0.99624469999999998</v>
      </c>
      <c r="I1499">
        <v>347.6354</v>
      </c>
      <c r="J1499">
        <v>-192.6</v>
      </c>
      <c r="K1499">
        <v>1.1025430000000001</v>
      </c>
      <c r="L1499">
        <v>348.23129999999998</v>
      </c>
      <c r="M1499">
        <v>0.1727948</v>
      </c>
      <c r="N1499">
        <v>-1.187422E-2</v>
      </c>
      <c r="O1499">
        <v>-0.98488620000000004</v>
      </c>
      <c r="P1499">
        <v>0.14081979999999999</v>
      </c>
      <c r="Q1499">
        <v>0.34466849999999999</v>
      </c>
      <c r="R1499">
        <v>-0.92810199999999998</v>
      </c>
      <c r="S1499">
        <v>8.0200199999999999E-2</v>
      </c>
      <c r="T1499">
        <v>-0.41298030000000002</v>
      </c>
      <c r="U1499">
        <v>-3.375</v>
      </c>
      <c r="V1499">
        <v>2.8623619999999999E-2</v>
      </c>
      <c r="W1499">
        <v>0.35529719999999998</v>
      </c>
      <c r="X1499">
        <v>0.93431500000000001</v>
      </c>
      <c r="Y1499">
        <v>0.14936930000000001</v>
      </c>
      <c r="Z1499">
        <v>0.1062589</v>
      </c>
      <c r="AA1499">
        <v>0.98305540000000002</v>
      </c>
      <c r="AB1499">
        <v>27</v>
      </c>
      <c r="AC1499">
        <v>-1.8000000000000599E-2</v>
      </c>
      <c r="AD1499">
        <v>-0.1062983</v>
      </c>
      <c r="AE1499">
        <v>-0.59589999999997101</v>
      </c>
      <c r="AF1499">
        <v>0.116985748898683</v>
      </c>
      <c r="AG1499">
        <v>-0.1062983</v>
      </c>
      <c r="AH1499">
        <v>0.56583585962626903</v>
      </c>
      <c r="AI1499">
        <v>100.424141056149</v>
      </c>
      <c r="AJ1499">
        <v>78.318762324107894</v>
      </c>
      <c r="AK1499">
        <v>0.587499118354466</v>
      </c>
      <c r="AL1499">
        <v>69.188339073918598</v>
      </c>
      <c r="AM1499">
        <v>88.245238677315101</v>
      </c>
      <c r="AN1499">
        <v>0.99999996558737103</v>
      </c>
    </row>
    <row r="1500" spans="1:40" x14ac:dyDescent="0.25">
      <c r="A1500" t="str">
        <f>"20190304164358148"</f>
        <v>20190304164358148</v>
      </c>
      <c r="B1500" t="str">
        <f>"1551689038141383"</f>
        <v>1551689038141383</v>
      </c>
      <c r="C1500" t="s">
        <v>40</v>
      </c>
      <c r="D1500">
        <v>5.5842210000000003</v>
      </c>
      <c r="E1500">
        <v>0.55703659999999999</v>
      </c>
      <c r="F1500" t="s">
        <v>41</v>
      </c>
      <c r="G1500">
        <v>-192.5822</v>
      </c>
      <c r="H1500">
        <v>1.0010680000000001</v>
      </c>
      <c r="I1500">
        <v>347.39339999999999</v>
      </c>
      <c r="J1500">
        <v>-192.56229999999999</v>
      </c>
      <c r="K1500">
        <v>1.102833</v>
      </c>
      <c r="L1500">
        <v>347.94740000000002</v>
      </c>
      <c r="M1500">
        <v>0.16187879999999999</v>
      </c>
      <c r="N1500">
        <v>-1.171779E-2</v>
      </c>
      <c r="O1500">
        <v>-0.98674130000000004</v>
      </c>
      <c r="P1500">
        <v>0.13746649999999999</v>
      </c>
      <c r="Q1500">
        <v>0.34571210000000002</v>
      </c>
      <c r="R1500">
        <v>-0.92821690000000001</v>
      </c>
      <c r="S1500">
        <v>7.2082519999999997E-2</v>
      </c>
      <c r="T1500">
        <v>-0.40839530000000002</v>
      </c>
      <c r="U1500">
        <v>-3.3731379999999902</v>
      </c>
      <c r="V1500">
        <v>2.1314019999999999E-2</v>
      </c>
      <c r="W1500">
        <v>0.35634480000000002</v>
      </c>
      <c r="X1500">
        <v>0.93411140000000004</v>
      </c>
      <c r="Y1500">
        <v>0.1407755</v>
      </c>
      <c r="Z1500">
        <v>0.10559200000000001</v>
      </c>
      <c r="AA1500">
        <v>0.98439460000000001</v>
      </c>
      <c r="AB1500">
        <v>27</v>
      </c>
      <c r="AC1500">
        <v>-1.9900000000006898E-2</v>
      </c>
      <c r="AD1500">
        <v>-0.101764999999999</v>
      </c>
      <c r="AE1500">
        <v>-0.55400000000003002</v>
      </c>
      <c r="AF1500">
        <v>0.105760463897352</v>
      </c>
      <c r="AG1500">
        <v>-0.101764999999999</v>
      </c>
      <c r="AH1500">
        <v>0.52575311571456096</v>
      </c>
      <c r="AI1500">
        <v>100.744648851534</v>
      </c>
      <c r="AJ1500">
        <v>78.626178416167093</v>
      </c>
      <c r="AK1500">
        <v>0.54585504452404898</v>
      </c>
      <c r="AL1500">
        <v>69.124113532425994</v>
      </c>
      <c r="AM1500">
        <v>88.692884464445598</v>
      </c>
      <c r="AN1500">
        <v>1.00000000577278</v>
      </c>
    </row>
    <row r="1501" spans="1:40" x14ac:dyDescent="0.25">
      <c r="A1501" t="str">
        <f>"20190304164358171"</f>
        <v>20190304164358171</v>
      </c>
      <c r="B1501" t="str">
        <f>"1551689038161879"</f>
        <v>1551689038161879</v>
      </c>
      <c r="C1501" t="s">
        <v>40</v>
      </c>
      <c r="D1501">
        <v>5.5724879999999999</v>
      </c>
      <c r="E1501">
        <v>0.55632099999999995</v>
      </c>
      <c r="F1501" t="s">
        <v>41</v>
      </c>
      <c r="G1501">
        <v>-192.54750000000001</v>
      </c>
      <c r="H1501">
        <v>1.0070760000000001</v>
      </c>
      <c r="I1501">
        <v>347.15050000000002</v>
      </c>
      <c r="J1501">
        <v>-192.5275</v>
      </c>
      <c r="K1501">
        <v>1.103154</v>
      </c>
      <c r="L1501">
        <v>347.6662</v>
      </c>
      <c r="M1501">
        <v>0.1515533</v>
      </c>
      <c r="N1501">
        <v>-1.156104E-2</v>
      </c>
      <c r="O1501">
        <v>-0.98838170000000003</v>
      </c>
      <c r="P1501">
        <v>0.1321619</v>
      </c>
      <c r="Q1501">
        <v>0.347381</v>
      </c>
      <c r="R1501">
        <v>-0.92836430000000003</v>
      </c>
      <c r="S1501">
        <v>6.2759400000000007E-2</v>
      </c>
      <c r="T1501">
        <v>-0.40522350000000001</v>
      </c>
      <c r="U1501">
        <v>-3.3736269999999902</v>
      </c>
      <c r="V1501">
        <v>1.6511430000000001E-2</v>
      </c>
      <c r="W1501">
        <v>0.35795939999999998</v>
      </c>
      <c r="X1501">
        <v>0.93359119999999995</v>
      </c>
      <c r="Y1501">
        <v>0.1331504</v>
      </c>
      <c r="Z1501">
        <v>0.10518660000000001</v>
      </c>
      <c r="AA1501">
        <v>0.98549819999999999</v>
      </c>
      <c r="AB1501">
        <v>27</v>
      </c>
      <c r="AC1501">
        <v>-2.0000000000010201E-2</v>
      </c>
      <c r="AD1501">
        <v>-9.6078000000000094E-2</v>
      </c>
      <c r="AE1501">
        <v>-0.51569999999998095</v>
      </c>
      <c r="AF1501">
        <v>9.4649839052603199E-2</v>
      </c>
      <c r="AG1501">
        <v>-9.6078000000000094E-2</v>
      </c>
      <c r="AH1501">
        <v>0.48973789236668203</v>
      </c>
      <c r="AI1501">
        <v>100.90267940487701</v>
      </c>
      <c r="AJ1501">
        <v>79.061516006277202</v>
      </c>
      <c r="AK1501">
        <v>0.50796926810235699</v>
      </c>
      <c r="AL1501">
        <v>69.025072400969506</v>
      </c>
      <c r="AM1501">
        <v>88.986776403034398</v>
      </c>
      <c r="AN1501">
        <v>1.00000004404322</v>
      </c>
    </row>
    <row r="1502" spans="1:40" x14ac:dyDescent="0.25">
      <c r="A1502" t="str">
        <f>"20190304164358193"</f>
        <v>20190304164358193</v>
      </c>
      <c r="B1502" t="str">
        <f>"1551689038181398"</f>
        <v>1551689038181398</v>
      </c>
      <c r="C1502" t="s">
        <v>40</v>
      </c>
      <c r="D1502">
        <v>5.5463969999999998</v>
      </c>
      <c r="E1502">
        <v>0.55595559999999999</v>
      </c>
      <c r="F1502" t="s">
        <v>41</v>
      </c>
      <c r="G1502">
        <v>-192.51480000000001</v>
      </c>
      <c r="H1502">
        <v>1.0122679999999999</v>
      </c>
      <c r="I1502">
        <v>346.90730000000002</v>
      </c>
      <c r="J1502">
        <v>-192.49760000000001</v>
      </c>
      <c r="K1502">
        <v>1.103486</v>
      </c>
      <c r="L1502">
        <v>347.40690000000001</v>
      </c>
      <c r="M1502">
        <v>0.1425167</v>
      </c>
      <c r="N1502">
        <v>-1.1413339999999999E-2</v>
      </c>
      <c r="O1502">
        <v>-0.98972660000000001</v>
      </c>
      <c r="P1502">
        <v>0.13132739999999901</v>
      </c>
      <c r="Q1502">
        <v>0.34716279999999999</v>
      </c>
      <c r="R1502">
        <v>-0.92856430000000001</v>
      </c>
      <c r="S1502">
        <v>5.7266240000000003E-2</v>
      </c>
      <c r="T1502">
        <v>-0.40403020000000001</v>
      </c>
      <c r="U1502">
        <v>-3.3745729999999998</v>
      </c>
      <c r="V1502">
        <v>8.5023919999999992E-3</v>
      </c>
      <c r="W1502">
        <v>0.35775010000000002</v>
      </c>
      <c r="X1502">
        <v>0.93377860000000001</v>
      </c>
      <c r="Y1502">
        <v>0.12570819999999999</v>
      </c>
      <c r="Z1502">
        <v>0.1052577</v>
      </c>
      <c r="AA1502">
        <v>0.9864676</v>
      </c>
      <c r="AB1502">
        <v>27</v>
      </c>
      <c r="AC1502">
        <v>-1.7200000000002501E-2</v>
      </c>
      <c r="AD1502">
        <v>-9.1217999999999994E-2</v>
      </c>
      <c r="AE1502">
        <v>-0.499599999999986</v>
      </c>
      <c r="AF1502">
        <v>8.5387268759189394E-2</v>
      </c>
      <c r="AG1502">
        <v>-9.1217999999999994E-2</v>
      </c>
      <c r="AH1502">
        <v>0.47619250646204297</v>
      </c>
      <c r="AI1502">
        <v>100.677747613742</v>
      </c>
      <c r="AJ1502">
        <v>79.834185491273701</v>
      </c>
      <c r="AK1502">
        <v>0.492311905605336</v>
      </c>
      <c r="AL1502">
        <v>69.037912790203194</v>
      </c>
      <c r="AM1502">
        <v>89.478315614441897</v>
      </c>
      <c r="AN1502">
        <v>0.99999994926884395</v>
      </c>
    </row>
    <row r="1503" spans="1:40" x14ac:dyDescent="0.25">
      <c r="A1503" t="str">
        <f>"20190304164358215"</f>
        <v>20190304164358215</v>
      </c>
      <c r="B1503" t="str">
        <f>"1551689038211654"</f>
        <v>1551689038211654</v>
      </c>
      <c r="C1503" t="s">
        <v>40</v>
      </c>
      <c r="D1503">
        <v>5.5651570000000001</v>
      </c>
      <c r="E1503">
        <v>0.55549219999999999</v>
      </c>
      <c r="F1503" t="s">
        <v>41</v>
      </c>
      <c r="G1503">
        <v>-192.4853</v>
      </c>
      <c r="H1503">
        <v>1.0138370000000001</v>
      </c>
      <c r="I1503">
        <v>346.66489999999999</v>
      </c>
      <c r="J1503">
        <v>-192.46809999999999</v>
      </c>
      <c r="K1503">
        <v>1.1038709999999901</v>
      </c>
      <c r="L1503">
        <v>347.13330000000002</v>
      </c>
      <c r="M1503">
        <v>0.13354349999999901</v>
      </c>
      <c r="N1503">
        <v>-1.125783E-2</v>
      </c>
      <c r="O1503">
        <v>-0.99097900000000005</v>
      </c>
      <c r="P1503">
        <v>0.13292419999999999</v>
      </c>
      <c r="Q1503">
        <v>0.34654299999999999</v>
      </c>
      <c r="R1503">
        <v>-0.92856850000000002</v>
      </c>
      <c r="S1503">
        <v>5.6442260000000001E-2</v>
      </c>
      <c r="T1503">
        <v>-0.40775420000000001</v>
      </c>
      <c r="U1503">
        <v>-3.375305</v>
      </c>
      <c r="V1503">
        <v>-1.9270229999999999E-3</v>
      </c>
      <c r="W1503">
        <v>0.35715920000000001</v>
      </c>
      <c r="X1503">
        <v>0.93404160000000003</v>
      </c>
      <c r="Y1503">
        <v>0.1169694</v>
      </c>
      <c r="Z1503">
        <v>0.1067351</v>
      </c>
      <c r="AA1503">
        <v>0.98738329999999996</v>
      </c>
      <c r="AB1503">
        <v>27</v>
      </c>
      <c r="AC1503">
        <v>-1.7200000000002501E-2</v>
      </c>
      <c r="AD1503">
        <v>-9.0033999999999698E-2</v>
      </c>
      <c r="AE1503">
        <v>-0.46840000000003101</v>
      </c>
      <c r="AF1503">
        <v>7.6769090319537006E-2</v>
      </c>
      <c r="AG1503">
        <v>-9.0033999999999698E-2</v>
      </c>
      <c r="AH1503">
        <v>0.44547025937711698</v>
      </c>
      <c r="AI1503">
        <v>101.26442254020201</v>
      </c>
      <c r="AJ1503">
        <v>80.222105472050401</v>
      </c>
      <c r="AK1503">
        <v>0.46091579097922603</v>
      </c>
      <c r="AL1503">
        <v>69.074166371375298</v>
      </c>
      <c r="AM1503">
        <v>90.118206863886201</v>
      </c>
      <c r="AN1503">
        <v>1.00000005904641</v>
      </c>
    </row>
    <row r="1504" spans="1:40" x14ac:dyDescent="0.25">
      <c r="A1504" t="str">
        <f>"20190304164358237"</f>
        <v>20190304164358237</v>
      </c>
      <c r="B1504" t="str">
        <f>"1551689038231175"</f>
        <v>1551689038231175</v>
      </c>
      <c r="C1504" t="s">
        <v>40</v>
      </c>
      <c r="D1504">
        <v>5.5699399999999999</v>
      </c>
      <c r="E1504">
        <v>0.5551393</v>
      </c>
      <c r="F1504" t="s">
        <v>41</v>
      </c>
      <c r="G1504">
        <v>-192.4529</v>
      </c>
      <c r="H1504">
        <v>0.98967000000000005</v>
      </c>
      <c r="I1504">
        <v>346.18950000000001</v>
      </c>
      <c r="J1504">
        <v>-192.4409</v>
      </c>
      <c r="K1504">
        <v>1.104263</v>
      </c>
      <c r="L1504">
        <v>346.86360000000002</v>
      </c>
      <c r="M1504">
        <v>0.12529189999999901</v>
      </c>
      <c r="N1504">
        <v>-1.1105790000000001E-2</v>
      </c>
      <c r="O1504">
        <v>-0.99205790000000005</v>
      </c>
      <c r="P1504">
        <v>0.131194899999999</v>
      </c>
      <c r="Q1504">
        <v>0.34791490000000003</v>
      </c>
      <c r="R1504">
        <v>-0.92830159999999995</v>
      </c>
      <c r="S1504">
        <v>5.4565429999999998E-2</v>
      </c>
      <c r="T1504">
        <v>-0.40836830000000002</v>
      </c>
      <c r="U1504">
        <v>-3.3753359999999999</v>
      </c>
      <c r="V1504">
        <v>-8.3836129999999998E-3</v>
      </c>
      <c r="W1504">
        <v>0.3584736</v>
      </c>
      <c r="X1504">
        <v>0.93350219999999995</v>
      </c>
      <c r="Y1504">
        <v>0.10925799999999999</v>
      </c>
      <c r="Z1504">
        <v>0.10730580000000001</v>
      </c>
      <c r="AA1504">
        <v>0.98820450000000004</v>
      </c>
      <c r="AB1504">
        <v>27</v>
      </c>
      <c r="AC1504">
        <v>-1.2000000000000399E-2</v>
      </c>
      <c r="AD1504">
        <v>-0.114592999999999</v>
      </c>
      <c r="AE1504">
        <v>-0.67410000000000903</v>
      </c>
      <c r="AF1504">
        <v>9.3664049935798993E-2</v>
      </c>
      <c r="AG1504">
        <v>-0.114592999999999</v>
      </c>
      <c r="AH1504">
        <v>0.64854799636143001</v>
      </c>
      <c r="AI1504">
        <v>99.919423457181097</v>
      </c>
      <c r="AJ1504">
        <v>81.782097937155697</v>
      </c>
      <c r="AK1504">
        <v>0.66522102603856503</v>
      </c>
      <c r="AL1504">
        <v>68.993515477141699</v>
      </c>
      <c r="AM1504">
        <v>90.514549112460301</v>
      </c>
      <c r="AN1504">
        <v>0.99999998213436603</v>
      </c>
    </row>
    <row r="1505" spans="1:40" x14ac:dyDescent="0.25">
      <c r="A1505" t="str">
        <f>"20190304164358259"</f>
        <v>20190304164358259</v>
      </c>
      <c r="B1505" t="str">
        <f>"1551689038251202"</f>
        <v>1551689038251202</v>
      </c>
      <c r="C1505" t="s">
        <v>40</v>
      </c>
      <c r="D1505">
        <v>5.5703639999999996</v>
      </c>
      <c r="E1505">
        <v>0.55473099999999997</v>
      </c>
      <c r="F1505" t="s">
        <v>41</v>
      </c>
      <c r="G1505">
        <v>-192.42660000000001</v>
      </c>
      <c r="H1505">
        <v>0.99404879999999995</v>
      </c>
      <c r="I1505">
        <v>345.94470000000001</v>
      </c>
      <c r="J1505">
        <v>-192.4151</v>
      </c>
      <c r="K1505">
        <v>1.104635</v>
      </c>
      <c r="L1505">
        <v>346.58960000000002</v>
      </c>
      <c r="M1505">
        <v>0.1173908</v>
      </c>
      <c r="N1505">
        <v>-1.0959899999999899E-2</v>
      </c>
      <c r="O1505">
        <v>-0.99302539999999995</v>
      </c>
      <c r="P1505">
        <v>0.12651860000000001</v>
      </c>
      <c r="Q1505">
        <v>0.35064790000000001</v>
      </c>
      <c r="R1505">
        <v>-0.92792209999999997</v>
      </c>
      <c r="S1505">
        <v>5.316162E-2</v>
      </c>
      <c r="T1505">
        <v>-0.40488610000000003</v>
      </c>
      <c r="U1505">
        <v>-3.3759160000000001</v>
      </c>
      <c r="V1505">
        <v>-1.153505E-2</v>
      </c>
      <c r="W1505">
        <v>0.36109140000000001</v>
      </c>
      <c r="X1505">
        <v>0.93245909999999999</v>
      </c>
      <c r="Y1505">
        <v>0.10176209999999999</v>
      </c>
      <c r="Z1505">
        <v>0.1066536</v>
      </c>
      <c r="AA1505">
        <v>0.98907509999999998</v>
      </c>
      <c r="AB1505">
        <v>27</v>
      </c>
      <c r="AC1505">
        <v>-1.15000000000122E-2</v>
      </c>
      <c r="AD1505">
        <v>-0.110586199999999</v>
      </c>
      <c r="AE1505">
        <v>-0.64490000000000602</v>
      </c>
      <c r="AF1505">
        <v>8.4642254052996094E-2</v>
      </c>
      <c r="AG1505">
        <v>-0.110586199999999</v>
      </c>
      <c r="AH1505">
        <v>0.62084057556227501</v>
      </c>
      <c r="AI1505">
        <v>100.009095208798</v>
      </c>
      <c r="AJ1505">
        <v>82.236448928928198</v>
      </c>
      <c r="AK1505">
        <v>0.63626774165134903</v>
      </c>
      <c r="AL1505">
        <v>68.832762562770796</v>
      </c>
      <c r="AM1505">
        <v>90.708745264373704</v>
      </c>
      <c r="AN1505">
        <v>1.00000001485263</v>
      </c>
    </row>
    <row r="1506" spans="1:40" x14ac:dyDescent="0.25">
      <c r="A1506" t="str">
        <f>"20190304164358282"</f>
        <v>20190304164358282</v>
      </c>
      <c r="B1506" t="str">
        <f>"1551689038271698"</f>
        <v>1551689038271698</v>
      </c>
      <c r="C1506" t="s">
        <v>40</v>
      </c>
      <c r="D1506">
        <v>5.5375040000000002</v>
      </c>
      <c r="E1506">
        <v>0.55456300000000003</v>
      </c>
      <c r="F1506" t="s">
        <v>41</v>
      </c>
      <c r="G1506">
        <v>-192.40170000000001</v>
      </c>
      <c r="H1506">
        <v>0.99915869999999996</v>
      </c>
      <c r="I1506">
        <v>345.69909999999999</v>
      </c>
      <c r="J1506">
        <v>-192.39109999999999</v>
      </c>
      <c r="K1506">
        <v>1.104978</v>
      </c>
      <c r="L1506">
        <v>346.31880000000001</v>
      </c>
      <c r="M1506">
        <v>0.11008610000000001</v>
      </c>
      <c r="N1506">
        <v>-1.082748E-2</v>
      </c>
      <c r="O1506">
        <v>-0.9938631</v>
      </c>
      <c r="P1506">
        <v>0.1264294</v>
      </c>
      <c r="Q1506">
        <v>0.3520432</v>
      </c>
      <c r="R1506">
        <v>-0.92740549999999999</v>
      </c>
      <c r="S1506">
        <v>5.1498410000000001E-2</v>
      </c>
      <c r="T1506">
        <v>-0.39988600000000002</v>
      </c>
      <c r="U1506">
        <v>-3.377075</v>
      </c>
      <c r="V1506">
        <v>-1.8675170000000001E-2</v>
      </c>
      <c r="W1506">
        <v>0.36243839999999999</v>
      </c>
      <c r="X1506">
        <v>0.9318206</v>
      </c>
      <c r="Y1506">
        <v>9.4942319999999997E-2</v>
      </c>
      <c r="Z1506">
        <v>0.10549890000000001</v>
      </c>
      <c r="AA1506">
        <v>0.98987670000000005</v>
      </c>
      <c r="AB1506">
        <v>27</v>
      </c>
      <c r="AC1506">
        <v>-1.06000000000108E-2</v>
      </c>
      <c r="AD1506">
        <v>-0.10581930000000001</v>
      </c>
      <c r="AE1506">
        <v>-0.61970000000002201</v>
      </c>
      <c r="AF1506">
        <v>7.65290910572788E-2</v>
      </c>
      <c r="AG1506">
        <v>-0.10581930000000001</v>
      </c>
      <c r="AH1506">
        <v>0.597353181294208</v>
      </c>
      <c r="AI1506">
        <v>99.965759088053204</v>
      </c>
      <c r="AJ1506">
        <v>82.699397588858901</v>
      </c>
      <c r="AK1506">
        <v>0.611461568075095</v>
      </c>
      <c r="AL1506">
        <v>68.749977611227294</v>
      </c>
      <c r="AM1506">
        <v>91.148145034986896</v>
      </c>
      <c r="AN1506">
        <v>0.99999999317672394</v>
      </c>
    </row>
    <row r="1507" spans="1:40" x14ac:dyDescent="0.25">
      <c r="A1507" t="str">
        <f>"20190304164358302"</f>
        <v>20190304164358302</v>
      </c>
      <c r="B1507" t="str">
        <f>"1551689038291218"</f>
        <v>1551689038291218</v>
      </c>
      <c r="C1507" t="s">
        <v>40</v>
      </c>
      <c r="D1507">
        <v>5.5446249999999999</v>
      </c>
      <c r="E1507">
        <v>0.5496704</v>
      </c>
      <c r="F1507" t="s">
        <v>41</v>
      </c>
      <c r="G1507">
        <v>-192.37819999999999</v>
      </c>
      <c r="H1507">
        <v>1.003814</v>
      </c>
      <c r="I1507">
        <v>345.45319999999998</v>
      </c>
      <c r="J1507">
        <v>-192.36969999999999</v>
      </c>
      <c r="K1507">
        <v>1.105302</v>
      </c>
      <c r="L1507">
        <v>346.06270000000001</v>
      </c>
      <c r="M1507">
        <v>0.1036912</v>
      </c>
      <c r="N1507">
        <v>-1.0709740000000001E-2</v>
      </c>
      <c r="O1507">
        <v>-0.99455179999999999</v>
      </c>
      <c r="P1507">
        <v>0.12803519999999999</v>
      </c>
      <c r="Q1507">
        <v>0.35254920000000001</v>
      </c>
      <c r="R1507">
        <v>-0.92699310000000001</v>
      </c>
      <c r="S1507">
        <v>5.0369259999999999E-2</v>
      </c>
      <c r="T1507">
        <v>-0.3947657</v>
      </c>
      <c r="U1507">
        <v>-3.3778079999999999</v>
      </c>
      <c r="V1507">
        <v>-2.6623899999999999E-2</v>
      </c>
      <c r="W1507">
        <v>0.3629116</v>
      </c>
      <c r="X1507">
        <v>0.93144320000000003</v>
      </c>
      <c r="Y1507">
        <v>8.8875570000000001E-2</v>
      </c>
      <c r="Z1507">
        <v>0.1042725</v>
      </c>
      <c r="AA1507">
        <v>0.9905697</v>
      </c>
      <c r="AB1507">
        <v>27</v>
      </c>
      <c r="AC1507">
        <v>-8.4999999999979502E-3</v>
      </c>
      <c r="AD1507">
        <v>-0.10148799999999999</v>
      </c>
      <c r="AE1507">
        <v>-0.60950000000002502</v>
      </c>
      <c r="AF1507">
        <v>6.9724801267798495E-2</v>
      </c>
      <c r="AG1507">
        <v>-0.10148799999999999</v>
      </c>
      <c r="AH1507">
        <v>0.589005321152971</v>
      </c>
      <c r="AI1507">
        <v>99.709808369550004</v>
      </c>
      <c r="AJ1507">
        <v>83.248903745841503</v>
      </c>
      <c r="AK1507">
        <v>0.601738008108469</v>
      </c>
      <c r="AL1507">
        <v>68.720885687112101</v>
      </c>
      <c r="AM1507">
        <v>91.637267706900602</v>
      </c>
      <c r="AN1507">
        <v>1.0000000481460001</v>
      </c>
    </row>
    <row r="1508" spans="1:40" x14ac:dyDescent="0.25">
      <c r="A1508" t="str">
        <f>"20190304164358325"</f>
        <v>20190304164358325</v>
      </c>
      <c r="B1508" t="str">
        <f>"1551689038321475"</f>
        <v>1551689038321475</v>
      </c>
      <c r="C1508" t="s">
        <v>40</v>
      </c>
      <c r="D1508">
        <v>5.5402620000000002</v>
      </c>
      <c r="E1508">
        <v>0.54906860000000002</v>
      </c>
      <c r="F1508" t="s">
        <v>41</v>
      </c>
      <c r="G1508">
        <v>-192.3475</v>
      </c>
      <c r="H1508">
        <v>1.003776</v>
      </c>
      <c r="I1508">
        <v>345.21</v>
      </c>
      <c r="J1508">
        <v>-192.34800000000001</v>
      </c>
      <c r="K1508">
        <v>1.105685</v>
      </c>
      <c r="L1508">
        <v>345.78620000000001</v>
      </c>
      <c r="M1508">
        <v>9.7382140000000006E-2</v>
      </c>
      <c r="N1508">
        <v>-1.058826E-2</v>
      </c>
      <c r="O1508">
        <v>-0.99519080000000004</v>
      </c>
      <c r="P1508">
        <v>0.1253601</v>
      </c>
      <c r="Q1508">
        <v>0.35330529999999999</v>
      </c>
      <c r="R1508">
        <v>-0.92707070000000003</v>
      </c>
      <c r="S1508">
        <v>8.8195800000000005E-2</v>
      </c>
      <c r="T1508">
        <v>-0.40209650000000002</v>
      </c>
      <c r="U1508">
        <v>-3.377014</v>
      </c>
      <c r="V1508">
        <v>-3.0227710000000001E-2</v>
      </c>
      <c r="W1508">
        <v>0.36356290000000002</v>
      </c>
      <c r="X1508">
        <v>0.93107910000000005</v>
      </c>
      <c r="Y1508">
        <v>7.1470919999999993E-2</v>
      </c>
      <c r="Z1508">
        <v>0.10671509999999999</v>
      </c>
      <c r="AA1508">
        <v>0.99171759999999998</v>
      </c>
      <c r="AB1508">
        <v>27</v>
      </c>
      <c r="AC1508">
        <v>4.9999999998817603E-4</v>
      </c>
      <c r="AD1508">
        <v>-0.101909</v>
      </c>
      <c r="AE1508">
        <v>-0.57620000000002802</v>
      </c>
      <c r="AF1508">
        <v>5.3930128940142999E-2</v>
      </c>
      <c r="AG1508">
        <v>-0.101909</v>
      </c>
      <c r="AH1508">
        <v>0.55611403698912198</v>
      </c>
      <c r="AI1508">
        <v>100.336907967713</v>
      </c>
      <c r="AJ1508">
        <v>84.460962428942295</v>
      </c>
      <c r="AK1508">
        <v>0.56794077615966199</v>
      </c>
      <c r="AL1508">
        <v>68.680832011005407</v>
      </c>
      <c r="AM1508">
        <v>91.859468347146901</v>
      </c>
      <c r="AN1508">
        <v>0.999999993582532</v>
      </c>
    </row>
    <row r="1509" spans="1:40" x14ac:dyDescent="0.25">
      <c r="A1509" t="str">
        <f>"20190304164358349"</f>
        <v>20190304164358349</v>
      </c>
      <c r="B1509" t="str">
        <f>"1551689038341500"</f>
        <v>1551689038341500</v>
      </c>
      <c r="C1509" t="s">
        <v>40</v>
      </c>
      <c r="D1509">
        <v>5.5097809999999896</v>
      </c>
      <c r="E1509">
        <v>0.548890199999999</v>
      </c>
      <c r="F1509" t="s">
        <v>41</v>
      </c>
      <c r="G1509">
        <v>-192.32679999999999</v>
      </c>
      <c r="H1509">
        <v>1.0074479999999999</v>
      </c>
      <c r="I1509">
        <v>344.96379999999999</v>
      </c>
      <c r="J1509">
        <v>-192.32650000000001</v>
      </c>
      <c r="K1509">
        <v>1.1061430000000001</v>
      </c>
      <c r="L1509">
        <v>345.49880000000002</v>
      </c>
      <c r="M1509">
        <v>9.1467370000000006E-2</v>
      </c>
      <c r="N1509">
        <v>-1.046995E-2</v>
      </c>
      <c r="O1509">
        <v>-0.99575309999999995</v>
      </c>
      <c r="P1509">
        <v>0.1216503</v>
      </c>
      <c r="Q1509">
        <v>0.35406009999999999</v>
      </c>
      <c r="R1509">
        <v>-0.92727760000000004</v>
      </c>
      <c r="S1509">
        <v>8.7341310000000005E-2</v>
      </c>
      <c r="T1509">
        <v>-0.40346549999999998</v>
      </c>
      <c r="U1509">
        <v>-3.3779599999999999</v>
      </c>
      <c r="V1509">
        <v>-3.2463819999999997E-2</v>
      </c>
      <c r="W1509">
        <v>0.36418919999999999</v>
      </c>
      <c r="X1509">
        <v>0.930759</v>
      </c>
      <c r="Y1509">
        <v>6.580722E-2</v>
      </c>
      <c r="Z1509">
        <v>0.10731599999999999</v>
      </c>
      <c r="AA1509">
        <v>0.9920447</v>
      </c>
      <c r="AB1509">
        <v>27</v>
      </c>
      <c r="AC1509">
        <v>-2.9999999998153699E-4</v>
      </c>
      <c r="AD1509">
        <v>-9.8695000000000199E-2</v>
      </c>
      <c r="AE1509">
        <v>-0.53500000000002501</v>
      </c>
      <c r="AF1509">
        <v>4.7616014234152002E-2</v>
      </c>
      <c r="AG1509">
        <v>-9.8695000000000199E-2</v>
      </c>
      <c r="AH1509">
        <v>0.51519665582420904</v>
      </c>
      <c r="AI1509">
        <v>100.799692717781</v>
      </c>
      <c r="AJ1509">
        <v>84.719553978664905</v>
      </c>
      <c r="AK1509">
        <v>0.52672154124261406</v>
      </c>
      <c r="AL1509">
        <v>68.642306670003805</v>
      </c>
      <c r="AM1509">
        <v>91.997602123457696</v>
      </c>
      <c r="AN1509">
        <v>0.99999999454331601</v>
      </c>
    </row>
    <row r="1510" spans="1:40" x14ac:dyDescent="0.25">
      <c r="A1510" t="str">
        <f>"20190304164358371"</f>
        <v>20190304164358371</v>
      </c>
      <c r="B1510" t="str">
        <f>"1551689038361020"</f>
        <v>1551689038361020</v>
      </c>
      <c r="C1510" t="s">
        <v>40</v>
      </c>
      <c r="D1510">
        <v>5.5061280000000004</v>
      </c>
      <c r="E1510">
        <v>0.54942279999999999</v>
      </c>
      <c r="F1510" t="s">
        <v>41</v>
      </c>
      <c r="G1510">
        <v>-192.3075</v>
      </c>
      <c r="H1510">
        <v>1.012783</v>
      </c>
      <c r="I1510">
        <v>344.71640000000002</v>
      </c>
      <c r="J1510">
        <v>-192.30680000000001</v>
      </c>
      <c r="K1510">
        <v>1.1066020000000001</v>
      </c>
      <c r="L1510">
        <v>345.2226</v>
      </c>
      <c r="M1510">
        <v>8.6410150000000005E-2</v>
      </c>
      <c r="N1510">
        <v>-1.03666E-2</v>
      </c>
      <c r="O1510">
        <v>-0.99620569999999997</v>
      </c>
      <c r="P1510">
        <v>0.1224485</v>
      </c>
      <c r="Q1510">
        <v>0.35184260000000001</v>
      </c>
      <c r="R1510">
        <v>-0.9280157</v>
      </c>
      <c r="S1510">
        <v>8.2824709999999996E-2</v>
      </c>
      <c r="T1510">
        <v>-0.40306999999999998</v>
      </c>
      <c r="U1510">
        <v>-3.3782649999999999</v>
      </c>
      <c r="V1510">
        <v>-3.8372969999999999E-2</v>
      </c>
      <c r="W1510">
        <v>0.36189700000000002</v>
      </c>
      <c r="X1510">
        <v>0.93142800000000003</v>
      </c>
      <c r="Y1510">
        <v>6.2071080000000001E-2</v>
      </c>
      <c r="Z1510">
        <v>0.1073891</v>
      </c>
      <c r="AA1510">
        <v>0.99227759999999998</v>
      </c>
      <c r="AB1510">
        <v>27</v>
      </c>
      <c r="AC1510">
        <v>-6.9999999999481501E-4</v>
      </c>
      <c r="AD1510">
        <v>-9.3819000000000097E-2</v>
      </c>
      <c r="AE1510">
        <v>-0.506199999999978</v>
      </c>
      <c r="AF1510">
        <v>4.2964680530717198E-2</v>
      </c>
      <c r="AG1510">
        <v>-9.3819000000000097E-2</v>
      </c>
      <c r="AH1510">
        <v>0.48749994073424302</v>
      </c>
      <c r="AI1510">
        <v>100.852287669877</v>
      </c>
      <c r="AJ1510">
        <v>84.963382423051499</v>
      </c>
      <c r="AK1510">
        <v>0.49830127508365601</v>
      </c>
      <c r="AL1510">
        <v>68.783257396778495</v>
      </c>
      <c r="AM1510">
        <v>92.359137380430894</v>
      </c>
      <c r="AN1510">
        <v>1.0000000213098099</v>
      </c>
    </row>
    <row r="1511" spans="1:40" x14ac:dyDescent="0.25">
      <c r="A1511" t="str">
        <f>"20190304164358393"</f>
        <v>20190304164358393</v>
      </c>
      <c r="B1511" t="str">
        <f>"1551689038381516"</f>
        <v>1551689038381516</v>
      </c>
      <c r="C1511" t="s">
        <v>40</v>
      </c>
      <c r="D1511">
        <v>5.4648469999999998</v>
      </c>
      <c r="E1511">
        <v>0.54674230000000001</v>
      </c>
      <c r="F1511" t="s">
        <v>41</v>
      </c>
      <c r="G1511">
        <v>-192.2901</v>
      </c>
      <c r="H1511">
        <v>1.00963799999999</v>
      </c>
      <c r="I1511">
        <v>344.47280000000001</v>
      </c>
      <c r="J1511">
        <v>-192.28880000000001</v>
      </c>
      <c r="K1511">
        <v>1.107043</v>
      </c>
      <c r="L1511">
        <v>344.96039999999999</v>
      </c>
      <c r="M1511">
        <v>8.2193230000000006E-2</v>
      </c>
      <c r="N1511">
        <v>-1.0278610000000001E-2</v>
      </c>
      <c r="O1511">
        <v>-0.99656359999999999</v>
      </c>
      <c r="P1511">
        <v>0.124707399999999</v>
      </c>
      <c r="Q1511">
        <v>0.35000920000000002</v>
      </c>
      <c r="R1511">
        <v>-0.92840849999999997</v>
      </c>
      <c r="S1511">
        <v>7.5729370000000004E-2</v>
      </c>
      <c r="T1511">
        <v>-0.43827769999999999</v>
      </c>
      <c r="U1511">
        <v>-3.3888850000000001</v>
      </c>
      <c r="V1511">
        <v>-4.4957150000000001E-2</v>
      </c>
      <c r="W1511">
        <v>0.35999599999999998</v>
      </c>
      <c r="X1511">
        <v>0.93186999999999998</v>
      </c>
      <c r="Y1511">
        <v>6.0023079999999999E-2</v>
      </c>
      <c r="Z1511">
        <v>0.1172888</v>
      </c>
      <c r="AA1511">
        <v>0.99128229999999995</v>
      </c>
      <c r="AB1511">
        <v>27</v>
      </c>
      <c r="AC1511">
        <v>-1.2999999999863099E-3</v>
      </c>
      <c r="AD1511">
        <v>-9.74050000000002E-2</v>
      </c>
      <c r="AE1511">
        <v>-0.48759999999998599</v>
      </c>
      <c r="AF1511">
        <v>3.9787396099807498E-2</v>
      </c>
      <c r="AG1511">
        <v>-9.74050000000002E-2</v>
      </c>
      <c r="AH1511">
        <v>0.46719934009476299</v>
      </c>
      <c r="AI1511">
        <v>101.735433877025</v>
      </c>
      <c r="AJ1511">
        <v>85.132350374242804</v>
      </c>
      <c r="AK1511">
        <v>0.47890081885332503</v>
      </c>
      <c r="AL1511">
        <v>68.900049212056402</v>
      </c>
      <c r="AM1511">
        <v>92.762036892338998</v>
      </c>
      <c r="AN1511">
        <v>0.99999998112606103</v>
      </c>
    </row>
    <row r="1512" spans="1:40" x14ac:dyDescent="0.25">
      <c r="A1512" t="str">
        <f>"20190304164358417"</f>
        <v>20190304164358417</v>
      </c>
      <c r="B1512" t="str">
        <f>"1551689038411773"</f>
        <v>1551689038411773</v>
      </c>
      <c r="C1512" t="s">
        <v>40</v>
      </c>
      <c r="D1512">
        <v>5.4491290000000001</v>
      </c>
      <c r="E1512">
        <v>0.54726819999999998</v>
      </c>
      <c r="F1512" t="s">
        <v>41</v>
      </c>
      <c r="G1512">
        <v>-192.2689</v>
      </c>
      <c r="H1512">
        <v>1.016615</v>
      </c>
      <c r="I1512">
        <v>344.22430000000003</v>
      </c>
      <c r="J1512">
        <v>-192.26949999999999</v>
      </c>
      <c r="K1512">
        <v>1.1075079999999999</v>
      </c>
      <c r="L1512">
        <v>344.67090000000002</v>
      </c>
      <c r="M1512">
        <v>7.8194470000000002E-2</v>
      </c>
      <c r="N1512">
        <v>-1.01914E-2</v>
      </c>
      <c r="O1512">
        <v>-0.9968861</v>
      </c>
      <c r="P1512">
        <v>0.1239558</v>
      </c>
      <c r="Q1512">
        <v>0.34979539999999998</v>
      </c>
      <c r="R1512">
        <v>-0.92858960000000002</v>
      </c>
      <c r="S1512">
        <v>9.1430659999999997E-2</v>
      </c>
      <c r="T1512">
        <v>-0.4148386</v>
      </c>
      <c r="U1512">
        <v>-3.3754580000000001</v>
      </c>
      <c r="V1512">
        <v>-4.8358180000000001E-2</v>
      </c>
      <c r="W1512">
        <v>0.3596703</v>
      </c>
      <c r="X1512">
        <v>0.93182549999999997</v>
      </c>
      <c r="Y1512">
        <v>5.1309309999999997E-2</v>
      </c>
      <c r="Z1512">
        <v>0.11120919999999899</v>
      </c>
      <c r="AA1512">
        <v>0.99247160000000001</v>
      </c>
      <c r="AB1512">
        <v>27</v>
      </c>
      <c r="AC1512">
        <v>5.9999999999149601E-4</v>
      </c>
      <c r="AD1512">
        <v>-9.0892999999999793E-2</v>
      </c>
      <c r="AE1512">
        <v>-0.44659999999998901</v>
      </c>
      <c r="AF1512">
        <v>3.29600540234984E-2</v>
      </c>
      <c r="AG1512">
        <v>-9.0892999999999793E-2</v>
      </c>
      <c r="AH1512">
        <v>0.42756892649889999</v>
      </c>
      <c r="AI1512">
        <v>101.966860370427</v>
      </c>
      <c r="AJ1512">
        <v>85.591951490285695</v>
      </c>
      <c r="AK1512">
        <v>0.43836410610091497</v>
      </c>
      <c r="AL1512">
        <v>68.920050604257398</v>
      </c>
      <c r="AM1512">
        <v>92.9707667918683</v>
      </c>
      <c r="AN1512">
        <v>1.0000000003626199</v>
      </c>
    </row>
    <row r="1513" spans="1:40" x14ac:dyDescent="0.25">
      <c r="A1513" t="str">
        <f>"20190304164358439"</f>
        <v>20190304164358439</v>
      </c>
      <c r="B1513" t="str">
        <f>"1551689038431293"</f>
        <v>1551689038431293</v>
      </c>
      <c r="C1513" t="s">
        <v>40</v>
      </c>
      <c r="D1513">
        <v>5.4524290000000004</v>
      </c>
      <c r="E1513">
        <v>0.54741269999999997</v>
      </c>
      <c r="F1513" t="s">
        <v>41</v>
      </c>
      <c r="G1513">
        <v>-192.24719999999999</v>
      </c>
      <c r="H1513">
        <v>0.99078449999999996</v>
      </c>
      <c r="I1513">
        <v>343.74470000000002</v>
      </c>
      <c r="J1513">
        <v>-192.25069999999999</v>
      </c>
      <c r="K1513">
        <v>1.10792</v>
      </c>
      <c r="L1513">
        <v>344.38040000000001</v>
      </c>
      <c r="M1513">
        <v>7.4779910000000005E-2</v>
      </c>
      <c r="N1513">
        <v>-1.0114110000000001E-2</v>
      </c>
      <c r="O1513">
        <v>-0.9971487</v>
      </c>
      <c r="P1513">
        <v>0.12165769999999999</v>
      </c>
      <c r="Q1513">
        <v>0.3511609</v>
      </c>
      <c r="R1513">
        <v>-0.92837780000000003</v>
      </c>
      <c r="S1513">
        <v>8.2244869999999998E-2</v>
      </c>
      <c r="T1513">
        <v>-0.42613410000000002</v>
      </c>
      <c r="U1513">
        <v>-3.3802189999999999</v>
      </c>
      <c r="V1513">
        <v>-4.9631750000000002E-2</v>
      </c>
      <c r="W1513">
        <v>0.36091630000000002</v>
      </c>
      <c r="X1513">
        <v>0.93127660000000001</v>
      </c>
      <c r="Y1513">
        <v>5.0630849999999998E-2</v>
      </c>
      <c r="Z1513">
        <v>0.11442330000000001</v>
      </c>
      <c r="AA1513">
        <v>0.99214100000000005</v>
      </c>
      <c r="AB1513">
        <v>27</v>
      </c>
      <c r="AC1513">
        <v>3.5000000000024998E-3</v>
      </c>
      <c r="AD1513">
        <v>-0.1171355</v>
      </c>
      <c r="AE1513">
        <v>-0.63569999999998505</v>
      </c>
      <c r="AF1513">
        <v>4.2603374332944498E-2</v>
      </c>
      <c r="AG1513">
        <v>-0.1171355</v>
      </c>
      <c r="AH1513">
        <v>0.61335721795609</v>
      </c>
      <c r="AI1513">
        <v>100.78646184888299</v>
      </c>
      <c r="AJ1513">
        <v>86.026655931818993</v>
      </c>
      <c r="AK1513">
        <v>0.62589364087170396</v>
      </c>
      <c r="AL1513">
        <v>68.843520105088302</v>
      </c>
      <c r="AM1513">
        <v>93.050653359017005</v>
      </c>
      <c r="AN1513">
        <v>0.99999999596065603</v>
      </c>
    </row>
    <row r="1514" spans="1:40" x14ac:dyDescent="0.25">
      <c r="A1514" t="str">
        <f>"20190304164358463"</f>
        <v>20190304164358463</v>
      </c>
      <c r="B1514" t="str">
        <f>"1551689038451319"</f>
        <v>1551689038451319</v>
      </c>
      <c r="C1514" t="s">
        <v>40</v>
      </c>
      <c r="D1514">
        <v>5.4265089999999896</v>
      </c>
      <c r="E1514">
        <v>0.54758370000000001</v>
      </c>
      <c r="F1514" t="s">
        <v>41</v>
      </c>
      <c r="G1514">
        <v>-192.23079999999999</v>
      </c>
      <c r="H1514">
        <v>0.99696980000000002</v>
      </c>
      <c r="I1514">
        <v>343.49549999999999</v>
      </c>
      <c r="J1514">
        <v>-192.23320000000001</v>
      </c>
      <c r="K1514">
        <v>1.1082110000000001</v>
      </c>
      <c r="L1514">
        <v>344.10250000000002</v>
      </c>
      <c r="M1514">
        <v>7.1911600000000006E-2</v>
      </c>
      <c r="N1514">
        <v>-1.004885E-2</v>
      </c>
      <c r="O1514">
        <v>-0.99736049999999998</v>
      </c>
      <c r="P1514">
        <v>0.1207734</v>
      </c>
      <c r="Q1514">
        <v>0.35255639999999999</v>
      </c>
      <c r="R1514">
        <v>-0.92796460000000003</v>
      </c>
      <c r="S1514">
        <v>7.6065060000000004E-2</v>
      </c>
      <c r="T1514">
        <v>-0.42404130000000001</v>
      </c>
      <c r="U1514">
        <v>-3.3818969999999999</v>
      </c>
      <c r="V1514">
        <v>-5.1723129999999999E-2</v>
      </c>
      <c r="W1514">
        <v>0.3622184</v>
      </c>
      <c r="X1514">
        <v>0.93065710000000001</v>
      </c>
      <c r="Y1514">
        <v>4.9581840000000002E-2</v>
      </c>
      <c r="Z1514">
        <v>0.113869</v>
      </c>
      <c r="AA1514">
        <v>0.99225779999999997</v>
      </c>
      <c r="AB1514">
        <v>27</v>
      </c>
      <c r="AC1514">
        <v>2.4000000000228201E-3</v>
      </c>
      <c r="AD1514">
        <v>-0.1112412</v>
      </c>
      <c r="AE1514">
        <v>-0.60700000000002696</v>
      </c>
      <c r="AF1514">
        <v>3.9918099610767303E-2</v>
      </c>
      <c r="AG1514">
        <v>-0.1112412</v>
      </c>
      <c r="AH1514">
        <v>0.58592262743650902</v>
      </c>
      <c r="AI1514">
        <v>100.725745333719</v>
      </c>
      <c r="AJ1514">
        <v>86.102540237061802</v>
      </c>
      <c r="AK1514">
        <v>0.59772350179332701</v>
      </c>
      <c r="AL1514">
        <v>68.763502779029295</v>
      </c>
      <c r="AM1514">
        <v>93.181055035711694</v>
      </c>
      <c r="AN1514">
        <v>1.00000004462798</v>
      </c>
    </row>
    <row r="1515" spans="1:40" x14ac:dyDescent="0.25">
      <c r="A1515" t="str">
        <f>"20190304164358483"</f>
        <v>20190304164358483</v>
      </c>
      <c r="B1515" t="str">
        <f>"1551689038470840"</f>
        <v>1551689038470840</v>
      </c>
      <c r="C1515" t="s">
        <v>40</v>
      </c>
      <c r="D1515">
        <v>5.4300220000000001</v>
      </c>
      <c r="E1515">
        <v>0.54768989999999995</v>
      </c>
      <c r="F1515" t="s">
        <v>41</v>
      </c>
      <c r="G1515">
        <v>-192.21549999999999</v>
      </c>
      <c r="H1515">
        <v>1.0017419999999999</v>
      </c>
      <c r="I1515">
        <v>343.24669999999998</v>
      </c>
      <c r="J1515">
        <v>-192.2175</v>
      </c>
      <c r="K1515">
        <v>1.1084240000000001</v>
      </c>
      <c r="L1515">
        <v>343.84809999999999</v>
      </c>
      <c r="M1515">
        <v>6.9570590000000002E-2</v>
      </c>
      <c r="N1515">
        <v>-9.9959839999999994E-3</v>
      </c>
      <c r="O1515">
        <v>-0.99752700000000005</v>
      </c>
      <c r="P1515">
        <v>0.12095499999999999</v>
      </c>
      <c r="Q1515">
        <v>0.3533675</v>
      </c>
      <c r="R1515">
        <v>-0.92763220000000002</v>
      </c>
      <c r="S1515">
        <v>7.0205690000000001E-2</v>
      </c>
      <c r="T1515">
        <v>-0.42103059999999998</v>
      </c>
      <c r="U1515">
        <v>-3.3836979999999999</v>
      </c>
      <c r="V1515">
        <v>-5.4301259999999997E-2</v>
      </c>
      <c r="W1515">
        <v>0.36296139999999999</v>
      </c>
      <c r="X1515">
        <v>0.93022059999999995</v>
      </c>
      <c r="Y1515">
        <v>4.8965809999999999E-2</v>
      </c>
      <c r="Z1515">
        <v>0.1130241</v>
      </c>
      <c r="AA1515">
        <v>0.99238499999999996</v>
      </c>
      <c r="AB1515">
        <v>27</v>
      </c>
      <c r="AC1515">
        <v>2.0000000000095402E-3</v>
      </c>
      <c r="AD1515">
        <v>-0.106682</v>
      </c>
      <c r="AE1515">
        <v>-0.60140000000001204</v>
      </c>
      <c r="AF1515">
        <v>3.8631096006745802E-2</v>
      </c>
      <c r="AG1515">
        <v>-0.106682</v>
      </c>
      <c r="AH1515">
        <v>0.58177530333806904</v>
      </c>
      <c r="AI1515">
        <v>100.368730722637</v>
      </c>
      <c r="AJ1515">
        <v>86.201017485405302</v>
      </c>
      <c r="AK1515">
        <v>0.59273595662553202</v>
      </c>
      <c r="AL1515">
        <v>68.717822146988297</v>
      </c>
      <c r="AM1515">
        <v>93.340827205793801</v>
      </c>
      <c r="AN1515">
        <v>0.99999998469595297</v>
      </c>
    </row>
    <row r="1516" spans="1:40" x14ac:dyDescent="0.25">
      <c r="A1516" t="str">
        <f>"20190304164358505"</f>
        <v>20190304164358505</v>
      </c>
      <c r="B1516" t="str">
        <f>"1551689038491336"</f>
        <v>1551689038491336</v>
      </c>
      <c r="C1516" t="s">
        <v>40</v>
      </c>
      <c r="D1516">
        <v>5.3997729999999997</v>
      </c>
      <c r="E1516">
        <v>0.54769990000000002</v>
      </c>
      <c r="F1516" t="s">
        <v>41</v>
      </c>
      <c r="G1516">
        <v>-192.2011</v>
      </c>
      <c r="H1516">
        <v>1.00339</v>
      </c>
      <c r="I1516">
        <v>342.99900000000002</v>
      </c>
      <c r="J1516">
        <v>-192.20179999999999</v>
      </c>
      <c r="K1516">
        <v>1.108592</v>
      </c>
      <c r="L1516">
        <v>343.58510000000001</v>
      </c>
      <c r="M1516">
        <v>6.7382540000000005E-2</v>
      </c>
      <c r="N1516">
        <v>-9.9454039999999997E-3</v>
      </c>
      <c r="O1516">
        <v>-0.99767790000000001</v>
      </c>
      <c r="P1516">
        <v>0.1205494</v>
      </c>
      <c r="Q1516">
        <v>0.3530741</v>
      </c>
      <c r="R1516">
        <v>-0.92779679999999998</v>
      </c>
      <c r="S1516">
        <v>6.536865E-2</v>
      </c>
      <c r="T1516">
        <v>-0.41873379999999999</v>
      </c>
      <c r="U1516">
        <v>-3.3850709999999999</v>
      </c>
      <c r="V1516">
        <v>-5.608552E-2</v>
      </c>
      <c r="W1516">
        <v>0.36260589999999998</v>
      </c>
      <c r="X1516">
        <v>0.93025340000000001</v>
      </c>
      <c r="Y1516">
        <v>4.8200359999999998E-2</v>
      </c>
      <c r="Z1516">
        <v>0.11239489999999901</v>
      </c>
      <c r="AA1516">
        <v>0.99249390000000004</v>
      </c>
      <c r="AB1516">
        <v>28</v>
      </c>
      <c r="AC1516">
        <v>6.9999999999481501E-4</v>
      </c>
      <c r="AD1516">
        <v>-0.105202</v>
      </c>
      <c r="AE1516">
        <v>-0.58609999999998696</v>
      </c>
      <c r="AF1516">
        <v>3.7585496563878697E-2</v>
      </c>
      <c r="AG1516">
        <v>-0.105202</v>
      </c>
      <c r="AH1516">
        <v>0.56656126313882305</v>
      </c>
      <c r="AI1516">
        <v>100.496611560597</v>
      </c>
      <c r="AJ1516">
        <v>86.204577258580002</v>
      </c>
      <c r="AK1516">
        <v>0.57747016827314301</v>
      </c>
      <c r="AL1516">
        <v>68.739680371333506</v>
      </c>
      <c r="AM1516">
        <v>93.450219542061305</v>
      </c>
      <c r="AN1516">
        <v>1.0000000062400201</v>
      </c>
    </row>
    <row r="1517" spans="1:40" x14ac:dyDescent="0.25">
      <c r="A1517" t="str">
        <f>"20190304164358527"</f>
        <v>20190304164358527</v>
      </c>
      <c r="B1517" t="str">
        <f>"1551689038521591"</f>
        <v>1551689038521591</v>
      </c>
      <c r="C1517" t="s">
        <v>40</v>
      </c>
      <c r="D1517">
        <v>5.3860590000000004</v>
      </c>
      <c r="E1517">
        <v>0.54762759999999999</v>
      </c>
      <c r="F1517" t="s">
        <v>41</v>
      </c>
      <c r="G1517">
        <v>-192.1867</v>
      </c>
      <c r="H1517">
        <v>1.0049809999999999</v>
      </c>
      <c r="I1517">
        <v>342.75110000000001</v>
      </c>
      <c r="J1517">
        <v>-192.18510000000001</v>
      </c>
      <c r="K1517">
        <v>1.108741</v>
      </c>
      <c r="L1517">
        <v>343.29930000000002</v>
      </c>
      <c r="M1517">
        <v>6.5186060000000004E-2</v>
      </c>
      <c r="N1517">
        <v>-9.8920569999999992E-3</v>
      </c>
      <c r="O1517">
        <v>-0.9978243</v>
      </c>
      <c r="P1517">
        <v>0.12045409999999999</v>
      </c>
      <c r="Q1517">
        <v>0.35112640000000001</v>
      </c>
      <c r="R1517">
        <v>-0.92854800000000004</v>
      </c>
      <c r="S1517">
        <v>6.14624E-2</v>
      </c>
      <c r="T1517">
        <v>-0.42069509999999999</v>
      </c>
      <c r="U1517">
        <v>-3.3855900000000001</v>
      </c>
      <c r="V1517">
        <v>-5.8137010000000003E-2</v>
      </c>
      <c r="W1517">
        <v>0.3606027</v>
      </c>
      <c r="X1517">
        <v>0.93090589999999995</v>
      </c>
      <c r="Y1517">
        <v>4.7151129999999999E-2</v>
      </c>
      <c r="Z1517">
        <v>0.11302470000000001</v>
      </c>
      <c r="AA1517">
        <v>0.99247280000000004</v>
      </c>
      <c r="AB1517">
        <v>28</v>
      </c>
      <c r="AC1517">
        <v>-1.59999999999627E-3</v>
      </c>
      <c r="AD1517">
        <v>-0.10376000000000001</v>
      </c>
      <c r="AE1517">
        <v>-0.54820000000000801</v>
      </c>
      <c r="AF1517">
        <v>3.6042149839755601E-2</v>
      </c>
      <c r="AG1517">
        <v>-0.10376000000000001</v>
      </c>
      <c r="AH1517">
        <v>0.52801388425253304</v>
      </c>
      <c r="AI1517">
        <v>101.09236220026</v>
      </c>
      <c r="AJ1517">
        <v>86.095055934575797</v>
      </c>
      <c r="AK1517">
        <v>0.53931793603450495</v>
      </c>
      <c r="AL1517">
        <v>68.862785651617003</v>
      </c>
      <c r="AM1517">
        <v>93.573599452392898</v>
      </c>
      <c r="AN1517">
        <v>1.0000000069169199</v>
      </c>
    </row>
    <row r="1518" spans="1:40" x14ac:dyDescent="0.25">
      <c r="A1518" t="str">
        <f>"20190304164358550"</f>
        <v>20190304164358550</v>
      </c>
      <c r="B1518" t="str">
        <f>"1551689038541618"</f>
        <v>1551689038541618</v>
      </c>
      <c r="C1518" t="s">
        <v>40</v>
      </c>
      <c r="D1518">
        <v>5.3664860000000001</v>
      </c>
      <c r="E1518">
        <v>0.54752789999999996</v>
      </c>
      <c r="F1518" t="s">
        <v>41</v>
      </c>
      <c r="G1518">
        <v>-192.17140000000001</v>
      </c>
      <c r="H1518">
        <v>1.0077659999999999</v>
      </c>
      <c r="I1518">
        <v>342.50229999999999</v>
      </c>
      <c r="J1518">
        <v>-192.16919999999999</v>
      </c>
      <c r="K1518">
        <v>1.108846</v>
      </c>
      <c r="L1518">
        <v>343.01909999999998</v>
      </c>
      <c r="M1518">
        <v>6.3138199999999894E-2</v>
      </c>
      <c r="N1518">
        <v>-9.8440009999999998E-3</v>
      </c>
      <c r="O1518">
        <v>-0.99795630000000002</v>
      </c>
      <c r="P1518">
        <v>0.1201176</v>
      </c>
      <c r="Q1518">
        <v>0.34919840000000002</v>
      </c>
      <c r="R1518">
        <v>-0.92931839999999999</v>
      </c>
      <c r="S1518">
        <v>5.8166500000000003E-2</v>
      </c>
      <c r="T1518">
        <v>-0.4289616</v>
      </c>
      <c r="U1518">
        <v>-3.385529</v>
      </c>
      <c r="V1518">
        <v>-5.9777490000000003E-2</v>
      </c>
      <c r="W1518">
        <v>0.35862620000000001</v>
      </c>
      <c r="X1518">
        <v>0.93156530000000004</v>
      </c>
      <c r="Y1518">
        <v>4.6071920000000002E-2</v>
      </c>
      <c r="Z1518">
        <v>0.115482</v>
      </c>
      <c r="AA1518">
        <v>0.99224049999999997</v>
      </c>
      <c r="AB1518">
        <v>28</v>
      </c>
      <c r="AC1518">
        <v>-2.2000000000161799E-3</v>
      </c>
      <c r="AD1518">
        <v>-0.10108</v>
      </c>
      <c r="AE1518">
        <v>-0.51679999999998905</v>
      </c>
      <c r="AF1518">
        <v>3.3543823540152999E-2</v>
      </c>
      <c r="AG1518">
        <v>-0.10108</v>
      </c>
      <c r="AH1518">
        <v>0.49663168599103102</v>
      </c>
      <c r="AI1518">
        <v>101.478879098039</v>
      </c>
      <c r="AJ1518">
        <v>86.135959625927399</v>
      </c>
      <c r="AK1518">
        <v>0.50792261814964201</v>
      </c>
      <c r="AL1518">
        <v>68.9841498746067</v>
      </c>
      <c r="AM1518">
        <v>93.671571379429395</v>
      </c>
      <c r="AN1518">
        <v>1.0000000039006101</v>
      </c>
    </row>
    <row r="1519" spans="1:40" x14ac:dyDescent="0.25">
      <c r="A1519" t="str">
        <f>"20190304164358571"</f>
        <v>20190304164358571</v>
      </c>
      <c r="B1519" t="str">
        <f>"1551689038561137"</f>
        <v>1551689038561137</v>
      </c>
      <c r="C1519" t="s">
        <v>40</v>
      </c>
      <c r="D1519">
        <v>5.3308119999999999</v>
      </c>
      <c r="E1519">
        <v>0.54748509999999995</v>
      </c>
      <c r="F1519" t="s">
        <v>41</v>
      </c>
      <c r="G1519">
        <v>-192.15710000000001</v>
      </c>
      <c r="H1519">
        <v>1.010168</v>
      </c>
      <c r="I1519">
        <v>342.25310000000002</v>
      </c>
      <c r="J1519">
        <v>-192.15440000000001</v>
      </c>
      <c r="K1519">
        <v>1.108914</v>
      </c>
      <c r="L1519">
        <v>342.7516</v>
      </c>
      <c r="M1519">
        <v>6.1228659999999997E-2</v>
      </c>
      <c r="N1519">
        <v>-9.8041900000000008E-3</v>
      </c>
      <c r="O1519">
        <v>-0.99807599999999996</v>
      </c>
      <c r="P1519">
        <v>0.1213632</v>
      </c>
      <c r="Q1519">
        <v>0.34714620000000002</v>
      </c>
      <c r="R1519">
        <v>-0.92992560000000002</v>
      </c>
      <c r="S1519">
        <v>5.3939819999999999E-2</v>
      </c>
      <c r="T1519">
        <v>-0.43618449999999998</v>
      </c>
      <c r="U1519">
        <v>-3.3850709999999999</v>
      </c>
      <c r="V1519">
        <v>-6.2846559999999996E-2</v>
      </c>
      <c r="W1519">
        <v>0.3565432</v>
      </c>
      <c r="X1519">
        <v>0.93216270000000001</v>
      </c>
      <c r="Y1519">
        <v>4.5400999999999997E-2</v>
      </c>
      <c r="Z1519">
        <v>0.1176413</v>
      </c>
      <c r="AA1519">
        <v>0.99201779999999995</v>
      </c>
      <c r="AB1519">
        <v>28</v>
      </c>
      <c r="AC1519">
        <v>-2.7000000000043599E-3</v>
      </c>
      <c r="AD1519">
        <v>-9.8746E-2</v>
      </c>
      <c r="AE1519">
        <v>-0.49849999999997802</v>
      </c>
      <c r="AF1519">
        <v>3.1964677424625998E-2</v>
      </c>
      <c r="AG1519">
        <v>-9.8746E-2</v>
      </c>
      <c r="AH1519">
        <v>0.47861967523577897</v>
      </c>
      <c r="AI1519">
        <v>101.632160897874</v>
      </c>
      <c r="AJ1519">
        <v>86.179167779749903</v>
      </c>
      <c r="AK1519">
        <v>0.48974412364178799</v>
      </c>
      <c r="AL1519">
        <v>69.111947247618104</v>
      </c>
      <c r="AM1519">
        <v>93.857053737349801</v>
      </c>
      <c r="AN1519">
        <v>1.0000000214206799</v>
      </c>
    </row>
    <row r="1520" spans="1:40" x14ac:dyDescent="0.25">
      <c r="A1520" t="str">
        <f>"20190304164358593"</f>
        <v>20190304164358593</v>
      </c>
      <c r="B1520" t="str">
        <f>"1551689038581633"</f>
        <v>1551689038581633</v>
      </c>
      <c r="C1520" t="s">
        <v>40</v>
      </c>
      <c r="D1520">
        <v>5.3460970000000003</v>
      </c>
      <c r="E1520">
        <v>0.54737499999999994</v>
      </c>
      <c r="F1520" t="s">
        <v>41</v>
      </c>
      <c r="G1520">
        <v>-192.14279999999999</v>
      </c>
      <c r="H1520">
        <v>1.011304</v>
      </c>
      <c r="I1520">
        <v>342.0043</v>
      </c>
      <c r="J1520">
        <v>-192.14</v>
      </c>
      <c r="K1520">
        <v>1.1089500000000001</v>
      </c>
      <c r="L1520">
        <v>342.48070000000001</v>
      </c>
      <c r="M1520">
        <v>5.9312450000000003E-2</v>
      </c>
      <c r="N1520">
        <v>-9.7695100000000003E-3</v>
      </c>
      <c r="O1520">
        <v>-0.99819199999999997</v>
      </c>
      <c r="P1520">
        <v>0.1219278</v>
      </c>
      <c r="Q1520">
        <v>0.3465203</v>
      </c>
      <c r="R1520">
        <v>-0.93008500000000005</v>
      </c>
      <c r="S1520">
        <v>5.308533E-2</v>
      </c>
      <c r="T1520">
        <v>-0.4421293</v>
      </c>
      <c r="U1520">
        <v>-3.3841860000000001</v>
      </c>
      <c r="V1520">
        <v>-6.5237809999999993E-2</v>
      </c>
      <c r="W1520">
        <v>0.3558868</v>
      </c>
      <c r="X1520">
        <v>0.9322492</v>
      </c>
      <c r="Y1520">
        <v>4.3733639999999997E-2</v>
      </c>
      <c r="Z1520">
        <v>0.1194452</v>
      </c>
      <c r="AA1520">
        <v>0.99187709999999996</v>
      </c>
      <c r="AB1520">
        <v>28</v>
      </c>
      <c r="AC1520">
        <v>-2.80000000000768E-3</v>
      </c>
      <c r="AD1520">
        <v>-9.7646000000000094E-2</v>
      </c>
      <c r="AE1520">
        <v>-0.47640000000001198</v>
      </c>
      <c r="AF1520">
        <v>2.9800929668660301E-2</v>
      </c>
      <c r="AG1520">
        <v>-9.7646000000000094E-2</v>
      </c>
      <c r="AH1520">
        <v>0.45622903821730798</v>
      </c>
      <c r="AI1520">
        <v>102.055726172455</v>
      </c>
      <c r="AJ1520">
        <v>86.262742780071605</v>
      </c>
      <c r="AK1520">
        <v>0.46751232287267702</v>
      </c>
      <c r="AL1520">
        <v>69.152195443983601</v>
      </c>
      <c r="AM1520">
        <v>94.0029721227057</v>
      </c>
      <c r="AN1520">
        <v>0.99999997858423695</v>
      </c>
    </row>
    <row r="1521" spans="1:40" x14ac:dyDescent="0.25">
      <c r="A1521" t="str">
        <f>"20190304164358618"</f>
        <v>20190304164358618</v>
      </c>
      <c r="B1521" t="str">
        <f>"1551689038610915"</f>
        <v>1551689038610915</v>
      </c>
      <c r="C1521" t="s">
        <v>40</v>
      </c>
      <c r="D1521">
        <v>5.3247859999999996</v>
      </c>
      <c r="E1521">
        <v>0.54724050000000002</v>
      </c>
      <c r="F1521" t="s">
        <v>41</v>
      </c>
      <c r="G1521">
        <v>-192.12870000000001</v>
      </c>
      <c r="H1521">
        <v>1.0137689999999999</v>
      </c>
      <c r="I1521">
        <v>341.75439999999998</v>
      </c>
      <c r="J1521">
        <v>-192.1242</v>
      </c>
      <c r="K1521">
        <v>1.108959</v>
      </c>
      <c r="L1521">
        <v>342.17419999999998</v>
      </c>
      <c r="M1521">
        <v>5.7148169999999998E-2</v>
      </c>
      <c r="N1521">
        <v>-9.7363450000000004E-3</v>
      </c>
      <c r="O1521">
        <v>-0.99831859999999994</v>
      </c>
      <c r="P1521">
        <v>0.12125</v>
      </c>
      <c r="Q1521">
        <v>0.3473117</v>
      </c>
      <c r="R1521">
        <v>-0.92987839999999999</v>
      </c>
      <c r="S1521">
        <v>5.3497309999999999E-2</v>
      </c>
      <c r="T1521">
        <v>-0.44361070000000002</v>
      </c>
      <c r="U1521">
        <v>-3.3838200000000001</v>
      </c>
      <c r="V1521">
        <v>-6.6614279999999998E-2</v>
      </c>
      <c r="W1521">
        <v>0.35664600000000002</v>
      </c>
      <c r="X1521">
        <v>0.93186170000000002</v>
      </c>
      <c r="Y1521">
        <v>4.1447659999999997E-2</v>
      </c>
      <c r="Z1521">
        <v>0.1199485</v>
      </c>
      <c r="AA1521">
        <v>0.99191450000000003</v>
      </c>
      <c r="AB1521">
        <v>28</v>
      </c>
      <c r="AC1521">
        <v>-4.5000000000072699E-3</v>
      </c>
      <c r="AD1521">
        <v>-9.5189999999999803E-2</v>
      </c>
      <c r="AE1521">
        <v>-0.419800000000009</v>
      </c>
      <c r="AF1521">
        <v>2.7091785524542299E-2</v>
      </c>
      <c r="AG1521">
        <v>-9.5189999999999803E-2</v>
      </c>
      <c r="AH1521">
        <v>0.39837614959483802</v>
      </c>
      <c r="AI1521">
        <v>103.408718114341</v>
      </c>
      <c r="AJ1521">
        <v>86.109559588573902</v>
      </c>
      <c r="AK1521">
        <v>0.41048587979237</v>
      </c>
      <c r="AL1521">
        <v>69.105642963733004</v>
      </c>
      <c r="AM1521">
        <v>94.088842428469306</v>
      </c>
      <c r="AN1521">
        <v>1.0000000297714</v>
      </c>
    </row>
    <row r="1522" spans="1:40" x14ac:dyDescent="0.25">
      <c r="A1522" t="str">
        <f>"20190304164358639"</f>
        <v>20190304164358639</v>
      </c>
      <c r="B1522" t="str">
        <f>"1551689038631410"</f>
        <v>1551689038631410</v>
      </c>
      <c r="C1522" t="s">
        <v>40</v>
      </c>
      <c r="D1522">
        <v>5.325717</v>
      </c>
      <c r="E1522">
        <v>0.54715559999999996</v>
      </c>
      <c r="F1522" t="s">
        <v>41</v>
      </c>
      <c r="G1522">
        <v>-192.11</v>
      </c>
      <c r="H1522">
        <v>0.99058789999999997</v>
      </c>
      <c r="I1522">
        <v>341.26659999999998</v>
      </c>
      <c r="J1522">
        <v>-192.11089999999999</v>
      </c>
      <c r="K1522">
        <v>1.1089469999999999</v>
      </c>
      <c r="L1522">
        <v>341.90359999999998</v>
      </c>
      <c r="M1522">
        <v>5.523024E-2</v>
      </c>
      <c r="N1522">
        <v>-9.7111249999999993E-3</v>
      </c>
      <c r="O1522">
        <v>-0.99842660000000005</v>
      </c>
      <c r="P1522">
        <v>0.12066549999999999</v>
      </c>
      <c r="Q1522">
        <v>0.34707130000000003</v>
      </c>
      <c r="R1522">
        <v>-0.93004379999999998</v>
      </c>
      <c r="S1522">
        <v>5.3176880000000003E-2</v>
      </c>
      <c r="T1522">
        <v>-0.44142759999999998</v>
      </c>
      <c r="U1522">
        <v>-3.384125</v>
      </c>
      <c r="V1522">
        <v>-6.7818020000000007E-2</v>
      </c>
      <c r="W1522">
        <v>0.3563868</v>
      </c>
      <c r="X1522">
        <v>0.93187399999999998</v>
      </c>
      <c r="Y1522">
        <v>3.9623819999999997E-2</v>
      </c>
      <c r="Z1522">
        <v>0.1193598</v>
      </c>
      <c r="AA1522">
        <v>0.9920601</v>
      </c>
      <c r="AB1522">
        <v>28</v>
      </c>
      <c r="AC1522">
        <v>8.9999999997303305E-4</v>
      </c>
      <c r="AD1522">
        <v>-0.118359099999999</v>
      </c>
      <c r="AE1522">
        <v>-0.63700000000000001</v>
      </c>
      <c r="AF1522">
        <v>3.3140538945084799E-2</v>
      </c>
      <c r="AG1522">
        <v>-0.118359099999999</v>
      </c>
      <c r="AH1522">
        <v>0.61485012391822502</v>
      </c>
      <c r="AI1522">
        <v>100.880776362188</v>
      </c>
      <c r="AJ1522">
        <v>86.9147320503278</v>
      </c>
      <c r="AK1522">
        <v>0.62701502913138996</v>
      </c>
      <c r="AL1522">
        <v>69.121537749215193</v>
      </c>
      <c r="AM1522">
        <v>94.162416879346907</v>
      </c>
      <c r="AN1522">
        <v>0.99999999346348001</v>
      </c>
    </row>
    <row r="1523" spans="1:40" x14ac:dyDescent="0.25">
      <c r="A1523" t="str">
        <f>"20190304164358661"</f>
        <v>20190304164358661</v>
      </c>
      <c r="B1523" t="str">
        <f>"1551689038651436"</f>
        <v>1551689038651436</v>
      </c>
      <c r="C1523" t="s">
        <v>40</v>
      </c>
      <c r="D1523">
        <v>5.3116250000000003</v>
      </c>
      <c r="E1523">
        <v>0.54705360000000003</v>
      </c>
      <c r="F1523" t="s">
        <v>41</v>
      </c>
      <c r="G1523">
        <v>-192.09700000000001</v>
      </c>
      <c r="H1523">
        <v>0.99287300000000001</v>
      </c>
      <c r="I1523">
        <v>341.01549999999997</v>
      </c>
      <c r="J1523">
        <v>-192.09780000000001</v>
      </c>
      <c r="K1523">
        <v>1.1089389999999999</v>
      </c>
      <c r="L1523">
        <v>341.62979999999999</v>
      </c>
      <c r="M1523">
        <v>5.3276259999999999E-2</v>
      </c>
      <c r="N1523">
        <v>-9.6926089999999996E-3</v>
      </c>
      <c r="O1523">
        <v>-0.998533</v>
      </c>
      <c r="P1523">
        <v>0.1197565</v>
      </c>
      <c r="Q1523">
        <v>0.34679650000000001</v>
      </c>
      <c r="R1523">
        <v>-0.93026410000000004</v>
      </c>
      <c r="S1523">
        <v>5.3527829999999998E-2</v>
      </c>
      <c r="T1523">
        <v>-0.44234859999999998</v>
      </c>
      <c r="U1523">
        <v>-3.3837890000000002</v>
      </c>
      <c r="V1523">
        <v>-6.8721859999999996E-2</v>
      </c>
      <c r="W1523">
        <v>0.35609940000000001</v>
      </c>
      <c r="X1523">
        <v>0.93191769999999996</v>
      </c>
      <c r="Y1523">
        <v>3.7565910000000001E-2</v>
      </c>
      <c r="Z1523">
        <v>0.1196812</v>
      </c>
      <c r="AA1523">
        <v>0.99210140000000002</v>
      </c>
      <c r="AB1523">
        <v>28</v>
      </c>
      <c r="AC1523">
        <v>7.9999999999813499E-4</v>
      </c>
      <c r="AD1523">
        <v>-0.116065999999999</v>
      </c>
      <c r="AE1523">
        <v>-0.61430000000001395</v>
      </c>
      <c r="AF1523">
        <v>3.08297028628997E-2</v>
      </c>
      <c r="AG1523">
        <v>-0.116065999999999</v>
      </c>
      <c r="AH1523">
        <v>0.59232508535392303</v>
      </c>
      <c r="AI1523">
        <v>101.07201118630999</v>
      </c>
      <c r="AJ1523">
        <v>87.020522370999601</v>
      </c>
      <c r="AK1523">
        <v>0.60437636756754998</v>
      </c>
      <c r="AL1523">
        <v>69.139161718426195</v>
      </c>
      <c r="AM1523">
        <v>94.217495262024897</v>
      </c>
      <c r="AN1523">
        <v>1.0000000381477501</v>
      </c>
    </row>
    <row r="1524" spans="1:40" x14ac:dyDescent="0.25">
      <c r="A1524" t="str">
        <f>"20190304164358684"</f>
        <v>20190304164358684</v>
      </c>
      <c r="B1524" t="str">
        <f>"1551689038681693"</f>
        <v>1551689038681693</v>
      </c>
      <c r="C1524" t="s">
        <v>40</v>
      </c>
      <c r="D1524">
        <v>5.3080660000000002</v>
      </c>
      <c r="E1524">
        <v>0.54702099999999998</v>
      </c>
      <c r="F1524" t="s">
        <v>41</v>
      </c>
      <c r="G1524">
        <v>-192.0848</v>
      </c>
      <c r="H1524">
        <v>0.99554620000000005</v>
      </c>
      <c r="I1524">
        <v>340.76389999999998</v>
      </c>
      <c r="J1524">
        <v>-192.0847</v>
      </c>
      <c r="K1524">
        <v>1.10894</v>
      </c>
      <c r="L1524">
        <v>341.34070000000003</v>
      </c>
      <c r="M1524">
        <v>5.1199069999999999E-2</v>
      </c>
      <c r="N1524">
        <v>-9.6920749999999996E-3</v>
      </c>
      <c r="O1524">
        <v>-0.99864160000000002</v>
      </c>
      <c r="P1524">
        <v>0.1181764</v>
      </c>
      <c r="Q1524">
        <v>0.3459004</v>
      </c>
      <c r="R1524">
        <v>-0.9307995</v>
      </c>
      <c r="S1524">
        <v>5.1742549999999998E-2</v>
      </c>
      <c r="T1524">
        <v>-0.44316670000000002</v>
      </c>
      <c r="U1524">
        <v>-3.3834840000000002</v>
      </c>
      <c r="V1524">
        <v>-6.9055740000000004E-2</v>
      </c>
      <c r="W1524">
        <v>0.35520889999999999</v>
      </c>
      <c r="X1524">
        <v>0.93223270000000003</v>
      </c>
      <c r="Y1524">
        <v>3.6010670000000002E-2</v>
      </c>
      <c r="Z1524">
        <v>0.1199537</v>
      </c>
      <c r="AA1524">
        <v>0.99212619999999896</v>
      </c>
      <c r="AB1524">
        <v>28</v>
      </c>
      <c r="AC1524">
        <v>-1.0000000000331901E-4</v>
      </c>
      <c r="AD1524">
        <v>-0.1133938</v>
      </c>
      <c r="AE1524">
        <v>-0.57680000000004805</v>
      </c>
      <c r="AF1524">
        <v>2.8530235458266801E-2</v>
      </c>
      <c r="AG1524">
        <v>-0.1133938</v>
      </c>
      <c r="AH1524">
        <v>0.55460393114340301</v>
      </c>
      <c r="AI1524">
        <v>101.540529830677</v>
      </c>
      <c r="AJ1524">
        <v>87.055155365344405</v>
      </c>
      <c r="AK1524">
        <v>0.56679594975040304</v>
      </c>
      <c r="AL1524">
        <v>69.193750609755696</v>
      </c>
      <c r="AM1524">
        <v>94.236484404385806</v>
      </c>
      <c r="AN1524">
        <v>0.999999932407721</v>
      </c>
    </row>
    <row r="1525" spans="1:40" x14ac:dyDescent="0.25">
      <c r="A1525" t="str">
        <f>"20190304164358705"</f>
        <v>20190304164358705</v>
      </c>
      <c r="B1525" t="str">
        <f>"1551689038701212"</f>
        <v>1551689038701212</v>
      </c>
      <c r="C1525" t="s">
        <v>40</v>
      </c>
      <c r="D1525">
        <v>5.2921719999999999</v>
      </c>
      <c r="E1525">
        <v>0.54776409999999998</v>
      </c>
      <c r="F1525" t="s">
        <v>41</v>
      </c>
      <c r="G1525">
        <v>-192.0727</v>
      </c>
      <c r="H1525">
        <v>0.99954799999999999</v>
      </c>
      <c r="I1525">
        <v>340.51139999999998</v>
      </c>
      <c r="J1525">
        <v>-192.07339999999999</v>
      </c>
      <c r="K1525">
        <v>1.1089450000000001</v>
      </c>
      <c r="L1525">
        <v>341.0829</v>
      </c>
      <c r="M1525">
        <v>4.9345079999999999E-2</v>
      </c>
      <c r="N1525">
        <v>-9.7160709999999997E-3</v>
      </c>
      <c r="O1525">
        <v>-0.99873480000000003</v>
      </c>
      <c r="P1525">
        <v>0.1160658</v>
      </c>
      <c r="Q1525">
        <v>0.34490530000000003</v>
      </c>
      <c r="R1525">
        <v>-0.9314344</v>
      </c>
      <c r="S1525">
        <v>4.866028E-2</v>
      </c>
      <c r="T1525">
        <v>-0.44625900000000002</v>
      </c>
      <c r="U1525">
        <v>-3.3826900000000002</v>
      </c>
      <c r="V1525">
        <v>-6.8651530000000002E-2</v>
      </c>
      <c r="W1525">
        <v>0.35423969999999999</v>
      </c>
      <c r="X1525">
        <v>0.93263130000000005</v>
      </c>
      <c r="Y1525">
        <v>3.5057699999999997E-2</v>
      </c>
      <c r="Z1525">
        <v>0.120870699999999</v>
      </c>
      <c r="AA1525">
        <v>0.99204899999999996</v>
      </c>
      <c r="AB1525">
        <v>28</v>
      </c>
      <c r="AC1525">
        <v>6.9999999999481501E-4</v>
      </c>
      <c r="AD1525">
        <v>-0.10939699999999999</v>
      </c>
      <c r="AE1525">
        <v>-0.571500000000014</v>
      </c>
      <c r="AF1525">
        <v>2.6530753062017E-2</v>
      </c>
      <c r="AG1525">
        <v>-0.10939699999999999</v>
      </c>
      <c r="AH1525">
        <v>0.55066101761794395</v>
      </c>
      <c r="AI1525">
        <v>101.223670454412</v>
      </c>
      <c r="AJ1525">
        <v>87.241632213090696</v>
      </c>
      <c r="AK1525">
        <v>0.56204905550233597</v>
      </c>
      <c r="AL1525">
        <v>69.253144790909602</v>
      </c>
      <c r="AM1525">
        <v>94.209982506800301</v>
      </c>
      <c r="AN1525">
        <v>0.99999996968355997</v>
      </c>
    </row>
    <row r="1526" spans="1:40" x14ac:dyDescent="0.25">
      <c r="A1526" t="str">
        <f>"20190304164358719"</f>
        <v>20190304164358719</v>
      </c>
      <c r="B1526" t="str">
        <f>"1551689038710974"</f>
        <v>1551689038710974</v>
      </c>
      <c r="C1526" t="s">
        <v>40</v>
      </c>
      <c r="D1526">
        <v>5.2735940000000001</v>
      </c>
      <c r="E1526">
        <v>0.57276260000000001</v>
      </c>
      <c r="F1526" t="s">
        <v>41</v>
      </c>
      <c r="G1526">
        <v>-192.06479999999999</v>
      </c>
      <c r="H1526">
        <v>0.99941579999999997</v>
      </c>
      <c r="I1526">
        <v>340.2604</v>
      </c>
      <c r="J1526">
        <v>-192.06569999999999</v>
      </c>
      <c r="K1526">
        <v>1.108957</v>
      </c>
      <c r="L1526">
        <v>340.89819999999997</v>
      </c>
      <c r="M1526">
        <v>4.8024119999999997E-2</v>
      </c>
      <c r="N1526">
        <v>-9.7519789999999992E-3</v>
      </c>
      <c r="O1526">
        <v>-0.99879870000000004</v>
      </c>
      <c r="P1526">
        <v>0.1146712</v>
      </c>
      <c r="Q1526">
        <v>0.34458280000000002</v>
      </c>
      <c r="R1526">
        <v>-0.93172619999999895</v>
      </c>
      <c r="S1526">
        <v>3.619385E-2</v>
      </c>
      <c r="T1526">
        <v>-0.45074750000000002</v>
      </c>
      <c r="U1526">
        <v>-3.38327</v>
      </c>
      <c r="V1526">
        <v>-6.8483859999999994E-2</v>
      </c>
      <c r="W1526">
        <v>0.35395120000000002</v>
      </c>
      <c r="X1526">
        <v>0.93275319999999995</v>
      </c>
      <c r="Y1526">
        <v>3.7392790000000002E-2</v>
      </c>
      <c r="Z1526">
        <v>0.1221134</v>
      </c>
      <c r="AA1526">
        <v>0.99181149999999996</v>
      </c>
      <c r="AB1526">
        <v>28</v>
      </c>
      <c r="AC1526">
        <v>9.0000000000145497E-4</v>
      </c>
      <c r="AD1526">
        <v>-0.10954119999999901</v>
      </c>
      <c r="AE1526">
        <v>-0.63779999999996995</v>
      </c>
      <c r="AF1526">
        <v>2.8880376186320299E-2</v>
      </c>
      <c r="AG1526">
        <v>-0.10954119999999901</v>
      </c>
      <c r="AH1526">
        <v>0.61885264415958097</v>
      </c>
      <c r="AI1526">
        <v>100.027087416269</v>
      </c>
      <c r="AJ1526">
        <v>87.328081258874604</v>
      </c>
      <c r="AK1526">
        <v>0.62913587229580903</v>
      </c>
      <c r="AL1526">
        <v>69.270820709015794</v>
      </c>
      <c r="AM1526">
        <v>94.199190262391795</v>
      </c>
      <c r="AN1526">
        <v>1.0000000115860801</v>
      </c>
    </row>
    <row r="1527" spans="1:40" x14ac:dyDescent="0.25">
      <c r="A1527" t="str">
        <f>"20190304164358739"</f>
        <v>20190304164358739</v>
      </c>
      <c r="B1527" t="str">
        <f>"1551689038731469"</f>
        <v>1551689038731469</v>
      </c>
      <c r="C1527" t="s">
        <v>40</v>
      </c>
      <c r="D1527">
        <v>5.2084390000000003</v>
      </c>
      <c r="E1527">
        <v>0.57324149999999996</v>
      </c>
      <c r="F1527" t="s">
        <v>41</v>
      </c>
      <c r="G1527">
        <v>-192.10849999999999</v>
      </c>
      <c r="H1527">
        <v>0.98565380000000002</v>
      </c>
      <c r="I1527">
        <v>340.01389999999998</v>
      </c>
      <c r="J1527">
        <v>-192.0556</v>
      </c>
      <c r="K1527">
        <v>1.108978</v>
      </c>
      <c r="L1527">
        <v>340.64949999999999</v>
      </c>
      <c r="M1527">
        <v>4.6263690000000003E-2</v>
      </c>
      <c r="N1527">
        <v>-9.8338680000000008E-3</v>
      </c>
      <c r="O1527">
        <v>-0.99888100000000002</v>
      </c>
      <c r="P1527">
        <v>0.11203299999999999</v>
      </c>
      <c r="Q1527">
        <v>0.34426980000000001</v>
      </c>
      <c r="R1527">
        <v>-0.93216259999999995</v>
      </c>
      <c r="S1527">
        <v>-0.16523740000000001</v>
      </c>
      <c r="T1527">
        <v>-0.47634290000000001</v>
      </c>
      <c r="U1527">
        <v>-3.4163209999999999</v>
      </c>
      <c r="V1527">
        <v>-6.7485180000000006E-2</v>
      </c>
      <c r="W1527">
        <v>0.35371170000000002</v>
      </c>
      <c r="X1527">
        <v>0.93291679999999999</v>
      </c>
      <c r="Y1527">
        <v>9.4004710000000005E-2</v>
      </c>
      <c r="Z1527">
        <v>0.12773199999999901</v>
      </c>
      <c r="AA1527">
        <v>0.98734370000000005</v>
      </c>
      <c r="AB1527">
        <v>28</v>
      </c>
      <c r="AC1527">
        <v>-5.2899999999993903E-2</v>
      </c>
      <c r="AD1527">
        <v>-0.12332419999999999</v>
      </c>
      <c r="AE1527">
        <v>-0.63560000000001005</v>
      </c>
      <c r="AF1527">
        <v>7.9285649101707004E-2</v>
      </c>
      <c r="AG1527">
        <v>-0.12332419999999999</v>
      </c>
      <c r="AH1527">
        <v>0.60967736109247395</v>
      </c>
      <c r="AI1527">
        <v>101.34236501506599</v>
      </c>
      <c r="AJ1527">
        <v>82.590537945969302</v>
      </c>
      <c r="AK1527">
        <v>0.62705785784710599</v>
      </c>
      <c r="AL1527">
        <v>69.285491600842505</v>
      </c>
      <c r="AM1527">
        <v>94.137445835740607</v>
      </c>
      <c r="AN1527">
        <v>0.999999985979381</v>
      </c>
    </row>
    <row r="1528" spans="1:40" x14ac:dyDescent="0.25">
      <c r="A1528" t="str">
        <f>"20190304164358763"</f>
        <v>20190304164358763</v>
      </c>
      <c r="B1528" t="str">
        <f>"1551689038751495"</f>
        <v>1551689038751495</v>
      </c>
      <c r="C1528" t="s">
        <v>40</v>
      </c>
      <c r="D1528">
        <v>5.1878710000000003</v>
      </c>
      <c r="E1528">
        <v>0.57349600000000001</v>
      </c>
      <c r="F1528" t="s">
        <v>41</v>
      </c>
      <c r="G1528">
        <v>-192.10120000000001</v>
      </c>
      <c r="H1528">
        <v>0.9814929</v>
      </c>
      <c r="I1528">
        <v>339.7647</v>
      </c>
      <c r="J1528">
        <v>-192.0445</v>
      </c>
      <c r="K1528">
        <v>1.109019</v>
      </c>
      <c r="L1528">
        <v>340.36079999999998</v>
      </c>
      <c r="M1528">
        <v>4.4256940000000002E-2</v>
      </c>
      <c r="N1528">
        <v>-9.9773290000000001E-3</v>
      </c>
      <c r="O1528">
        <v>-0.99897040000000004</v>
      </c>
      <c r="P1528">
        <v>0.1081584</v>
      </c>
      <c r="Q1528">
        <v>0.34411540000000002</v>
      </c>
      <c r="R1528">
        <v>-0.93267710000000004</v>
      </c>
      <c r="S1528">
        <v>-0.17576600000000001</v>
      </c>
      <c r="T1528">
        <v>-0.49302879999999899</v>
      </c>
      <c r="U1528">
        <v>-3.4215390000000001</v>
      </c>
      <c r="V1528">
        <v>-6.5487980000000001E-2</v>
      </c>
      <c r="W1528">
        <v>0.35368260000000001</v>
      </c>
      <c r="X1528">
        <v>0.93307019999999996</v>
      </c>
      <c r="Y1528">
        <v>9.4929399999999997E-2</v>
      </c>
      <c r="Z1528">
        <v>0.13210539999999901</v>
      </c>
      <c r="AA1528">
        <v>0.98667959999999999</v>
      </c>
      <c r="AB1528">
        <v>28</v>
      </c>
      <c r="AC1528">
        <v>-5.6700000000006398E-2</v>
      </c>
      <c r="AD1528">
        <v>-0.127526099999999</v>
      </c>
      <c r="AE1528">
        <v>-0.59609999999997798</v>
      </c>
      <c r="AF1528">
        <v>7.94248086785279E-2</v>
      </c>
      <c r="AG1528">
        <v>-0.127526099999999</v>
      </c>
      <c r="AH1528">
        <v>0.56727619619022496</v>
      </c>
      <c r="AI1528">
        <v>102.551217805896</v>
      </c>
      <c r="AJ1528">
        <v>82.029781258242195</v>
      </c>
      <c r="AK1528">
        <v>0.586833442450992</v>
      </c>
      <c r="AL1528">
        <v>69.287275032444299</v>
      </c>
      <c r="AM1528">
        <v>94.014748214181594</v>
      </c>
      <c r="AN1528">
        <v>1.00000002759763</v>
      </c>
    </row>
    <row r="1529" spans="1:40" x14ac:dyDescent="0.25">
      <c r="A1529" t="str">
        <f>"20190304164358782"</f>
        <v>20190304164358782</v>
      </c>
      <c r="B1529" t="str">
        <f>"1551689038771015"</f>
        <v>1551689038771015</v>
      </c>
      <c r="C1529" t="s">
        <v>40</v>
      </c>
      <c r="D1529">
        <v>5.1885649999999996</v>
      </c>
      <c r="E1529">
        <v>0.57340719999999901</v>
      </c>
      <c r="F1529" t="s">
        <v>41</v>
      </c>
      <c r="G1529">
        <v>-192.0908</v>
      </c>
      <c r="H1529">
        <v>0.98607750000000005</v>
      </c>
      <c r="I1529">
        <v>339.51139999999998</v>
      </c>
      <c r="J1529">
        <v>-192.0351</v>
      </c>
      <c r="K1529">
        <v>1.109064</v>
      </c>
      <c r="L1529">
        <v>340.10599999999999</v>
      </c>
      <c r="M1529">
        <v>4.2521249999999997E-2</v>
      </c>
      <c r="N1529">
        <v>-1.013354E-2</v>
      </c>
      <c r="O1529">
        <v>-0.99904440000000005</v>
      </c>
      <c r="P1529">
        <v>0.10367460000000001</v>
      </c>
      <c r="Q1529">
        <v>0.34354879999999999</v>
      </c>
      <c r="R1529">
        <v>-0.93339499999999997</v>
      </c>
      <c r="S1529">
        <v>-0.18707280000000001</v>
      </c>
      <c r="T1529">
        <v>-0.49509950000000003</v>
      </c>
      <c r="U1529">
        <v>-3.420868</v>
      </c>
      <c r="V1529">
        <v>-6.2623460000000006E-2</v>
      </c>
      <c r="W1529">
        <v>0.35325269999999998</v>
      </c>
      <c r="X1529">
        <v>0.93342959999999997</v>
      </c>
      <c r="Y1529">
        <v>9.6455860000000004E-2</v>
      </c>
      <c r="Z1529">
        <v>0.13255600000000001</v>
      </c>
      <c r="AA1529">
        <v>0.98647110000000005</v>
      </c>
      <c r="AB1529">
        <v>28</v>
      </c>
      <c r="AC1529">
        <v>-5.5700000000001602E-2</v>
      </c>
      <c r="AD1529">
        <v>-0.1229865</v>
      </c>
      <c r="AE1529">
        <v>-0.59460000000001401</v>
      </c>
      <c r="AF1529">
        <v>7.7641261480594498E-2</v>
      </c>
      <c r="AG1529">
        <v>-0.1229865</v>
      </c>
      <c r="AH1529">
        <v>0.56762068688536005</v>
      </c>
      <c r="AI1529">
        <v>102.115878007815</v>
      </c>
      <c r="AJ1529">
        <v>82.211206441280098</v>
      </c>
      <c r="AK1529">
        <v>0.58595826544793805</v>
      </c>
      <c r="AL1529">
        <v>69.313605504521405</v>
      </c>
      <c r="AM1529">
        <v>93.838201764562697</v>
      </c>
      <c r="AN1529">
        <v>0.99999999297790998</v>
      </c>
    </row>
    <row r="1530" spans="1:40" x14ac:dyDescent="0.25">
      <c r="A1530" t="str">
        <f>"20190304164358807"</f>
        <v>20190304164358807</v>
      </c>
      <c r="B1530" t="str">
        <f>"1551689038801271"</f>
        <v>1551689038801271</v>
      </c>
      <c r="C1530" t="s">
        <v>40</v>
      </c>
      <c r="D1530">
        <v>5.1780330000000001</v>
      </c>
      <c r="E1530">
        <v>0.573517099999999</v>
      </c>
      <c r="F1530" t="s">
        <v>41</v>
      </c>
      <c r="G1530">
        <v>-192.08410000000001</v>
      </c>
      <c r="H1530">
        <v>0.98548460000000004</v>
      </c>
      <c r="I1530">
        <v>339.26049999999998</v>
      </c>
      <c r="J1530">
        <v>-192.02440000000001</v>
      </c>
      <c r="K1530">
        <v>1.1091260000000001</v>
      </c>
      <c r="L1530">
        <v>339.80180000000001</v>
      </c>
      <c r="M1530">
        <v>4.0497249999999999E-2</v>
      </c>
      <c r="N1530">
        <v>-1.035811E-2</v>
      </c>
      <c r="O1530">
        <v>-0.99912610000000002</v>
      </c>
      <c r="P1530">
        <v>9.8873970000000005E-2</v>
      </c>
      <c r="Q1530">
        <v>0.3428795</v>
      </c>
      <c r="R1530">
        <v>-0.93416189999999999</v>
      </c>
      <c r="S1530">
        <v>-0.1977081</v>
      </c>
      <c r="T1530">
        <v>-0.49992110000000001</v>
      </c>
      <c r="U1530">
        <v>-3.4200129999999902</v>
      </c>
      <c r="V1530">
        <v>-5.9718199999999999E-2</v>
      </c>
      <c r="W1530">
        <v>0.35278340000000002</v>
      </c>
      <c r="X1530">
        <v>0.9337974</v>
      </c>
      <c r="Y1530">
        <v>9.7498619999999994E-2</v>
      </c>
      <c r="Z1530">
        <v>0.13372870000000001</v>
      </c>
      <c r="AA1530">
        <v>0.98621020000000004</v>
      </c>
      <c r="AB1530">
        <v>28</v>
      </c>
      <c r="AC1530">
        <v>-5.9699999999992301E-2</v>
      </c>
      <c r="AD1530">
        <v>-0.1236414</v>
      </c>
      <c r="AE1530">
        <v>-0.54130000000003498</v>
      </c>
      <c r="AF1530">
        <v>7.7574637103015501E-2</v>
      </c>
      <c r="AG1530">
        <v>-0.1236414</v>
      </c>
      <c r="AH1530">
        <v>0.51204390423159396</v>
      </c>
      <c r="AI1530">
        <v>103.42756750602</v>
      </c>
      <c r="AJ1530">
        <v>81.385202027460295</v>
      </c>
      <c r="AK1530">
        <v>0.53244152728384897</v>
      </c>
      <c r="AL1530">
        <v>69.342344628547707</v>
      </c>
      <c r="AM1530">
        <v>93.659195896546706</v>
      </c>
      <c r="AN1530">
        <v>0.99999998748677998</v>
      </c>
    </row>
    <row r="1531" spans="1:40" x14ac:dyDescent="0.25">
      <c r="A1531" t="str">
        <f>"20190304164358830"</f>
        <v>20190304164358830</v>
      </c>
      <c r="B1531" t="str">
        <f>"1551689038821767"</f>
        <v>1551689038821767</v>
      </c>
      <c r="C1531" t="s">
        <v>40</v>
      </c>
      <c r="D1531">
        <v>5.1783359999999998</v>
      </c>
      <c r="E1531">
        <v>0.57354309999999997</v>
      </c>
      <c r="F1531" t="s">
        <v>41</v>
      </c>
      <c r="G1531">
        <v>-192.07400000000001</v>
      </c>
      <c r="H1531">
        <v>0.99254330000000002</v>
      </c>
      <c r="I1531">
        <v>339.0061</v>
      </c>
      <c r="J1531">
        <v>-192.0147</v>
      </c>
      <c r="K1531">
        <v>1.1092029999999999</v>
      </c>
      <c r="L1531">
        <v>339.51010000000002</v>
      </c>
      <c r="M1531">
        <v>3.8603699999999998E-2</v>
      </c>
      <c r="N1531">
        <v>-1.061321E-2</v>
      </c>
      <c r="O1531">
        <v>-0.99919860000000005</v>
      </c>
      <c r="P1531">
        <v>9.4515199999999994E-2</v>
      </c>
      <c r="Q1531">
        <v>0.34184959999999998</v>
      </c>
      <c r="R1531">
        <v>-0.93498979999999998</v>
      </c>
      <c r="S1531">
        <v>-0.21295169999999999</v>
      </c>
      <c r="T1531">
        <v>-0.50087490000000001</v>
      </c>
      <c r="U1531">
        <v>-3.4178160000000002</v>
      </c>
      <c r="V1531">
        <v>-5.7132389999999998E-2</v>
      </c>
      <c r="W1531">
        <v>0.35198459999999998</v>
      </c>
      <c r="X1531">
        <v>0.93426050000000005</v>
      </c>
      <c r="Y1531">
        <v>0.1000265</v>
      </c>
      <c r="Z1531">
        <v>0.13381460000000001</v>
      </c>
      <c r="AA1531">
        <v>0.98594539999999997</v>
      </c>
      <c r="AB1531">
        <v>28</v>
      </c>
      <c r="AC1531">
        <v>-5.9300000000007402E-2</v>
      </c>
      <c r="AD1531">
        <v>-0.11665970000000001</v>
      </c>
      <c r="AE1531">
        <v>-0.50400000000001899</v>
      </c>
      <c r="AF1531">
        <v>7.4762281044299495E-2</v>
      </c>
      <c r="AG1531">
        <v>-0.11665970000000001</v>
      </c>
      <c r="AH1531">
        <v>0.47617133910541598</v>
      </c>
      <c r="AI1531">
        <v>103.60566949820701</v>
      </c>
      <c r="AJ1531">
        <v>81.077000922427402</v>
      </c>
      <c r="AK1531">
        <v>0.495921393424887</v>
      </c>
      <c r="AL1531">
        <v>69.391249213090504</v>
      </c>
      <c r="AM1531">
        <v>93.499423832409306</v>
      </c>
      <c r="AN1531">
        <v>0.99999997524226003</v>
      </c>
    </row>
    <row r="1532" spans="1:40" x14ac:dyDescent="0.25">
      <c r="A1532" t="str">
        <f>"20190304164358853"</f>
        <v>20190304164358853</v>
      </c>
      <c r="B1532" t="str">
        <f>"1551689038841287"</f>
        <v>1551689038841287</v>
      </c>
      <c r="C1532" t="s">
        <v>40</v>
      </c>
      <c r="D1532">
        <v>5.184545</v>
      </c>
      <c r="E1532">
        <v>0.57351209999999997</v>
      </c>
      <c r="F1532" t="s">
        <v>41</v>
      </c>
      <c r="G1532">
        <v>-192.06549999999999</v>
      </c>
      <c r="H1532">
        <v>0.99775480000000005</v>
      </c>
      <c r="I1532">
        <v>338.7527</v>
      </c>
      <c r="J1532">
        <v>-192.00579999999999</v>
      </c>
      <c r="K1532">
        <v>1.1092759999999999</v>
      </c>
      <c r="L1532">
        <v>339.22969999999998</v>
      </c>
      <c r="M1532">
        <v>3.6816979999999999E-2</v>
      </c>
      <c r="N1532">
        <v>-1.08895E-2</v>
      </c>
      <c r="O1532">
        <v>-0.99926280000000001</v>
      </c>
      <c r="P1532">
        <v>9.0231690000000003E-2</v>
      </c>
      <c r="Q1532">
        <v>0.34113719999999997</v>
      </c>
      <c r="R1532">
        <v>-0.93567310000000004</v>
      </c>
      <c r="S1532">
        <v>-0.22793579999999999</v>
      </c>
      <c r="T1532">
        <v>-0.50276469999999995</v>
      </c>
      <c r="U1532">
        <v>-3.4154360000000001</v>
      </c>
      <c r="V1532">
        <v>-5.4524139999999999E-2</v>
      </c>
      <c r="W1532">
        <v>0.35152260000000002</v>
      </c>
      <c r="X1532">
        <v>0.93459029999999998</v>
      </c>
      <c r="Y1532">
        <v>0.1025896</v>
      </c>
      <c r="Z1532">
        <v>0.1341485</v>
      </c>
      <c r="AA1532">
        <v>0.98563659999999997</v>
      </c>
      <c r="AB1532">
        <v>28</v>
      </c>
      <c r="AC1532">
        <v>-5.9699999999992301E-2</v>
      </c>
      <c r="AD1532">
        <v>-0.111521199999999</v>
      </c>
      <c r="AE1532">
        <v>-0.476999999999975</v>
      </c>
      <c r="AF1532">
        <v>7.3278550762574293E-2</v>
      </c>
      <c r="AG1532">
        <v>-0.111521199999999</v>
      </c>
      <c r="AH1532">
        <v>0.45024704851032499</v>
      </c>
      <c r="AI1532">
        <v>103.737772064266</v>
      </c>
      <c r="AJ1532">
        <v>80.756054291100597</v>
      </c>
      <c r="AK1532">
        <v>0.46960529037007398</v>
      </c>
      <c r="AL1532">
        <v>69.419528084856395</v>
      </c>
      <c r="AM1532">
        <v>93.338859889781304</v>
      </c>
      <c r="AN1532">
        <v>1.0000000245037901</v>
      </c>
    </row>
    <row r="1533" spans="1:40" x14ac:dyDescent="0.25">
      <c r="A1533" t="str">
        <f>"20190304164358874"</f>
        <v>20190304164358874</v>
      </c>
      <c r="B1533" t="str">
        <f>"1551689038861783"</f>
        <v>1551689038861783</v>
      </c>
      <c r="C1533" t="s">
        <v>40</v>
      </c>
      <c r="D1533">
        <v>5.3534899999999999</v>
      </c>
      <c r="E1533">
        <v>0.57363529999999996</v>
      </c>
      <c r="F1533" t="s">
        <v>41</v>
      </c>
      <c r="G1533">
        <v>-192.05770000000001</v>
      </c>
      <c r="H1533">
        <v>1.0016099999999999</v>
      </c>
      <c r="I1533">
        <v>338.50020000000001</v>
      </c>
      <c r="J1533">
        <v>-191.99799999999999</v>
      </c>
      <c r="K1533">
        <v>1.1093420000000001</v>
      </c>
      <c r="L1533">
        <v>338.96570000000003</v>
      </c>
      <c r="M1533">
        <v>3.5154589999999999E-2</v>
      </c>
      <c r="N1533">
        <v>-1.117574E-2</v>
      </c>
      <c r="O1533">
        <v>-0.99931970000000003</v>
      </c>
      <c r="P1533">
        <v>8.6613430000000005E-2</v>
      </c>
      <c r="Q1533">
        <v>0.34146470000000001</v>
      </c>
      <c r="R1533">
        <v>-0.93589580000000006</v>
      </c>
      <c r="S1533">
        <v>-0.24244689999999999</v>
      </c>
      <c r="T1533">
        <v>-0.50379470000000004</v>
      </c>
      <c r="U1533">
        <v>-3.4133</v>
      </c>
      <c r="V1533">
        <v>-5.2475050000000002E-2</v>
      </c>
      <c r="W1533">
        <v>0.35210859999999999</v>
      </c>
      <c r="X1533">
        <v>0.93448690000000001</v>
      </c>
      <c r="Y1533">
        <v>0.1051405</v>
      </c>
      <c r="Z1533">
        <v>0.13421710000000001</v>
      </c>
      <c r="AA1533">
        <v>0.98535839999999997</v>
      </c>
      <c r="AB1533">
        <v>28</v>
      </c>
      <c r="AC1533">
        <v>-5.9700000000020702E-2</v>
      </c>
      <c r="AD1533">
        <v>-0.107731999999999</v>
      </c>
      <c r="AE1533">
        <v>-0.46550000000002001</v>
      </c>
      <c r="AF1533">
        <v>7.22228296423163E-2</v>
      </c>
      <c r="AG1533">
        <v>-0.107731999999999</v>
      </c>
      <c r="AH1533">
        <v>0.4399314234392</v>
      </c>
      <c r="AI1533">
        <v>103.585029434536</v>
      </c>
      <c r="AJ1533">
        <v>80.677006492948394</v>
      </c>
      <c r="AK1533">
        <v>0.45865235012456201</v>
      </c>
      <c r="AL1533">
        <v>69.383657665012507</v>
      </c>
      <c r="AM1533">
        <v>93.214004035619098</v>
      </c>
      <c r="AN1533">
        <v>0.999999931669033</v>
      </c>
    </row>
    <row r="1534" spans="1:40" x14ac:dyDescent="0.25">
      <c r="A1534" t="str">
        <f>"20190304164358896"</f>
        <v>20190304164358896</v>
      </c>
      <c r="B1534" t="str">
        <f>"1551689038891063"</f>
        <v>1551689038891063</v>
      </c>
      <c r="C1534" t="s">
        <v>40</v>
      </c>
      <c r="D1534">
        <v>5.1546190000000003</v>
      </c>
      <c r="E1534">
        <v>0.57366899999999998</v>
      </c>
      <c r="F1534" t="s">
        <v>41</v>
      </c>
      <c r="G1534">
        <v>-192.05160000000001</v>
      </c>
      <c r="H1534">
        <v>1.003781</v>
      </c>
      <c r="I1534">
        <v>338.24869999999999</v>
      </c>
      <c r="J1534">
        <v>-191.99010000000001</v>
      </c>
      <c r="K1534">
        <v>1.109407</v>
      </c>
      <c r="L1534">
        <v>338.68439999999998</v>
      </c>
      <c r="M1534">
        <v>3.3394750000000001E-2</v>
      </c>
      <c r="N1534">
        <v>-1.14904E-2</v>
      </c>
      <c r="O1534">
        <v>-0.9993765</v>
      </c>
      <c r="P1534">
        <v>8.3553500000000003E-2</v>
      </c>
      <c r="Q1534">
        <v>0.34207680000000001</v>
      </c>
      <c r="R1534">
        <v>-0.93595059999999997</v>
      </c>
      <c r="S1534">
        <v>-0.25451659999999998</v>
      </c>
      <c r="T1534">
        <v>-0.5025442</v>
      </c>
      <c r="U1534">
        <v>-3.4123839999999999</v>
      </c>
      <c r="V1534">
        <v>-5.107652E-2</v>
      </c>
      <c r="W1534">
        <v>0.35300589999999998</v>
      </c>
      <c r="X1534">
        <v>0.93422590000000005</v>
      </c>
      <c r="Y1534">
        <v>0.10687729999999999</v>
      </c>
      <c r="Z1534">
        <v>0.13357089999999999</v>
      </c>
      <c r="AA1534">
        <v>0.98525940000000001</v>
      </c>
      <c r="AB1534">
        <v>28</v>
      </c>
      <c r="AC1534">
        <v>-6.1499999999995197E-2</v>
      </c>
      <c r="AD1534">
        <v>-0.105626</v>
      </c>
      <c r="AE1534">
        <v>-0.43569999999999698</v>
      </c>
      <c r="AF1534">
        <v>7.1875057764547404E-2</v>
      </c>
      <c r="AG1534">
        <v>-0.105626</v>
      </c>
      <c r="AH1534">
        <v>0.40978957742696098</v>
      </c>
      <c r="AI1534">
        <v>104.24534335280499</v>
      </c>
      <c r="AJ1534">
        <v>80.051794626837193</v>
      </c>
      <c r="AK1534">
        <v>0.42924395577855801</v>
      </c>
      <c r="AL1534">
        <v>69.328720096382895</v>
      </c>
      <c r="AM1534">
        <v>93.129391318919403</v>
      </c>
      <c r="AN1534">
        <v>1.00000000428046</v>
      </c>
    </row>
    <row r="1535" spans="1:40" x14ac:dyDescent="0.25">
      <c r="A1535" t="str">
        <f>"20190304164358920"</f>
        <v>20190304164358920</v>
      </c>
      <c r="B1535" t="str">
        <f>"1551689038911560"</f>
        <v>1551689038911560</v>
      </c>
      <c r="C1535" t="s">
        <v>40</v>
      </c>
      <c r="D1535">
        <v>5.1588000000000003</v>
      </c>
      <c r="E1535">
        <v>0.57370140000000003</v>
      </c>
      <c r="F1535" t="s">
        <v>41</v>
      </c>
      <c r="G1535">
        <v>-192.06120000000001</v>
      </c>
      <c r="H1535">
        <v>0.97496700000000003</v>
      </c>
      <c r="I1535">
        <v>337.76220000000001</v>
      </c>
      <c r="J1535">
        <v>-191.98240000000001</v>
      </c>
      <c r="K1535">
        <v>1.1094569999999999</v>
      </c>
      <c r="L1535">
        <v>338.3897</v>
      </c>
      <c r="M1535">
        <v>3.15543E-2</v>
      </c>
      <c r="N1535">
        <v>-1.180378E-2</v>
      </c>
      <c r="O1535">
        <v>-0.9994324</v>
      </c>
      <c r="P1535">
        <v>8.0999520000000005E-2</v>
      </c>
      <c r="Q1535">
        <v>0.342665</v>
      </c>
      <c r="R1535">
        <v>-0.93595930000000005</v>
      </c>
      <c r="S1535">
        <v>-0.26222230000000002</v>
      </c>
      <c r="T1535">
        <v>-0.49734929999999999</v>
      </c>
      <c r="U1535">
        <v>-3.4105219999999998</v>
      </c>
      <c r="V1535">
        <v>-5.0255979999999999E-2</v>
      </c>
      <c r="W1535">
        <v>0.35388160000000002</v>
      </c>
      <c r="X1535">
        <v>0.93393899999999996</v>
      </c>
      <c r="Y1535">
        <v>0.1073151</v>
      </c>
      <c r="Z1535">
        <v>0.1318647</v>
      </c>
      <c r="AA1535">
        <v>0.98544160000000003</v>
      </c>
      <c r="AB1535">
        <v>28</v>
      </c>
      <c r="AC1535">
        <v>-7.8800000000000994E-2</v>
      </c>
      <c r="AD1535">
        <v>-0.134489999999999</v>
      </c>
      <c r="AE1535">
        <v>-0.62749999999999695</v>
      </c>
      <c r="AF1535">
        <v>9.4298037423386105E-2</v>
      </c>
      <c r="AG1535">
        <v>-0.134489999999999</v>
      </c>
      <c r="AH1535">
        <v>0.59767242592330605</v>
      </c>
      <c r="AI1535">
        <v>102.531601899489</v>
      </c>
      <c r="AJ1535">
        <v>81.034041754833794</v>
      </c>
      <c r="AK1535">
        <v>0.61983224236155399</v>
      </c>
      <c r="AL1535">
        <v>69.275083188187494</v>
      </c>
      <c r="AM1535">
        <v>93.080159537205105</v>
      </c>
      <c r="AN1535">
        <v>0.99999995303265898</v>
      </c>
    </row>
    <row r="1536" spans="1:40" x14ac:dyDescent="0.25">
      <c r="A1536" t="str">
        <f>"20190304164358940"</f>
        <v>20190304164358940</v>
      </c>
      <c r="B1536" t="str">
        <f>"1551689038931079"</f>
        <v>1551689038931079</v>
      </c>
      <c r="C1536" t="s">
        <v>40</v>
      </c>
      <c r="D1536">
        <v>5.250813</v>
      </c>
      <c r="E1536">
        <v>0.57337199999999999</v>
      </c>
      <c r="F1536" t="s">
        <v>41</v>
      </c>
      <c r="G1536">
        <v>-192.05199999999999</v>
      </c>
      <c r="H1536">
        <v>0.982039</v>
      </c>
      <c r="I1536">
        <v>337.5095</v>
      </c>
      <c r="J1536">
        <v>-191.976</v>
      </c>
      <c r="K1536">
        <v>1.1094930000000001</v>
      </c>
      <c r="L1536">
        <v>338.12860000000001</v>
      </c>
      <c r="M1536">
        <v>2.9922540000000001E-2</v>
      </c>
      <c r="N1536">
        <v>-1.2059240000000001E-2</v>
      </c>
      <c r="O1536">
        <v>-0.99947940000000002</v>
      </c>
      <c r="P1536">
        <v>7.9607739999999996E-2</v>
      </c>
      <c r="Q1536">
        <v>0.34318379999999998</v>
      </c>
      <c r="R1536">
        <v>-0.93588850000000001</v>
      </c>
      <c r="S1536">
        <v>-0.26908870000000001</v>
      </c>
      <c r="T1536">
        <v>-0.4935522</v>
      </c>
      <c r="U1536">
        <v>-3.4092410000000002</v>
      </c>
      <c r="V1536">
        <v>-5.0399560000000003E-2</v>
      </c>
      <c r="W1536">
        <v>0.35463610000000001</v>
      </c>
      <c r="X1536">
        <v>0.93364510000000001</v>
      </c>
      <c r="Y1536">
        <v>0.1077046</v>
      </c>
      <c r="Z1536">
        <v>0.13058539999999999</v>
      </c>
      <c r="AA1536">
        <v>0.98556949999999999</v>
      </c>
      <c r="AB1536">
        <v>28</v>
      </c>
      <c r="AC1536">
        <v>-7.60000000000218E-2</v>
      </c>
      <c r="AD1536">
        <v>-0.12745400000000001</v>
      </c>
      <c r="AE1536">
        <v>-0.61910000000000298</v>
      </c>
      <c r="AF1536">
        <v>9.0705130106183599E-2</v>
      </c>
      <c r="AG1536">
        <v>-0.12745400000000001</v>
      </c>
      <c r="AH1536">
        <v>0.59183737432480199</v>
      </c>
      <c r="AI1536">
        <v>102.01704956891599</v>
      </c>
      <c r="AJ1536">
        <v>81.286635567897093</v>
      </c>
      <c r="AK1536">
        <v>0.61216290347525504</v>
      </c>
      <c r="AL1536">
        <v>69.228857119045998</v>
      </c>
      <c r="AM1536">
        <v>93.089912930991403</v>
      </c>
      <c r="AN1536">
        <v>1.0000000259127</v>
      </c>
    </row>
    <row r="1537" spans="1:40" x14ac:dyDescent="0.25">
      <c r="A1537" t="str">
        <f>"20190304164358962"</f>
        <v>20190304164358962</v>
      </c>
      <c r="B1537" t="str">
        <f>"1551689038951575"</f>
        <v>1551689038951575</v>
      </c>
      <c r="C1537" t="s">
        <v>40</v>
      </c>
      <c r="D1537">
        <v>5.2788830000000004</v>
      </c>
      <c r="E1537">
        <v>0.57298509999999903</v>
      </c>
      <c r="F1537" t="s">
        <v>41</v>
      </c>
      <c r="G1537">
        <v>-192.0454</v>
      </c>
      <c r="H1537">
        <v>0.98532940000000002</v>
      </c>
      <c r="I1537">
        <v>337.25869999999998</v>
      </c>
      <c r="J1537">
        <v>-191.96979999999999</v>
      </c>
      <c r="K1537">
        <v>1.1095159999999999</v>
      </c>
      <c r="L1537">
        <v>337.8596</v>
      </c>
      <c r="M1537">
        <v>2.8235509999999998E-2</v>
      </c>
      <c r="N1537">
        <v>-1.229975E-2</v>
      </c>
      <c r="O1537">
        <v>-0.99952560000000001</v>
      </c>
      <c r="P1537">
        <v>7.8338190000000002E-2</v>
      </c>
      <c r="Q1537">
        <v>0.34285860000000001</v>
      </c>
      <c r="R1537">
        <v>-0.93611509999999998</v>
      </c>
      <c r="S1537">
        <v>-0.27142329999999998</v>
      </c>
      <c r="T1537">
        <v>-0.48633690000000002</v>
      </c>
      <c r="U1537">
        <v>-3.4069820000000002</v>
      </c>
      <c r="V1537">
        <v>-5.0707870000000002E-2</v>
      </c>
      <c r="W1537">
        <v>0.35453800000000002</v>
      </c>
      <c r="X1537">
        <v>0.93366559999999998</v>
      </c>
      <c r="Y1537">
        <v>0.1067719</v>
      </c>
      <c r="Z1537">
        <v>0.12840670000000001</v>
      </c>
      <c r="AA1537">
        <v>0.98595710000000003</v>
      </c>
      <c r="AB1537">
        <v>28</v>
      </c>
      <c r="AC1537">
        <v>-7.5600000000008494E-2</v>
      </c>
      <c r="AD1537">
        <v>-0.124186599999999</v>
      </c>
      <c r="AE1537">
        <v>-0.60090000000002397</v>
      </c>
      <c r="AF1537">
        <v>8.8804002451184402E-2</v>
      </c>
      <c r="AG1537">
        <v>-0.124186599999999</v>
      </c>
      <c r="AH1537">
        <v>0.57437542885776505</v>
      </c>
      <c r="AI1537">
        <v>102.06117694671499</v>
      </c>
      <c r="AJ1537">
        <v>81.211107193331301</v>
      </c>
      <c r="AK1537">
        <v>0.59431943914569396</v>
      </c>
      <c r="AL1537">
        <v>69.234867153621394</v>
      </c>
      <c r="AM1537">
        <v>93.108709815008993</v>
      </c>
      <c r="AN1537">
        <v>0.99999996707364702</v>
      </c>
    </row>
    <row r="1538" spans="1:40" x14ac:dyDescent="0.25">
      <c r="A1538" t="str">
        <f>"20190304164358984"</f>
        <v>20190304164358984</v>
      </c>
      <c r="B1538" t="str">
        <f>"1551689038981831"</f>
        <v>1551689038981831</v>
      </c>
      <c r="C1538" t="s">
        <v>40</v>
      </c>
      <c r="D1538">
        <v>5.2782910000000003</v>
      </c>
      <c r="E1538">
        <v>0.57244379999999995</v>
      </c>
      <c r="F1538" t="s">
        <v>41</v>
      </c>
      <c r="G1538">
        <v>-192.03819999999999</v>
      </c>
      <c r="H1538">
        <v>0.9884056</v>
      </c>
      <c r="I1538">
        <v>337.0086</v>
      </c>
      <c r="J1538">
        <v>-191.964</v>
      </c>
      <c r="K1538">
        <v>1.109523</v>
      </c>
      <c r="L1538">
        <v>337.58690000000001</v>
      </c>
      <c r="M1538">
        <v>2.6511690000000001E-2</v>
      </c>
      <c r="N1538">
        <v>-1.252087E-2</v>
      </c>
      <c r="O1538">
        <v>-0.99957019999999996</v>
      </c>
      <c r="P1538">
        <v>7.7385960000000004E-2</v>
      </c>
      <c r="Q1538">
        <v>0.34229880000000001</v>
      </c>
      <c r="R1538">
        <v>-0.93639919999999999</v>
      </c>
      <c r="S1538">
        <v>-0.27346799999999999</v>
      </c>
      <c r="T1538">
        <v>-0.48466169999999997</v>
      </c>
      <c r="U1538">
        <v>-3.4051209999999998</v>
      </c>
      <c r="V1538">
        <v>-5.1364220000000002E-2</v>
      </c>
      <c r="W1538">
        <v>0.35418929999999998</v>
      </c>
      <c r="X1538">
        <v>0.93376210000000004</v>
      </c>
      <c r="Y1538">
        <v>0.10569389999999899</v>
      </c>
      <c r="Z1538">
        <v>0.1278021</v>
      </c>
      <c r="AA1538">
        <v>0.98615180000000002</v>
      </c>
      <c r="AB1538">
        <v>28</v>
      </c>
      <c r="AC1538">
        <v>-7.4199999999962005E-2</v>
      </c>
      <c r="AD1538">
        <v>-0.1211174</v>
      </c>
      <c r="AE1538">
        <v>-0.57830000000001203</v>
      </c>
      <c r="AF1538">
        <v>8.5804085467234198E-2</v>
      </c>
      <c r="AG1538">
        <v>-0.1211174</v>
      </c>
      <c r="AH1538">
        <v>0.55229591740196904</v>
      </c>
      <c r="AI1538">
        <v>102.22686214541</v>
      </c>
      <c r="AJ1538">
        <v>81.169187171075507</v>
      </c>
      <c r="AK1538">
        <v>0.57189382410069001</v>
      </c>
      <c r="AL1538">
        <v>69.256233393178107</v>
      </c>
      <c r="AM1538">
        <v>93.148542952831505</v>
      </c>
      <c r="AN1538">
        <v>1.0000000013635499</v>
      </c>
    </row>
    <row r="1539" spans="1:40" x14ac:dyDescent="0.25">
      <c r="A1539" t="str">
        <f>"20190304164358999"</f>
        <v>20190304164358999</v>
      </c>
      <c r="B1539" t="str">
        <f>"1551689038991591"</f>
        <v>1551689038991591</v>
      </c>
      <c r="C1539" t="s">
        <v>40</v>
      </c>
      <c r="D1539">
        <v>5.2765370000000003</v>
      </c>
      <c r="E1539">
        <v>0.57230190000000003</v>
      </c>
      <c r="F1539" t="s">
        <v>41</v>
      </c>
      <c r="G1539">
        <v>-192.0308</v>
      </c>
      <c r="H1539">
        <v>0.99174260000000003</v>
      </c>
      <c r="I1539">
        <v>336.75850000000003</v>
      </c>
      <c r="J1539">
        <v>-191.96039999999999</v>
      </c>
      <c r="K1539">
        <v>1.109521</v>
      </c>
      <c r="L1539">
        <v>337.40030000000002</v>
      </c>
      <c r="M1539">
        <v>2.5320519999999999E-2</v>
      </c>
      <c r="N1539">
        <v>-1.265957E-2</v>
      </c>
      <c r="O1539">
        <v>-0.99959929999999997</v>
      </c>
      <c r="P1539">
        <v>7.7003429999999998E-2</v>
      </c>
      <c r="Q1539">
        <v>0.34245720000000002</v>
      </c>
      <c r="R1539">
        <v>-0.93637300000000001</v>
      </c>
      <c r="S1539">
        <v>-0.27363589999999999</v>
      </c>
      <c r="T1539">
        <v>-0.48396329999999999</v>
      </c>
      <c r="U1539">
        <v>-3.4032900000000001</v>
      </c>
      <c r="V1539">
        <v>-5.209544E-2</v>
      </c>
      <c r="W1539">
        <v>0.35447869999999998</v>
      </c>
      <c r="X1539">
        <v>0.93361179999999999</v>
      </c>
      <c r="Y1539">
        <v>0.10460220000000001</v>
      </c>
      <c r="Z1539">
        <v>0.12755459999999999</v>
      </c>
      <c r="AA1539">
        <v>0.98630019999999996</v>
      </c>
      <c r="AB1539">
        <v>28</v>
      </c>
      <c r="AC1539">
        <v>-7.0400000000006402E-2</v>
      </c>
      <c r="AD1539">
        <v>-0.11777840000000001</v>
      </c>
      <c r="AE1539">
        <v>-0.64179999999998905</v>
      </c>
      <c r="AF1539">
        <v>8.3839549793552196E-2</v>
      </c>
      <c r="AG1539">
        <v>-0.11777840000000001</v>
      </c>
      <c r="AH1539">
        <v>0.61920646951943303</v>
      </c>
      <c r="AI1539">
        <v>100.67436981297099</v>
      </c>
      <c r="AJ1539">
        <v>82.289136749863204</v>
      </c>
      <c r="AK1539">
        <v>0.63585963349694297</v>
      </c>
      <c r="AL1539">
        <v>69.238502336054395</v>
      </c>
      <c r="AM1539">
        <v>93.193786448776294</v>
      </c>
      <c r="AN1539">
        <v>1.00000003836086</v>
      </c>
    </row>
    <row r="1540" spans="1:40" x14ac:dyDescent="0.25">
      <c r="A1540" t="str">
        <f>"20190304164359020"</f>
        <v>20190304164359020</v>
      </c>
      <c r="B1540" t="str">
        <f>"1551689039011112"</f>
        <v>1551689039011112</v>
      </c>
      <c r="C1540" t="s">
        <v>40</v>
      </c>
      <c r="D1540">
        <v>5.2666789999999999</v>
      </c>
      <c r="E1540">
        <v>0.57204619999999995</v>
      </c>
      <c r="F1540" t="s">
        <v>41</v>
      </c>
      <c r="G1540">
        <v>-192.03190000000001</v>
      </c>
      <c r="H1540">
        <v>0.98396649999999997</v>
      </c>
      <c r="I1540">
        <v>336.51389999999998</v>
      </c>
      <c r="J1540">
        <v>-191.95570000000001</v>
      </c>
      <c r="K1540">
        <v>1.109523</v>
      </c>
      <c r="L1540">
        <v>337.14269999999999</v>
      </c>
      <c r="M1540">
        <v>2.3656159999999999E-2</v>
      </c>
      <c r="N1540">
        <v>-1.2832909999999999E-2</v>
      </c>
      <c r="O1540">
        <v>-0.99963800000000003</v>
      </c>
      <c r="P1540">
        <v>7.7192220000000006E-2</v>
      </c>
      <c r="Q1540">
        <v>0.3430279</v>
      </c>
      <c r="R1540">
        <v>-0.93614839999999999</v>
      </c>
      <c r="S1540">
        <v>-0.27445979999999998</v>
      </c>
      <c r="T1540">
        <v>-0.48197580000000001</v>
      </c>
      <c r="U1540">
        <v>-3.4027099999999999</v>
      </c>
      <c r="V1540">
        <v>-5.384129E-2</v>
      </c>
      <c r="W1540">
        <v>0.35521429999999998</v>
      </c>
      <c r="X1540">
        <v>0.93323310000000004</v>
      </c>
      <c r="Y1540">
        <v>0.1032047</v>
      </c>
      <c r="Z1540">
        <v>0.126859</v>
      </c>
      <c r="AA1540">
        <v>0.9865372</v>
      </c>
      <c r="AB1540">
        <v>28</v>
      </c>
      <c r="AC1540">
        <v>-7.6200000000000004E-2</v>
      </c>
      <c r="AD1540">
        <v>-0.12555649999999899</v>
      </c>
      <c r="AE1540">
        <v>-0.62880000000001202</v>
      </c>
      <c r="AF1540">
        <v>8.7612284437189505E-2</v>
      </c>
      <c r="AG1540">
        <v>-0.12555649999999899</v>
      </c>
      <c r="AH1540">
        <v>0.60312239966993497</v>
      </c>
      <c r="AI1540">
        <v>101.640934868982</v>
      </c>
      <c r="AJ1540">
        <v>81.734769675184495</v>
      </c>
      <c r="AK1540">
        <v>0.62225153761173901</v>
      </c>
      <c r="AL1540">
        <v>69.193422213867805</v>
      </c>
      <c r="AM1540">
        <v>93.301921899785199</v>
      </c>
      <c r="AN1540">
        <v>1.00000005118448</v>
      </c>
    </row>
    <row r="1541" spans="1:40" x14ac:dyDescent="0.25">
      <c r="A1541" t="str">
        <f>"20190304164359043"</f>
        <v>20190304164359043</v>
      </c>
      <c r="B1541" t="str">
        <f>"1551689039031608"</f>
        <v>1551689039031608</v>
      </c>
      <c r="C1541" t="s">
        <v>40</v>
      </c>
      <c r="D1541">
        <v>5.2731260000000004</v>
      </c>
      <c r="E1541">
        <v>0.57180569999999997</v>
      </c>
      <c r="F1541" t="s">
        <v>41</v>
      </c>
      <c r="G1541">
        <v>-192.0265</v>
      </c>
      <c r="H1541">
        <v>0.98640669999999997</v>
      </c>
      <c r="I1541">
        <v>336.26490000000001</v>
      </c>
      <c r="J1541">
        <v>-191.9511</v>
      </c>
      <c r="K1541">
        <v>1.109526</v>
      </c>
      <c r="L1541">
        <v>336.86329999999998</v>
      </c>
      <c r="M1541">
        <v>2.182344E-2</v>
      </c>
      <c r="N1541">
        <v>-1.29991E-2</v>
      </c>
      <c r="O1541">
        <v>-0.99967740000000005</v>
      </c>
      <c r="P1541">
        <v>7.7771099999999996E-2</v>
      </c>
      <c r="Q1541">
        <v>0.34419070000000002</v>
      </c>
      <c r="R1541">
        <v>-0.93567339999999999</v>
      </c>
      <c r="S1541">
        <v>-0.27372740000000001</v>
      </c>
      <c r="T1541">
        <v>-0.47735119999999998</v>
      </c>
      <c r="U1541">
        <v>-3.402069</v>
      </c>
      <c r="V1541">
        <v>-5.6132920000000003E-2</v>
      </c>
      <c r="W1541">
        <v>0.35653459999999998</v>
      </c>
      <c r="X1541">
        <v>0.93259429999999999</v>
      </c>
      <c r="Y1541">
        <v>0.1012011</v>
      </c>
      <c r="Z1541">
        <v>0.12542890000000001</v>
      </c>
      <c r="AA1541">
        <v>0.98692749999999996</v>
      </c>
      <c r="AB1541">
        <v>28</v>
      </c>
      <c r="AC1541">
        <v>-7.5400000000001896E-2</v>
      </c>
      <c r="AD1541">
        <v>-0.1231193</v>
      </c>
      <c r="AE1541">
        <v>-0.59839999999996896</v>
      </c>
      <c r="AF1541">
        <v>8.4904289426240107E-2</v>
      </c>
      <c r="AG1541">
        <v>-0.1231193</v>
      </c>
      <c r="AH1541">
        <v>0.572745285166114</v>
      </c>
      <c r="AI1541">
        <v>102.004558804627</v>
      </c>
      <c r="AJ1541">
        <v>81.567829630182899</v>
      </c>
      <c r="AK1541">
        <v>0.59194954352163998</v>
      </c>
      <c r="AL1541">
        <v>69.112473681891998</v>
      </c>
      <c r="AM1541">
        <v>93.444481616412006</v>
      </c>
      <c r="AN1541">
        <v>0.99999997704868704</v>
      </c>
    </row>
    <row r="1542" spans="1:40" x14ac:dyDescent="0.25">
      <c r="A1542" t="str">
        <f>"20190304164359074"</f>
        <v>20190304164359074</v>
      </c>
      <c r="B1542" t="str">
        <f>"1551689039071624"</f>
        <v>1551689039071624</v>
      </c>
      <c r="C1542" t="s">
        <v>40</v>
      </c>
      <c r="D1542">
        <v>5.3116589999999997</v>
      </c>
      <c r="E1542">
        <v>0.5713935</v>
      </c>
      <c r="F1542" t="s">
        <v>41</v>
      </c>
      <c r="G1542">
        <v>-192.0188</v>
      </c>
      <c r="H1542">
        <v>0.99198059999999999</v>
      </c>
      <c r="I1542">
        <v>336.01459999999997</v>
      </c>
      <c r="J1542">
        <v>-191.94560000000001</v>
      </c>
      <c r="K1542">
        <v>1.1095120000000001</v>
      </c>
      <c r="L1542">
        <v>336.47359999999998</v>
      </c>
      <c r="M1542">
        <v>1.9223529999999999E-2</v>
      </c>
      <c r="N1542">
        <v>-1.3198929999999999E-2</v>
      </c>
      <c r="O1542">
        <v>-0.99972830000000001</v>
      </c>
      <c r="P1542">
        <v>7.7099520000000005E-2</v>
      </c>
      <c r="Q1542">
        <v>0.34400269999999999</v>
      </c>
      <c r="R1542">
        <v>-0.93579829999999997</v>
      </c>
      <c r="S1542">
        <v>-0.27101140000000001</v>
      </c>
      <c r="T1542">
        <v>-0.47114709999999899</v>
      </c>
      <c r="U1542">
        <v>-3.4021300000000001</v>
      </c>
      <c r="V1542">
        <v>-5.7877209999999998E-2</v>
      </c>
      <c r="W1542">
        <v>0.35654140000000001</v>
      </c>
      <c r="X1542">
        <v>0.93248509999999996</v>
      </c>
      <c r="Y1542">
        <v>9.7851369999999993E-2</v>
      </c>
      <c r="Z1542">
        <v>0.1235007</v>
      </c>
      <c r="AA1542">
        <v>0.98750830000000001</v>
      </c>
      <c r="AB1542">
        <v>28</v>
      </c>
      <c r="AC1542">
        <v>-7.3199999999985693E-2</v>
      </c>
      <c r="AD1542">
        <v>-0.117531399999999</v>
      </c>
      <c r="AE1542">
        <v>-0.45900000000000302</v>
      </c>
      <c r="AF1542">
        <v>7.7082174984300894E-2</v>
      </c>
      <c r="AG1542">
        <v>-0.117531399999999</v>
      </c>
      <c r="AH1542">
        <v>0.43001270859172602</v>
      </c>
      <c r="AI1542">
        <v>105.057899776376</v>
      </c>
      <c r="AJ1542">
        <v>79.837345521546197</v>
      </c>
      <c r="AK1542">
        <v>0.45240050976613999</v>
      </c>
      <c r="AL1542">
        <v>69.112057199981393</v>
      </c>
      <c r="AM1542">
        <v>93.551661403322498</v>
      </c>
      <c r="AN1542">
        <v>1.0000000015366699</v>
      </c>
    </row>
    <row r="1543" spans="1:40" x14ac:dyDescent="0.25">
      <c r="A1543" t="str">
        <f>"20190304164359097"</f>
        <v>20190304164359097</v>
      </c>
      <c r="B1543" t="str">
        <f>"1551689039091143"</f>
        <v>1551689039091143</v>
      </c>
      <c r="C1543" t="s">
        <v>40</v>
      </c>
      <c r="D1543">
        <v>5.2995789999999996</v>
      </c>
      <c r="E1543">
        <v>0.57127669999999997</v>
      </c>
      <c r="F1543" t="s">
        <v>41</v>
      </c>
      <c r="G1543">
        <v>-192.02080000000001</v>
      </c>
      <c r="H1543">
        <v>0.97859419999999997</v>
      </c>
      <c r="I1543">
        <v>335.52670000000001</v>
      </c>
      <c r="J1543">
        <v>-191.94229999999999</v>
      </c>
      <c r="K1543">
        <v>1.109505</v>
      </c>
      <c r="L1543">
        <v>336.18830000000003</v>
      </c>
      <c r="M1543">
        <v>1.7288729999999999E-2</v>
      </c>
      <c r="N1543">
        <v>-1.332069E-2</v>
      </c>
      <c r="O1543">
        <v>-0.99976189999999998</v>
      </c>
      <c r="P1543">
        <v>7.6006729999999995E-2</v>
      </c>
      <c r="Q1543">
        <v>0.343057</v>
      </c>
      <c r="R1543">
        <v>-0.93623440000000002</v>
      </c>
      <c r="S1543">
        <v>-0.26959229999999901</v>
      </c>
      <c r="T1543">
        <v>-0.4702539</v>
      </c>
      <c r="U1543">
        <v>-3.4009089999999902</v>
      </c>
      <c r="V1543">
        <v>-5.858298E-2</v>
      </c>
      <c r="W1543">
        <v>0.35571700000000001</v>
      </c>
      <c r="X1543">
        <v>0.93275580000000002</v>
      </c>
      <c r="Y1543">
        <v>9.5548359999999999E-2</v>
      </c>
      <c r="Z1543">
        <v>0.123199</v>
      </c>
      <c r="AA1543">
        <v>0.98777150000000002</v>
      </c>
      <c r="AB1543">
        <v>28</v>
      </c>
      <c r="AC1543">
        <v>-7.8500000000019499E-2</v>
      </c>
      <c r="AD1543">
        <v>-0.13091079999999999</v>
      </c>
      <c r="AE1543">
        <v>-0.66160000000002095</v>
      </c>
      <c r="AF1543">
        <v>8.6584559941412995E-2</v>
      </c>
      <c r="AG1543">
        <v>-0.13091079999999999</v>
      </c>
      <c r="AH1543">
        <v>0.63560378973649501</v>
      </c>
      <c r="AI1543">
        <v>101.534424428241</v>
      </c>
      <c r="AJ1543">
        <v>82.242682515426793</v>
      </c>
      <c r="AK1543">
        <v>0.65469588444122895</v>
      </c>
      <c r="AL1543">
        <v>69.162605212520106</v>
      </c>
      <c r="AM1543">
        <v>93.593817862203196</v>
      </c>
      <c r="AN1543">
        <v>0.99999996603415897</v>
      </c>
    </row>
    <row r="1544" spans="1:40" x14ac:dyDescent="0.25">
      <c r="A1544" t="str">
        <f>"20190304164359119"</f>
        <v>20190304164359119</v>
      </c>
      <c r="B1544" t="str">
        <f>"1551689039111641"</f>
        <v>1551689039111641</v>
      </c>
      <c r="C1544" t="s">
        <v>40</v>
      </c>
      <c r="D1544">
        <v>5.2434310000000002</v>
      </c>
      <c r="E1544">
        <v>0.57145230000000002</v>
      </c>
      <c r="F1544" t="s">
        <v>41</v>
      </c>
      <c r="G1544">
        <v>-192.0153</v>
      </c>
      <c r="H1544">
        <v>0.98298739999999996</v>
      </c>
      <c r="I1544">
        <v>335.27789999999999</v>
      </c>
      <c r="J1544">
        <v>-191.93969999999999</v>
      </c>
      <c r="K1544">
        <v>1.109507</v>
      </c>
      <c r="L1544">
        <v>335.91609999999997</v>
      </c>
      <c r="M1544">
        <v>1.5428870000000001E-2</v>
      </c>
      <c r="N1544">
        <v>-1.342173E-2</v>
      </c>
      <c r="O1544">
        <v>-0.99979079999999998</v>
      </c>
      <c r="P1544">
        <v>7.35595E-2</v>
      </c>
      <c r="Q1544">
        <v>0.34277449999999998</v>
      </c>
      <c r="R1544">
        <v>-0.93653350000000002</v>
      </c>
      <c r="S1544">
        <v>-0.2716827</v>
      </c>
      <c r="T1544">
        <v>-0.47259030000000002</v>
      </c>
      <c r="U1544">
        <v>-3.399597</v>
      </c>
      <c r="V1544">
        <v>-5.7869520000000001E-2</v>
      </c>
      <c r="W1544">
        <v>0.3555295</v>
      </c>
      <c r="X1544">
        <v>0.93287189999999998</v>
      </c>
      <c r="Y1544">
        <v>9.4324080000000005E-2</v>
      </c>
      <c r="Z1544">
        <v>0.1238287</v>
      </c>
      <c r="AA1544">
        <v>0.98781039999999998</v>
      </c>
      <c r="AB1544">
        <v>28</v>
      </c>
      <c r="AC1544">
        <v>-7.5600000000008494E-2</v>
      </c>
      <c r="AD1544">
        <v>-0.12651960000000001</v>
      </c>
      <c r="AE1544">
        <v>-0.638199999999983</v>
      </c>
      <c r="AF1544">
        <v>8.2250797588886801E-2</v>
      </c>
      <c r="AG1544">
        <v>-0.12651960000000001</v>
      </c>
      <c r="AH1544">
        <v>0.61319200622363701</v>
      </c>
      <c r="AI1544">
        <v>101.557521246036</v>
      </c>
      <c r="AJ1544">
        <v>82.360205151536206</v>
      </c>
      <c r="AK1544">
        <v>0.63148779828650503</v>
      </c>
      <c r="AL1544">
        <v>69.174101269296798</v>
      </c>
      <c r="AM1544">
        <v>93.549722033509099</v>
      </c>
      <c r="AN1544">
        <v>1.0000000442624399</v>
      </c>
    </row>
    <row r="1545" spans="1:40" x14ac:dyDescent="0.25">
      <c r="A1545" t="str">
        <f>"20190304164359141"</f>
        <v>20190304164359141</v>
      </c>
      <c r="B1545" t="str">
        <f>"1551689039131159"</f>
        <v>1551689039131159</v>
      </c>
      <c r="C1545" t="s">
        <v>40</v>
      </c>
      <c r="D1545">
        <v>5.2625289999999998</v>
      </c>
      <c r="E1545">
        <v>0.57162279999999999</v>
      </c>
      <c r="F1545" t="s">
        <v>41</v>
      </c>
      <c r="G1545">
        <v>-192.01320000000001</v>
      </c>
      <c r="H1545">
        <v>0.98659339999999995</v>
      </c>
      <c r="I1545">
        <v>335.02969999999999</v>
      </c>
      <c r="J1545">
        <v>-191.9376</v>
      </c>
      <c r="K1545">
        <v>1.109515</v>
      </c>
      <c r="L1545">
        <v>335.63959999999997</v>
      </c>
      <c r="M1545">
        <v>1.352823E-2</v>
      </c>
      <c r="N1545">
        <v>-1.351071E-2</v>
      </c>
      <c r="O1545">
        <v>-0.99981750000000003</v>
      </c>
      <c r="P1545">
        <v>7.0983699999999997E-2</v>
      </c>
      <c r="Q1545">
        <v>0.34343040000000002</v>
      </c>
      <c r="R1545">
        <v>-0.9364924</v>
      </c>
      <c r="S1545">
        <v>-0.28094479999999999</v>
      </c>
      <c r="T1545">
        <v>-0.47124339999999998</v>
      </c>
      <c r="U1545">
        <v>-3.3978579999999998</v>
      </c>
      <c r="V1545">
        <v>-5.7071740000000003E-2</v>
      </c>
      <c r="W1545">
        <v>0.35626380000000002</v>
      </c>
      <c r="X1545">
        <v>0.93264089999999999</v>
      </c>
      <c r="Y1545">
        <v>9.514976E-2</v>
      </c>
      <c r="Z1545">
        <v>0.12341100000000001</v>
      </c>
      <c r="AA1545">
        <v>0.98778350000000004</v>
      </c>
      <c r="AB1545">
        <v>28</v>
      </c>
      <c r="AC1545">
        <v>-7.5600000000008494E-2</v>
      </c>
      <c r="AD1545">
        <v>-0.12292159999999901</v>
      </c>
      <c r="AE1545">
        <v>-0.60989999999998101</v>
      </c>
      <c r="AF1545">
        <v>8.0619495248811998E-2</v>
      </c>
      <c r="AG1545">
        <v>-0.12292159999999901</v>
      </c>
      <c r="AH1545">
        <v>0.58540218622852902</v>
      </c>
      <c r="AI1545">
        <v>101.75079170585001</v>
      </c>
      <c r="AJ1545">
        <v>82.158753796849794</v>
      </c>
      <c r="AK1545">
        <v>0.603576790807826</v>
      </c>
      <c r="AL1545">
        <v>69.129081732484906</v>
      </c>
      <c r="AM1545">
        <v>93.501773648640295</v>
      </c>
      <c r="AN1545">
        <v>1.00000006352493</v>
      </c>
    </row>
    <row r="1546" spans="1:40" x14ac:dyDescent="0.25">
      <c r="A1546" t="str">
        <f>"20190304164359163"</f>
        <v>20190304164359163</v>
      </c>
      <c r="B1546" t="str">
        <f>"1551689039151655"</f>
        <v>1551689039151655</v>
      </c>
      <c r="C1546" t="s">
        <v>40</v>
      </c>
      <c r="D1546">
        <v>5.3000449999999999</v>
      </c>
      <c r="E1546">
        <v>0.57171119999999898</v>
      </c>
      <c r="F1546" t="s">
        <v>41</v>
      </c>
      <c r="G1546">
        <v>-192.01130000000001</v>
      </c>
      <c r="H1546">
        <v>0.99163000000000001</v>
      </c>
      <c r="I1546">
        <v>334.78109999999998</v>
      </c>
      <c r="J1546">
        <v>-191.93600000000001</v>
      </c>
      <c r="K1546">
        <v>1.109521</v>
      </c>
      <c r="L1546">
        <v>335.38</v>
      </c>
      <c r="M1546">
        <v>1.1742580000000001E-2</v>
      </c>
      <c r="N1546">
        <v>-1.358322E-2</v>
      </c>
      <c r="O1546">
        <v>-0.99983889999999997</v>
      </c>
      <c r="P1546">
        <v>6.8262080000000003E-2</v>
      </c>
      <c r="Q1546">
        <v>0.34400979999999998</v>
      </c>
      <c r="R1546">
        <v>-0.93648169999999997</v>
      </c>
      <c r="S1546">
        <v>-0.29083249999999999</v>
      </c>
      <c r="T1546">
        <v>-0.46651160000000003</v>
      </c>
      <c r="U1546">
        <v>-3.396576</v>
      </c>
      <c r="V1546">
        <v>-5.6023950000000003E-2</v>
      </c>
      <c r="W1546">
        <v>0.35690480000000002</v>
      </c>
      <c r="X1546">
        <v>0.93245919999999904</v>
      </c>
      <c r="Y1546">
        <v>9.6271750000000003E-2</v>
      </c>
      <c r="Z1546">
        <v>0.1220202</v>
      </c>
      <c r="AA1546">
        <v>0.98784760000000005</v>
      </c>
      <c r="AB1546">
        <v>27</v>
      </c>
      <c r="AC1546">
        <v>-7.5300000000026998E-2</v>
      </c>
      <c r="AD1546">
        <v>-0.117891</v>
      </c>
      <c r="AE1546">
        <v>-0.59890000000001398</v>
      </c>
      <c r="AF1546">
        <v>7.9303048442691995E-2</v>
      </c>
      <c r="AG1546">
        <v>-0.117891</v>
      </c>
      <c r="AH1546">
        <v>0.57600261290566501</v>
      </c>
      <c r="AI1546">
        <v>101.46181179141</v>
      </c>
      <c r="AJ1546">
        <v>82.160898634107696</v>
      </c>
      <c r="AK1546">
        <v>0.593267453554851</v>
      </c>
      <c r="AL1546">
        <v>69.089768258009897</v>
      </c>
      <c r="AM1546">
        <v>93.438307843134794</v>
      </c>
      <c r="AN1546">
        <v>0.99999993945063903</v>
      </c>
    </row>
    <row r="1547" spans="1:40" x14ac:dyDescent="0.25">
      <c r="A1547" t="str">
        <f>"20190304164359185"</f>
        <v>20190304164359185</v>
      </c>
      <c r="B1547" t="str">
        <f>"1551689039171176"</f>
        <v>1551689039171176</v>
      </c>
      <c r="C1547" t="s">
        <v>40</v>
      </c>
      <c r="D1547">
        <v>5.2967709999999997</v>
      </c>
      <c r="E1547">
        <v>0.57184799999999902</v>
      </c>
      <c r="F1547" t="s">
        <v>41</v>
      </c>
      <c r="G1547">
        <v>-192.0112</v>
      </c>
      <c r="H1547">
        <v>0.99446809999999997</v>
      </c>
      <c r="I1547">
        <v>334.53379999999999</v>
      </c>
      <c r="J1547">
        <v>-191.9349</v>
      </c>
      <c r="K1547">
        <v>1.1095330000000001</v>
      </c>
      <c r="L1547">
        <v>335.10120000000001</v>
      </c>
      <c r="M1547">
        <v>9.8348069999999992E-3</v>
      </c>
      <c r="N1547">
        <v>-1.3650499999999999E-2</v>
      </c>
      <c r="O1547">
        <v>-0.99985860000000004</v>
      </c>
      <c r="P1547">
        <v>6.6189699999999893E-2</v>
      </c>
      <c r="Q1547">
        <v>0.34372849999999999</v>
      </c>
      <c r="R1547">
        <v>-0.93673379999999995</v>
      </c>
      <c r="S1547">
        <v>-0.301010099999999</v>
      </c>
      <c r="T1547">
        <v>-0.46162310000000001</v>
      </c>
      <c r="U1547">
        <v>-3.3949579999999999</v>
      </c>
      <c r="V1547">
        <v>-5.574527E-2</v>
      </c>
      <c r="W1547">
        <v>0.35668569999999999</v>
      </c>
      <c r="X1547">
        <v>0.93255980000000005</v>
      </c>
      <c r="Y1547">
        <v>9.7366389999999997E-2</v>
      </c>
      <c r="Z1547">
        <v>0.1206002</v>
      </c>
      <c r="AA1547">
        <v>0.98791470000000003</v>
      </c>
      <c r="AB1547">
        <v>27</v>
      </c>
      <c r="AC1547">
        <v>-7.6300000000003296E-2</v>
      </c>
      <c r="AD1547">
        <v>-0.1150649</v>
      </c>
      <c r="AE1547">
        <v>-0.56740000000002</v>
      </c>
      <c r="AF1547">
        <v>7.8698114873129804E-2</v>
      </c>
      <c r="AG1547">
        <v>-0.1150649</v>
      </c>
      <c r="AH1547">
        <v>0.54462226097219901</v>
      </c>
      <c r="AI1547">
        <v>101.810541105944</v>
      </c>
      <c r="AJ1547">
        <v>81.777652311356306</v>
      </c>
      <c r="AK1547">
        <v>0.56218033729673</v>
      </c>
      <c r="AL1547">
        <v>69.103207586941707</v>
      </c>
      <c r="AM1547">
        <v>93.4208772003566</v>
      </c>
      <c r="AN1547">
        <v>1.0000000021439499</v>
      </c>
    </row>
    <row r="1548" spans="1:40" x14ac:dyDescent="0.25">
      <c r="A1548" t="str">
        <f>"20190304164359210"</f>
        <v>20190304164359210</v>
      </c>
      <c r="B1548" t="str">
        <f>"1551689039201431"</f>
        <v>1551689039201431</v>
      </c>
      <c r="C1548" t="s">
        <v>40</v>
      </c>
      <c r="D1548">
        <v>5.3485719999999999</v>
      </c>
      <c r="E1548">
        <v>0.57197359999999997</v>
      </c>
      <c r="F1548" t="s">
        <v>41</v>
      </c>
      <c r="G1548">
        <v>-192.00970000000001</v>
      </c>
      <c r="H1548">
        <v>0.99947399999999997</v>
      </c>
      <c r="I1548">
        <v>334.28590000000003</v>
      </c>
      <c r="J1548">
        <v>-191.9342</v>
      </c>
      <c r="K1548">
        <v>1.109559</v>
      </c>
      <c r="L1548">
        <v>334.79860000000002</v>
      </c>
      <c r="M1548">
        <v>7.7959939999999997E-3</v>
      </c>
      <c r="N1548">
        <v>-1.371264E-2</v>
      </c>
      <c r="O1548">
        <v>-0.99987579999999998</v>
      </c>
      <c r="P1548">
        <v>6.470774E-2</v>
      </c>
      <c r="Q1548">
        <v>0.34296860000000001</v>
      </c>
      <c r="R1548">
        <v>-0.9371157</v>
      </c>
      <c r="S1548">
        <v>-0.31080629999999998</v>
      </c>
      <c r="T1548">
        <v>-0.45806530000000001</v>
      </c>
      <c r="U1548">
        <v>-3.3927</v>
      </c>
      <c r="V1548">
        <v>-5.6191749999999999E-2</v>
      </c>
      <c r="W1548">
        <v>0.35598619999999997</v>
      </c>
      <c r="X1548">
        <v>0.93280019999999997</v>
      </c>
      <c r="Y1548">
        <v>9.8234940000000007E-2</v>
      </c>
      <c r="Z1548">
        <v>0.11959019999999999</v>
      </c>
      <c r="AA1548">
        <v>0.98795149999999998</v>
      </c>
      <c r="AB1548">
        <v>27</v>
      </c>
      <c r="AC1548">
        <v>-7.5500000000005202E-2</v>
      </c>
      <c r="AD1548">
        <v>-0.110085</v>
      </c>
      <c r="AE1548">
        <v>-0.51269999999999505</v>
      </c>
      <c r="AF1548">
        <v>7.6062790340066494E-2</v>
      </c>
      <c r="AG1548">
        <v>-0.110085</v>
      </c>
      <c r="AH1548">
        <v>0.48998541329888601</v>
      </c>
      <c r="AI1548">
        <v>102.517268317743</v>
      </c>
      <c r="AJ1548">
        <v>81.176129749965696</v>
      </c>
      <c r="AK1548">
        <v>0.50792712129300299</v>
      </c>
      <c r="AL1548">
        <v>69.146100508773003</v>
      </c>
      <c r="AM1548">
        <v>93.447323622783102</v>
      </c>
      <c r="AN1548">
        <v>0.99999995023927002</v>
      </c>
    </row>
    <row r="1549" spans="1:40" x14ac:dyDescent="0.25">
      <c r="A1549" t="str">
        <f>"20190304164359233"</f>
        <v>20190304164359233</v>
      </c>
      <c r="B1549" t="str">
        <f>"1551689039220951"</f>
        <v>1551689039220951</v>
      </c>
      <c r="C1549" t="s">
        <v>40</v>
      </c>
      <c r="D1549">
        <v>5.3261419999999999</v>
      </c>
      <c r="E1549">
        <v>0.57195260000000003</v>
      </c>
      <c r="F1549" t="s">
        <v>41</v>
      </c>
      <c r="G1549">
        <v>-192.00579999999999</v>
      </c>
      <c r="H1549">
        <v>1.007261</v>
      </c>
      <c r="I1549">
        <v>334.0369</v>
      </c>
      <c r="J1549">
        <v>-191.9341</v>
      </c>
      <c r="K1549">
        <v>1.10959599999999</v>
      </c>
      <c r="L1549">
        <v>334.52519999999998</v>
      </c>
      <c r="M1549">
        <v>5.998611E-3</v>
      </c>
      <c r="N1549">
        <v>-1.376025E-2</v>
      </c>
      <c r="O1549">
        <v>-0.99988739999999998</v>
      </c>
      <c r="P1549">
        <v>6.3761890000000002E-2</v>
      </c>
      <c r="Q1549">
        <v>0.34295700000000001</v>
      </c>
      <c r="R1549">
        <v>-0.93718460000000003</v>
      </c>
      <c r="S1549">
        <v>-0.31782529999999998</v>
      </c>
      <c r="T1549">
        <v>-0.45536009999999999</v>
      </c>
      <c r="U1549">
        <v>-3.3899539999999999</v>
      </c>
      <c r="V1549">
        <v>-5.6958300000000003E-2</v>
      </c>
      <c r="W1549">
        <v>0.35601650000000001</v>
      </c>
      <c r="X1549">
        <v>0.93274219999999997</v>
      </c>
      <c r="Y1549">
        <v>9.8555009999999998E-2</v>
      </c>
      <c r="Z1549">
        <v>0.118863</v>
      </c>
      <c r="AA1549">
        <v>0.98800739999999998</v>
      </c>
      <c r="AB1549">
        <v>27</v>
      </c>
      <c r="AC1549">
        <v>-7.16999999999927E-2</v>
      </c>
      <c r="AD1549">
        <v>-0.102334999999999</v>
      </c>
      <c r="AE1549">
        <v>-0.48829999999998103</v>
      </c>
      <c r="AF1549">
        <v>7.1551790633108805E-2</v>
      </c>
      <c r="AG1549">
        <v>-0.102334999999999</v>
      </c>
      <c r="AH1549">
        <v>0.46775047510370299</v>
      </c>
      <c r="AI1549">
        <v>102.203167554744</v>
      </c>
      <c r="AJ1549">
        <v>81.302883354833597</v>
      </c>
      <c r="AK1549">
        <v>0.48413078597373299</v>
      </c>
      <c r="AL1549">
        <v>69.144243907463604</v>
      </c>
      <c r="AM1549">
        <v>93.494451919872205</v>
      </c>
      <c r="AN1549">
        <v>1.00000000393599</v>
      </c>
    </row>
    <row r="1550" spans="1:40" x14ac:dyDescent="0.25">
      <c r="A1550" t="str">
        <f>"20190304164359253"</f>
        <v>20190304164359253</v>
      </c>
      <c r="B1550" t="str">
        <f>"1551689039241447"</f>
        <v>1551689039241447</v>
      </c>
      <c r="C1550" t="s">
        <v>40</v>
      </c>
      <c r="D1550">
        <v>5.3380890000000001</v>
      </c>
      <c r="E1550">
        <v>0.57193780000000005</v>
      </c>
      <c r="F1550" t="s">
        <v>41</v>
      </c>
      <c r="G1550">
        <v>-192.00380000000001</v>
      </c>
      <c r="H1550">
        <v>1.0111159999999999</v>
      </c>
      <c r="I1550">
        <v>333.79020000000003</v>
      </c>
      <c r="J1550">
        <v>-191.93440000000001</v>
      </c>
      <c r="K1550">
        <v>1.1096440000000001</v>
      </c>
      <c r="L1550">
        <v>334.26900000000001</v>
      </c>
      <c r="M1550">
        <v>4.3699530000000002E-3</v>
      </c>
      <c r="N1550">
        <v>-1.3797899999999899E-2</v>
      </c>
      <c r="O1550">
        <v>-0.99989530000000004</v>
      </c>
      <c r="P1550">
        <v>6.367254E-2</v>
      </c>
      <c r="Q1550">
        <v>0.34358499999999997</v>
      </c>
      <c r="R1550">
        <v>-0.93696080000000004</v>
      </c>
      <c r="S1550">
        <v>-0.3198395</v>
      </c>
      <c r="T1550">
        <v>-0.45427610000000002</v>
      </c>
      <c r="U1550">
        <v>-3.3890989999999999</v>
      </c>
      <c r="V1550">
        <v>-5.8432070000000003E-2</v>
      </c>
      <c r="W1550">
        <v>0.35667369999999998</v>
      </c>
      <c r="X1550">
        <v>0.93239989999999995</v>
      </c>
      <c r="Y1550">
        <v>9.7543790000000005E-2</v>
      </c>
      <c r="Z1550">
        <v>0.11855350000000001</v>
      </c>
      <c r="AA1550">
        <v>0.98814489999999999</v>
      </c>
      <c r="AB1550">
        <v>27</v>
      </c>
      <c r="AC1550">
        <v>-6.9400000000001599E-2</v>
      </c>
      <c r="AD1550">
        <v>-9.8528000000000102E-2</v>
      </c>
      <c r="AE1550">
        <v>-0.47879999999997802</v>
      </c>
      <c r="AF1550">
        <v>6.8644857294694106E-2</v>
      </c>
      <c r="AG1550">
        <v>-9.8528000000000102E-2</v>
      </c>
      <c r="AH1550">
        <v>0.45943718685747698</v>
      </c>
      <c r="AI1550">
        <v>101.97493370926701</v>
      </c>
      <c r="AJ1550">
        <v>81.502255539372996</v>
      </c>
      <c r="AK1550">
        <v>0.47487094234594002</v>
      </c>
      <c r="AL1550">
        <v>69.103943589615099</v>
      </c>
      <c r="AM1550">
        <v>93.5859490192924</v>
      </c>
      <c r="AN1550">
        <v>1.0000000042980901</v>
      </c>
    </row>
    <row r="1551" spans="1:40" x14ac:dyDescent="0.25">
      <c r="A1551" t="str">
        <f>"20190304164359275"</f>
        <v>20190304164359275</v>
      </c>
      <c r="B1551" t="str">
        <f>"1551689039271704"</f>
        <v>1551689039271704</v>
      </c>
      <c r="C1551" t="s">
        <v>40</v>
      </c>
      <c r="D1551">
        <v>6.0314730000000001</v>
      </c>
      <c r="E1551">
        <v>0.57173529999999995</v>
      </c>
      <c r="F1551" t="s">
        <v>41</v>
      </c>
      <c r="G1551">
        <v>-192.0026</v>
      </c>
      <c r="H1551">
        <v>1.013245</v>
      </c>
      <c r="I1551">
        <v>333.54450000000003</v>
      </c>
      <c r="J1551">
        <v>-191.93510000000001</v>
      </c>
      <c r="K1551">
        <v>1.1096950000000001</v>
      </c>
      <c r="L1551">
        <v>334.00060000000002</v>
      </c>
      <c r="M1551">
        <v>2.7395739999999998E-3</v>
      </c>
      <c r="N1551">
        <v>-1.383143E-2</v>
      </c>
      <c r="O1551">
        <v>-0.99990080000000003</v>
      </c>
      <c r="P1551">
        <v>6.5365870000000006E-2</v>
      </c>
      <c r="Q1551">
        <v>0.34357769999999999</v>
      </c>
      <c r="R1551">
        <v>-0.93684699999999999</v>
      </c>
      <c r="S1551">
        <v>-0.318222</v>
      </c>
      <c r="T1551">
        <v>-0.45107649999999999</v>
      </c>
      <c r="U1551">
        <v>-3.388916</v>
      </c>
      <c r="V1551">
        <v>-6.1703399999999999E-2</v>
      </c>
      <c r="W1551">
        <v>0.35669679999999998</v>
      </c>
      <c r="X1551">
        <v>0.93218029999999996</v>
      </c>
      <c r="Y1551">
        <v>9.5471230000000004E-2</v>
      </c>
      <c r="Z1551">
        <v>0.1176287</v>
      </c>
      <c r="AA1551">
        <v>0.98845769999999999</v>
      </c>
      <c r="AB1551">
        <v>27</v>
      </c>
      <c r="AC1551">
        <v>-6.7499999999995397E-2</v>
      </c>
      <c r="AD1551">
        <v>-9.6449999999999897E-2</v>
      </c>
      <c r="AE1551">
        <v>-0.45609999999999201</v>
      </c>
      <c r="AF1551">
        <v>6.5867058544305496E-2</v>
      </c>
      <c r="AG1551">
        <v>-9.6449999999999897E-2</v>
      </c>
      <c r="AH1551">
        <v>0.43679912176795399</v>
      </c>
      <c r="AI1551">
        <v>102.316797242864</v>
      </c>
      <c r="AJ1551">
        <v>81.424700114577803</v>
      </c>
      <c r="AK1551">
        <v>0.45214438476943902</v>
      </c>
      <c r="AL1551">
        <v>69.102527088691602</v>
      </c>
      <c r="AM1551">
        <v>93.787029843456907</v>
      </c>
      <c r="AN1551">
        <v>1.0000000142049399</v>
      </c>
    </row>
    <row r="1552" spans="1:40" x14ac:dyDescent="0.25">
      <c r="A1552" t="str">
        <f>"20190304164359299"</f>
        <v>20190304164359299</v>
      </c>
      <c r="B1552" t="str">
        <f>"1551689039291224"</f>
        <v>1551689039291224</v>
      </c>
      <c r="C1552" t="s">
        <v>40</v>
      </c>
      <c r="D1552">
        <v>5.2777989999999999</v>
      </c>
      <c r="E1552">
        <v>0.49717549999999999</v>
      </c>
      <c r="F1552" t="s">
        <v>41</v>
      </c>
      <c r="G1552">
        <v>-192.0197</v>
      </c>
      <c r="H1552">
        <v>0.98575679999999999</v>
      </c>
      <c r="I1552">
        <v>333.06990000000002</v>
      </c>
      <c r="J1552">
        <v>-191.93620000000001</v>
      </c>
      <c r="K1552">
        <v>1.109772</v>
      </c>
      <c r="L1552">
        <v>333.71690000000001</v>
      </c>
      <c r="M1552">
        <v>1.108721E-3</v>
      </c>
      <c r="N1552">
        <v>-1.3861210000000001E-2</v>
      </c>
      <c r="O1552">
        <v>-0.9999034</v>
      </c>
      <c r="P1552">
        <v>6.8564249999999993E-2</v>
      </c>
      <c r="Q1552">
        <v>0.34345110000000001</v>
      </c>
      <c r="R1552">
        <v>-0.93666430000000001</v>
      </c>
      <c r="S1552">
        <v>-0.3080292</v>
      </c>
      <c r="T1552">
        <v>-0.45131660000000001</v>
      </c>
      <c r="U1552">
        <v>-3.3891909999999998</v>
      </c>
      <c r="V1552">
        <v>-6.6489859999999998E-2</v>
      </c>
      <c r="W1552">
        <v>0.356597</v>
      </c>
      <c r="X1552">
        <v>0.93188930000000003</v>
      </c>
      <c r="Y1552">
        <v>9.0895299999999998E-2</v>
      </c>
      <c r="Z1552">
        <v>0.1177053</v>
      </c>
      <c r="AA1552">
        <v>0.98887990000000003</v>
      </c>
      <c r="AB1552">
        <v>27</v>
      </c>
      <c r="AC1552">
        <v>-8.3499999999986502E-2</v>
      </c>
      <c r="AD1552">
        <v>-0.12401519999999901</v>
      </c>
      <c r="AE1552">
        <v>-0.64699999999999103</v>
      </c>
      <c r="AF1552">
        <v>8.1280040038911094E-2</v>
      </c>
      <c r="AG1552">
        <v>-0.12401519999999901</v>
      </c>
      <c r="AH1552">
        <v>0.62434429295789495</v>
      </c>
      <c r="AI1552">
        <v>101.14293920874699</v>
      </c>
      <c r="AJ1552">
        <v>82.582684566934802</v>
      </c>
      <c r="AK1552">
        <v>0.64171022345671003</v>
      </c>
      <c r="AL1552">
        <v>69.108647276437594</v>
      </c>
      <c r="AM1552">
        <v>94.081110784737405</v>
      </c>
      <c r="AN1552">
        <v>0.99999999467315404</v>
      </c>
    </row>
    <row r="1553" spans="1:40" x14ac:dyDescent="0.25">
      <c r="A1553" t="str">
        <f>"20190304164359320"</f>
        <v>20190304164359320</v>
      </c>
      <c r="B1553" t="str">
        <f>"1551689039311720"</f>
        <v>1551689039311720</v>
      </c>
      <c r="C1553" t="s">
        <v>40</v>
      </c>
      <c r="D1553">
        <v>5.3045489999999997</v>
      </c>
      <c r="E1553">
        <v>0.41876069999999999</v>
      </c>
      <c r="F1553" t="s">
        <v>42</v>
      </c>
      <c r="G1553">
        <v>-190.96459999999999</v>
      </c>
      <c r="H1553" s="1">
        <v>-1.60865E-6</v>
      </c>
      <c r="I1553">
        <v>322.7407</v>
      </c>
      <c r="J1553">
        <v>-191.9376</v>
      </c>
      <c r="K1553">
        <v>1.1098520000000001</v>
      </c>
      <c r="L1553">
        <v>333.44699999999898</v>
      </c>
      <c r="M1553">
        <v>-3.6754769999999999E-4</v>
      </c>
      <c r="N1553">
        <v>-1.388498E-2</v>
      </c>
      <c r="O1553">
        <v>-0.9999034</v>
      </c>
      <c r="P1553">
        <v>7.153255E-2</v>
      </c>
      <c r="Q1553">
        <v>0.34434599999999999</v>
      </c>
      <c r="R1553">
        <v>-0.93611350000000004</v>
      </c>
      <c r="S1553">
        <v>0.29246519999999998</v>
      </c>
      <c r="T1553">
        <v>-0.3340497</v>
      </c>
      <c r="U1553">
        <v>-3.303925</v>
      </c>
      <c r="V1553">
        <v>-7.0892499999999997E-2</v>
      </c>
      <c r="W1553">
        <v>0.35750700000000002</v>
      </c>
      <c r="X1553">
        <v>0.93121589999999999</v>
      </c>
      <c r="Y1553">
        <v>-8.8142209999999999E-2</v>
      </c>
      <c r="Z1553">
        <v>8.6379780000000003E-2</v>
      </c>
      <c r="AA1553">
        <v>0.99235549999999995</v>
      </c>
      <c r="AB1553">
        <v>27</v>
      </c>
      <c r="AC1553">
        <v>0.97300000000001297</v>
      </c>
      <c r="AD1553">
        <v>-1.1098536086499999</v>
      </c>
      <c r="AE1553">
        <v>-10.706299999999899</v>
      </c>
      <c r="AF1553">
        <v>-0.96663290750805897</v>
      </c>
      <c r="AG1553">
        <v>-1.1098536086499999</v>
      </c>
      <c r="AH1553">
        <v>10.5930398047668</v>
      </c>
      <c r="AI1553">
        <v>95.956600270522898</v>
      </c>
      <c r="AJ1553">
        <v>95.213897550449204</v>
      </c>
      <c r="AK1553">
        <v>10.694795300326501</v>
      </c>
      <c r="AL1553">
        <v>69.052829521536097</v>
      </c>
      <c r="AM1553">
        <v>94.353470835912304</v>
      </c>
      <c r="AN1553">
        <v>1.0000000270090199</v>
      </c>
    </row>
    <row r="1554" spans="1:40" x14ac:dyDescent="0.25">
      <c r="A1554" t="str">
        <f>"20190304164359341"</f>
        <v>20190304164359341</v>
      </c>
      <c r="B1554" t="str">
        <f>"1551689039331240"</f>
        <v>1551689039331240</v>
      </c>
      <c r="C1554" t="s">
        <v>40</v>
      </c>
      <c r="D1554">
        <v>5.305472</v>
      </c>
      <c r="E1554">
        <v>0.4133733</v>
      </c>
      <c r="F1554" t="s">
        <v>42</v>
      </c>
      <c r="G1554">
        <v>-186.51390000000001</v>
      </c>
      <c r="H1554" s="1">
        <v>-2.9548320000000001E-6</v>
      </c>
      <c r="I1554">
        <v>314.57400000000001</v>
      </c>
      <c r="J1554">
        <v>-191.9393</v>
      </c>
      <c r="K1554">
        <v>1.1099239999999999</v>
      </c>
      <c r="L1554">
        <v>333.18529999999998</v>
      </c>
      <c r="M1554">
        <v>-1.7226829999999901E-3</v>
      </c>
      <c r="N1554">
        <v>-1.390461E-2</v>
      </c>
      <c r="O1554">
        <v>-0.99990210000000002</v>
      </c>
      <c r="P1554">
        <v>7.3202680000000006E-2</v>
      </c>
      <c r="Q1554">
        <v>0.34537489999999998</v>
      </c>
      <c r="R1554">
        <v>-0.93560580000000004</v>
      </c>
      <c r="S1554">
        <v>0.92065430000000004</v>
      </c>
      <c r="T1554">
        <v>-0.18839510000000001</v>
      </c>
      <c r="U1554">
        <v>-3.2036440000000002</v>
      </c>
      <c r="V1554">
        <v>-7.3877020000000002E-2</v>
      </c>
      <c r="W1554">
        <v>0.35854350000000001</v>
      </c>
      <c r="X1554">
        <v>0.93058510000000005</v>
      </c>
      <c r="Y1554">
        <v>-0.27747080000000002</v>
      </c>
      <c r="Z1554">
        <v>4.25245E-2</v>
      </c>
      <c r="AA1554">
        <v>0.95979250000000005</v>
      </c>
      <c r="AB1554">
        <v>27</v>
      </c>
      <c r="AC1554">
        <v>5.42539999999999</v>
      </c>
      <c r="AD1554">
        <v>-1.1099269548320001</v>
      </c>
      <c r="AE1554">
        <v>-18.6112999999999</v>
      </c>
      <c r="AF1554">
        <v>-5.43962510460437</v>
      </c>
      <c r="AG1554">
        <v>-1.1099269548320001</v>
      </c>
      <c r="AH1554">
        <v>18.5411466249585</v>
      </c>
      <c r="AI1554">
        <v>93.287562672581899</v>
      </c>
      <c r="AJ1554">
        <v>106.35070036754</v>
      </c>
      <c r="AK1554">
        <v>19.3544717647348</v>
      </c>
      <c r="AL1554">
        <v>68.989224434867296</v>
      </c>
      <c r="AM1554">
        <v>94.539061026296395</v>
      </c>
      <c r="AN1554">
        <v>0.99999994190916797</v>
      </c>
    </row>
    <row r="1555" spans="1:40" x14ac:dyDescent="0.25">
      <c r="A1555" t="str">
        <f>"20190304164359365"</f>
        <v>20190304164359365</v>
      </c>
      <c r="B1555" t="str">
        <f>"1551689039361496"</f>
        <v>1551689039361496</v>
      </c>
      <c r="C1555" t="s">
        <v>40</v>
      </c>
      <c r="D1555">
        <v>5.223643</v>
      </c>
      <c r="E1555">
        <v>0.4123752</v>
      </c>
      <c r="F1555" t="s">
        <v>42</v>
      </c>
      <c r="G1555">
        <v>-185.84399999999999</v>
      </c>
      <c r="H1555" s="1">
        <v>-2.4166030000000002E-6</v>
      </c>
      <c r="I1555">
        <v>313.05790000000002</v>
      </c>
      <c r="J1555">
        <v>-191.94130000000001</v>
      </c>
      <c r="K1555">
        <v>1.1099909999999999</v>
      </c>
      <c r="L1555">
        <v>332.90679999999998</v>
      </c>
      <c r="M1555">
        <v>-3.0781319999999999E-3</v>
      </c>
      <c r="N1555">
        <v>-1.392198E-2</v>
      </c>
      <c r="O1555">
        <v>-0.99989859999999997</v>
      </c>
      <c r="P1555">
        <v>7.4450080000000002E-2</v>
      </c>
      <c r="Q1555">
        <v>0.34605019999999997</v>
      </c>
      <c r="R1555">
        <v>-0.93525760000000002</v>
      </c>
      <c r="S1555">
        <v>0.967804</v>
      </c>
      <c r="T1555">
        <v>-0.1762338</v>
      </c>
      <c r="U1555">
        <v>-3.1958310000000001</v>
      </c>
      <c r="V1555">
        <v>-7.6442289999999996E-2</v>
      </c>
      <c r="W1555">
        <v>0.35922399999999999</v>
      </c>
      <c r="X1555">
        <v>0.93011540000000004</v>
      </c>
      <c r="Y1555">
        <v>-0.29242879999999999</v>
      </c>
      <c r="Z1555">
        <v>3.876665E-2</v>
      </c>
      <c r="AA1555">
        <v>0.95550119999999905</v>
      </c>
      <c r="AB1555">
        <v>27</v>
      </c>
      <c r="AC1555">
        <v>6.09729999999999</v>
      </c>
      <c r="AD1555">
        <v>-1.1099934166030001</v>
      </c>
      <c r="AE1555">
        <v>-19.848899999999901</v>
      </c>
      <c r="AF1555">
        <v>-6.1408263205309801</v>
      </c>
      <c r="AG1555">
        <v>-1.1099934166030001</v>
      </c>
      <c r="AH1555">
        <v>19.773530344211501</v>
      </c>
      <c r="AI1555">
        <v>93.068665979916503</v>
      </c>
      <c r="AJ1555">
        <v>107.25259505118299</v>
      </c>
      <c r="AK1555">
        <v>20.7348579825684</v>
      </c>
      <c r="AL1555">
        <v>68.947452733957505</v>
      </c>
      <c r="AM1555">
        <v>94.698340860171996</v>
      </c>
      <c r="AN1555">
        <v>0.99999998159680104</v>
      </c>
    </row>
    <row r="1556" spans="1:40" x14ac:dyDescent="0.25">
      <c r="A1556" t="str">
        <f>"20190304164359387"</f>
        <v>20190304164359387</v>
      </c>
      <c r="B1556" t="str">
        <f>"1551689039381016"</f>
        <v>1551689039381016</v>
      </c>
      <c r="C1556" t="s">
        <v>40</v>
      </c>
      <c r="D1556">
        <v>5.2567680000000001</v>
      </c>
      <c r="E1556">
        <v>0.41296490000000002</v>
      </c>
      <c r="F1556" t="s">
        <v>42</v>
      </c>
      <c r="G1556">
        <v>-185.81020000000001</v>
      </c>
      <c r="H1556" s="1">
        <v>-2.342017E-6</v>
      </c>
      <c r="I1556">
        <v>312.84019999999998</v>
      </c>
      <c r="J1556">
        <v>-191.9436</v>
      </c>
      <c r="K1556">
        <v>1.110053</v>
      </c>
      <c r="L1556">
        <v>332.63310000000001</v>
      </c>
      <c r="M1556">
        <v>-4.3264799999999997E-3</v>
      </c>
      <c r="N1556">
        <v>-1.3935929999999999E-2</v>
      </c>
      <c r="O1556">
        <v>-0.9998939</v>
      </c>
      <c r="P1556">
        <v>7.5907290000000002E-2</v>
      </c>
      <c r="Q1556">
        <v>0.34658119999999998</v>
      </c>
      <c r="R1556">
        <v>-0.934944</v>
      </c>
      <c r="S1556">
        <v>0.97630309999999998</v>
      </c>
      <c r="T1556">
        <v>-0.17675350000000001</v>
      </c>
      <c r="U1556">
        <v>-3.1953740000000002</v>
      </c>
      <c r="V1556">
        <v>-7.9117569999999998E-2</v>
      </c>
      <c r="W1556">
        <v>0.35975699999999999</v>
      </c>
      <c r="X1556">
        <v>0.9296856</v>
      </c>
      <c r="Y1556">
        <v>-0.29598150000000001</v>
      </c>
      <c r="Z1556">
        <v>3.8862439999999998E-2</v>
      </c>
      <c r="AA1556">
        <v>0.9544028</v>
      </c>
      <c r="AB1556">
        <v>27</v>
      </c>
      <c r="AC1556">
        <v>6.1333999999999902</v>
      </c>
      <c r="AD1556">
        <v>-1.1100553420169901</v>
      </c>
      <c r="AE1556">
        <v>-19.792899999999999</v>
      </c>
      <c r="AF1556">
        <v>-6.2011883525664997</v>
      </c>
      <c r="AG1556">
        <v>-1.1100553420169901</v>
      </c>
      <c r="AH1556">
        <v>19.709613681478199</v>
      </c>
      <c r="AI1556">
        <v>93.075210628844005</v>
      </c>
      <c r="AJ1556">
        <v>107.465014094203</v>
      </c>
      <c r="AK1556">
        <v>20.691926718395699</v>
      </c>
      <c r="AL1556">
        <v>68.914726725851807</v>
      </c>
      <c r="AM1556">
        <v>94.864232448184097</v>
      </c>
      <c r="AN1556">
        <v>1.0000000018895301</v>
      </c>
    </row>
    <row r="1557" spans="1:40" x14ac:dyDescent="0.25">
      <c r="A1557" t="str">
        <f>"20190304164359411"</f>
        <v>20190304164359411</v>
      </c>
      <c r="B1557" t="str">
        <f>"1551689039401512"</f>
        <v>1551689039401512</v>
      </c>
      <c r="C1557" t="s">
        <v>40</v>
      </c>
      <c r="D1557">
        <v>5.2566600000000001</v>
      </c>
      <c r="E1557">
        <v>0.41338940000000002</v>
      </c>
      <c r="F1557" t="s">
        <v>42</v>
      </c>
      <c r="G1557">
        <v>-185.80090000000001</v>
      </c>
      <c r="H1557" s="1">
        <v>-2.210552E-6</v>
      </c>
      <c r="I1557">
        <v>312.49149999999997</v>
      </c>
      <c r="J1557">
        <v>-191.9462</v>
      </c>
      <c r="K1557">
        <v>1.1101219999999901</v>
      </c>
      <c r="L1557">
        <v>332.36020000000002</v>
      </c>
      <c r="M1557">
        <v>-5.4903720000000003E-3</v>
      </c>
      <c r="N1557">
        <v>-1.3947269999999999E-2</v>
      </c>
      <c r="O1557">
        <v>-0.99988779999999999</v>
      </c>
      <c r="P1557">
        <v>7.7692449999999996E-2</v>
      </c>
      <c r="Q1557">
        <v>0.34638010000000002</v>
      </c>
      <c r="R1557">
        <v>-0.93487180000000003</v>
      </c>
      <c r="S1557">
        <v>0.97436520000000004</v>
      </c>
      <c r="T1557">
        <v>-0.17607990000000001</v>
      </c>
      <c r="U1557">
        <v>-3.1949160000000001</v>
      </c>
      <c r="V1557">
        <v>-8.2046670000000002E-2</v>
      </c>
      <c r="W1557">
        <v>0.35955769999999998</v>
      </c>
      <c r="X1557">
        <v>0.92950880000000002</v>
      </c>
      <c r="Y1557">
        <v>-0.29660419999999998</v>
      </c>
      <c r="Z1557">
        <v>3.8654019999999997E-2</v>
      </c>
      <c r="AA1557">
        <v>0.95421789999999995</v>
      </c>
      <c r="AB1557">
        <v>27</v>
      </c>
      <c r="AC1557">
        <v>6.14529999999999</v>
      </c>
      <c r="AD1557">
        <v>-1.11012421055199</v>
      </c>
      <c r="AE1557">
        <v>-19.8687</v>
      </c>
      <c r="AF1557">
        <v>-6.2365352083013903</v>
      </c>
      <c r="AG1557">
        <v>-1.11012421055199</v>
      </c>
      <c r="AH1557">
        <v>19.7783043491225</v>
      </c>
      <c r="AI1557">
        <v>93.064131854141294</v>
      </c>
      <c r="AJ1557">
        <v>107.501211544979</v>
      </c>
      <c r="AK1557">
        <v>20.767957773785898</v>
      </c>
      <c r="AL1557">
        <v>68.926964697536505</v>
      </c>
      <c r="AM1557">
        <v>95.044358647456903</v>
      </c>
      <c r="AN1557">
        <v>1.0000000024824001</v>
      </c>
    </row>
    <row r="1558" spans="1:40" x14ac:dyDescent="0.25">
      <c r="A1558" t="str">
        <f>"20190304164359434"</f>
        <v>20190304164359434</v>
      </c>
      <c r="B1558" t="str">
        <f>"1551689039421032"</f>
        <v>1551689039421032</v>
      </c>
      <c r="C1558" t="s">
        <v>40</v>
      </c>
      <c r="D1558">
        <v>5.2644159999999998</v>
      </c>
      <c r="E1558">
        <v>0.41346490000000002</v>
      </c>
      <c r="F1558" t="s">
        <v>42</v>
      </c>
      <c r="G1558">
        <v>-185.89670000000001</v>
      </c>
      <c r="H1558" s="1">
        <v>-2.2170839999999999E-6</v>
      </c>
      <c r="I1558">
        <v>312.57479999999998</v>
      </c>
      <c r="J1558">
        <v>-191.94909999999999</v>
      </c>
      <c r="K1558">
        <v>1.1101939999999999</v>
      </c>
      <c r="L1558">
        <v>332.0729</v>
      </c>
      <c r="M1558">
        <v>-6.6324599999999997E-3</v>
      </c>
      <c r="N1558">
        <v>-1.3956939999999999E-2</v>
      </c>
      <c r="O1558">
        <v>-0.99988060000000001</v>
      </c>
      <c r="P1558">
        <v>7.9763029999999999E-2</v>
      </c>
      <c r="Q1558">
        <v>0.34613050000000001</v>
      </c>
      <c r="R1558">
        <v>-0.9347898</v>
      </c>
      <c r="S1558">
        <v>0.97662349999999998</v>
      </c>
      <c r="T1558">
        <v>-0.1792184</v>
      </c>
      <c r="U1558">
        <v>-3.194153</v>
      </c>
      <c r="V1558">
        <v>-8.5244449999999999E-2</v>
      </c>
      <c r="W1558">
        <v>0.35930679999999998</v>
      </c>
      <c r="X1558">
        <v>0.92931799999999998</v>
      </c>
      <c r="Y1558">
        <v>-0.2983616</v>
      </c>
      <c r="Z1558">
        <v>3.9568550000000001E-2</v>
      </c>
      <c r="AA1558">
        <v>0.95363240000000005</v>
      </c>
      <c r="AB1558">
        <v>27</v>
      </c>
      <c r="AC1558">
        <v>6.0523999999999702</v>
      </c>
      <c r="AD1558">
        <v>-1.1101962170840001</v>
      </c>
      <c r="AE1558">
        <v>-19.498100000000001</v>
      </c>
      <c r="AF1558">
        <v>-6.1633741872279098</v>
      </c>
      <c r="AG1558">
        <v>-1.1101962170840001</v>
      </c>
      <c r="AH1558">
        <v>19.400156904219799</v>
      </c>
      <c r="AI1558">
        <v>93.121813304331994</v>
      </c>
      <c r="AJ1558">
        <v>107.62490316686301</v>
      </c>
      <c r="AK1558">
        <v>20.3859217334062</v>
      </c>
      <c r="AL1558">
        <v>68.942368967546301</v>
      </c>
      <c r="AM1558">
        <v>95.240958979901706</v>
      </c>
      <c r="AN1558">
        <v>0.99999996895302001</v>
      </c>
    </row>
    <row r="1559" spans="1:40" x14ac:dyDescent="0.25">
      <c r="A1559" t="str">
        <f>"20190304164359456"</f>
        <v>20190304164359456</v>
      </c>
      <c r="B1559" t="str">
        <f>"1551689039451288"</f>
        <v>1551689039451288</v>
      </c>
      <c r="C1559" t="s">
        <v>40</v>
      </c>
      <c r="D1559">
        <v>5.2524249999999997</v>
      </c>
      <c r="E1559">
        <v>0.41351260000000001</v>
      </c>
      <c r="F1559" t="s">
        <v>42</v>
      </c>
      <c r="G1559">
        <v>-185.97980000000001</v>
      </c>
      <c r="H1559" s="1">
        <v>-2.2279369999999998E-6</v>
      </c>
      <c r="I1559">
        <v>312.66059999999999</v>
      </c>
      <c r="J1559">
        <v>-191.952</v>
      </c>
      <c r="K1559">
        <v>1.1102590000000001</v>
      </c>
      <c r="L1559">
        <v>331.80869999999999</v>
      </c>
      <c r="M1559">
        <v>-7.6015179999999998E-3</v>
      </c>
      <c r="N1559">
        <v>-1.3963929999999999E-2</v>
      </c>
      <c r="O1559">
        <v>-0.99987380000000003</v>
      </c>
      <c r="P1559">
        <v>8.1502279999999996E-2</v>
      </c>
      <c r="Q1559">
        <v>0.34569470000000002</v>
      </c>
      <c r="R1559">
        <v>-0.9348012</v>
      </c>
      <c r="S1559">
        <v>0.98188779999999998</v>
      </c>
      <c r="T1559">
        <v>-0.18261579999999999</v>
      </c>
      <c r="U1559">
        <v>-3.1931150000000001</v>
      </c>
      <c r="V1559">
        <v>-8.7943110000000005E-2</v>
      </c>
      <c r="W1559">
        <v>0.35886879999999999</v>
      </c>
      <c r="X1559">
        <v>0.92923579999999995</v>
      </c>
      <c r="Y1559">
        <v>-0.30079430000000001</v>
      </c>
      <c r="Z1559">
        <v>4.0553819999999997E-2</v>
      </c>
      <c r="AA1559">
        <v>0.95282639999999996</v>
      </c>
      <c r="AB1559">
        <v>27</v>
      </c>
      <c r="AC1559">
        <v>5.9721999999999804</v>
      </c>
      <c r="AD1559">
        <v>-1.1102612279369899</v>
      </c>
      <c r="AE1559">
        <v>-19.148099999999999</v>
      </c>
      <c r="AF1559">
        <v>-6.0989094389169001</v>
      </c>
      <c r="AG1559">
        <v>-1.1102612279369899</v>
      </c>
      <c r="AH1559">
        <v>19.043795173892001</v>
      </c>
      <c r="AI1559">
        <v>93.177946694579504</v>
      </c>
      <c r="AJ1559">
        <v>107.758029849243</v>
      </c>
      <c r="AK1559">
        <v>20.027369047469101</v>
      </c>
      <c r="AL1559">
        <v>68.969258354946405</v>
      </c>
      <c r="AM1559">
        <v>95.406384108189798</v>
      </c>
      <c r="AN1559">
        <v>0.99999998910577503</v>
      </c>
    </row>
    <row r="1560" spans="1:40" x14ac:dyDescent="0.25">
      <c r="A1560" t="str">
        <f>"20190304164359477"</f>
        <v>20190304164359477</v>
      </c>
      <c r="B1560" t="str">
        <f>"1551689039471785"</f>
        <v>1551689039471785</v>
      </c>
      <c r="C1560" t="s">
        <v>40</v>
      </c>
      <c r="D1560">
        <v>5.2852259999999998</v>
      </c>
      <c r="E1560">
        <v>0.41360989999999997</v>
      </c>
      <c r="F1560" t="s">
        <v>42</v>
      </c>
      <c r="G1560">
        <v>-186.10939999999999</v>
      </c>
      <c r="H1560" s="1">
        <v>-2.2820069999999999E-6</v>
      </c>
      <c r="I1560">
        <v>312.8913</v>
      </c>
      <c r="J1560">
        <v>-191.95500000000001</v>
      </c>
      <c r="K1560">
        <v>1.1103160000000001</v>
      </c>
      <c r="L1560">
        <v>331.54520000000002</v>
      </c>
      <c r="M1560">
        <v>-8.5117690000000006E-3</v>
      </c>
      <c r="N1560">
        <v>-1.3969519999999999E-2</v>
      </c>
      <c r="O1560">
        <v>-0.99986620000000004</v>
      </c>
      <c r="P1560">
        <v>8.2688129999999999E-2</v>
      </c>
      <c r="Q1560">
        <v>0.34556550000000003</v>
      </c>
      <c r="R1560">
        <v>-0.93474440000000003</v>
      </c>
      <c r="S1560">
        <v>0.98599239999999999</v>
      </c>
      <c r="T1560">
        <v>-0.18736929999999999</v>
      </c>
      <c r="U1560">
        <v>-3.1925349999999999</v>
      </c>
      <c r="V1560">
        <v>-9.0023309999999995E-2</v>
      </c>
      <c r="W1560">
        <v>0.35873529999999998</v>
      </c>
      <c r="X1560">
        <v>0.92908809999999997</v>
      </c>
      <c r="Y1560">
        <v>-0.30280820000000003</v>
      </c>
      <c r="Z1560">
        <v>4.1942260000000002E-2</v>
      </c>
      <c r="AA1560">
        <v>0.95212819999999998</v>
      </c>
      <c r="AB1560">
        <v>27</v>
      </c>
      <c r="AC1560">
        <v>5.8456000000000099</v>
      </c>
      <c r="AD1560">
        <v>-1.1103182820069999</v>
      </c>
      <c r="AE1560">
        <v>-18.6539</v>
      </c>
      <c r="AF1560">
        <v>-5.9848737656603603</v>
      </c>
      <c r="AG1560">
        <v>-1.1103182820069999</v>
      </c>
      <c r="AH1560">
        <v>18.5436398111415</v>
      </c>
      <c r="AI1560">
        <v>93.261285782044098</v>
      </c>
      <c r="AJ1560">
        <v>107.887244327132</v>
      </c>
      <c r="AK1560">
        <v>19.5171232030646</v>
      </c>
      <c r="AL1560">
        <v>68.977452234486407</v>
      </c>
      <c r="AM1560">
        <v>95.534355916737496</v>
      </c>
      <c r="AN1560">
        <v>0.99999995468552705</v>
      </c>
    </row>
    <row r="1561" spans="1:40" x14ac:dyDescent="0.25">
      <c r="A1561" t="str">
        <f>"20190304164359499"</f>
        <v>20190304164359499</v>
      </c>
      <c r="B1561" t="str">
        <f>"1551689039491304"</f>
        <v>1551689039491304</v>
      </c>
      <c r="C1561" t="s">
        <v>40</v>
      </c>
      <c r="D1561">
        <v>5.2866739999999997</v>
      </c>
      <c r="E1561">
        <v>0.41355950000000002</v>
      </c>
      <c r="F1561" t="s">
        <v>42</v>
      </c>
      <c r="G1561">
        <v>-186.1397</v>
      </c>
      <c r="H1561" s="1">
        <v>-2.2366380000000001E-6</v>
      </c>
      <c r="I1561">
        <v>312.79410000000001</v>
      </c>
      <c r="J1561">
        <v>-191.95830000000001</v>
      </c>
      <c r="K1561">
        <v>1.110357</v>
      </c>
      <c r="L1561">
        <v>331.28500000000003</v>
      </c>
      <c r="M1561">
        <v>-9.3579260000000008E-3</v>
      </c>
      <c r="N1561">
        <v>-1.3973910000000001E-2</v>
      </c>
      <c r="O1561">
        <v>-0.99985860000000004</v>
      </c>
      <c r="P1561">
        <v>8.3539050000000004E-2</v>
      </c>
      <c r="Q1561">
        <v>0.34586339999999999</v>
      </c>
      <c r="R1561">
        <v>-0.93455860000000002</v>
      </c>
      <c r="S1561">
        <v>0.98988339999999997</v>
      </c>
      <c r="T1561">
        <v>-0.18899830000000001</v>
      </c>
      <c r="U1561">
        <v>-3.1918030000000002</v>
      </c>
      <c r="V1561">
        <v>-9.1699199999999995E-2</v>
      </c>
      <c r="W1561">
        <v>0.35902679999999998</v>
      </c>
      <c r="X1561">
        <v>0.92881159999999996</v>
      </c>
      <c r="Y1561">
        <v>-0.30472700000000003</v>
      </c>
      <c r="Z1561">
        <v>4.2404940000000002E-2</v>
      </c>
      <c r="AA1561">
        <v>0.95149530000000004</v>
      </c>
      <c r="AB1561">
        <v>27</v>
      </c>
      <c r="AC1561">
        <v>5.8186</v>
      </c>
      <c r="AD1561">
        <v>-1.110359236638</v>
      </c>
      <c r="AE1561">
        <v>-18.4909</v>
      </c>
      <c r="AF1561">
        <v>-5.9718050807545699</v>
      </c>
      <c r="AG1561">
        <v>-1.110359236638</v>
      </c>
      <c r="AH1561">
        <v>18.375345441610801</v>
      </c>
      <c r="AI1561">
        <v>93.289050629409104</v>
      </c>
      <c r="AJ1561">
        <v>108.00364779922501</v>
      </c>
      <c r="AK1561">
        <v>19.3532600265547</v>
      </c>
      <c r="AL1561">
        <v>68.959559211629895</v>
      </c>
      <c r="AM1561">
        <v>95.638394184465895</v>
      </c>
      <c r="AN1561">
        <v>0.99999998734671902</v>
      </c>
    </row>
    <row r="1562" spans="1:40" x14ac:dyDescent="0.25">
      <c r="A1562" t="str">
        <f>"20190304164359521"</f>
        <v>20190304164359521</v>
      </c>
      <c r="B1562" t="str">
        <f>"1551689039511800"</f>
        <v>1551689039511800</v>
      </c>
      <c r="C1562" t="s">
        <v>40</v>
      </c>
      <c r="D1562">
        <v>5.2841199999999997</v>
      </c>
      <c r="E1562">
        <v>0.41343439999999998</v>
      </c>
      <c r="F1562" t="s">
        <v>42</v>
      </c>
      <c r="G1562">
        <v>-186.10919999999999</v>
      </c>
      <c r="H1562" s="1">
        <v>-2.1353230000000001E-6</v>
      </c>
      <c r="I1562">
        <v>312.50909999999999</v>
      </c>
      <c r="J1562">
        <v>-191.96170000000001</v>
      </c>
      <c r="K1562">
        <v>1.110398</v>
      </c>
      <c r="L1562">
        <v>331.01940000000002</v>
      </c>
      <c r="M1562">
        <v>-1.0167560000000001E-2</v>
      </c>
      <c r="N1562">
        <v>-1.3977359999999999E-2</v>
      </c>
      <c r="O1562">
        <v>-0.99985060000000003</v>
      </c>
      <c r="P1562">
        <v>8.5544300000000004E-2</v>
      </c>
      <c r="Q1562">
        <v>0.34546690000000002</v>
      </c>
      <c r="R1562">
        <v>-0.93452369999999996</v>
      </c>
      <c r="S1562">
        <v>0.99406430000000001</v>
      </c>
      <c r="T1562">
        <v>-0.1887085</v>
      </c>
      <c r="U1562">
        <v>-3.1910099999999999</v>
      </c>
      <c r="V1562">
        <v>-9.4495239999999994E-2</v>
      </c>
      <c r="W1562">
        <v>0.35862709999999998</v>
      </c>
      <c r="X1562">
        <v>0.92868569999999995</v>
      </c>
      <c r="Y1562">
        <v>-0.30670170000000002</v>
      </c>
      <c r="Z1562">
        <v>4.2297149999999999E-2</v>
      </c>
      <c r="AA1562">
        <v>0.95086539999999997</v>
      </c>
      <c r="AB1562">
        <v>27</v>
      </c>
      <c r="AC1562">
        <v>5.8525000000000196</v>
      </c>
      <c r="AD1562">
        <v>-1.110400135323</v>
      </c>
      <c r="AE1562">
        <v>-18.510300000000001</v>
      </c>
      <c r="AF1562">
        <v>-6.0207233458312697</v>
      </c>
      <c r="AG1562">
        <v>-1.110400135323</v>
      </c>
      <c r="AH1562">
        <v>18.389668962792499</v>
      </c>
      <c r="AI1562">
        <v>93.284288883779695</v>
      </c>
      <c r="AJ1562">
        <v>108.12829398113099</v>
      </c>
      <c r="AK1562">
        <v>19.382002544336299</v>
      </c>
      <c r="AL1562">
        <v>68.984093190083698</v>
      </c>
      <c r="AM1562">
        <v>95.809940470241898</v>
      </c>
      <c r="AN1562">
        <v>0.99999993831077605</v>
      </c>
    </row>
    <row r="1563" spans="1:40" x14ac:dyDescent="0.25">
      <c r="A1563" t="str">
        <f>"20190304164359543"</f>
        <v>20190304164359543</v>
      </c>
      <c r="B1563" t="str">
        <f>"1551689039531320"</f>
        <v>1551689039531320</v>
      </c>
      <c r="C1563" t="s">
        <v>40</v>
      </c>
      <c r="D1563">
        <v>5.2841690000000003</v>
      </c>
      <c r="E1563">
        <v>0.41323749999999998</v>
      </c>
      <c r="F1563" t="s">
        <v>42</v>
      </c>
      <c r="G1563">
        <v>-186.13579999999999</v>
      </c>
      <c r="H1563" s="1">
        <v>-2.1156749999999999E-6</v>
      </c>
      <c r="I1563">
        <v>312.47640000000001</v>
      </c>
      <c r="J1563">
        <v>-191.96520000000001</v>
      </c>
      <c r="K1563">
        <v>1.1104430000000001</v>
      </c>
      <c r="L1563">
        <v>330.76089999999999</v>
      </c>
      <c r="M1563">
        <v>-1.090385E-2</v>
      </c>
      <c r="N1563">
        <v>-1.397957E-2</v>
      </c>
      <c r="O1563">
        <v>-0.99984309999999998</v>
      </c>
      <c r="P1563">
        <v>8.8166519999999998E-2</v>
      </c>
      <c r="Q1563">
        <v>0.34502860000000002</v>
      </c>
      <c r="R1563">
        <v>-0.93444249999999995</v>
      </c>
      <c r="S1563">
        <v>1.001968</v>
      </c>
      <c r="T1563">
        <v>-0.19097230000000001</v>
      </c>
      <c r="U1563">
        <v>-3.189117</v>
      </c>
      <c r="V1563">
        <v>-9.7838540000000002E-2</v>
      </c>
      <c r="W1563">
        <v>0.35818470000000002</v>
      </c>
      <c r="X1563">
        <v>0.92851030000000001</v>
      </c>
      <c r="Y1563">
        <v>-0.30969629999999998</v>
      </c>
      <c r="Z1563">
        <v>4.2949180000000003E-2</v>
      </c>
      <c r="AA1563">
        <v>0.94986499999999996</v>
      </c>
      <c r="AB1563">
        <v>27</v>
      </c>
      <c r="AC1563">
        <v>5.8294000000000201</v>
      </c>
      <c r="AD1563">
        <v>-1.1104451156749999</v>
      </c>
      <c r="AE1563">
        <v>-18.284499999999898</v>
      </c>
      <c r="AF1563">
        <v>-6.0083283129032701</v>
      </c>
      <c r="AG1563">
        <v>-1.1104451156749999</v>
      </c>
      <c r="AH1563">
        <v>18.159047026326</v>
      </c>
      <c r="AI1563">
        <v>93.322617856798999</v>
      </c>
      <c r="AJ1563">
        <v>108.307956682293</v>
      </c>
      <c r="AK1563">
        <v>19.1594385714947</v>
      </c>
      <c r="AL1563">
        <v>69.011246383893393</v>
      </c>
      <c r="AM1563">
        <v>96.015146438539304</v>
      </c>
      <c r="AN1563">
        <v>1.0000000182147499</v>
      </c>
    </row>
    <row r="1564" spans="1:40" x14ac:dyDescent="0.25">
      <c r="A1564" t="str">
        <f>"20190304164359566"</f>
        <v>20190304164359566</v>
      </c>
      <c r="B1564" t="str">
        <f>"1551689039561576"</f>
        <v>1551689039561576</v>
      </c>
      <c r="C1564" t="s">
        <v>40</v>
      </c>
      <c r="D1564">
        <v>5.3082289999999999</v>
      </c>
      <c r="E1564">
        <v>0.4131069</v>
      </c>
      <c r="F1564" t="s">
        <v>42</v>
      </c>
      <c r="G1564">
        <v>-186.1611</v>
      </c>
      <c r="H1564" s="1">
        <v>-2.1096609999999999E-6</v>
      </c>
      <c r="I1564">
        <v>312.47820000000002</v>
      </c>
      <c r="J1564">
        <v>-191.9691</v>
      </c>
      <c r="K1564">
        <v>1.110493</v>
      </c>
      <c r="L1564">
        <v>330.48750000000001</v>
      </c>
      <c r="M1564">
        <v>-1.1628080000000001E-2</v>
      </c>
      <c r="N1564">
        <v>-1.398111E-2</v>
      </c>
      <c r="O1564">
        <v>-0.99983480000000002</v>
      </c>
      <c r="P1564">
        <v>8.862913E-2</v>
      </c>
      <c r="Q1564">
        <v>0.34526699999999999</v>
      </c>
      <c r="R1564">
        <v>-0.93431059999999999</v>
      </c>
      <c r="S1564">
        <v>1.011612</v>
      </c>
      <c r="T1564">
        <v>-0.19354180000000001</v>
      </c>
      <c r="U1564">
        <v>-3.1865230000000002</v>
      </c>
      <c r="V1564">
        <v>-9.901356E-2</v>
      </c>
      <c r="W1564">
        <v>0.35841210000000001</v>
      </c>
      <c r="X1564">
        <v>0.92829790000000001</v>
      </c>
      <c r="Y1564">
        <v>-0.31320439999999999</v>
      </c>
      <c r="Z1564">
        <v>4.3694089999999998E-2</v>
      </c>
      <c r="AA1564">
        <v>0.94867999999999997</v>
      </c>
      <c r="AB1564">
        <v>27</v>
      </c>
      <c r="AC1564">
        <v>5.8079999999999901</v>
      </c>
      <c r="AD1564">
        <v>-1.1104951096609901</v>
      </c>
      <c r="AE1564">
        <v>-18.0092999999999</v>
      </c>
      <c r="AF1564">
        <v>-5.9963894717503301</v>
      </c>
      <c r="AG1564">
        <v>-1.1104951096609901</v>
      </c>
      <c r="AH1564">
        <v>17.878963849120598</v>
      </c>
      <c r="AI1564">
        <v>93.370144895046096</v>
      </c>
      <c r="AJ1564">
        <v>108.540833477031</v>
      </c>
      <c r="AK1564">
        <v>18.8904005887557</v>
      </c>
      <c r="AL1564">
        <v>68.997289375961998</v>
      </c>
      <c r="AM1564">
        <v>96.088230179643503</v>
      </c>
      <c r="AN1564">
        <v>0.99999995481734505</v>
      </c>
    </row>
    <row r="1565" spans="1:40" x14ac:dyDescent="0.25">
      <c r="A1565" t="str">
        <f>"20190304164359588"</f>
        <v>20190304164359588</v>
      </c>
      <c r="B1565" t="str">
        <f>"1551689039581096"</f>
        <v>1551689039581096</v>
      </c>
      <c r="C1565" t="s">
        <v>40</v>
      </c>
      <c r="D1565">
        <v>5.2973150000000002</v>
      </c>
      <c r="E1565">
        <v>0.41306029999999999</v>
      </c>
      <c r="F1565" t="s">
        <v>42</v>
      </c>
      <c r="G1565">
        <v>-186.16800000000001</v>
      </c>
      <c r="H1565" s="1">
        <v>-2.0215640000000001E-6</v>
      </c>
      <c r="I1565">
        <v>312.25360000000001</v>
      </c>
      <c r="J1565">
        <v>-191.97300000000001</v>
      </c>
      <c r="K1565">
        <v>1.1105480000000001</v>
      </c>
      <c r="L1565">
        <v>330.21749999999997</v>
      </c>
      <c r="M1565">
        <v>-1.228898E-2</v>
      </c>
      <c r="N1565">
        <v>-1.398219E-2</v>
      </c>
      <c r="O1565">
        <v>-0.99982709999999997</v>
      </c>
      <c r="P1565">
        <v>9.0436760000000005E-2</v>
      </c>
      <c r="Q1565">
        <v>0.34594570000000002</v>
      </c>
      <c r="R1565">
        <v>-0.93388610000000005</v>
      </c>
      <c r="S1565">
        <v>1.013779</v>
      </c>
      <c r="T1565">
        <v>-0.19406680000000001</v>
      </c>
      <c r="U1565">
        <v>-3.186493</v>
      </c>
      <c r="V1565">
        <v>-0.1014718</v>
      </c>
      <c r="W1565">
        <v>0.35907660000000002</v>
      </c>
      <c r="X1565">
        <v>0.92777549999999998</v>
      </c>
      <c r="Y1565">
        <v>-0.31441750000000002</v>
      </c>
      <c r="Z1565">
        <v>4.3829689999999998E-2</v>
      </c>
      <c r="AA1565">
        <v>0.94827240000000002</v>
      </c>
      <c r="AB1565">
        <v>27</v>
      </c>
      <c r="AC1565">
        <v>5.8049999999999704</v>
      </c>
      <c r="AD1565">
        <v>-1.1105500215639901</v>
      </c>
      <c r="AE1565">
        <v>-17.963899999999899</v>
      </c>
      <c r="AF1565">
        <v>-6.0045622834063099</v>
      </c>
      <c r="AG1565">
        <v>-1.1105500215639901</v>
      </c>
      <c r="AH1565">
        <v>17.8294997742093</v>
      </c>
      <c r="AI1565">
        <v>93.378225884165502</v>
      </c>
      <c r="AJ1565">
        <v>108.61233267399101</v>
      </c>
      <c r="AK1565">
        <v>18.8461972759555</v>
      </c>
      <c r="AL1565">
        <v>68.956501300028094</v>
      </c>
      <c r="AM1565">
        <v>96.241691888356499</v>
      </c>
      <c r="AN1565">
        <v>0.99999995463152402</v>
      </c>
    </row>
    <row r="1566" spans="1:40" x14ac:dyDescent="0.25">
      <c r="A1566" t="str">
        <f>"20190304164359611"</f>
        <v>20190304164359611</v>
      </c>
      <c r="B1566" t="str">
        <f>"1551689039601592"</f>
        <v>1551689039601592</v>
      </c>
      <c r="C1566" t="s">
        <v>40</v>
      </c>
      <c r="D1566">
        <v>5.276802</v>
      </c>
      <c r="E1566">
        <v>0.41306809999999999</v>
      </c>
      <c r="F1566" t="s">
        <v>42</v>
      </c>
      <c r="G1566">
        <v>-186.1123</v>
      </c>
      <c r="H1566" s="1">
        <v>-1.9040370000000001E-6</v>
      </c>
      <c r="I1566">
        <v>311.90899999999999</v>
      </c>
      <c r="J1566">
        <v>-191.9769</v>
      </c>
      <c r="K1566">
        <v>1.11059</v>
      </c>
      <c r="L1566">
        <v>329.95240000000001</v>
      </c>
      <c r="M1566">
        <v>-1.2882889999999999E-2</v>
      </c>
      <c r="N1566">
        <v>-1.398278E-2</v>
      </c>
      <c r="O1566">
        <v>-0.99981929999999997</v>
      </c>
      <c r="P1566">
        <v>9.1274809999999998E-2</v>
      </c>
      <c r="Q1566">
        <v>0.34659390000000001</v>
      </c>
      <c r="R1566">
        <v>-0.93356410000000001</v>
      </c>
      <c r="S1566">
        <v>1.0196080000000001</v>
      </c>
      <c r="T1566">
        <v>-0.19320509999999999</v>
      </c>
      <c r="U1566">
        <v>-3.185181</v>
      </c>
      <c r="V1566">
        <v>-0.1028989</v>
      </c>
      <c r="W1566">
        <v>0.35971029999999998</v>
      </c>
      <c r="X1566">
        <v>0.9273728</v>
      </c>
      <c r="Y1566">
        <v>-0.31667119999999999</v>
      </c>
      <c r="Z1566">
        <v>4.3555770000000001E-2</v>
      </c>
      <c r="AA1566">
        <v>0.94753489999999996</v>
      </c>
      <c r="AB1566">
        <v>27</v>
      </c>
      <c r="AC1566">
        <v>5.8645999999999896</v>
      </c>
      <c r="AD1566">
        <v>-1.110591904037</v>
      </c>
      <c r="AE1566">
        <v>-18.043399999999998</v>
      </c>
      <c r="AF1566">
        <v>-6.0757681264572296</v>
      </c>
      <c r="AG1566">
        <v>-1.110591904037</v>
      </c>
      <c r="AH1566">
        <v>17.904989556997698</v>
      </c>
      <c r="AI1566">
        <v>93.361539476628394</v>
      </c>
      <c r="AJ1566">
        <v>108.743811049808</v>
      </c>
      <c r="AK1566">
        <v>18.9403543720803</v>
      </c>
      <c r="AL1566">
        <v>68.917594305158303</v>
      </c>
      <c r="AM1566">
        <v>96.331493546643202</v>
      </c>
      <c r="AN1566">
        <v>0.99999999686357</v>
      </c>
    </row>
    <row r="1567" spans="1:40" x14ac:dyDescent="0.25">
      <c r="A1567" t="str">
        <f>"20190304164359634"</f>
        <v>20190304164359634</v>
      </c>
      <c r="B1567" t="str">
        <f>"1551689039621112"</f>
        <v>1551689039621112</v>
      </c>
      <c r="C1567" t="s">
        <v>40</v>
      </c>
      <c r="D1567">
        <v>5.2644380000000002</v>
      </c>
      <c r="E1567">
        <v>0.4130836</v>
      </c>
      <c r="F1567" t="s">
        <v>42</v>
      </c>
      <c r="G1567">
        <v>-186.10599999999999</v>
      </c>
      <c r="H1567" s="1">
        <v>-1.7973379999999999E-6</v>
      </c>
      <c r="I1567">
        <v>311.6268</v>
      </c>
      <c r="J1567">
        <v>-191.9812</v>
      </c>
      <c r="K1567">
        <v>1.110636</v>
      </c>
      <c r="L1567">
        <v>329.67340000000002</v>
      </c>
      <c r="M1567">
        <v>-1.344569E-2</v>
      </c>
      <c r="N1567">
        <v>-1.3982730000000001E-2</v>
      </c>
      <c r="O1567">
        <v>-0.99981209999999998</v>
      </c>
      <c r="P1567">
        <v>9.1346090000000005E-2</v>
      </c>
      <c r="Q1567">
        <v>0.34656700000000001</v>
      </c>
      <c r="R1567">
        <v>-0.93356749999999999</v>
      </c>
      <c r="S1567">
        <v>1.020508</v>
      </c>
      <c r="T1567">
        <v>-0.19304760000000001</v>
      </c>
      <c r="U1567">
        <v>-3.185425</v>
      </c>
      <c r="V1567">
        <v>-0.103536</v>
      </c>
      <c r="W1567">
        <v>0.35967120000000002</v>
      </c>
      <c r="X1567">
        <v>0.92731710000000001</v>
      </c>
      <c r="Y1567">
        <v>-0.31742730000000002</v>
      </c>
      <c r="Z1567">
        <v>4.3493089999999998E-2</v>
      </c>
      <c r="AA1567">
        <v>0.94728469999999998</v>
      </c>
      <c r="AB1567">
        <v>27</v>
      </c>
      <c r="AC1567">
        <v>5.8752000000000004</v>
      </c>
      <c r="AD1567">
        <v>-1.1106377973379999</v>
      </c>
      <c r="AE1567">
        <v>-18.046600000000002</v>
      </c>
      <c r="AF1567">
        <v>-6.0964637779446598</v>
      </c>
      <c r="AG1567">
        <v>-1.1106377973379999</v>
      </c>
      <c r="AH1567">
        <v>17.904649074445199</v>
      </c>
      <c r="AI1567">
        <v>93.360554150349301</v>
      </c>
      <c r="AJ1567">
        <v>108.803510135962</v>
      </c>
      <c r="AK1567">
        <v>18.946684284900499</v>
      </c>
      <c r="AL1567">
        <v>68.919996208038199</v>
      </c>
      <c r="AM1567">
        <v>96.370753280796293</v>
      </c>
      <c r="AN1567">
        <v>1.0000000396789199</v>
      </c>
    </row>
    <row r="1568" spans="1:40" x14ac:dyDescent="0.25">
      <c r="A1568" t="str">
        <f>"20190304164359657"</f>
        <v>20190304164359657</v>
      </c>
      <c r="B1568" t="str">
        <f>"1551689039651368"</f>
        <v>1551689039651368</v>
      </c>
      <c r="C1568" t="s">
        <v>40</v>
      </c>
      <c r="D1568">
        <v>5.2657790000000002</v>
      </c>
      <c r="E1568">
        <v>0.41307840000000001</v>
      </c>
      <c r="F1568" t="s">
        <v>42</v>
      </c>
      <c r="G1568">
        <v>-186.1771</v>
      </c>
      <c r="H1568" s="1">
        <v>-1.740165E-6</v>
      </c>
      <c r="I1568">
        <v>311.52719999999999</v>
      </c>
      <c r="J1568">
        <v>-191.9854</v>
      </c>
      <c r="K1568">
        <v>1.110684</v>
      </c>
      <c r="L1568">
        <v>329.4024</v>
      </c>
      <c r="M1568">
        <v>-1.3925E-2</v>
      </c>
      <c r="N1568">
        <v>-1.3982299999999901E-2</v>
      </c>
      <c r="O1568">
        <v>-0.99980530000000001</v>
      </c>
      <c r="P1568">
        <v>9.0850029999999998E-2</v>
      </c>
      <c r="Q1568">
        <v>0.346246</v>
      </c>
      <c r="R1568">
        <v>-0.93373450000000002</v>
      </c>
      <c r="S1568">
        <v>1.019104</v>
      </c>
      <c r="T1568">
        <v>-0.1950103</v>
      </c>
      <c r="U1568">
        <v>-3.186188</v>
      </c>
      <c r="V1568">
        <v>-0.1035276</v>
      </c>
      <c r="W1568">
        <v>0.35934050000000001</v>
      </c>
      <c r="X1568">
        <v>0.9274462</v>
      </c>
      <c r="Y1568">
        <v>-0.3174284</v>
      </c>
      <c r="Z1568">
        <v>4.406533E-2</v>
      </c>
      <c r="AA1568">
        <v>0.94725789999999999</v>
      </c>
      <c r="AB1568">
        <v>27</v>
      </c>
      <c r="AC1568">
        <v>5.8083</v>
      </c>
      <c r="AD1568">
        <v>-1.1106857401649901</v>
      </c>
      <c r="AE1568">
        <v>-17.8752</v>
      </c>
      <c r="AF1568">
        <v>-6.0355962021720098</v>
      </c>
      <c r="AG1568">
        <v>-1.1106857401649901</v>
      </c>
      <c r="AH1568">
        <v>17.7306604712177</v>
      </c>
      <c r="AI1568">
        <v>93.3936949473825</v>
      </c>
      <c r="AJ1568">
        <v>108.798804072029</v>
      </c>
      <c r="AK1568">
        <v>18.7626854441117</v>
      </c>
      <c r="AL1568">
        <v>68.940300739957394</v>
      </c>
      <c r="AM1568">
        <v>96.369361216990896</v>
      </c>
      <c r="AN1568">
        <v>1.00000000639822</v>
      </c>
    </row>
    <row r="1569" spans="1:40" x14ac:dyDescent="0.25">
      <c r="A1569" t="str">
        <f>"20190304164359678"</f>
        <v>20190304164359678</v>
      </c>
      <c r="B1569" t="str">
        <f>"1551689039671865"</f>
        <v>1551689039671865</v>
      </c>
      <c r="C1569" t="s">
        <v>40</v>
      </c>
      <c r="D1569">
        <v>5.2696420000000002</v>
      </c>
      <c r="E1569">
        <v>0.41306130000000002</v>
      </c>
      <c r="F1569" t="s">
        <v>42</v>
      </c>
      <c r="G1569">
        <v>-186.26929999999999</v>
      </c>
      <c r="H1569" s="1">
        <v>-1.699092E-6</v>
      </c>
      <c r="I1569">
        <v>311.48410000000001</v>
      </c>
      <c r="J1569">
        <v>-191.98949999999999</v>
      </c>
      <c r="K1569">
        <v>1.110722</v>
      </c>
      <c r="L1569">
        <v>329.14550000000003</v>
      </c>
      <c r="M1569">
        <v>-1.43368E-2</v>
      </c>
      <c r="N1569">
        <v>-1.398159E-2</v>
      </c>
      <c r="O1569">
        <v>-0.99979969999999996</v>
      </c>
      <c r="P1569">
        <v>8.9886960000000002E-2</v>
      </c>
      <c r="Q1569">
        <v>0.346161</v>
      </c>
      <c r="R1569">
        <v>-0.93385929999999995</v>
      </c>
      <c r="S1569">
        <v>1.0167539999999999</v>
      </c>
      <c r="T1569">
        <v>-0.1975642</v>
      </c>
      <c r="U1569">
        <v>-3.1872250000000002</v>
      </c>
      <c r="V1569">
        <v>-0.1029805</v>
      </c>
      <c r="W1569">
        <v>0.35924709999999899</v>
      </c>
      <c r="X1569">
        <v>0.92754329999999996</v>
      </c>
      <c r="Y1569">
        <v>-0.31708409999999998</v>
      </c>
      <c r="Z1569">
        <v>4.481458E-2</v>
      </c>
      <c r="AA1569">
        <v>0.94733800000000001</v>
      </c>
      <c r="AB1569">
        <v>27</v>
      </c>
      <c r="AC1569">
        <v>5.7202000000000002</v>
      </c>
      <c r="AD1569">
        <v>-1.110723699092</v>
      </c>
      <c r="AE1569">
        <v>-17.6614</v>
      </c>
      <c r="AF1569">
        <v>-5.9515402697355704</v>
      </c>
      <c r="AG1569">
        <v>-1.110723699092</v>
      </c>
      <c r="AH1569">
        <v>17.514870192797201</v>
      </c>
      <c r="AI1569">
        <v>93.436156592233601</v>
      </c>
      <c r="AJ1569">
        <v>108.76772383868899</v>
      </c>
      <c r="AK1569">
        <v>18.531735390635902</v>
      </c>
      <c r="AL1569">
        <v>68.946035330721401</v>
      </c>
      <c r="AM1569">
        <v>96.335318377222407</v>
      </c>
      <c r="AN1569">
        <v>1.0000000178067701</v>
      </c>
    </row>
    <row r="1570" spans="1:40" x14ac:dyDescent="0.25">
      <c r="A1570" t="str">
        <f>"20190304164359701"</f>
        <v>20190304164359701</v>
      </c>
      <c r="B1570" t="str">
        <f>"1551689039691384"</f>
        <v>1551689039691384</v>
      </c>
      <c r="C1570" t="s">
        <v>40</v>
      </c>
      <c r="D1570">
        <v>5.9242790000000003</v>
      </c>
      <c r="E1570">
        <v>0.41474290000000003</v>
      </c>
      <c r="F1570" t="s">
        <v>42</v>
      </c>
      <c r="G1570">
        <v>-186.33150000000001</v>
      </c>
      <c r="H1570" s="1">
        <v>-1.6281910000000001E-6</v>
      </c>
      <c r="I1570">
        <v>311.3426</v>
      </c>
      <c r="J1570">
        <v>-191.9939</v>
      </c>
      <c r="K1570">
        <v>1.110752</v>
      </c>
      <c r="L1570">
        <v>328.87479999999999</v>
      </c>
      <c r="M1570">
        <v>-1.4727789999999999E-2</v>
      </c>
      <c r="N1570">
        <v>-1.3980660000000001E-2</v>
      </c>
      <c r="O1570">
        <v>-0.99979390000000001</v>
      </c>
      <c r="P1570">
        <v>8.8864780000000004E-2</v>
      </c>
      <c r="Q1570">
        <v>0.34594439999999999</v>
      </c>
      <c r="R1570">
        <v>-0.93403740000000002</v>
      </c>
      <c r="S1570">
        <v>1.0133970000000001</v>
      </c>
      <c r="T1570">
        <v>-0.19894049999999999</v>
      </c>
      <c r="U1570">
        <v>-3.18866</v>
      </c>
      <c r="V1570">
        <v>-0.1023539</v>
      </c>
      <c r="W1570">
        <v>0.35902319999999999</v>
      </c>
      <c r="X1570">
        <v>0.9276993</v>
      </c>
      <c r="Y1570">
        <v>-0.31641989999999998</v>
      </c>
      <c r="Z1570">
        <v>4.5213370000000003E-2</v>
      </c>
      <c r="AA1570">
        <v>0.94754110000000003</v>
      </c>
      <c r="AB1570">
        <v>27</v>
      </c>
      <c r="AC1570">
        <v>5.6623999999999901</v>
      </c>
      <c r="AD1570">
        <v>-1.110753628191</v>
      </c>
      <c r="AE1570">
        <v>-17.5321999999999</v>
      </c>
      <c r="AF1570">
        <v>-5.8985817925544604</v>
      </c>
      <c r="AG1570">
        <v>-1.110753628191</v>
      </c>
      <c r="AH1570">
        <v>17.383710322228801</v>
      </c>
      <c r="AI1570">
        <v>93.462620138004795</v>
      </c>
      <c r="AJ1570">
        <v>108.742928289113</v>
      </c>
      <c r="AK1570">
        <v>18.390770113107202</v>
      </c>
      <c r="AL1570">
        <v>68.959780161441998</v>
      </c>
      <c r="AM1570">
        <v>96.296030404753793</v>
      </c>
      <c r="AN1570">
        <v>0.99999998510196897</v>
      </c>
    </row>
    <row r="1571" spans="1:40" x14ac:dyDescent="0.25">
      <c r="A1571" t="str">
        <f>"20190304164359723"</f>
        <v>20190304164359723</v>
      </c>
      <c r="B1571" t="str">
        <f>"1551689039710904"</f>
        <v>1551689039710904</v>
      </c>
      <c r="C1571" t="s">
        <v>40</v>
      </c>
      <c r="D1571">
        <v>5.4159389999999998</v>
      </c>
      <c r="E1571">
        <v>0.51002239999999999</v>
      </c>
      <c r="F1571" t="s">
        <v>42</v>
      </c>
      <c r="G1571">
        <v>-186.37469999999999</v>
      </c>
      <c r="H1571" s="1">
        <v>-1.4447290000000001E-6</v>
      </c>
      <c r="I1571">
        <v>310.89479999999998</v>
      </c>
      <c r="J1571">
        <v>-191.99809999999999</v>
      </c>
      <c r="K1571">
        <v>1.110768</v>
      </c>
      <c r="L1571">
        <v>328.61919999999998</v>
      </c>
      <c r="M1571">
        <v>-1.5060209999999999E-2</v>
      </c>
      <c r="N1571">
        <v>-1.397958E-2</v>
      </c>
      <c r="O1571">
        <v>-0.99978920000000004</v>
      </c>
      <c r="P1571">
        <v>8.8294670000000006E-2</v>
      </c>
      <c r="Q1571">
        <v>0.34508689999999997</v>
      </c>
      <c r="R1571">
        <v>-0.93440869999999998</v>
      </c>
      <c r="S1571">
        <v>0.99693299999999996</v>
      </c>
      <c r="T1571">
        <v>-0.19706670000000001</v>
      </c>
      <c r="U1571">
        <v>-3.189972</v>
      </c>
      <c r="V1571">
        <v>-0.1021237</v>
      </c>
      <c r="W1571">
        <v>0.35816330000000002</v>
      </c>
      <c r="X1571">
        <v>0.92805700000000002</v>
      </c>
      <c r="Y1571">
        <v>-0.31218079999999998</v>
      </c>
      <c r="Z1571">
        <v>4.472135E-2</v>
      </c>
      <c r="AA1571">
        <v>0.94896950000000002</v>
      </c>
      <c r="AB1571">
        <v>27</v>
      </c>
      <c r="AC1571">
        <v>5.6234000000000002</v>
      </c>
      <c r="AD1571">
        <v>-1.110769444729</v>
      </c>
      <c r="AE1571">
        <v>-17.724399999999999</v>
      </c>
      <c r="AF1571">
        <v>-5.8687801942145104</v>
      </c>
      <c r="AG1571">
        <v>-1.110769444729</v>
      </c>
      <c r="AH1571">
        <v>17.574980210050501</v>
      </c>
      <c r="AI1571">
        <v>93.430646578639596</v>
      </c>
      <c r="AJ1571">
        <v>108.465614511952</v>
      </c>
      <c r="AK1571">
        <v>18.562228290564001</v>
      </c>
      <c r="AL1571">
        <v>69.012559184537807</v>
      </c>
      <c r="AM1571">
        <v>96.279581681838593</v>
      </c>
      <c r="AN1571">
        <v>0.99999999740878998</v>
      </c>
    </row>
    <row r="1572" spans="1:40" x14ac:dyDescent="0.25">
      <c r="A1572" t="str">
        <f>"20190304164359744"</f>
        <v>20190304164359744</v>
      </c>
      <c r="B1572" t="str">
        <f>"1551689039731400"</f>
        <v>1551689039731400</v>
      </c>
      <c r="C1572" t="s">
        <v>40</v>
      </c>
      <c r="D1572">
        <v>5.4213060000000004</v>
      </c>
      <c r="E1572">
        <v>0.528671</v>
      </c>
      <c r="F1572" t="s">
        <v>42</v>
      </c>
      <c r="G1572">
        <v>-190.97210000000001</v>
      </c>
      <c r="H1572" s="1">
        <v>-2.6387280000000002E-6</v>
      </c>
      <c r="I1572">
        <v>314.6266</v>
      </c>
      <c r="J1572">
        <v>-192.00219999999999</v>
      </c>
      <c r="K1572">
        <v>1.1107899999999999</v>
      </c>
      <c r="L1572">
        <v>328.37090000000001</v>
      </c>
      <c r="M1572">
        <v>-1.5353159999999999E-2</v>
      </c>
      <c r="N1572">
        <v>-1.397822E-2</v>
      </c>
      <c r="O1572">
        <v>-0.99978460000000002</v>
      </c>
      <c r="P1572">
        <v>8.7525229999999996E-2</v>
      </c>
      <c r="Q1572">
        <v>0.34420240000000002</v>
      </c>
      <c r="R1572">
        <v>-0.9348071</v>
      </c>
      <c r="S1572">
        <v>0.24079900000000001</v>
      </c>
      <c r="T1572">
        <v>-0.26070260000000001</v>
      </c>
      <c r="U1572">
        <v>-3.284119</v>
      </c>
      <c r="V1572">
        <v>-0.1016553</v>
      </c>
      <c r="W1572">
        <v>0.35727629999999999</v>
      </c>
      <c r="X1572">
        <v>0.9284502</v>
      </c>
      <c r="Y1572">
        <v>-8.8219149999999996E-2</v>
      </c>
      <c r="Z1572">
        <v>6.4910419999999996E-2</v>
      </c>
      <c r="AA1572">
        <v>0.99398390000000003</v>
      </c>
      <c r="AB1572">
        <v>27</v>
      </c>
      <c r="AC1572">
        <v>1.03009999999997</v>
      </c>
      <c r="AD1572">
        <v>-1.1107926387279901</v>
      </c>
      <c r="AE1572">
        <v>-13.744300000000001</v>
      </c>
      <c r="AF1572">
        <v>-1.233009021607</v>
      </c>
      <c r="AG1572">
        <v>-1.1107926387279901</v>
      </c>
      <c r="AH1572">
        <v>13.638280405123499</v>
      </c>
      <c r="AI1572">
        <v>94.637442461034894</v>
      </c>
      <c r="AJ1572">
        <v>95.165949921548304</v>
      </c>
      <c r="AK1572">
        <v>13.738881466203599</v>
      </c>
      <c r="AL1572">
        <v>69.066981013064805</v>
      </c>
      <c r="AM1572">
        <v>96.248381947097897</v>
      </c>
      <c r="AN1572">
        <v>0.999999964219909</v>
      </c>
    </row>
    <row r="1573" spans="1:40" x14ac:dyDescent="0.25">
      <c r="A1573" t="str">
        <f>"20190304164359766"</f>
        <v>20190304164359766</v>
      </c>
      <c r="B1573" t="str">
        <f>"1551689039750920"</f>
        <v>1551689039750920</v>
      </c>
      <c r="C1573" t="s">
        <v>40</v>
      </c>
      <c r="D1573">
        <v>5.4337839999999904</v>
      </c>
      <c r="E1573">
        <v>0.54346179999999999</v>
      </c>
      <c r="F1573" t="s">
        <v>42</v>
      </c>
      <c r="G1573">
        <v>-191.6789</v>
      </c>
      <c r="H1573" s="1">
        <v>-3.8292389999999997E-6</v>
      </c>
      <c r="I1573">
        <v>316.7473</v>
      </c>
      <c r="J1573">
        <v>-192.0067</v>
      </c>
      <c r="K1573">
        <v>1.110811</v>
      </c>
      <c r="L1573">
        <v>328.09960000000001</v>
      </c>
      <c r="M1573">
        <v>-1.5646480000000001E-2</v>
      </c>
      <c r="N1573">
        <v>-1.397644E-2</v>
      </c>
      <c r="O1573">
        <v>-0.99978009999999995</v>
      </c>
      <c r="P1573">
        <v>8.7220329999999999E-2</v>
      </c>
      <c r="Q1573">
        <v>0.34448329999999999</v>
      </c>
      <c r="R1573">
        <v>-0.93473200000000001</v>
      </c>
      <c r="S1573">
        <v>9.2269900000000002E-2</v>
      </c>
      <c r="T1573">
        <v>-0.31701699999999999</v>
      </c>
      <c r="U1573">
        <v>-3.3173520000000001</v>
      </c>
      <c r="V1573">
        <v>-0.1016436</v>
      </c>
      <c r="W1573">
        <v>0.35754839999999999</v>
      </c>
      <c r="X1573">
        <v>0.92834680000000003</v>
      </c>
      <c r="Y1573">
        <v>-4.331728E-2</v>
      </c>
      <c r="Z1573">
        <v>8.1124139999999997E-2</v>
      </c>
      <c r="AA1573">
        <v>0.99576229999999999</v>
      </c>
      <c r="AB1573">
        <v>27</v>
      </c>
      <c r="AC1573">
        <v>0.32779999999999598</v>
      </c>
      <c r="AD1573">
        <v>-1.1108148292389901</v>
      </c>
      <c r="AE1573">
        <v>-11.3523</v>
      </c>
      <c r="AF1573">
        <v>-0.50061160787593495</v>
      </c>
      <c r="AG1573">
        <v>-1.1108148292389901</v>
      </c>
      <c r="AH1573">
        <v>11.2382695845084</v>
      </c>
      <c r="AI1573">
        <v>95.639346910551197</v>
      </c>
      <c r="AJ1573">
        <v>92.550569105898106</v>
      </c>
      <c r="AK1573">
        <v>11.304124239448401</v>
      </c>
      <c r="AL1573">
        <v>69.050289668288599</v>
      </c>
      <c r="AM1573">
        <v>96.248358844418405</v>
      </c>
      <c r="AN1573">
        <v>1.0000000304168699</v>
      </c>
    </row>
    <row r="1574" spans="1:40" x14ac:dyDescent="0.25">
      <c r="A1574" t="str">
        <f>"20190304164359788"</f>
        <v>20190304164359788</v>
      </c>
      <c r="B1574" t="str">
        <f>"1551689039781176"</f>
        <v>1551689039781176</v>
      </c>
      <c r="C1574" t="s">
        <v>40</v>
      </c>
      <c r="D1574">
        <v>5.4405700000000001</v>
      </c>
      <c r="E1574">
        <v>0.55326469999999905</v>
      </c>
      <c r="F1574" t="s">
        <v>41</v>
      </c>
      <c r="G1574">
        <v>-192.01249999999999</v>
      </c>
      <c r="H1574">
        <v>1.0217620000000001</v>
      </c>
      <c r="I1574">
        <v>327.29039999999998</v>
      </c>
      <c r="J1574">
        <v>-192.0112</v>
      </c>
      <c r="K1574">
        <v>1.1108439999999999</v>
      </c>
      <c r="L1574">
        <v>327.83620000000002</v>
      </c>
      <c r="M1574">
        <v>-1.5911669999999999E-2</v>
      </c>
      <c r="N1574">
        <v>-1.3974510000000001E-2</v>
      </c>
      <c r="O1574">
        <v>-0.99977570000000004</v>
      </c>
      <c r="P1574">
        <v>8.6929290000000006E-2</v>
      </c>
      <c r="Q1574">
        <v>0.34514470000000003</v>
      </c>
      <c r="R1574">
        <v>-0.93451490000000004</v>
      </c>
      <c r="S1574">
        <v>-2.377319E-2</v>
      </c>
      <c r="T1574">
        <v>-0.36839189999999999</v>
      </c>
      <c r="U1574">
        <v>-3.3474729999999999</v>
      </c>
      <c r="V1574">
        <v>-0.10161199999999999</v>
      </c>
      <c r="W1574">
        <v>0.35819980000000001</v>
      </c>
      <c r="X1574">
        <v>0.92809909999999995</v>
      </c>
      <c r="Y1574">
        <v>-8.8368979999999993E-3</v>
      </c>
      <c r="Z1574">
        <v>9.5465560000000005E-2</v>
      </c>
      <c r="AA1574">
        <v>0.99539350000000004</v>
      </c>
      <c r="AB1574">
        <v>26</v>
      </c>
      <c r="AC1574">
        <v>-1.2999999999863099E-3</v>
      </c>
      <c r="AD1574">
        <v>-8.90819999999998E-2</v>
      </c>
      <c r="AE1574">
        <v>-0.54580000000004203</v>
      </c>
      <c r="AF1574">
        <v>-7.1939658334298799E-3</v>
      </c>
      <c r="AG1574">
        <v>-8.90819999999998E-2</v>
      </c>
      <c r="AH1574">
        <v>0.531590774914808</v>
      </c>
      <c r="AI1574">
        <v>99.512167608932003</v>
      </c>
      <c r="AJ1574">
        <v>90.775330837283803</v>
      </c>
      <c r="AK1574">
        <v>0.53905111802401395</v>
      </c>
      <c r="AL1574">
        <v>69.010319713143105</v>
      </c>
      <c r="AM1574">
        <v>96.248085572992096</v>
      </c>
      <c r="AN1574">
        <v>1.0000000173424199</v>
      </c>
    </row>
    <row r="1575" spans="1:40" x14ac:dyDescent="0.25">
      <c r="A1575" t="str">
        <f>"20190304164359812"</f>
        <v>20190304164359812</v>
      </c>
      <c r="B1575" t="str">
        <f>"1551689039801672"</f>
        <v>1551689039801672</v>
      </c>
      <c r="C1575" t="s">
        <v>40</v>
      </c>
      <c r="D1575">
        <v>5.4058859999999997</v>
      </c>
      <c r="E1575">
        <v>0.55684389999999995</v>
      </c>
      <c r="F1575" t="s">
        <v>41</v>
      </c>
      <c r="G1575">
        <v>-192.0342</v>
      </c>
      <c r="H1575">
        <v>1.0126930000000001</v>
      </c>
      <c r="I1575">
        <v>327.05930000000001</v>
      </c>
      <c r="J1575">
        <v>-192.01580000000001</v>
      </c>
      <c r="K1575">
        <v>1.110857</v>
      </c>
      <c r="L1575">
        <v>327.56490000000002</v>
      </c>
      <c r="M1575">
        <v>-1.6171609999999999E-2</v>
      </c>
      <c r="N1575">
        <v>-1.3972439999999999E-2</v>
      </c>
      <c r="O1575">
        <v>-0.99977169999999904</v>
      </c>
      <c r="P1575">
        <v>8.695551E-2</v>
      </c>
      <c r="Q1575">
        <v>0.34524100000000002</v>
      </c>
      <c r="R1575">
        <v>-0.93447720000000001</v>
      </c>
      <c r="S1575">
        <v>-9.977722E-2</v>
      </c>
      <c r="T1575">
        <v>-0.4268035</v>
      </c>
      <c r="U1575">
        <v>-3.377075</v>
      </c>
      <c r="V1575">
        <v>-0.101891</v>
      </c>
      <c r="W1575">
        <v>0.35829060000000001</v>
      </c>
      <c r="X1575">
        <v>0.92803349999999996</v>
      </c>
      <c r="Y1575">
        <v>1.31655E-2</v>
      </c>
      <c r="Z1575">
        <v>0.1114573</v>
      </c>
      <c r="AA1575">
        <v>0.99368199999999995</v>
      </c>
      <c r="AB1575">
        <v>26</v>
      </c>
      <c r="AC1575">
        <v>-1.8399999999985501E-2</v>
      </c>
      <c r="AD1575">
        <v>-9.8163999999999904E-2</v>
      </c>
      <c r="AE1575">
        <v>-0.50560000000001504</v>
      </c>
      <c r="AF1575">
        <v>9.8496334394947201E-3</v>
      </c>
      <c r="AG1575">
        <v>-9.8163999999999904E-2</v>
      </c>
      <c r="AH1575">
        <v>0.48747992610042001</v>
      </c>
      <c r="AI1575">
        <v>101.383144940881</v>
      </c>
      <c r="AJ1575">
        <v>88.842484342950499</v>
      </c>
      <c r="AK1575">
        <v>0.49736291028359098</v>
      </c>
      <c r="AL1575">
        <v>69.004748204515806</v>
      </c>
      <c r="AM1575">
        <v>96.265544284738496</v>
      </c>
      <c r="AN1575">
        <v>1.0000000535258</v>
      </c>
    </row>
    <row r="1576" spans="1:40" x14ac:dyDescent="0.25">
      <c r="A1576" t="str">
        <f>"20190304164359835"</f>
        <v>20190304164359835</v>
      </c>
      <c r="B1576" t="str">
        <f>"1551689039830952"</f>
        <v>1551689039830952</v>
      </c>
      <c r="C1576" t="s">
        <v>40</v>
      </c>
      <c r="D1576">
        <v>5.4065409999999998</v>
      </c>
      <c r="E1576">
        <v>0.56022939999999999</v>
      </c>
      <c r="F1576" t="s">
        <v>41</v>
      </c>
      <c r="G1576">
        <v>-192.0437</v>
      </c>
      <c r="H1576">
        <v>1.0132080000000001</v>
      </c>
      <c r="I1576">
        <v>326.82339999999999</v>
      </c>
      <c r="J1576">
        <v>-192.0205</v>
      </c>
      <c r="K1576">
        <v>1.110859</v>
      </c>
      <c r="L1576">
        <v>327.2953</v>
      </c>
      <c r="M1576">
        <v>-1.6421999999999999E-2</v>
      </c>
      <c r="N1576">
        <v>-1.397028E-2</v>
      </c>
      <c r="O1576">
        <v>-0.99976759999999998</v>
      </c>
      <c r="P1576">
        <v>8.6807220000000004E-2</v>
      </c>
      <c r="Q1576">
        <v>0.34534369999999998</v>
      </c>
      <c r="R1576">
        <v>-0.93445299999999998</v>
      </c>
      <c r="S1576">
        <v>-0.12695310000000001</v>
      </c>
      <c r="T1576">
        <v>-0.4461019</v>
      </c>
      <c r="U1576">
        <v>-3.3869630000000002</v>
      </c>
      <c r="V1576">
        <v>-0.1019806</v>
      </c>
      <c r="W1576">
        <v>0.35838900000000001</v>
      </c>
      <c r="X1576">
        <v>0.92798559999999997</v>
      </c>
      <c r="Y1576">
        <v>2.0762470000000002E-2</v>
      </c>
      <c r="Z1576">
        <v>0.1166392</v>
      </c>
      <c r="AA1576">
        <v>0.99295730000000004</v>
      </c>
      <c r="AB1576">
        <v>26</v>
      </c>
      <c r="AC1576">
        <v>-2.3200000000002701E-2</v>
      </c>
      <c r="AD1576">
        <v>-9.7651000000000099E-2</v>
      </c>
      <c r="AE1576">
        <v>-0.47190000000000498</v>
      </c>
      <c r="AF1576">
        <v>1.48137672136135E-2</v>
      </c>
      <c r="AG1576">
        <v>-9.7651000000000099E-2</v>
      </c>
      <c r="AH1576">
        <v>0.45287186188610001</v>
      </c>
      <c r="AI1576">
        <v>102.161853467615</v>
      </c>
      <c r="AJ1576">
        <v>88.126481503137796</v>
      </c>
      <c r="AK1576">
        <v>0.46351708575654699</v>
      </c>
      <c r="AL1576">
        <v>68.998707995034593</v>
      </c>
      <c r="AM1576">
        <v>96.2713312586923</v>
      </c>
      <c r="AN1576">
        <v>0.99999999595236</v>
      </c>
    </row>
    <row r="1577" spans="1:40" x14ac:dyDescent="0.25">
      <c r="A1577" t="str">
        <f>"20190304164359857"</f>
        <v>20190304164359857</v>
      </c>
      <c r="B1577" t="str">
        <f>"1551689039851448"</f>
        <v>1551689039851448</v>
      </c>
      <c r="C1577" t="s">
        <v>40</v>
      </c>
      <c r="D1577">
        <v>5.4647690000000004</v>
      </c>
      <c r="E1577">
        <v>0.56185839999999998</v>
      </c>
      <c r="F1577" t="s">
        <v>41</v>
      </c>
      <c r="G1577">
        <v>-192.0625</v>
      </c>
      <c r="H1577">
        <v>0.98461220000000005</v>
      </c>
      <c r="I1577">
        <v>326.36680000000001</v>
      </c>
      <c r="J1577">
        <v>-192.02510000000001</v>
      </c>
      <c r="K1577">
        <v>1.1108690000000001</v>
      </c>
      <c r="L1577">
        <v>327.03429999999997</v>
      </c>
      <c r="M1577">
        <v>-1.6661249999999999E-2</v>
      </c>
      <c r="N1577">
        <v>-1.3968059999999999E-2</v>
      </c>
      <c r="O1577">
        <v>-0.99976379999999998</v>
      </c>
      <c r="P1577">
        <v>8.5057899999999895E-2</v>
      </c>
      <c r="Q1577">
        <v>0.34529929999999998</v>
      </c>
      <c r="R1577">
        <v>-0.93463050000000003</v>
      </c>
      <c r="S1577">
        <v>-0.15335079999999901</v>
      </c>
      <c r="T1577">
        <v>-0.46174759999999998</v>
      </c>
      <c r="U1577">
        <v>-3.3953250000000001</v>
      </c>
      <c r="V1577">
        <v>-0.1004588</v>
      </c>
      <c r="W1577">
        <v>0.358344</v>
      </c>
      <c r="X1577">
        <v>0.92816900000000002</v>
      </c>
      <c r="Y1577">
        <v>2.8107150000000001E-2</v>
      </c>
      <c r="Z1577">
        <v>0.1207843</v>
      </c>
      <c r="AA1577">
        <v>0.99228079999999996</v>
      </c>
      <c r="AB1577">
        <v>26</v>
      </c>
      <c r="AC1577">
        <v>-3.7399999999991003E-2</v>
      </c>
      <c r="AD1577">
        <v>-0.1262568</v>
      </c>
      <c r="AE1577">
        <v>-0.66749999999996101</v>
      </c>
      <c r="AF1577">
        <v>2.53675974090284E-2</v>
      </c>
      <c r="AG1577">
        <v>-0.1262568</v>
      </c>
      <c r="AH1577">
        <v>0.64502549814907095</v>
      </c>
      <c r="AI1577">
        <v>101.06666338857499</v>
      </c>
      <c r="AJ1577">
        <v>87.747829170837406</v>
      </c>
      <c r="AK1577">
        <v>0.65775541640263502</v>
      </c>
      <c r="AL1577">
        <v>69.001470765351698</v>
      </c>
      <c r="AM1577">
        <v>96.177265479181202</v>
      </c>
      <c r="AN1577">
        <v>1.00000004269721</v>
      </c>
    </row>
    <row r="1578" spans="1:40" x14ac:dyDescent="0.25">
      <c r="A1578" t="str">
        <f>"20190304164359879"</f>
        <v>20190304164359879</v>
      </c>
      <c r="B1578" t="str">
        <f>"1551689039871945"</f>
        <v>1551689039871945</v>
      </c>
      <c r="C1578" t="s">
        <v>40</v>
      </c>
      <c r="D1578">
        <v>5.428331</v>
      </c>
      <c r="E1578">
        <v>0.56315769999999998</v>
      </c>
      <c r="F1578" t="s">
        <v>41</v>
      </c>
      <c r="G1578">
        <v>-192.07079999999999</v>
      </c>
      <c r="H1578">
        <v>0.98677999999999999</v>
      </c>
      <c r="I1578">
        <v>326.1309</v>
      </c>
      <c r="J1578">
        <v>-192.02979999999999</v>
      </c>
      <c r="K1578">
        <v>1.1108659999999999</v>
      </c>
      <c r="L1578">
        <v>326.77</v>
      </c>
      <c r="M1578">
        <v>-1.6904929999999999E-2</v>
      </c>
      <c r="N1578">
        <v>-1.3965709999999999E-2</v>
      </c>
      <c r="O1578">
        <v>-0.99975970000000003</v>
      </c>
      <c r="P1578">
        <v>8.2093810000000003E-2</v>
      </c>
      <c r="Q1578">
        <v>0.34597509999999998</v>
      </c>
      <c r="R1578">
        <v>-0.93464539999999996</v>
      </c>
      <c r="S1578">
        <v>-0.170929</v>
      </c>
      <c r="T1578">
        <v>-0.46699259999999898</v>
      </c>
      <c r="U1578">
        <v>-3.397888</v>
      </c>
      <c r="V1578">
        <v>-9.7721820000000001E-2</v>
      </c>
      <c r="W1578">
        <v>0.35901749999999999</v>
      </c>
      <c r="X1578">
        <v>0.9282009</v>
      </c>
      <c r="Y1578">
        <v>3.2937189999999998E-2</v>
      </c>
      <c r="Z1578">
        <v>0.1221629</v>
      </c>
      <c r="AA1578">
        <v>0.99196340000000005</v>
      </c>
      <c r="AB1578">
        <v>26</v>
      </c>
      <c r="AC1578">
        <v>-4.0999999999996803E-2</v>
      </c>
      <c r="AD1578">
        <v>-0.124086</v>
      </c>
      <c r="AE1578">
        <v>-0.63909999999998401</v>
      </c>
      <c r="AF1578">
        <v>2.9096778549814399E-2</v>
      </c>
      <c r="AG1578">
        <v>-0.124086</v>
      </c>
      <c r="AH1578">
        <v>0.61655476258455699</v>
      </c>
      <c r="AI1578">
        <v>101.366849031798</v>
      </c>
      <c r="AJ1578">
        <v>87.298071923151596</v>
      </c>
      <c r="AK1578">
        <v>0.629590131104099</v>
      </c>
      <c r="AL1578">
        <v>68.960130737134094</v>
      </c>
      <c r="AM1578">
        <v>96.010010988724503</v>
      </c>
      <c r="AN1578">
        <v>1.0000000150855799</v>
      </c>
    </row>
    <row r="1579" spans="1:40" x14ac:dyDescent="0.25">
      <c r="A1579" t="str">
        <f>"20190304164359902"</f>
        <v>20190304164359902</v>
      </c>
      <c r="B1579" t="str">
        <f>"1551689039891464"</f>
        <v>1551689039891464</v>
      </c>
      <c r="C1579" t="s">
        <v>40</v>
      </c>
      <c r="D1579">
        <v>5.3932710000000004</v>
      </c>
      <c r="E1579">
        <v>0.56410249999999995</v>
      </c>
      <c r="F1579" t="s">
        <v>41</v>
      </c>
      <c r="G1579">
        <v>-192.0789</v>
      </c>
      <c r="H1579">
        <v>0.99186830000000004</v>
      </c>
      <c r="I1579">
        <v>325.89370000000002</v>
      </c>
      <c r="J1579">
        <v>-192.03450000000001</v>
      </c>
      <c r="K1579">
        <v>1.1108690000000001</v>
      </c>
      <c r="L1579">
        <v>326.51</v>
      </c>
      <c r="M1579">
        <v>-1.7147519999999999E-2</v>
      </c>
      <c r="N1579">
        <v>-1.396331E-2</v>
      </c>
      <c r="O1579">
        <v>-0.99975539999999996</v>
      </c>
      <c r="P1579">
        <v>7.8344999999999998E-2</v>
      </c>
      <c r="Q1579">
        <v>0.34645100000000001</v>
      </c>
      <c r="R1579">
        <v>-0.93479089999999998</v>
      </c>
      <c r="S1579">
        <v>-0.18998719999999999</v>
      </c>
      <c r="T1579">
        <v>-0.4615533</v>
      </c>
      <c r="U1579">
        <v>-3.3973390000000001</v>
      </c>
      <c r="V1579">
        <v>-9.4200839999999994E-2</v>
      </c>
      <c r="W1579">
        <v>0.35949189999999998</v>
      </c>
      <c r="X1579">
        <v>0.92838129999999996</v>
      </c>
      <c r="Y1579">
        <v>3.8256749999999999E-2</v>
      </c>
      <c r="Z1579">
        <v>0.1205961</v>
      </c>
      <c r="AA1579">
        <v>0.99196419999999996</v>
      </c>
      <c r="AB1579">
        <v>26</v>
      </c>
      <c r="AC1579">
        <v>-4.4399999999995998E-2</v>
      </c>
      <c r="AD1579">
        <v>-0.1190007</v>
      </c>
      <c r="AE1579">
        <v>-0.61629999999996699</v>
      </c>
      <c r="AF1579">
        <v>3.2614716311014098E-2</v>
      </c>
      <c r="AG1579">
        <v>-0.1190007</v>
      </c>
      <c r="AH1579">
        <v>0.59490526655899301</v>
      </c>
      <c r="AI1579">
        <v>101.295227139913</v>
      </c>
      <c r="AJ1579">
        <v>86.861993172667098</v>
      </c>
      <c r="AK1579">
        <v>0.60756659100066102</v>
      </c>
      <c r="AL1579">
        <v>68.931005542452795</v>
      </c>
      <c r="AM1579">
        <v>95.793849014575102</v>
      </c>
      <c r="AN1579">
        <v>1.000000031306</v>
      </c>
    </row>
    <row r="1580" spans="1:40" x14ac:dyDescent="0.25">
      <c r="A1580" t="str">
        <f>"20190304164359922"</f>
        <v>20190304164359922</v>
      </c>
      <c r="B1580" t="str">
        <f>"1551689039910994"</f>
        <v>1551689039910994</v>
      </c>
      <c r="C1580" t="s">
        <v>40</v>
      </c>
      <c r="D1580">
        <v>5.4106389999999998</v>
      </c>
      <c r="E1580">
        <v>0.56486979999999998</v>
      </c>
      <c r="F1580" t="s">
        <v>41</v>
      </c>
      <c r="G1580">
        <v>-192.0873</v>
      </c>
      <c r="H1580">
        <v>0.99622200000000005</v>
      </c>
      <c r="I1580">
        <v>325.65730000000002</v>
      </c>
      <c r="J1580">
        <v>-192.03899999999999</v>
      </c>
      <c r="K1580">
        <v>1.1108690000000001</v>
      </c>
      <c r="L1580">
        <v>326.26249999999999</v>
      </c>
      <c r="M1580">
        <v>-1.7379390000000002E-2</v>
      </c>
      <c r="N1580">
        <v>-1.396095E-2</v>
      </c>
      <c r="O1580">
        <v>-0.99975159999999996</v>
      </c>
      <c r="P1580">
        <v>7.3580969999999996E-2</v>
      </c>
      <c r="Q1580">
        <v>0.34740169999999998</v>
      </c>
      <c r="R1580">
        <v>-0.93482540000000003</v>
      </c>
      <c r="S1580">
        <v>-0.2096558</v>
      </c>
      <c r="T1580">
        <v>-0.45685120000000001</v>
      </c>
      <c r="U1580">
        <v>-3.396118</v>
      </c>
      <c r="V1580">
        <v>-8.9654479999999995E-2</v>
      </c>
      <c r="W1580">
        <v>0.36043989999999998</v>
      </c>
      <c r="X1580">
        <v>0.92846390000000001</v>
      </c>
      <c r="Y1580">
        <v>4.3773979999999997E-2</v>
      </c>
      <c r="Z1580">
        <v>0.11926050000000001</v>
      </c>
      <c r="AA1580">
        <v>0.99189760000000005</v>
      </c>
      <c r="AB1580">
        <v>26</v>
      </c>
      <c r="AC1580">
        <v>-4.8299999999983301E-2</v>
      </c>
      <c r="AD1580">
        <v>-0.114647</v>
      </c>
      <c r="AE1580">
        <v>-0.60519999999996799</v>
      </c>
      <c r="AF1580">
        <v>3.6473076433619703E-2</v>
      </c>
      <c r="AG1580">
        <v>-0.114647</v>
      </c>
      <c r="AH1580">
        <v>0.58508450767917497</v>
      </c>
      <c r="AI1580">
        <v>101.065659234435</v>
      </c>
      <c r="AJ1580">
        <v>86.432903870856407</v>
      </c>
      <c r="AK1580">
        <v>0.59732579137328001</v>
      </c>
      <c r="AL1580">
        <v>68.872786433190498</v>
      </c>
      <c r="AM1580">
        <v>95.515504019355603</v>
      </c>
      <c r="AN1580">
        <v>1.0000000304496399</v>
      </c>
    </row>
    <row r="1581" spans="1:40" x14ac:dyDescent="0.25">
      <c r="A1581" t="str">
        <f>"20190304164359945"</f>
        <v>20190304164359945</v>
      </c>
      <c r="B1581" t="str">
        <f>"1551689039941240"</f>
        <v>1551689039941240</v>
      </c>
      <c r="C1581" t="s">
        <v>40</v>
      </c>
      <c r="D1581">
        <v>5.4316610000000001</v>
      </c>
      <c r="E1581">
        <v>0.56560940000000004</v>
      </c>
      <c r="F1581" t="s">
        <v>41</v>
      </c>
      <c r="G1581">
        <v>-192.09649999999999</v>
      </c>
      <c r="H1581">
        <v>0.99899070000000001</v>
      </c>
      <c r="I1581">
        <v>325.42189999999999</v>
      </c>
      <c r="J1581">
        <v>-192.04390000000001</v>
      </c>
      <c r="K1581">
        <v>1.110878</v>
      </c>
      <c r="L1581">
        <v>326.00069999999999</v>
      </c>
      <c r="M1581">
        <v>-1.7620730000000001E-2</v>
      </c>
      <c r="N1581">
        <v>-1.39583E-2</v>
      </c>
      <c r="O1581">
        <v>-0.99974730000000001</v>
      </c>
      <c r="P1581">
        <v>6.8565780000000007E-2</v>
      </c>
      <c r="Q1581">
        <v>0.347746</v>
      </c>
      <c r="R1581">
        <v>-0.93507819999999997</v>
      </c>
      <c r="S1581">
        <v>-0.23194890000000001</v>
      </c>
      <c r="T1581">
        <v>-0.45198369999999999</v>
      </c>
      <c r="U1581">
        <v>-3.3953859999999998</v>
      </c>
      <c r="V1581">
        <v>-8.4871310000000005E-2</v>
      </c>
      <c r="W1581">
        <v>0.36078329999999997</v>
      </c>
      <c r="X1581">
        <v>0.92878000000000005</v>
      </c>
      <c r="Y1581">
        <v>5.0035669999999997E-2</v>
      </c>
      <c r="Z1581">
        <v>0.1178483</v>
      </c>
      <c r="AA1581">
        <v>0.99177020000000005</v>
      </c>
      <c r="AB1581">
        <v>26</v>
      </c>
      <c r="AC1581">
        <v>-5.2599999999983903E-2</v>
      </c>
      <c r="AD1581">
        <v>-0.1118873</v>
      </c>
      <c r="AE1581">
        <v>-0.57880000000000098</v>
      </c>
      <c r="AF1581">
        <v>4.0876964671266801E-2</v>
      </c>
      <c r="AG1581">
        <v>-0.1118873</v>
      </c>
      <c r="AH1581">
        <v>0.55892211300019901</v>
      </c>
      <c r="AI1581">
        <v>101.290694779191</v>
      </c>
      <c r="AJ1581">
        <v>85.817100274671503</v>
      </c>
      <c r="AK1581">
        <v>0.57147495355669997</v>
      </c>
      <c r="AL1581">
        <v>68.851691244417296</v>
      </c>
      <c r="AM1581">
        <v>95.2211506178908</v>
      </c>
      <c r="AN1581">
        <v>1.00000000861</v>
      </c>
    </row>
    <row r="1582" spans="1:40" x14ac:dyDescent="0.25">
      <c r="A1582" t="str">
        <f>"20190304164359968"</f>
        <v>20190304164359968</v>
      </c>
      <c r="B1582" t="str">
        <f>"1551689039961737"</f>
        <v>1551689039961737</v>
      </c>
      <c r="C1582" t="s">
        <v>40</v>
      </c>
      <c r="D1582">
        <v>5.5460399999999996</v>
      </c>
      <c r="E1582">
        <v>0.56595949999999995</v>
      </c>
      <c r="F1582" t="s">
        <v>41</v>
      </c>
      <c r="G1582">
        <v>-192.10499999999999</v>
      </c>
      <c r="H1582">
        <v>1.002766</v>
      </c>
      <c r="I1582">
        <v>325.18630000000002</v>
      </c>
      <c r="J1582">
        <v>-192.04900000000001</v>
      </c>
      <c r="K1582">
        <v>1.1108910000000001</v>
      </c>
      <c r="L1582">
        <v>325.72899999999998</v>
      </c>
      <c r="M1582">
        <v>-1.785898E-2</v>
      </c>
      <c r="N1582">
        <v>-1.395562E-2</v>
      </c>
      <c r="O1582">
        <v>-0.99974350000000001</v>
      </c>
      <c r="P1582">
        <v>6.3220139999999994E-2</v>
      </c>
      <c r="Q1582">
        <v>0.348375299999999</v>
      </c>
      <c r="R1582">
        <v>-0.93522099999999997</v>
      </c>
      <c r="S1582">
        <v>-0.25384519999999999</v>
      </c>
      <c r="T1582">
        <v>-0.45084550000000001</v>
      </c>
      <c r="U1582">
        <v>-3.3945620000000001</v>
      </c>
      <c r="V1582">
        <v>-7.9758019999999999E-2</v>
      </c>
      <c r="W1582">
        <v>0.36140929999999999</v>
      </c>
      <c r="X1582">
        <v>0.92898979999999998</v>
      </c>
      <c r="Y1582">
        <v>5.6174679999999998E-2</v>
      </c>
      <c r="Z1582">
        <v>0.11750480000000001</v>
      </c>
      <c r="AA1582">
        <v>0.99148230000000004</v>
      </c>
      <c r="AB1582">
        <v>26</v>
      </c>
      <c r="AC1582">
        <v>-5.5999999999983098E-2</v>
      </c>
      <c r="AD1582">
        <v>-0.108125</v>
      </c>
      <c r="AE1582">
        <v>-0.54270000000002405</v>
      </c>
      <c r="AF1582">
        <v>4.4548354935432903E-2</v>
      </c>
      <c r="AG1582">
        <v>-0.108125</v>
      </c>
      <c r="AH1582">
        <v>0.52306929874628305</v>
      </c>
      <c r="AI1582">
        <v>101.638283085944</v>
      </c>
      <c r="AJ1582">
        <v>85.132025279004793</v>
      </c>
      <c r="AK1582">
        <v>0.53598233445084897</v>
      </c>
      <c r="AL1582">
        <v>68.8132295929462</v>
      </c>
      <c r="AM1582">
        <v>94.907071445641606</v>
      </c>
      <c r="AN1582">
        <v>1.0000000361924199</v>
      </c>
    </row>
    <row r="1583" spans="1:40" x14ac:dyDescent="0.25">
      <c r="A1583" t="str">
        <f>"20190304164359990"</f>
        <v>20190304164359990</v>
      </c>
      <c r="B1583" t="str">
        <f>"1551689039981256"</f>
        <v>1551689039981256</v>
      </c>
      <c r="C1583" t="s">
        <v>40</v>
      </c>
      <c r="D1583">
        <v>5.4421929999999996</v>
      </c>
      <c r="E1583">
        <v>0.56622249999999996</v>
      </c>
      <c r="F1583" t="s">
        <v>41</v>
      </c>
      <c r="G1583">
        <v>-192.1114</v>
      </c>
      <c r="H1583">
        <v>1.0078590000000001</v>
      </c>
      <c r="I1583">
        <v>324.9502</v>
      </c>
      <c r="J1583">
        <v>-192.0538</v>
      </c>
      <c r="K1583">
        <v>1.1109070000000001</v>
      </c>
      <c r="L1583">
        <v>325.47250000000003</v>
      </c>
      <c r="M1583">
        <v>-1.8061799999999999E-2</v>
      </c>
      <c r="N1583">
        <v>-1.395308E-2</v>
      </c>
      <c r="O1583">
        <v>-0.9997395</v>
      </c>
      <c r="P1583">
        <v>5.8518399999999998E-2</v>
      </c>
      <c r="Q1583">
        <v>0.34819499999999998</v>
      </c>
      <c r="R1583">
        <v>-0.93559389999999998</v>
      </c>
      <c r="S1583">
        <v>-0.27130130000000002</v>
      </c>
      <c r="T1583">
        <v>-0.44906659999999998</v>
      </c>
      <c r="U1583">
        <v>-3.393402</v>
      </c>
      <c r="V1583">
        <v>-7.5266089999999994E-2</v>
      </c>
      <c r="W1583">
        <v>0.36122840000000001</v>
      </c>
      <c r="X1583">
        <v>0.92943480000000001</v>
      </c>
      <c r="Y1583">
        <v>6.1066580000000002E-2</v>
      </c>
      <c r="Z1583">
        <v>0.116996699999999</v>
      </c>
      <c r="AA1583">
        <v>0.9912531</v>
      </c>
      <c r="AB1583">
        <v>26</v>
      </c>
      <c r="AC1583">
        <v>-5.7600000000007798E-2</v>
      </c>
      <c r="AD1583">
        <v>-0.103047999999999</v>
      </c>
      <c r="AE1583">
        <v>-0.52230000000002896</v>
      </c>
      <c r="AF1583">
        <v>4.6372598282962203E-2</v>
      </c>
      <c r="AG1583">
        <v>-0.103047999999999</v>
      </c>
      <c r="AH1583">
        <v>0.50387703451934596</v>
      </c>
      <c r="AI1583">
        <v>101.510854489651</v>
      </c>
      <c r="AJ1583">
        <v>84.741790999154006</v>
      </c>
      <c r="AK1583">
        <v>0.51639265495504805</v>
      </c>
      <c r="AL1583">
        <v>68.824344425554102</v>
      </c>
      <c r="AM1583">
        <v>94.629737852300806</v>
      </c>
      <c r="AN1583">
        <v>0.99999999436074305</v>
      </c>
    </row>
    <row r="1584" spans="1:40" x14ac:dyDescent="0.25">
      <c r="A1584" t="str">
        <f>"20190304164400016"</f>
        <v>20190304164400016</v>
      </c>
      <c r="B1584" t="str">
        <f>"1551689040011513"</f>
        <v>1551689040011513</v>
      </c>
      <c r="C1584" t="s">
        <v>40</v>
      </c>
      <c r="D1584">
        <v>5.4404570000000003</v>
      </c>
      <c r="E1584">
        <v>0.56638719999999998</v>
      </c>
      <c r="F1584" t="s">
        <v>41</v>
      </c>
      <c r="G1584">
        <v>-192.11760000000001</v>
      </c>
      <c r="H1584">
        <v>1.0105010000000001</v>
      </c>
      <c r="I1584">
        <v>324.71570000000003</v>
      </c>
      <c r="J1584">
        <v>-192.05950000000001</v>
      </c>
      <c r="K1584">
        <v>1.1109359999999999</v>
      </c>
      <c r="L1584">
        <v>325.17649999999998</v>
      </c>
      <c r="M1584">
        <v>-1.8253019999999998E-2</v>
      </c>
      <c r="N1584">
        <v>-1.395009E-2</v>
      </c>
      <c r="O1584">
        <v>-0.99973630000000002</v>
      </c>
      <c r="P1584">
        <v>5.449085E-2</v>
      </c>
      <c r="Q1584">
        <v>0.34848869999999998</v>
      </c>
      <c r="R1584">
        <v>-0.93572809999999995</v>
      </c>
      <c r="S1584">
        <v>-0.28446959999999999</v>
      </c>
      <c r="T1584">
        <v>-0.45024170000000002</v>
      </c>
      <c r="U1584">
        <v>-3.3919069999999998</v>
      </c>
      <c r="V1584">
        <v>-7.1443300000000001E-2</v>
      </c>
      <c r="W1584">
        <v>0.36151610000000001</v>
      </c>
      <c r="X1584">
        <v>0.92962469999999997</v>
      </c>
      <c r="Y1584">
        <v>6.4725190000000002E-2</v>
      </c>
      <c r="Z1584">
        <v>0.1173578</v>
      </c>
      <c r="AA1584">
        <v>0.99097820000000003</v>
      </c>
      <c r="AB1584">
        <v>26</v>
      </c>
      <c r="AC1584">
        <v>-5.8099999999996002E-2</v>
      </c>
      <c r="AD1584">
        <v>-0.100435</v>
      </c>
      <c r="AE1584">
        <v>-0.46079999999994897</v>
      </c>
      <c r="AF1584">
        <v>4.74592110936558E-2</v>
      </c>
      <c r="AG1584">
        <v>-0.100435</v>
      </c>
      <c r="AH1584">
        <v>0.44115444652597102</v>
      </c>
      <c r="AI1584">
        <v>102.75441701711701</v>
      </c>
      <c r="AJ1584">
        <v>83.859759058580593</v>
      </c>
      <c r="AK1584">
        <v>0.45492506155659101</v>
      </c>
      <c r="AL1584">
        <v>68.806667174163806</v>
      </c>
      <c r="AM1584">
        <v>94.394643557510904</v>
      </c>
      <c r="AN1584">
        <v>1.0000000592620899</v>
      </c>
    </row>
    <row r="1585" spans="1:40" x14ac:dyDescent="0.25">
      <c r="A1585" t="str">
        <f>"20190304164400036"</f>
        <v>20190304164400036</v>
      </c>
      <c r="B1585" t="str">
        <f>"1551689040021272"</f>
        <v>1551689040021272</v>
      </c>
      <c r="C1585" t="s">
        <v>40</v>
      </c>
      <c r="D1585">
        <v>5.4261299999999997</v>
      </c>
      <c r="E1585">
        <v>0.56643829999999995</v>
      </c>
      <c r="F1585" t="s">
        <v>41</v>
      </c>
      <c r="G1585">
        <v>-192.13929999999999</v>
      </c>
      <c r="H1585">
        <v>0.98901119999999998</v>
      </c>
      <c r="I1585">
        <v>324.26100000000002</v>
      </c>
      <c r="J1585">
        <v>-192.06399999999999</v>
      </c>
      <c r="K1585">
        <v>1.1109629999999999</v>
      </c>
      <c r="L1585">
        <v>324.9359</v>
      </c>
      <c r="M1585">
        <v>-1.8361880000000001E-2</v>
      </c>
      <c r="N1585">
        <v>-1.3947599999999999E-2</v>
      </c>
      <c r="O1585">
        <v>-0.99973440000000002</v>
      </c>
      <c r="P1585">
        <v>5.1177430000000003E-2</v>
      </c>
      <c r="Q1585">
        <v>0.34860530000000001</v>
      </c>
      <c r="R1585">
        <v>-0.93587169999999997</v>
      </c>
      <c r="S1585">
        <v>-0.29525759999999901</v>
      </c>
      <c r="T1585">
        <v>-0.45187640000000001</v>
      </c>
      <c r="U1585">
        <v>-3.3915709999999999</v>
      </c>
      <c r="V1585">
        <v>-6.8262310000000007E-2</v>
      </c>
      <c r="W1585">
        <v>0.36162670000000002</v>
      </c>
      <c r="X1585">
        <v>0.9298206</v>
      </c>
      <c r="Y1585">
        <v>6.7745719999999995E-2</v>
      </c>
      <c r="Z1585">
        <v>0.11781129999999999</v>
      </c>
      <c r="AA1585">
        <v>0.99072249999999995</v>
      </c>
      <c r="AB1585">
        <v>26</v>
      </c>
      <c r="AC1585">
        <v>-7.5299999999970099E-2</v>
      </c>
      <c r="AD1585">
        <v>-0.1219518</v>
      </c>
      <c r="AE1585">
        <v>-0.67490000000003603</v>
      </c>
      <c r="AF1585">
        <v>6.0928738442478501E-2</v>
      </c>
      <c r="AG1585">
        <v>-0.1219518</v>
      </c>
      <c r="AH1585">
        <v>0.655044051072455</v>
      </c>
      <c r="AI1585">
        <v>100.501895259959</v>
      </c>
      <c r="AJ1585">
        <v>84.685939248998295</v>
      </c>
      <c r="AK1585">
        <v>0.66907941347559396</v>
      </c>
      <c r="AL1585">
        <v>68.799868676260601</v>
      </c>
      <c r="AM1585">
        <v>94.198808120764994</v>
      </c>
      <c r="AN1585">
        <v>0.999999980651892</v>
      </c>
    </row>
    <row r="1586" spans="1:40" x14ac:dyDescent="0.25">
      <c r="A1586" t="str">
        <f>"20190304164400059"</f>
        <v>20190304164400059</v>
      </c>
      <c r="B1586" t="str">
        <f>"1551689040051528"</f>
        <v>1551689040051528</v>
      </c>
      <c r="C1586" t="s">
        <v>40</v>
      </c>
      <c r="D1586">
        <v>5.4122940000000002</v>
      </c>
      <c r="E1586">
        <v>0.56665109999999996</v>
      </c>
      <c r="F1586" t="s">
        <v>41</v>
      </c>
      <c r="G1586">
        <v>-192.1456</v>
      </c>
      <c r="H1586">
        <v>0.98992469999999999</v>
      </c>
      <c r="I1586">
        <v>324.02820000000003</v>
      </c>
      <c r="J1586">
        <v>-192.06899999999999</v>
      </c>
      <c r="K1586">
        <v>1.110997</v>
      </c>
      <c r="L1586">
        <v>324.67329999999998</v>
      </c>
      <c r="M1586">
        <v>-1.8436749999999998E-2</v>
      </c>
      <c r="N1586">
        <v>-1.3944899999999901E-2</v>
      </c>
      <c r="O1586">
        <v>-0.99973270000000003</v>
      </c>
      <c r="P1586">
        <v>4.7666769999999997E-2</v>
      </c>
      <c r="Q1586">
        <v>0.3490393</v>
      </c>
      <c r="R1586">
        <v>-0.93589500000000003</v>
      </c>
      <c r="S1586">
        <v>-0.30461120000000003</v>
      </c>
      <c r="T1586">
        <v>-0.45208369999999998</v>
      </c>
      <c r="U1586">
        <v>-3.390625</v>
      </c>
      <c r="V1586">
        <v>-6.4853679999999997E-2</v>
      </c>
      <c r="W1586">
        <v>0.36205300000000001</v>
      </c>
      <c r="X1586">
        <v>0.92989869999999997</v>
      </c>
      <c r="Y1586">
        <v>7.0403010000000002E-2</v>
      </c>
      <c r="Z1586">
        <v>0.11788179999999999</v>
      </c>
      <c r="AA1586">
        <v>0.99052879999999999</v>
      </c>
      <c r="AB1586">
        <v>26</v>
      </c>
      <c r="AC1586">
        <v>-7.6599999999984902E-2</v>
      </c>
      <c r="AD1586">
        <v>-0.12107229999999999</v>
      </c>
      <c r="AE1586">
        <v>-0.64509999999995604</v>
      </c>
      <c r="AF1586">
        <v>6.2520678797138199E-2</v>
      </c>
      <c r="AG1586">
        <v>-0.12107229999999999</v>
      </c>
      <c r="AH1586">
        <v>0.62470423878755699</v>
      </c>
      <c r="AI1586">
        <v>100.915157911706</v>
      </c>
      <c r="AJ1586">
        <v>84.284843321908696</v>
      </c>
      <c r="AK1586">
        <v>0.63939246403416905</v>
      </c>
      <c r="AL1586">
        <v>68.773668205659206</v>
      </c>
      <c r="AM1586">
        <v>93.989504439401202</v>
      </c>
      <c r="AN1586">
        <v>0.99999998344011598</v>
      </c>
    </row>
    <row r="1587" spans="1:40" x14ac:dyDescent="0.25">
      <c r="A1587" t="str">
        <f>"20190304164400080"</f>
        <v>20190304164400080</v>
      </c>
      <c r="B1587" t="str">
        <f>"1551689040071048"</f>
        <v>1551689040071048</v>
      </c>
      <c r="C1587" t="s">
        <v>40</v>
      </c>
      <c r="D1587">
        <v>5.494783</v>
      </c>
      <c r="E1587">
        <v>0.56672909999999999</v>
      </c>
      <c r="F1587" t="s">
        <v>41</v>
      </c>
      <c r="G1587">
        <v>-192.15129999999999</v>
      </c>
      <c r="H1587">
        <v>0.9942607</v>
      </c>
      <c r="I1587">
        <v>323.79399999999998</v>
      </c>
      <c r="J1587">
        <v>-192.07380000000001</v>
      </c>
      <c r="K1587">
        <v>1.1110260000000001</v>
      </c>
      <c r="L1587">
        <v>324.41699999999997</v>
      </c>
      <c r="M1587">
        <v>-1.8469159999999998E-2</v>
      </c>
      <c r="N1587">
        <v>-1.394227E-2</v>
      </c>
      <c r="O1587">
        <v>-0.99973250000000002</v>
      </c>
      <c r="P1587">
        <v>4.2272940000000002E-2</v>
      </c>
      <c r="Q1587">
        <v>0.35002050000000001</v>
      </c>
      <c r="R1587">
        <v>-0.93578799999999995</v>
      </c>
      <c r="S1587">
        <v>-0.31672670000000003</v>
      </c>
      <c r="T1587">
        <v>-0.4501194</v>
      </c>
      <c r="U1587">
        <v>-3.389526</v>
      </c>
      <c r="V1587">
        <v>-5.951596E-2</v>
      </c>
      <c r="W1587">
        <v>0.36302630000000002</v>
      </c>
      <c r="X1587">
        <v>0.92987620000000004</v>
      </c>
      <c r="Y1587">
        <v>7.3912749999999999E-2</v>
      </c>
      <c r="Z1587">
        <v>0.1173254</v>
      </c>
      <c r="AA1587">
        <v>0.99033919999999998</v>
      </c>
      <c r="AB1587">
        <v>26</v>
      </c>
      <c r="AC1587">
        <v>-7.7499999999986302E-2</v>
      </c>
      <c r="AD1587">
        <v>-0.1167653</v>
      </c>
      <c r="AE1587">
        <v>-0.62299999999999001</v>
      </c>
      <c r="AF1587">
        <v>6.3773296741787097E-2</v>
      </c>
      <c r="AG1587">
        <v>-0.1167653</v>
      </c>
      <c r="AH1587">
        <v>0.60345033953764704</v>
      </c>
      <c r="AI1587">
        <v>100.891984048168</v>
      </c>
      <c r="AJ1587">
        <v>83.967311081121096</v>
      </c>
      <c r="AK1587">
        <v>0.61794294311813902</v>
      </c>
      <c r="AL1587">
        <v>68.713831696294704</v>
      </c>
      <c r="AM1587">
        <v>93.662173868860904</v>
      </c>
      <c r="AN1587">
        <v>0.99999999565642494</v>
      </c>
    </row>
    <row r="1588" spans="1:40" x14ac:dyDescent="0.25">
      <c r="A1588" t="str">
        <f>"20190304164400113"</f>
        <v>20190304164400113</v>
      </c>
      <c r="B1588" t="str">
        <f>"1551689040101304"</f>
        <v>1551689040101304</v>
      </c>
      <c r="C1588" t="s">
        <v>40</v>
      </c>
      <c r="D1588">
        <v>5.5191549999999996</v>
      </c>
      <c r="E1588">
        <v>0.56685580000000002</v>
      </c>
      <c r="F1588" t="s">
        <v>41</v>
      </c>
      <c r="G1588">
        <v>-192.15790000000001</v>
      </c>
      <c r="H1588">
        <v>0.99802270000000004</v>
      </c>
      <c r="I1588">
        <v>323.56040000000002</v>
      </c>
      <c r="J1588">
        <v>-192.08070000000001</v>
      </c>
      <c r="K1588">
        <v>1.1110799999999901</v>
      </c>
      <c r="L1588">
        <v>324.04719999999998</v>
      </c>
      <c r="M1588">
        <v>-1.8430599999999998E-2</v>
      </c>
      <c r="N1588">
        <v>-1.393841E-2</v>
      </c>
      <c r="O1588">
        <v>-0.99973319999999999</v>
      </c>
      <c r="P1588">
        <v>3.8491999999999998E-2</v>
      </c>
      <c r="Q1588">
        <v>0.35048089999999998</v>
      </c>
      <c r="R1588">
        <v>-0.93577889999999997</v>
      </c>
      <c r="S1588">
        <v>-0.33282469999999997</v>
      </c>
      <c r="T1588">
        <v>-0.4469573</v>
      </c>
      <c r="U1588">
        <v>-3.3880309999999998</v>
      </c>
      <c r="V1588">
        <v>-5.5739610000000002E-2</v>
      </c>
      <c r="W1588">
        <v>0.3634772</v>
      </c>
      <c r="X1588">
        <v>0.92993409999999999</v>
      </c>
      <c r="Y1588">
        <v>7.8659590000000001E-2</v>
      </c>
      <c r="Z1588">
        <v>0.1164265</v>
      </c>
      <c r="AA1588">
        <v>0.99007959999999995</v>
      </c>
      <c r="AB1588">
        <v>26</v>
      </c>
      <c r="AC1588">
        <v>-7.7200000000004806E-2</v>
      </c>
      <c r="AD1588">
        <v>-0.113057299999999</v>
      </c>
      <c r="AE1588">
        <v>-0.48679999999995899</v>
      </c>
      <c r="AF1588">
        <v>6.48043253430544E-2</v>
      </c>
      <c r="AG1588">
        <v>-0.113057299999999</v>
      </c>
      <c r="AH1588">
        <v>0.46374061009609602</v>
      </c>
      <c r="AI1588">
        <v>103.574161994493</v>
      </c>
      <c r="AJ1588">
        <v>82.044853727883094</v>
      </c>
      <c r="AK1588">
        <v>0.48170209374545703</v>
      </c>
      <c r="AL1588">
        <v>68.686103105401301</v>
      </c>
      <c r="AM1588">
        <v>93.430165646730899</v>
      </c>
      <c r="AN1588">
        <v>1.0000000046927999</v>
      </c>
    </row>
    <row r="1589" spans="1:40" x14ac:dyDescent="0.25">
      <c r="A1589" t="str">
        <f>"20190304164400135"</f>
        <v>20190304164400135</v>
      </c>
      <c r="B1589" t="str">
        <f>"1551689040131560"</f>
        <v>1551689040131560</v>
      </c>
      <c r="C1589" t="s">
        <v>40</v>
      </c>
      <c r="D1589">
        <v>5.5297660000000004</v>
      </c>
      <c r="E1589">
        <v>0.56706219999999996</v>
      </c>
      <c r="F1589" t="s">
        <v>41</v>
      </c>
      <c r="G1589">
        <v>-192.1549</v>
      </c>
      <c r="H1589">
        <v>1.016006</v>
      </c>
      <c r="I1589">
        <v>323.31979999999999</v>
      </c>
      <c r="J1589">
        <v>-192.08519999999999</v>
      </c>
      <c r="K1589">
        <v>1.1111180000000001</v>
      </c>
      <c r="L1589">
        <v>323.79559999999998</v>
      </c>
      <c r="M1589">
        <v>-1.8320110000000001E-2</v>
      </c>
      <c r="N1589">
        <v>-1.393583E-2</v>
      </c>
      <c r="O1589">
        <v>-0.99973520000000005</v>
      </c>
      <c r="P1589">
        <v>3.7562150000000002E-2</v>
      </c>
      <c r="Q1589">
        <v>0.34945589999999999</v>
      </c>
      <c r="R1589">
        <v>-0.93619980000000003</v>
      </c>
      <c r="S1589">
        <v>-0.34527590000000002</v>
      </c>
      <c r="T1589">
        <v>-0.44269350000000002</v>
      </c>
      <c r="U1589">
        <v>-3.3858950000000001</v>
      </c>
      <c r="V1589">
        <v>-5.4751180000000003E-2</v>
      </c>
      <c r="W1589">
        <v>0.36245040000000001</v>
      </c>
      <c r="X1589">
        <v>0.93039349999999998</v>
      </c>
      <c r="Y1589">
        <v>8.2445589999999999E-2</v>
      </c>
      <c r="Z1589">
        <v>0.11524280000000001</v>
      </c>
      <c r="AA1589">
        <v>0.98990999999999996</v>
      </c>
      <c r="AB1589">
        <v>26</v>
      </c>
      <c r="AC1589">
        <v>-6.97000000000116E-2</v>
      </c>
      <c r="AD1589">
        <v>-9.5112000000000002E-2</v>
      </c>
      <c r="AE1589">
        <v>-0.47579999999999201</v>
      </c>
      <c r="AF1589">
        <v>5.8675357042174997E-2</v>
      </c>
      <c r="AG1589">
        <v>-9.5112000000000002E-2</v>
      </c>
      <c r="AH1589">
        <v>0.45903946866443801</v>
      </c>
      <c r="AI1589">
        <v>101.614028010985</v>
      </c>
      <c r="AJ1589">
        <v>82.715836434947903</v>
      </c>
      <c r="AK1589">
        <v>0.47244716515157198</v>
      </c>
      <c r="AL1589">
        <v>68.749240599691305</v>
      </c>
      <c r="AM1589">
        <v>93.367820042150598</v>
      </c>
      <c r="AN1589">
        <v>1.0000000245069001</v>
      </c>
    </row>
    <row r="1590" spans="1:40" x14ac:dyDescent="0.25">
      <c r="A1590" t="str">
        <f>"20190304164400157"</f>
        <v>20190304164400157</v>
      </c>
      <c r="B1590" t="str">
        <f>"1551689040151081"</f>
        <v>1551689040151081</v>
      </c>
      <c r="C1590" t="s">
        <v>40</v>
      </c>
      <c r="D1590">
        <v>5.4159579999999998</v>
      </c>
      <c r="E1590">
        <v>0.56697030000000004</v>
      </c>
      <c r="F1590" t="s">
        <v>41</v>
      </c>
      <c r="G1590">
        <v>-192.18119999999999</v>
      </c>
      <c r="H1590">
        <v>0.99008479999999999</v>
      </c>
      <c r="I1590">
        <v>322.87090000000001</v>
      </c>
      <c r="J1590">
        <v>-192.09</v>
      </c>
      <c r="K1590">
        <v>1.111175</v>
      </c>
      <c r="L1590">
        <v>323.52550000000002</v>
      </c>
      <c r="M1590">
        <v>-1.81085E-2</v>
      </c>
      <c r="N1590">
        <v>-1.393319E-2</v>
      </c>
      <c r="O1590">
        <v>-0.99973900000000004</v>
      </c>
      <c r="P1590">
        <v>3.7700749999999998E-2</v>
      </c>
      <c r="Q1590">
        <v>0.34816999999999998</v>
      </c>
      <c r="R1590">
        <v>-0.93667299999999998</v>
      </c>
      <c r="S1590">
        <v>-0.3506012</v>
      </c>
      <c r="T1590">
        <v>-0.44309589999999999</v>
      </c>
      <c r="U1590">
        <v>-3.3839419999999998</v>
      </c>
      <c r="V1590">
        <v>-5.4754400000000002E-2</v>
      </c>
      <c r="W1590">
        <v>0.3611608</v>
      </c>
      <c r="X1590">
        <v>0.93089460000000002</v>
      </c>
      <c r="Y1590">
        <v>8.4251629999999994E-2</v>
      </c>
      <c r="Z1590">
        <v>0.1154149</v>
      </c>
      <c r="AA1590">
        <v>0.98973789999999995</v>
      </c>
      <c r="AB1590">
        <v>26</v>
      </c>
      <c r="AC1590">
        <v>-9.1199999999986403E-2</v>
      </c>
      <c r="AD1590">
        <v>-0.1210902</v>
      </c>
      <c r="AE1590">
        <v>-0.65460000000001595</v>
      </c>
      <c r="AF1590">
        <v>7.6753653021141094E-2</v>
      </c>
      <c r="AG1590">
        <v>-0.1210902</v>
      </c>
      <c r="AH1590">
        <v>0.63483459250488405</v>
      </c>
      <c r="AI1590">
        <v>100.722787512867</v>
      </c>
      <c r="AJ1590">
        <v>83.106206504408206</v>
      </c>
      <c r="AK1590">
        <v>0.65082172645738501</v>
      </c>
      <c r="AL1590">
        <v>68.828497310898101</v>
      </c>
      <c r="AM1590">
        <v>93.366208821186106</v>
      </c>
      <c r="AN1590">
        <v>0.99999996204257902</v>
      </c>
    </row>
    <row r="1591" spans="1:40" x14ac:dyDescent="0.25">
      <c r="A1591" t="str">
        <f>"20190304164400181"</f>
        <v>20190304164400181</v>
      </c>
      <c r="B1591" t="str">
        <f>"1551689040171576"</f>
        <v>1551689040171576</v>
      </c>
      <c r="C1591" t="s">
        <v>40</v>
      </c>
      <c r="D1591">
        <v>5.4311540000000003</v>
      </c>
      <c r="E1591">
        <v>0.56696269999999904</v>
      </c>
      <c r="F1591" t="s">
        <v>41</v>
      </c>
      <c r="G1591">
        <v>-192.1816</v>
      </c>
      <c r="H1591">
        <v>0.99367249999999996</v>
      </c>
      <c r="I1591">
        <v>322.63850000000002</v>
      </c>
      <c r="J1591">
        <v>-192.09460000000001</v>
      </c>
      <c r="K1591">
        <v>1.1112420000000001</v>
      </c>
      <c r="L1591">
        <v>323.25630000000001</v>
      </c>
      <c r="M1591">
        <v>-1.7818980000000002E-2</v>
      </c>
      <c r="N1591">
        <v>-1.3930659999999999E-2</v>
      </c>
      <c r="O1591">
        <v>-0.99974439999999998</v>
      </c>
      <c r="P1591">
        <v>3.8342189999999998E-2</v>
      </c>
      <c r="Q1591">
        <v>0.34751589999999999</v>
      </c>
      <c r="R1591">
        <v>-0.93689029999999995</v>
      </c>
      <c r="S1591">
        <v>-0.3493347</v>
      </c>
      <c r="T1591">
        <v>-0.44827539999999999</v>
      </c>
      <c r="U1591">
        <v>-3.3834840000000002</v>
      </c>
      <c r="V1591">
        <v>-5.5186810000000003E-2</v>
      </c>
      <c r="W1591">
        <v>0.36049819999999999</v>
      </c>
      <c r="X1591">
        <v>0.93112589999999995</v>
      </c>
      <c r="Y1591">
        <v>8.4168389999999996E-2</v>
      </c>
      <c r="Z1591">
        <v>0.1169259</v>
      </c>
      <c r="AA1591">
        <v>0.98956759999999999</v>
      </c>
      <c r="AB1591">
        <v>26</v>
      </c>
      <c r="AC1591">
        <v>-8.6999999999989003E-2</v>
      </c>
      <c r="AD1591">
        <v>-0.11756949999999999</v>
      </c>
      <c r="AE1591">
        <v>-0.61779999999998803</v>
      </c>
      <c r="AF1591">
        <v>7.3371058143632303E-2</v>
      </c>
      <c r="AG1591">
        <v>-0.11756949999999999</v>
      </c>
      <c r="AH1591">
        <v>0.59801602644919705</v>
      </c>
      <c r="AI1591">
        <v>101.04171767563599</v>
      </c>
      <c r="AJ1591">
        <v>83.005292995451299</v>
      </c>
      <c r="AK1591">
        <v>0.61386404634369396</v>
      </c>
      <c r="AL1591">
        <v>68.869204416933101</v>
      </c>
      <c r="AM1591">
        <v>93.391889991836095</v>
      </c>
      <c r="AN1591">
        <v>0.99999998892601205</v>
      </c>
    </row>
    <row r="1592" spans="1:40" x14ac:dyDescent="0.25">
      <c r="A1592" t="str">
        <f>"20190304164400202"</f>
        <v>20190304164400202</v>
      </c>
      <c r="B1592" t="str">
        <f>"1551689040191096"</f>
        <v>1551689040191096</v>
      </c>
      <c r="C1592" t="s">
        <v>40</v>
      </c>
      <c r="D1592">
        <v>5.5051750000000004</v>
      </c>
      <c r="E1592">
        <v>0.5669073</v>
      </c>
      <c r="F1592" t="s">
        <v>41</v>
      </c>
      <c r="G1592">
        <v>-192.1824</v>
      </c>
      <c r="H1592">
        <v>0.99830909999999995</v>
      </c>
      <c r="I1592">
        <v>322.40589999999997</v>
      </c>
      <c r="J1592">
        <v>-192.0986</v>
      </c>
      <c r="K1592">
        <v>1.1112979999999999</v>
      </c>
      <c r="L1592">
        <v>323.01560000000001</v>
      </c>
      <c r="M1592">
        <v>-1.7489129999999999E-2</v>
      </c>
      <c r="N1592">
        <v>-1.392843E-2</v>
      </c>
      <c r="O1592">
        <v>-0.99975009999999997</v>
      </c>
      <c r="P1592">
        <v>3.9130360000000003E-2</v>
      </c>
      <c r="Q1592">
        <v>0.34748790000000002</v>
      </c>
      <c r="R1592">
        <v>-0.93686760000000002</v>
      </c>
      <c r="S1592">
        <v>-0.348205599999999</v>
      </c>
      <c r="T1592">
        <v>-0.44968770000000002</v>
      </c>
      <c r="U1592">
        <v>-3.3831180000000001</v>
      </c>
      <c r="V1592">
        <v>-5.5715580000000001E-2</v>
      </c>
      <c r="W1592">
        <v>0.36046040000000001</v>
      </c>
      <c r="X1592">
        <v>0.93110910000000002</v>
      </c>
      <c r="Y1592">
        <v>8.4175879999999995E-2</v>
      </c>
      <c r="Z1592">
        <v>0.1173505</v>
      </c>
      <c r="AA1592">
        <v>0.98951670000000003</v>
      </c>
      <c r="AB1592">
        <v>26</v>
      </c>
      <c r="AC1592">
        <v>-8.3799999999996502E-2</v>
      </c>
      <c r="AD1592">
        <v>-0.112988899999999</v>
      </c>
      <c r="AE1592">
        <v>-0.60970000000003199</v>
      </c>
      <c r="AF1592">
        <v>7.07386830693887E-2</v>
      </c>
      <c r="AG1592">
        <v>-0.112988899999999</v>
      </c>
      <c r="AH1592">
        <v>0.59114706520353699</v>
      </c>
      <c r="AI1592">
        <v>100.74585988285</v>
      </c>
      <c r="AJ1592">
        <v>83.176237864016997</v>
      </c>
      <c r="AK1592">
        <v>0.60599117609446795</v>
      </c>
      <c r="AL1592">
        <v>68.871527456554801</v>
      </c>
      <c r="AM1592">
        <v>93.424373905989796</v>
      </c>
      <c r="AN1592">
        <v>1.00000004096285</v>
      </c>
    </row>
    <row r="1593" spans="1:40" x14ac:dyDescent="0.25">
      <c r="A1593" t="str">
        <f>"20190304164400224"</f>
        <v>20190304164400224</v>
      </c>
      <c r="B1593" t="str">
        <f>"1551689040211592"</f>
        <v>1551689040211592</v>
      </c>
      <c r="C1593" t="s">
        <v>40</v>
      </c>
      <c r="D1593">
        <v>5.4159199999999998</v>
      </c>
      <c r="E1593">
        <v>0.56692489999999995</v>
      </c>
      <c r="F1593" t="s">
        <v>41</v>
      </c>
      <c r="G1593">
        <v>-192.18459999999999</v>
      </c>
      <c r="H1593">
        <v>0.99982199999999999</v>
      </c>
      <c r="I1593">
        <v>322.17520000000002</v>
      </c>
      <c r="J1593">
        <v>-192.10239999999999</v>
      </c>
      <c r="K1593">
        <v>1.111351</v>
      </c>
      <c r="L1593">
        <v>322.77120000000002</v>
      </c>
      <c r="M1593">
        <v>-1.707376E-2</v>
      </c>
      <c r="N1593">
        <v>-1.392619E-2</v>
      </c>
      <c r="O1593">
        <v>-0.99975740000000002</v>
      </c>
      <c r="P1593">
        <v>3.9941070000000002E-2</v>
      </c>
      <c r="Q1593">
        <v>0.34751579999999999</v>
      </c>
      <c r="R1593">
        <v>-0.93682350000000003</v>
      </c>
      <c r="S1593">
        <v>-0.3459778</v>
      </c>
      <c r="T1593">
        <v>-0.44885920000000001</v>
      </c>
      <c r="U1593">
        <v>-3.3831180000000001</v>
      </c>
      <c r="V1593">
        <v>-5.618625E-2</v>
      </c>
      <c r="W1593">
        <v>0.3604773</v>
      </c>
      <c r="X1593">
        <v>0.93107430000000002</v>
      </c>
      <c r="Y1593">
        <v>8.3948170000000003E-2</v>
      </c>
      <c r="Z1593">
        <v>0.1171214</v>
      </c>
      <c r="AA1593">
        <v>0.98956319999999998</v>
      </c>
      <c r="AB1593">
        <v>26</v>
      </c>
      <c r="AC1593">
        <v>-8.2200000000000203E-2</v>
      </c>
      <c r="AD1593">
        <v>-0.111529</v>
      </c>
      <c r="AE1593">
        <v>-0.59600000000000297</v>
      </c>
      <c r="AF1593">
        <v>6.9618714304543097E-2</v>
      </c>
      <c r="AG1593">
        <v>-0.111529</v>
      </c>
      <c r="AH1593">
        <v>0.57747262205523198</v>
      </c>
      <c r="AI1593">
        <v>100.85441001040699</v>
      </c>
      <c r="AJ1593">
        <v>83.1257339731511</v>
      </c>
      <c r="AK1593">
        <v>0.59225004216611299</v>
      </c>
      <c r="AL1593">
        <v>68.870489907731496</v>
      </c>
      <c r="AM1593">
        <v>93.453361126037606</v>
      </c>
      <c r="AN1593">
        <v>1.0000000653124099</v>
      </c>
    </row>
    <row r="1594" spans="1:40" x14ac:dyDescent="0.25">
      <c r="A1594" t="str">
        <f>"20190304164400248"</f>
        <v>20190304164400248</v>
      </c>
      <c r="B1594" t="str">
        <f>"1551689040241849"</f>
        <v>1551689040241849</v>
      </c>
      <c r="C1594" t="s">
        <v>40</v>
      </c>
      <c r="D1594">
        <v>5.444788</v>
      </c>
      <c r="E1594">
        <v>0.5669225</v>
      </c>
      <c r="F1594" t="s">
        <v>41</v>
      </c>
      <c r="G1594">
        <v>-192.1865</v>
      </c>
      <c r="H1594">
        <v>1.0019549999999999</v>
      </c>
      <c r="I1594">
        <v>321.94450000000001</v>
      </c>
      <c r="J1594">
        <v>-192.10659999999999</v>
      </c>
      <c r="K1594">
        <v>1.1114219999999999</v>
      </c>
      <c r="L1594">
        <v>322.48829999999998</v>
      </c>
      <c r="M1594">
        <v>-1.6487970000000001E-2</v>
      </c>
      <c r="N1594">
        <v>-1.3923700000000001E-2</v>
      </c>
      <c r="O1594">
        <v>-0.99976730000000003</v>
      </c>
      <c r="P1594">
        <v>3.9966939999999999E-2</v>
      </c>
      <c r="Q1594">
        <v>0.34756910000000002</v>
      </c>
      <c r="R1594">
        <v>-0.93680249999999998</v>
      </c>
      <c r="S1594">
        <v>-0.34336850000000002</v>
      </c>
      <c r="T1594">
        <v>-0.44788860000000003</v>
      </c>
      <c r="U1594">
        <v>-3.3831180000000001</v>
      </c>
      <c r="V1594">
        <v>-5.5720850000000002E-2</v>
      </c>
      <c r="W1594">
        <v>0.36052000000000001</v>
      </c>
      <c r="X1594">
        <v>0.93108570000000002</v>
      </c>
      <c r="Y1594">
        <v>8.3780190000000004E-2</v>
      </c>
      <c r="Z1594">
        <v>0.1168525</v>
      </c>
      <c r="AA1594">
        <v>0.98960919999999997</v>
      </c>
      <c r="AB1594">
        <v>26</v>
      </c>
      <c r="AC1594">
        <v>-7.9900000000009103E-2</v>
      </c>
      <c r="AD1594">
        <v>-0.109466999999999</v>
      </c>
      <c r="AE1594">
        <v>-0.54379999999997597</v>
      </c>
      <c r="AF1594">
        <v>6.8216282671812498E-2</v>
      </c>
      <c r="AG1594">
        <v>-0.109466999999999</v>
      </c>
      <c r="AH1594">
        <v>0.52424901652476996</v>
      </c>
      <c r="AI1594">
        <v>101.698440699229</v>
      </c>
      <c r="AJ1594">
        <v>82.5862192060235</v>
      </c>
      <c r="AK1594">
        <v>0.53988287307317795</v>
      </c>
      <c r="AL1594">
        <v>68.867866279324403</v>
      </c>
      <c r="AM1594">
        <v>93.424782902680604</v>
      </c>
      <c r="AN1594">
        <v>1.0000000321346001</v>
      </c>
    </row>
    <row r="1595" spans="1:40" x14ac:dyDescent="0.25">
      <c r="A1595" t="str">
        <f>"20190304164400270"</f>
        <v>20190304164400270</v>
      </c>
      <c r="B1595" t="str">
        <f>"1551689040261368"</f>
        <v>1551689040261368</v>
      </c>
      <c r="C1595" t="s">
        <v>40</v>
      </c>
      <c r="D1595">
        <v>5.5051240000000004</v>
      </c>
      <c r="E1595">
        <v>0.56679199999999996</v>
      </c>
      <c r="F1595" t="s">
        <v>41</v>
      </c>
      <c r="G1595">
        <v>-192.1858</v>
      </c>
      <c r="H1595">
        <v>1.0089459999999999</v>
      </c>
      <c r="I1595">
        <v>321.71159999999998</v>
      </c>
      <c r="J1595">
        <v>-192.11019999999999</v>
      </c>
      <c r="K1595">
        <v>1.1114809999999999</v>
      </c>
      <c r="L1595">
        <v>322.23469999999998</v>
      </c>
      <c r="M1595">
        <v>-1.5867510000000001E-2</v>
      </c>
      <c r="N1595">
        <v>-1.3921599999999999E-2</v>
      </c>
      <c r="O1595">
        <v>-0.99977749999999999</v>
      </c>
      <c r="P1595">
        <v>3.930405E-2</v>
      </c>
      <c r="Q1595">
        <v>0.347784599999999</v>
      </c>
      <c r="R1595">
        <v>-0.93675070000000005</v>
      </c>
      <c r="S1595">
        <v>-0.344696</v>
      </c>
      <c r="T1595">
        <v>-0.4464071</v>
      </c>
      <c r="U1595">
        <v>-3.3826900000000002</v>
      </c>
      <c r="V1595">
        <v>-5.4530290000000002E-2</v>
      </c>
      <c r="W1595">
        <v>0.3607264</v>
      </c>
      <c r="X1595">
        <v>0.93107620000000002</v>
      </c>
      <c r="Y1595">
        <v>8.4799639999999996E-2</v>
      </c>
      <c r="Z1595">
        <v>0.1164385</v>
      </c>
      <c r="AA1595">
        <v>0.98957119999999998</v>
      </c>
      <c r="AB1595">
        <v>26</v>
      </c>
      <c r="AC1595">
        <v>-7.5600000000008494E-2</v>
      </c>
      <c r="AD1595">
        <v>-0.102535</v>
      </c>
      <c r="AE1595">
        <v>-0.52309999999999901</v>
      </c>
      <c r="AF1595">
        <v>6.4848770919020499E-2</v>
      </c>
      <c r="AG1595">
        <v>-0.102535</v>
      </c>
      <c r="AH1595">
        <v>0.505219657431483</v>
      </c>
      <c r="AI1595">
        <v>101.38152475017699</v>
      </c>
      <c r="AJ1595">
        <v>82.685647223809994</v>
      </c>
      <c r="AK1595">
        <v>0.51958222791959796</v>
      </c>
      <c r="AL1595">
        <v>68.855186329656902</v>
      </c>
      <c r="AM1595">
        <v>93.351810019398698</v>
      </c>
      <c r="AN1595">
        <v>0.99999998919544197</v>
      </c>
    </row>
    <row r="1596" spans="1:40" x14ac:dyDescent="0.25">
      <c r="A1596" t="str">
        <f>"20190304164400292"</f>
        <v>20190304164400292</v>
      </c>
      <c r="B1596" t="str">
        <f>"1551689040281865"</f>
        <v>1551689040281865</v>
      </c>
      <c r="C1596" t="s">
        <v>40</v>
      </c>
      <c r="D1596">
        <v>5.3787529999999997</v>
      </c>
      <c r="E1596">
        <v>0.53413239999999995</v>
      </c>
      <c r="F1596" t="s">
        <v>41</v>
      </c>
      <c r="G1596">
        <v>-192.1876</v>
      </c>
      <c r="H1596">
        <v>1.012505</v>
      </c>
      <c r="I1596">
        <v>321.48079999999999</v>
      </c>
      <c r="J1596">
        <v>-192.11340000000001</v>
      </c>
      <c r="K1596">
        <v>1.1115389999999901</v>
      </c>
      <c r="L1596">
        <v>321.9846</v>
      </c>
      <c r="M1596">
        <v>-1.516432E-2</v>
      </c>
      <c r="N1596">
        <v>-1.391964E-2</v>
      </c>
      <c r="O1596">
        <v>-0.99978820000000002</v>
      </c>
      <c r="P1596">
        <v>3.8684330000000003E-2</v>
      </c>
      <c r="Q1596">
        <v>0.34770030000000002</v>
      </c>
      <c r="R1596">
        <v>-0.93680759999999996</v>
      </c>
      <c r="S1596">
        <v>-0.34634399999999999</v>
      </c>
      <c r="T1596">
        <v>-0.44427430000000001</v>
      </c>
      <c r="U1596">
        <v>-3.38205</v>
      </c>
      <c r="V1596">
        <v>-5.3310450000000002E-2</v>
      </c>
      <c r="W1596">
        <v>0.36063509999999999</v>
      </c>
      <c r="X1596">
        <v>0.93118219999999996</v>
      </c>
      <c r="Y1596">
        <v>8.6002720000000005E-2</v>
      </c>
      <c r="Z1596">
        <v>0.1158436</v>
      </c>
      <c r="AA1596">
        <v>0.98953720000000001</v>
      </c>
      <c r="AB1596">
        <v>26</v>
      </c>
      <c r="AC1596">
        <v>-7.4199999999990496E-2</v>
      </c>
      <c r="AD1596">
        <v>-9.9033999999999803E-2</v>
      </c>
      <c r="AE1596">
        <v>-0.50380000000001202</v>
      </c>
      <c r="AF1596">
        <v>6.4125649109421298E-2</v>
      </c>
      <c r="AG1596">
        <v>-9.9033999999999803E-2</v>
      </c>
      <c r="AH1596">
        <v>0.48646865172607301</v>
      </c>
      <c r="AI1596">
        <v>101.410791233705</v>
      </c>
      <c r="AJ1596">
        <v>82.490641613489203</v>
      </c>
      <c r="AK1596">
        <v>0.50057125480983</v>
      </c>
      <c r="AL1596">
        <v>68.860794850960502</v>
      </c>
      <c r="AM1596">
        <v>93.276623240013805</v>
      </c>
      <c r="AN1596">
        <v>0.99999998451402605</v>
      </c>
    </row>
    <row r="1597" spans="1:40" x14ac:dyDescent="0.25">
      <c r="A1597" t="str">
        <f>"20190304164400314"</f>
        <v>20190304164400314</v>
      </c>
      <c r="B1597" t="str">
        <f>"1551689040301384"</f>
        <v>1551689040301384</v>
      </c>
      <c r="C1597" t="s">
        <v>40</v>
      </c>
      <c r="D1597">
        <v>5.3716920000000004</v>
      </c>
      <c r="E1597">
        <v>0.53250439999999999</v>
      </c>
      <c r="F1597" t="s">
        <v>41</v>
      </c>
      <c r="G1597">
        <v>-192.13300000000001</v>
      </c>
      <c r="H1597">
        <v>1.01884</v>
      </c>
      <c r="I1597">
        <v>321.24740000000003</v>
      </c>
      <c r="J1597">
        <v>-192.1163</v>
      </c>
      <c r="K1597">
        <v>1.1116090000000001</v>
      </c>
      <c r="L1597">
        <v>321.74020000000002</v>
      </c>
      <c r="M1597">
        <v>-1.438538E-2</v>
      </c>
      <c r="N1597">
        <v>-1.391791E-2</v>
      </c>
      <c r="O1597">
        <v>-0.99979980000000002</v>
      </c>
      <c r="P1597">
        <v>3.7559549999999997E-2</v>
      </c>
      <c r="Q1597">
        <v>0.34776200000000002</v>
      </c>
      <c r="R1597">
        <v>-0.93683050000000001</v>
      </c>
      <c r="S1597">
        <v>-8.9263919999999997E-2</v>
      </c>
      <c r="T1597">
        <v>-0.4230218</v>
      </c>
      <c r="U1597">
        <v>-3.3629760000000002</v>
      </c>
      <c r="V1597">
        <v>-5.1517109999999998E-2</v>
      </c>
      <c r="W1597">
        <v>0.3606895</v>
      </c>
      <c r="X1597">
        <v>0.93126209999999998</v>
      </c>
      <c r="Y1597">
        <v>1.197377E-2</v>
      </c>
      <c r="Z1597">
        <v>0.1109405</v>
      </c>
      <c r="AA1597">
        <v>0.9937549</v>
      </c>
      <c r="AB1597">
        <v>26</v>
      </c>
      <c r="AC1597">
        <v>-1.66999999999859E-2</v>
      </c>
      <c r="AD1597">
        <v>-9.2769000000000101E-2</v>
      </c>
      <c r="AE1597">
        <v>-0.49279999999998803</v>
      </c>
      <c r="AF1597">
        <v>9.2799873894080197E-3</v>
      </c>
      <c r="AG1597">
        <v>-9.2769000000000101E-2</v>
      </c>
      <c r="AH1597">
        <v>0.47613550984438302</v>
      </c>
      <c r="AI1597">
        <v>101.023190963611</v>
      </c>
      <c r="AJ1597">
        <v>88.883433833936095</v>
      </c>
      <c r="AK1597">
        <v>0.48517752345066201</v>
      </c>
      <c r="AL1597">
        <v>68.857453686647801</v>
      </c>
      <c r="AM1597">
        <v>93.166356156598894</v>
      </c>
      <c r="AN1597">
        <v>1.0000000134647</v>
      </c>
    </row>
    <row r="1598" spans="1:40" x14ac:dyDescent="0.25">
      <c r="A1598" t="str">
        <f>"20190304164400337"</f>
        <v>20190304164400337</v>
      </c>
      <c r="B1598" t="str">
        <f>"1551689040331640"</f>
        <v>1551689040331640</v>
      </c>
      <c r="C1598" t="s">
        <v>40</v>
      </c>
      <c r="D1598">
        <v>5.3749279999999997</v>
      </c>
      <c r="E1598">
        <v>0.53135169999999998</v>
      </c>
      <c r="F1598" t="s">
        <v>41</v>
      </c>
      <c r="G1598">
        <v>-192.1337</v>
      </c>
      <c r="H1598">
        <v>1.020084</v>
      </c>
      <c r="I1598">
        <v>321.01830000000001</v>
      </c>
      <c r="J1598">
        <v>-192.119</v>
      </c>
      <c r="K1598">
        <v>1.1116889999999999</v>
      </c>
      <c r="L1598">
        <v>321.48090000000002</v>
      </c>
      <c r="M1598">
        <v>-1.3445469999999999E-2</v>
      </c>
      <c r="N1598">
        <v>-1.391629E-2</v>
      </c>
      <c r="O1598">
        <v>-0.99981299999999995</v>
      </c>
      <c r="P1598">
        <v>3.7622059999999999E-2</v>
      </c>
      <c r="Q1598">
        <v>0.34805330000000001</v>
      </c>
      <c r="R1598">
        <v>-0.93671990000000005</v>
      </c>
      <c r="S1598">
        <v>-8.0230709999999997E-2</v>
      </c>
      <c r="T1598">
        <v>-0.42695529999999998</v>
      </c>
      <c r="U1598">
        <v>-3.3640140000000001</v>
      </c>
      <c r="V1598">
        <v>-5.0765610000000003E-2</v>
      </c>
      <c r="W1598">
        <v>0.36097000000000001</v>
      </c>
      <c r="X1598">
        <v>0.93119470000000004</v>
      </c>
      <c r="Y1598">
        <v>1.02375E-2</v>
      </c>
      <c r="Z1598">
        <v>0.112055</v>
      </c>
      <c r="AA1598">
        <v>0.99364920000000001</v>
      </c>
      <c r="AB1598">
        <v>26</v>
      </c>
      <c r="AC1598">
        <v>-1.46999999999764E-2</v>
      </c>
      <c r="AD1598">
        <v>-9.1604999999999895E-2</v>
      </c>
      <c r="AE1598">
        <v>-0.462600000000008</v>
      </c>
      <c r="AF1598">
        <v>8.1585974701921006E-3</v>
      </c>
      <c r="AG1598">
        <v>-9.1604999999999895E-2</v>
      </c>
      <c r="AH1598">
        <v>0.445311574282587</v>
      </c>
      <c r="AI1598">
        <v>101.622257376863</v>
      </c>
      <c r="AJ1598">
        <v>88.950395774295004</v>
      </c>
      <c r="AK1598">
        <v>0.45470917840716302</v>
      </c>
      <c r="AL1598">
        <v>68.840221641900996</v>
      </c>
      <c r="AM1598">
        <v>93.120484636335703</v>
      </c>
      <c r="AN1598">
        <v>1.0000000286833799</v>
      </c>
    </row>
    <row r="1599" spans="1:40" x14ac:dyDescent="0.25">
      <c r="A1599" t="str">
        <f>"20190304164400359"</f>
        <v>20190304164400359</v>
      </c>
      <c r="B1599" t="str">
        <f>"1551689040351161"</f>
        <v>1551689040351161</v>
      </c>
      <c r="C1599" t="s">
        <v>40</v>
      </c>
      <c r="D1599">
        <v>5.3566589999999996</v>
      </c>
      <c r="E1599">
        <v>0.5308351</v>
      </c>
      <c r="F1599" t="s">
        <v>41</v>
      </c>
      <c r="G1599">
        <v>-192.13849999999999</v>
      </c>
      <c r="H1599">
        <v>0.99524990000000002</v>
      </c>
      <c r="I1599">
        <v>320.57479999999998</v>
      </c>
      <c r="J1599">
        <v>-192.12139999999999</v>
      </c>
      <c r="K1599">
        <v>1.111764</v>
      </c>
      <c r="L1599">
        <v>321.21969999999999</v>
      </c>
      <c r="M1599">
        <v>-1.238946E-2</v>
      </c>
      <c r="N1599">
        <v>-1.3914889999999999E-2</v>
      </c>
      <c r="O1599">
        <v>-0.99982660000000001</v>
      </c>
      <c r="P1599">
        <v>3.814352E-2</v>
      </c>
      <c r="Q1599">
        <v>0.34849599999999997</v>
      </c>
      <c r="R1599">
        <v>-0.93653399999999998</v>
      </c>
      <c r="S1599">
        <v>-7.1670529999999996E-2</v>
      </c>
      <c r="T1599">
        <v>-0.43284610000000001</v>
      </c>
      <c r="U1599">
        <v>-3.3663940000000001</v>
      </c>
      <c r="V1599">
        <v>-5.0363190000000002E-2</v>
      </c>
      <c r="W1599">
        <v>0.36140090000000002</v>
      </c>
      <c r="X1599">
        <v>0.93104940000000003</v>
      </c>
      <c r="Y1599">
        <v>8.7489089999999992E-3</v>
      </c>
      <c r="Z1599">
        <v>0.1136856</v>
      </c>
      <c r="AA1599">
        <v>0.99347819999999998</v>
      </c>
      <c r="AB1599">
        <v>26</v>
      </c>
      <c r="AC1599">
        <v>-1.7099999999999199E-2</v>
      </c>
      <c r="AD1599">
        <v>-0.116514099999999</v>
      </c>
      <c r="AE1599">
        <v>-0.64490000000000602</v>
      </c>
      <c r="AF1599">
        <v>8.8202470893584805E-3</v>
      </c>
      <c r="AG1599">
        <v>-0.116514099999999</v>
      </c>
      <c r="AH1599">
        <v>0.62468591521440198</v>
      </c>
      <c r="AI1599">
        <v>100.564168136335</v>
      </c>
      <c r="AJ1599">
        <v>89.191066516570004</v>
      </c>
      <c r="AK1599">
        <v>0.63552012157348903</v>
      </c>
      <c r="AL1599">
        <v>68.813745480637294</v>
      </c>
      <c r="AM1599">
        <v>93.096278991388701</v>
      </c>
      <c r="AN1599">
        <v>1.00000002333407</v>
      </c>
    </row>
    <row r="1600" spans="1:40" x14ac:dyDescent="0.25">
      <c r="A1600" t="str">
        <f>"20190304164400382"</f>
        <v>20190304164400382</v>
      </c>
      <c r="B1600" t="str">
        <f>"1551689040371656"</f>
        <v>1551689040371656</v>
      </c>
      <c r="C1600" t="s">
        <v>40</v>
      </c>
      <c r="D1600">
        <v>5.3462719999999999</v>
      </c>
      <c r="E1600">
        <v>0.53066040000000003</v>
      </c>
      <c r="F1600" t="s">
        <v>41</v>
      </c>
      <c r="G1600">
        <v>-192.1387</v>
      </c>
      <c r="H1600">
        <v>0.9992008</v>
      </c>
      <c r="I1600">
        <v>320.34539999999998</v>
      </c>
      <c r="J1600">
        <v>-192.1233</v>
      </c>
      <c r="K1600">
        <v>1.111829</v>
      </c>
      <c r="L1600">
        <v>320.96629999999999</v>
      </c>
      <c r="M1600">
        <v>-1.127586E-2</v>
      </c>
      <c r="N1600">
        <v>-1.391355E-2</v>
      </c>
      <c r="O1600">
        <v>-0.99983979999999995</v>
      </c>
      <c r="P1600">
        <v>3.9594299999999999E-2</v>
      </c>
      <c r="Q1600">
        <v>0.34889160000000002</v>
      </c>
      <c r="R1600">
        <v>-0.9363264</v>
      </c>
      <c r="S1600">
        <v>-6.6284179999999998E-2</v>
      </c>
      <c r="T1600">
        <v>-0.43372169999999999</v>
      </c>
      <c r="U1600">
        <v>-3.367432</v>
      </c>
      <c r="V1600">
        <v>-5.0827009999999999E-2</v>
      </c>
      <c r="W1600">
        <v>0.3617842</v>
      </c>
      <c r="X1600">
        <v>0.93087529999999996</v>
      </c>
      <c r="Y1600">
        <v>8.2676720000000002E-3</v>
      </c>
      <c r="Z1600">
        <v>0.11390690000000001</v>
      </c>
      <c r="AA1600">
        <v>0.99345700000000003</v>
      </c>
      <c r="AB1600">
        <v>26</v>
      </c>
      <c r="AC1600">
        <v>-1.53999999999996E-2</v>
      </c>
      <c r="AD1600">
        <v>-0.1126282</v>
      </c>
      <c r="AE1600">
        <v>-0.620900000000006</v>
      </c>
      <c r="AF1600">
        <v>8.1298221680945592E-3</v>
      </c>
      <c r="AG1600">
        <v>-0.1126282</v>
      </c>
      <c r="AH1600">
        <v>0.60126230867861097</v>
      </c>
      <c r="AI1600">
        <v>100.608720728093</v>
      </c>
      <c r="AJ1600">
        <v>89.225336250075003</v>
      </c>
      <c r="AK1600">
        <v>0.61177411622367495</v>
      </c>
      <c r="AL1600">
        <v>68.7901898313971</v>
      </c>
      <c r="AM1600">
        <v>93.125321190243994</v>
      </c>
      <c r="AN1600">
        <v>1.0000000082326299</v>
      </c>
    </row>
    <row r="1601" spans="1:40" x14ac:dyDescent="0.25">
      <c r="A1601" t="str">
        <f>"20190304164400403"</f>
        <v>20190304164400403</v>
      </c>
      <c r="B1601" t="str">
        <f>"1551689040391176"</f>
        <v>1551689040391176</v>
      </c>
      <c r="C1601" t="s">
        <v>40</v>
      </c>
      <c r="D1601">
        <v>5.3588630000000004</v>
      </c>
      <c r="E1601">
        <v>0.53047339999999998</v>
      </c>
      <c r="F1601" t="s">
        <v>41</v>
      </c>
      <c r="G1601">
        <v>-192.13890000000001</v>
      </c>
      <c r="H1601">
        <v>1.0022260000000001</v>
      </c>
      <c r="I1601">
        <v>320.11669999999998</v>
      </c>
      <c r="J1601">
        <v>-192.12469999999999</v>
      </c>
      <c r="K1601">
        <v>1.1118840000000001</v>
      </c>
      <c r="L1601">
        <v>320.72379999999998</v>
      </c>
      <c r="M1601">
        <v>-1.012356E-2</v>
      </c>
      <c r="N1601">
        <v>-1.3911949999999999E-2</v>
      </c>
      <c r="O1601">
        <v>-0.99985190000000002</v>
      </c>
      <c r="P1601">
        <v>4.098475E-2</v>
      </c>
      <c r="Q1601">
        <v>0.34915159999999901</v>
      </c>
      <c r="R1601">
        <v>-0.93616960000000005</v>
      </c>
      <c r="S1601">
        <v>-6.1187739999999997E-2</v>
      </c>
      <c r="T1601">
        <v>-0.43488680000000002</v>
      </c>
      <c r="U1601">
        <v>-3.3686219999999998</v>
      </c>
      <c r="V1601">
        <v>-5.1186990000000002E-2</v>
      </c>
      <c r="W1601">
        <v>0.36203350000000001</v>
      </c>
      <c r="X1601">
        <v>0.93075870000000005</v>
      </c>
      <c r="Y1601">
        <v>7.9104409999999903E-3</v>
      </c>
      <c r="Z1601">
        <v>0.114206</v>
      </c>
      <c r="AA1601">
        <v>0.99342560000000002</v>
      </c>
      <c r="AB1601">
        <v>25</v>
      </c>
      <c r="AC1601">
        <v>-1.42000000000166E-2</v>
      </c>
      <c r="AD1601">
        <v>-0.10965800000000001</v>
      </c>
      <c r="AE1601">
        <v>-0.60710000000000197</v>
      </c>
      <c r="AF1601">
        <v>7.7983750827956399E-3</v>
      </c>
      <c r="AG1601">
        <v>-0.10965800000000001</v>
      </c>
      <c r="AH1601">
        <v>0.58803797658434198</v>
      </c>
      <c r="AI1601">
        <v>100.562343963404</v>
      </c>
      <c r="AJ1601">
        <v>89.240205895216405</v>
      </c>
      <c r="AK1601">
        <v>0.59822600538871495</v>
      </c>
      <c r="AL1601">
        <v>68.774868494695397</v>
      </c>
      <c r="AM1601">
        <v>93.147805285919901</v>
      </c>
      <c r="AN1601">
        <v>1.0000000603465899</v>
      </c>
    </row>
    <row r="1602" spans="1:40" x14ac:dyDescent="0.25">
      <c r="A1602" t="str">
        <f>"20190304164400427"</f>
        <v>20190304164400427</v>
      </c>
      <c r="B1602" t="str">
        <f>"1551689040421433"</f>
        <v>1551689040421433</v>
      </c>
      <c r="C1602" t="s">
        <v>40</v>
      </c>
      <c r="D1602">
        <v>5.3607209999999998</v>
      </c>
      <c r="E1602">
        <v>0.5302538</v>
      </c>
      <c r="F1602" t="s">
        <v>41</v>
      </c>
      <c r="G1602">
        <v>-192.1386</v>
      </c>
      <c r="H1602">
        <v>1.0039720000000001</v>
      </c>
      <c r="I1602">
        <v>319.88900000000001</v>
      </c>
      <c r="J1602">
        <v>-192.1259</v>
      </c>
      <c r="K1602">
        <v>1.1119490000000001</v>
      </c>
      <c r="L1602">
        <v>320.459</v>
      </c>
      <c r="M1602">
        <v>-8.760215E-3</v>
      </c>
      <c r="N1602">
        <v>-1.391041E-2</v>
      </c>
      <c r="O1602">
        <v>-0.99986489999999995</v>
      </c>
      <c r="P1602">
        <v>4.1957479999999998E-2</v>
      </c>
      <c r="Q1602">
        <v>0.34798590000000001</v>
      </c>
      <c r="R1602">
        <v>-0.93656050000000002</v>
      </c>
      <c r="S1602">
        <v>-5.6091309999999998E-2</v>
      </c>
      <c r="T1602">
        <v>-0.43562289999999998</v>
      </c>
      <c r="U1602">
        <v>-3.3694760000000001</v>
      </c>
      <c r="V1602">
        <v>-5.0940100000000002E-2</v>
      </c>
      <c r="W1602">
        <v>0.36086550000000001</v>
      </c>
      <c r="X1602">
        <v>0.93122570000000005</v>
      </c>
      <c r="Y1602">
        <v>7.767014E-3</v>
      </c>
      <c r="Z1602">
        <v>0.11439290000000001</v>
      </c>
      <c r="AA1602">
        <v>0.99340519999999999</v>
      </c>
      <c r="AB1602">
        <v>25</v>
      </c>
      <c r="AC1602">
        <v>-1.26999999999952E-2</v>
      </c>
      <c r="AD1602">
        <v>-0.107977</v>
      </c>
      <c r="AE1602">
        <v>-0.56999999999999296</v>
      </c>
      <c r="AF1602">
        <v>7.4388948173810497E-3</v>
      </c>
      <c r="AG1602">
        <v>-0.107977</v>
      </c>
      <c r="AH1602">
        <v>0.55034988975761401</v>
      </c>
      <c r="AI1602">
        <v>101.099276403258</v>
      </c>
      <c r="AJ1602">
        <v>89.225599329824405</v>
      </c>
      <c r="AK1602">
        <v>0.56089158563961505</v>
      </c>
      <c r="AL1602">
        <v>68.846642335887594</v>
      </c>
      <c r="AM1602">
        <v>93.131084936301804</v>
      </c>
      <c r="AN1602">
        <v>1.0000000536093701</v>
      </c>
    </row>
    <row r="1603" spans="1:40" x14ac:dyDescent="0.25">
      <c r="A1603" t="str">
        <f>"20190304164400451"</f>
        <v>20190304164400451</v>
      </c>
      <c r="B1603" t="str">
        <f>"1551689040440954"</f>
        <v>1551689040440954</v>
      </c>
      <c r="C1603" t="s">
        <v>40</v>
      </c>
      <c r="D1603">
        <v>5.3704789999999996</v>
      </c>
      <c r="E1603">
        <v>0.5301304</v>
      </c>
      <c r="F1603" t="s">
        <v>41</v>
      </c>
      <c r="G1603">
        <v>-192.13820000000001</v>
      </c>
      <c r="H1603">
        <v>1.0071490000000001</v>
      </c>
      <c r="I1603">
        <v>319.66090000000003</v>
      </c>
      <c r="J1603">
        <v>-192.1266</v>
      </c>
      <c r="K1603">
        <v>1.11202</v>
      </c>
      <c r="L1603">
        <v>320.18880000000001</v>
      </c>
      <c r="M1603">
        <v>-7.251759E-3</v>
      </c>
      <c r="N1603">
        <v>-1.390948E-2</v>
      </c>
      <c r="O1603">
        <v>-0.99987700000000002</v>
      </c>
      <c r="P1603">
        <v>4.2930309999999999E-2</v>
      </c>
      <c r="Q1603">
        <v>0.34656720000000002</v>
      </c>
      <c r="R1603">
        <v>-0.93704240000000005</v>
      </c>
      <c r="S1603">
        <v>-5.1101679999999997E-2</v>
      </c>
      <c r="T1603">
        <v>-0.44292880000000001</v>
      </c>
      <c r="U1603">
        <v>-3.3700260000000002</v>
      </c>
      <c r="V1603">
        <v>-5.0564390000000001E-2</v>
      </c>
      <c r="W1603">
        <v>0.35944559999999998</v>
      </c>
      <c r="X1603">
        <v>0.93179509999999999</v>
      </c>
      <c r="Y1603">
        <v>7.79863E-3</v>
      </c>
      <c r="Z1603">
        <v>0.116494</v>
      </c>
      <c r="AA1603">
        <v>0.99316079999999995</v>
      </c>
      <c r="AB1603">
        <v>25</v>
      </c>
      <c r="AC1603">
        <v>-1.1600000000015501E-2</v>
      </c>
      <c r="AD1603">
        <v>-0.10487099999999901</v>
      </c>
      <c r="AE1603">
        <v>-0.52789999999998805</v>
      </c>
      <c r="AF1603">
        <v>7.4762177114355496E-3</v>
      </c>
      <c r="AG1603">
        <v>-0.10487099999999901</v>
      </c>
      <c r="AH1603">
        <v>0.50793449730510098</v>
      </c>
      <c r="AI1603">
        <v>101.66446010024301</v>
      </c>
      <c r="AJ1603">
        <v>89.156732227904101</v>
      </c>
      <c r="AK1603">
        <v>0.51870152691586902</v>
      </c>
      <c r="AL1603">
        <v>68.933847726325695</v>
      </c>
      <c r="AM1603">
        <v>93.106141449050099</v>
      </c>
      <c r="AN1603">
        <v>1.00000000263972</v>
      </c>
    </row>
    <row r="1604" spans="1:40" x14ac:dyDescent="0.25">
      <c r="A1604" t="str">
        <f>"20190304164400473"</f>
        <v>20190304164400473</v>
      </c>
      <c r="B1604" t="str">
        <f>"1551689040460980"</f>
        <v>1551689040460980</v>
      </c>
      <c r="C1604" t="s">
        <v>40</v>
      </c>
      <c r="D1604">
        <v>5.5696659999999998</v>
      </c>
      <c r="E1604">
        <v>0.52489739999999996</v>
      </c>
      <c r="F1604" t="s">
        <v>41</v>
      </c>
      <c r="G1604">
        <v>-192.1371</v>
      </c>
      <c r="H1604">
        <v>1.0110209999999999</v>
      </c>
      <c r="I1604">
        <v>319.43279999999999</v>
      </c>
      <c r="J1604">
        <v>-192.1268</v>
      </c>
      <c r="K1604">
        <v>1.1121000000000001</v>
      </c>
      <c r="L1604">
        <v>319.93119999999999</v>
      </c>
      <c r="M1604">
        <v>-5.6926779999999996E-3</v>
      </c>
      <c r="N1604">
        <v>-1.3909309999999999E-2</v>
      </c>
      <c r="O1604">
        <v>-0.99988719999999998</v>
      </c>
      <c r="P1604">
        <v>4.339262E-2</v>
      </c>
      <c r="Q1604">
        <v>0.34656619999999999</v>
      </c>
      <c r="R1604">
        <v>-0.93702160000000001</v>
      </c>
      <c r="S1604">
        <v>-4.58374E-2</v>
      </c>
      <c r="T1604">
        <v>-0.4504898</v>
      </c>
      <c r="U1604">
        <v>-3.3702390000000002</v>
      </c>
      <c r="V1604">
        <v>-4.9636800000000002E-2</v>
      </c>
      <c r="W1604">
        <v>0.35943799999999998</v>
      </c>
      <c r="X1604">
        <v>0.93184789999999995</v>
      </c>
      <c r="Y1604">
        <v>7.80227E-3</v>
      </c>
      <c r="Z1604">
        <v>0.11867850000000001</v>
      </c>
      <c r="AA1604">
        <v>0.99290210000000001</v>
      </c>
      <c r="AB1604">
        <v>25</v>
      </c>
      <c r="AC1604">
        <v>-1.03000000000008E-2</v>
      </c>
      <c r="AD1604">
        <v>-0.101079</v>
      </c>
      <c r="AE1604">
        <v>-0.49840000000000301</v>
      </c>
      <c r="AF1604">
        <v>7.1676441055105802E-3</v>
      </c>
      <c r="AG1604">
        <v>-0.101079</v>
      </c>
      <c r="AH1604">
        <v>0.47876696260544099</v>
      </c>
      <c r="AI1604">
        <v>101.92012547918399</v>
      </c>
      <c r="AJ1604">
        <v>89.142286100355093</v>
      </c>
      <c r="AK1604">
        <v>0.48937321529223798</v>
      </c>
      <c r="AL1604">
        <v>68.934314263621403</v>
      </c>
      <c r="AM1604">
        <v>93.049096212010696</v>
      </c>
      <c r="AN1604">
        <v>0.99999999824632402</v>
      </c>
    </row>
    <row r="1605" spans="1:40" x14ac:dyDescent="0.25">
      <c r="A1605" t="str">
        <f>"20190304164400493"</f>
        <v>20190304164400493</v>
      </c>
      <c r="B1605" t="str">
        <f>"1551689040481476"</f>
        <v>1551689040481476</v>
      </c>
      <c r="C1605" t="s">
        <v>40</v>
      </c>
      <c r="D1605">
        <v>5.4086309999999997</v>
      </c>
      <c r="E1605">
        <v>0.52992090000000003</v>
      </c>
      <c r="F1605" t="s">
        <v>41</v>
      </c>
      <c r="G1605">
        <v>-192.12690000000001</v>
      </c>
      <c r="H1605">
        <v>1.0074620000000001</v>
      </c>
      <c r="I1605">
        <v>319.20839999999998</v>
      </c>
      <c r="J1605">
        <v>-192.12649999999999</v>
      </c>
      <c r="K1605">
        <v>1.1121890000000001</v>
      </c>
      <c r="L1605">
        <v>319.70600000000002</v>
      </c>
      <c r="M1605">
        <v>-4.2165550000000003E-3</v>
      </c>
      <c r="N1605">
        <v>-1.3909410000000001E-2</v>
      </c>
      <c r="O1605">
        <v>-0.99989459999999997</v>
      </c>
      <c r="P1605">
        <v>4.3737369999999998E-2</v>
      </c>
      <c r="Q1605">
        <v>0.34710000000000002</v>
      </c>
      <c r="R1605">
        <v>-0.93680799999999997</v>
      </c>
      <c r="S1605">
        <v>4.8828130000000002E-4</v>
      </c>
      <c r="T1605">
        <v>-0.49004340000000002</v>
      </c>
      <c r="U1605">
        <v>-3.3828429999999998</v>
      </c>
      <c r="V1605">
        <v>-4.8669539999999997E-2</v>
      </c>
      <c r="W1605">
        <v>0.35996260000000002</v>
      </c>
      <c r="X1605">
        <v>0.93169639999999998</v>
      </c>
      <c r="Y1605">
        <v>-4.3552929999999997E-3</v>
      </c>
      <c r="Z1605">
        <v>0.1295828</v>
      </c>
      <c r="AA1605">
        <v>0.99155899999999997</v>
      </c>
      <c r="AB1605">
        <v>25</v>
      </c>
      <c r="AC1605">
        <v>-4.0000000001327803E-4</v>
      </c>
      <c r="AD1605">
        <v>-0.104726999999999</v>
      </c>
      <c r="AE1605">
        <v>-0.49759999999997701</v>
      </c>
      <c r="AF1605">
        <v>-1.6263254840866799E-3</v>
      </c>
      <c r="AG1605">
        <v>-0.104726999999999</v>
      </c>
      <c r="AH1605">
        <v>0.476491015330259</v>
      </c>
      <c r="AI1605">
        <v>102.395761262167</v>
      </c>
      <c r="AJ1605">
        <v>90.195557149073494</v>
      </c>
      <c r="AK1605">
        <v>0.48786686416894598</v>
      </c>
      <c r="AL1605">
        <v>68.902100590716699</v>
      </c>
      <c r="AM1605">
        <v>92.9902733760389</v>
      </c>
      <c r="AN1605">
        <v>0.99999998964776504</v>
      </c>
    </row>
    <row r="1606" spans="1:40" x14ac:dyDescent="0.25">
      <c r="A1606" t="str">
        <f>"20190304164400514"</f>
        <v>20190304164400514</v>
      </c>
      <c r="B1606" t="str">
        <f>"1551689040511732"</f>
        <v>1551689040511732</v>
      </c>
      <c r="C1606" t="s">
        <v>40</v>
      </c>
      <c r="D1606">
        <v>5.4215</v>
      </c>
      <c r="E1606">
        <v>0.52968230000000005</v>
      </c>
      <c r="F1606" t="s">
        <v>41</v>
      </c>
      <c r="G1606">
        <v>-192.13470000000001</v>
      </c>
      <c r="H1606">
        <v>1.01116299999999</v>
      </c>
      <c r="I1606">
        <v>318.98129999999998</v>
      </c>
      <c r="J1606">
        <v>-192.12569999999999</v>
      </c>
      <c r="K1606">
        <v>1.112282</v>
      </c>
      <c r="L1606">
        <v>319.46600000000001</v>
      </c>
      <c r="M1606">
        <v>-2.5274849999999999E-3</v>
      </c>
      <c r="N1606">
        <v>-1.3909650000000001E-2</v>
      </c>
      <c r="O1606">
        <v>-0.99990020000000002</v>
      </c>
      <c r="P1606">
        <v>4.3858899999999999E-2</v>
      </c>
      <c r="Q1606">
        <v>0.34730939999999999</v>
      </c>
      <c r="R1606">
        <v>-0.93672469999999997</v>
      </c>
      <c r="S1606">
        <v>-3.7704469999999997E-2</v>
      </c>
      <c r="T1606">
        <v>-0.47126689999999999</v>
      </c>
      <c r="U1606">
        <v>-3.3787539999999998</v>
      </c>
      <c r="V1606">
        <v>-4.7287410000000002E-2</v>
      </c>
      <c r="W1606">
        <v>0.36016589999999998</v>
      </c>
      <c r="X1606">
        <v>0.93168899999999999</v>
      </c>
      <c r="Y1606">
        <v>8.5352169999999995E-3</v>
      </c>
      <c r="Z1606">
        <v>0.12434539999999999</v>
      </c>
      <c r="AA1606">
        <v>0.99220229999999998</v>
      </c>
      <c r="AB1606">
        <v>25</v>
      </c>
      <c r="AC1606">
        <v>-9.0000000000145502E-3</v>
      </c>
      <c r="AD1606">
        <v>-0.101119</v>
      </c>
      <c r="AE1606">
        <v>-0.48470000000003199</v>
      </c>
      <c r="AF1606">
        <v>7.4506188860024103E-3</v>
      </c>
      <c r="AG1606">
        <v>-0.101119</v>
      </c>
      <c r="AH1606">
        <v>0.46451121620723301</v>
      </c>
      <c r="AI1606">
        <v>102.279530266969</v>
      </c>
      <c r="AJ1606">
        <v>89.081071890535199</v>
      </c>
      <c r="AK1606">
        <v>0.475448455529206</v>
      </c>
      <c r="AL1606">
        <v>68.889614781362596</v>
      </c>
      <c r="AM1606">
        <v>92.905525496145998</v>
      </c>
      <c r="AN1606">
        <v>0.99999998369415799</v>
      </c>
    </row>
    <row r="1607" spans="1:40" x14ac:dyDescent="0.25">
      <c r="A1607" t="str">
        <f>"20190304164400538"</f>
        <v>20190304164400538</v>
      </c>
      <c r="B1607" t="str">
        <f>"1551689040531253"</f>
        <v>1551689040531253</v>
      </c>
      <c r="C1607" t="s">
        <v>40</v>
      </c>
      <c r="D1607">
        <v>5.4269499999999997</v>
      </c>
      <c r="E1607">
        <v>0.52935030000000005</v>
      </c>
      <c r="F1607" t="s">
        <v>41</v>
      </c>
      <c r="G1607">
        <v>-192.1352</v>
      </c>
      <c r="H1607">
        <v>0.98330459999999997</v>
      </c>
      <c r="I1607">
        <v>318.54500000000002</v>
      </c>
      <c r="J1607">
        <v>-192.1241</v>
      </c>
      <c r="K1607">
        <v>1.1123719999999999</v>
      </c>
      <c r="L1607">
        <v>319.20639999999997</v>
      </c>
      <c r="M1607">
        <v>-5.6474379999999999E-4</v>
      </c>
      <c r="N1607">
        <v>-1.391033E-2</v>
      </c>
      <c r="O1607">
        <v>-0.99990299999999999</v>
      </c>
      <c r="P1607">
        <v>4.4088559999999999E-2</v>
      </c>
      <c r="Q1607">
        <v>0.34646139999999997</v>
      </c>
      <c r="R1607">
        <v>-0.93702750000000001</v>
      </c>
      <c r="S1607">
        <v>-3.4667969999999999E-2</v>
      </c>
      <c r="T1607">
        <v>-0.47346690000000002</v>
      </c>
      <c r="U1607">
        <v>-3.3797609999999998</v>
      </c>
      <c r="V1607">
        <v>-4.5755089999999998E-2</v>
      </c>
      <c r="W1607">
        <v>0.35931920000000001</v>
      </c>
      <c r="X1607">
        <v>0.93209240000000004</v>
      </c>
      <c r="Y1607">
        <v>9.6015159999999992E-3</v>
      </c>
      <c r="Z1607">
        <v>0.1249382</v>
      </c>
      <c r="AA1607">
        <v>0.9921181</v>
      </c>
      <c r="AB1607">
        <v>25</v>
      </c>
      <c r="AC1607">
        <v>-1.1099999999999E-2</v>
      </c>
      <c r="AD1607">
        <v>-0.129067399999999</v>
      </c>
      <c r="AE1607">
        <v>-0.66139999999995702</v>
      </c>
      <c r="AF1607">
        <v>1.03330612601924E-2</v>
      </c>
      <c r="AG1607">
        <v>-0.129067399999999</v>
      </c>
      <c r="AH1607">
        <v>0.63714989190544002</v>
      </c>
      <c r="AI1607">
        <v>101.44997843551801</v>
      </c>
      <c r="AJ1607">
        <v>89.070879692751504</v>
      </c>
      <c r="AK1607">
        <v>0.65017316974240102</v>
      </c>
      <c r="AL1607">
        <v>68.941608980799899</v>
      </c>
      <c r="AM1607">
        <v>92.810312435052893</v>
      </c>
      <c r="AN1607">
        <v>1.0000000289436499</v>
      </c>
    </row>
    <row r="1608" spans="1:40" x14ac:dyDescent="0.25">
      <c r="A1608" t="str">
        <f>"20190304164400560"</f>
        <v>20190304164400560</v>
      </c>
      <c r="B1608" t="str">
        <f>"1551689040551221"</f>
        <v>1551689040551221</v>
      </c>
      <c r="C1608" t="s">
        <v>40</v>
      </c>
      <c r="D1608">
        <v>5.4489369999999999</v>
      </c>
      <c r="E1608">
        <v>0.52914740000000005</v>
      </c>
      <c r="F1608" t="s">
        <v>41</v>
      </c>
      <c r="G1608">
        <v>-192.1326</v>
      </c>
      <c r="H1608">
        <v>0.99133269999999996</v>
      </c>
      <c r="I1608">
        <v>318.31650000000002</v>
      </c>
      <c r="J1608">
        <v>-192.12209999999999</v>
      </c>
      <c r="K1608">
        <v>1.112436</v>
      </c>
      <c r="L1608">
        <v>318.95479999999998</v>
      </c>
      <c r="M1608">
        <v>1.43827E-3</v>
      </c>
      <c r="N1608">
        <v>-1.3910799999999999E-2</v>
      </c>
      <c r="O1608">
        <v>-0.99990230000000002</v>
      </c>
      <c r="P1608">
        <v>4.3437179999999999E-2</v>
      </c>
      <c r="Q1608">
        <v>0.34479149999999997</v>
      </c>
      <c r="R1608">
        <v>-0.9376738</v>
      </c>
      <c r="S1608">
        <v>-3.1539919999999999E-2</v>
      </c>
      <c r="T1608">
        <v>-0.45907559999999897</v>
      </c>
      <c r="U1608">
        <v>-3.3728030000000002</v>
      </c>
      <c r="V1608">
        <v>-4.3280819999999998E-2</v>
      </c>
      <c r="W1608">
        <v>0.3576606</v>
      </c>
      <c r="X1608">
        <v>0.93284820000000002</v>
      </c>
      <c r="Y1608">
        <v>1.070919E-2</v>
      </c>
      <c r="Z1608">
        <v>0.12106359999999999</v>
      </c>
      <c r="AA1608">
        <v>0.992587</v>
      </c>
      <c r="AB1608">
        <v>25</v>
      </c>
      <c r="AC1608">
        <v>-1.05000000000075E-2</v>
      </c>
      <c r="AD1608">
        <v>-0.1211033</v>
      </c>
      <c r="AE1608">
        <v>-0.63829999999995801</v>
      </c>
      <c r="AF1608">
        <v>1.1021495864710301E-2</v>
      </c>
      <c r="AG1608">
        <v>-0.1211033</v>
      </c>
      <c r="AH1608">
        <v>0.61611224987134405</v>
      </c>
      <c r="AI1608">
        <v>101.118581085223</v>
      </c>
      <c r="AJ1608">
        <v>88.975157773864694</v>
      </c>
      <c r="AK1608">
        <v>0.62799823812134703</v>
      </c>
      <c r="AL1608">
        <v>69.043406290919805</v>
      </c>
      <c r="AM1608">
        <v>92.656414244217004</v>
      </c>
      <c r="AN1608">
        <v>1.0000000492077299</v>
      </c>
    </row>
    <row r="1609" spans="1:40" x14ac:dyDescent="0.25">
      <c r="A1609" t="str">
        <f>"20190304164400582"</f>
        <v>20190304164400582</v>
      </c>
      <c r="B1609" t="str">
        <f>"1551689040571718"</f>
        <v>1551689040571718</v>
      </c>
      <c r="C1609" t="s">
        <v>40</v>
      </c>
      <c r="D1609">
        <v>5.4315550000000004</v>
      </c>
      <c r="E1609">
        <v>0.52918710000000002</v>
      </c>
      <c r="F1609" t="s">
        <v>41</v>
      </c>
      <c r="G1609">
        <v>-192.13040000000001</v>
      </c>
      <c r="H1609">
        <v>0.99591580000000002</v>
      </c>
      <c r="I1609">
        <v>318.08999999999997</v>
      </c>
      <c r="J1609">
        <v>-192.11940000000001</v>
      </c>
      <c r="K1609">
        <v>1.112473</v>
      </c>
      <c r="L1609">
        <v>318.70780000000002</v>
      </c>
      <c r="M1609">
        <v>3.4849949999999998E-3</v>
      </c>
      <c r="N1609">
        <v>-1.391072E-2</v>
      </c>
      <c r="O1609">
        <v>-0.99989740000000005</v>
      </c>
      <c r="P1609">
        <v>4.2737900000000002E-2</v>
      </c>
      <c r="Q1609">
        <v>0.34307680000000002</v>
      </c>
      <c r="R1609">
        <v>-0.93833500000000003</v>
      </c>
      <c r="S1609">
        <v>-3.2485960000000001E-2</v>
      </c>
      <c r="T1609">
        <v>-0.45381329999999998</v>
      </c>
      <c r="U1609">
        <v>-3.3678279999999998</v>
      </c>
      <c r="V1609">
        <v>-4.069565E-2</v>
      </c>
      <c r="W1609">
        <v>0.3559599</v>
      </c>
      <c r="X1609">
        <v>0.93361470000000002</v>
      </c>
      <c r="Y1609">
        <v>1.304772E-2</v>
      </c>
      <c r="Z1609">
        <v>0.1197334</v>
      </c>
      <c r="AA1609">
        <v>0.99272039999999995</v>
      </c>
      <c r="AB1609">
        <v>25</v>
      </c>
      <c r="AC1609">
        <v>-1.09999999999956E-2</v>
      </c>
      <c r="AD1609">
        <v>-0.116557199999999</v>
      </c>
      <c r="AE1609">
        <v>-0.61780000000004498</v>
      </c>
      <c r="AF1609">
        <v>1.27012211202168E-2</v>
      </c>
      <c r="AG1609">
        <v>-0.116557199999999</v>
      </c>
      <c r="AH1609">
        <v>0.59653142452793895</v>
      </c>
      <c r="AI1609">
        <v>101.05337632703799</v>
      </c>
      <c r="AJ1609">
        <v>88.780254659498496</v>
      </c>
      <c r="AK1609">
        <v>0.60794460466321798</v>
      </c>
      <c r="AL1609">
        <v>69.147714037796007</v>
      </c>
      <c r="AM1609">
        <v>92.495905335014498</v>
      </c>
      <c r="AN1609">
        <v>0.999999997196511</v>
      </c>
    </row>
    <row r="1610" spans="1:40" x14ac:dyDescent="0.25">
      <c r="A1610" t="str">
        <f>"20190304164400603"</f>
        <v>20190304164400603</v>
      </c>
      <c r="B1610" t="str">
        <f>"1551689040591238"</f>
        <v>1551689040591238</v>
      </c>
      <c r="C1610" t="s">
        <v>40</v>
      </c>
      <c r="D1610">
        <v>5.4344900000000003</v>
      </c>
      <c r="E1610">
        <v>0.52922250000000004</v>
      </c>
      <c r="F1610" t="s">
        <v>41</v>
      </c>
      <c r="G1610">
        <v>-192.1284</v>
      </c>
      <c r="H1610">
        <v>0.99927270000000001</v>
      </c>
      <c r="I1610">
        <v>317.86450000000002</v>
      </c>
      <c r="J1610">
        <v>-192.1164</v>
      </c>
      <c r="K1610">
        <v>1.1125020000000001</v>
      </c>
      <c r="L1610">
        <v>318.46980000000002</v>
      </c>
      <c r="M1610">
        <v>5.5130519999999896E-3</v>
      </c>
      <c r="N1610">
        <v>-1.3910209999999999E-2</v>
      </c>
      <c r="O1610">
        <v>-0.99988809999999995</v>
      </c>
      <c r="P1610">
        <v>4.2199340000000002E-2</v>
      </c>
      <c r="Q1610">
        <v>0.34220489999999998</v>
      </c>
      <c r="R1610">
        <v>-0.93867719999999999</v>
      </c>
      <c r="S1610">
        <v>-3.5018920000000002E-2</v>
      </c>
      <c r="T1610">
        <v>-0.45182440000000001</v>
      </c>
      <c r="U1610">
        <v>-3.363953</v>
      </c>
      <c r="V1610">
        <v>-3.8275099999999999E-2</v>
      </c>
      <c r="W1610">
        <v>0.35509930000000001</v>
      </c>
      <c r="X1610">
        <v>0.93404469999999995</v>
      </c>
      <c r="Y1610">
        <v>1.5831930000000001E-2</v>
      </c>
      <c r="Z1610">
        <v>0.1193036</v>
      </c>
      <c r="AA1610">
        <v>0.99273160000000005</v>
      </c>
      <c r="AB1610">
        <v>25</v>
      </c>
      <c r="AC1610">
        <v>-1.2000000000000399E-2</v>
      </c>
      <c r="AD1610">
        <v>-0.1132293</v>
      </c>
      <c r="AE1610">
        <v>-0.60529999999999895</v>
      </c>
      <c r="AF1610">
        <v>1.48188444323038E-2</v>
      </c>
      <c r="AG1610">
        <v>-0.1132293</v>
      </c>
      <c r="AH1610">
        <v>0.58477004729766402</v>
      </c>
      <c r="AI1610">
        <v>100.955163937338</v>
      </c>
      <c r="AJ1610">
        <v>88.5483600480853</v>
      </c>
      <c r="AK1610">
        <v>0.59581581109040005</v>
      </c>
      <c r="AL1610">
        <v>69.200469606226903</v>
      </c>
      <c r="AM1610">
        <v>92.346542348417998</v>
      </c>
      <c r="AN1610">
        <v>0.99999999886929403</v>
      </c>
    </row>
    <row r="1611" spans="1:40" x14ac:dyDescent="0.25">
      <c r="A1611" t="str">
        <f>"20190304164400626"</f>
        <v>20190304164400626</v>
      </c>
      <c r="B1611" t="str">
        <f>"1551689040621494"</f>
        <v>1551689040621494</v>
      </c>
      <c r="C1611" t="s">
        <v>40</v>
      </c>
      <c r="D1611">
        <v>5.4428570000000001</v>
      </c>
      <c r="E1611">
        <v>0.52965810000000002</v>
      </c>
      <c r="F1611" t="s">
        <v>41</v>
      </c>
      <c r="G1611">
        <v>-192.12549999999999</v>
      </c>
      <c r="H1611">
        <v>1.0019739999999999</v>
      </c>
      <c r="I1611">
        <v>317.6395</v>
      </c>
      <c r="J1611">
        <v>-192.11250000000001</v>
      </c>
      <c r="K1611">
        <v>1.112527</v>
      </c>
      <c r="L1611">
        <v>318.21480000000003</v>
      </c>
      <c r="M1611">
        <v>7.7222509999999899E-3</v>
      </c>
      <c r="N1611">
        <v>-1.3909299999999999E-2</v>
      </c>
      <c r="O1611">
        <v>-0.99987360000000003</v>
      </c>
      <c r="P1611">
        <v>4.0327050000000003E-2</v>
      </c>
      <c r="Q1611">
        <v>0.34188269999999998</v>
      </c>
      <c r="R1611">
        <v>-0.93887719999999997</v>
      </c>
      <c r="S1611">
        <v>-3.7002559999999997E-2</v>
      </c>
      <c r="T1611">
        <v>-0.44743850000000002</v>
      </c>
      <c r="U1611">
        <v>-3.3607179999999999</v>
      </c>
      <c r="V1611">
        <v>-3.4340490000000001E-2</v>
      </c>
      <c r="W1611">
        <v>0.35479260000000001</v>
      </c>
      <c r="X1611">
        <v>0.93431419999999998</v>
      </c>
      <c r="Y1611">
        <v>1.863565E-2</v>
      </c>
      <c r="Z1611">
        <v>0.11815100000000001</v>
      </c>
      <c r="AA1611">
        <v>0.9928207</v>
      </c>
      <c r="AB1611">
        <v>25</v>
      </c>
      <c r="AC1611">
        <v>-1.2999999999976799E-2</v>
      </c>
      <c r="AD1611">
        <v>-0.110553</v>
      </c>
      <c r="AE1611">
        <v>-0.57530000000002701</v>
      </c>
      <c r="AF1611">
        <v>1.6821779726066299E-2</v>
      </c>
      <c r="AG1611">
        <v>-0.110553</v>
      </c>
      <c r="AH1611">
        <v>0.55470877627280102</v>
      </c>
      <c r="AI1611">
        <v>101.26627055515701</v>
      </c>
      <c r="AJ1611">
        <v>88.263013432992295</v>
      </c>
      <c r="AK1611">
        <v>0.56586815121211897</v>
      </c>
      <c r="AL1611">
        <v>69.219267045287694</v>
      </c>
      <c r="AM1611">
        <v>92.104944844439302</v>
      </c>
      <c r="AN1611">
        <v>1.0000000412949099</v>
      </c>
    </row>
    <row r="1612" spans="1:40" x14ac:dyDescent="0.25">
      <c r="A1612" t="str">
        <f>"20190304164400650"</f>
        <v>20190304164400650</v>
      </c>
      <c r="B1612" t="str">
        <f>"1551689040641014"</f>
        <v>1551689040641014</v>
      </c>
      <c r="C1612" t="s">
        <v>40</v>
      </c>
      <c r="D1612">
        <v>5.446332</v>
      </c>
      <c r="E1612">
        <v>0.52987799999999996</v>
      </c>
      <c r="F1612" t="s">
        <v>41</v>
      </c>
      <c r="G1612">
        <v>-192.12350000000001</v>
      </c>
      <c r="H1612">
        <v>1.004305</v>
      </c>
      <c r="I1612">
        <v>317.41500000000002</v>
      </c>
      <c r="J1612">
        <v>-192.1078</v>
      </c>
      <c r="K1612">
        <v>1.112538</v>
      </c>
      <c r="L1612">
        <v>317.94459999999998</v>
      </c>
      <c r="M1612">
        <v>1.007598E-2</v>
      </c>
      <c r="N1612">
        <v>-1.390799E-2</v>
      </c>
      <c r="O1612">
        <v>-0.99985259999999998</v>
      </c>
      <c r="P1612">
        <v>3.7761820000000001E-2</v>
      </c>
      <c r="Q1612">
        <v>0.34182869999999999</v>
      </c>
      <c r="R1612">
        <v>-0.93900349999999999</v>
      </c>
      <c r="S1612">
        <v>-4.5547490000000003E-2</v>
      </c>
      <c r="T1612">
        <v>-0.4553432</v>
      </c>
      <c r="U1612">
        <v>-3.3630369999999998</v>
      </c>
      <c r="V1612">
        <v>-2.9568580000000001E-2</v>
      </c>
      <c r="W1612">
        <v>0.35475640000000003</v>
      </c>
      <c r="X1612">
        <v>0.93449110000000002</v>
      </c>
      <c r="Y1612">
        <v>2.349482E-2</v>
      </c>
      <c r="Z1612">
        <v>0.1203413</v>
      </c>
      <c r="AA1612">
        <v>0.99245450000000002</v>
      </c>
      <c r="AB1612">
        <v>25</v>
      </c>
      <c r="AC1612">
        <v>-1.5700000000009501E-2</v>
      </c>
      <c r="AD1612">
        <v>-0.108233</v>
      </c>
      <c r="AE1612">
        <v>-0.52959999999995899</v>
      </c>
      <c r="AF1612">
        <v>2.0193303509547199E-2</v>
      </c>
      <c r="AG1612">
        <v>-0.108233</v>
      </c>
      <c r="AH1612">
        <v>0.50820770913858404</v>
      </c>
      <c r="AI1612">
        <v>102.01345876501099</v>
      </c>
      <c r="AJ1612">
        <v>87.724586369206094</v>
      </c>
      <c r="AK1612">
        <v>0.51999733405423998</v>
      </c>
      <c r="AL1612">
        <v>69.221484778091096</v>
      </c>
      <c r="AM1612">
        <v>91.812312387965903</v>
      </c>
      <c r="AN1612">
        <v>1.0000000101216899</v>
      </c>
    </row>
    <row r="1613" spans="1:40" x14ac:dyDescent="0.25">
      <c r="A1613" t="str">
        <f>"20190304164400673"</f>
        <v>20190304164400673</v>
      </c>
      <c r="B1613" t="str">
        <f>"1551689040661040"</f>
        <v>1551689040661040</v>
      </c>
      <c r="C1613" t="s">
        <v>40</v>
      </c>
      <c r="D1613">
        <v>5.4648289999999999</v>
      </c>
      <c r="E1613">
        <v>0.52994410000000003</v>
      </c>
      <c r="F1613" t="s">
        <v>41</v>
      </c>
      <c r="G1613">
        <v>-192.1199</v>
      </c>
      <c r="H1613">
        <v>1.0095940000000001</v>
      </c>
      <c r="I1613">
        <v>317.1893</v>
      </c>
      <c r="J1613">
        <v>-192.1028</v>
      </c>
      <c r="K1613">
        <v>1.1125320000000001</v>
      </c>
      <c r="L1613">
        <v>317.69450000000001</v>
      </c>
      <c r="M1613">
        <v>1.225128E-2</v>
      </c>
      <c r="N1613">
        <v>-1.3906399999999999E-2</v>
      </c>
      <c r="O1613">
        <v>-0.99982819999999994</v>
      </c>
      <c r="P1613">
        <v>3.5142479999999997E-2</v>
      </c>
      <c r="Q1613">
        <v>0.34207609999999999</v>
      </c>
      <c r="R1613">
        <v>-0.93901489999999999</v>
      </c>
      <c r="S1613">
        <v>-5.360413E-2</v>
      </c>
      <c r="T1613">
        <v>-0.45878720000000001</v>
      </c>
      <c r="U1613">
        <v>-3.3640750000000001</v>
      </c>
      <c r="V1613">
        <v>-2.4903709999999999E-2</v>
      </c>
      <c r="W1613">
        <v>0.35501949999999999</v>
      </c>
      <c r="X1613">
        <v>0.9345272</v>
      </c>
      <c r="Y1613">
        <v>2.8035029999999999E-2</v>
      </c>
      <c r="Z1613">
        <v>0.12128410000000001</v>
      </c>
      <c r="AA1613">
        <v>0.99222180000000004</v>
      </c>
      <c r="AB1613">
        <v>25</v>
      </c>
      <c r="AC1613">
        <v>-1.7099999999999199E-2</v>
      </c>
      <c r="AD1613">
        <v>-0.102937999999999</v>
      </c>
      <c r="AE1613">
        <v>-0.50520000000000198</v>
      </c>
      <c r="AF1613">
        <v>2.23613506590126E-2</v>
      </c>
      <c r="AG1613">
        <v>-0.102937999999999</v>
      </c>
      <c r="AH1613">
        <v>0.48484628793225099</v>
      </c>
      <c r="AI1613">
        <v>101.97415484219199</v>
      </c>
      <c r="AJ1613">
        <v>87.359361543789603</v>
      </c>
      <c r="AK1613">
        <v>0.496157419342872</v>
      </c>
      <c r="AL1613">
        <v>69.205361894298306</v>
      </c>
      <c r="AM1613">
        <v>91.526482974443994</v>
      </c>
      <c r="AN1613">
        <v>1.0000000638459201</v>
      </c>
    </row>
    <row r="1614" spans="1:40" x14ac:dyDescent="0.25">
      <c r="A1614" t="str">
        <f>"20190304164400694"</f>
        <v>20190304164400694</v>
      </c>
      <c r="B1614" t="str">
        <f>"1551689040681538"</f>
        <v>1551689040681538</v>
      </c>
      <c r="C1614" t="s">
        <v>40</v>
      </c>
      <c r="D1614">
        <v>5.4596819999999999</v>
      </c>
      <c r="E1614">
        <v>0.52995289999999995</v>
      </c>
      <c r="F1614" t="s">
        <v>41</v>
      </c>
      <c r="G1614">
        <v>-192.11609999999999</v>
      </c>
      <c r="H1614">
        <v>1.0128520000000001</v>
      </c>
      <c r="I1614">
        <v>316.9649</v>
      </c>
      <c r="J1614">
        <v>-192.0977</v>
      </c>
      <c r="K1614">
        <v>1.1125179999999999</v>
      </c>
      <c r="L1614">
        <v>317.46140000000003</v>
      </c>
      <c r="M1614">
        <v>1.4265949999999999E-2</v>
      </c>
      <c r="N1614">
        <v>-1.3904440000000001E-2</v>
      </c>
      <c r="O1614">
        <v>-0.99980159999999996</v>
      </c>
      <c r="P1614">
        <v>3.2751509999999998E-2</v>
      </c>
      <c r="Q1614">
        <v>0.34182790000000002</v>
      </c>
      <c r="R1614">
        <v>-0.93919180000000002</v>
      </c>
      <c r="S1614">
        <v>-6.0775759999999998E-2</v>
      </c>
      <c r="T1614">
        <v>-0.4599048</v>
      </c>
      <c r="U1614">
        <v>-3.364655</v>
      </c>
      <c r="V1614">
        <v>-2.0608749999999999E-2</v>
      </c>
      <c r="W1614">
        <v>0.3547881</v>
      </c>
      <c r="X1614">
        <v>0.93471959999999998</v>
      </c>
      <c r="Y1614">
        <v>3.2155530000000002E-2</v>
      </c>
      <c r="Z1614">
        <v>0.12157</v>
      </c>
      <c r="AA1614">
        <v>0.99206190000000005</v>
      </c>
      <c r="AB1614">
        <v>25</v>
      </c>
      <c r="AC1614">
        <v>-1.8399999999985501E-2</v>
      </c>
      <c r="AD1614">
        <v>-9.9666000000000005E-2</v>
      </c>
      <c r="AE1614">
        <v>-0.49650000000002498</v>
      </c>
      <c r="AF1614">
        <v>2.44961281661953E-2</v>
      </c>
      <c r="AG1614">
        <v>-9.9666000000000005E-2</v>
      </c>
      <c r="AH1614">
        <v>0.476992692150919</v>
      </c>
      <c r="AI1614">
        <v>101.786863062078</v>
      </c>
      <c r="AJ1614">
        <v>87.060137696430303</v>
      </c>
      <c r="AK1614">
        <v>0.48790921308837398</v>
      </c>
      <c r="AL1614">
        <v>69.219542430534702</v>
      </c>
      <c r="AM1614">
        <v>91.263055912355995</v>
      </c>
      <c r="AN1614">
        <v>1.0000000235511599</v>
      </c>
    </row>
    <row r="1615" spans="1:40" x14ac:dyDescent="0.25">
      <c r="A1615" t="str">
        <f>"20190304164400716"</f>
        <v>20190304164400716</v>
      </c>
      <c r="B1615" t="str">
        <f>"1551689040711793"</f>
        <v>1551689040711793</v>
      </c>
      <c r="C1615" t="s">
        <v>40</v>
      </c>
      <c r="D1615">
        <v>5.7061029999999997</v>
      </c>
      <c r="E1615">
        <v>0.55408679999999999</v>
      </c>
      <c r="F1615" t="s">
        <v>41</v>
      </c>
      <c r="G1615">
        <v>-192.11240000000001</v>
      </c>
      <c r="H1615">
        <v>1.0137959999999999</v>
      </c>
      <c r="I1615">
        <v>316.74189999999999</v>
      </c>
      <c r="J1615">
        <v>-192.09180000000001</v>
      </c>
      <c r="K1615">
        <v>1.112493</v>
      </c>
      <c r="L1615">
        <v>317.21559999999999</v>
      </c>
      <c r="M1615">
        <v>1.6353610000000001E-2</v>
      </c>
      <c r="N1615">
        <v>-1.390227E-2</v>
      </c>
      <c r="O1615">
        <v>-0.99976969999999998</v>
      </c>
      <c r="P1615">
        <v>2.9224139999999999E-2</v>
      </c>
      <c r="Q1615">
        <v>0.34203539999999999</v>
      </c>
      <c r="R1615">
        <v>-0.93923250000000003</v>
      </c>
      <c r="S1615">
        <v>-6.8283079999999996E-2</v>
      </c>
      <c r="T1615">
        <v>-0.46187709999999998</v>
      </c>
      <c r="U1615">
        <v>-3.364716</v>
      </c>
      <c r="V1615">
        <v>-1.510075E-2</v>
      </c>
      <c r="W1615">
        <v>0.355014099999999</v>
      </c>
      <c r="X1615">
        <v>0.93473890000000004</v>
      </c>
      <c r="Y1615">
        <v>3.6448550000000003E-2</v>
      </c>
      <c r="Z1615">
        <v>0.122120699999999</v>
      </c>
      <c r="AA1615">
        <v>0.9918458</v>
      </c>
      <c r="AB1615">
        <v>25</v>
      </c>
      <c r="AC1615">
        <v>-2.06000000000017E-2</v>
      </c>
      <c r="AD1615">
        <v>-9.8696999999999993E-2</v>
      </c>
      <c r="AE1615">
        <v>-0.473700000000007</v>
      </c>
      <c r="AF1615">
        <v>2.7167549797419099E-2</v>
      </c>
      <c r="AG1615">
        <v>-9.8696999999999993E-2</v>
      </c>
      <c r="AH1615">
        <v>0.45364370798291798</v>
      </c>
      <c r="AI1615">
        <v>102.252989051589</v>
      </c>
      <c r="AJ1615">
        <v>86.572797087009903</v>
      </c>
      <c r="AK1615">
        <v>0.46505030627179</v>
      </c>
      <c r="AL1615">
        <v>69.205689883578899</v>
      </c>
      <c r="AM1615">
        <v>90.925535446572496</v>
      </c>
      <c r="AN1615">
        <v>0.99999992751128797</v>
      </c>
    </row>
    <row r="1616" spans="1:40" x14ac:dyDescent="0.25">
      <c r="A1616" t="str">
        <f>"20190304164400739"</f>
        <v>20190304164400739</v>
      </c>
      <c r="B1616" t="str">
        <f>"1551689040731313"</f>
        <v>1551689040731313</v>
      </c>
      <c r="C1616" t="s">
        <v>40</v>
      </c>
      <c r="D1616">
        <v>5.5298299999999996</v>
      </c>
      <c r="E1616">
        <v>0.56020950000000003</v>
      </c>
      <c r="F1616" t="s">
        <v>41</v>
      </c>
      <c r="G1616">
        <v>-192.1618</v>
      </c>
      <c r="H1616">
        <v>0.96664740000000005</v>
      </c>
      <c r="I1616">
        <v>316.32010000000002</v>
      </c>
      <c r="J1616">
        <v>-192.08510000000001</v>
      </c>
      <c r="K1616">
        <v>1.1124480000000001</v>
      </c>
      <c r="L1616">
        <v>316.95769999999999</v>
      </c>
      <c r="M1616">
        <v>1.8477839999999999E-2</v>
      </c>
      <c r="N1616">
        <v>-1.389904E-2</v>
      </c>
      <c r="O1616">
        <v>-0.99973279999999998</v>
      </c>
      <c r="P1616">
        <v>2.503435E-2</v>
      </c>
      <c r="Q1616">
        <v>0.34317249999999999</v>
      </c>
      <c r="R1616">
        <v>-0.93893899999999997</v>
      </c>
      <c r="S1616">
        <v>-0.2657776</v>
      </c>
      <c r="T1616">
        <v>-0.55447709999999995</v>
      </c>
      <c r="U1616">
        <v>-3.4042970000000001</v>
      </c>
      <c r="V1616">
        <v>-8.8878849999999999E-3</v>
      </c>
      <c r="W1616">
        <v>0.35616569999999997</v>
      </c>
      <c r="X1616">
        <v>0.93438049999999995</v>
      </c>
      <c r="Y1616">
        <v>9.5288719999999993E-2</v>
      </c>
      <c r="Z1616">
        <v>0.14636869999999999</v>
      </c>
      <c r="AA1616">
        <v>0.98463000000000001</v>
      </c>
      <c r="AB1616">
        <v>25</v>
      </c>
      <c r="AC1616">
        <v>-7.6699999999988194E-2</v>
      </c>
      <c r="AD1616">
        <v>-0.145800599999999</v>
      </c>
      <c r="AE1616">
        <v>-0.63759999999996297</v>
      </c>
      <c r="AF1616">
        <v>8.4132919476125695E-2</v>
      </c>
      <c r="AG1616">
        <v>-0.145800599999999</v>
      </c>
      <c r="AH1616">
        <v>0.60489473088858103</v>
      </c>
      <c r="AI1616">
        <v>103.42726483909701</v>
      </c>
      <c r="AJ1616">
        <v>82.081708356716703</v>
      </c>
      <c r="AK1616">
        <v>0.62788040147523705</v>
      </c>
      <c r="AL1616">
        <v>69.135094756282001</v>
      </c>
      <c r="AM1616">
        <v>90.544984555670794</v>
      </c>
      <c r="AN1616">
        <v>0.99999995956825505</v>
      </c>
    </row>
    <row r="1617" spans="1:40" x14ac:dyDescent="0.25">
      <c r="A1617" t="str">
        <f>"20190304164400763"</f>
        <v>20190304164400763</v>
      </c>
      <c r="B1617" t="str">
        <f>"1551689040751340"</f>
        <v>1551689040751340</v>
      </c>
      <c r="C1617" t="s">
        <v>40</v>
      </c>
      <c r="D1617">
        <v>5.4936360000000004</v>
      </c>
      <c r="E1617">
        <v>0.56232389999999999</v>
      </c>
      <c r="F1617" t="s">
        <v>41</v>
      </c>
      <c r="G1617">
        <v>-192.1677</v>
      </c>
      <c r="H1617">
        <v>0.97234750000000003</v>
      </c>
      <c r="I1617">
        <v>316.0949</v>
      </c>
      <c r="J1617">
        <v>-192.0779</v>
      </c>
      <c r="K1617">
        <v>1.112401</v>
      </c>
      <c r="L1617">
        <v>316.70030000000003</v>
      </c>
      <c r="M1617">
        <v>2.0527529999999999E-2</v>
      </c>
      <c r="N1617">
        <v>-1.3895390000000001E-2</v>
      </c>
      <c r="O1617">
        <v>-0.99969269999999999</v>
      </c>
      <c r="P1617">
        <v>2.1565620000000001E-2</v>
      </c>
      <c r="Q1617">
        <v>0.34387030000000002</v>
      </c>
      <c r="R1617">
        <v>-0.93876959999999998</v>
      </c>
      <c r="S1617">
        <v>-0.3255615</v>
      </c>
      <c r="T1617">
        <v>-0.55327630000000005</v>
      </c>
      <c r="U1617">
        <v>-3.4059750000000002</v>
      </c>
      <c r="V1617">
        <v>-3.4501950000000001E-3</v>
      </c>
      <c r="W1617">
        <v>0.35687590000000002</v>
      </c>
      <c r="X1617">
        <v>0.93414549999999996</v>
      </c>
      <c r="Y1617">
        <v>0.11441229999999999</v>
      </c>
      <c r="Z1617">
        <v>0.1456645</v>
      </c>
      <c r="AA1617">
        <v>0.98269609999999996</v>
      </c>
      <c r="AB1617">
        <v>25</v>
      </c>
      <c r="AC1617">
        <v>-8.9799999999996702E-2</v>
      </c>
      <c r="AD1617">
        <v>-0.140053499999999</v>
      </c>
      <c r="AE1617">
        <v>-0.60540000000003102</v>
      </c>
      <c r="AF1617">
        <v>9.7123643139634605E-2</v>
      </c>
      <c r="AG1617">
        <v>-0.140053499999999</v>
      </c>
      <c r="AH1617">
        <v>0.57340196620795403</v>
      </c>
      <c r="AI1617">
        <v>103.540147637709</v>
      </c>
      <c r="AJ1617">
        <v>80.386404343445804</v>
      </c>
      <c r="AK1617">
        <v>0.59819545281631303</v>
      </c>
      <c r="AL1617">
        <v>69.091543552548799</v>
      </c>
      <c r="AM1617">
        <v>90.211616619810599</v>
      </c>
      <c r="AN1617">
        <v>1.00000006350829</v>
      </c>
    </row>
    <row r="1618" spans="1:40" x14ac:dyDescent="0.25">
      <c r="A1618" t="str">
        <f>"20190304164400783"</f>
        <v>20190304164400783</v>
      </c>
      <c r="B1618" t="str">
        <f>"1551689040771836"</f>
        <v>1551689040771836</v>
      </c>
      <c r="C1618" t="s">
        <v>40</v>
      </c>
      <c r="D1618">
        <v>5.4799230000000003</v>
      </c>
      <c r="E1618">
        <v>0.56322090000000002</v>
      </c>
      <c r="F1618" t="s">
        <v>41</v>
      </c>
      <c r="G1618">
        <v>-192.16370000000001</v>
      </c>
      <c r="H1618">
        <v>0.97792970000000001</v>
      </c>
      <c r="I1618">
        <v>315.87049999999999</v>
      </c>
      <c r="J1618">
        <v>-192.0711</v>
      </c>
      <c r="K1618">
        <v>1.112331</v>
      </c>
      <c r="L1618">
        <v>316.46780000000001</v>
      </c>
      <c r="M1618">
        <v>2.2282429999999999E-2</v>
      </c>
      <c r="N1618">
        <v>-1.389164E-2</v>
      </c>
      <c r="O1618">
        <v>-0.99965519999999997</v>
      </c>
      <c r="P1618">
        <v>1.8308700000000001E-2</v>
      </c>
      <c r="Q1618">
        <v>0.34404069999999998</v>
      </c>
      <c r="R1618">
        <v>-0.93877650000000001</v>
      </c>
      <c r="S1618">
        <v>-0.35198970000000002</v>
      </c>
      <c r="T1618">
        <v>-0.55192180000000002</v>
      </c>
      <c r="U1618">
        <v>-3.4059140000000001</v>
      </c>
      <c r="V1618">
        <v>1.5153429999999999E-3</v>
      </c>
      <c r="W1618">
        <v>0.35705720000000002</v>
      </c>
      <c r="X1618">
        <v>0.9340813</v>
      </c>
      <c r="Y1618">
        <v>0.1236998</v>
      </c>
      <c r="Z1618">
        <v>0.14513019999999999</v>
      </c>
      <c r="AA1618">
        <v>0.98164940000000001</v>
      </c>
      <c r="AB1618">
        <v>25</v>
      </c>
      <c r="AC1618">
        <v>-9.2600000000004401E-2</v>
      </c>
      <c r="AD1618">
        <v>-0.1344013</v>
      </c>
      <c r="AE1618">
        <v>-0.59730000000001804</v>
      </c>
      <c r="AF1618">
        <v>0.100898815802149</v>
      </c>
      <c r="AG1618">
        <v>-0.1344013</v>
      </c>
      <c r="AH1618">
        <v>0.56705124534805096</v>
      </c>
      <c r="AI1618">
        <v>103.13506820362601</v>
      </c>
      <c r="AJ1618">
        <v>79.910615951199006</v>
      </c>
      <c r="AK1618">
        <v>0.59143164890183397</v>
      </c>
      <c r="AL1618">
        <v>69.080421964410405</v>
      </c>
      <c r="AM1618">
        <v>89.907050186907497</v>
      </c>
      <c r="AN1618">
        <v>1.00000000767296</v>
      </c>
    </row>
    <row r="1619" spans="1:40" x14ac:dyDescent="0.25">
      <c r="A1619" t="str">
        <f>"20190304164400805"</f>
        <v>20190304164400805</v>
      </c>
      <c r="B1619" t="str">
        <f>"1551689040801116"</f>
        <v>1551689040801116</v>
      </c>
      <c r="C1619" t="s">
        <v>40</v>
      </c>
      <c r="D1619">
        <v>5.4874229999999997</v>
      </c>
      <c r="E1619">
        <v>0.56375030000000004</v>
      </c>
      <c r="F1619" t="s">
        <v>41</v>
      </c>
      <c r="G1619">
        <v>-192.1602</v>
      </c>
      <c r="H1619">
        <v>0.97955689999999995</v>
      </c>
      <c r="I1619">
        <v>315.6481</v>
      </c>
      <c r="J1619">
        <v>-192.06379999999999</v>
      </c>
      <c r="K1619">
        <v>1.112233</v>
      </c>
      <c r="L1619">
        <v>316.2253</v>
      </c>
      <c r="M1619">
        <v>2.3963930000000001E-2</v>
      </c>
      <c r="N1619">
        <v>-1.388703E-2</v>
      </c>
      <c r="O1619">
        <v>-0.99961639999999996</v>
      </c>
      <c r="P1619">
        <v>1.438526E-2</v>
      </c>
      <c r="Q1619">
        <v>0.34354839999999998</v>
      </c>
      <c r="R1619">
        <v>-0.93902490000000005</v>
      </c>
      <c r="S1619">
        <v>-0.3691101</v>
      </c>
      <c r="T1619">
        <v>-0.5517746</v>
      </c>
      <c r="U1619">
        <v>-3.4050600000000002</v>
      </c>
      <c r="V1619">
        <v>7.114535E-3</v>
      </c>
      <c r="W1619">
        <v>0.35657840000000002</v>
      </c>
      <c r="X1619">
        <v>0.93423829999999997</v>
      </c>
      <c r="Y1619">
        <v>0.13026569999999901</v>
      </c>
      <c r="Z1619">
        <v>0.1450128</v>
      </c>
      <c r="AA1619">
        <v>0.9808171</v>
      </c>
      <c r="AB1619">
        <v>25</v>
      </c>
      <c r="AC1619">
        <v>-9.6400000000016903E-2</v>
      </c>
      <c r="AD1619">
        <v>-0.13267609999999999</v>
      </c>
      <c r="AE1619">
        <v>-0.57720000000000404</v>
      </c>
      <c r="AF1619">
        <v>0.104817726232017</v>
      </c>
      <c r="AG1619">
        <v>-0.13267609999999999</v>
      </c>
      <c r="AH1619">
        <v>0.54662589873926404</v>
      </c>
      <c r="AI1619">
        <v>103.407685577957</v>
      </c>
      <c r="AJ1619">
        <v>79.145066533919604</v>
      </c>
      <c r="AK1619">
        <v>0.57217967144610105</v>
      </c>
      <c r="AL1619">
        <v>69.109787787492195</v>
      </c>
      <c r="AM1619">
        <v>89.563682040242298</v>
      </c>
      <c r="AN1619">
        <v>0.99999998657085798</v>
      </c>
    </row>
    <row r="1620" spans="1:40" x14ac:dyDescent="0.25">
      <c r="A1620" t="str">
        <f>"20190304164400829"</f>
        <v>20190304164400829</v>
      </c>
      <c r="B1620" t="str">
        <f>"1551689040821612"</f>
        <v>1551689040821612</v>
      </c>
      <c r="C1620" t="s">
        <v>40</v>
      </c>
      <c r="D1620">
        <v>5.4942330000000004</v>
      </c>
      <c r="E1620">
        <v>0.56393979999999999</v>
      </c>
      <c r="F1620" t="s">
        <v>41</v>
      </c>
      <c r="G1620">
        <v>-192.15450000000001</v>
      </c>
      <c r="H1620">
        <v>0.9822263</v>
      </c>
      <c r="I1620">
        <v>315.4255</v>
      </c>
      <c r="J1620">
        <v>-192.05549999999999</v>
      </c>
      <c r="K1620">
        <v>1.1120730000000001</v>
      </c>
      <c r="L1620">
        <v>315.96159999999998</v>
      </c>
      <c r="M1620">
        <v>2.5557050000000001E-2</v>
      </c>
      <c r="N1620">
        <v>-1.388123E-2</v>
      </c>
      <c r="O1620">
        <v>-0.99957720000000005</v>
      </c>
      <c r="P1620">
        <v>1.0298740000000001E-2</v>
      </c>
      <c r="Q1620">
        <v>0.3435145</v>
      </c>
      <c r="R1620">
        <v>-0.93909129999999996</v>
      </c>
      <c r="S1620">
        <v>-0.38574219999999998</v>
      </c>
      <c r="T1620">
        <v>-0.55324479999999998</v>
      </c>
      <c r="U1620">
        <v>-3.403168</v>
      </c>
      <c r="V1620">
        <v>1.2835549999999999E-2</v>
      </c>
      <c r="W1620">
        <v>0.3565489</v>
      </c>
      <c r="X1620">
        <v>0.93418849999999998</v>
      </c>
      <c r="Y1620">
        <v>0.13662170000000001</v>
      </c>
      <c r="Z1620">
        <v>0.14539579999999999</v>
      </c>
      <c r="AA1620">
        <v>0.97989519999999997</v>
      </c>
      <c r="AB1620">
        <v>25</v>
      </c>
      <c r="AC1620">
        <v>-9.9000000000017893E-2</v>
      </c>
      <c r="AD1620">
        <v>-0.12984669999999901</v>
      </c>
      <c r="AE1620">
        <v>-0.53609999999997604</v>
      </c>
      <c r="AF1620">
        <v>0.106621550431717</v>
      </c>
      <c r="AG1620">
        <v>-0.12984669999999901</v>
      </c>
      <c r="AH1620">
        <v>0.50475983053055395</v>
      </c>
      <c r="AI1620">
        <v>104.12737854614601</v>
      </c>
      <c r="AJ1620">
        <v>78.072617477237102</v>
      </c>
      <c r="AK1620">
        <v>0.53198760045191495</v>
      </c>
      <c r="AL1620">
        <v>69.111597470544893</v>
      </c>
      <c r="AM1620">
        <v>89.212817788014604</v>
      </c>
      <c r="AN1620">
        <v>1.00000001148363</v>
      </c>
    </row>
    <row r="1621" spans="1:40" x14ac:dyDescent="0.25">
      <c r="A1621" t="str">
        <f>"20190304164400851"</f>
        <v>20190304164400851</v>
      </c>
      <c r="B1621" t="str">
        <f>"1551689040841133"</f>
        <v>1551689040841133</v>
      </c>
      <c r="C1621" t="s">
        <v>40</v>
      </c>
      <c r="D1621">
        <v>5.5003869999999999</v>
      </c>
      <c r="E1621">
        <v>0.56401869999999998</v>
      </c>
      <c r="F1621" t="s">
        <v>41</v>
      </c>
      <c r="G1621">
        <v>-192.14519999999999</v>
      </c>
      <c r="H1621">
        <v>0.98855099999999996</v>
      </c>
      <c r="I1621">
        <v>315.20150000000001</v>
      </c>
      <c r="J1621">
        <v>-192.04769999999999</v>
      </c>
      <c r="K1621">
        <v>1.1118809999999999</v>
      </c>
      <c r="L1621">
        <v>315.71620000000001</v>
      </c>
      <c r="M1621">
        <v>2.6753079999999999E-2</v>
      </c>
      <c r="N1621">
        <v>-1.3875520000000001E-2</v>
      </c>
      <c r="O1621">
        <v>-0.99954600000000005</v>
      </c>
      <c r="P1621">
        <v>5.6288220000000003E-3</v>
      </c>
      <c r="Q1621">
        <v>0.34439049999999999</v>
      </c>
      <c r="R1621">
        <v>-0.93880969999999997</v>
      </c>
      <c r="S1621">
        <v>-0.39978029999999998</v>
      </c>
      <c r="T1621">
        <v>-0.55303570000000002</v>
      </c>
      <c r="U1621">
        <v>-3.4013059999999999</v>
      </c>
      <c r="V1621">
        <v>1.8789090000000001E-2</v>
      </c>
      <c r="W1621">
        <v>0.35741919999999999</v>
      </c>
      <c r="X1621">
        <v>0.933755</v>
      </c>
      <c r="Y1621">
        <v>0.1418507</v>
      </c>
      <c r="Z1621">
        <v>0.14532249999999999</v>
      </c>
      <c r="AA1621">
        <v>0.9791628</v>
      </c>
      <c r="AB1621">
        <v>25</v>
      </c>
      <c r="AC1621">
        <v>-9.7499999999996603E-2</v>
      </c>
      <c r="AD1621">
        <v>-0.123329999999999</v>
      </c>
      <c r="AE1621">
        <v>-0.51470000000000404</v>
      </c>
      <c r="AF1621">
        <v>0.105394568779503</v>
      </c>
      <c r="AG1621">
        <v>-0.123329999999999</v>
      </c>
      <c r="AH1621">
        <v>0.48502385497749501</v>
      </c>
      <c r="AI1621">
        <v>103.95411120045</v>
      </c>
      <c r="AJ1621">
        <v>77.740347413921</v>
      </c>
      <c r="AK1621">
        <v>0.51143566939102603</v>
      </c>
      <c r="AL1621">
        <v>69.058214459424207</v>
      </c>
      <c r="AM1621">
        <v>88.847245479288006</v>
      </c>
      <c r="AN1621">
        <v>0.99999995722833301</v>
      </c>
    </row>
    <row r="1622" spans="1:40" x14ac:dyDescent="0.25">
      <c r="A1622" t="str">
        <f>"20190304164400873"</f>
        <v>20190304164400873</v>
      </c>
      <c r="B1622" t="str">
        <f>"1551689040861160"</f>
        <v>1551689040861160</v>
      </c>
      <c r="C1622" t="s">
        <v>40</v>
      </c>
      <c r="D1622">
        <v>5.4908929999999998</v>
      </c>
      <c r="E1622">
        <v>0.56401689999999904</v>
      </c>
      <c r="F1622" t="s">
        <v>41</v>
      </c>
      <c r="G1622">
        <v>-192.1379</v>
      </c>
      <c r="H1622">
        <v>0.99265360000000002</v>
      </c>
      <c r="I1622">
        <v>314.97859999999997</v>
      </c>
      <c r="J1622">
        <v>-192.0401</v>
      </c>
      <c r="K1622">
        <v>1.1116429999999999</v>
      </c>
      <c r="L1622">
        <v>315.47320000000002</v>
      </c>
      <c r="M1622">
        <v>2.759723E-2</v>
      </c>
      <c r="N1622">
        <v>-1.387E-2</v>
      </c>
      <c r="O1622">
        <v>-0.99952319999999995</v>
      </c>
      <c r="P1622">
        <v>1.073526E-4</v>
      </c>
      <c r="Q1622">
        <v>0.34528930000000002</v>
      </c>
      <c r="R1622">
        <v>-0.93849660000000001</v>
      </c>
      <c r="S1622">
        <v>-0.4150238</v>
      </c>
      <c r="T1622">
        <v>-0.54959369999999996</v>
      </c>
      <c r="U1622">
        <v>-3.3996279999999999</v>
      </c>
      <c r="V1622">
        <v>2.5303820000000001E-2</v>
      </c>
      <c r="W1622">
        <v>0.358303599999999</v>
      </c>
      <c r="X1622">
        <v>0.93326220000000004</v>
      </c>
      <c r="Y1622">
        <v>0.14708089999999999</v>
      </c>
      <c r="Z1622">
        <v>0.14432790000000001</v>
      </c>
      <c r="AA1622">
        <v>0.97853800000000002</v>
      </c>
      <c r="AB1622">
        <v>25</v>
      </c>
      <c r="AC1622">
        <v>-9.7800000000006507E-2</v>
      </c>
      <c r="AD1622">
        <v>-0.118989399999999</v>
      </c>
      <c r="AE1622">
        <v>-0.494600000000048</v>
      </c>
      <c r="AF1622">
        <v>0.105535375035401</v>
      </c>
      <c r="AG1622">
        <v>-0.118989399999999</v>
      </c>
      <c r="AH1622">
        <v>0.46576920532584098</v>
      </c>
      <c r="AI1622">
        <v>103.990553949291</v>
      </c>
      <c r="AJ1622">
        <v>77.233318039137103</v>
      </c>
      <c r="AK1622">
        <v>0.49217592924287601</v>
      </c>
      <c r="AL1622">
        <v>69.0039501705199</v>
      </c>
      <c r="AM1622">
        <v>88.446902721140901</v>
      </c>
      <c r="AN1622">
        <v>1.00000004351419</v>
      </c>
    </row>
    <row r="1623" spans="1:40" x14ac:dyDescent="0.25">
      <c r="A1623" t="str">
        <f>"20190304164400897"</f>
        <v>20190304164400897</v>
      </c>
      <c r="B1623" t="str">
        <f>"1551689040891416"</f>
        <v>1551689040891416</v>
      </c>
      <c r="C1623" t="s">
        <v>40</v>
      </c>
      <c r="D1623">
        <v>5.517417</v>
      </c>
      <c r="E1623">
        <v>0.56380959999999902</v>
      </c>
      <c r="F1623" t="s">
        <v>41</v>
      </c>
      <c r="G1623">
        <v>-192.1318</v>
      </c>
      <c r="H1623">
        <v>0.99640070000000003</v>
      </c>
      <c r="I1623">
        <v>314.7561</v>
      </c>
      <c r="J1623">
        <v>-192.0324</v>
      </c>
      <c r="K1623">
        <v>1.111353</v>
      </c>
      <c r="L1623">
        <v>315.21949999999998</v>
      </c>
      <c r="M1623">
        <v>2.8036849999999999E-2</v>
      </c>
      <c r="N1623">
        <v>-1.3865509999999999E-2</v>
      </c>
      <c r="O1623">
        <v>-0.99951089999999998</v>
      </c>
      <c r="P1623">
        <v>-5.9664699999999998E-3</v>
      </c>
      <c r="Q1623">
        <v>0.34636149999999999</v>
      </c>
      <c r="R1623">
        <v>-0.93808250000000004</v>
      </c>
      <c r="S1623">
        <v>-0.433197</v>
      </c>
      <c r="T1623">
        <v>-0.54623840000000001</v>
      </c>
      <c r="U1623">
        <v>-3.397675</v>
      </c>
      <c r="V1623">
        <v>3.2032329999999998E-2</v>
      </c>
      <c r="W1623">
        <v>0.35934899999999997</v>
      </c>
      <c r="X1623">
        <v>0.93265330000000002</v>
      </c>
      <c r="Y1623">
        <v>0.15274660000000001</v>
      </c>
      <c r="Z1623">
        <v>0.14335429999999999</v>
      </c>
      <c r="AA1623">
        <v>0.97781289999999998</v>
      </c>
      <c r="AB1623">
        <v>25</v>
      </c>
      <c r="AC1623">
        <v>-9.9400000000002806E-2</v>
      </c>
      <c r="AD1623">
        <v>-0.11495229999999999</v>
      </c>
      <c r="AE1623">
        <v>-0.463399999999978</v>
      </c>
      <c r="AF1623">
        <v>0.10611203862278799</v>
      </c>
      <c r="AG1623">
        <v>-0.11495229999999999</v>
      </c>
      <c r="AH1623">
        <v>0.43484918439379899</v>
      </c>
      <c r="AI1623">
        <v>104.403111524357</v>
      </c>
      <c r="AJ1623">
        <v>76.286664130384494</v>
      </c>
      <c r="AK1623">
        <v>0.462133756810651</v>
      </c>
      <c r="AL1623">
        <v>68.939778196252107</v>
      </c>
      <c r="AM1623">
        <v>88.032928015714305</v>
      </c>
      <c r="AN1623">
        <v>0.99999997598355905</v>
      </c>
    </row>
    <row r="1624" spans="1:40" x14ac:dyDescent="0.25">
      <c r="A1624" t="str">
        <f>"20190304164400918"</f>
        <v>20190304164400918</v>
      </c>
      <c r="B1624" t="str">
        <f>"1551689040911913"</f>
        <v>1551689040911913</v>
      </c>
      <c r="C1624" t="s">
        <v>40</v>
      </c>
      <c r="D1624">
        <v>5.5191780000000001</v>
      </c>
      <c r="E1624">
        <v>0.56366709999999998</v>
      </c>
      <c r="F1624" t="s">
        <v>41</v>
      </c>
      <c r="G1624">
        <v>-192.15090000000001</v>
      </c>
      <c r="H1624">
        <v>0.96847709999999998</v>
      </c>
      <c r="I1624">
        <v>314.32709999999997</v>
      </c>
      <c r="J1624">
        <v>-192.02549999999999</v>
      </c>
      <c r="K1624">
        <v>1.111062</v>
      </c>
      <c r="L1624">
        <v>314.97989999999999</v>
      </c>
      <c r="M1624">
        <v>2.8033679999999998E-2</v>
      </c>
      <c r="N1624">
        <v>-1.386312E-2</v>
      </c>
      <c r="O1624">
        <v>-0.99951109999999999</v>
      </c>
      <c r="P1624">
        <v>-1.174481E-2</v>
      </c>
      <c r="Q1624">
        <v>0.34797869999999997</v>
      </c>
      <c r="R1624">
        <v>-0.93742930000000002</v>
      </c>
      <c r="S1624">
        <v>-0.45060729999999999</v>
      </c>
      <c r="T1624">
        <v>-0.54382589999999997</v>
      </c>
      <c r="U1624">
        <v>-3.395905</v>
      </c>
      <c r="V1624">
        <v>3.8044939999999999E-2</v>
      </c>
      <c r="W1624">
        <v>0.3609291</v>
      </c>
      <c r="X1624">
        <v>0.93181689999999995</v>
      </c>
      <c r="Y1624">
        <v>0.1577431</v>
      </c>
      <c r="Z1624">
        <v>0.14264450000000001</v>
      </c>
      <c r="AA1624">
        <v>0.97712310000000002</v>
      </c>
      <c r="AB1624">
        <v>25</v>
      </c>
      <c r="AC1624">
        <v>-0.125400000000013</v>
      </c>
      <c r="AD1624">
        <v>-0.14258489999999899</v>
      </c>
      <c r="AE1624">
        <v>-0.65280000000001304</v>
      </c>
      <c r="AF1624">
        <v>0.13733414057205301</v>
      </c>
      <c r="AG1624">
        <v>-0.14258489999999899</v>
      </c>
      <c r="AH1624">
        <v>0.62047953568349401</v>
      </c>
      <c r="AI1624">
        <v>102.645901663316</v>
      </c>
      <c r="AJ1624">
        <v>77.519616646467099</v>
      </c>
      <c r="AK1624">
        <v>0.65129561189730001</v>
      </c>
      <c r="AL1624">
        <v>68.842733445616204</v>
      </c>
      <c r="AM1624">
        <v>87.661982239363596</v>
      </c>
      <c r="AN1624">
        <v>0.99999998390601097</v>
      </c>
    </row>
    <row r="1625" spans="1:40" x14ac:dyDescent="0.25">
      <c r="A1625" t="str">
        <f>"20190304164400940"</f>
        <v>20190304164400940</v>
      </c>
      <c r="B1625" t="str">
        <f>"1551689040931432"</f>
        <v>1551689040931432</v>
      </c>
      <c r="C1625" t="s">
        <v>40</v>
      </c>
      <c r="D1625">
        <v>5.5627779999999998</v>
      </c>
      <c r="E1625">
        <v>0.56345690000000004</v>
      </c>
      <c r="F1625" t="s">
        <v>41</v>
      </c>
      <c r="G1625">
        <v>-192.14689999999999</v>
      </c>
      <c r="H1625">
        <v>0.97233400000000003</v>
      </c>
      <c r="I1625">
        <v>314.10500000000002</v>
      </c>
      <c r="J1625">
        <v>-192.0189</v>
      </c>
      <c r="K1625">
        <v>1.1107860000000001</v>
      </c>
      <c r="L1625">
        <v>314.73719999999997</v>
      </c>
      <c r="M1625">
        <v>2.7657399999999999E-2</v>
      </c>
      <c r="N1625">
        <v>-1.3861699999999999E-2</v>
      </c>
      <c r="O1625">
        <v>-0.9995214</v>
      </c>
      <c r="P1625">
        <v>-1.7774359999999999E-2</v>
      </c>
      <c r="Q1625">
        <v>0.34836719999999999</v>
      </c>
      <c r="R1625">
        <v>-0.93718970000000001</v>
      </c>
      <c r="S1625">
        <v>-0.47068789999999999</v>
      </c>
      <c r="T1625">
        <v>-0.53821409999999903</v>
      </c>
      <c r="U1625">
        <v>-3.394104</v>
      </c>
      <c r="V1625">
        <v>4.395578E-2</v>
      </c>
      <c r="W1625">
        <v>0.36128090000000002</v>
      </c>
      <c r="X1625">
        <v>0.93142040000000004</v>
      </c>
      <c r="Y1625">
        <v>0.16314029999999999</v>
      </c>
      <c r="Z1625">
        <v>0.14102129999999999</v>
      </c>
      <c r="AA1625">
        <v>0.97647240000000002</v>
      </c>
      <c r="AB1625">
        <v>25</v>
      </c>
      <c r="AC1625">
        <v>-0.12799999999998499</v>
      </c>
      <c r="AD1625">
        <v>-0.13845199999999999</v>
      </c>
      <c r="AE1625">
        <v>-0.63219999999995402</v>
      </c>
      <c r="AF1625">
        <v>0.139032156254669</v>
      </c>
      <c r="AG1625">
        <v>-0.13845199999999999</v>
      </c>
      <c r="AH1625">
        <v>0.60074003945000298</v>
      </c>
      <c r="AI1625">
        <v>102.65498115446201</v>
      </c>
      <c r="AJ1625">
        <v>76.969181836873204</v>
      </c>
      <c r="AK1625">
        <v>0.63197111625074598</v>
      </c>
      <c r="AL1625">
        <v>68.821118234800295</v>
      </c>
      <c r="AM1625">
        <v>87.298090599977598</v>
      </c>
      <c r="AN1625">
        <v>0.99999998041818905</v>
      </c>
    </row>
    <row r="1626" spans="1:40" x14ac:dyDescent="0.25">
      <c r="A1626" t="str">
        <f>"20190304164400963"</f>
        <v>20190304164400963</v>
      </c>
      <c r="B1626" t="str">
        <f>"1551689040951459"</f>
        <v>1551689040951459</v>
      </c>
      <c r="C1626" t="s">
        <v>40</v>
      </c>
      <c r="D1626">
        <v>5.5460079999999996</v>
      </c>
      <c r="E1626">
        <v>0.56324090000000004</v>
      </c>
      <c r="F1626" t="s">
        <v>41</v>
      </c>
      <c r="G1626">
        <v>-192.143</v>
      </c>
      <c r="H1626">
        <v>0.97547539999999999</v>
      </c>
      <c r="I1626">
        <v>313.88350000000003</v>
      </c>
      <c r="J1626">
        <v>-192.0128</v>
      </c>
      <c r="K1626">
        <v>1.1105210000000001</v>
      </c>
      <c r="L1626">
        <v>314.49029999999999</v>
      </c>
      <c r="M1626">
        <v>2.6866870000000001E-2</v>
      </c>
      <c r="N1626">
        <v>-1.386048E-2</v>
      </c>
      <c r="O1626">
        <v>-0.99954319999999997</v>
      </c>
      <c r="P1626">
        <v>-2.4416819999999999E-2</v>
      </c>
      <c r="Q1626">
        <v>0.3477073</v>
      </c>
      <c r="R1626">
        <v>-0.93728560000000005</v>
      </c>
      <c r="S1626">
        <v>-0.49160769999999998</v>
      </c>
      <c r="T1626">
        <v>-0.53767430000000005</v>
      </c>
      <c r="U1626">
        <v>-3.3916019999999998</v>
      </c>
      <c r="V1626">
        <v>5.0089269999999998E-2</v>
      </c>
      <c r="W1626">
        <v>0.36058259999999998</v>
      </c>
      <c r="X1626">
        <v>0.93138129999999997</v>
      </c>
      <c r="Y1626">
        <v>0.16835729999999999</v>
      </c>
      <c r="Z1626">
        <v>0.14085239999999999</v>
      </c>
      <c r="AA1626">
        <v>0.9756108</v>
      </c>
      <c r="AB1626">
        <v>25</v>
      </c>
      <c r="AC1626">
        <v>-0.13020000000000201</v>
      </c>
      <c r="AD1626">
        <v>-0.13504559999999899</v>
      </c>
      <c r="AE1626">
        <v>-0.60679999999996403</v>
      </c>
      <c r="AF1626">
        <v>0.13983610509079</v>
      </c>
      <c r="AG1626">
        <v>-0.13504559999999899</v>
      </c>
      <c r="AH1626">
        <v>0.57581745371977</v>
      </c>
      <c r="AI1626">
        <v>102.838676545827</v>
      </c>
      <c r="AJ1626">
        <v>76.350076656978999</v>
      </c>
      <c r="AK1626">
        <v>0.60774763707861701</v>
      </c>
      <c r="AL1626">
        <v>68.864018797449006</v>
      </c>
      <c r="AM1626">
        <v>86.921624103640895</v>
      </c>
      <c r="AN1626">
        <v>0.99999993619078897</v>
      </c>
    </row>
    <row r="1627" spans="1:40" x14ac:dyDescent="0.25">
      <c r="A1627" t="str">
        <f>"20190304164400985"</f>
        <v>20190304164400985</v>
      </c>
      <c r="B1627" t="str">
        <f>"1551689040970979"</f>
        <v>1551689040970979</v>
      </c>
      <c r="C1627" t="s">
        <v>40</v>
      </c>
      <c r="D1627">
        <v>5.5224080000000004</v>
      </c>
      <c r="E1627">
        <v>0.56299379999999999</v>
      </c>
      <c r="F1627" t="s">
        <v>41</v>
      </c>
      <c r="G1627">
        <v>-192.1378</v>
      </c>
      <c r="H1627">
        <v>0.97817030000000005</v>
      </c>
      <c r="I1627">
        <v>313.66239999999999</v>
      </c>
      <c r="J1627">
        <v>-192.00729999999999</v>
      </c>
      <c r="K1627">
        <v>1.1102479999999999</v>
      </c>
      <c r="L1627">
        <v>314.2457</v>
      </c>
      <c r="M1627">
        <v>2.5654280000000002E-2</v>
      </c>
      <c r="N1627">
        <v>-1.386019E-2</v>
      </c>
      <c r="O1627">
        <v>-0.99957499999999999</v>
      </c>
      <c r="P1627">
        <v>-3.0685830000000001E-2</v>
      </c>
      <c r="Q1627">
        <v>0.34760649999999998</v>
      </c>
      <c r="R1627">
        <v>-0.9371389</v>
      </c>
      <c r="S1627">
        <v>-0.51191709999999901</v>
      </c>
      <c r="T1627">
        <v>-0.54172670000000001</v>
      </c>
      <c r="U1627">
        <v>-3.3883670000000001</v>
      </c>
      <c r="V1627">
        <v>5.544967E-2</v>
      </c>
      <c r="W1627">
        <v>0.36043500000000001</v>
      </c>
      <c r="X1627">
        <v>0.93113480000000004</v>
      </c>
      <c r="Y1627">
        <v>0.17298250000000001</v>
      </c>
      <c r="Z1627">
        <v>0.14201369999999999</v>
      </c>
      <c r="AA1627">
        <v>0.97463290000000002</v>
      </c>
      <c r="AB1627">
        <v>25</v>
      </c>
      <c r="AC1627">
        <v>-0.130500000000012</v>
      </c>
      <c r="AD1627">
        <v>-0.13207769999999899</v>
      </c>
      <c r="AE1627">
        <v>-0.58330000000000803</v>
      </c>
      <c r="AF1627">
        <v>0.13865257381175999</v>
      </c>
      <c r="AG1627">
        <v>-0.13207769999999899</v>
      </c>
      <c r="AH1627">
        <v>0.55276948978956797</v>
      </c>
      <c r="AI1627">
        <v>103.048422883847</v>
      </c>
      <c r="AJ1627">
        <v>75.918870379997301</v>
      </c>
      <c r="AK1627">
        <v>0.58499843068518997</v>
      </c>
      <c r="AL1627">
        <v>68.8730875240649</v>
      </c>
      <c r="AM1627">
        <v>86.592024602126997</v>
      </c>
      <c r="AN1627">
        <v>1.0000000354495699</v>
      </c>
    </row>
    <row r="1628" spans="1:40" x14ac:dyDescent="0.25">
      <c r="A1628" t="str">
        <f>"20190304164401007"</f>
        <v>20190304164401007</v>
      </c>
      <c r="B1628" t="str">
        <f>"1551689041001236"</f>
        <v>1551689041001236</v>
      </c>
      <c r="C1628" t="s">
        <v>40</v>
      </c>
      <c r="D1628">
        <v>5.5363189999999998</v>
      </c>
      <c r="E1628">
        <v>0.55919770000000002</v>
      </c>
      <c r="F1628" t="s">
        <v>41</v>
      </c>
      <c r="G1628">
        <v>-192.1336</v>
      </c>
      <c r="H1628">
        <v>0.98088909999999996</v>
      </c>
      <c r="I1628">
        <v>313.44159999999999</v>
      </c>
      <c r="J1628">
        <v>-192.0027</v>
      </c>
      <c r="K1628">
        <v>1.1099730000000001</v>
      </c>
      <c r="L1628">
        <v>314.00459999999998</v>
      </c>
      <c r="M1628">
        <v>2.4041610000000001E-2</v>
      </c>
      <c r="N1628">
        <v>-1.386253E-2</v>
      </c>
      <c r="O1628">
        <v>-0.99961500000000003</v>
      </c>
      <c r="P1628">
        <v>-3.624629E-2</v>
      </c>
      <c r="Q1628">
        <v>0.34883350000000002</v>
      </c>
      <c r="R1628">
        <v>-0.93648370000000003</v>
      </c>
      <c r="S1628">
        <v>-0.53131099999999998</v>
      </c>
      <c r="T1628">
        <v>-0.5446995</v>
      </c>
      <c r="U1628">
        <v>-3.3858950000000001</v>
      </c>
      <c r="V1628">
        <v>5.9732739999999999E-2</v>
      </c>
      <c r="W1628">
        <v>0.36160530000000002</v>
      </c>
      <c r="X1628">
        <v>0.93041580000000002</v>
      </c>
      <c r="Y1628">
        <v>0.17692639999999901</v>
      </c>
      <c r="Z1628">
        <v>0.14284559999999999</v>
      </c>
      <c r="AA1628">
        <v>0.97380290000000003</v>
      </c>
      <c r="AB1628">
        <v>25</v>
      </c>
      <c r="AC1628">
        <v>-0.13089999999999599</v>
      </c>
      <c r="AD1628">
        <v>-0.129083899999999</v>
      </c>
      <c r="AE1628">
        <v>-0.56299999999998795</v>
      </c>
      <c r="AF1628">
        <v>0.13753942231591801</v>
      </c>
      <c r="AG1628">
        <v>-0.129083899999999</v>
      </c>
      <c r="AH1628">
        <v>0.53310263156669702</v>
      </c>
      <c r="AI1628">
        <v>103.195204861542</v>
      </c>
      <c r="AJ1628">
        <v>75.533278124882202</v>
      </c>
      <c r="AK1628">
        <v>0.56548931175889094</v>
      </c>
      <c r="AL1628">
        <v>68.801183724497093</v>
      </c>
      <c r="AM1628">
        <v>86.326649360431006</v>
      </c>
      <c r="AN1628">
        <v>0.99999997705281796</v>
      </c>
    </row>
    <row r="1629" spans="1:40" x14ac:dyDescent="0.25">
      <c r="A1629" t="str">
        <f>"20190304164401029"</f>
        <v>20190304164401029</v>
      </c>
      <c r="B1629" t="str">
        <f>"1551689041021733"</f>
        <v>1551689041021733</v>
      </c>
      <c r="C1629" t="s">
        <v>40</v>
      </c>
      <c r="D1629">
        <v>5.5543329999999997</v>
      </c>
      <c r="E1629">
        <v>0.55878209999999995</v>
      </c>
      <c r="F1629" t="s">
        <v>41</v>
      </c>
      <c r="G1629">
        <v>-192.12260000000001</v>
      </c>
      <c r="H1629">
        <v>0.97769010000000001</v>
      </c>
      <c r="I1629">
        <v>313.2242</v>
      </c>
      <c r="J1629">
        <v>-191.99870000000001</v>
      </c>
      <c r="K1629">
        <v>1.1096619999999999</v>
      </c>
      <c r="L1629">
        <v>313.75400000000002</v>
      </c>
      <c r="M1629">
        <v>2.19419E-2</v>
      </c>
      <c r="N1629">
        <v>-1.3868139999999999E-2</v>
      </c>
      <c r="O1629">
        <v>-0.99966319999999997</v>
      </c>
      <c r="P1629">
        <v>-4.233104E-2</v>
      </c>
      <c r="Q1629">
        <v>0.34992760000000001</v>
      </c>
      <c r="R1629">
        <v>-0.93582019999999999</v>
      </c>
      <c r="S1629">
        <v>-0.52195740000000002</v>
      </c>
      <c r="T1629">
        <v>-0.57595779999999996</v>
      </c>
      <c r="U1629">
        <v>-3.3978269999999902</v>
      </c>
      <c r="V1629">
        <v>6.4115320000000003E-2</v>
      </c>
      <c r="W1629">
        <v>0.36263570000000001</v>
      </c>
      <c r="X1629">
        <v>0.92972279999999996</v>
      </c>
      <c r="Y1629">
        <v>0.17152400000000001</v>
      </c>
      <c r="Z1629">
        <v>0.15117039999999901</v>
      </c>
      <c r="AA1629">
        <v>0.97351270000000001</v>
      </c>
      <c r="AB1629">
        <v>25</v>
      </c>
      <c r="AC1629">
        <v>-0.123899999999991</v>
      </c>
      <c r="AD1629">
        <v>-0.1319719</v>
      </c>
      <c r="AE1629">
        <v>-0.52980000000002203</v>
      </c>
      <c r="AF1629">
        <v>0.12796751467578199</v>
      </c>
      <c r="AG1629">
        <v>-0.1319719</v>
      </c>
      <c r="AH1629">
        <v>0.49767438109038897</v>
      </c>
      <c r="AI1629">
        <v>104.403580911795</v>
      </c>
      <c r="AJ1629">
        <v>75.579863737152905</v>
      </c>
      <c r="AK1629">
        <v>0.53053940173714598</v>
      </c>
      <c r="AL1629">
        <v>68.737847115289796</v>
      </c>
      <c r="AM1629">
        <v>86.055028062851306</v>
      </c>
      <c r="AN1629">
        <v>0.99999995500651495</v>
      </c>
    </row>
    <row r="1630" spans="1:40" x14ac:dyDescent="0.25">
      <c r="A1630" t="str">
        <f>"20190304164401053"</f>
        <v>20190304164401053</v>
      </c>
      <c r="B1630" t="str">
        <f>"1551689041041251"</f>
        <v>1551689041041251</v>
      </c>
      <c r="C1630" t="s">
        <v>40</v>
      </c>
      <c r="D1630">
        <v>5.6604330000000003</v>
      </c>
      <c r="E1630">
        <v>0.55868329999999999</v>
      </c>
      <c r="F1630" t="s">
        <v>41</v>
      </c>
      <c r="G1630">
        <v>-192.1183</v>
      </c>
      <c r="H1630">
        <v>0.98269309999999999</v>
      </c>
      <c r="I1630">
        <v>313.00259999999997</v>
      </c>
      <c r="J1630">
        <v>-191.9957</v>
      </c>
      <c r="K1630">
        <v>1.1093489999999999</v>
      </c>
      <c r="L1630">
        <v>313.50069999999999</v>
      </c>
      <c r="M1630">
        <v>1.9392670000000001E-2</v>
      </c>
      <c r="N1630">
        <v>-1.387645E-2</v>
      </c>
      <c r="O1630">
        <v>-0.99971589999999999</v>
      </c>
      <c r="P1630">
        <v>-4.987888E-2</v>
      </c>
      <c r="Q1630">
        <v>0.34936689999999998</v>
      </c>
      <c r="R1630">
        <v>-0.93565770000000004</v>
      </c>
      <c r="S1630">
        <v>-0.53984069999999995</v>
      </c>
      <c r="T1630">
        <v>-0.57376549999999904</v>
      </c>
      <c r="U1630">
        <v>-3.3958740000000001</v>
      </c>
      <c r="V1630">
        <v>6.9553439999999994E-2</v>
      </c>
      <c r="W1630">
        <v>0.36200900000000003</v>
      </c>
      <c r="X1630">
        <v>0.92957619999999996</v>
      </c>
      <c r="Y1630">
        <v>0.17411279999999901</v>
      </c>
      <c r="Z1630">
        <v>0.1505543</v>
      </c>
      <c r="AA1630">
        <v>0.97314860000000003</v>
      </c>
      <c r="AB1630">
        <v>24</v>
      </c>
      <c r="AC1630">
        <v>-0.122600000000005</v>
      </c>
      <c r="AD1630">
        <v>-0.12665589999999899</v>
      </c>
      <c r="AE1630">
        <v>-0.49810000000002203</v>
      </c>
      <c r="AF1630">
        <v>0.12463887533880701</v>
      </c>
      <c r="AG1630">
        <v>-0.12665589999999899</v>
      </c>
      <c r="AH1630">
        <v>0.46714926598009598</v>
      </c>
      <c r="AI1630">
        <v>104.679428968183</v>
      </c>
      <c r="AJ1630">
        <v>75.061055646807205</v>
      </c>
      <c r="AK1630">
        <v>0.49980496491759202</v>
      </c>
      <c r="AL1630">
        <v>68.776374252651607</v>
      </c>
      <c r="AM1630">
        <v>85.720946142315796</v>
      </c>
      <c r="AN1630">
        <v>1.0000000543516301</v>
      </c>
    </row>
    <row r="1631" spans="1:40" x14ac:dyDescent="0.25">
      <c r="A1631" t="str">
        <f>"20190304164401075"</f>
        <v>20190304164401075</v>
      </c>
      <c r="B1631" t="str">
        <f>"1551689041061280"</f>
        <v>1551689041061280</v>
      </c>
      <c r="C1631" t="s">
        <v>40</v>
      </c>
      <c r="D1631">
        <v>5.4229440000000002</v>
      </c>
      <c r="E1631">
        <v>0.55894540000000004</v>
      </c>
      <c r="F1631" t="s">
        <v>41</v>
      </c>
      <c r="G1631">
        <v>-192.11529999999999</v>
      </c>
      <c r="H1631">
        <v>0.98720339999999995</v>
      </c>
      <c r="I1631">
        <v>312.78140000000002</v>
      </c>
      <c r="J1631">
        <v>-191.9941</v>
      </c>
      <c r="K1631">
        <v>1.1090679999999999</v>
      </c>
      <c r="L1631">
        <v>313.25650000000002</v>
      </c>
      <c r="M1631">
        <v>1.6518649999999999E-2</v>
      </c>
      <c r="N1631">
        <v>-1.3885730000000001E-2</v>
      </c>
      <c r="O1631">
        <v>-0.99976739999999997</v>
      </c>
      <c r="P1631">
        <v>-5.6749609999999999E-2</v>
      </c>
      <c r="Q1631">
        <v>0.34806550000000003</v>
      </c>
      <c r="R1631">
        <v>-0.93575120000000001</v>
      </c>
      <c r="S1631">
        <v>-0.56309509999999996</v>
      </c>
      <c r="T1631">
        <v>-0.57583739999999894</v>
      </c>
      <c r="U1631">
        <v>-3.3912659999999999</v>
      </c>
      <c r="V1631">
        <v>7.3981179999999994E-2</v>
      </c>
      <c r="W1631">
        <v>0.36065029999999998</v>
      </c>
      <c r="X1631">
        <v>0.92976239999999999</v>
      </c>
      <c r="Y1631">
        <v>0.1779657</v>
      </c>
      <c r="Z1631">
        <v>0.15120899999999901</v>
      </c>
      <c r="AA1631">
        <v>0.97234980000000004</v>
      </c>
      <c r="AB1631">
        <v>24</v>
      </c>
      <c r="AC1631">
        <v>-0.121199999999987</v>
      </c>
      <c r="AD1631">
        <v>-0.1218646</v>
      </c>
      <c r="AE1631">
        <v>-0.47509999999999702</v>
      </c>
      <c r="AF1631">
        <v>0.12152516634463199</v>
      </c>
      <c r="AG1631">
        <v>-0.1218646</v>
      </c>
      <c r="AH1631">
        <v>0.44551198800256597</v>
      </c>
      <c r="AI1631">
        <v>104.783138046171</v>
      </c>
      <c r="AJ1631">
        <v>74.742260204962705</v>
      </c>
      <c r="AK1631">
        <v>0.47759844874355301</v>
      </c>
      <c r="AL1631">
        <v>68.859861177516393</v>
      </c>
      <c r="AM1631">
        <v>85.450560952936399</v>
      </c>
      <c r="AN1631">
        <v>0.99999998716902105</v>
      </c>
    </row>
    <row r="1632" spans="1:40" x14ac:dyDescent="0.25">
      <c r="A1632" t="str">
        <f>"20190304164401096"</f>
        <v>20190304164401096</v>
      </c>
      <c r="B1632" t="str">
        <f>"1551689041091536"</f>
        <v>1551689041091536</v>
      </c>
      <c r="C1632" t="s">
        <v>40</v>
      </c>
      <c r="D1632">
        <v>5.4313250000000002</v>
      </c>
      <c r="E1632">
        <v>0.55962780000000001</v>
      </c>
      <c r="F1632" t="s">
        <v>41</v>
      </c>
      <c r="G1632">
        <v>-192.15100000000001</v>
      </c>
      <c r="H1632">
        <v>0.95699520000000005</v>
      </c>
      <c r="I1632">
        <v>312.35680000000002</v>
      </c>
      <c r="J1632">
        <v>-191.99350000000001</v>
      </c>
      <c r="K1632">
        <v>1.10884</v>
      </c>
      <c r="L1632">
        <v>313.02390000000003</v>
      </c>
      <c r="M1632">
        <v>1.343771E-2</v>
      </c>
      <c r="N1632">
        <v>-1.389488E-2</v>
      </c>
      <c r="O1632">
        <v>-0.99981319999999996</v>
      </c>
      <c r="P1632">
        <v>-6.3676430000000006E-2</v>
      </c>
      <c r="Q1632">
        <v>0.34738059999999998</v>
      </c>
      <c r="R1632">
        <v>-0.9355599</v>
      </c>
      <c r="S1632">
        <v>-0.58946229999999999</v>
      </c>
      <c r="T1632">
        <v>-0.57174269999999905</v>
      </c>
      <c r="U1632">
        <v>-3.3828740000000002</v>
      </c>
      <c r="V1632">
        <v>7.8223909999999994E-2</v>
      </c>
      <c r="W1632">
        <v>0.35990919999999998</v>
      </c>
      <c r="X1632">
        <v>0.92970229999999998</v>
      </c>
      <c r="Y1632">
        <v>0.1827067</v>
      </c>
      <c r="Z1632">
        <v>0.1502859</v>
      </c>
      <c r="AA1632">
        <v>0.97161330000000001</v>
      </c>
      <c r="AB1632">
        <v>24</v>
      </c>
      <c r="AC1632">
        <v>-0.15749999999997</v>
      </c>
      <c r="AD1632">
        <v>-0.1518448</v>
      </c>
      <c r="AE1632">
        <v>-0.66710000000000402</v>
      </c>
      <c r="AF1632">
        <v>0.15866447817986701</v>
      </c>
      <c r="AG1632">
        <v>-0.1518448</v>
      </c>
      <c r="AH1632">
        <v>0.633818468496261</v>
      </c>
      <c r="AI1632">
        <v>103.083313991951</v>
      </c>
      <c r="AJ1632">
        <v>75.945902890570807</v>
      </c>
      <c r="AK1632">
        <v>0.67078842486291901</v>
      </c>
      <c r="AL1632">
        <v>68.905379976110495</v>
      </c>
      <c r="AM1632">
        <v>85.190537511332096</v>
      </c>
      <c r="AN1632">
        <v>0.99999998948280899</v>
      </c>
    </row>
    <row r="1633" spans="1:40" x14ac:dyDescent="0.25">
      <c r="A1633" t="str">
        <f>"20190304164401118"</f>
        <v>20190304164401118</v>
      </c>
      <c r="B1633" t="str">
        <f>"1551689041111056"</f>
        <v>1551689041111056</v>
      </c>
      <c r="C1633" t="s">
        <v>40</v>
      </c>
      <c r="D1633">
        <v>5.5804309999999999</v>
      </c>
      <c r="E1633">
        <v>0.55969939999999996</v>
      </c>
      <c r="F1633" t="s">
        <v>41</v>
      </c>
      <c r="G1633">
        <v>-192.15700000000001</v>
      </c>
      <c r="H1633">
        <v>0.96073500000000001</v>
      </c>
      <c r="I1633">
        <v>312.13639999999998</v>
      </c>
      <c r="J1633">
        <v>-191.99420000000001</v>
      </c>
      <c r="K1633">
        <v>1.1086510000000001</v>
      </c>
      <c r="L1633">
        <v>312.77460000000002</v>
      </c>
      <c r="M1633">
        <v>9.8472549999999992E-3</v>
      </c>
      <c r="N1633">
        <v>-1.390388E-2</v>
      </c>
      <c r="O1633">
        <v>-0.99985500000000005</v>
      </c>
      <c r="P1633">
        <v>-7.228221E-2</v>
      </c>
      <c r="Q1633">
        <v>0.34824559999999999</v>
      </c>
      <c r="R1633">
        <v>-0.93461269999999996</v>
      </c>
      <c r="S1633">
        <v>-0.62086490000000005</v>
      </c>
      <c r="T1633">
        <v>-0.56285859999999999</v>
      </c>
      <c r="U1633">
        <v>-3.373383</v>
      </c>
      <c r="V1633">
        <v>8.3632250000000005E-2</v>
      </c>
      <c r="W1633">
        <v>0.36070449999999998</v>
      </c>
      <c r="X1633">
        <v>0.92892300000000005</v>
      </c>
      <c r="Y1633">
        <v>0.18845700000000001</v>
      </c>
      <c r="Z1633">
        <v>0.148024499999999</v>
      </c>
      <c r="AA1633">
        <v>0.97086190000000006</v>
      </c>
      <c r="AB1633">
        <v>24</v>
      </c>
      <c r="AC1633">
        <v>-0.162800000000004</v>
      </c>
      <c r="AD1633">
        <v>-0.14791599999999999</v>
      </c>
      <c r="AE1633">
        <v>-0.63820000000003996</v>
      </c>
      <c r="AF1633">
        <v>0.16095914942932901</v>
      </c>
      <c r="AG1633">
        <v>-0.14791599999999999</v>
      </c>
      <c r="AH1633">
        <v>0.60600167080120204</v>
      </c>
      <c r="AI1633">
        <v>103.273714094738</v>
      </c>
      <c r="AJ1633">
        <v>75.125205080760395</v>
      </c>
      <c r="AK1633">
        <v>0.64422435211257101</v>
      </c>
      <c r="AL1633">
        <v>68.856532247981605</v>
      </c>
      <c r="AM1633">
        <v>84.8554500921027</v>
      </c>
      <c r="AN1633">
        <v>1.0000000147446499</v>
      </c>
    </row>
    <row r="1634" spans="1:40" x14ac:dyDescent="0.25">
      <c r="A1634" t="str">
        <f>"20190304164401152"</f>
        <v>20190304164401152</v>
      </c>
      <c r="B1634" t="str">
        <f>"1551689041141312"</f>
        <v>1551689041141312</v>
      </c>
      <c r="C1634" t="s">
        <v>40</v>
      </c>
      <c r="D1634">
        <v>5.6274899999999999</v>
      </c>
      <c r="E1634">
        <v>0.56131149999999996</v>
      </c>
      <c r="F1634" t="s">
        <v>41</v>
      </c>
      <c r="G1634">
        <v>-192.16079999999999</v>
      </c>
      <c r="H1634">
        <v>0.96607520000000002</v>
      </c>
      <c r="I1634">
        <v>311.91579999999999</v>
      </c>
      <c r="J1634">
        <v>-191.99700000000001</v>
      </c>
      <c r="K1634">
        <v>1.108479</v>
      </c>
      <c r="L1634">
        <v>312.4153</v>
      </c>
      <c r="M1634">
        <v>4.2838650000000004E-3</v>
      </c>
      <c r="N1634">
        <v>-1.3914030000000001E-2</v>
      </c>
      <c r="O1634">
        <v>-0.99989430000000001</v>
      </c>
      <c r="P1634">
        <v>-8.1240060000000003E-2</v>
      </c>
      <c r="Q1634">
        <v>0.34925260000000002</v>
      </c>
      <c r="R1634">
        <v>-0.93350080000000002</v>
      </c>
      <c r="S1634">
        <v>-0.65322880000000005</v>
      </c>
      <c r="T1634">
        <v>-0.55910000000000004</v>
      </c>
      <c r="U1634">
        <v>-3.3677060000000001</v>
      </c>
      <c r="V1634">
        <v>8.7554190000000004E-2</v>
      </c>
      <c r="W1634">
        <v>0.36164980000000002</v>
      </c>
      <c r="X1634">
        <v>0.92819370000000001</v>
      </c>
      <c r="Y1634">
        <v>0.19231760000000001</v>
      </c>
      <c r="Z1634">
        <v>0.14703729999999901</v>
      </c>
      <c r="AA1634">
        <v>0.97025459999999997</v>
      </c>
      <c r="AB1634">
        <v>24</v>
      </c>
      <c r="AC1634">
        <v>-0.16379999999997999</v>
      </c>
      <c r="AD1634">
        <v>-0.142403799999999</v>
      </c>
      <c r="AE1634">
        <v>-0.49950000000001099</v>
      </c>
      <c r="AF1634">
        <v>0.154593475646122</v>
      </c>
      <c r="AG1634">
        <v>-0.142403799999999</v>
      </c>
      <c r="AH1634">
        <v>0.46469172010842102</v>
      </c>
      <c r="AI1634">
        <v>106.213320009914</v>
      </c>
      <c r="AJ1634">
        <v>71.598766101823003</v>
      </c>
      <c r="AK1634">
        <v>0.51001605828063001</v>
      </c>
      <c r="AL1634">
        <v>68.798447922413104</v>
      </c>
      <c r="AM1634">
        <v>84.611376765499301</v>
      </c>
      <c r="AN1634">
        <v>0.99999992937313997</v>
      </c>
    </row>
    <row r="1635" spans="1:40" x14ac:dyDescent="0.25">
      <c r="A1635" t="str">
        <f>"20190304164401174"</f>
        <v>20190304164401174</v>
      </c>
      <c r="B1635" t="str">
        <f>"1551689041161339"</f>
        <v>1551689041161339</v>
      </c>
      <c r="C1635" t="s">
        <v>40</v>
      </c>
      <c r="D1635">
        <v>5.6272399999999996</v>
      </c>
      <c r="E1635">
        <v>0.56220389999999998</v>
      </c>
      <c r="F1635" t="s">
        <v>41</v>
      </c>
      <c r="G1635">
        <v>-192.14859999999999</v>
      </c>
      <c r="H1635">
        <v>0.9872957</v>
      </c>
      <c r="I1635">
        <v>311.68849999999998</v>
      </c>
      <c r="J1635">
        <v>-192.00020000000001</v>
      </c>
      <c r="K1635">
        <v>1.1083940000000001</v>
      </c>
      <c r="L1635">
        <v>312.18049999999999</v>
      </c>
      <c r="M1635">
        <v>4.4472789999999999E-4</v>
      </c>
      <c r="N1635">
        <v>-1.3919610000000001E-2</v>
      </c>
      <c r="O1635">
        <v>-0.99990299999999999</v>
      </c>
      <c r="P1635">
        <v>-8.6429140000000002E-2</v>
      </c>
      <c r="Q1635">
        <v>0.34908230000000001</v>
      </c>
      <c r="R1635">
        <v>-0.93309790000000004</v>
      </c>
      <c r="S1635">
        <v>-0.70027159999999999</v>
      </c>
      <c r="T1635">
        <v>-0.56064720000000001</v>
      </c>
      <c r="U1635">
        <v>-3.362549</v>
      </c>
      <c r="V1635">
        <v>8.9230920000000005E-2</v>
      </c>
      <c r="W1635">
        <v>0.36145559999999899</v>
      </c>
      <c r="X1635">
        <v>0.92810979999999998</v>
      </c>
      <c r="Y1635">
        <v>0.20184450000000001</v>
      </c>
      <c r="Z1635">
        <v>0.14733949999999901</v>
      </c>
      <c r="AA1635">
        <v>0.96827160000000001</v>
      </c>
      <c r="AB1635">
        <v>24</v>
      </c>
      <c r="AC1635">
        <v>-0.14839999999998099</v>
      </c>
      <c r="AD1635">
        <v>-0.12109830000000001</v>
      </c>
      <c r="AE1635">
        <v>-0.49200000000001798</v>
      </c>
      <c r="AF1635">
        <v>0.14080014256940099</v>
      </c>
      <c r="AG1635">
        <v>-0.12109830000000001</v>
      </c>
      <c r="AH1635">
        <v>0.46605385065919003</v>
      </c>
      <c r="AI1635">
        <v>103.96796700965901</v>
      </c>
      <c r="AJ1635">
        <v>73.189839121539194</v>
      </c>
      <c r="AK1635">
        <v>0.50169280453750997</v>
      </c>
      <c r="AL1635">
        <v>68.810384866259199</v>
      </c>
      <c r="AM1635">
        <v>84.508312017367203</v>
      </c>
      <c r="AN1635">
        <v>1.0000000543557199</v>
      </c>
    </row>
    <row r="1636" spans="1:40" x14ac:dyDescent="0.25">
      <c r="A1636" t="str">
        <f>"20190304164401197"</f>
        <v>20190304164401197</v>
      </c>
      <c r="B1636" t="str">
        <f>"1551689041191595"</f>
        <v>1551689041191595</v>
      </c>
      <c r="C1636" t="s">
        <v>40</v>
      </c>
      <c r="D1636">
        <v>5.6231790000000004</v>
      </c>
      <c r="E1636">
        <v>0.56335880000000005</v>
      </c>
      <c r="F1636" t="s">
        <v>41</v>
      </c>
      <c r="G1636">
        <v>-192.15379999999999</v>
      </c>
      <c r="H1636">
        <v>0.9889076</v>
      </c>
      <c r="I1636">
        <v>311.47019999999998</v>
      </c>
      <c r="J1636">
        <v>-192.005</v>
      </c>
      <c r="K1636">
        <v>1.1083179999999999</v>
      </c>
      <c r="L1636">
        <v>311.92399999999998</v>
      </c>
      <c r="M1636">
        <v>-3.896306E-3</v>
      </c>
      <c r="N1636">
        <v>-1.392579E-2</v>
      </c>
      <c r="O1636">
        <v>-0.99989550000000005</v>
      </c>
      <c r="P1636">
        <v>-9.1915960000000005E-2</v>
      </c>
      <c r="Q1636">
        <v>0.34840149999999998</v>
      </c>
      <c r="R1636">
        <v>-0.93282790000000004</v>
      </c>
      <c r="S1636">
        <v>-0.72579959999999999</v>
      </c>
      <c r="T1636">
        <v>-0.56505859999999997</v>
      </c>
      <c r="U1636">
        <v>-3.3592529999999998</v>
      </c>
      <c r="V1636">
        <v>9.0729069999999995E-2</v>
      </c>
      <c r="W1636">
        <v>0.36075610000000002</v>
      </c>
      <c r="X1636">
        <v>0.92823670000000003</v>
      </c>
      <c r="Y1636">
        <v>0.20478080000000001</v>
      </c>
      <c r="Z1636">
        <v>0.14855309999999999</v>
      </c>
      <c r="AA1636">
        <v>0.96746929999999998</v>
      </c>
      <c r="AB1636">
        <v>24</v>
      </c>
      <c r="AC1636">
        <v>-0.14879999999999399</v>
      </c>
      <c r="AD1636">
        <v>-0.1194104</v>
      </c>
      <c r="AE1636">
        <v>-0.45380000000005699</v>
      </c>
      <c r="AF1636">
        <v>0.13837935718619301</v>
      </c>
      <c r="AG1636">
        <v>-0.1194104</v>
      </c>
      <c r="AH1636">
        <v>0.42764112153724099</v>
      </c>
      <c r="AI1636">
        <v>104.87796746680699</v>
      </c>
      <c r="AJ1636">
        <v>72.069063099232494</v>
      </c>
      <c r="AK1636">
        <v>0.46506410198278397</v>
      </c>
      <c r="AL1636">
        <v>68.853363128526496</v>
      </c>
      <c r="AM1636">
        <v>84.417445174599806</v>
      </c>
      <c r="AN1636">
        <v>1.0000000495285799</v>
      </c>
    </row>
    <row r="1637" spans="1:40" x14ac:dyDescent="0.25">
      <c r="A1637" t="str">
        <f>"20190304164401218"</f>
        <v>20190304164401218</v>
      </c>
      <c r="B1637" t="str">
        <f>"1551689041211116"</f>
        <v>1551689041211116</v>
      </c>
      <c r="C1637" t="s">
        <v>40</v>
      </c>
      <c r="D1637">
        <v>5.6166799999999997</v>
      </c>
      <c r="E1637">
        <v>0.56395729999999999</v>
      </c>
      <c r="F1637" t="s">
        <v>41</v>
      </c>
      <c r="G1637">
        <v>-192.20160000000001</v>
      </c>
      <c r="H1637">
        <v>0.95984669999999905</v>
      </c>
      <c r="I1637">
        <v>311.04880000000003</v>
      </c>
      <c r="J1637">
        <v>-192.01050000000001</v>
      </c>
      <c r="K1637">
        <v>1.1082590000000001</v>
      </c>
      <c r="L1637">
        <v>311.6857</v>
      </c>
      <c r="M1637">
        <v>-8.0159529999999993E-3</v>
      </c>
      <c r="N1637">
        <v>-1.3931280000000001E-2</v>
      </c>
      <c r="O1637">
        <v>-0.99987099999999995</v>
      </c>
      <c r="P1637">
        <v>-9.7581730000000005E-2</v>
      </c>
      <c r="Q1637">
        <v>0.34867559999999997</v>
      </c>
      <c r="R1637">
        <v>-0.93215000000000003</v>
      </c>
      <c r="S1637">
        <v>-0.75341800000000003</v>
      </c>
      <c r="T1637">
        <v>-0.56906489999999998</v>
      </c>
      <c r="U1637">
        <v>-3.3543400000000001</v>
      </c>
      <c r="V1637">
        <v>9.2609049999999998E-2</v>
      </c>
      <c r="W1637">
        <v>0.36100559999999998</v>
      </c>
      <c r="X1637">
        <v>0.92795399999999995</v>
      </c>
      <c r="Y1637">
        <v>0.2085938</v>
      </c>
      <c r="Z1637">
        <v>0.14969250000000001</v>
      </c>
      <c r="AA1637">
        <v>0.96647859999999997</v>
      </c>
      <c r="AB1637">
        <v>24</v>
      </c>
      <c r="AC1637">
        <v>-0.19110000000000499</v>
      </c>
      <c r="AD1637">
        <v>-0.1484123</v>
      </c>
      <c r="AE1637">
        <v>-0.63689999999996805</v>
      </c>
      <c r="AF1637">
        <v>0.17716265841024301</v>
      </c>
      <c r="AG1637">
        <v>-0.1484123</v>
      </c>
      <c r="AH1637">
        <v>0.60811816601091695</v>
      </c>
      <c r="AI1637">
        <v>103.187129834125</v>
      </c>
      <c r="AJ1637">
        <v>73.757609513711898</v>
      </c>
      <c r="AK1637">
        <v>0.65055401171521099</v>
      </c>
      <c r="AL1637">
        <v>68.838034963347795</v>
      </c>
      <c r="AM1637">
        <v>84.300799199855007</v>
      </c>
      <c r="AN1637">
        <v>1.00000005274462</v>
      </c>
    </row>
    <row r="1638" spans="1:40" x14ac:dyDescent="0.25">
      <c r="A1638" t="str">
        <f>"20190304164401241"</f>
        <v>20190304164401241</v>
      </c>
      <c r="B1638" t="str">
        <f>"1551689041231611"</f>
        <v>1551689041231611</v>
      </c>
      <c r="C1638" t="s">
        <v>40</v>
      </c>
      <c r="D1638">
        <v>5.6068239999999996</v>
      </c>
      <c r="E1638">
        <v>0.56432799999999905</v>
      </c>
      <c r="F1638" t="s">
        <v>41</v>
      </c>
      <c r="G1638">
        <v>-192.2088</v>
      </c>
      <c r="H1638">
        <v>0.96293130000000005</v>
      </c>
      <c r="I1638">
        <v>310.83080000000001</v>
      </c>
      <c r="J1638">
        <v>-192.01730000000001</v>
      </c>
      <c r="K1638">
        <v>1.1082019999999999</v>
      </c>
      <c r="L1638">
        <v>311.44310000000002</v>
      </c>
      <c r="M1638">
        <v>-1.2268319999999999E-2</v>
      </c>
      <c r="N1638">
        <v>-1.393581E-2</v>
      </c>
      <c r="O1638">
        <v>-0.99982769999999999</v>
      </c>
      <c r="P1638">
        <v>-0.1026455</v>
      </c>
      <c r="Q1638">
        <v>0.3485202</v>
      </c>
      <c r="R1638">
        <v>-0.93166389999999999</v>
      </c>
      <c r="S1638">
        <v>-0.77650450000000004</v>
      </c>
      <c r="T1638">
        <v>-0.56948549999999998</v>
      </c>
      <c r="U1638">
        <v>-3.3500670000000001</v>
      </c>
      <c r="V1638">
        <v>9.3747479999999994E-2</v>
      </c>
      <c r="W1638">
        <v>0.3608362</v>
      </c>
      <c r="X1638">
        <v>0.92790550000000005</v>
      </c>
      <c r="Y1638">
        <v>0.21102219999999999</v>
      </c>
      <c r="Z1638">
        <v>0.1498372</v>
      </c>
      <c r="AA1638">
        <v>0.96592880000000003</v>
      </c>
      <c r="AB1638">
        <v>24</v>
      </c>
      <c r="AC1638">
        <v>-0.19149999999999001</v>
      </c>
      <c r="AD1638">
        <v>-0.1452707</v>
      </c>
      <c r="AE1638">
        <v>-0.61230000000000395</v>
      </c>
      <c r="AF1638">
        <v>0.174999996250224</v>
      </c>
      <c r="AG1638">
        <v>-0.1452707</v>
      </c>
      <c r="AH1638">
        <v>0.58462728270766495</v>
      </c>
      <c r="AI1638">
        <v>103.38995001768301</v>
      </c>
      <c r="AJ1638">
        <v>73.335664902929096</v>
      </c>
      <c r="AK1638">
        <v>0.62730983943520002</v>
      </c>
      <c r="AL1638">
        <v>68.848440863853099</v>
      </c>
      <c r="AM1638">
        <v>84.2309099173699</v>
      </c>
      <c r="AN1638">
        <v>0.99999998508351995</v>
      </c>
    </row>
    <row r="1639" spans="1:40" x14ac:dyDescent="0.25">
      <c r="A1639" t="str">
        <f>"20190304164401264"</f>
        <v>20190304164401264</v>
      </c>
      <c r="B1639" t="str">
        <f>"1551689041261867"</f>
        <v>1551689041261867</v>
      </c>
      <c r="C1639" t="s">
        <v>40</v>
      </c>
      <c r="D1639">
        <v>5.613092</v>
      </c>
      <c r="E1639">
        <v>0.56477149999999998</v>
      </c>
      <c r="F1639" t="s">
        <v>41</v>
      </c>
      <c r="G1639">
        <v>-192.21510000000001</v>
      </c>
      <c r="H1639">
        <v>0.96613230000000005</v>
      </c>
      <c r="I1639">
        <v>310.61309999999997</v>
      </c>
      <c r="J1639">
        <v>-192.02549999999999</v>
      </c>
      <c r="K1639">
        <v>1.108176</v>
      </c>
      <c r="L1639">
        <v>311.19159999999999</v>
      </c>
      <c r="M1639">
        <v>-1.6735659999999999E-2</v>
      </c>
      <c r="N1639">
        <v>-1.393902E-2</v>
      </c>
      <c r="O1639">
        <v>-0.99976279999999995</v>
      </c>
      <c r="P1639">
        <v>-0.10733529999999999</v>
      </c>
      <c r="Q1639">
        <v>0.34807290000000002</v>
      </c>
      <c r="R1639">
        <v>-0.93130259999999998</v>
      </c>
      <c r="S1639">
        <v>-0.79679869999999997</v>
      </c>
      <c r="T1639">
        <v>-0.57265679999999997</v>
      </c>
      <c r="U1639">
        <v>-3.3464360000000002</v>
      </c>
      <c r="V1639">
        <v>9.4294790000000003E-2</v>
      </c>
      <c r="W1639">
        <v>0.36038290000000001</v>
      </c>
      <c r="X1639">
        <v>0.92802620000000002</v>
      </c>
      <c r="Y1639">
        <v>0.2124038</v>
      </c>
      <c r="Z1639">
        <v>0.15074879999999999</v>
      </c>
      <c r="AA1639">
        <v>0.96548400000000001</v>
      </c>
      <c r="AB1639">
        <v>24</v>
      </c>
      <c r="AC1639">
        <v>-0.18960000000001201</v>
      </c>
      <c r="AD1639">
        <v>-0.14204369999999999</v>
      </c>
      <c r="AE1639">
        <v>-0.578500000000019</v>
      </c>
      <c r="AF1639">
        <v>0.17060311208838999</v>
      </c>
      <c r="AG1639">
        <v>-0.14204369999999999</v>
      </c>
      <c r="AH1639">
        <v>0.551564608378733</v>
      </c>
      <c r="AI1639">
        <v>103.82188072417701</v>
      </c>
      <c r="AJ1639">
        <v>72.812765552984899</v>
      </c>
      <c r="AK1639">
        <v>0.59456316046314195</v>
      </c>
      <c r="AL1639">
        <v>68.876286586451599</v>
      </c>
      <c r="AM1639">
        <v>84.198207915149098</v>
      </c>
      <c r="AN1639">
        <v>0.99999998495999598</v>
      </c>
    </row>
    <row r="1640" spans="1:40" x14ac:dyDescent="0.25">
      <c r="A1640" t="str">
        <f>"20190304164401289"</f>
        <v>20190304164401289</v>
      </c>
      <c r="B1640" t="str">
        <f>"1551689041281387"</f>
        <v>1551689041281387</v>
      </c>
      <c r="C1640" t="s">
        <v>40</v>
      </c>
      <c r="D1640">
        <v>5.7578899999999997</v>
      </c>
      <c r="E1640">
        <v>0.56500410000000001</v>
      </c>
      <c r="F1640" t="s">
        <v>41</v>
      </c>
      <c r="G1640">
        <v>-192.22040000000001</v>
      </c>
      <c r="H1640">
        <v>0.9706882</v>
      </c>
      <c r="I1640">
        <v>310.39519999999999</v>
      </c>
      <c r="J1640">
        <v>-192.0352</v>
      </c>
      <c r="K1640">
        <v>1.1081669999999999</v>
      </c>
      <c r="L1640">
        <v>310.92950000000002</v>
      </c>
      <c r="M1640">
        <v>-2.1445570000000001E-2</v>
      </c>
      <c r="N1640">
        <v>-1.3941530000000001E-2</v>
      </c>
      <c r="O1640">
        <v>-0.99967300000000003</v>
      </c>
      <c r="P1640">
        <v>-0.1118639</v>
      </c>
      <c r="Q1640">
        <v>0.34844229999999998</v>
      </c>
      <c r="R1640">
        <v>-0.93063119999999999</v>
      </c>
      <c r="S1640">
        <v>-0.81661989999999995</v>
      </c>
      <c r="T1640">
        <v>-0.57699259999999997</v>
      </c>
      <c r="U1640">
        <v>-3.3428339999999999</v>
      </c>
      <c r="V1640">
        <v>9.4455559999999994E-2</v>
      </c>
      <c r="W1640">
        <v>0.36074859999999997</v>
      </c>
      <c r="X1640">
        <v>0.92786780000000002</v>
      </c>
      <c r="Y1640">
        <v>0.21339929999999999</v>
      </c>
      <c r="Z1640">
        <v>0.15198639999999999</v>
      </c>
      <c r="AA1640">
        <v>0.96507039999999999</v>
      </c>
      <c r="AB1640">
        <v>24</v>
      </c>
      <c r="AC1640">
        <v>-0.185200000000008</v>
      </c>
      <c r="AD1640">
        <v>-0.13747879999999901</v>
      </c>
      <c r="AE1640">
        <v>-0.53430000000002997</v>
      </c>
      <c r="AF1640">
        <v>0.164004394630586</v>
      </c>
      <c r="AG1640">
        <v>-0.13747879999999901</v>
      </c>
      <c r="AH1640">
        <v>0.50811681732829905</v>
      </c>
      <c r="AI1640">
        <v>104.439169187842</v>
      </c>
      <c r="AJ1640">
        <v>72.111525310910395</v>
      </c>
      <c r="AK1640">
        <v>0.55134432250584098</v>
      </c>
      <c r="AL1640">
        <v>68.853823434200706</v>
      </c>
      <c r="AM1640">
        <v>84.187398340698095</v>
      </c>
      <c r="AN1640">
        <v>1.0000000297468501</v>
      </c>
    </row>
    <row r="1641" spans="1:40" x14ac:dyDescent="0.25">
      <c r="A1641" t="str">
        <f>"20190304164401308"</f>
        <v>20190304164401308</v>
      </c>
      <c r="B1641" t="str">
        <f>"1551689041301884"</f>
        <v>1551689041301884</v>
      </c>
      <c r="C1641" t="s">
        <v>40</v>
      </c>
      <c r="D1641">
        <v>5.6055869999999999</v>
      </c>
      <c r="E1641">
        <v>0.56519659999999905</v>
      </c>
      <c r="F1641" t="s">
        <v>41</v>
      </c>
      <c r="G1641">
        <v>-192.22389999999999</v>
      </c>
      <c r="H1641">
        <v>0.97801199999999999</v>
      </c>
      <c r="I1641">
        <v>310.17610000000002</v>
      </c>
      <c r="J1641">
        <v>-192.0444</v>
      </c>
      <c r="K1641">
        <v>1.1081570000000001</v>
      </c>
      <c r="L1641">
        <v>310.71140000000003</v>
      </c>
      <c r="M1641">
        <v>-2.5408119999999999E-2</v>
      </c>
      <c r="N1641">
        <v>-1.39434E-2</v>
      </c>
      <c r="O1641">
        <v>-0.99957989999999997</v>
      </c>
      <c r="P1641">
        <v>-0.114874</v>
      </c>
      <c r="Q1641">
        <v>0.3487632</v>
      </c>
      <c r="R1641">
        <v>-0.93014419999999998</v>
      </c>
      <c r="S1641">
        <v>-0.8353119</v>
      </c>
      <c r="T1641">
        <v>-0.57676530000000004</v>
      </c>
      <c r="U1641">
        <v>-3.339172</v>
      </c>
      <c r="V1641">
        <v>9.3786060000000004E-2</v>
      </c>
      <c r="W1641">
        <v>0.36107359999999999</v>
      </c>
      <c r="X1641">
        <v>0.9278092</v>
      </c>
      <c r="Y1641">
        <v>0.2148639</v>
      </c>
      <c r="Z1641">
        <v>0.15194389999999999</v>
      </c>
      <c r="AA1641">
        <v>0.9647521</v>
      </c>
      <c r="AB1641">
        <v>24</v>
      </c>
      <c r="AC1641">
        <v>-0.17949999999999</v>
      </c>
      <c r="AD1641">
        <v>-0.13014499999999901</v>
      </c>
      <c r="AE1641">
        <v>-0.53530000000000599</v>
      </c>
      <c r="AF1641">
        <v>0.157472417782173</v>
      </c>
      <c r="AG1641">
        <v>-0.13014499999999901</v>
      </c>
      <c r="AH1641">
        <v>0.51245874175099604</v>
      </c>
      <c r="AI1641">
        <v>103.64511080540601</v>
      </c>
      <c r="AJ1641">
        <v>72.918435503365203</v>
      </c>
      <c r="AK1641">
        <v>0.55167857071321602</v>
      </c>
      <c r="AL1641">
        <v>68.833854565427899</v>
      </c>
      <c r="AM1641">
        <v>84.227956790946195</v>
      </c>
      <c r="AN1641">
        <v>0.99999994063595998</v>
      </c>
    </row>
    <row r="1642" spans="1:40" x14ac:dyDescent="0.25">
      <c r="A1642" t="str">
        <f>"20190304164401332"</f>
        <v>20190304164401332</v>
      </c>
      <c r="B1642" t="str">
        <f>"1551689041321403"</f>
        <v>1551689041321403</v>
      </c>
      <c r="C1642" t="s">
        <v>40</v>
      </c>
      <c r="D1642">
        <v>5.6074229999999998</v>
      </c>
      <c r="E1642">
        <v>0.56532380000000004</v>
      </c>
      <c r="F1642" t="s">
        <v>41</v>
      </c>
      <c r="G1642">
        <v>-192.23609999999999</v>
      </c>
      <c r="H1642">
        <v>0.97844419999999999</v>
      </c>
      <c r="I1642">
        <v>309.96050000000002</v>
      </c>
      <c r="J1642">
        <v>-192.0558</v>
      </c>
      <c r="K1642">
        <v>1.10815</v>
      </c>
      <c r="L1642">
        <v>310.46390000000002</v>
      </c>
      <c r="M1642">
        <v>-2.9941099999999998E-2</v>
      </c>
      <c r="N1642">
        <v>-1.39396E-2</v>
      </c>
      <c r="O1642">
        <v>-0.99945459999999997</v>
      </c>
      <c r="P1642">
        <v>-0.1175633</v>
      </c>
      <c r="Q1642">
        <v>0.34859849999999998</v>
      </c>
      <c r="R1642">
        <v>-0.92986999999999997</v>
      </c>
      <c r="S1642">
        <v>-0.8507538</v>
      </c>
      <c r="T1642">
        <v>-0.5761752</v>
      </c>
      <c r="U1642">
        <v>-3.3362729999999998</v>
      </c>
      <c r="V1642">
        <v>9.2255279999999995E-2</v>
      </c>
      <c r="W1642">
        <v>0.36091800000000002</v>
      </c>
      <c r="X1642">
        <v>0.9280233</v>
      </c>
      <c r="Y1642">
        <v>0.21483830000000001</v>
      </c>
      <c r="Z1642">
        <v>0.15180679999999999</v>
      </c>
      <c r="AA1642">
        <v>0.96477939999999995</v>
      </c>
      <c r="AB1642">
        <v>24</v>
      </c>
      <c r="AC1642">
        <v>-0.180299999999988</v>
      </c>
      <c r="AD1642">
        <v>-0.12970580000000001</v>
      </c>
      <c r="AE1642">
        <v>-0.50339999999999896</v>
      </c>
      <c r="AF1642">
        <v>0.155968127691886</v>
      </c>
      <c r="AG1642">
        <v>-0.12970580000000001</v>
      </c>
      <c r="AH1642">
        <v>0.48031150129928901</v>
      </c>
      <c r="AI1642">
        <v>104.40466074133499</v>
      </c>
      <c r="AJ1642">
        <v>72.010201177207804</v>
      </c>
      <c r="AK1642">
        <v>0.52139120599577604</v>
      </c>
      <c r="AL1642">
        <v>68.843416691846599</v>
      </c>
      <c r="AM1642">
        <v>84.322849051689403</v>
      </c>
      <c r="AN1642">
        <v>1.00000004237738</v>
      </c>
    </row>
    <row r="1643" spans="1:40" x14ac:dyDescent="0.25">
      <c r="A1643" t="str">
        <f>"20190304164401353"</f>
        <v>20190304164401353</v>
      </c>
      <c r="B1643" t="str">
        <f>"1551689041340926"</f>
        <v>1551689041340926</v>
      </c>
      <c r="C1643" t="s">
        <v>40</v>
      </c>
      <c r="D1643">
        <v>5.6289809999999996</v>
      </c>
      <c r="E1643">
        <v>0.56541249999999998</v>
      </c>
      <c r="F1643" t="s">
        <v>41</v>
      </c>
      <c r="G1643">
        <v>-192.2432</v>
      </c>
      <c r="H1643">
        <v>0.98337390000000002</v>
      </c>
      <c r="I1643">
        <v>309.74299999999999</v>
      </c>
      <c r="J1643">
        <v>-192.06739999999999</v>
      </c>
      <c r="K1643">
        <v>1.1081369999999999</v>
      </c>
      <c r="L1643">
        <v>310.23559999999998</v>
      </c>
      <c r="M1643">
        <v>-3.4153910000000003E-2</v>
      </c>
      <c r="N1643">
        <v>-1.392415E-2</v>
      </c>
      <c r="O1643">
        <v>-0.99931999999999999</v>
      </c>
      <c r="P1643">
        <v>-0.1198774</v>
      </c>
      <c r="Q1643">
        <v>0.34901359999999998</v>
      </c>
      <c r="R1643">
        <v>-0.92941890000000005</v>
      </c>
      <c r="S1643">
        <v>-0.86578369999999905</v>
      </c>
      <c r="T1643">
        <v>-0.57692580000000004</v>
      </c>
      <c r="U1643">
        <v>-3.3330690000000001</v>
      </c>
      <c r="V1643">
        <v>9.0659340000000005E-2</v>
      </c>
      <c r="W1643">
        <v>0.36132890000000001</v>
      </c>
      <c r="X1643">
        <v>0.92802070000000003</v>
      </c>
      <c r="Y1643">
        <v>0.21501629999999999</v>
      </c>
      <c r="Z1643">
        <v>0.152064899999999</v>
      </c>
      <c r="AA1643">
        <v>0.96469899999999997</v>
      </c>
      <c r="AB1643">
        <v>24</v>
      </c>
      <c r="AC1643">
        <v>-0.175800000000009</v>
      </c>
      <c r="AD1643">
        <v>-0.1247631</v>
      </c>
      <c r="AE1643">
        <v>-0.492599999999981</v>
      </c>
      <c r="AF1643">
        <v>0.15031832843479201</v>
      </c>
      <c r="AG1643">
        <v>-0.1247631</v>
      </c>
      <c r="AH1643">
        <v>0.47148923278558902</v>
      </c>
      <c r="AI1643">
        <v>104.150086328532</v>
      </c>
      <c r="AJ1643">
        <v>72.316884442553999</v>
      </c>
      <c r="AK1643">
        <v>0.510356275182135</v>
      </c>
      <c r="AL1643">
        <v>68.818170446767795</v>
      </c>
      <c r="AM1643">
        <v>84.420418411717407</v>
      </c>
      <c r="AN1643">
        <v>1.00000005476646</v>
      </c>
    </row>
    <row r="1644" spans="1:40" x14ac:dyDescent="0.25">
      <c r="A1644" t="str">
        <f>"20190304164401376"</f>
        <v>20190304164401376</v>
      </c>
      <c r="B1644" t="str">
        <f>"1551689041371180"</f>
        <v>1551689041371180</v>
      </c>
      <c r="C1644" t="s">
        <v>40</v>
      </c>
      <c r="D1644">
        <v>5.6170730000000004</v>
      </c>
      <c r="E1644">
        <v>0.56554230000000005</v>
      </c>
      <c r="F1644" t="s">
        <v>41</v>
      </c>
      <c r="G1644">
        <v>-192.25470000000001</v>
      </c>
      <c r="H1644">
        <v>0.98569039999999997</v>
      </c>
      <c r="I1644">
        <v>309.52710000000002</v>
      </c>
      <c r="J1644">
        <v>-192.0804</v>
      </c>
      <c r="K1644">
        <v>1.1081190000000001</v>
      </c>
      <c r="L1644">
        <v>310.00080000000003</v>
      </c>
      <c r="M1644">
        <v>-3.8517790000000003E-2</v>
      </c>
      <c r="N1644">
        <v>-1.3885120000000001E-2</v>
      </c>
      <c r="O1644">
        <v>-0.99916159999999998</v>
      </c>
      <c r="P1644">
        <v>-0.121657399999999</v>
      </c>
      <c r="Q1644">
        <v>0.34930339999999999</v>
      </c>
      <c r="R1644">
        <v>-0.92907859999999998</v>
      </c>
      <c r="S1644">
        <v>-0.87942500000000001</v>
      </c>
      <c r="T1644">
        <v>-0.57553169999999898</v>
      </c>
      <c r="U1644">
        <v>-3.330505</v>
      </c>
      <c r="V1644">
        <v>8.8386039999999999E-2</v>
      </c>
      <c r="W1644">
        <v>0.36159780000000002</v>
      </c>
      <c r="X1644">
        <v>0.92813520000000005</v>
      </c>
      <c r="Y1644">
        <v>0.2146477</v>
      </c>
      <c r="Z1644">
        <v>0.15172739999999901</v>
      </c>
      <c r="AA1644">
        <v>0.96483430000000003</v>
      </c>
      <c r="AB1644">
        <v>24</v>
      </c>
      <c r="AC1644">
        <v>-0.174300000000016</v>
      </c>
      <c r="AD1644">
        <v>-0.1224286</v>
      </c>
      <c r="AE1644">
        <v>-0.473700000000007</v>
      </c>
      <c r="AF1644">
        <v>0.14725942667167199</v>
      </c>
      <c r="AG1644">
        <v>-0.1224286</v>
      </c>
      <c r="AH1644">
        <v>0.45338891739092602</v>
      </c>
      <c r="AI1644">
        <v>104.40358303138601</v>
      </c>
      <c r="AJ1644">
        <v>72.006351304208906</v>
      </c>
      <c r="AK1644">
        <v>0.49217437078188597</v>
      </c>
      <c r="AL1644">
        <v>68.801645257857999</v>
      </c>
      <c r="AM1644">
        <v>84.560144452770899</v>
      </c>
      <c r="AN1644">
        <v>1.0000000052553799</v>
      </c>
    </row>
    <row r="1645" spans="1:40" x14ac:dyDescent="0.25">
      <c r="A1645" t="str">
        <f>"20190304164401399"</f>
        <v>20190304164401399</v>
      </c>
      <c r="B1645" t="str">
        <f>"1551689041391675"</f>
        <v>1551689041391675</v>
      </c>
      <c r="C1645" t="s">
        <v>40</v>
      </c>
      <c r="D1645">
        <v>5.6107449999999996</v>
      </c>
      <c r="E1645">
        <v>0.56565909999999997</v>
      </c>
      <c r="F1645" t="s">
        <v>41</v>
      </c>
      <c r="G1645">
        <v>-192.31790000000001</v>
      </c>
      <c r="H1645">
        <v>0.95458909999999997</v>
      </c>
      <c r="I1645">
        <v>309.11290000000002</v>
      </c>
      <c r="J1645">
        <v>-192.09620000000001</v>
      </c>
      <c r="K1645">
        <v>1.108098</v>
      </c>
      <c r="L1645">
        <v>309.7407</v>
      </c>
      <c r="M1645">
        <v>-4.3380479999999999E-2</v>
      </c>
      <c r="N1645">
        <v>-1.3813590000000001E-2</v>
      </c>
      <c r="O1645">
        <v>-0.99896309999999999</v>
      </c>
      <c r="P1645">
        <v>-0.1245497</v>
      </c>
      <c r="Q1645">
        <v>0.34943610000000003</v>
      </c>
      <c r="R1645">
        <v>-0.92864530000000001</v>
      </c>
      <c r="S1645">
        <v>-0.89015200000000005</v>
      </c>
      <c r="T1645">
        <v>-0.57560540000000004</v>
      </c>
      <c r="U1645">
        <v>-3.3288269999999902</v>
      </c>
      <c r="V1645">
        <v>8.675948E-2</v>
      </c>
      <c r="W1645">
        <v>0.3616761</v>
      </c>
      <c r="X1645">
        <v>0.92825820000000003</v>
      </c>
      <c r="Y1645">
        <v>0.2129209</v>
      </c>
      <c r="Z1645">
        <v>0.1518235</v>
      </c>
      <c r="AA1645">
        <v>0.96520170000000005</v>
      </c>
      <c r="AB1645">
        <v>24</v>
      </c>
      <c r="AC1645">
        <v>-0.22169999999999801</v>
      </c>
      <c r="AD1645">
        <v>-0.1535089</v>
      </c>
      <c r="AE1645">
        <v>-0.62779999999997904</v>
      </c>
      <c r="AF1645">
        <v>0.18444907171042399</v>
      </c>
      <c r="AG1645">
        <v>-0.1535089</v>
      </c>
      <c r="AH1645">
        <v>0.60468232293345603</v>
      </c>
      <c r="AI1645">
        <v>103.64848765093301</v>
      </c>
      <c r="AJ1645">
        <v>73.036476845521406</v>
      </c>
      <c r="AK1645">
        <v>0.65055910884580503</v>
      </c>
      <c r="AL1645">
        <v>68.796834255652399</v>
      </c>
      <c r="AM1645">
        <v>84.660372978963395</v>
      </c>
      <c r="AN1645">
        <v>1.0000000472741499</v>
      </c>
    </row>
    <row r="1646" spans="1:40" x14ac:dyDescent="0.25">
      <c r="A1646" t="str">
        <f>"20190304164401421"</f>
        <v>20190304164401421</v>
      </c>
      <c r="B1646" t="str">
        <f>"1551689041411195"</f>
        <v>1551689041411195</v>
      </c>
      <c r="C1646" t="s">
        <v>40</v>
      </c>
      <c r="D1646">
        <v>5.6184240000000001</v>
      </c>
      <c r="E1646">
        <v>0.56574709999999995</v>
      </c>
      <c r="F1646" t="s">
        <v>41</v>
      </c>
      <c r="G1646">
        <v>-192.32589999999999</v>
      </c>
      <c r="H1646">
        <v>0.96188940000000001</v>
      </c>
      <c r="I1646">
        <v>308.8954</v>
      </c>
      <c r="J1646">
        <v>-192.11170000000001</v>
      </c>
      <c r="K1646">
        <v>1.108079</v>
      </c>
      <c r="L1646">
        <v>309.50170000000003</v>
      </c>
      <c r="M1646">
        <v>-4.786729E-2</v>
      </c>
      <c r="N1646">
        <v>-1.3734720000000001E-2</v>
      </c>
      <c r="O1646">
        <v>-0.99875919999999896</v>
      </c>
      <c r="P1646">
        <v>-0.12643740000000001</v>
      </c>
      <c r="Q1646">
        <v>0.34961930000000002</v>
      </c>
      <c r="R1646">
        <v>-0.92832110000000001</v>
      </c>
      <c r="S1646">
        <v>-0.90342710000000004</v>
      </c>
      <c r="T1646">
        <v>-0.57522249999999997</v>
      </c>
      <c r="U1646">
        <v>-3.3257449999999902</v>
      </c>
      <c r="V1646">
        <v>8.4470310000000007E-2</v>
      </c>
      <c r="W1646">
        <v>0.36180370000000001</v>
      </c>
      <c r="X1646">
        <v>0.92841949999999995</v>
      </c>
      <c r="Y1646">
        <v>0.21235229999999999</v>
      </c>
      <c r="Z1646">
        <v>0.15182490000000001</v>
      </c>
      <c r="AA1646">
        <v>0.96532669999999998</v>
      </c>
      <c r="AB1646">
        <v>24</v>
      </c>
      <c r="AC1646">
        <v>-0.21419999999997599</v>
      </c>
      <c r="AD1646">
        <v>-0.1461896</v>
      </c>
      <c r="AE1646">
        <v>-0.60630000000003204</v>
      </c>
      <c r="AF1646">
        <v>0.17584112838407701</v>
      </c>
      <c r="AG1646">
        <v>-0.1461896</v>
      </c>
      <c r="AH1646">
        <v>0.58559182435641899</v>
      </c>
      <c r="AI1646">
        <v>103.446823694903</v>
      </c>
      <c r="AJ1646">
        <v>73.286073239449394</v>
      </c>
      <c r="AK1646">
        <v>0.62865673171662195</v>
      </c>
      <c r="AL1646">
        <v>68.788990289953006</v>
      </c>
      <c r="AM1646">
        <v>84.801376132055296</v>
      </c>
      <c r="AN1646">
        <v>0.99999995929271701</v>
      </c>
    </row>
    <row r="1647" spans="1:40" x14ac:dyDescent="0.25">
      <c r="A1647" t="str">
        <f>"20190304164401444"</f>
        <v>20190304164401444</v>
      </c>
      <c r="B1647" t="str">
        <f>"1551689041431691"</f>
        <v>1551689041431691</v>
      </c>
      <c r="C1647" t="s">
        <v>40</v>
      </c>
      <c r="D1647">
        <v>5.6173950000000001</v>
      </c>
      <c r="E1647">
        <v>0.56579849999999998</v>
      </c>
      <c r="F1647" t="s">
        <v>41</v>
      </c>
      <c r="G1647">
        <v>-192.33770000000001</v>
      </c>
      <c r="H1647">
        <v>0.96595419999999999</v>
      </c>
      <c r="I1647">
        <v>308.67939999999999</v>
      </c>
      <c r="J1647">
        <v>-192.1284</v>
      </c>
      <c r="K1647">
        <v>1.1080540000000001</v>
      </c>
      <c r="L1647">
        <v>309.2611</v>
      </c>
      <c r="M1647">
        <v>-5.2404220000000001E-2</v>
      </c>
      <c r="N1647">
        <v>-1.362798E-2</v>
      </c>
      <c r="O1647">
        <v>-0.99853320000000001</v>
      </c>
      <c r="P1647">
        <v>-0.1291254</v>
      </c>
      <c r="Q1647">
        <v>0.34929320000000003</v>
      </c>
      <c r="R1647">
        <v>-0.92807390000000001</v>
      </c>
      <c r="S1647">
        <v>-0.91284180000000004</v>
      </c>
      <c r="T1647">
        <v>-0.57427930000000005</v>
      </c>
      <c r="U1647">
        <v>-3.3236080000000001</v>
      </c>
      <c r="V1647">
        <v>8.2920549999999996E-2</v>
      </c>
      <c r="W1647">
        <v>0.36139379999999999</v>
      </c>
      <c r="X1647">
        <v>0.92871890000000001</v>
      </c>
      <c r="Y1647">
        <v>0.21062719999999999</v>
      </c>
      <c r="Z1647">
        <v>0.15169070000000001</v>
      </c>
      <c r="AA1647">
        <v>0.96572570000000002</v>
      </c>
      <c r="AB1647">
        <v>24</v>
      </c>
      <c r="AC1647">
        <v>-0.209300000000013</v>
      </c>
      <c r="AD1647">
        <v>-0.1420998</v>
      </c>
      <c r="AE1647">
        <v>-0.58170000000001199</v>
      </c>
      <c r="AF1647">
        <v>0.169567015862119</v>
      </c>
      <c r="AG1647">
        <v>-0.1420998</v>
      </c>
      <c r="AH1647">
        <v>0.562167940192701</v>
      </c>
      <c r="AI1647">
        <v>103.604138215744</v>
      </c>
      <c r="AJ1647">
        <v>73.215085374683795</v>
      </c>
      <c r="AK1647">
        <v>0.60413418957126497</v>
      </c>
      <c r="AL1647">
        <v>68.814182266414093</v>
      </c>
      <c r="AM1647">
        <v>84.8978825097347</v>
      </c>
      <c r="AN1647">
        <v>1.0000000457539699</v>
      </c>
    </row>
    <row r="1648" spans="1:40" x14ac:dyDescent="0.25">
      <c r="A1648" t="str">
        <f>"20190304164401467"</f>
        <v>20190304164401467</v>
      </c>
      <c r="B1648" t="str">
        <f>"1551689041461947"</f>
        <v>1551689041461947</v>
      </c>
      <c r="C1648" t="s">
        <v>40</v>
      </c>
      <c r="D1648">
        <v>5.6341330000000003</v>
      </c>
      <c r="E1648">
        <v>0.56579190000000001</v>
      </c>
      <c r="F1648" t="s">
        <v>41</v>
      </c>
      <c r="G1648">
        <v>-192.35</v>
      </c>
      <c r="H1648">
        <v>0.96948420000000002</v>
      </c>
      <c r="I1648">
        <v>308.46370000000002</v>
      </c>
      <c r="J1648">
        <v>-192.14670000000001</v>
      </c>
      <c r="K1648">
        <v>1.1080239999999999</v>
      </c>
      <c r="L1648">
        <v>309.01510000000002</v>
      </c>
      <c r="M1648">
        <v>-5.7057620000000003E-2</v>
      </c>
      <c r="N1648">
        <v>-1.3476220000000001E-2</v>
      </c>
      <c r="O1648">
        <v>-0.99827999999999995</v>
      </c>
      <c r="P1648">
        <v>-0.1329727</v>
      </c>
      <c r="Q1648">
        <v>0.34890270000000001</v>
      </c>
      <c r="R1648">
        <v>-0.92767759999999999</v>
      </c>
      <c r="S1648">
        <v>-0.92265319999999995</v>
      </c>
      <c r="T1648">
        <v>-0.57714639999999995</v>
      </c>
      <c r="U1648">
        <v>-3.3213499999999998</v>
      </c>
      <c r="V1648">
        <v>8.2423529999999995E-2</v>
      </c>
      <c r="W1648">
        <v>0.36086990000000002</v>
      </c>
      <c r="X1648">
        <v>0.92896679999999998</v>
      </c>
      <c r="Y1648">
        <v>0.20885580000000001</v>
      </c>
      <c r="Z1648">
        <v>0.15266399999999999</v>
      </c>
      <c r="AA1648">
        <v>0.96595699999999995</v>
      </c>
      <c r="AB1648">
        <v>24</v>
      </c>
      <c r="AC1648">
        <v>-0.20329999999998399</v>
      </c>
      <c r="AD1648">
        <v>-0.13853979999999999</v>
      </c>
      <c r="AE1648">
        <v>-0.551400000000001</v>
      </c>
      <c r="AF1648">
        <v>0.16247514405162899</v>
      </c>
      <c r="AG1648">
        <v>-0.13853979999999999</v>
      </c>
      <c r="AH1648">
        <v>0.53250946161884205</v>
      </c>
      <c r="AI1648">
        <v>103.973622997208</v>
      </c>
      <c r="AJ1648">
        <v>73.032411781426006</v>
      </c>
      <c r="AK1648">
        <v>0.57372273384643402</v>
      </c>
      <c r="AL1648">
        <v>68.846371258298902</v>
      </c>
      <c r="AM1648">
        <v>84.9296506277324</v>
      </c>
      <c r="AN1648">
        <v>1.0000000192629499</v>
      </c>
    </row>
    <row r="1649" spans="1:40" x14ac:dyDescent="0.25">
      <c r="A1649" t="str">
        <f>"20190304164401490"</f>
        <v>20190304164401490</v>
      </c>
      <c r="B1649" t="str">
        <f>"1551689041481467"</f>
        <v>1551689041481467</v>
      </c>
      <c r="C1649" t="s">
        <v>40</v>
      </c>
      <c r="D1649">
        <v>5.6136839999999903</v>
      </c>
      <c r="E1649">
        <v>0.56576439999999995</v>
      </c>
      <c r="F1649" t="s">
        <v>41</v>
      </c>
      <c r="G1649">
        <v>-192.36320000000001</v>
      </c>
      <c r="H1649">
        <v>0.97349669999999999</v>
      </c>
      <c r="I1649">
        <v>308.24779999999998</v>
      </c>
      <c r="J1649">
        <v>-192.166</v>
      </c>
      <c r="K1649">
        <v>1.1079969999999999</v>
      </c>
      <c r="L1649">
        <v>308.7697</v>
      </c>
      <c r="M1649">
        <v>-6.1704210000000002E-2</v>
      </c>
      <c r="N1649">
        <v>-1.328641E-2</v>
      </c>
      <c r="O1649">
        <v>-0.99800599999999995</v>
      </c>
      <c r="P1649">
        <v>-0.13695209999999999</v>
      </c>
      <c r="Q1649">
        <v>0.34860570000000002</v>
      </c>
      <c r="R1649">
        <v>-0.92720970000000003</v>
      </c>
      <c r="S1649">
        <v>-0.93571470000000001</v>
      </c>
      <c r="T1649">
        <v>-0.58168489999999995</v>
      </c>
      <c r="U1649">
        <v>-3.3185120000000001</v>
      </c>
      <c r="V1649">
        <v>8.2067970000000004E-2</v>
      </c>
      <c r="W1649">
        <v>0.3604021</v>
      </c>
      <c r="X1649">
        <v>0.9291798</v>
      </c>
      <c r="Y1649">
        <v>0.20798639999999999</v>
      </c>
      <c r="Z1649">
        <v>0.15412609999999999</v>
      </c>
      <c r="AA1649">
        <v>0.9659124</v>
      </c>
      <c r="AB1649">
        <v>24</v>
      </c>
      <c r="AC1649">
        <v>-0.19720000000000901</v>
      </c>
      <c r="AD1649">
        <v>-0.13450029999999999</v>
      </c>
      <c r="AE1649">
        <v>-0.52190000000001602</v>
      </c>
      <c r="AF1649">
        <v>0.15557607855345901</v>
      </c>
      <c r="AG1649">
        <v>-0.13450029999999999</v>
      </c>
      <c r="AH1649">
        <v>0.503794788387117</v>
      </c>
      <c r="AI1649">
        <v>104.31030458207</v>
      </c>
      <c r="AJ1649">
        <v>72.838870913177004</v>
      </c>
      <c r="AK1649">
        <v>0.54415387136744897</v>
      </c>
      <c r="AL1649">
        <v>68.875106772556194</v>
      </c>
      <c r="AM1649">
        <v>84.952561235165604</v>
      </c>
      <c r="AN1649">
        <v>0.99999996305618399</v>
      </c>
    </row>
    <row r="1650" spans="1:40" x14ac:dyDescent="0.25">
      <c r="A1650" t="str">
        <f>"20190304164401511"</f>
        <v>20190304164401511</v>
      </c>
      <c r="B1650" t="str">
        <f>"1551689041500987"</f>
        <v>1551689041500987</v>
      </c>
      <c r="C1650" t="s">
        <v>40</v>
      </c>
      <c r="D1650">
        <v>5.6300780000000001</v>
      </c>
      <c r="E1650">
        <v>0.56574080000000004</v>
      </c>
      <c r="F1650" t="s">
        <v>41</v>
      </c>
      <c r="G1650">
        <v>-192.3775</v>
      </c>
      <c r="H1650">
        <v>0.97775610000000002</v>
      </c>
      <c r="I1650">
        <v>308.03160000000003</v>
      </c>
      <c r="J1650">
        <v>-192.18539999999999</v>
      </c>
      <c r="K1650">
        <v>1.107974</v>
      </c>
      <c r="L1650">
        <v>308.53570000000002</v>
      </c>
      <c r="M1650">
        <v>-6.61326E-2</v>
      </c>
      <c r="N1650">
        <v>-1.3085050000000001E-2</v>
      </c>
      <c r="O1650">
        <v>-0.99772510000000003</v>
      </c>
      <c r="P1650">
        <v>-0.141184</v>
      </c>
      <c r="Q1650">
        <v>0.34947309999999998</v>
      </c>
      <c r="R1650">
        <v>-0.92624810000000002</v>
      </c>
      <c r="S1650">
        <v>-0.94985960000000003</v>
      </c>
      <c r="T1650">
        <v>-0.58495909999999995</v>
      </c>
      <c r="U1650">
        <v>-3.3151860000000002</v>
      </c>
      <c r="V1650">
        <v>8.2208829999999997E-2</v>
      </c>
      <c r="W1650">
        <v>0.36107810000000001</v>
      </c>
      <c r="X1650">
        <v>0.92890490000000003</v>
      </c>
      <c r="Y1650">
        <v>0.20766950000000001</v>
      </c>
      <c r="Z1650">
        <v>0.15524760000000001</v>
      </c>
      <c r="AA1650">
        <v>0.96580100000000002</v>
      </c>
      <c r="AB1650">
        <v>24</v>
      </c>
      <c r="AC1650">
        <v>-0.19210000000001001</v>
      </c>
      <c r="AD1650">
        <v>-0.1302179</v>
      </c>
      <c r="AE1650">
        <v>-0.504099999999994</v>
      </c>
      <c r="AF1650">
        <v>0.14962117707129799</v>
      </c>
      <c r="AG1650">
        <v>-0.1302179</v>
      </c>
      <c r="AH1650">
        <v>0.48730765469569098</v>
      </c>
      <c r="AI1650">
        <v>104.329727624965</v>
      </c>
      <c r="AJ1650">
        <v>72.9316090466329</v>
      </c>
      <c r="AK1650">
        <v>0.52612921267843105</v>
      </c>
      <c r="AL1650">
        <v>68.833579390768406</v>
      </c>
      <c r="AM1650">
        <v>84.942454238556806</v>
      </c>
      <c r="AN1650">
        <v>0.99999999963679398</v>
      </c>
    </row>
    <row r="1651" spans="1:40" x14ac:dyDescent="0.25">
      <c r="A1651" t="str">
        <f>"20190304164401533"</f>
        <v>20190304164401533</v>
      </c>
      <c r="B1651" t="str">
        <f>"1551689041521483"</f>
        <v>1551689041521483</v>
      </c>
      <c r="C1651" t="s">
        <v>40</v>
      </c>
      <c r="D1651">
        <v>5.6152240000000004</v>
      </c>
      <c r="E1651">
        <v>0.56571749999999998</v>
      </c>
      <c r="F1651" t="s">
        <v>41</v>
      </c>
      <c r="G1651">
        <v>-192.39529999999999</v>
      </c>
      <c r="H1651">
        <v>0.98099829999999999</v>
      </c>
      <c r="I1651">
        <v>307.81580000000002</v>
      </c>
      <c r="J1651">
        <v>-192.2063</v>
      </c>
      <c r="K1651">
        <v>1.107945</v>
      </c>
      <c r="L1651">
        <v>308.29719999999998</v>
      </c>
      <c r="M1651">
        <v>-7.0640690000000006E-2</v>
      </c>
      <c r="N1651">
        <v>-1.2870950000000001E-2</v>
      </c>
      <c r="O1651">
        <v>-0.99741880000000005</v>
      </c>
      <c r="P1651">
        <v>-0.14570229999999901</v>
      </c>
      <c r="Q1651">
        <v>0.34958090000000003</v>
      </c>
      <c r="R1651">
        <v>-0.92550759999999999</v>
      </c>
      <c r="S1651">
        <v>-0.96519469999999996</v>
      </c>
      <c r="T1651">
        <v>-0.58412900000000001</v>
      </c>
      <c r="U1651">
        <v>-3.312103</v>
      </c>
      <c r="V1651">
        <v>8.2543270000000002E-2</v>
      </c>
      <c r="W1651">
        <v>0.36098469999999999</v>
      </c>
      <c r="X1651">
        <v>0.92891159999999995</v>
      </c>
      <c r="Y1651">
        <v>0.20762359999999999</v>
      </c>
      <c r="Z1651">
        <v>0.1552016</v>
      </c>
      <c r="AA1651">
        <v>0.96581830000000002</v>
      </c>
      <c r="AB1651">
        <v>24</v>
      </c>
      <c r="AC1651">
        <v>-0.18899999999999201</v>
      </c>
      <c r="AD1651">
        <v>-0.1269467</v>
      </c>
      <c r="AE1651">
        <v>-0.48139999999995098</v>
      </c>
      <c r="AF1651">
        <v>0.14573752025054601</v>
      </c>
      <c r="AG1651">
        <v>-0.1269467</v>
      </c>
      <c r="AH1651">
        <v>0.46550187770144302</v>
      </c>
      <c r="AI1651">
        <v>104.58778594055499</v>
      </c>
      <c r="AJ1651">
        <v>72.6159079843179</v>
      </c>
      <c r="AK1651">
        <v>0.50403064152215704</v>
      </c>
      <c r="AL1651">
        <v>68.839319034849794</v>
      </c>
      <c r="AM1651">
        <v>84.922023044673296</v>
      </c>
      <c r="AN1651">
        <v>1.00000005283547</v>
      </c>
    </row>
    <row r="1652" spans="1:40" x14ac:dyDescent="0.25">
      <c r="A1652" t="str">
        <f>"20190304164401553"</f>
        <v>20190304164401553</v>
      </c>
      <c r="B1652" t="str">
        <f>"1551689041541003"</f>
        <v>1551689041541003</v>
      </c>
      <c r="C1652" t="s">
        <v>40</v>
      </c>
      <c r="D1652">
        <v>5.6320779999999999</v>
      </c>
      <c r="E1652">
        <v>0.56568830000000003</v>
      </c>
      <c r="F1652" t="s">
        <v>41</v>
      </c>
      <c r="G1652">
        <v>-192.41319999999999</v>
      </c>
      <c r="H1652">
        <v>0.98451719999999998</v>
      </c>
      <c r="I1652">
        <v>307.59980000000002</v>
      </c>
      <c r="J1652">
        <v>-192.22659999999999</v>
      </c>
      <c r="K1652">
        <v>1.107915</v>
      </c>
      <c r="L1652">
        <v>308.077</v>
      </c>
      <c r="M1652">
        <v>-7.4801240000000005E-2</v>
      </c>
      <c r="N1652">
        <v>-1.2666200000000001E-2</v>
      </c>
      <c r="O1652">
        <v>-0.99711799999999995</v>
      </c>
      <c r="P1652">
        <v>-0.14973359999999999</v>
      </c>
      <c r="Q1652">
        <v>0.34943600000000002</v>
      </c>
      <c r="R1652">
        <v>-0.92491880000000004</v>
      </c>
      <c r="S1652">
        <v>-0.98156739999999998</v>
      </c>
      <c r="T1652">
        <v>-0.58556540000000001</v>
      </c>
      <c r="U1652">
        <v>-3.3081670000000001</v>
      </c>
      <c r="V1652">
        <v>8.2706600000000005E-2</v>
      </c>
      <c r="W1652">
        <v>0.36064980000000002</v>
      </c>
      <c r="X1652">
        <v>0.92902709999999999</v>
      </c>
      <c r="Y1652">
        <v>0.20822930000000001</v>
      </c>
      <c r="Z1652">
        <v>0.15580089999999999</v>
      </c>
      <c r="AA1652">
        <v>0.96559130000000004</v>
      </c>
      <c r="AB1652">
        <v>24</v>
      </c>
      <c r="AC1652">
        <v>-0.18659999999999799</v>
      </c>
      <c r="AD1652">
        <v>-0.1233978</v>
      </c>
      <c r="AE1652">
        <v>-0.47719999999998203</v>
      </c>
      <c r="AF1652">
        <v>0.14213542371839</v>
      </c>
      <c r="AG1652">
        <v>-0.1233978</v>
      </c>
      <c r="AH1652">
        <v>0.46297012849315</v>
      </c>
      <c r="AI1652">
        <v>104.294665471367</v>
      </c>
      <c r="AJ1652">
        <v>72.933107285320105</v>
      </c>
      <c r="AK1652">
        <v>0.49977078305700301</v>
      </c>
      <c r="AL1652">
        <v>68.859892314755101</v>
      </c>
      <c r="AM1652">
        <v>84.912657075450198</v>
      </c>
      <c r="AN1652">
        <v>1.000000006229</v>
      </c>
    </row>
    <row r="1653" spans="1:40" x14ac:dyDescent="0.25">
      <c r="A1653" t="str">
        <f>"20190304164401578"</f>
        <v>20190304164401578</v>
      </c>
      <c r="B1653" t="str">
        <f>"1551689041571259"</f>
        <v>1551689041571259</v>
      </c>
      <c r="C1653" t="s">
        <v>40</v>
      </c>
      <c r="D1653">
        <v>5.6227609999999997</v>
      </c>
      <c r="E1653">
        <v>0.5655848</v>
      </c>
      <c r="F1653" t="s">
        <v>41</v>
      </c>
      <c r="G1653">
        <v>-192.43549999999999</v>
      </c>
      <c r="H1653">
        <v>0.98484439999999995</v>
      </c>
      <c r="I1653">
        <v>307.38529999999997</v>
      </c>
      <c r="J1653">
        <v>-192.25129999999999</v>
      </c>
      <c r="K1653">
        <v>1.10789</v>
      </c>
      <c r="L1653">
        <v>307.82209999999998</v>
      </c>
      <c r="M1653">
        <v>-7.9609899999999997E-2</v>
      </c>
      <c r="N1653">
        <v>-1.242241E-2</v>
      </c>
      <c r="O1653">
        <v>-0.99674870000000004</v>
      </c>
      <c r="P1653">
        <v>-0.15424959999999999</v>
      </c>
      <c r="Q1653">
        <v>0.3498636</v>
      </c>
      <c r="R1653">
        <v>-0.92401440000000001</v>
      </c>
      <c r="S1653">
        <v>-0.9968262</v>
      </c>
      <c r="T1653">
        <v>-0.58775100000000002</v>
      </c>
      <c r="U1653">
        <v>-3.3041689999999999</v>
      </c>
      <c r="V1653">
        <v>8.277632E-2</v>
      </c>
      <c r="W1653">
        <v>0.36084860000000002</v>
      </c>
      <c r="X1653">
        <v>0.92894370000000004</v>
      </c>
      <c r="Y1653">
        <v>0.2078912</v>
      </c>
      <c r="Z1653">
        <v>0.15665679999999901</v>
      </c>
      <c r="AA1653">
        <v>0.96552570000000004</v>
      </c>
      <c r="AB1653">
        <v>24</v>
      </c>
      <c r="AC1653">
        <v>-0.184200000000004</v>
      </c>
      <c r="AD1653">
        <v>-0.1230456</v>
      </c>
      <c r="AE1653">
        <v>-0.43680000000000502</v>
      </c>
      <c r="AF1653">
        <v>0.13944427349334401</v>
      </c>
      <c r="AG1653">
        <v>-0.1230456</v>
      </c>
      <c r="AH1653">
        <v>0.42166973586423301</v>
      </c>
      <c r="AI1653">
        <v>105.485370052223</v>
      </c>
      <c r="AJ1653">
        <v>71.701182996974495</v>
      </c>
      <c r="AK1653">
        <v>0.46085821163700502</v>
      </c>
      <c r="AL1653">
        <v>68.847679724431401</v>
      </c>
      <c r="AM1653">
        <v>84.907936362049</v>
      </c>
      <c r="AN1653">
        <v>1.0000000145221899</v>
      </c>
    </row>
    <row r="1654" spans="1:40" x14ac:dyDescent="0.25">
      <c r="A1654" t="str">
        <f>"20190304164401600"</f>
        <v>20190304164401600</v>
      </c>
      <c r="B1654" t="str">
        <f>"1551689041591755"</f>
        <v>1551689041591755</v>
      </c>
      <c r="C1654" t="s">
        <v>40</v>
      </c>
      <c r="D1654">
        <v>5.6293199999999999</v>
      </c>
      <c r="E1654">
        <v>0.56434519999999899</v>
      </c>
      <c r="F1654" t="s">
        <v>41</v>
      </c>
      <c r="G1654">
        <v>-192.51249999999999</v>
      </c>
      <c r="H1654">
        <v>0.95596170000000003</v>
      </c>
      <c r="I1654">
        <v>306.971</v>
      </c>
      <c r="J1654">
        <v>-192.27600000000001</v>
      </c>
      <c r="K1654">
        <v>1.1078619999999999</v>
      </c>
      <c r="L1654">
        <v>307.57760000000002</v>
      </c>
      <c r="M1654">
        <v>-8.4209030000000004E-2</v>
      </c>
      <c r="N1654">
        <v>-1.2197360000000001E-2</v>
      </c>
      <c r="O1654">
        <v>-0.99637350000000002</v>
      </c>
      <c r="P1654">
        <v>-0.15810489999999999</v>
      </c>
      <c r="Q1654">
        <v>0.35025220000000001</v>
      </c>
      <c r="R1654">
        <v>-0.92321509999999996</v>
      </c>
      <c r="S1654">
        <v>-1.012756</v>
      </c>
      <c r="T1654">
        <v>-0.58922680000000005</v>
      </c>
      <c r="U1654">
        <v>-3.300751</v>
      </c>
      <c r="V1654">
        <v>8.2377989999999998E-2</v>
      </c>
      <c r="W1654">
        <v>0.36102919999999999</v>
      </c>
      <c r="X1654">
        <v>0.92890890000000004</v>
      </c>
      <c r="Y1654">
        <v>0.20789759999999999</v>
      </c>
      <c r="Z1654">
        <v>0.15725349999999999</v>
      </c>
      <c r="AA1654">
        <v>0.96542729999999999</v>
      </c>
      <c r="AB1654">
        <v>24</v>
      </c>
      <c r="AC1654">
        <v>-0.23650000000000601</v>
      </c>
      <c r="AD1654">
        <v>-0.15190029999999999</v>
      </c>
      <c r="AE1654">
        <v>-0.60660000000001402</v>
      </c>
      <c r="AF1654">
        <v>0.175046634835575</v>
      </c>
      <c r="AG1654">
        <v>-0.15190029999999999</v>
      </c>
      <c r="AH1654">
        <v>0.59213086702683304</v>
      </c>
      <c r="AI1654">
        <v>103.82072936609801</v>
      </c>
      <c r="AJ1654">
        <v>73.5311860305994</v>
      </c>
      <c r="AK1654">
        <v>0.63587262025762503</v>
      </c>
      <c r="AL1654">
        <v>68.836583393270104</v>
      </c>
      <c r="AM1654">
        <v>84.932123244028901</v>
      </c>
      <c r="AN1654">
        <v>0.99999998049414396</v>
      </c>
    </row>
    <row r="1655" spans="1:40" x14ac:dyDescent="0.25">
      <c r="A1655" t="str">
        <f>"20190304164401622"</f>
        <v>20190304164401622</v>
      </c>
      <c r="B1655" t="str">
        <f>"1551689041611275"</f>
        <v>1551689041611275</v>
      </c>
      <c r="C1655" t="s">
        <v>40</v>
      </c>
      <c r="D1655">
        <v>5.5175839999999896</v>
      </c>
      <c r="E1655">
        <v>0.56894549999999999</v>
      </c>
      <c r="F1655" t="s">
        <v>41</v>
      </c>
      <c r="G1655">
        <v>-192.52709999999999</v>
      </c>
      <c r="H1655">
        <v>0.94727249999999996</v>
      </c>
      <c r="I1655">
        <v>306.75979999999998</v>
      </c>
      <c r="J1655">
        <v>-192.30080000000001</v>
      </c>
      <c r="K1655">
        <v>1.107837</v>
      </c>
      <c r="L1655">
        <v>307.34339999999997</v>
      </c>
      <c r="M1655">
        <v>-8.8605829999999997E-2</v>
      </c>
      <c r="N1655">
        <v>-1.2000129999999999E-2</v>
      </c>
      <c r="O1655">
        <v>-0.99599459999999995</v>
      </c>
      <c r="P1655">
        <v>-0.16099869999999999</v>
      </c>
      <c r="Q1655">
        <v>0.35018179999999999</v>
      </c>
      <c r="R1655">
        <v>-0.9227419</v>
      </c>
      <c r="S1655">
        <v>-1.019852</v>
      </c>
      <c r="T1655">
        <v>-0.65235350000000003</v>
      </c>
      <c r="U1655">
        <v>-3.3223569999999998</v>
      </c>
      <c r="V1655">
        <v>8.1181809999999993E-2</v>
      </c>
      <c r="W1655">
        <v>0.36078589999999999</v>
      </c>
      <c r="X1655">
        <v>0.92910870000000001</v>
      </c>
      <c r="Y1655">
        <v>0.20287669999999999</v>
      </c>
      <c r="Z1655">
        <v>0.17381089999999999</v>
      </c>
      <c r="AA1655">
        <v>0.96365489999999998</v>
      </c>
      <c r="AB1655">
        <v>24</v>
      </c>
      <c r="AC1655">
        <v>-0.22629999999997999</v>
      </c>
      <c r="AD1655">
        <v>-0.1605645</v>
      </c>
      <c r="AE1655">
        <v>-0.58359999999998902</v>
      </c>
      <c r="AF1655">
        <v>0.162971949386541</v>
      </c>
      <c r="AG1655">
        <v>-0.1605645</v>
      </c>
      <c r="AH1655">
        <v>0.564230147091483</v>
      </c>
      <c r="AI1655">
        <v>105.29080919077199</v>
      </c>
      <c r="AJ1655">
        <v>73.889193995741493</v>
      </c>
      <c r="AK1655">
        <v>0.60884848183597895</v>
      </c>
      <c r="AL1655">
        <v>68.851530532562705</v>
      </c>
      <c r="AM1655">
        <v>85.006405669498804</v>
      </c>
      <c r="AN1655">
        <v>0.99999996416468695</v>
      </c>
    </row>
    <row r="1656" spans="1:40" x14ac:dyDescent="0.25">
      <c r="A1656" t="str">
        <f>"20190304164401643"</f>
        <v>20190304164401643</v>
      </c>
      <c r="B1656" t="str">
        <f>"1551689041631771"</f>
        <v>1551689041631771</v>
      </c>
      <c r="C1656" t="s">
        <v>40</v>
      </c>
      <c r="D1656">
        <v>5.5243219999999997</v>
      </c>
      <c r="E1656">
        <v>0.56878300000000004</v>
      </c>
      <c r="F1656" t="s">
        <v>41</v>
      </c>
      <c r="G1656">
        <v>-192.56200000000001</v>
      </c>
      <c r="H1656">
        <v>0.9640917</v>
      </c>
      <c r="I1656">
        <v>306.53769999999997</v>
      </c>
      <c r="J1656">
        <v>-192.3262</v>
      </c>
      <c r="K1656">
        <v>1.1078209999999999</v>
      </c>
      <c r="L1656">
        <v>307.11239999999998</v>
      </c>
      <c r="M1656">
        <v>-9.2933080000000001E-2</v>
      </c>
      <c r="N1656">
        <v>-1.1824350000000001E-2</v>
      </c>
      <c r="O1656">
        <v>-0.99560210000000005</v>
      </c>
      <c r="P1656">
        <v>-0.1648587</v>
      </c>
      <c r="Q1656">
        <v>0.35058240000000002</v>
      </c>
      <c r="R1656">
        <v>-0.92190740000000004</v>
      </c>
      <c r="S1656">
        <v>-1.064651</v>
      </c>
      <c r="T1656">
        <v>-0.58636759999999999</v>
      </c>
      <c r="U1656">
        <v>-3.2879939999999999</v>
      </c>
      <c r="V1656">
        <v>8.1049419999999997E-2</v>
      </c>
      <c r="W1656">
        <v>0.36102210000000001</v>
      </c>
      <c r="X1656">
        <v>0.92902859999999998</v>
      </c>
      <c r="Y1656">
        <v>0.21426300000000001</v>
      </c>
      <c r="Z1656">
        <v>0.15675629999999999</v>
      </c>
      <c r="AA1656">
        <v>0.96411559999999996</v>
      </c>
      <c r="AB1656">
        <v>24</v>
      </c>
      <c r="AC1656">
        <v>-0.235800000000011</v>
      </c>
      <c r="AD1656">
        <v>-0.14372929999999901</v>
      </c>
      <c r="AE1656">
        <v>-0.57470000000000698</v>
      </c>
      <c r="AF1656">
        <v>0.17215094994015501</v>
      </c>
      <c r="AG1656">
        <v>-0.14372929999999901</v>
      </c>
      <c r="AH1656">
        <v>0.56393741611242898</v>
      </c>
      <c r="AI1656">
        <v>103.699399213635</v>
      </c>
      <c r="AJ1656">
        <v>73.024348721724706</v>
      </c>
      <c r="AK1656">
        <v>0.60689329419211002</v>
      </c>
      <c r="AL1656">
        <v>68.837021208640195</v>
      </c>
      <c r="AM1656">
        <v>85.014080389968896</v>
      </c>
      <c r="AN1656">
        <v>1.00000005239435</v>
      </c>
    </row>
    <row r="1657" spans="1:40" x14ac:dyDescent="0.25">
      <c r="A1657" t="str">
        <f>"20190304164401667"</f>
        <v>20190304164401667</v>
      </c>
      <c r="B1657" t="str">
        <f>"1551689041661052"</f>
        <v>1551689041661052</v>
      </c>
      <c r="C1657" t="s">
        <v>40</v>
      </c>
      <c r="D1657">
        <v>5.622884</v>
      </c>
      <c r="E1657">
        <v>0.56782049999999995</v>
      </c>
      <c r="F1657" t="s">
        <v>41</v>
      </c>
      <c r="G1657">
        <v>-192.58510000000001</v>
      </c>
      <c r="H1657">
        <v>0.96541949999999999</v>
      </c>
      <c r="I1657">
        <v>306.3218</v>
      </c>
      <c r="J1657">
        <v>-192.35650000000001</v>
      </c>
      <c r="K1657">
        <v>1.1078059999999901</v>
      </c>
      <c r="L1657">
        <v>306.84809999999999</v>
      </c>
      <c r="M1657">
        <v>-9.7872559999999997E-2</v>
      </c>
      <c r="N1657">
        <v>-1.164339E-2</v>
      </c>
      <c r="O1657">
        <v>-0.99513090000000004</v>
      </c>
      <c r="P1657">
        <v>-0.1688741</v>
      </c>
      <c r="Q1657">
        <v>0.35114570000000001</v>
      </c>
      <c r="R1657">
        <v>-0.92096599999999995</v>
      </c>
      <c r="S1657">
        <v>-1.0759430000000001</v>
      </c>
      <c r="T1657">
        <v>-0.59199569999999901</v>
      </c>
      <c r="U1657">
        <v>-3.286835</v>
      </c>
      <c r="V1657">
        <v>8.0511089999999993E-2</v>
      </c>
      <c r="W1657">
        <v>0.36141869999999998</v>
      </c>
      <c r="X1657">
        <v>0.9289212</v>
      </c>
      <c r="Y1657">
        <v>0.21243500000000001</v>
      </c>
      <c r="Z1657">
        <v>0.1583975</v>
      </c>
      <c r="AA1657">
        <v>0.96425179999999999</v>
      </c>
      <c r="AB1657">
        <v>24</v>
      </c>
      <c r="AC1657">
        <v>-0.2286</v>
      </c>
      <c r="AD1657">
        <v>-0.142386499999999</v>
      </c>
      <c r="AE1657">
        <v>-0.526299999999992</v>
      </c>
      <c r="AF1657">
        <v>0.16578040137897501</v>
      </c>
      <c r="AG1657">
        <v>-0.142386499999999</v>
      </c>
      <c r="AH1657">
        <v>0.51446904341702804</v>
      </c>
      <c r="AI1657">
        <v>104.75788461694199</v>
      </c>
      <c r="AJ1657">
        <v>72.139195346267996</v>
      </c>
      <c r="AK1657">
        <v>0.558959259247091</v>
      </c>
      <c r="AL1657">
        <v>68.812652365322606</v>
      </c>
      <c r="AM1657">
        <v>85.046461766976805</v>
      </c>
      <c r="AN1657">
        <v>1.0000000540660501</v>
      </c>
    </row>
    <row r="1658" spans="1:40" x14ac:dyDescent="0.25">
      <c r="A1658" t="str">
        <f>"20190304164401691"</f>
        <v>20190304164401691</v>
      </c>
      <c r="B1658" t="str">
        <f>"1551689041681548"</f>
        <v>1551689041681548</v>
      </c>
      <c r="C1658" t="s">
        <v>40</v>
      </c>
      <c r="D1658">
        <v>5.6385990000000001</v>
      </c>
      <c r="E1658">
        <v>0.56724269999999999</v>
      </c>
      <c r="F1658" t="s">
        <v>41</v>
      </c>
      <c r="G1658">
        <v>-192.60159999999999</v>
      </c>
      <c r="H1658">
        <v>0.97113419999999895</v>
      </c>
      <c r="I1658">
        <v>306.10329999999999</v>
      </c>
      <c r="J1658">
        <v>-192.38589999999999</v>
      </c>
      <c r="K1658">
        <v>1.1077950000000001</v>
      </c>
      <c r="L1658">
        <v>306.60239999999999</v>
      </c>
      <c r="M1658">
        <v>-0.1024516</v>
      </c>
      <c r="N1658">
        <v>-1.1493440000000001E-2</v>
      </c>
      <c r="O1658">
        <v>-0.99467169999999905</v>
      </c>
      <c r="P1658">
        <v>-0.17197170000000001</v>
      </c>
      <c r="Q1658">
        <v>0.35109940000000001</v>
      </c>
      <c r="R1658">
        <v>-0.92041039999999996</v>
      </c>
      <c r="S1658">
        <v>-1.0818019999999999</v>
      </c>
      <c r="T1658">
        <v>-0.60341330000000004</v>
      </c>
      <c r="U1658">
        <v>-3.2891849999999998</v>
      </c>
      <c r="V1658">
        <v>7.935478E-2</v>
      </c>
      <c r="W1658">
        <v>0.36124260000000002</v>
      </c>
      <c r="X1658">
        <v>0.9290891</v>
      </c>
      <c r="Y1658">
        <v>0.20913090000000001</v>
      </c>
      <c r="Z1658">
        <v>0.16151599999999999</v>
      </c>
      <c r="AA1658">
        <v>0.96445669999999994</v>
      </c>
      <c r="AB1658">
        <v>24</v>
      </c>
      <c r="AC1658">
        <v>-0.215699999999998</v>
      </c>
      <c r="AD1658">
        <v>-0.1366608</v>
      </c>
      <c r="AE1658">
        <v>-0.49909999999999799</v>
      </c>
      <c r="AF1658">
        <v>0.153716848725269</v>
      </c>
      <c r="AG1658">
        <v>-0.1366608</v>
      </c>
      <c r="AH1658">
        <v>0.48775957284568</v>
      </c>
      <c r="AI1658">
        <v>104.961254637126</v>
      </c>
      <c r="AJ1658">
        <v>72.507816489363094</v>
      </c>
      <c r="AK1658">
        <v>0.52935285466432302</v>
      </c>
      <c r="AL1658">
        <v>68.823471510897306</v>
      </c>
      <c r="AM1658">
        <v>85.118136764095993</v>
      </c>
      <c r="AN1658">
        <v>0.99999997645120797</v>
      </c>
    </row>
    <row r="1659" spans="1:40" x14ac:dyDescent="0.25">
      <c r="A1659" t="str">
        <f>"20190304164401712"</f>
        <v>20190304164401712</v>
      </c>
      <c r="B1659" t="str">
        <f>"1551689041701067"</f>
        <v>1551689041701067</v>
      </c>
      <c r="C1659" t="s">
        <v>40</v>
      </c>
      <c r="D1659">
        <v>5.6236899999999999</v>
      </c>
      <c r="E1659">
        <v>0.56691630000000004</v>
      </c>
      <c r="F1659" t="s">
        <v>41</v>
      </c>
      <c r="G1659">
        <v>-192.6232</v>
      </c>
      <c r="H1659">
        <v>0.97432850000000004</v>
      </c>
      <c r="I1659">
        <v>305.88600000000002</v>
      </c>
      <c r="J1659">
        <v>-192.4153</v>
      </c>
      <c r="K1659">
        <v>1.1077920000000001</v>
      </c>
      <c r="L1659">
        <v>306.3648</v>
      </c>
      <c r="M1659">
        <v>-0.10686519999999999</v>
      </c>
      <c r="N1659">
        <v>-1.1365200000000001E-2</v>
      </c>
      <c r="O1659">
        <v>-0.99420869999999995</v>
      </c>
      <c r="P1659">
        <v>-0.17530589999999999</v>
      </c>
      <c r="Q1659">
        <v>0.35109839999999998</v>
      </c>
      <c r="R1659">
        <v>-0.91978159999999998</v>
      </c>
      <c r="S1659">
        <v>-1.0891879999999901</v>
      </c>
      <c r="T1659">
        <v>-0.61273880000000003</v>
      </c>
      <c r="U1659">
        <v>-3.2896420000000002</v>
      </c>
      <c r="V1659">
        <v>7.859381E-2</v>
      </c>
      <c r="W1659">
        <v>0.36112840000000002</v>
      </c>
      <c r="X1659">
        <v>0.92919819999999997</v>
      </c>
      <c r="Y1659">
        <v>0.20657420000000001</v>
      </c>
      <c r="Z1659">
        <v>0.16408539999999999</v>
      </c>
      <c r="AA1659">
        <v>0.96457400000000004</v>
      </c>
      <c r="AB1659">
        <v>24</v>
      </c>
      <c r="AC1659">
        <v>-0.20789999999999501</v>
      </c>
      <c r="AD1659">
        <v>-0.13346350000000001</v>
      </c>
      <c r="AE1659">
        <v>-0.47880000000003498</v>
      </c>
      <c r="AF1659">
        <v>0.14599473227548701</v>
      </c>
      <c r="AG1659">
        <v>-0.13346350000000001</v>
      </c>
      <c r="AH1659">
        <v>0.46770113718095202</v>
      </c>
      <c r="AI1659">
        <v>105.237549563084</v>
      </c>
      <c r="AJ1659">
        <v>72.664043164774</v>
      </c>
      <c r="AK1659">
        <v>0.50781032030158402</v>
      </c>
      <c r="AL1659">
        <v>68.830488926585204</v>
      </c>
      <c r="AM1659">
        <v>85.165293238405894</v>
      </c>
      <c r="AN1659">
        <v>1.0000000015700501</v>
      </c>
    </row>
    <row r="1660" spans="1:40" x14ac:dyDescent="0.25">
      <c r="A1660" t="str">
        <f>"20190304164401734"</f>
        <v>20190304164401734</v>
      </c>
      <c r="B1660" t="str">
        <f>"1551689041721563"</f>
        <v>1551689041721563</v>
      </c>
      <c r="C1660" t="s">
        <v>40</v>
      </c>
      <c r="D1660">
        <v>5.645861</v>
      </c>
      <c r="E1660">
        <v>0.56667599999999996</v>
      </c>
      <c r="F1660" t="s">
        <v>41</v>
      </c>
      <c r="G1660">
        <v>-192.6482</v>
      </c>
      <c r="H1660">
        <v>0.97710390000000003</v>
      </c>
      <c r="I1660">
        <v>305.66890000000001</v>
      </c>
      <c r="J1660">
        <v>-192.44489999999999</v>
      </c>
      <c r="K1660">
        <v>1.1077920000000001</v>
      </c>
      <c r="L1660">
        <v>306.13369999999998</v>
      </c>
      <c r="M1660">
        <v>-0.11113960000000001</v>
      </c>
      <c r="N1660">
        <v>-1.1259979999999999E-2</v>
      </c>
      <c r="O1660">
        <v>-0.99374119999999999</v>
      </c>
      <c r="P1660">
        <v>-0.17916170000000001</v>
      </c>
      <c r="Q1660">
        <v>0.3505974</v>
      </c>
      <c r="R1660">
        <v>-0.91922979999999999</v>
      </c>
      <c r="S1660">
        <v>-1.099243</v>
      </c>
      <c r="T1660">
        <v>-0.6172571</v>
      </c>
      <c r="U1660">
        <v>-3.2877809999999998</v>
      </c>
      <c r="V1660">
        <v>7.8465980000000005E-2</v>
      </c>
      <c r="W1660">
        <v>0.3605333</v>
      </c>
      <c r="X1660">
        <v>0.92944009999999999</v>
      </c>
      <c r="Y1660">
        <v>0.2051221</v>
      </c>
      <c r="Z1660">
        <v>0.1653647</v>
      </c>
      <c r="AA1660">
        <v>0.96466549999999995</v>
      </c>
      <c r="AB1660">
        <v>24</v>
      </c>
      <c r="AC1660">
        <v>-0.203300000000012</v>
      </c>
      <c r="AD1660">
        <v>-0.1306881</v>
      </c>
      <c r="AE1660">
        <v>-0.46479999999996802</v>
      </c>
      <c r="AF1660">
        <v>0.14102107641935299</v>
      </c>
      <c r="AG1660">
        <v>-0.1306881</v>
      </c>
      <c r="AH1660">
        <v>0.45436406839418497</v>
      </c>
      <c r="AI1660">
        <v>105.36036483681301</v>
      </c>
      <c r="AJ1660">
        <v>72.757213483667798</v>
      </c>
      <c r="AK1660">
        <v>0.49336906076871001</v>
      </c>
      <c r="AL1660">
        <v>68.867049365443705</v>
      </c>
      <c r="AM1660">
        <v>85.174369862661905</v>
      </c>
      <c r="AN1660">
        <v>1.0000000349571201</v>
      </c>
    </row>
    <row r="1661" spans="1:40" x14ac:dyDescent="0.25">
      <c r="A1661" t="str">
        <f>"20190304164401755"</f>
        <v>20190304164401755</v>
      </c>
      <c r="B1661" t="str">
        <f>"1551689041751820"</f>
        <v>1551689041751820</v>
      </c>
      <c r="C1661" t="s">
        <v>40</v>
      </c>
      <c r="D1661">
        <v>5.6443089999999998</v>
      </c>
      <c r="E1661">
        <v>0.56642709999999996</v>
      </c>
      <c r="F1661" t="s">
        <v>41</v>
      </c>
      <c r="G1661">
        <v>-192.6754</v>
      </c>
      <c r="H1661">
        <v>0.97853179999999995</v>
      </c>
      <c r="I1661">
        <v>305.45240000000001</v>
      </c>
      <c r="J1661">
        <v>-192.47569999999999</v>
      </c>
      <c r="K1661">
        <v>1.107788</v>
      </c>
      <c r="L1661">
        <v>305.90179999999998</v>
      </c>
      <c r="M1661">
        <v>-0.11540499999999999</v>
      </c>
      <c r="N1661">
        <v>-1.117335E-2</v>
      </c>
      <c r="O1661">
        <v>-0.99325589999999997</v>
      </c>
      <c r="P1661">
        <v>-0.18323349999999999</v>
      </c>
      <c r="Q1661">
        <v>0.35065930000000001</v>
      </c>
      <c r="R1661">
        <v>-0.91840299999999997</v>
      </c>
      <c r="S1661">
        <v>-1.1109770000000001</v>
      </c>
      <c r="T1661">
        <v>-0.62325169999999996</v>
      </c>
      <c r="U1661">
        <v>-3.2847900000000001</v>
      </c>
      <c r="V1661">
        <v>7.859141E-2</v>
      </c>
      <c r="W1661">
        <v>0.36051460000000002</v>
      </c>
      <c r="X1661">
        <v>0.9294367</v>
      </c>
      <c r="Y1661">
        <v>0.20419129999999999</v>
      </c>
      <c r="Z1661">
        <v>0.1670596</v>
      </c>
      <c r="AA1661">
        <v>0.96457090000000001</v>
      </c>
      <c r="AB1661">
        <v>24</v>
      </c>
      <c r="AC1661">
        <v>-0.19970000000000701</v>
      </c>
      <c r="AD1661">
        <v>-0.12925619999999899</v>
      </c>
      <c r="AE1661">
        <v>-0.44939999999996799</v>
      </c>
      <c r="AF1661">
        <v>0.13703262658138499</v>
      </c>
      <c r="AG1661">
        <v>-0.12925619999999899</v>
      </c>
      <c r="AH1661">
        <v>0.43910958914369402</v>
      </c>
      <c r="AI1661">
        <v>105.695094565236</v>
      </c>
      <c r="AJ1661">
        <v>72.668459391255496</v>
      </c>
      <c r="AK1661">
        <v>0.47780993843177599</v>
      </c>
      <c r="AL1661">
        <v>68.868196892938798</v>
      </c>
      <c r="AM1661">
        <v>85.166674879129701</v>
      </c>
      <c r="AN1661">
        <v>0.99999998292291803</v>
      </c>
    </row>
    <row r="1662" spans="1:40" x14ac:dyDescent="0.25">
      <c r="A1662" t="str">
        <f>"20190304164401779"</f>
        <v>20190304164401779</v>
      </c>
      <c r="B1662" t="str">
        <f>"1551689041771340"</f>
        <v>1551689041771340</v>
      </c>
      <c r="C1662" t="s">
        <v>40</v>
      </c>
      <c r="D1662">
        <v>5.6382059999999896</v>
      </c>
      <c r="E1662">
        <v>0.56625289999999995</v>
      </c>
      <c r="F1662" t="s">
        <v>41</v>
      </c>
      <c r="G1662">
        <v>-192.7713</v>
      </c>
      <c r="H1662">
        <v>0.94350400000000001</v>
      </c>
      <c r="I1662">
        <v>305.03989999999999</v>
      </c>
      <c r="J1662">
        <v>-192.51070000000001</v>
      </c>
      <c r="K1662">
        <v>1.107801</v>
      </c>
      <c r="L1662">
        <v>305.64729999999997</v>
      </c>
      <c r="M1662">
        <v>-0.12005970000000001</v>
      </c>
      <c r="N1662">
        <v>-1.1098469999999999E-2</v>
      </c>
      <c r="O1662">
        <v>-0.99270480000000005</v>
      </c>
      <c r="P1662">
        <v>-0.18786990000000001</v>
      </c>
      <c r="Q1662">
        <v>0.3505953</v>
      </c>
      <c r="R1662">
        <v>-0.91749040000000004</v>
      </c>
      <c r="S1662">
        <v>-1.1248929999999999</v>
      </c>
      <c r="T1662">
        <v>-0.62526579999999998</v>
      </c>
      <c r="U1662">
        <v>-3.2808229999999998</v>
      </c>
      <c r="V1662">
        <v>7.8916449999999999E-2</v>
      </c>
      <c r="W1662">
        <v>0.36038120000000001</v>
      </c>
      <c r="X1662">
        <v>0.92946090000000003</v>
      </c>
      <c r="Y1662">
        <v>0.203594</v>
      </c>
      <c r="Z1662">
        <v>0.1676473</v>
      </c>
      <c r="AA1662">
        <v>0.96459519999999999</v>
      </c>
      <c r="AB1662">
        <v>24</v>
      </c>
      <c r="AC1662">
        <v>-0.26059999999998201</v>
      </c>
      <c r="AD1662">
        <v>-0.164296999999999</v>
      </c>
      <c r="AE1662">
        <v>-0.60739999999998395</v>
      </c>
      <c r="AF1662">
        <v>0.174974083917807</v>
      </c>
      <c r="AG1662">
        <v>-0.164296999999999</v>
      </c>
      <c r="AH1662">
        <v>0.59738218494860096</v>
      </c>
      <c r="AI1662">
        <v>104.78543086946</v>
      </c>
      <c r="AJ1662">
        <v>73.674617856000694</v>
      </c>
      <c r="AK1662">
        <v>0.64379725779614805</v>
      </c>
      <c r="AL1662">
        <v>68.876391117572496</v>
      </c>
      <c r="AM1662">
        <v>85.146906153504901</v>
      </c>
      <c r="AN1662">
        <v>0.99999999001142603</v>
      </c>
    </row>
    <row r="1663" spans="1:40" x14ac:dyDescent="0.25">
      <c r="A1663" t="str">
        <f>"20190304164401800"</f>
        <v>20190304164401800</v>
      </c>
      <c r="B1663" t="str">
        <f>"1551689041791836"</f>
        <v>1551689041791836</v>
      </c>
      <c r="C1663" t="s">
        <v>40</v>
      </c>
      <c r="D1663">
        <v>5.6459109999999999</v>
      </c>
      <c r="E1663">
        <v>0.56611499999999904</v>
      </c>
      <c r="F1663" t="s">
        <v>41</v>
      </c>
      <c r="G1663">
        <v>-192.7989</v>
      </c>
      <c r="H1663">
        <v>0.94966510000000004</v>
      </c>
      <c r="I1663">
        <v>304.82089999999999</v>
      </c>
      <c r="J1663">
        <v>-192.5437</v>
      </c>
      <c r="K1663">
        <v>1.107812</v>
      </c>
      <c r="L1663">
        <v>305.41399999999999</v>
      </c>
      <c r="M1663">
        <v>-0.12430380000000001</v>
      </c>
      <c r="N1663">
        <v>-1.104318E-2</v>
      </c>
      <c r="O1663">
        <v>-0.99218269999999997</v>
      </c>
      <c r="P1663">
        <v>-0.19201779999999999</v>
      </c>
      <c r="Q1663">
        <v>0.35046850000000002</v>
      </c>
      <c r="R1663">
        <v>-0.91667949999999998</v>
      </c>
      <c r="S1663">
        <v>-1.141602</v>
      </c>
      <c r="T1663">
        <v>-0.62663649999999904</v>
      </c>
      <c r="U1663">
        <v>-3.2754819999999998</v>
      </c>
      <c r="V1663">
        <v>7.9130420000000007E-2</v>
      </c>
      <c r="W1663">
        <v>0.3602033</v>
      </c>
      <c r="X1663">
        <v>0.92951170000000005</v>
      </c>
      <c r="Y1663">
        <v>0.2042631</v>
      </c>
      <c r="Z1663">
        <v>0.1680651</v>
      </c>
      <c r="AA1663">
        <v>0.96438100000000004</v>
      </c>
      <c r="AB1663">
        <v>24</v>
      </c>
      <c r="AC1663">
        <v>-0.25520000000000198</v>
      </c>
      <c r="AD1663">
        <v>-0.15814690000000001</v>
      </c>
      <c r="AE1663">
        <v>-0.59309999999999197</v>
      </c>
      <c r="AF1663">
        <v>0.169332745582881</v>
      </c>
      <c r="AG1663">
        <v>-0.15814690000000001</v>
      </c>
      <c r="AH1663">
        <v>0.58512102288632695</v>
      </c>
      <c r="AI1663">
        <v>104.55420755015901</v>
      </c>
      <c r="AJ1663">
        <v>73.859672189305201</v>
      </c>
      <c r="AK1663">
        <v>0.62932553748420905</v>
      </c>
      <c r="AL1663">
        <v>68.8873185602435</v>
      </c>
      <c r="AM1663">
        <v>85.134075497346402</v>
      </c>
      <c r="AN1663">
        <v>1.00000002056857</v>
      </c>
    </row>
    <row r="1664" spans="1:40" x14ac:dyDescent="0.25">
      <c r="A1664" t="str">
        <f>"20190304164401824"</f>
        <v>20190304164401824</v>
      </c>
      <c r="B1664" t="str">
        <f>"1551689041811355"</f>
        <v>1551689041811355</v>
      </c>
      <c r="C1664" t="s">
        <v>40</v>
      </c>
      <c r="D1664">
        <v>5.6672979999999997</v>
      </c>
      <c r="E1664">
        <v>0.56599449999999996</v>
      </c>
      <c r="F1664" t="s">
        <v>41</v>
      </c>
      <c r="G1664">
        <v>-192.8305</v>
      </c>
      <c r="H1664">
        <v>0.95218119999999995</v>
      </c>
      <c r="I1664">
        <v>304.60379999999998</v>
      </c>
      <c r="J1664">
        <v>-192.58070000000001</v>
      </c>
      <c r="K1664">
        <v>1.107826</v>
      </c>
      <c r="L1664">
        <v>305.16090000000003</v>
      </c>
      <c r="M1664">
        <v>-0.12888230000000001</v>
      </c>
      <c r="N1664">
        <v>-1.099557E-2</v>
      </c>
      <c r="O1664">
        <v>-0.99159900000000001</v>
      </c>
      <c r="P1664">
        <v>-0.1959658</v>
      </c>
      <c r="Q1664">
        <v>0.35015170000000001</v>
      </c>
      <c r="R1664">
        <v>-0.91596480000000002</v>
      </c>
      <c r="S1664">
        <v>-1.1567689999999999</v>
      </c>
      <c r="T1664">
        <v>-0.62806930000000005</v>
      </c>
      <c r="U1664">
        <v>-3.270508</v>
      </c>
      <c r="V1664">
        <v>7.8817760000000001E-2</v>
      </c>
      <c r="W1664">
        <v>0.3598478</v>
      </c>
      <c r="X1664">
        <v>0.9296759</v>
      </c>
      <c r="Y1664">
        <v>0.2041606</v>
      </c>
      <c r="Z1664">
        <v>0.16848360000000001</v>
      </c>
      <c r="AA1664">
        <v>0.96432969999999896</v>
      </c>
      <c r="AB1664">
        <v>24</v>
      </c>
      <c r="AC1664">
        <v>-0.249799999999993</v>
      </c>
      <c r="AD1664">
        <v>-0.1556448</v>
      </c>
      <c r="AE1664">
        <v>-0.557100000000048</v>
      </c>
      <c r="AF1664">
        <v>0.16517704433889299</v>
      </c>
      <c r="AG1664">
        <v>-0.1556448</v>
      </c>
      <c r="AH1664">
        <v>0.54897275494938902</v>
      </c>
      <c r="AI1664">
        <v>105.189480885782</v>
      </c>
      <c r="AJ1664">
        <v>73.254306764271703</v>
      </c>
      <c r="AK1664">
        <v>0.59403690577294499</v>
      </c>
      <c r="AL1664">
        <v>68.909150332694196</v>
      </c>
      <c r="AM1664">
        <v>85.154061928099793</v>
      </c>
      <c r="AN1664">
        <v>0.99999997874853297</v>
      </c>
    </row>
    <row r="1665" spans="1:40" x14ac:dyDescent="0.25">
      <c r="A1665" t="str">
        <f>"20190304164401845"</f>
        <v>20190304164401845</v>
      </c>
      <c r="B1665" t="str">
        <f>"1551689041841612"</f>
        <v>1551689041841612</v>
      </c>
      <c r="C1665" t="s">
        <v>40</v>
      </c>
      <c r="D1665">
        <v>5.6325529999999997</v>
      </c>
      <c r="E1665">
        <v>0.56578709999999999</v>
      </c>
      <c r="F1665" t="s">
        <v>41</v>
      </c>
      <c r="G1665">
        <v>-192.8595</v>
      </c>
      <c r="H1665">
        <v>0.95815240000000002</v>
      </c>
      <c r="I1665">
        <v>304.38459999999998</v>
      </c>
      <c r="J1665">
        <v>-192.61490000000001</v>
      </c>
      <c r="K1665">
        <v>1.107828</v>
      </c>
      <c r="L1665">
        <v>304.93360000000001</v>
      </c>
      <c r="M1665">
        <v>-0.13297690000000001</v>
      </c>
      <c r="N1665">
        <v>-1.096484E-2</v>
      </c>
      <c r="O1665">
        <v>-0.99105849999999995</v>
      </c>
      <c r="P1665">
        <v>-0.1991976</v>
      </c>
      <c r="Q1665">
        <v>0.35041670000000003</v>
      </c>
      <c r="R1665">
        <v>-0.91516569999999997</v>
      </c>
      <c r="S1665">
        <v>-1.1715549999999999</v>
      </c>
      <c r="T1665">
        <v>-0.62946219999999997</v>
      </c>
      <c r="U1665">
        <v>-3.2652589999999999</v>
      </c>
      <c r="V1665">
        <v>7.826719E-2</v>
      </c>
      <c r="W1665">
        <v>0.36008849999999998</v>
      </c>
      <c r="X1665">
        <v>0.92962929999999999</v>
      </c>
      <c r="Y1665">
        <v>0.2044571</v>
      </c>
      <c r="Z1665">
        <v>0.16889309999999999</v>
      </c>
      <c r="AA1665">
        <v>0.96419529999999998</v>
      </c>
      <c r="AB1665">
        <v>24</v>
      </c>
      <c r="AC1665">
        <v>-0.24459999999999099</v>
      </c>
      <c r="AD1665">
        <v>-0.14967559999999999</v>
      </c>
      <c r="AE1665">
        <v>-0.54900000000003402</v>
      </c>
      <c r="AF1665">
        <v>0.159525325388648</v>
      </c>
      <c r="AG1665">
        <v>-0.14967559999999999</v>
      </c>
      <c r="AH1665">
        <v>0.54297752244254005</v>
      </c>
      <c r="AI1665">
        <v>104.814321461044</v>
      </c>
      <c r="AJ1665">
        <v>73.627354769921894</v>
      </c>
      <c r="AK1665">
        <v>0.58538509081932899</v>
      </c>
      <c r="AL1665">
        <v>68.894370075686197</v>
      </c>
      <c r="AM1665">
        <v>85.187512906672396</v>
      </c>
      <c r="AN1665">
        <v>1.0000000581406101</v>
      </c>
    </row>
    <row r="1666" spans="1:40" x14ac:dyDescent="0.25">
      <c r="A1666" t="str">
        <f>"20190304164401869"</f>
        <v>20190304164401869</v>
      </c>
      <c r="B1666" t="str">
        <f>"1551689041861132"</f>
        <v>1551689041861132</v>
      </c>
      <c r="C1666" t="s">
        <v>40</v>
      </c>
      <c r="D1666">
        <v>5.6435079999999997</v>
      </c>
      <c r="E1666">
        <v>0.56563960000000002</v>
      </c>
      <c r="F1666" t="s">
        <v>41</v>
      </c>
      <c r="G1666">
        <v>-192.89269999999999</v>
      </c>
      <c r="H1666">
        <v>0.95961879999999999</v>
      </c>
      <c r="I1666">
        <v>304.1678</v>
      </c>
      <c r="J1666">
        <v>-192.65629999999999</v>
      </c>
      <c r="K1666">
        <v>1.1078330000000001</v>
      </c>
      <c r="L1666">
        <v>304.66590000000002</v>
      </c>
      <c r="M1666">
        <v>-0.13778309999999999</v>
      </c>
      <c r="N1666">
        <v>-1.09429E-2</v>
      </c>
      <c r="O1666">
        <v>-0.990402</v>
      </c>
      <c r="P1666">
        <v>-0.2027166</v>
      </c>
      <c r="Q1666">
        <v>0.3506628</v>
      </c>
      <c r="R1666">
        <v>-0.91429879999999997</v>
      </c>
      <c r="S1666">
        <v>-1.1833499999999999</v>
      </c>
      <c r="T1666">
        <v>-0.63123059999999998</v>
      </c>
      <c r="U1666">
        <v>-3.2621769999999999</v>
      </c>
      <c r="V1666">
        <v>7.7341919999999995E-2</v>
      </c>
      <c r="W1666">
        <v>0.36032120000000001</v>
      </c>
      <c r="X1666">
        <v>0.92961649999999996</v>
      </c>
      <c r="Y1666">
        <v>0.20306109999999999</v>
      </c>
      <c r="Z1666">
        <v>0.1693151</v>
      </c>
      <c r="AA1666">
        <v>0.96441619999999995</v>
      </c>
      <c r="AB1666">
        <v>24</v>
      </c>
      <c r="AC1666">
        <v>-0.236400000000003</v>
      </c>
      <c r="AD1666">
        <v>-0.14821419999999999</v>
      </c>
      <c r="AE1666">
        <v>-0.49810000000002203</v>
      </c>
      <c r="AF1666">
        <v>0.154356731925127</v>
      </c>
      <c r="AG1666">
        <v>-0.14821419999999999</v>
      </c>
      <c r="AH1666">
        <v>0.49047865691918002</v>
      </c>
      <c r="AI1666">
        <v>106.07940256630199</v>
      </c>
      <c r="AJ1666">
        <v>72.530881812165404</v>
      </c>
      <c r="AK1666">
        <v>0.535128734666237</v>
      </c>
      <c r="AL1666">
        <v>68.880076422338405</v>
      </c>
      <c r="AM1666">
        <v>85.244078141705998</v>
      </c>
      <c r="AN1666">
        <v>0.99999998841548798</v>
      </c>
    </row>
    <row r="1667" spans="1:40" x14ac:dyDescent="0.25">
      <c r="A1667" t="str">
        <f>"20190304164401891"</f>
        <v>20190304164401891</v>
      </c>
      <c r="B1667" t="str">
        <f>"1551689041881628"</f>
        <v>1551689041881628</v>
      </c>
      <c r="C1667" t="s">
        <v>40</v>
      </c>
      <c r="D1667">
        <v>5.6417979999999996</v>
      </c>
      <c r="E1667">
        <v>0.56553069999999905</v>
      </c>
      <c r="F1667" t="s">
        <v>41</v>
      </c>
      <c r="G1667">
        <v>-192.92009999999999</v>
      </c>
      <c r="H1667">
        <v>0.96817770000000003</v>
      </c>
      <c r="I1667">
        <v>303.9468</v>
      </c>
      <c r="J1667">
        <v>-192.69450000000001</v>
      </c>
      <c r="K1667">
        <v>1.1078349999999999</v>
      </c>
      <c r="L1667">
        <v>304.42610000000002</v>
      </c>
      <c r="M1667">
        <v>-0.14207839999999999</v>
      </c>
      <c r="N1667">
        <v>-1.093821E-2</v>
      </c>
      <c r="O1667">
        <v>-0.98979499999999998</v>
      </c>
      <c r="P1667">
        <v>-0.2052484</v>
      </c>
      <c r="Q1667">
        <v>0.35121629999999998</v>
      </c>
      <c r="R1667">
        <v>-0.91352089999999997</v>
      </c>
      <c r="S1667">
        <v>-1.19397</v>
      </c>
      <c r="T1667">
        <v>-0.63277910000000004</v>
      </c>
      <c r="U1667">
        <v>-3.2592159999999999</v>
      </c>
      <c r="V1667">
        <v>7.5913149999999999E-2</v>
      </c>
      <c r="W1667">
        <v>0.3608789</v>
      </c>
      <c r="X1667">
        <v>0.92951799999999996</v>
      </c>
      <c r="Y1667">
        <v>0.20184920000000001</v>
      </c>
      <c r="Z1667">
        <v>0.16967119999999999</v>
      </c>
      <c r="AA1667">
        <v>0.96460800000000002</v>
      </c>
      <c r="AB1667">
        <v>24</v>
      </c>
      <c r="AC1667">
        <v>-0.22559999999998501</v>
      </c>
      <c r="AD1667">
        <v>-0.13965730000000001</v>
      </c>
      <c r="AE1667">
        <v>-0.47930000000002299</v>
      </c>
      <c r="AF1667">
        <v>0.14512243091545399</v>
      </c>
      <c r="AG1667">
        <v>-0.13965730000000001</v>
      </c>
      <c r="AH1667">
        <v>0.473576960801664</v>
      </c>
      <c r="AI1667">
        <v>105.746184237696</v>
      </c>
      <c r="AJ1667">
        <v>72.962894974749005</v>
      </c>
      <c r="AK1667">
        <v>0.51462590218550097</v>
      </c>
      <c r="AL1667">
        <v>68.845819009249098</v>
      </c>
      <c r="AM1667">
        <v>85.331051802508199</v>
      </c>
      <c r="AN1667">
        <v>1.0000000495660599</v>
      </c>
    </row>
    <row r="1668" spans="1:40" x14ac:dyDescent="0.25">
      <c r="A1668" t="str">
        <f>"20190304164401916"</f>
        <v>20190304164401916</v>
      </c>
      <c r="B1668" t="str">
        <f>"1551689041911884"</f>
        <v>1551689041911884</v>
      </c>
      <c r="C1668" t="s">
        <v>40</v>
      </c>
      <c r="D1668">
        <v>5.6472550000000004</v>
      </c>
      <c r="E1668">
        <v>0.5653878</v>
      </c>
      <c r="F1668" t="s">
        <v>41</v>
      </c>
      <c r="G1668">
        <v>-192.95240000000001</v>
      </c>
      <c r="H1668">
        <v>0.97232580000000002</v>
      </c>
      <c r="I1668">
        <v>303.72829999999999</v>
      </c>
      <c r="J1668">
        <v>-192.7371</v>
      </c>
      <c r="K1668">
        <v>1.107837</v>
      </c>
      <c r="L1668">
        <v>304.16660000000002</v>
      </c>
      <c r="M1668">
        <v>-0.14672499999999999</v>
      </c>
      <c r="N1668">
        <v>-1.0950390000000001E-2</v>
      </c>
      <c r="O1668">
        <v>-0.98911700000000002</v>
      </c>
      <c r="P1668">
        <v>-0.207869</v>
      </c>
      <c r="Q1668">
        <v>0.35090199999999999</v>
      </c>
      <c r="R1668">
        <v>-0.91304920000000001</v>
      </c>
      <c r="S1668">
        <v>-1.2031860000000001</v>
      </c>
      <c r="T1668">
        <v>-0.63244089999999997</v>
      </c>
      <c r="U1668">
        <v>-3.2568049999999999</v>
      </c>
      <c r="V1668">
        <v>7.4193549999999997E-2</v>
      </c>
      <c r="W1668">
        <v>0.36058980000000002</v>
      </c>
      <c r="X1668">
        <v>0.92976899999999996</v>
      </c>
      <c r="Y1668">
        <v>0.19989999999999999</v>
      </c>
      <c r="Z1668">
        <v>0.169469799999999</v>
      </c>
      <c r="AA1668">
        <v>0.96504920000000005</v>
      </c>
      <c r="AB1668">
        <v>24</v>
      </c>
      <c r="AC1668">
        <v>-0.21530000000001301</v>
      </c>
      <c r="AD1668">
        <v>-0.1355112</v>
      </c>
      <c r="AE1668">
        <v>-0.438300000000026</v>
      </c>
      <c r="AF1668">
        <v>0.13802707220669799</v>
      </c>
      <c r="AG1668">
        <v>-0.1355112</v>
      </c>
      <c r="AH1668">
        <v>0.43188893856442301</v>
      </c>
      <c r="AI1668">
        <v>106.639933647832</v>
      </c>
      <c r="AJ1668">
        <v>72.276677873203596</v>
      </c>
      <c r="AK1668">
        <v>0.47322596425143099</v>
      </c>
      <c r="AL1668">
        <v>68.863578813933302</v>
      </c>
      <c r="AM1668">
        <v>85.437588664134296</v>
      </c>
      <c r="AN1668">
        <v>1.00000004004332</v>
      </c>
    </row>
    <row r="1669" spans="1:40" x14ac:dyDescent="0.25">
      <c r="A1669" t="str">
        <f>"20190304164401935"</f>
        <v>20190304164401935</v>
      </c>
      <c r="B1669" t="str">
        <f>"1551689041931404"</f>
        <v>1551689041931404</v>
      </c>
      <c r="C1669" t="s">
        <v>40</v>
      </c>
      <c r="D1669">
        <v>5.5856510000000004</v>
      </c>
      <c r="E1669">
        <v>0.56535440000000003</v>
      </c>
      <c r="F1669" t="s">
        <v>41</v>
      </c>
      <c r="G1669">
        <v>-193.0549</v>
      </c>
      <c r="H1669">
        <v>0.94100459999999997</v>
      </c>
      <c r="I1669">
        <v>303.31369999999998</v>
      </c>
      <c r="J1669">
        <v>-192.7722</v>
      </c>
      <c r="K1669">
        <v>1.1078380000000001</v>
      </c>
      <c r="L1669">
        <v>303.95870000000002</v>
      </c>
      <c r="M1669">
        <v>-0.15045710000000001</v>
      </c>
      <c r="N1669">
        <v>-1.097182E-2</v>
      </c>
      <c r="O1669">
        <v>-0.98855559999999998</v>
      </c>
      <c r="P1669">
        <v>-0.21090780000000001</v>
      </c>
      <c r="Q1669">
        <v>0.35131390000000001</v>
      </c>
      <c r="R1669">
        <v>-0.91219340000000004</v>
      </c>
      <c r="S1669">
        <v>-1.2121120000000001</v>
      </c>
      <c r="T1669">
        <v>-0.63643850000000002</v>
      </c>
      <c r="U1669">
        <v>-3.2543639999999998</v>
      </c>
      <c r="V1669">
        <v>7.3812820000000001E-2</v>
      </c>
      <c r="W1669">
        <v>0.3610216</v>
      </c>
      <c r="X1669">
        <v>0.92963169999999995</v>
      </c>
      <c r="Y1669">
        <v>0.19870389999999999</v>
      </c>
      <c r="Z1669">
        <v>0.1704727</v>
      </c>
      <c r="AA1669">
        <v>0.96511959999999997</v>
      </c>
      <c r="AB1669">
        <v>24</v>
      </c>
      <c r="AC1669">
        <v>-0.282700000000005</v>
      </c>
      <c r="AD1669">
        <v>-0.16683339999999899</v>
      </c>
      <c r="AE1669">
        <v>-0.64500000000003799</v>
      </c>
      <c r="AF1669">
        <v>0.17273651143406399</v>
      </c>
      <c r="AG1669">
        <v>-0.16683339999999899</v>
      </c>
      <c r="AH1669">
        <v>0.64404828729804597</v>
      </c>
      <c r="AI1669">
        <v>104.046821034007</v>
      </c>
      <c r="AJ1669">
        <v>74.986364124574706</v>
      </c>
      <c r="AK1669">
        <v>0.68736415538600604</v>
      </c>
      <c r="AL1669">
        <v>68.8370510513016</v>
      </c>
      <c r="AM1669">
        <v>85.460235356624196</v>
      </c>
      <c r="AN1669">
        <v>1.0000000128538999</v>
      </c>
    </row>
    <row r="1670" spans="1:40" x14ac:dyDescent="0.25">
      <c r="A1670" t="str">
        <f>"20190304164401956"</f>
        <v>20190304164401956</v>
      </c>
      <c r="B1670" t="str">
        <f>"1551689041951900"</f>
        <v>1551689041951900</v>
      </c>
      <c r="C1670" t="s">
        <v>40</v>
      </c>
      <c r="D1670">
        <v>5.5774019999999904</v>
      </c>
      <c r="E1670">
        <v>0.56531719999999996</v>
      </c>
      <c r="F1670" t="s">
        <v>41</v>
      </c>
      <c r="G1670">
        <v>-193.09569999999999</v>
      </c>
      <c r="H1670">
        <v>0.93949020000000005</v>
      </c>
      <c r="I1670">
        <v>303.09859999999998</v>
      </c>
      <c r="J1670">
        <v>-192.81399999999999</v>
      </c>
      <c r="K1670">
        <v>1.107829</v>
      </c>
      <c r="L1670">
        <v>303.7174</v>
      </c>
      <c r="M1670">
        <v>-0.15479899999999999</v>
      </c>
      <c r="N1670">
        <v>-1.1003239999999999E-2</v>
      </c>
      <c r="O1670">
        <v>-0.98788480000000001</v>
      </c>
      <c r="P1670">
        <v>-0.21517710000000001</v>
      </c>
      <c r="Q1670">
        <v>0.35103220000000002</v>
      </c>
      <c r="R1670">
        <v>-0.91130420000000001</v>
      </c>
      <c r="S1670">
        <v>-1.2216800000000001</v>
      </c>
      <c r="T1670">
        <v>-0.63621939999999999</v>
      </c>
      <c r="U1670">
        <v>-3.2512819999999998</v>
      </c>
      <c r="V1670">
        <v>7.4075769999999999E-2</v>
      </c>
      <c r="W1670">
        <v>0.36076540000000001</v>
      </c>
      <c r="X1670">
        <v>0.92971020000000004</v>
      </c>
      <c r="Y1670">
        <v>0.1972006</v>
      </c>
      <c r="Z1670">
        <v>0.17030770000000001</v>
      </c>
      <c r="AA1670">
        <v>0.96545700000000001</v>
      </c>
      <c r="AB1670">
        <v>24</v>
      </c>
      <c r="AC1670">
        <v>-0.28169999999997197</v>
      </c>
      <c r="AD1670">
        <v>-0.16833880000000001</v>
      </c>
      <c r="AE1670">
        <v>-0.618800000000021</v>
      </c>
      <c r="AF1670">
        <v>0.17196666659505999</v>
      </c>
      <c r="AG1670">
        <v>-0.16833880000000001</v>
      </c>
      <c r="AH1670">
        <v>0.61711898354439798</v>
      </c>
      <c r="AI1670">
        <v>104.72278654024301</v>
      </c>
      <c r="AJ1670">
        <v>74.428947926660996</v>
      </c>
      <c r="AK1670">
        <v>0.66237929153629704</v>
      </c>
      <c r="AL1670">
        <v>68.852790146829193</v>
      </c>
      <c r="AM1670">
        <v>85.444513964717899</v>
      </c>
      <c r="AN1670">
        <v>0.99999997476114599</v>
      </c>
    </row>
    <row r="1671" spans="1:40" x14ac:dyDescent="0.25">
      <c r="A1671" t="str">
        <f>"20190304164401980"</f>
        <v>20190304164401980</v>
      </c>
      <c r="B1671" t="str">
        <f>"1551689041971537"</f>
        <v>1551689041971537</v>
      </c>
      <c r="C1671" t="s">
        <v>40</v>
      </c>
      <c r="D1671">
        <v>5.6410729999999996</v>
      </c>
      <c r="E1671">
        <v>0.56532749999999998</v>
      </c>
      <c r="F1671" t="s">
        <v>41</v>
      </c>
      <c r="G1671">
        <v>-193.13249999999999</v>
      </c>
      <c r="H1671">
        <v>0.94320930000000003</v>
      </c>
      <c r="I1671">
        <v>302.88069999999999</v>
      </c>
      <c r="J1671">
        <v>-192.85849999999999</v>
      </c>
      <c r="K1671">
        <v>1.107823</v>
      </c>
      <c r="L1671">
        <v>303.46690000000001</v>
      </c>
      <c r="M1671">
        <v>-0.15932829999999901</v>
      </c>
      <c r="N1671">
        <v>-1.104342E-2</v>
      </c>
      <c r="O1671">
        <v>-0.98716380000000004</v>
      </c>
      <c r="P1671">
        <v>-0.2190917</v>
      </c>
      <c r="Q1671">
        <v>0.35089819999999999</v>
      </c>
      <c r="R1671">
        <v>-0.91042259999999997</v>
      </c>
      <c r="S1671">
        <v>-1.235474</v>
      </c>
      <c r="T1671">
        <v>-0.63857940000000002</v>
      </c>
      <c r="U1671">
        <v>-3.246216</v>
      </c>
      <c r="V1671">
        <v>7.3813489999999995E-2</v>
      </c>
      <c r="W1671">
        <v>0.3606685</v>
      </c>
      <c r="X1671">
        <v>0.9297687</v>
      </c>
      <c r="Y1671">
        <v>0.19675400000000001</v>
      </c>
      <c r="Z1671">
        <v>0.1708722</v>
      </c>
      <c r="AA1671">
        <v>0.96544839999999998</v>
      </c>
      <c r="AB1671">
        <v>24</v>
      </c>
      <c r="AC1671">
        <v>-0.27400000000000002</v>
      </c>
      <c r="AD1671">
        <v>-0.164613699999999</v>
      </c>
      <c r="AE1671">
        <v>-0.58620000000001904</v>
      </c>
      <c r="AF1671">
        <v>0.166330910840574</v>
      </c>
      <c r="AG1671">
        <v>-0.164613699999999</v>
      </c>
      <c r="AH1671">
        <v>0.58453939918485598</v>
      </c>
      <c r="AI1671">
        <v>105.15551514253799</v>
      </c>
      <c r="AJ1671">
        <v>74.116276706307602</v>
      </c>
      <c r="AK1671">
        <v>0.62964271720408005</v>
      </c>
      <c r="AL1671">
        <v>68.858743805840604</v>
      </c>
      <c r="AM1671">
        <v>85.460860459181006</v>
      </c>
      <c r="AN1671">
        <v>1.00000001684895</v>
      </c>
    </row>
    <row r="1672" spans="1:40" x14ac:dyDescent="0.25">
      <c r="A1672" t="str">
        <f>"20190304164402001"</f>
        <v>20190304164402001</v>
      </c>
      <c r="B1672" t="str">
        <f>"1551689041991056"</f>
        <v>1551689041991056</v>
      </c>
      <c r="C1672" t="s">
        <v>40</v>
      </c>
      <c r="D1672">
        <v>5.5135809999999896</v>
      </c>
      <c r="E1672">
        <v>0.56538679999999997</v>
      </c>
      <c r="F1672" t="s">
        <v>41</v>
      </c>
      <c r="G1672">
        <v>-193.16980000000001</v>
      </c>
      <c r="H1672">
        <v>0.94885609999999998</v>
      </c>
      <c r="I1672">
        <v>302.66180000000003</v>
      </c>
      <c r="J1672">
        <v>-192.90119999999999</v>
      </c>
      <c r="K1672">
        <v>1.1078079999999999</v>
      </c>
      <c r="L1672">
        <v>303.23270000000002</v>
      </c>
      <c r="M1672">
        <v>-0.16359489999999999</v>
      </c>
      <c r="N1672">
        <v>-1.1090920000000001E-2</v>
      </c>
      <c r="O1672">
        <v>-0.98646529999999999</v>
      </c>
      <c r="P1672">
        <v>-0.22273760000000001</v>
      </c>
      <c r="Q1672">
        <v>0.35169879999999998</v>
      </c>
      <c r="R1672">
        <v>-0.90922820000000004</v>
      </c>
      <c r="S1672">
        <v>-1.2521359999999999</v>
      </c>
      <c r="T1672">
        <v>-0.63962469999999905</v>
      </c>
      <c r="U1672">
        <v>-3.240326</v>
      </c>
      <c r="V1672">
        <v>7.3594339999999994E-2</v>
      </c>
      <c r="W1672">
        <v>0.36150759999999899</v>
      </c>
      <c r="X1672">
        <v>0.92946019999999896</v>
      </c>
      <c r="Y1672">
        <v>0.1974127</v>
      </c>
      <c r="Z1672">
        <v>0.171067</v>
      </c>
      <c r="AA1672">
        <v>0.96527940000000001</v>
      </c>
      <c r="AB1672">
        <v>24</v>
      </c>
      <c r="AC1672">
        <v>-0.26860000000001999</v>
      </c>
      <c r="AD1672">
        <v>-0.15895189999999901</v>
      </c>
      <c r="AE1672">
        <v>-0.57089999999999397</v>
      </c>
      <c r="AF1672">
        <v>0.16133862310130201</v>
      </c>
      <c r="AG1672">
        <v>-0.15895189999999901</v>
      </c>
      <c r="AH1672">
        <v>0.57091587625538098</v>
      </c>
      <c r="AI1672">
        <v>104.99859196556299</v>
      </c>
      <c r="AJ1672">
        <v>74.219912853111396</v>
      </c>
      <c r="AK1672">
        <v>0.61419931258369498</v>
      </c>
      <c r="AL1672">
        <v>68.807189699860004</v>
      </c>
      <c r="AM1672">
        <v>85.472785055727698</v>
      </c>
      <c r="AN1672">
        <v>1.00000006756091</v>
      </c>
    </row>
    <row r="1673" spans="1:40" x14ac:dyDescent="0.25">
      <c r="A1673" t="str">
        <f>"20190304164402024"</f>
        <v>20190304164402024</v>
      </c>
      <c r="B1673" t="str">
        <f>"1551689042011553"</f>
        <v>1551689042011553</v>
      </c>
      <c r="C1673" t="s">
        <v>40</v>
      </c>
      <c r="D1673">
        <v>5.5240989999999996</v>
      </c>
      <c r="E1673">
        <v>0.56549069999999901</v>
      </c>
      <c r="F1673" t="s">
        <v>41</v>
      </c>
      <c r="G1673">
        <v>-193.21119999999999</v>
      </c>
      <c r="H1673">
        <v>0.95287010000000005</v>
      </c>
      <c r="I1673">
        <v>302.44420000000002</v>
      </c>
      <c r="J1673">
        <v>-192.94669999999999</v>
      </c>
      <c r="K1673">
        <v>1.1077870000000001</v>
      </c>
      <c r="L1673">
        <v>302.98919999999998</v>
      </c>
      <c r="M1673">
        <v>-0.16807710000000001</v>
      </c>
      <c r="N1673">
        <v>-1.115127E-2</v>
      </c>
      <c r="O1673">
        <v>-0.9857108</v>
      </c>
      <c r="P1673">
        <v>-0.226684</v>
      </c>
      <c r="Q1673">
        <v>0.35183520000000001</v>
      </c>
      <c r="R1673">
        <v>-0.90819970000000005</v>
      </c>
      <c r="S1673">
        <v>-1.2709809999999999</v>
      </c>
      <c r="T1673">
        <v>-0.63532849999999996</v>
      </c>
      <c r="U1673">
        <v>-3.2338559999999998</v>
      </c>
      <c r="V1673">
        <v>7.3444579999999995E-2</v>
      </c>
      <c r="W1673">
        <v>0.36169509999999999</v>
      </c>
      <c r="X1673">
        <v>0.92939899999999998</v>
      </c>
      <c r="Y1673">
        <v>0.19857179999999999</v>
      </c>
      <c r="Z1673">
        <v>0.16976459999999999</v>
      </c>
      <c r="AA1673">
        <v>0.96527160000000001</v>
      </c>
      <c r="AB1673">
        <v>24</v>
      </c>
      <c r="AC1673">
        <v>-0.26449999999999801</v>
      </c>
      <c r="AD1673">
        <v>-0.1549169</v>
      </c>
      <c r="AE1673">
        <v>-0.54499999999995896</v>
      </c>
      <c r="AF1673">
        <v>0.15874759428744201</v>
      </c>
      <c r="AG1673">
        <v>-0.1549169</v>
      </c>
      <c r="AH1673">
        <v>0.54599896743291798</v>
      </c>
      <c r="AI1673">
        <v>105.240284364603</v>
      </c>
      <c r="AJ1673">
        <v>73.788366028779393</v>
      </c>
      <c r="AK1673">
        <v>0.589334299897327</v>
      </c>
      <c r="AL1673">
        <v>68.795665010368594</v>
      </c>
      <c r="AM1673">
        <v>85.481663204962999</v>
      </c>
      <c r="AN1673">
        <v>0.99999997644819205</v>
      </c>
    </row>
    <row r="1674" spans="1:40" x14ac:dyDescent="0.25">
      <c r="A1674" t="str">
        <f>"20190304164402046"</f>
        <v>20190304164402046</v>
      </c>
      <c r="B1674" t="str">
        <f>"1551689042041809"</f>
        <v>1551689042041809</v>
      </c>
      <c r="C1674" t="s">
        <v>40</v>
      </c>
      <c r="D1674">
        <v>5.499422</v>
      </c>
      <c r="E1674">
        <v>0.56558350000000002</v>
      </c>
      <c r="F1674" t="s">
        <v>41</v>
      </c>
      <c r="G1674">
        <v>-193.25129999999999</v>
      </c>
      <c r="H1674">
        <v>0.95776220000000001</v>
      </c>
      <c r="I1674">
        <v>302.22590000000002</v>
      </c>
      <c r="J1674">
        <v>-192.9941</v>
      </c>
      <c r="K1674">
        <v>1.107748</v>
      </c>
      <c r="L1674">
        <v>302.74259999999998</v>
      </c>
      <c r="M1674">
        <v>-0.172679799999999</v>
      </c>
      <c r="N1674">
        <v>-1.122215E-2</v>
      </c>
      <c r="O1674">
        <v>-0.98491439999999997</v>
      </c>
      <c r="P1674">
        <v>-0.2310352</v>
      </c>
      <c r="Q1674">
        <v>0.35192639999999997</v>
      </c>
      <c r="R1674">
        <v>-0.90706750000000003</v>
      </c>
      <c r="S1674">
        <v>-1.287445</v>
      </c>
      <c r="T1674">
        <v>-0.63442949999999998</v>
      </c>
      <c r="U1674">
        <v>-3.227722</v>
      </c>
      <c r="V1674">
        <v>7.3606420000000006E-2</v>
      </c>
      <c r="W1674">
        <v>0.36184280000000002</v>
      </c>
      <c r="X1674">
        <v>0.92932870000000001</v>
      </c>
      <c r="Y1674">
        <v>0.1988973</v>
      </c>
      <c r="Z1674">
        <v>0.1693935</v>
      </c>
      <c r="AA1674">
        <v>0.96526970000000001</v>
      </c>
      <c r="AB1674">
        <v>24</v>
      </c>
      <c r="AC1674">
        <v>-0.257199999999983</v>
      </c>
      <c r="AD1674">
        <v>-0.1499858</v>
      </c>
      <c r="AE1674">
        <v>-0.51669999999995697</v>
      </c>
      <c r="AF1674">
        <v>0.153725778453775</v>
      </c>
      <c r="AG1674">
        <v>-0.1499858</v>
      </c>
      <c r="AH1674">
        <v>0.518349916349086</v>
      </c>
      <c r="AI1674">
        <v>105.504548733199</v>
      </c>
      <c r="AJ1674">
        <v>73.481350898415897</v>
      </c>
      <c r="AK1674">
        <v>0.56108287350619002</v>
      </c>
      <c r="AL1674">
        <v>68.786587553279503</v>
      </c>
      <c r="AM1674">
        <v>85.471406994009001</v>
      </c>
      <c r="AN1674">
        <v>0.99999997481037295</v>
      </c>
    </row>
    <row r="1675" spans="1:40" x14ac:dyDescent="0.25">
      <c r="A1675" t="str">
        <f>"20190304164402072"</f>
        <v>20190304164402072</v>
      </c>
      <c r="B1675" t="str">
        <f>"1551689042061329"</f>
        <v>1551689042061329</v>
      </c>
      <c r="C1675" t="s">
        <v>40</v>
      </c>
      <c r="D1675">
        <v>5.5198080000000003</v>
      </c>
      <c r="E1675">
        <v>0.5656236</v>
      </c>
      <c r="F1675" t="s">
        <v>41</v>
      </c>
      <c r="G1675">
        <v>-193.2919</v>
      </c>
      <c r="H1675">
        <v>0.96291709999999997</v>
      </c>
      <c r="I1675">
        <v>302.00749999999999</v>
      </c>
      <c r="J1675">
        <v>-193.04589999999999</v>
      </c>
      <c r="K1675">
        <v>1.107696</v>
      </c>
      <c r="L1675">
        <v>302.48009999999999</v>
      </c>
      <c r="M1675">
        <v>-0.17767160000000001</v>
      </c>
      <c r="N1675">
        <v>-1.1306800000000001E-2</v>
      </c>
      <c r="O1675">
        <v>-0.98402489999999998</v>
      </c>
      <c r="P1675">
        <v>-0.2351829</v>
      </c>
      <c r="Q1675">
        <v>0.35215340000000001</v>
      </c>
      <c r="R1675">
        <v>-0.90591259999999996</v>
      </c>
      <c r="S1675">
        <v>-1.3044739999999999</v>
      </c>
      <c r="T1675">
        <v>-0.63461339999999999</v>
      </c>
      <c r="U1675">
        <v>-3.2213129999999999</v>
      </c>
      <c r="V1675">
        <v>7.3217379999999999E-2</v>
      </c>
      <c r="W1675">
        <v>0.36213980000000001</v>
      </c>
      <c r="X1675">
        <v>0.92924379999999995</v>
      </c>
      <c r="Y1675">
        <v>0.19898679999999999</v>
      </c>
      <c r="Z1675">
        <v>0.16929379999999999</v>
      </c>
      <c r="AA1675">
        <v>0.96526880000000004</v>
      </c>
      <c r="AB1675">
        <v>24</v>
      </c>
      <c r="AC1675">
        <v>-0.24600000000000899</v>
      </c>
      <c r="AD1675">
        <v>-0.14477889999999899</v>
      </c>
      <c r="AE1675">
        <v>-0.47259999999999902</v>
      </c>
      <c r="AF1675">
        <v>0.14724029911505601</v>
      </c>
      <c r="AG1675">
        <v>-0.14477889999999899</v>
      </c>
      <c r="AH1675">
        <v>0.47380386837066302</v>
      </c>
      <c r="AI1675">
        <v>106.267336796078</v>
      </c>
      <c r="AJ1675">
        <v>72.736734059419007</v>
      </c>
      <c r="AK1675">
        <v>0.51684692245548502</v>
      </c>
      <c r="AL1675">
        <v>68.768333909015098</v>
      </c>
      <c r="AM1675">
        <v>85.494833800075099</v>
      </c>
      <c r="AN1675">
        <v>1.0000000296582701</v>
      </c>
    </row>
    <row r="1676" spans="1:40" x14ac:dyDescent="0.25">
      <c r="A1676" t="str">
        <f>"20190304164402093"</f>
        <v>20190304164402093</v>
      </c>
      <c r="B1676" t="str">
        <f>"1551689042081825"</f>
        <v>1551689042081825</v>
      </c>
      <c r="C1676" t="s">
        <v>40</v>
      </c>
      <c r="D1676">
        <v>5.5329969999999999</v>
      </c>
      <c r="E1676">
        <v>0.56564919999999996</v>
      </c>
      <c r="F1676" t="s">
        <v>41</v>
      </c>
      <c r="G1676">
        <v>-193.3306</v>
      </c>
      <c r="H1676">
        <v>0.97101530000000003</v>
      </c>
      <c r="I1676">
        <v>301.78750000000002</v>
      </c>
      <c r="J1676">
        <v>-193.09450000000001</v>
      </c>
      <c r="K1676">
        <v>1.10764</v>
      </c>
      <c r="L1676">
        <v>302.2407</v>
      </c>
      <c r="M1676">
        <v>-0.18231710000000001</v>
      </c>
      <c r="N1676">
        <v>-1.1400850000000001E-2</v>
      </c>
      <c r="O1676">
        <v>-0.98317370000000004</v>
      </c>
      <c r="P1676">
        <v>-0.238846</v>
      </c>
      <c r="Q1676">
        <v>0.3522362</v>
      </c>
      <c r="R1676">
        <v>-0.90492119999999998</v>
      </c>
      <c r="S1676">
        <v>-1.3206329999999999</v>
      </c>
      <c r="T1676">
        <v>-0.63443319999999903</v>
      </c>
      <c r="U1676">
        <v>-3.215363</v>
      </c>
      <c r="V1676">
        <v>7.265257E-2</v>
      </c>
      <c r="W1676">
        <v>0.36230329999999999</v>
      </c>
      <c r="X1676">
        <v>0.92922439999999995</v>
      </c>
      <c r="Y1676">
        <v>0.19915150000000001</v>
      </c>
      <c r="Z1676">
        <v>0.169076799999999</v>
      </c>
      <c r="AA1676">
        <v>0.96527289999999999</v>
      </c>
      <c r="AB1676">
        <v>24</v>
      </c>
      <c r="AC1676">
        <v>-0.23609999999999301</v>
      </c>
      <c r="AD1676">
        <v>-0.13662469999999899</v>
      </c>
      <c r="AE1676">
        <v>-0.45319999999998101</v>
      </c>
      <c r="AF1676">
        <v>0.13953657935446501</v>
      </c>
      <c r="AG1676">
        <v>-0.13662469999999899</v>
      </c>
      <c r="AH1676">
        <v>0.456051708220921</v>
      </c>
      <c r="AI1676">
        <v>105.98554672795299</v>
      </c>
      <c r="AJ1676">
        <v>72.987640430634201</v>
      </c>
      <c r="AK1676">
        <v>0.49610475325202702</v>
      </c>
      <c r="AL1676">
        <v>68.758283587245501</v>
      </c>
      <c r="AM1676">
        <v>85.529352954511097</v>
      </c>
      <c r="AN1676">
        <v>1.0000000313369199</v>
      </c>
    </row>
    <row r="1677" spans="1:40" x14ac:dyDescent="0.25">
      <c r="A1677" t="str">
        <f>"20190304164402117"</f>
        <v>20190304164402117</v>
      </c>
      <c r="B1677" t="str">
        <f>"1551689042111104"</f>
        <v>1551689042111104</v>
      </c>
      <c r="C1677" t="s">
        <v>40</v>
      </c>
      <c r="D1677">
        <v>5.5849489999999999</v>
      </c>
      <c r="E1677">
        <v>0.56573409999999902</v>
      </c>
      <c r="F1677" t="s">
        <v>41</v>
      </c>
      <c r="G1677">
        <v>-193.37370000000001</v>
      </c>
      <c r="H1677">
        <v>0.97517410000000004</v>
      </c>
      <c r="I1677">
        <v>301.57</v>
      </c>
      <c r="J1677">
        <v>-193.14940000000001</v>
      </c>
      <c r="K1677">
        <v>1.107575</v>
      </c>
      <c r="L1677">
        <v>301.97789999999998</v>
      </c>
      <c r="M1677">
        <v>-0.1875539</v>
      </c>
      <c r="N1677">
        <v>-1.1531899999999999E-2</v>
      </c>
      <c r="O1677">
        <v>-0.98218680000000003</v>
      </c>
      <c r="P1677">
        <v>-0.2432252</v>
      </c>
      <c r="Q1677">
        <v>0.35257119999999997</v>
      </c>
      <c r="R1677">
        <v>-0.90362330000000002</v>
      </c>
      <c r="S1677">
        <v>-1.3357699999999999</v>
      </c>
      <c r="T1677">
        <v>-0.63381030000000005</v>
      </c>
      <c r="U1677">
        <v>-3.209381</v>
      </c>
      <c r="V1677">
        <v>7.2302270000000002E-2</v>
      </c>
      <c r="W1677">
        <v>0.36274679999999998</v>
      </c>
      <c r="X1677">
        <v>0.92907859999999998</v>
      </c>
      <c r="Y1677">
        <v>0.19847300000000001</v>
      </c>
      <c r="Z1677">
        <v>0.1686935</v>
      </c>
      <c r="AA1677">
        <v>0.96547969999999905</v>
      </c>
      <c r="AB1677">
        <v>24</v>
      </c>
      <c r="AC1677">
        <v>-0.224299999999999</v>
      </c>
      <c r="AD1677">
        <v>-0.13240089999999899</v>
      </c>
      <c r="AE1677">
        <v>-0.407899999999983</v>
      </c>
      <c r="AF1677">
        <v>0.13304753532753</v>
      </c>
      <c r="AG1677">
        <v>-0.13240089999999899</v>
      </c>
      <c r="AH1677">
        <v>0.40959622478807201</v>
      </c>
      <c r="AI1677">
        <v>107.08925879557999</v>
      </c>
      <c r="AJ1677">
        <v>72.004851845057303</v>
      </c>
      <c r="AK1677">
        <v>0.45055600355358799</v>
      </c>
      <c r="AL1677">
        <v>68.731016383904006</v>
      </c>
      <c r="AM1677">
        <v>85.550126365211</v>
      </c>
      <c r="AN1677">
        <v>0.999999952067675</v>
      </c>
    </row>
    <row r="1678" spans="1:40" x14ac:dyDescent="0.25">
      <c r="A1678" t="str">
        <f>"20190304164402134"</f>
        <v>20190304164402134</v>
      </c>
      <c r="B1678" t="str">
        <f>"1551689042121841"</f>
        <v>1551689042121841</v>
      </c>
      <c r="C1678" t="s">
        <v>40</v>
      </c>
      <c r="D1678">
        <v>5.4941279999999999</v>
      </c>
      <c r="E1678">
        <v>0.5657411</v>
      </c>
      <c r="F1678" t="s">
        <v>41</v>
      </c>
      <c r="G1678">
        <v>-193.49520000000001</v>
      </c>
      <c r="H1678">
        <v>0.945627</v>
      </c>
      <c r="I1678">
        <v>301.15879999999999</v>
      </c>
      <c r="J1678">
        <v>-193.18899999999999</v>
      </c>
      <c r="K1678">
        <v>1.107526</v>
      </c>
      <c r="L1678">
        <v>301.79239999999999</v>
      </c>
      <c r="M1678">
        <v>-0.19133030000000001</v>
      </c>
      <c r="N1678">
        <v>-1.163661E-2</v>
      </c>
      <c r="O1678">
        <v>-0.98145689999999997</v>
      </c>
      <c r="P1678">
        <v>-0.2465569</v>
      </c>
      <c r="Q1678">
        <v>0.35246609999999901</v>
      </c>
      <c r="R1678">
        <v>-0.90276100000000004</v>
      </c>
      <c r="S1678">
        <v>-1.3521729999999901</v>
      </c>
      <c r="T1678">
        <v>-0.6332333</v>
      </c>
      <c r="U1678">
        <v>-3.203033</v>
      </c>
      <c r="V1678">
        <v>7.2204249999999998E-2</v>
      </c>
      <c r="W1678">
        <v>0.36272949999999998</v>
      </c>
      <c r="X1678">
        <v>0.92909310000000001</v>
      </c>
      <c r="Y1678">
        <v>0.19960459999999999</v>
      </c>
      <c r="Z1678">
        <v>0.1683848</v>
      </c>
      <c r="AA1678">
        <v>0.9653003</v>
      </c>
      <c r="AB1678">
        <v>24</v>
      </c>
      <c r="AC1678">
        <v>-0.30619999999998898</v>
      </c>
      <c r="AD1678">
        <v>-0.16189899999999999</v>
      </c>
      <c r="AE1678">
        <v>-0.63360000000000105</v>
      </c>
      <c r="AF1678">
        <v>0.170293703163057</v>
      </c>
      <c r="AG1678">
        <v>-0.16189899999999999</v>
      </c>
      <c r="AH1678">
        <v>0.64627510060321602</v>
      </c>
      <c r="AI1678">
        <v>103.61715118878</v>
      </c>
      <c r="AJ1678">
        <v>75.238089273476206</v>
      </c>
      <c r="AK1678">
        <v>0.68766469823430998</v>
      </c>
      <c r="AL1678">
        <v>68.7320825906355</v>
      </c>
      <c r="AM1678">
        <v>85.556203942731599</v>
      </c>
      <c r="AN1678">
        <v>1.00000006617795</v>
      </c>
    </row>
    <row r="1679" spans="1:40" x14ac:dyDescent="0.25">
      <c r="A1679" t="str">
        <f>"20190304164402157"</f>
        <v>20190304164402157</v>
      </c>
      <c r="B1679" t="str">
        <f>"1551689042151123"</f>
        <v>1551689042151123</v>
      </c>
      <c r="C1679" t="s">
        <v>40</v>
      </c>
      <c r="D1679">
        <v>5.5030159999999997</v>
      </c>
      <c r="E1679">
        <v>0.56578799999999996</v>
      </c>
      <c r="F1679" t="s">
        <v>41</v>
      </c>
      <c r="G1679">
        <v>-193.54929999999999</v>
      </c>
      <c r="H1679">
        <v>0.94004869999999996</v>
      </c>
      <c r="I1679">
        <v>300.94819999999999</v>
      </c>
      <c r="J1679">
        <v>-193.24420000000001</v>
      </c>
      <c r="K1679">
        <v>1.1074649999999999</v>
      </c>
      <c r="L1679">
        <v>301.541</v>
      </c>
      <c r="M1679">
        <v>-0.1965615</v>
      </c>
      <c r="N1679">
        <v>-1.178122E-2</v>
      </c>
      <c r="O1679">
        <v>-0.98042079999999998</v>
      </c>
      <c r="P1679">
        <v>-0.2517993</v>
      </c>
      <c r="Q1679">
        <v>0.35201650000000001</v>
      </c>
      <c r="R1679">
        <v>-0.90148870000000003</v>
      </c>
      <c r="S1679">
        <v>-1.3640289999999999</v>
      </c>
      <c r="T1679">
        <v>-0.63434099999999904</v>
      </c>
      <c r="U1679">
        <v>-3.198242</v>
      </c>
      <c r="V1679">
        <v>7.2685390000000002E-2</v>
      </c>
      <c r="W1679">
        <v>0.3623979</v>
      </c>
      <c r="X1679">
        <v>0.92918489999999998</v>
      </c>
      <c r="Y1679">
        <v>0.19792380000000001</v>
      </c>
      <c r="Z1679">
        <v>0.16843900000000001</v>
      </c>
      <c r="AA1679">
        <v>0.96563679999999996</v>
      </c>
      <c r="AB1679">
        <v>24</v>
      </c>
      <c r="AC1679">
        <v>-0.305099999999981</v>
      </c>
      <c r="AD1679">
        <v>-0.16741629999999899</v>
      </c>
      <c r="AE1679">
        <v>-0.59280000000001098</v>
      </c>
      <c r="AF1679">
        <v>0.17178530823973201</v>
      </c>
      <c r="AG1679">
        <v>-0.16741629999999899</v>
      </c>
      <c r="AH1679">
        <v>0.60317505772574898</v>
      </c>
      <c r="AI1679">
        <v>104.94621345782301</v>
      </c>
      <c r="AJ1679">
        <v>74.102954521579505</v>
      </c>
      <c r="AK1679">
        <v>0.64912137531833802</v>
      </c>
      <c r="AL1679">
        <v>68.752467308064197</v>
      </c>
      <c r="AM1679">
        <v>85.527152218665293</v>
      </c>
      <c r="AN1679">
        <v>0.99999999111593596</v>
      </c>
    </row>
    <row r="1680" spans="1:40" x14ac:dyDescent="0.25">
      <c r="A1680" t="str">
        <f>"20190304164402192"</f>
        <v>20190304164402192</v>
      </c>
      <c r="B1680" t="str">
        <f>"1551689042181376"</f>
        <v>1551689042181376</v>
      </c>
      <c r="C1680" t="s">
        <v>40</v>
      </c>
      <c r="D1680">
        <v>5.5087199999999896</v>
      </c>
      <c r="E1680">
        <v>0.5657953</v>
      </c>
      <c r="F1680" t="s">
        <v>41</v>
      </c>
      <c r="G1680">
        <v>-193.595</v>
      </c>
      <c r="H1680">
        <v>0.94572129999999999</v>
      </c>
      <c r="I1680">
        <v>300.7312</v>
      </c>
      <c r="J1680">
        <v>-193.32669999999999</v>
      </c>
      <c r="K1680">
        <v>1.10738</v>
      </c>
      <c r="L1680">
        <v>301.17720000000003</v>
      </c>
      <c r="M1680">
        <v>-0.2043239</v>
      </c>
      <c r="N1680">
        <v>-1.2000759999999999E-2</v>
      </c>
      <c r="O1680">
        <v>-0.97882979999999997</v>
      </c>
      <c r="P1680">
        <v>-0.26069059999999999</v>
      </c>
      <c r="Q1680">
        <v>0.35122530000000002</v>
      </c>
      <c r="R1680">
        <v>-0.89926689999999998</v>
      </c>
      <c r="S1680">
        <v>-1.382401</v>
      </c>
      <c r="T1680">
        <v>-0.63726749999999999</v>
      </c>
      <c r="U1680">
        <v>-3.1905209999999999</v>
      </c>
      <c r="V1680">
        <v>7.4529600000000001E-2</v>
      </c>
      <c r="W1680">
        <v>0.36177959999999998</v>
      </c>
      <c r="X1680">
        <v>0.92927969999999904</v>
      </c>
      <c r="Y1680">
        <v>0.1956581</v>
      </c>
      <c r="Z1680">
        <v>0.1688675</v>
      </c>
      <c r="AA1680">
        <v>0.96602359999999998</v>
      </c>
      <c r="AB1680">
        <v>24</v>
      </c>
      <c r="AC1680">
        <v>-0.26830000000000997</v>
      </c>
      <c r="AD1680">
        <v>-0.16165869999999999</v>
      </c>
      <c r="AE1680">
        <v>-0.44600000000002599</v>
      </c>
      <c r="AF1680">
        <v>0.15641474892445201</v>
      </c>
      <c r="AG1680">
        <v>-0.16165869999999999</v>
      </c>
      <c r="AH1680">
        <v>0.44817826351149398</v>
      </c>
      <c r="AI1680">
        <v>108.806651607028</v>
      </c>
      <c r="AJ1680">
        <v>70.760951733976</v>
      </c>
      <c r="AK1680">
        <v>0.50146073111557499</v>
      </c>
      <c r="AL1680">
        <v>68.790471259297405</v>
      </c>
      <c r="AM1680">
        <v>85.414608827391703</v>
      </c>
      <c r="AN1680">
        <v>0.99999995054220303</v>
      </c>
    </row>
    <row r="1681" spans="1:40" x14ac:dyDescent="0.25">
      <c r="A1681" t="str">
        <f>"20190304164402213"</f>
        <v>20190304164402213</v>
      </c>
      <c r="B1681" t="str">
        <f>"1551689042201873"</f>
        <v>1551689042201873</v>
      </c>
      <c r="C1681" t="s">
        <v>40</v>
      </c>
      <c r="D1681">
        <v>5.5205760000000001</v>
      </c>
      <c r="E1681">
        <v>0.56578640000000002</v>
      </c>
      <c r="F1681" t="s">
        <v>41</v>
      </c>
      <c r="G1681">
        <v>-193.62639999999999</v>
      </c>
      <c r="H1681">
        <v>0.97097250000000002</v>
      </c>
      <c r="I1681">
        <v>300.5027</v>
      </c>
      <c r="J1681">
        <v>-193.38120000000001</v>
      </c>
      <c r="K1681">
        <v>1.107342</v>
      </c>
      <c r="L1681">
        <v>300.94450000000001</v>
      </c>
      <c r="M1681">
        <v>-0.20940010000000001</v>
      </c>
      <c r="N1681">
        <v>-1.216237E-2</v>
      </c>
      <c r="O1681">
        <v>-0.97775449999999997</v>
      </c>
      <c r="P1681">
        <v>-0.26593090000000003</v>
      </c>
      <c r="Q1681">
        <v>0.35101149999999998</v>
      </c>
      <c r="R1681">
        <v>-0.89781529999999998</v>
      </c>
      <c r="S1681">
        <v>-1.4111020000000001</v>
      </c>
      <c r="T1681">
        <v>-0.64241059999999905</v>
      </c>
      <c r="U1681">
        <v>-3.1779169999999999</v>
      </c>
      <c r="V1681">
        <v>7.5159920000000005E-2</v>
      </c>
      <c r="W1681">
        <v>0.36170190000000002</v>
      </c>
      <c r="X1681">
        <v>0.92925919999999895</v>
      </c>
      <c r="Y1681">
        <v>0.19918079999999999</v>
      </c>
      <c r="Z1681">
        <v>0.1701192</v>
      </c>
      <c r="AA1681">
        <v>0.96508369999999999</v>
      </c>
      <c r="AB1681">
        <v>24</v>
      </c>
      <c r="AC1681">
        <v>-0.24519999999998199</v>
      </c>
      <c r="AD1681">
        <v>-0.1363695</v>
      </c>
      <c r="AE1681">
        <v>-0.44180000000000003</v>
      </c>
      <c r="AF1681">
        <v>0.13724637628452399</v>
      </c>
      <c r="AG1681">
        <v>-0.1363695</v>
      </c>
      <c r="AH1681">
        <v>0.450535803103568</v>
      </c>
      <c r="AI1681">
        <v>106.14816988318999</v>
      </c>
      <c r="AJ1681">
        <v>73.057731512383299</v>
      </c>
      <c r="AK1681">
        <v>0.490322055603927</v>
      </c>
      <c r="AL1681">
        <v>68.795246948390101</v>
      </c>
      <c r="AM1681">
        <v>85.375894650162294</v>
      </c>
      <c r="AN1681">
        <v>0.99999996941132696</v>
      </c>
    </row>
    <row r="1682" spans="1:40" x14ac:dyDescent="0.25">
      <c r="A1682" t="str">
        <f>"20190304164402236"</f>
        <v>20190304164402236</v>
      </c>
      <c r="B1682" t="str">
        <f>"1551689042231153"</f>
        <v>1551689042231153</v>
      </c>
      <c r="C1682" t="s">
        <v>40</v>
      </c>
      <c r="D1682">
        <v>5.5084269999999904</v>
      </c>
      <c r="E1682">
        <v>0.56494519999999904</v>
      </c>
      <c r="F1682" t="s">
        <v>41</v>
      </c>
      <c r="G1682">
        <v>-193.67750000000001</v>
      </c>
      <c r="H1682">
        <v>0.97397789999999995</v>
      </c>
      <c r="I1682">
        <v>300.28820000000002</v>
      </c>
      <c r="J1682">
        <v>-193.43819999999999</v>
      </c>
      <c r="K1682">
        <v>1.1073120000000001</v>
      </c>
      <c r="L1682">
        <v>300.7072</v>
      </c>
      <c r="M1682">
        <v>-0.21468219999999999</v>
      </c>
      <c r="N1682">
        <v>-1.2346019999999999E-2</v>
      </c>
      <c r="O1682">
        <v>-0.97660599999999997</v>
      </c>
      <c r="P1682">
        <v>-0.27101219999999998</v>
      </c>
      <c r="Q1682">
        <v>0.35000799999999999</v>
      </c>
      <c r="R1682">
        <v>-0.89668669999999995</v>
      </c>
      <c r="S1682">
        <v>-1.430466</v>
      </c>
      <c r="T1682">
        <v>-0.64398459999999902</v>
      </c>
      <c r="U1682">
        <v>-3.1695250000000001</v>
      </c>
      <c r="V1682">
        <v>7.5357530000000006E-2</v>
      </c>
      <c r="W1682">
        <v>0.36086200000000002</v>
      </c>
      <c r="X1682">
        <v>0.92956970000000005</v>
      </c>
      <c r="Y1682">
        <v>0.1997235</v>
      </c>
      <c r="Z1682">
        <v>0.17028889999999999</v>
      </c>
      <c r="AA1682">
        <v>0.96494159999999995</v>
      </c>
      <c r="AB1682">
        <v>24</v>
      </c>
      <c r="AC1682">
        <v>-0.239300000000014</v>
      </c>
      <c r="AD1682">
        <v>-0.13333410000000001</v>
      </c>
      <c r="AE1682">
        <v>-0.418999999999982</v>
      </c>
      <c r="AF1682">
        <v>0.133562421651784</v>
      </c>
      <c r="AG1682">
        <v>-0.13333410000000001</v>
      </c>
      <c r="AH1682">
        <v>0.42793069848301002</v>
      </c>
      <c r="AI1682">
        <v>106.56397616313301</v>
      </c>
      <c r="AJ1682">
        <v>72.666216446936502</v>
      </c>
      <c r="AK1682">
        <v>0.46769817767921201</v>
      </c>
      <c r="AL1682">
        <v>68.846855811292301</v>
      </c>
      <c r="AM1682">
        <v>85.365331776119604</v>
      </c>
      <c r="AN1682">
        <v>0.99999998376489496</v>
      </c>
    </row>
    <row r="1683" spans="1:40" x14ac:dyDescent="0.25">
      <c r="A1683" t="str">
        <f>"20190304164402258"</f>
        <v>20190304164402258</v>
      </c>
      <c r="B1683" t="str">
        <f>"1551689042251649"</f>
        <v>1551689042251649</v>
      </c>
      <c r="C1683" t="s">
        <v>40</v>
      </c>
      <c r="D1683">
        <v>5.4993740000000004</v>
      </c>
      <c r="E1683">
        <v>0.56481800000000004</v>
      </c>
      <c r="F1683" t="s">
        <v>41</v>
      </c>
      <c r="G1683">
        <v>-193.8108</v>
      </c>
      <c r="H1683">
        <v>0.93025219999999997</v>
      </c>
      <c r="I1683">
        <v>299.8895</v>
      </c>
      <c r="J1683">
        <v>-193.49870000000001</v>
      </c>
      <c r="K1683">
        <v>1.1072789999999999</v>
      </c>
      <c r="L1683">
        <v>300.46210000000002</v>
      </c>
      <c r="M1683">
        <v>-0.2202393</v>
      </c>
      <c r="N1683">
        <v>-1.253918E-2</v>
      </c>
      <c r="O1683">
        <v>-0.9753655</v>
      </c>
      <c r="P1683">
        <v>-0.27645969999999997</v>
      </c>
      <c r="Q1683">
        <v>0.34912019999999999</v>
      </c>
      <c r="R1683">
        <v>-0.89536890000000002</v>
      </c>
      <c r="S1683">
        <v>-1.4467620000000001</v>
      </c>
      <c r="T1683">
        <v>-0.68774279999999999</v>
      </c>
      <c r="U1683">
        <v>-3.1768800000000001</v>
      </c>
      <c r="V1683">
        <v>7.5686530000000002E-2</v>
      </c>
      <c r="W1683">
        <v>0.36014449999999998</v>
      </c>
      <c r="X1683">
        <v>0.92982120000000001</v>
      </c>
      <c r="Y1683">
        <v>0.1965771</v>
      </c>
      <c r="Z1683">
        <v>0.1811593</v>
      </c>
      <c r="AA1683">
        <v>0.96360710000000005</v>
      </c>
      <c r="AB1683">
        <v>24</v>
      </c>
      <c r="AC1683">
        <v>-0.312099999999986</v>
      </c>
      <c r="AD1683">
        <v>-0.17702680000000001</v>
      </c>
      <c r="AE1683">
        <v>-0.57260000000002198</v>
      </c>
      <c r="AF1683">
        <v>0.16607829276465799</v>
      </c>
      <c r="AG1683">
        <v>-0.17702680000000001</v>
      </c>
      <c r="AH1683">
        <v>0.58422860005447497</v>
      </c>
      <c r="AI1683">
        <v>106.249388938512</v>
      </c>
      <c r="AJ1683">
        <v>74.131173031672503</v>
      </c>
      <c r="AK1683">
        <v>0.63264804146340003</v>
      </c>
      <c r="AL1683">
        <v>68.890929204312599</v>
      </c>
      <c r="AM1683">
        <v>85.346439727772093</v>
      </c>
      <c r="AN1683">
        <v>0.99999998783656496</v>
      </c>
    </row>
    <row r="1684" spans="1:40" x14ac:dyDescent="0.25">
      <c r="A1684" t="str">
        <f>"20190304164402282"</f>
        <v>20190304164402282</v>
      </c>
      <c r="B1684" t="str">
        <f>"1551689042272145"</f>
        <v>1551689042272145</v>
      </c>
      <c r="C1684" t="s">
        <v>40</v>
      </c>
      <c r="D1684">
        <v>5.4932759999999998</v>
      </c>
      <c r="E1684">
        <v>0.56456919999999899</v>
      </c>
      <c r="F1684" t="s">
        <v>41</v>
      </c>
      <c r="G1684">
        <v>-193.86199999999999</v>
      </c>
      <c r="H1684">
        <v>0.93463350000000001</v>
      </c>
      <c r="I1684">
        <v>299.67559999999997</v>
      </c>
      <c r="J1684">
        <v>-193.56039999999999</v>
      </c>
      <c r="K1684">
        <v>1.1072420000000001</v>
      </c>
      <c r="L1684">
        <v>300.21850000000001</v>
      </c>
      <c r="M1684">
        <v>-0.22583829999999999</v>
      </c>
      <c r="N1684">
        <v>-1.272003E-2</v>
      </c>
      <c r="O1684">
        <v>-0.9740818</v>
      </c>
      <c r="P1684">
        <v>-0.28197810000000001</v>
      </c>
      <c r="Q1684">
        <v>0.34752119999999997</v>
      </c>
      <c r="R1684">
        <v>-0.89426919999999899</v>
      </c>
      <c r="S1684">
        <v>-1.463104</v>
      </c>
      <c r="T1684">
        <v>-0.69562590000000002</v>
      </c>
      <c r="U1684">
        <v>-3.170013</v>
      </c>
      <c r="V1684">
        <v>7.5976089999999996E-2</v>
      </c>
      <c r="W1684">
        <v>0.3587091</v>
      </c>
      <c r="X1684">
        <v>0.93035230000000002</v>
      </c>
      <c r="Y1684">
        <v>0.1956862</v>
      </c>
      <c r="Z1684">
        <v>0.1829588</v>
      </c>
      <c r="AA1684">
        <v>0.96344850000000004</v>
      </c>
      <c r="AB1684">
        <v>24</v>
      </c>
      <c r="AC1684">
        <v>-0.30160000000000697</v>
      </c>
      <c r="AD1684">
        <v>-0.1726085</v>
      </c>
      <c r="AE1684">
        <v>-0.54290000000003102</v>
      </c>
      <c r="AF1684">
        <v>0.158913962604468</v>
      </c>
      <c r="AG1684">
        <v>-0.1726085</v>
      </c>
      <c r="AH1684">
        <v>0.554182208897956</v>
      </c>
      <c r="AI1684">
        <v>106.66764385746499</v>
      </c>
      <c r="AJ1684">
        <v>73.999544181343595</v>
      </c>
      <c r="AK1684">
        <v>0.60180168032494097</v>
      </c>
      <c r="AL1684">
        <v>68.979061269933894</v>
      </c>
      <c r="AM1684">
        <v>85.331369724544899</v>
      </c>
      <c r="AN1684">
        <v>0.99999999339489398</v>
      </c>
    </row>
    <row r="1685" spans="1:40" x14ac:dyDescent="0.25">
      <c r="A1685" t="str">
        <f>"20190304164402317"</f>
        <v>20190304164402317</v>
      </c>
      <c r="B1685" t="str">
        <f>"1551689042311184"</f>
        <v>1551689042311184</v>
      </c>
      <c r="C1685" t="s">
        <v>40</v>
      </c>
      <c r="D1685">
        <v>5.4896089999999997</v>
      </c>
      <c r="E1685">
        <v>0.5644361</v>
      </c>
      <c r="F1685" t="s">
        <v>41</v>
      </c>
      <c r="G1685">
        <v>-193.9135</v>
      </c>
      <c r="H1685">
        <v>0.93815309999999996</v>
      </c>
      <c r="I1685">
        <v>299.46249999999998</v>
      </c>
      <c r="J1685">
        <v>-193.65520000000001</v>
      </c>
      <c r="K1685">
        <v>1.107183</v>
      </c>
      <c r="L1685">
        <v>299.85570000000001</v>
      </c>
      <c r="M1685">
        <v>-0.23432269999999999</v>
      </c>
      <c r="N1685">
        <v>-1.296398E-2</v>
      </c>
      <c r="O1685">
        <v>-0.97207250000000001</v>
      </c>
      <c r="P1685">
        <v>-0.28931899999999999</v>
      </c>
      <c r="Q1685">
        <v>0.34571039999999997</v>
      </c>
      <c r="R1685">
        <v>-0.89262520000000001</v>
      </c>
      <c r="S1685">
        <v>-1.477463</v>
      </c>
      <c r="T1685">
        <v>-0.70762990000000003</v>
      </c>
      <c r="U1685">
        <v>-3.1638489999999999</v>
      </c>
      <c r="V1685">
        <v>7.5393089999999996E-2</v>
      </c>
      <c r="W1685">
        <v>0.35712709999999998</v>
      </c>
      <c r="X1685">
        <v>0.93100819999999995</v>
      </c>
      <c r="Y1685">
        <v>0.19121859999999999</v>
      </c>
      <c r="Z1685">
        <v>0.18564659999999999</v>
      </c>
      <c r="AA1685">
        <v>0.96383129999999995</v>
      </c>
      <c r="AB1685">
        <v>24</v>
      </c>
      <c r="AC1685">
        <v>-0.25829999999999098</v>
      </c>
      <c r="AD1685">
        <v>-0.16902990000000001</v>
      </c>
      <c r="AE1685">
        <v>-0.39320000000003502</v>
      </c>
      <c r="AF1685">
        <v>0.14078933682768199</v>
      </c>
      <c r="AG1685">
        <v>-0.16902990000000001</v>
      </c>
      <c r="AH1685">
        <v>0.39215758130933198</v>
      </c>
      <c r="AI1685">
        <v>112.081114697348</v>
      </c>
      <c r="AJ1685">
        <v>70.251245267360602</v>
      </c>
      <c r="AK1685">
        <v>0.44964465196060499</v>
      </c>
      <c r="AL1685">
        <v>69.076135797409904</v>
      </c>
      <c r="AM1685">
        <v>85.370287503391694</v>
      </c>
      <c r="AN1685">
        <v>1.00000007602069</v>
      </c>
    </row>
    <row r="1686" spans="1:40" x14ac:dyDescent="0.25">
      <c r="A1686" t="str">
        <f>"20190304164402337"</f>
        <v>20190304164402337</v>
      </c>
      <c r="B1686" t="str">
        <f>"1551689042331681"</f>
        <v>1551689042331681</v>
      </c>
      <c r="C1686" t="s">
        <v>40</v>
      </c>
      <c r="D1686">
        <v>5.5638940000000003</v>
      </c>
      <c r="E1686">
        <v>0.56438239999999995</v>
      </c>
      <c r="F1686" t="s">
        <v>41</v>
      </c>
      <c r="G1686">
        <v>-194.03970000000001</v>
      </c>
      <c r="H1686">
        <v>0.92385819999999996</v>
      </c>
      <c r="I1686">
        <v>299.05169999999998</v>
      </c>
      <c r="J1686">
        <v>-193.71510000000001</v>
      </c>
      <c r="K1686">
        <v>1.107148</v>
      </c>
      <c r="L1686">
        <v>299.63319999999999</v>
      </c>
      <c r="M1686">
        <v>-0.23963309999999999</v>
      </c>
      <c r="N1686">
        <v>-1.30983E-2</v>
      </c>
      <c r="O1686">
        <v>-0.9707751</v>
      </c>
      <c r="P1686">
        <v>-0.29390749999999999</v>
      </c>
      <c r="Q1686">
        <v>0.34606229999999999</v>
      </c>
      <c r="R1686">
        <v>-0.8909878</v>
      </c>
      <c r="S1686">
        <v>-1.5067440000000001</v>
      </c>
      <c r="T1686">
        <v>-0.71838429999999998</v>
      </c>
      <c r="U1686">
        <v>-3.150665</v>
      </c>
      <c r="V1686">
        <v>7.5167890000000001E-2</v>
      </c>
      <c r="W1686">
        <v>0.3575969</v>
      </c>
      <c r="X1686">
        <v>0.93084599999999995</v>
      </c>
      <c r="Y1686">
        <v>0.1944756</v>
      </c>
      <c r="Z1686">
        <v>0.1883426</v>
      </c>
      <c r="AA1686">
        <v>0.96265579999999995</v>
      </c>
      <c r="AB1686">
        <v>24</v>
      </c>
      <c r="AC1686">
        <v>-0.324600000000003</v>
      </c>
      <c r="AD1686">
        <v>-0.183289799999999</v>
      </c>
      <c r="AE1686">
        <v>-0.58150000000000501</v>
      </c>
      <c r="AF1686">
        <v>0.16340435707491399</v>
      </c>
      <c r="AG1686">
        <v>-0.183289799999999</v>
      </c>
      <c r="AH1686">
        <v>0.59711502493566104</v>
      </c>
      <c r="AI1686">
        <v>106.49259641490799</v>
      </c>
      <c r="AJ1686">
        <v>74.695342626336597</v>
      </c>
      <c r="AK1686">
        <v>0.64563340038989703</v>
      </c>
      <c r="AL1686">
        <v>69.047313758919202</v>
      </c>
      <c r="AM1686">
        <v>85.383255805337996</v>
      </c>
      <c r="AN1686">
        <v>1.00000001514633</v>
      </c>
    </row>
    <row r="1687" spans="1:40" x14ac:dyDescent="0.25">
      <c r="A1687" t="str">
        <f>"20190304164402359"</f>
        <v>20190304164402359</v>
      </c>
      <c r="B1687" t="str">
        <f>"1551689042351201"</f>
        <v>1551689042351201</v>
      </c>
      <c r="C1687" t="s">
        <v>40</v>
      </c>
      <c r="D1687">
        <v>5.5379829999999997</v>
      </c>
      <c r="E1687">
        <v>0.56754059999999995</v>
      </c>
      <c r="F1687" t="s">
        <v>41</v>
      </c>
      <c r="G1687">
        <v>-194.09989999999999</v>
      </c>
      <c r="H1687">
        <v>0.92659290000000005</v>
      </c>
      <c r="I1687">
        <v>298.84179999999998</v>
      </c>
      <c r="J1687">
        <v>-193.7799</v>
      </c>
      <c r="K1687">
        <v>1.1071150000000001</v>
      </c>
      <c r="L1687">
        <v>299.39870000000002</v>
      </c>
      <c r="M1687">
        <v>-0.24531649999999999</v>
      </c>
      <c r="N1687">
        <v>-1.322737E-2</v>
      </c>
      <c r="O1687">
        <v>-0.96935289999999996</v>
      </c>
      <c r="P1687">
        <v>-0.2988924</v>
      </c>
      <c r="Q1687">
        <v>0.34591529999999998</v>
      </c>
      <c r="R1687">
        <v>-0.88938539999999899</v>
      </c>
      <c r="S1687">
        <v>-1.5271760000000001</v>
      </c>
      <c r="T1687">
        <v>-0.71663069999999995</v>
      </c>
      <c r="U1687">
        <v>-3.1416629999999999</v>
      </c>
      <c r="V1687">
        <v>7.4950820000000001E-2</v>
      </c>
      <c r="W1687">
        <v>0.35756529999999997</v>
      </c>
      <c r="X1687">
        <v>0.93087560000000003</v>
      </c>
      <c r="Y1687">
        <v>0.19494020000000001</v>
      </c>
      <c r="Z1687">
        <v>0.18757989999999999</v>
      </c>
      <c r="AA1687">
        <v>0.96271079999999998</v>
      </c>
      <c r="AB1687">
        <v>24</v>
      </c>
      <c r="AC1687">
        <v>-0.31999999999999301</v>
      </c>
      <c r="AD1687">
        <v>-0.18052209999999999</v>
      </c>
      <c r="AE1687">
        <v>-0.55690000000004103</v>
      </c>
      <c r="AF1687">
        <v>0.160882496455406</v>
      </c>
      <c r="AG1687">
        <v>-0.18052209999999999</v>
      </c>
      <c r="AH1687">
        <v>0.57311498215800605</v>
      </c>
      <c r="AI1687">
        <v>106.870551782353</v>
      </c>
      <c r="AJ1687">
        <v>74.319723811198401</v>
      </c>
      <c r="AK1687">
        <v>0.62203873595468695</v>
      </c>
      <c r="AL1687">
        <v>69.049251630073897</v>
      </c>
      <c r="AM1687">
        <v>85.396676416278794</v>
      </c>
      <c r="AN1687">
        <v>0.99999997592905998</v>
      </c>
    </row>
    <row r="1688" spans="1:40" x14ac:dyDescent="0.25">
      <c r="A1688" t="str">
        <f>"20190304164402382"</f>
        <v>20190304164402382</v>
      </c>
      <c r="B1688" t="str">
        <f>"1551689042371697"</f>
        <v>1551689042371697</v>
      </c>
      <c r="C1688" t="s">
        <v>40</v>
      </c>
      <c r="D1688">
        <v>5.5407869999999999</v>
      </c>
      <c r="E1688">
        <v>0.56813599999999997</v>
      </c>
      <c r="F1688" t="s">
        <v>41</v>
      </c>
      <c r="G1688">
        <v>-194.16730000000001</v>
      </c>
      <c r="H1688">
        <v>0.93662979999999996</v>
      </c>
      <c r="I1688">
        <v>298.63029999999998</v>
      </c>
      <c r="J1688">
        <v>-193.84719999999999</v>
      </c>
      <c r="K1688">
        <v>1.107059</v>
      </c>
      <c r="L1688">
        <v>299.16109999999998</v>
      </c>
      <c r="M1688">
        <v>-0.25118740000000001</v>
      </c>
      <c r="N1688">
        <v>-1.334522E-2</v>
      </c>
      <c r="O1688">
        <v>-0.96784680000000001</v>
      </c>
      <c r="P1688">
        <v>-0.30399130000000002</v>
      </c>
      <c r="Q1688">
        <v>0.34601409999999899</v>
      </c>
      <c r="R1688">
        <v>-0.8876174</v>
      </c>
      <c r="S1688">
        <v>-1.5700989999999999</v>
      </c>
      <c r="T1688">
        <v>-0.69102940000000002</v>
      </c>
      <c r="U1688">
        <v>-3.1141969999999999</v>
      </c>
      <c r="V1688">
        <v>7.470926E-2</v>
      </c>
      <c r="W1688">
        <v>0.35776619999999998</v>
      </c>
      <c r="X1688">
        <v>0.93081780000000003</v>
      </c>
      <c r="Y1688">
        <v>0.20353160000000001</v>
      </c>
      <c r="Z1688">
        <v>0.1809608</v>
      </c>
      <c r="AA1688">
        <v>0.96219960000000004</v>
      </c>
      <c r="AB1688">
        <v>24</v>
      </c>
      <c r="AC1688">
        <v>-0.32010000000002398</v>
      </c>
      <c r="AD1688">
        <v>-0.170429199999999</v>
      </c>
      <c r="AE1688">
        <v>-0.53079999999999905</v>
      </c>
      <c r="AF1688">
        <v>0.16408823481047299</v>
      </c>
      <c r="AG1688">
        <v>-0.170429199999999</v>
      </c>
      <c r="AH1688">
        <v>0.55242787017869799</v>
      </c>
      <c r="AI1688">
        <v>106.475002721892</v>
      </c>
      <c r="AJ1688">
        <v>73.4569452463777</v>
      </c>
      <c r="AK1688">
        <v>0.600955583022597</v>
      </c>
      <c r="AL1688">
        <v>69.036925009010204</v>
      </c>
      <c r="AM1688">
        <v>85.411165359662505</v>
      </c>
      <c r="AN1688">
        <v>0.99999995209451198</v>
      </c>
    </row>
    <row r="1689" spans="1:40" x14ac:dyDescent="0.25">
      <c r="A1689" t="str">
        <f>"20190304164402404"</f>
        <v>20190304164402404</v>
      </c>
      <c r="B1689" t="str">
        <f>"1551689042391217"</f>
        <v>1551689042391217</v>
      </c>
      <c r="C1689" t="s">
        <v>40</v>
      </c>
      <c r="D1689">
        <v>5.528702</v>
      </c>
      <c r="E1689">
        <v>0.56844879999999998</v>
      </c>
      <c r="F1689" t="s">
        <v>41</v>
      </c>
      <c r="G1689">
        <v>-194.22890000000001</v>
      </c>
      <c r="H1689">
        <v>0.94259630000000005</v>
      </c>
      <c r="I1689">
        <v>298.41989999999998</v>
      </c>
      <c r="J1689">
        <v>-193.9128</v>
      </c>
      <c r="K1689">
        <v>1.1069899999999999</v>
      </c>
      <c r="L1689">
        <v>298.93459999999999</v>
      </c>
      <c r="M1689">
        <v>-0.25691000000000003</v>
      </c>
      <c r="N1689">
        <v>-1.3446799999999899E-2</v>
      </c>
      <c r="O1689">
        <v>-0.96634200000000003</v>
      </c>
      <c r="P1689">
        <v>-0.30907810000000002</v>
      </c>
      <c r="Q1689">
        <v>0.34592450000000002</v>
      </c>
      <c r="R1689">
        <v>-0.8858935</v>
      </c>
      <c r="S1689">
        <v>-1.5964969999999901</v>
      </c>
      <c r="T1689">
        <v>-0.68785200000000002</v>
      </c>
      <c r="U1689">
        <v>-3.1011959999999998</v>
      </c>
      <c r="V1689">
        <v>7.4591989999999997E-2</v>
      </c>
      <c r="W1689">
        <v>0.35776079999999999</v>
      </c>
      <c r="X1689">
        <v>0.93082929999999997</v>
      </c>
      <c r="Y1689">
        <v>0.20594119999999999</v>
      </c>
      <c r="Z1689">
        <v>0.17990970000000001</v>
      </c>
      <c r="AA1689">
        <v>0.96188399999999996</v>
      </c>
      <c r="AB1689">
        <v>24</v>
      </c>
      <c r="AC1689">
        <v>-0.31610000000000499</v>
      </c>
      <c r="AD1689">
        <v>-0.164393699999999</v>
      </c>
      <c r="AE1689">
        <v>-0.51470000000000404</v>
      </c>
      <c r="AF1689">
        <v>0.16129665573243801</v>
      </c>
      <c r="AG1689">
        <v>-0.164393699999999</v>
      </c>
      <c r="AH1689">
        <v>0.53873100414610697</v>
      </c>
      <c r="AI1689">
        <v>106.295157171713</v>
      </c>
      <c r="AJ1689">
        <v>73.332242045120495</v>
      </c>
      <c r="AK1689">
        <v>0.58589503716828994</v>
      </c>
      <c r="AL1689">
        <v>69.037256737060602</v>
      </c>
      <c r="AM1689">
        <v>85.418394056983701</v>
      </c>
      <c r="AN1689">
        <v>0.99999997036364396</v>
      </c>
    </row>
    <row r="1690" spans="1:40" x14ac:dyDescent="0.25">
      <c r="A1690" t="str">
        <f>"20190304164402428"</f>
        <v>20190304164402428</v>
      </c>
      <c r="B1690" t="str">
        <f>"1551689042421474"</f>
        <v>1551689042421474</v>
      </c>
      <c r="C1690" t="s">
        <v>40</v>
      </c>
      <c r="D1690">
        <v>5.5338989999999999</v>
      </c>
      <c r="E1690">
        <v>0.56851499999999999</v>
      </c>
      <c r="F1690" t="s">
        <v>41</v>
      </c>
      <c r="G1690">
        <v>-194.2919</v>
      </c>
      <c r="H1690">
        <v>0.94629099999999999</v>
      </c>
      <c r="I1690">
        <v>298.21129999999999</v>
      </c>
      <c r="J1690">
        <v>-193.98830000000001</v>
      </c>
      <c r="K1690">
        <v>1.1068990000000001</v>
      </c>
      <c r="L1690">
        <v>298.68099999999998</v>
      </c>
      <c r="M1690">
        <v>-0.26348860000000002</v>
      </c>
      <c r="N1690">
        <v>-1.3550390000000001E-2</v>
      </c>
      <c r="O1690">
        <v>-0.96456750000000002</v>
      </c>
      <c r="P1690">
        <v>-0.31560260000000001</v>
      </c>
      <c r="Q1690">
        <v>0.345771299999999</v>
      </c>
      <c r="R1690">
        <v>-0.88365049999999901</v>
      </c>
      <c r="S1690">
        <v>-1.61937</v>
      </c>
      <c r="T1690">
        <v>-0.68644919999999998</v>
      </c>
      <c r="U1690">
        <v>-3.0894780000000002</v>
      </c>
      <c r="V1690">
        <v>7.5186859999999994E-2</v>
      </c>
      <c r="W1690">
        <v>0.35768070000000002</v>
      </c>
      <c r="X1690">
        <v>0.93081230000000004</v>
      </c>
      <c r="Y1690">
        <v>0.2064124</v>
      </c>
      <c r="Z1690">
        <v>0.17926989999999901</v>
      </c>
      <c r="AA1690">
        <v>0.96190240000000005</v>
      </c>
      <c r="AB1690">
        <v>24</v>
      </c>
      <c r="AC1690">
        <v>-0.30359999999998799</v>
      </c>
      <c r="AD1690">
        <v>-0.160608</v>
      </c>
      <c r="AE1690">
        <v>-0.46969999999998802</v>
      </c>
      <c r="AF1690">
        <v>0.15621501684253999</v>
      </c>
      <c r="AG1690">
        <v>-0.160608</v>
      </c>
      <c r="AH1690">
        <v>0.49248740981267197</v>
      </c>
      <c r="AI1690">
        <v>107.267999003957</v>
      </c>
      <c r="AJ1690">
        <v>72.401183031455702</v>
      </c>
      <c r="AK1690">
        <v>0.54105629094864904</v>
      </c>
      <c r="AL1690">
        <v>69.042172916921899</v>
      </c>
      <c r="AM1690">
        <v>85.381929255763794</v>
      </c>
      <c r="AN1690">
        <v>1.00000004245021</v>
      </c>
    </row>
    <row r="1691" spans="1:40" x14ac:dyDescent="0.25">
      <c r="A1691" t="str">
        <f>"20190304164402450"</f>
        <v>20190304164402450</v>
      </c>
      <c r="B1691" t="str">
        <f>"1551689042441969"</f>
        <v>1551689042441969</v>
      </c>
      <c r="C1691" t="s">
        <v>40</v>
      </c>
      <c r="D1691">
        <v>5.5229150000000002</v>
      </c>
      <c r="E1691">
        <v>0.56845679999999998</v>
      </c>
      <c r="F1691" t="s">
        <v>41</v>
      </c>
      <c r="G1691">
        <v>-194.3519</v>
      </c>
      <c r="H1691">
        <v>0.95454969999999995</v>
      </c>
      <c r="I1691">
        <v>298</v>
      </c>
      <c r="J1691">
        <v>-194.0582</v>
      </c>
      <c r="K1691">
        <v>1.1067990000000001</v>
      </c>
      <c r="L1691">
        <v>298.45190000000002</v>
      </c>
      <c r="M1691">
        <v>-0.26960719999999999</v>
      </c>
      <c r="N1691">
        <v>-1.363556E-2</v>
      </c>
      <c r="O1691">
        <v>-0.96287389999999995</v>
      </c>
      <c r="P1691">
        <v>-0.32134829999999998</v>
      </c>
      <c r="Q1691">
        <v>0.34608440000000001</v>
      </c>
      <c r="R1691">
        <v>-0.88145399999999996</v>
      </c>
      <c r="S1691">
        <v>-1.6429290000000001</v>
      </c>
      <c r="T1691">
        <v>-0.68835400000000002</v>
      </c>
      <c r="U1691">
        <v>-3.0775760000000001</v>
      </c>
      <c r="V1691">
        <v>7.5468670000000002E-2</v>
      </c>
      <c r="W1691">
        <v>0.35804979999999997</v>
      </c>
      <c r="X1691">
        <v>0.93064760000000002</v>
      </c>
      <c r="Y1691">
        <v>0.20744750000000001</v>
      </c>
      <c r="Z1691">
        <v>0.17954329999999999</v>
      </c>
      <c r="AA1691">
        <v>0.9616287</v>
      </c>
      <c r="AB1691">
        <v>24</v>
      </c>
      <c r="AC1691">
        <v>-0.29370000000000102</v>
      </c>
      <c r="AD1691">
        <v>-0.1522493</v>
      </c>
      <c r="AE1691">
        <v>-0.45190000000002301</v>
      </c>
      <c r="AF1691">
        <v>0.14907898300171499</v>
      </c>
      <c r="AG1691">
        <v>-0.1522493</v>
      </c>
      <c r="AH1691">
        <v>0.47634192187271301</v>
      </c>
      <c r="AI1691">
        <v>106.96339164616001</v>
      </c>
      <c r="AJ1691">
        <v>72.621636980019503</v>
      </c>
      <c r="AK1691">
        <v>0.52182949232168296</v>
      </c>
      <c r="AL1691">
        <v>69.019525706189299</v>
      </c>
      <c r="AM1691">
        <v>85.363878670451598</v>
      </c>
      <c r="AN1691">
        <v>1.00000006740868</v>
      </c>
    </row>
    <row r="1692" spans="1:40" x14ac:dyDescent="0.25">
      <c r="A1692" t="str">
        <f>"20190304164402472"</f>
        <v>20190304164402472</v>
      </c>
      <c r="B1692" t="str">
        <f>"1551689042461489"</f>
        <v>1551689042461489</v>
      </c>
      <c r="C1692" t="s">
        <v>40</v>
      </c>
      <c r="D1692">
        <v>5.595415</v>
      </c>
      <c r="E1692">
        <v>0.56843219999999905</v>
      </c>
      <c r="F1692" t="s">
        <v>41</v>
      </c>
      <c r="G1692">
        <v>-194.41640000000001</v>
      </c>
      <c r="H1692">
        <v>0.95867259999999999</v>
      </c>
      <c r="I1692">
        <v>297.7921</v>
      </c>
      <c r="J1692">
        <v>-194.1275</v>
      </c>
      <c r="K1692">
        <v>1.106692</v>
      </c>
      <c r="L1692">
        <v>298.23090000000002</v>
      </c>
      <c r="M1692">
        <v>-0.2756884</v>
      </c>
      <c r="N1692">
        <v>-1.371083E-2</v>
      </c>
      <c r="O1692">
        <v>-0.96114929999999998</v>
      </c>
      <c r="P1692">
        <v>-0.32741229999999999</v>
      </c>
      <c r="Q1692">
        <v>0.34605930000000001</v>
      </c>
      <c r="R1692">
        <v>-0.87922929999999999</v>
      </c>
      <c r="S1692">
        <v>-1.6651</v>
      </c>
      <c r="T1692">
        <v>-0.68869939999999996</v>
      </c>
      <c r="U1692">
        <v>-3.0668639999999998</v>
      </c>
      <c r="V1692">
        <v>7.6098139999999995E-2</v>
      </c>
      <c r="W1692">
        <v>0.35806719999999997</v>
      </c>
      <c r="X1692">
        <v>0.93058960000000002</v>
      </c>
      <c r="Y1692">
        <v>0.20805580000000001</v>
      </c>
      <c r="Z1692">
        <v>0.17935619999999999</v>
      </c>
      <c r="AA1692">
        <v>0.96153219999999995</v>
      </c>
      <c r="AB1692">
        <v>24</v>
      </c>
      <c r="AC1692">
        <v>-0.28890000000001198</v>
      </c>
      <c r="AD1692">
        <v>-0.148019399999999</v>
      </c>
      <c r="AE1692">
        <v>-0.43880000000001401</v>
      </c>
      <c r="AF1692">
        <v>0.14519316357050299</v>
      </c>
      <c r="AG1692">
        <v>-0.148019399999999</v>
      </c>
      <c r="AH1692">
        <v>0.46456809974358698</v>
      </c>
      <c r="AI1692">
        <v>106.91508561855601</v>
      </c>
      <c r="AJ1692">
        <v>72.644218943595902</v>
      </c>
      <c r="AK1692">
        <v>0.50873796479458699</v>
      </c>
      <c r="AL1692">
        <v>69.0184570387176</v>
      </c>
      <c r="AM1692">
        <v>85.325090262565894</v>
      </c>
      <c r="AN1692">
        <v>1.0000000251277199</v>
      </c>
    </row>
    <row r="1693" spans="1:40" x14ac:dyDescent="0.25">
      <c r="A1693" t="str">
        <f>"20190304164402497"</f>
        <v>20190304164402497</v>
      </c>
      <c r="B1693" t="str">
        <f>"1551689042491745"</f>
        <v>1551689042491745</v>
      </c>
      <c r="C1693" t="s">
        <v>40</v>
      </c>
      <c r="D1693">
        <v>5.6156899999999998</v>
      </c>
      <c r="E1693">
        <v>0.57051039999999997</v>
      </c>
      <c r="F1693" t="s">
        <v>41</v>
      </c>
      <c r="G1693">
        <v>-194.4837</v>
      </c>
      <c r="H1693">
        <v>0.96119929999999998</v>
      </c>
      <c r="I1693">
        <v>297.58609999999999</v>
      </c>
      <c r="J1693">
        <v>-194.20840000000001</v>
      </c>
      <c r="K1693">
        <v>1.106563</v>
      </c>
      <c r="L1693">
        <v>297.97949999999997</v>
      </c>
      <c r="M1693">
        <v>-0.28283989999999998</v>
      </c>
      <c r="N1693">
        <v>-1.3788709999999999E-2</v>
      </c>
      <c r="O1693">
        <v>-0.95906820000000004</v>
      </c>
      <c r="P1693">
        <v>-0.33427810000000002</v>
      </c>
      <c r="Q1693">
        <v>0.34600389999999998</v>
      </c>
      <c r="R1693">
        <v>-0.87666429999999995</v>
      </c>
      <c r="S1693">
        <v>-1.687195</v>
      </c>
      <c r="T1693">
        <v>-0.68917680000000003</v>
      </c>
      <c r="U1693">
        <v>-3.0550229999999998</v>
      </c>
      <c r="V1693">
        <v>7.6560630000000005E-2</v>
      </c>
      <c r="W1693">
        <v>0.3580547</v>
      </c>
      <c r="X1693">
        <v>0.93055650000000001</v>
      </c>
      <c r="Y1693">
        <v>0.20768809999999999</v>
      </c>
      <c r="Z1693">
        <v>0.17917910000000001</v>
      </c>
      <c r="AA1693">
        <v>0.96164470000000002</v>
      </c>
      <c r="AB1693">
        <v>24</v>
      </c>
      <c r="AC1693">
        <v>-0.275299999999987</v>
      </c>
      <c r="AD1693">
        <v>-0.14536369999999901</v>
      </c>
      <c r="AE1693">
        <v>-0.39339999999998498</v>
      </c>
      <c r="AF1693">
        <v>0.139950108435829</v>
      </c>
      <c r="AG1693">
        <v>-0.14536369999999901</v>
      </c>
      <c r="AH1693">
        <v>0.41698877263713502</v>
      </c>
      <c r="AI1693">
        <v>108.28803467381</v>
      </c>
      <c r="AJ1693">
        <v>71.447175899710402</v>
      </c>
      <c r="AK1693">
        <v>0.46324537195131799</v>
      </c>
      <c r="AL1693">
        <v>69.0192246169794</v>
      </c>
      <c r="AM1693">
        <v>85.296638812992597</v>
      </c>
      <c r="AN1693">
        <v>1.0000000489751599</v>
      </c>
    </row>
    <row r="1694" spans="1:40" x14ac:dyDescent="0.25">
      <c r="A1694" t="str">
        <f>"20190304164402517"</f>
        <v>20190304164402517</v>
      </c>
      <c r="B1694" t="str">
        <f>"1551689042511265"</f>
        <v>1551689042511265</v>
      </c>
      <c r="C1694" t="s">
        <v>40</v>
      </c>
      <c r="D1694">
        <v>5.4919859999999998</v>
      </c>
      <c r="E1694">
        <v>0.56994690000000003</v>
      </c>
      <c r="F1694" t="s">
        <v>41</v>
      </c>
      <c r="G1694">
        <v>-194.65369999999999</v>
      </c>
      <c r="H1694">
        <v>0.93504609999999999</v>
      </c>
      <c r="I1694">
        <v>297.19889999999998</v>
      </c>
      <c r="J1694">
        <v>-194.279</v>
      </c>
      <c r="K1694">
        <v>1.106452</v>
      </c>
      <c r="L1694">
        <v>297.76600000000002</v>
      </c>
      <c r="M1694">
        <v>-0.28910730000000001</v>
      </c>
      <c r="N1694">
        <v>-1.384936E-2</v>
      </c>
      <c r="O1694">
        <v>-0.95719650000000001</v>
      </c>
      <c r="P1694">
        <v>-0.3408099</v>
      </c>
      <c r="Q1694">
        <v>0.3464836</v>
      </c>
      <c r="R1694">
        <v>-0.87395519999999904</v>
      </c>
      <c r="S1694">
        <v>-1.7256769999999999</v>
      </c>
      <c r="T1694">
        <v>-0.66478979999999999</v>
      </c>
      <c r="U1694">
        <v>-3.0264280000000001</v>
      </c>
      <c r="V1694">
        <v>7.7583630000000001E-2</v>
      </c>
      <c r="W1694">
        <v>0.35855550000000003</v>
      </c>
      <c r="X1694">
        <v>0.93027879999999996</v>
      </c>
      <c r="Y1694">
        <v>0.21497630000000001</v>
      </c>
      <c r="Z1694">
        <v>0.1729002</v>
      </c>
      <c r="AA1694">
        <v>0.96119239999999995</v>
      </c>
      <c r="AB1694">
        <v>24</v>
      </c>
      <c r="AC1694">
        <v>-0.37469999999996101</v>
      </c>
      <c r="AD1694">
        <v>-0.1714059</v>
      </c>
      <c r="AE1694">
        <v>-0.56709999999998195</v>
      </c>
      <c r="AF1694">
        <v>0.18308461346639299</v>
      </c>
      <c r="AG1694">
        <v>-0.1714059</v>
      </c>
      <c r="AH1694">
        <v>0.61228053731937804</v>
      </c>
      <c r="AI1694">
        <v>105.01407271750099</v>
      </c>
      <c r="AJ1694">
        <v>73.352241438070607</v>
      </c>
      <c r="AK1694">
        <v>0.66165505712799899</v>
      </c>
      <c r="AL1694">
        <v>68.988488224360296</v>
      </c>
      <c r="AM1694">
        <v>85.232664158349706</v>
      </c>
      <c r="AN1694">
        <v>0.999999955976832</v>
      </c>
    </row>
    <row r="1695" spans="1:40" x14ac:dyDescent="0.25">
      <c r="A1695" t="str">
        <f>"20190304164402538"</f>
        <v>20190304164402538</v>
      </c>
      <c r="B1695" t="str">
        <f>"1551689042531761"</f>
        <v>1551689042531761</v>
      </c>
      <c r="C1695" t="s">
        <v>40</v>
      </c>
      <c r="D1695">
        <v>5.4680410000000004</v>
      </c>
      <c r="E1695">
        <v>0.5699632</v>
      </c>
      <c r="F1695" t="s">
        <v>41</v>
      </c>
      <c r="G1695">
        <v>-194.7235</v>
      </c>
      <c r="H1695">
        <v>0.93371700000000002</v>
      </c>
      <c r="I1695">
        <v>296.99669999999998</v>
      </c>
      <c r="J1695">
        <v>-194.35149999999999</v>
      </c>
      <c r="K1695">
        <v>1.106357</v>
      </c>
      <c r="L1695">
        <v>297.55220000000003</v>
      </c>
      <c r="M1695">
        <v>-0.29553109999999999</v>
      </c>
      <c r="N1695">
        <v>-1.3904430000000001E-2</v>
      </c>
      <c r="O1695">
        <v>-0.95523199999999997</v>
      </c>
      <c r="P1695">
        <v>-0.34698469999999998</v>
      </c>
      <c r="Q1695">
        <v>0.34691660000000002</v>
      </c>
      <c r="R1695">
        <v>-0.87135019999999996</v>
      </c>
      <c r="S1695">
        <v>-1.7456509999999901</v>
      </c>
      <c r="T1695">
        <v>-0.67846309999999999</v>
      </c>
      <c r="U1695">
        <v>-3.0208439999999999</v>
      </c>
      <c r="V1695">
        <v>7.8061989999999998E-2</v>
      </c>
      <c r="W1695">
        <v>0.35901349999999999</v>
      </c>
      <c r="X1695">
        <v>0.93006219999999995</v>
      </c>
      <c r="Y1695">
        <v>0.21365999999999999</v>
      </c>
      <c r="Z1695">
        <v>0.17603679999999999</v>
      </c>
      <c r="AA1695">
        <v>0.96091649999999995</v>
      </c>
      <c r="AB1695">
        <v>24</v>
      </c>
      <c r="AC1695">
        <v>-0.37200000000001399</v>
      </c>
      <c r="AD1695">
        <v>-0.17263999999999999</v>
      </c>
      <c r="AE1695">
        <v>-0.55550000000005095</v>
      </c>
      <c r="AF1695">
        <v>0.17924480598145201</v>
      </c>
      <c r="AG1695">
        <v>-0.17263999999999999</v>
      </c>
      <c r="AH1695">
        <v>0.600582645894711</v>
      </c>
      <c r="AI1695">
        <v>105.40012810341101</v>
      </c>
      <c r="AJ1695">
        <v>73.382185954122605</v>
      </c>
      <c r="AK1695">
        <v>0.65010213399220695</v>
      </c>
      <c r="AL1695">
        <v>68.960376656367799</v>
      </c>
      <c r="AM1695">
        <v>85.202294909875206</v>
      </c>
      <c r="AN1695">
        <v>1.00000003166692</v>
      </c>
    </row>
    <row r="1696" spans="1:40" x14ac:dyDescent="0.25">
      <c r="A1696" t="str">
        <f>"20190304164402561"</f>
        <v>20190304164402561</v>
      </c>
      <c r="B1696" t="str">
        <f>"1551689042551282"</f>
        <v>1551689042551282</v>
      </c>
      <c r="C1696" t="s">
        <v>40</v>
      </c>
      <c r="D1696">
        <v>5.5002909999999998</v>
      </c>
      <c r="E1696">
        <v>0.56998850000000001</v>
      </c>
      <c r="F1696" t="s">
        <v>41</v>
      </c>
      <c r="G1696">
        <v>-194.79669999999999</v>
      </c>
      <c r="H1696">
        <v>0.93471740000000003</v>
      </c>
      <c r="I1696">
        <v>296.7946</v>
      </c>
      <c r="J1696">
        <v>-194.43440000000001</v>
      </c>
      <c r="K1696">
        <v>1.1062700000000001</v>
      </c>
      <c r="L1696">
        <v>297.3143</v>
      </c>
      <c r="M1696">
        <v>-0.3028537</v>
      </c>
      <c r="N1696">
        <v>-1.395854E-2</v>
      </c>
      <c r="O1696">
        <v>-0.95293490000000003</v>
      </c>
      <c r="P1696">
        <v>-0.35328579999999998</v>
      </c>
      <c r="Q1696">
        <v>0.34725800000000001</v>
      </c>
      <c r="R1696">
        <v>-0.86867830000000001</v>
      </c>
      <c r="S1696">
        <v>-1.7689060000000001</v>
      </c>
      <c r="T1696">
        <v>-0.68186429999999998</v>
      </c>
      <c r="U1696">
        <v>-3.01004</v>
      </c>
      <c r="V1696">
        <v>7.7785720000000003E-2</v>
      </c>
      <c r="W1696">
        <v>0.35938949999999997</v>
      </c>
      <c r="X1696">
        <v>0.92993999999999999</v>
      </c>
      <c r="Y1696">
        <v>0.21313940000000001</v>
      </c>
      <c r="Z1696">
        <v>0.1765235</v>
      </c>
      <c r="AA1696">
        <v>0.96094279999999999</v>
      </c>
      <c r="AB1696">
        <v>24</v>
      </c>
      <c r="AC1696">
        <v>-0.36229999999997597</v>
      </c>
      <c r="AD1696">
        <v>-0.171552599999999</v>
      </c>
      <c r="AE1696">
        <v>-0.51970000000000005</v>
      </c>
      <c r="AF1696">
        <v>0.17503826765645</v>
      </c>
      <c r="AG1696">
        <v>-0.171552599999999</v>
      </c>
      <c r="AH1696">
        <v>0.56368869719276404</v>
      </c>
      <c r="AI1696">
        <v>106.2064456061</v>
      </c>
      <c r="AJ1696">
        <v>72.749232879490194</v>
      </c>
      <c r="AK1696">
        <v>0.61466546759502205</v>
      </c>
      <c r="AL1696">
        <v>68.937290305757898</v>
      </c>
      <c r="AM1696">
        <v>85.218570361174201</v>
      </c>
      <c r="AN1696">
        <v>0.99999991727308002</v>
      </c>
    </row>
    <row r="1697" spans="1:40" x14ac:dyDescent="0.25">
      <c r="A1697" t="str">
        <f>"20190304164402583"</f>
        <v>20190304164402583</v>
      </c>
      <c r="B1697" t="str">
        <f>"1551689042571777"</f>
        <v>1551689042571777</v>
      </c>
      <c r="C1697" t="s">
        <v>40</v>
      </c>
      <c r="D1697">
        <v>5.5115829999999999</v>
      </c>
      <c r="E1697">
        <v>0.5700229</v>
      </c>
      <c r="F1697" t="s">
        <v>41</v>
      </c>
      <c r="G1697">
        <v>-194.86859999999999</v>
      </c>
      <c r="H1697">
        <v>0.9423127</v>
      </c>
      <c r="I1697">
        <v>296.58949999999999</v>
      </c>
      <c r="J1697">
        <v>-194.51230000000001</v>
      </c>
      <c r="K1697">
        <v>1.1062000000000001</v>
      </c>
      <c r="L1697">
        <v>297.09589999999997</v>
      </c>
      <c r="M1697">
        <v>-0.3097143</v>
      </c>
      <c r="N1697">
        <v>-1.4002809999999999E-2</v>
      </c>
      <c r="O1697">
        <v>-0.95072659999999998</v>
      </c>
      <c r="P1697">
        <v>-0.3594309</v>
      </c>
      <c r="Q1697">
        <v>0.34725790000000001</v>
      </c>
      <c r="R1697">
        <v>-0.86615350000000002</v>
      </c>
      <c r="S1697">
        <v>-1.7942499999999999</v>
      </c>
      <c r="T1697">
        <v>-0.67752400000000002</v>
      </c>
      <c r="U1697">
        <v>-2.994659</v>
      </c>
      <c r="V1697">
        <v>7.7737669999999995E-2</v>
      </c>
      <c r="W1697">
        <v>0.35941800000000002</v>
      </c>
      <c r="X1697">
        <v>0.92993309999999996</v>
      </c>
      <c r="Y1697">
        <v>0.2143851</v>
      </c>
      <c r="Z1697">
        <v>0.17514289999999999</v>
      </c>
      <c r="AA1697">
        <v>0.9609183</v>
      </c>
      <c r="AB1697">
        <v>24</v>
      </c>
      <c r="AC1697">
        <v>-0.35629999999997602</v>
      </c>
      <c r="AD1697">
        <v>-0.16388730000000001</v>
      </c>
      <c r="AE1697">
        <v>-0.50639999999998497</v>
      </c>
      <c r="AF1697">
        <v>0.17001193503411799</v>
      </c>
      <c r="AG1697">
        <v>-0.16388730000000001</v>
      </c>
      <c r="AH1697">
        <v>0.55310826840943506</v>
      </c>
      <c r="AI1697">
        <v>105.8134379047</v>
      </c>
      <c r="AJ1697">
        <v>72.9138539465674</v>
      </c>
      <c r="AK1697">
        <v>0.60140823218361295</v>
      </c>
      <c r="AL1697">
        <v>68.935542440608501</v>
      </c>
      <c r="AM1697">
        <v>85.221474985589396</v>
      </c>
      <c r="AN1697">
        <v>1.00000000726831</v>
      </c>
    </row>
    <row r="1698" spans="1:40" x14ac:dyDescent="0.25">
      <c r="A1698" t="str">
        <f>"20190304164402603"</f>
        <v>20190304164402603</v>
      </c>
      <c r="B1698" t="str">
        <f>"1551689042591297"</f>
        <v>1551689042591297</v>
      </c>
      <c r="C1698" t="s">
        <v>40</v>
      </c>
      <c r="D1698">
        <v>5.511552</v>
      </c>
      <c r="E1698">
        <v>0.56999730000000004</v>
      </c>
      <c r="F1698" t="s">
        <v>41</v>
      </c>
      <c r="G1698">
        <v>-194.94390000000001</v>
      </c>
      <c r="H1698">
        <v>0.94559479999999996</v>
      </c>
      <c r="I1698">
        <v>296.38780000000003</v>
      </c>
      <c r="J1698">
        <v>-194.59049999999999</v>
      </c>
      <c r="K1698">
        <v>1.1061379999999901</v>
      </c>
      <c r="L1698">
        <v>296.88200000000001</v>
      </c>
      <c r="M1698">
        <v>-0.31656089999999998</v>
      </c>
      <c r="N1698">
        <v>-1.4042550000000001E-2</v>
      </c>
      <c r="O1698">
        <v>-0.94846830000000004</v>
      </c>
      <c r="P1698">
        <v>-0.36628939999999999</v>
      </c>
      <c r="Q1698">
        <v>0.34769309999999998</v>
      </c>
      <c r="R1698">
        <v>-0.86310010000000004</v>
      </c>
      <c r="S1698">
        <v>-1.816071</v>
      </c>
      <c r="T1698">
        <v>-0.67575260000000004</v>
      </c>
      <c r="U1698">
        <v>-2.9808650000000001</v>
      </c>
      <c r="V1698">
        <v>7.8534209999999993E-2</v>
      </c>
      <c r="W1698">
        <v>0.35986469999999998</v>
      </c>
      <c r="X1698">
        <v>0.9296934</v>
      </c>
      <c r="Y1698">
        <v>0.2145118</v>
      </c>
      <c r="Z1698">
        <v>0.1744243</v>
      </c>
      <c r="AA1698">
        <v>0.96102069999999995</v>
      </c>
      <c r="AB1698">
        <v>24</v>
      </c>
      <c r="AC1698">
        <v>-0.35340000000002098</v>
      </c>
      <c r="AD1698">
        <v>-0.160543199999999</v>
      </c>
      <c r="AE1698">
        <v>-0.49419999999997699</v>
      </c>
      <c r="AF1698">
        <v>0.16709456059636099</v>
      </c>
      <c r="AG1698">
        <v>-0.160543199999999</v>
      </c>
      <c r="AH1698">
        <v>0.54276442223265697</v>
      </c>
      <c r="AI1698">
        <v>105.78531957493399</v>
      </c>
      <c r="AJ1698">
        <v>72.888580595495895</v>
      </c>
      <c r="AK1698">
        <v>0.59015924061958103</v>
      </c>
      <c r="AL1698">
        <v>68.908113446479703</v>
      </c>
      <c r="AM1698">
        <v>85.171503267378</v>
      </c>
      <c r="AN1698">
        <v>1.00000002122498</v>
      </c>
    </row>
    <row r="1699" spans="1:40" x14ac:dyDescent="0.25">
      <c r="A1699" t="str">
        <f>"20190304164402627"</f>
        <v>20190304164402627</v>
      </c>
      <c r="B1699" t="str">
        <f>"1551689042621553"</f>
        <v>1551689042621553</v>
      </c>
      <c r="C1699" t="s">
        <v>40</v>
      </c>
      <c r="D1699">
        <v>5.457433</v>
      </c>
      <c r="E1699">
        <v>0.56975779999999998</v>
      </c>
      <c r="F1699" t="s">
        <v>41</v>
      </c>
      <c r="G1699">
        <v>-195.02090000000001</v>
      </c>
      <c r="H1699">
        <v>0.94824339999999996</v>
      </c>
      <c r="I1699">
        <v>296.18720000000002</v>
      </c>
      <c r="J1699">
        <v>-194.6765</v>
      </c>
      <c r="K1699">
        <v>1.106066</v>
      </c>
      <c r="L1699">
        <v>296.65249999999997</v>
      </c>
      <c r="M1699">
        <v>-0.3240324</v>
      </c>
      <c r="N1699">
        <v>-1.408182E-2</v>
      </c>
      <c r="O1699">
        <v>-0.94594140000000004</v>
      </c>
      <c r="P1699">
        <v>-0.37454789999999999</v>
      </c>
      <c r="Q1699">
        <v>0.34748659999999998</v>
      </c>
      <c r="R1699">
        <v>-0.85963230000000002</v>
      </c>
      <c r="S1699">
        <v>-1.8381350000000001</v>
      </c>
      <c r="T1699">
        <v>-0.674288</v>
      </c>
      <c r="U1699">
        <v>-2.967346</v>
      </c>
      <c r="V1699">
        <v>8.0157149999999996E-2</v>
      </c>
      <c r="W1699">
        <v>0.35966140000000002</v>
      </c>
      <c r="X1699">
        <v>0.92963359999999995</v>
      </c>
      <c r="Y1699">
        <v>0.21399650000000001</v>
      </c>
      <c r="Z1699">
        <v>0.17370620000000001</v>
      </c>
      <c r="AA1699">
        <v>0.96126560000000005</v>
      </c>
      <c r="AB1699">
        <v>24</v>
      </c>
      <c r="AC1699">
        <v>-0.34440000000000698</v>
      </c>
      <c r="AD1699">
        <v>-0.15782259999999901</v>
      </c>
      <c r="AE1699">
        <v>-0.46529999999995603</v>
      </c>
      <c r="AF1699">
        <v>0.16291811908669299</v>
      </c>
      <c r="AG1699">
        <v>-0.15782259999999901</v>
      </c>
      <c r="AH1699">
        <v>0.51362212966204501</v>
      </c>
      <c r="AI1699">
        <v>106.324912838226</v>
      </c>
      <c r="AJ1699">
        <v>72.401258592683803</v>
      </c>
      <c r="AK1699">
        <v>0.56147838665088401</v>
      </c>
      <c r="AL1699">
        <v>68.920598442790904</v>
      </c>
      <c r="AM1699">
        <v>85.071891481304505</v>
      </c>
      <c r="AN1699">
        <v>1.0000000607975099</v>
      </c>
    </row>
    <row r="1700" spans="1:40" x14ac:dyDescent="0.25">
      <c r="A1700" t="str">
        <f>"20190304164402650"</f>
        <v>20190304164402650</v>
      </c>
      <c r="B1700" t="str">
        <f>"1551689042641074"</f>
        <v>1551689042641074</v>
      </c>
      <c r="C1700" t="s">
        <v>40</v>
      </c>
      <c r="D1700">
        <v>5.4306960000000002</v>
      </c>
      <c r="E1700">
        <v>0.56547190000000003</v>
      </c>
      <c r="F1700" t="s">
        <v>41</v>
      </c>
      <c r="G1700">
        <v>-195.09649999999999</v>
      </c>
      <c r="H1700">
        <v>0.95255529999999999</v>
      </c>
      <c r="I1700">
        <v>295.98570000000001</v>
      </c>
      <c r="J1700">
        <v>-194.76650000000001</v>
      </c>
      <c r="K1700">
        <v>1.1060049999999999</v>
      </c>
      <c r="L1700">
        <v>296.41849999999999</v>
      </c>
      <c r="M1700">
        <v>-0.33176850000000002</v>
      </c>
      <c r="N1700">
        <v>-1.4118E-2</v>
      </c>
      <c r="O1700">
        <v>-0.94325539999999997</v>
      </c>
      <c r="P1700">
        <v>-0.38293430000000001</v>
      </c>
      <c r="Q1700">
        <v>0.34711829999999999</v>
      </c>
      <c r="R1700">
        <v>-0.85607869999999997</v>
      </c>
      <c r="S1700">
        <v>-1.860001</v>
      </c>
      <c r="T1700">
        <v>-0.679678</v>
      </c>
      <c r="U1700">
        <v>-2.9541930000000001</v>
      </c>
      <c r="V1700">
        <v>8.1647259999999999E-2</v>
      </c>
      <c r="W1700">
        <v>0.35929559999999999</v>
      </c>
      <c r="X1700">
        <v>0.92964530000000001</v>
      </c>
      <c r="Y1700">
        <v>0.2129085</v>
      </c>
      <c r="Z1700">
        <v>0.1747602</v>
      </c>
      <c r="AA1700">
        <v>0.96131619999999995</v>
      </c>
      <c r="AB1700">
        <v>24</v>
      </c>
      <c r="AC1700">
        <v>-0.32999999999998397</v>
      </c>
      <c r="AD1700">
        <v>-0.153449699999999</v>
      </c>
      <c r="AE1700">
        <v>-0.43279999999998597</v>
      </c>
      <c r="AF1700">
        <v>0.155352280583508</v>
      </c>
      <c r="AG1700">
        <v>-0.153449699999999</v>
      </c>
      <c r="AH1700">
        <v>0.47964784084710899</v>
      </c>
      <c r="AI1700">
        <v>106.927923068043</v>
      </c>
      <c r="AJ1700">
        <v>72.053472474803399</v>
      </c>
      <c r="AK1700">
        <v>0.52701346542747896</v>
      </c>
      <c r="AL1700">
        <v>68.943057141321304</v>
      </c>
      <c r="AM1700">
        <v>84.980805241854696</v>
      </c>
      <c r="AN1700">
        <v>0.99999999352847802</v>
      </c>
    </row>
    <row r="1701" spans="1:40" x14ac:dyDescent="0.25">
      <c r="A1701" t="str">
        <f>"20190304164402673"</f>
        <v>20190304164402673</v>
      </c>
      <c r="B1701" t="str">
        <f>"1551689042661099"</f>
        <v>1551689042661099</v>
      </c>
      <c r="C1701" t="s">
        <v>40</v>
      </c>
      <c r="D1701">
        <v>5.4320500000000003</v>
      </c>
      <c r="E1701">
        <v>0.56552550000000001</v>
      </c>
      <c r="F1701" t="s">
        <v>41</v>
      </c>
      <c r="G1701">
        <v>-195.16079999999999</v>
      </c>
      <c r="H1701">
        <v>0.94325320000000001</v>
      </c>
      <c r="I1701">
        <v>295.7878</v>
      </c>
      <c r="J1701">
        <v>-194.85640000000001</v>
      </c>
      <c r="K1701">
        <v>1.105947</v>
      </c>
      <c r="L1701">
        <v>296.19049999999999</v>
      </c>
      <c r="M1701">
        <v>-0.33940819999999999</v>
      </c>
      <c r="N1701">
        <v>-1.4149109999999999E-2</v>
      </c>
      <c r="O1701">
        <v>-0.9405327</v>
      </c>
      <c r="P1701">
        <v>-0.39050489999999999</v>
      </c>
      <c r="Q1701">
        <v>0.34742919999999999</v>
      </c>
      <c r="R1701">
        <v>-0.85252519999999998</v>
      </c>
      <c r="S1701">
        <v>-1.8648830000000001</v>
      </c>
      <c r="T1701">
        <v>-0.76970709999999998</v>
      </c>
      <c r="U1701">
        <v>-2.9822690000000001</v>
      </c>
      <c r="V1701">
        <v>8.244696E-2</v>
      </c>
      <c r="W1701">
        <v>0.35961199999999999</v>
      </c>
      <c r="X1701">
        <v>0.92945239999999996</v>
      </c>
      <c r="Y1701">
        <v>0.199708</v>
      </c>
      <c r="Z1701">
        <v>0.19620499999999999</v>
      </c>
      <c r="AA1701">
        <v>0.96001060000000005</v>
      </c>
      <c r="AB1701">
        <v>24</v>
      </c>
      <c r="AC1701">
        <v>-0.30439999999998602</v>
      </c>
      <c r="AD1701">
        <v>-0.1626938</v>
      </c>
      <c r="AE1701">
        <v>-0.40269999999998102</v>
      </c>
      <c r="AF1701">
        <v>0.13555330920538899</v>
      </c>
      <c r="AG1701">
        <v>-0.1626938</v>
      </c>
      <c r="AH1701">
        <v>0.43675064080771198</v>
      </c>
      <c r="AI1701">
        <v>109.58394326768401</v>
      </c>
      <c r="AJ1701">
        <v>72.757343170656299</v>
      </c>
      <c r="AK1701">
        <v>0.48538139070314501</v>
      </c>
      <c r="AL1701">
        <v>68.923631080971106</v>
      </c>
      <c r="AM1701">
        <v>84.930852813854699</v>
      </c>
      <c r="AN1701">
        <v>1.0000000278115</v>
      </c>
    </row>
    <row r="1702" spans="1:40" x14ac:dyDescent="0.25">
      <c r="A1702" t="str">
        <f>"20190304164402697"</f>
        <v>20190304164402697</v>
      </c>
      <c r="B1702" t="str">
        <f>"1551689042691356"</f>
        <v>1551689042691356</v>
      </c>
      <c r="C1702" t="s">
        <v>40</v>
      </c>
      <c r="D1702">
        <v>5.4572339999999997</v>
      </c>
      <c r="E1702">
        <v>0.5655057</v>
      </c>
      <c r="F1702" t="s">
        <v>41</v>
      </c>
      <c r="G1702">
        <v>-195.24090000000001</v>
      </c>
      <c r="H1702">
        <v>0.94962950000000002</v>
      </c>
      <c r="I1702">
        <v>295.5874</v>
      </c>
      <c r="J1702">
        <v>-194.94589999999999</v>
      </c>
      <c r="K1702">
        <v>1.105904</v>
      </c>
      <c r="L1702">
        <v>295.9692</v>
      </c>
      <c r="M1702">
        <v>-0.34691499999999997</v>
      </c>
      <c r="N1702">
        <v>-1.4175419999999999E-2</v>
      </c>
      <c r="O1702">
        <v>-0.9377896</v>
      </c>
      <c r="P1702">
        <v>-0.3981558</v>
      </c>
      <c r="Q1702">
        <v>0.34717429999999999</v>
      </c>
      <c r="R1702">
        <v>-0.84908309999999998</v>
      </c>
      <c r="S1702">
        <v>-1.8907320000000001</v>
      </c>
      <c r="T1702">
        <v>-0.76847140000000003</v>
      </c>
      <c r="U1702">
        <v>-2.9660639999999998</v>
      </c>
      <c r="V1702">
        <v>8.3381460000000004E-2</v>
      </c>
      <c r="W1702">
        <v>0.3593615</v>
      </c>
      <c r="X1702">
        <v>0.92946589999999996</v>
      </c>
      <c r="Y1702">
        <v>0.2002689</v>
      </c>
      <c r="Z1702">
        <v>0.19551499999999999</v>
      </c>
      <c r="AA1702">
        <v>0.96003450000000001</v>
      </c>
      <c r="AB1702">
        <v>24</v>
      </c>
      <c r="AC1702">
        <v>-0.29500000000001497</v>
      </c>
      <c r="AD1702">
        <v>-0.15627449999999901</v>
      </c>
      <c r="AE1702">
        <v>-0.38179999999999797</v>
      </c>
      <c r="AF1702">
        <v>0.13051812120165901</v>
      </c>
      <c r="AG1702">
        <v>-0.15627449999999901</v>
      </c>
      <c r="AH1702">
        <v>0.41671797852634901</v>
      </c>
      <c r="AI1702">
        <v>109.690771991763</v>
      </c>
      <c r="AJ1702">
        <v>72.609187123676605</v>
      </c>
      <c r="AK1702">
        <v>0.46380014331535901</v>
      </c>
      <c r="AL1702">
        <v>68.939011426443798</v>
      </c>
      <c r="AM1702">
        <v>84.873774757700005</v>
      </c>
      <c r="AN1702">
        <v>1.0000000074083899</v>
      </c>
    </row>
    <row r="1703" spans="1:40" x14ac:dyDescent="0.25">
      <c r="A1703" t="str">
        <f>"20190304164402718"</f>
        <v>20190304164402718</v>
      </c>
      <c r="B1703" t="str">
        <f>"1551689042711851"</f>
        <v>1551689042711851</v>
      </c>
      <c r="C1703" t="s">
        <v>40</v>
      </c>
      <c r="D1703">
        <v>5.433967</v>
      </c>
      <c r="E1703">
        <v>0.5655578</v>
      </c>
      <c r="F1703" t="s">
        <v>41</v>
      </c>
      <c r="G1703">
        <v>-195.43100000000001</v>
      </c>
      <c r="H1703">
        <v>0.9111745</v>
      </c>
      <c r="I1703">
        <v>295.22230000000002</v>
      </c>
      <c r="J1703">
        <v>-195.03890000000001</v>
      </c>
      <c r="K1703">
        <v>1.1058709999999901</v>
      </c>
      <c r="L1703">
        <v>295.74509999999998</v>
      </c>
      <c r="M1703">
        <v>-0.35459750000000001</v>
      </c>
      <c r="N1703">
        <v>-1.419836E-2</v>
      </c>
      <c r="O1703">
        <v>-0.93491139999999995</v>
      </c>
      <c r="P1703">
        <v>-0.4063774</v>
      </c>
      <c r="Q1703">
        <v>0.34739799999999998</v>
      </c>
      <c r="R1703">
        <v>-0.84508709999999898</v>
      </c>
      <c r="S1703">
        <v>-1.9146270000000001</v>
      </c>
      <c r="T1703">
        <v>-0.76858629999999994</v>
      </c>
      <c r="U1703">
        <v>-2.949646</v>
      </c>
      <c r="V1703">
        <v>8.484585E-2</v>
      </c>
      <c r="W1703">
        <v>0.35957909999999998</v>
      </c>
      <c r="X1703">
        <v>0.9292492</v>
      </c>
      <c r="Y1703">
        <v>0.20016539999999999</v>
      </c>
      <c r="Z1703">
        <v>0.19518579999999999</v>
      </c>
      <c r="AA1703">
        <v>0.96012310000000001</v>
      </c>
      <c r="AB1703">
        <v>24</v>
      </c>
      <c r="AC1703">
        <v>-0.39209999999996997</v>
      </c>
      <c r="AD1703">
        <v>-0.194696499999999</v>
      </c>
      <c r="AE1703">
        <v>-0.52279999999996096</v>
      </c>
      <c r="AF1703">
        <v>0.166439950130368</v>
      </c>
      <c r="AG1703">
        <v>-0.194696499999999</v>
      </c>
      <c r="AH1703">
        <v>0.57668506696844102</v>
      </c>
      <c r="AI1703">
        <v>107.971688300981</v>
      </c>
      <c r="AJ1703">
        <v>73.901067682688094</v>
      </c>
      <c r="AK1703">
        <v>0.63101081652856295</v>
      </c>
      <c r="AL1703">
        <v>68.925650885456207</v>
      </c>
      <c r="AM1703">
        <v>84.783027939310998</v>
      </c>
      <c r="AN1703">
        <v>1.00000001155983</v>
      </c>
    </row>
    <row r="1704" spans="1:40" x14ac:dyDescent="0.25">
      <c r="A1704" t="str">
        <f>"20190304164402740"</f>
        <v>20190304164402740</v>
      </c>
      <c r="B1704" t="str">
        <f>"1551689042731372"</f>
        <v>1551689042731372</v>
      </c>
      <c r="C1704" t="s">
        <v>40</v>
      </c>
      <c r="D1704">
        <v>5.430129</v>
      </c>
      <c r="E1704">
        <v>0.56548319999999996</v>
      </c>
      <c r="F1704" t="s">
        <v>41</v>
      </c>
      <c r="G1704">
        <v>-195.51570000000001</v>
      </c>
      <c r="H1704">
        <v>0.91764840000000003</v>
      </c>
      <c r="I1704">
        <v>295.02499999999998</v>
      </c>
      <c r="J1704">
        <v>-195.12960000000001</v>
      </c>
      <c r="K1704">
        <v>1.105858</v>
      </c>
      <c r="L1704">
        <v>295.53140000000002</v>
      </c>
      <c r="M1704">
        <v>-0.36197099999999999</v>
      </c>
      <c r="N1704">
        <v>-1.421733E-2</v>
      </c>
      <c r="O1704">
        <v>-0.93208100000000005</v>
      </c>
      <c r="P1704">
        <v>-0.41362589999999999</v>
      </c>
      <c r="Q1704">
        <v>0.34766180000000002</v>
      </c>
      <c r="R1704">
        <v>-0.84145409999999898</v>
      </c>
      <c r="S1704">
        <v>-1.940399</v>
      </c>
      <c r="T1704">
        <v>-0.76606859999999999</v>
      </c>
      <c r="U1704">
        <v>-2.9317929999999999</v>
      </c>
      <c r="V1704">
        <v>8.5552459999999997E-2</v>
      </c>
      <c r="W1704">
        <v>0.35984650000000001</v>
      </c>
      <c r="X1704">
        <v>0.92908089999999999</v>
      </c>
      <c r="Y1704">
        <v>0.20108400000000001</v>
      </c>
      <c r="Z1704">
        <v>0.19421920000000001</v>
      </c>
      <c r="AA1704">
        <v>0.96012710000000001</v>
      </c>
      <c r="AB1704">
        <v>24</v>
      </c>
      <c r="AC1704">
        <v>-0.386099999999998</v>
      </c>
      <c r="AD1704">
        <v>-0.1882096</v>
      </c>
      <c r="AE1704">
        <v>-0.50640000000004104</v>
      </c>
      <c r="AF1704">
        <v>0.16240559150094699</v>
      </c>
      <c r="AG1704">
        <v>-0.1882096</v>
      </c>
      <c r="AH1704">
        <v>0.56267344280796705</v>
      </c>
      <c r="AI1704">
        <v>107.81599914117</v>
      </c>
      <c r="AJ1704">
        <v>73.900164741039504</v>
      </c>
      <c r="AK1704">
        <v>0.61514212416668701</v>
      </c>
      <c r="AL1704">
        <v>68.909231139844806</v>
      </c>
      <c r="AM1704">
        <v>84.738875359670601</v>
      </c>
      <c r="AN1704">
        <v>1.00000002285955</v>
      </c>
    </row>
    <row r="1705" spans="1:40" x14ac:dyDescent="0.25">
      <c r="A1705" t="str">
        <f>"20190304164402762"</f>
        <v>20190304164402762</v>
      </c>
      <c r="B1705" t="str">
        <f>"1551689042751867"</f>
        <v>1551689042751867</v>
      </c>
      <c r="C1705" t="s">
        <v>40</v>
      </c>
      <c r="D1705">
        <v>5.4518440000000004</v>
      </c>
      <c r="E1705">
        <v>0.56549380000000005</v>
      </c>
      <c r="F1705" t="s">
        <v>41</v>
      </c>
      <c r="G1705">
        <v>-195.6028</v>
      </c>
      <c r="H1705">
        <v>0.92167679999999996</v>
      </c>
      <c r="I1705">
        <v>294.83</v>
      </c>
      <c r="J1705">
        <v>-195.22239999999999</v>
      </c>
      <c r="K1705">
        <v>1.105861</v>
      </c>
      <c r="L1705">
        <v>295.3175</v>
      </c>
      <c r="M1705">
        <v>-0.36938520000000002</v>
      </c>
      <c r="N1705">
        <v>-1.4233229999999999E-2</v>
      </c>
      <c r="O1705">
        <v>-0.92916759999999998</v>
      </c>
      <c r="P1705">
        <v>-0.42080580000000001</v>
      </c>
      <c r="Q1705">
        <v>0.34760170000000001</v>
      </c>
      <c r="R1705">
        <v>-0.83791190000000004</v>
      </c>
      <c r="S1705">
        <v>-1.9658359999999999</v>
      </c>
      <c r="T1705">
        <v>-0.76503779999999999</v>
      </c>
      <c r="U1705">
        <v>-2.9149780000000001</v>
      </c>
      <c r="V1705">
        <v>8.6090600000000003E-2</v>
      </c>
      <c r="W1705">
        <v>0.35979309999999998</v>
      </c>
      <c r="X1705">
        <v>0.92905190000000004</v>
      </c>
      <c r="Y1705">
        <v>0.20167019999999999</v>
      </c>
      <c r="Z1705">
        <v>0.19356000000000001</v>
      </c>
      <c r="AA1705">
        <v>0.96013729999999997</v>
      </c>
      <c r="AB1705">
        <v>24</v>
      </c>
      <c r="AC1705">
        <v>-0.38040000000000801</v>
      </c>
      <c r="AD1705">
        <v>-0.18418419999999999</v>
      </c>
      <c r="AE1705">
        <v>-0.48750000000001098</v>
      </c>
      <c r="AF1705">
        <v>0.15926708592598199</v>
      </c>
      <c r="AG1705">
        <v>-0.18418419999999999</v>
      </c>
      <c r="AH1705">
        <v>0.54517431733657595</v>
      </c>
      <c r="AI1705">
        <v>107.96733687084701</v>
      </c>
      <c r="AJ1705">
        <v>73.714818152038802</v>
      </c>
      <c r="AK1705">
        <v>0.59708027975507305</v>
      </c>
      <c r="AL1705">
        <v>68.912510961169204</v>
      </c>
      <c r="AM1705">
        <v>84.705805100967197</v>
      </c>
      <c r="AN1705">
        <v>1.0000000495547801</v>
      </c>
    </row>
    <row r="1706" spans="1:40" x14ac:dyDescent="0.25">
      <c r="A1706" t="str">
        <f>"20190304164402783"</f>
        <v>20190304164402783</v>
      </c>
      <c r="B1706" t="str">
        <f>"1551689042771895"</f>
        <v>1551689042771895</v>
      </c>
      <c r="C1706" t="s">
        <v>40</v>
      </c>
      <c r="D1706">
        <v>5.4204129999999999</v>
      </c>
      <c r="E1706">
        <v>0.56549510000000003</v>
      </c>
      <c r="F1706" t="s">
        <v>41</v>
      </c>
      <c r="G1706">
        <v>-195.6908</v>
      </c>
      <c r="H1706">
        <v>0.92599010000000004</v>
      </c>
      <c r="I1706">
        <v>294.63560000000001</v>
      </c>
      <c r="J1706">
        <v>-195.3151</v>
      </c>
      <c r="K1706">
        <v>1.1058619999999999</v>
      </c>
      <c r="L1706">
        <v>295.10840000000002</v>
      </c>
      <c r="M1706">
        <v>-0.37666050000000001</v>
      </c>
      <c r="N1706">
        <v>-1.4246E-2</v>
      </c>
      <c r="O1706">
        <v>-0.92624189999999995</v>
      </c>
      <c r="P1706">
        <v>-0.42741489999999999</v>
      </c>
      <c r="Q1706">
        <v>0.3472305</v>
      </c>
      <c r="R1706">
        <v>-0.83471419999999996</v>
      </c>
      <c r="S1706">
        <v>-1.9898830000000001</v>
      </c>
      <c r="T1706">
        <v>-0.76413819999999999</v>
      </c>
      <c r="U1706">
        <v>-2.8979490000000001</v>
      </c>
      <c r="V1706">
        <v>8.6080329999999997E-2</v>
      </c>
      <c r="W1706">
        <v>0.3594367</v>
      </c>
      <c r="X1706">
        <v>0.92919079999999998</v>
      </c>
      <c r="Y1706">
        <v>0.2020911</v>
      </c>
      <c r="Z1706">
        <v>0.1929659</v>
      </c>
      <c r="AA1706">
        <v>0.96016840000000003</v>
      </c>
      <c r="AB1706">
        <v>23</v>
      </c>
      <c r="AC1706">
        <v>-0.37569999999999398</v>
      </c>
      <c r="AD1706">
        <v>-0.1798719</v>
      </c>
      <c r="AE1706">
        <v>-0.47280000000000599</v>
      </c>
      <c r="AF1706">
        <v>0.15607487631229</v>
      </c>
      <c r="AG1706">
        <v>-0.1798719</v>
      </c>
      <c r="AH1706">
        <v>0.53227585421216095</v>
      </c>
      <c r="AI1706">
        <v>107.966674416432</v>
      </c>
      <c r="AJ1706">
        <v>73.657713494244902</v>
      </c>
      <c r="AK1706">
        <v>0.58312164460152904</v>
      </c>
      <c r="AL1706">
        <v>68.934395305471</v>
      </c>
      <c r="AM1706">
        <v>84.707219886936102</v>
      </c>
      <c r="AN1706">
        <v>1.00000005366221</v>
      </c>
    </row>
    <row r="1707" spans="1:40" x14ac:dyDescent="0.25">
      <c r="A1707" t="str">
        <f>"20190304164402805"</f>
        <v>20190304164402805</v>
      </c>
      <c r="B1707" t="str">
        <f>"1551689042801175"</f>
        <v>1551689042801175</v>
      </c>
      <c r="C1707" t="s">
        <v>40</v>
      </c>
      <c r="D1707">
        <v>5.4932449999999999</v>
      </c>
      <c r="E1707">
        <v>0.56559769999999998</v>
      </c>
      <c r="F1707" t="s">
        <v>41</v>
      </c>
      <c r="G1707">
        <v>-195.77979999999999</v>
      </c>
      <c r="H1707">
        <v>0.9290003</v>
      </c>
      <c r="I1707">
        <v>294.44260000000003</v>
      </c>
      <c r="J1707">
        <v>-195.4101</v>
      </c>
      <c r="K1707">
        <v>1.105874</v>
      </c>
      <c r="L1707">
        <v>294.89890000000003</v>
      </c>
      <c r="M1707">
        <v>-0.38396809999999998</v>
      </c>
      <c r="N1707">
        <v>-1.425653E-2</v>
      </c>
      <c r="O1707">
        <v>-0.92323630000000001</v>
      </c>
      <c r="P1707">
        <v>-0.43386370000000002</v>
      </c>
      <c r="Q1707">
        <v>0.34764899999999999</v>
      </c>
      <c r="R1707">
        <v>-0.83120569999999905</v>
      </c>
      <c r="S1707">
        <v>-2.0107879999999998</v>
      </c>
      <c r="T1707">
        <v>-0.76512720000000001</v>
      </c>
      <c r="U1707">
        <v>-2.8826900000000002</v>
      </c>
      <c r="V1707">
        <v>8.5993109999999998E-2</v>
      </c>
      <c r="W1707">
        <v>0.35986610000000002</v>
      </c>
      <c r="X1707">
        <v>0.92903259999999999</v>
      </c>
      <c r="Y1707">
        <v>0.2014225</v>
      </c>
      <c r="Z1707">
        <v>0.19280330000000001</v>
      </c>
      <c r="AA1707">
        <v>0.96034149999999996</v>
      </c>
      <c r="AB1707">
        <v>23</v>
      </c>
      <c r="AC1707">
        <v>-0.36969999999999398</v>
      </c>
      <c r="AD1707">
        <v>-0.176873699999999</v>
      </c>
      <c r="AE1707">
        <v>-0.45629999999999798</v>
      </c>
      <c r="AF1707">
        <v>0.152316293043431</v>
      </c>
      <c r="AG1707">
        <v>-0.176873699999999</v>
      </c>
      <c r="AH1707">
        <v>0.51643761204875205</v>
      </c>
      <c r="AI1707">
        <v>108.18526351268299</v>
      </c>
      <c r="AJ1707">
        <v>73.567288731895005</v>
      </c>
      <c r="AK1707">
        <v>0.56673835763674896</v>
      </c>
      <c r="AL1707">
        <v>68.908026967631002</v>
      </c>
      <c r="AM1707">
        <v>84.711657063644196</v>
      </c>
      <c r="AN1707">
        <v>0.99999999837972098</v>
      </c>
    </row>
    <row r="1708" spans="1:40" x14ac:dyDescent="0.25">
      <c r="A1708" t="str">
        <f>"20190304164402828"</f>
        <v>20190304164402828</v>
      </c>
      <c r="B1708" t="str">
        <f>"1551689042821672"</f>
        <v>1551689042821672</v>
      </c>
      <c r="C1708" t="s">
        <v>40</v>
      </c>
      <c r="D1708">
        <v>5.5202410000000004</v>
      </c>
      <c r="E1708">
        <v>0.56929059999999998</v>
      </c>
      <c r="F1708" t="s">
        <v>41</v>
      </c>
      <c r="G1708">
        <v>-195.87049999999999</v>
      </c>
      <c r="H1708">
        <v>0.93304799999999999</v>
      </c>
      <c r="I1708">
        <v>294.25009999999997</v>
      </c>
      <c r="J1708">
        <v>-195.51560000000001</v>
      </c>
      <c r="K1708">
        <v>1.105899</v>
      </c>
      <c r="L1708">
        <v>294.67090000000002</v>
      </c>
      <c r="M1708">
        <v>-0.39192739999999998</v>
      </c>
      <c r="N1708">
        <v>-1.426578E-2</v>
      </c>
      <c r="O1708">
        <v>-0.91988559999999997</v>
      </c>
      <c r="P1708">
        <v>-0.44083050000000001</v>
      </c>
      <c r="Q1708">
        <v>0.34805199999999997</v>
      </c>
      <c r="R1708">
        <v>-0.82736239999999905</v>
      </c>
      <c r="S1708">
        <v>-2.0345</v>
      </c>
      <c r="T1708">
        <v>-0.76371119999999904</v>
      </c>
      <c r="U1708">
        <v>-2.8666689999999999</v>
      </c>
      <c r="V1708">
        <v>8.5830760000000006E-2</v>
      </c>
      <c r="W1708">
        <v>0.36028059999999901</v>
      </c>
      <c r="X1708">
        <v>0.92888700000000002</v>
      </c>
      <c r="Y1708">
        <v>0.200872</v>
      </c>
      <c r="Z1708">
        <v>0.19190740000000001</v>
      </c>
      <c r="AA1708">
        <v>0.9606363</v>
      </c>
      <c r="AB1708">
        <v>23</v>
      </c>
      <c r="AC1708">
        <v>-0.354899999999986</v>
      </c>
      <c r="AD1708">
        <v>-0.17285099999999901</v>
      </c>
      <c r="AE1708">
        <v>-0.42080000000004197</v>
      </c>
      <c r="AF1708">
        <v>0.14706102895881701</v>
      </c>
      <c r="AG1708">
        <v>-0.17285099999999901</v>
      </c>
      <c r="AH1708">
        <v>0.47900776567509901</v>
      </c>
      <c r="AI1708">
        <v>109.032430513726</v>
      </c>
      <c r="AJ1708">
        <v>72.932896740642406</v>
      </c>
      <c r="AK1708">
        <v>0.53004985993440001</v>
      </c>
      <c r="AL1708">
        <v>68.882571356801193</v>
      </c>
      <c r="AM1708">
        <v>84.720762000325607</v>
      </c>
      <c r="AN1708">
        <v>1.00000004443376</v>
      </c>
    </row>
    <row r="1709" spans="1:40" x14ac:dyDescent="0.25">
      <c r="A1709" t="str">
        <f>"20190304164402851"</f>
        <v>20190304164402851</v>
      </c>
      <c r="B1709" t="str">
        <f>"1551689042841191"</f>
        <v>1551689042841191</v>
      </c>
      <c r="C1709" t="s">
        <v>40</v>
      </c>
      <c r="D1709">
        <v>5.6088449999999996</v>
      </c>
      <c r="E1709">
        <v>0.56907089999999905</v>
      </c>
      <c r="F1709" t="s">
        <v>41</v>
      </c>
      <c r="G1709">
        <v>-195.96960000000001</v>
      </c>
      <c r="H1709">
        <v>0.95031880000000002</v>
      </c>
      <c r="I1709">
        <v>294.05459999999999</v>
      </c>
      <c r="J1709">
        <v>-195.61760000000001</v>
      </c>
      <c r="K1709">
        <v>1.105928</v>
      </c>
      <c r="L1709">
        <v>294.45530000000002</v>
      </c>
      <c r="M1709">
        <v>-0.39945740000000002</v>
      </c>
      <c r="N1709">
        <v>-1.42726E-2</v>
      </c>
      <c r="O1709">
        <v>-0.91664069999999997</v>
      </c>
      <c r="P1709">
        <v>-0.44740550000000001</v>
      </c>
      <c r="Q1709">
        <v>0.34921489999999999</v>
      </c>
      <c r="R1709">
        <v>-0.82333330000000005</v>
      </c>
      <c r="S1709">
        <v>-2.0754239999999999</v>
      </c>
      <c r="T1709">
        <v>-0.71113999999999999</v>
      </c>
      <c r="U1709">
        <v>-2.8193359999999998</v>
      </c>
      <c r="V1709">
        <v>8.5807469999999997E-2</v>
      </c>
      <c r="W1709">
        <v>0.36144720000000002</v>
      </c>
      <c r="X1709">
        <v>0.92843580000000003</v>
      </c>
      <c r="Y1709">
        <v>0.2110561</v>
      </c>
      <c r="Z1709">
        <v>0.17911199999999999</v>
      </c>
      <c r="AA1709">
        <v>0.96092359999999999</v>
      </c>
      <c r="AB1709">
        <v>23</v>
      </c>
      <c r="AC1709">
        <v>-0.35200000000000298</v>
      </c>
      <c r="AD1709">
        <v>-0.1556092</v>
      </c>
      <c r="AE1709">
        <v>-0.40070000000002798</v>
      </c>
      <c r="AF1709">
        <v>0.14985548404284499</v>
      </c>
      <c r="AG1709">
        <v>-0.1556092</v>
      </c>
      <c r="AH1709">
        <v>0.46811196231101398</v>
      </c>
      <c r="AI1709">
        <v>107.567367606115</v>
      </c>
      <c r="AJ1709">
        <v>72.248705104275501</v>
      </c>
      <c r="AK1709">
        <v>0.51555765776586404</v>
      </c>
      <c r="AL1709">
        <v>68.810900231018806</v>
      </c>
      <c r="AM1709">
        <v>84.719636010114797</v>
      </c>
      <c r="AN1709">
        <v>1.0000000175086401</v>
      </c>
    </row>
    <row r="1710" spans="1:40" x14ac:dyDescent="0.25">
      <c r="A1710" t="str">
        <f>"20190304164402873"</f>
        <v>20190304164402873</v>
      </c>
      <c r="B1710" t="str">
        <f>"1551689042861217"</f>
        <v>1551689042861217</v>
      </c>
      <c r="C1710" t="s">
        <v>40</v>
      </c>
      <c r="D1710">
        <v>5.5035119999999997</v>
      </c>
      <c r="E1710">
        <v>0.56927380000000005</v>
      </c>
      <c r="F1710" t="s">
        <v>41</v>
      </c>
      <c r="G1710">
        <v>-196.0615</v>
      </c>
      <c r="H1710">
        <v>0.95771550000000005</v>
      </c>
      <c r="I1710">
        <v>293.86180000000002</v>
      </c>
      <c r="J1710">
        <v>-195.71870000000001</v>
      </c>
      <c r="K1710">
        <v>1.1059559999999999</v>
      </c>
      <c r="L1710">
        <v>294.24599999999998</v>
      </c>
      <c r="M1710">
        <v>-0.40676810000000002</v>
      </c>
      <c r="N1710">
        <v>-1.427757E-2</v>
      </c>
      <c r="O1710">
        <v>-0.91342000000000001</v>
      </c>
      <c r="P1710">
        <v>-0.4525015</v>
      </c>
      <c r="Q1710">
        <v>0.34937940000000001</v>
      </c>
      <c r="R1710">
        <v>-0.82047349999999997</v>
      </c>
      <c r="S1710">
        <v>-2.0953219999999999</v>
      </c>
      <c r="T1710">
        <v>-0.69967409999999997</v>
      </c>
      <c r="U1710">
        <v>-2.8019099999999999</v>
      </c>
      <c r="V1710">
        <v>8.4152740000000004E-2</v>
      </c>
      <c r="W1710">
        <v>0.36164190000000002</v>
      </c>
      <c r="X1710">
        <v>0.92851139999999999</v>
      </c>
      <c r="Y1710">
        <v>0.21086070000000001</v>
      </c>
      <c r="Z1710">
        <v>0.1758132</v>
      </c>
      <c r="AA1710">
        <v>0.96157550000000003</v>
      </c>
      <c r="AB1710">
        <v>23</v>
      </c>
      <c r="AC1710">
        <v>-0.34279999999998201</v>
      </c>
      <c r="AD1710">
        <v>-0.148240499999999</v>
      </c>
      <c r="AE1710">
        <v>-0.38419999999996401</v>
      </c>
      <c r="AF1710">
        <v>0.14484980937060099</v>
      </c>
      <c r="AG1710">
        <v>-0.148240499999999</v>
      </c>
      <c r="AH1710">
        <v>0.45288732127880899</v>
      </c>
      <c r="AI1710">
        <v>107.315665101921</v>
      </c>
      <c r="AJ1710">
        <v>72.263836385951606</v>
      </c>
      <c r="AK1710">
        <v>0.49805987480427</v>
      </c>
      <c r="AL1710">
        <v>68.798934627299104</v>
      </c>
      <c r="AM1710">
        <v>84.821323931606898</v>
      </c>
      <c r="AN1710">
        <v>0.99999998370753795</v>
      </c>
    </row>
    <row r="1711" spans="1:40" x14ac:dyDescent="0.25">
      <c r="A1711" t="str">
        <f>"20190304164402898"</f>
        <v>20190304164402898</v>
      </c>
      <c r="B1711" t="str">
        <f>"1551689042891474"</f>
        <v>1551689042891474</v>
      </c>
      <c r="C1711" t="s">
        <v>40</v>
      </c>
      <c r="D1711">
        <v>5.6119110000000001</v>
      </c>
      <c r="E1711">
        <v>0.56901840000000004</v>
      </c>
      <c r="F1711" t="s">
        <v>41</v>
      </c>
      <c r="G1711">
        <v>-196.15559999999999</v>
      </c>
      <c r="H1711">
        <v>0.9624722</v>
      </c>
      <c r="I1711">
        <v>293.67140000000001</v>
      </c>
      <c r="J1711">
        <v>-195.82390000000001</v>
      </c>
      <c r="K1711">
        <v>1.1059890000000001</v>
      </c>
      <c r="L1711">
        <v>294.03300000000002</v>
      </c>
      <c r="M1711">
        <v>-0.4142187</v>
      </c>
      <c r="N1711">
        <v>-1.4281200000000001E-2</v>
      </c>
      <c r="O1711">
        <v>-0.91006549999999997</v>
      </c>
      <c r="P1711">
        <v>-0.45725440000000001</v>
      </c>
      <c r="Q1711">
        <v>0.3496591</v>
      </c>
      <c r="R1711">
        <v>-0.81771490000000002</v>
      </c>
      <c r="S1711">
        <v>-2.1170499999999999</v>
      </c>
      <c r="T1711">
        <v>-0.69523100000000004</v>
      </c>
      <c r="U1711">
        <v>-2.7848510000000002</v>
      </c>
      <c r="V1711">
        <v>8.197894E-2</v>
      </c>
      <c r="W1711">
        <v>0.36195660000000002</v>
      </c>
      <c r="X1711">
        <v>0.9285833</v>
      </c>
      <c r="Y1711">
        <v>0.21063380000000001</v>
      </c>
      <c r="Z1711">
        <v>0.1742417</v>
      </c>
      <c r="AA1711">
        <v>0.96191130000000002</v>
      </c>
      <c r="AB1711">
        <v>23</v>
      </c>
      <c r="AC1711">
        <v>-0.33169999999998301</v>
      </c>
      <c r="AD1711">
        <v>-0.143516799999999</v>
      </c>
      <c r="AE1711">
        <v>-0.36160000000000903</v>
      </c>
      <c r="AF1711">
        <v>0.140116687715515</v>
      </c>
      <c r="AG1711">
        <v>-0.143516799999999</v>
      </c>
      <c r="AH1711">
        <v>0.42976040580900698</v>
      </c>
      <c r="AI1711">
        <v>107.614508602762</v>
      </c>
      <c r="AJ1711">
        <v>71.942248546026804</v>
      </c>
      <c r="AK1711">
        <v>0.47426128290187197</v>
      </c>
      <c r="AL1711">
        <v>68.779594555528504</v>
      </c>
      <c r="AM1711">
        <v>84.954786475567104</v>
      </c>
      <c r="AN1711">
        <v>1.0000000359629799</v>
      </c>
    </row>
    <row r="1712" spans="1:40" x14ac:dyDescent="0.25">
      <c r="A1712" t="str">
        <f>"20190304164402919"</f>
        <v>20190304164402919</v>
      </c>
      <c r="B1712" t="str">
        <f>"1551689042911969"</f>
        <v>1551689042911969</v>
      </c>
      <c r="C1712" t="s">
        <v>40</v>
      </c>
      <c r="D1712">
        <v>5.605359</v>
      </c>
      <c r="E1712">
        <v>0.56875739999999997</v>
      </c>
      <c r="F1712" t="s">
        <v>41</v>
      </c>
      <c r="G1712">
        <v>-196.37020000000001</v>
      </c>
      <c r="H1712">
        <v>0.9282897</v>
      </c>
      <c r="I1712">
        <v>293.32479999999998</v>
      </c>
      <c r="J1712">
        <v>-195.9366</v>
      </c>
      <c r="K1712">
        <v>1.1060219999999901</v>
      </c>
      <c r="L1712">
        <v>293.80939999999998</v>
      </c>
      <c r="M1712">
        <v>-0.42205009999999998</v>
      </c>
      <c r="N1712">
        <v>-1.428424E-2</v>
      </c>
      <c r="O1712">
        <v>-0.90646009999999999</v>
      </c>
      <c r="P1712">
        <v>-0.46233000000000002</v>
      </c>
      <c r="Q1712">
        <v>0.35079480000000002</v>
      </c>
      <c r="R1712">
        <v>-0.81436739999999996</v>
      </c>
      <c r="S1712">
        <v>-2.1368870000000002</v>
      </c>
      <c r="T1712">
        <v>-0.69507859999999999</v>
      </c>
      <c r="U1712">
        <v>-2.771118</v>
      </c>
      <c r="V1712">
        <v>7.9942390000000002E-2</v>
      </c>
      <c r="W1712">
        <v>0.36311909999999997</v>
      </c>
      <c r="X1712">
        <v>0.92830690000000005</v>
      </c>
      <c r="Y1712">
        <v>0.20888870000000001</v>
      </c>
      <c r="Z1712">
        <v>0.1735932</v>
      </c>
      <c r="AA1712">
        <v>0.96240890000000001</v>
      </c>
      <c r="AB1712">
        <v>23</v>
      </c>
      <c r="AC1712">
        <v>-0.43360000000001198</v>
      </c>
      <c r="AD1712">
        <v>-0.17773229999999901</v>
      </c>
      <c r="AE1712">
        <v>-0.48459999999999998</v>
      </c>
      <c r="AF1712">
        <v>0.17542936192713601</v>
      </c>
      <c r="AG1712">
        <v>-0.17773229999999901</v>
      </c>
      <c r="AH1712">
        <v>0.57907503650116199</v>
      </c>
      <c r="AI1712">
        <v>106.369673889597</v>
      </c>
      <c r="AJ1712">
        <v>73.1459441086147</v>
      </c>
      <c r="AK1712">
        <v>0.63062836075479101</v>
      </c>
      <c r="AL1712">
        <v>68.708124973860905</v>
      </c>
      <c r="AM1712">
        <v>85.078040486650906</v>
      </c>
      <c r="AN1712">
        <v>0.99999998354566599</v>
      </c>
    </row>
    <row r="1713" spans="1:40" x14ac:dyDescent="0.25">
      <c r="A1713" t="str">
        <f>"20190304164402942"</f>
        <v>20190304164402942</v>
      </c>
      <c r="B1713" t="str">
        <f>"1551689042931490"</f>
        <v>1551689042931490</v>
      </c>
      <c r="C1713" t="s">
        <v>40</v>
      </c>
      <c r="D1713">
        <v>5.4974299999999996</v>
      </c>
      <c r="E1713">
        <v>0.56867659999999998</v>
      </c>
      <c r="F1713" t="s">
        <v>41</v>
      </c>
      <c r="G1713">
        <v>-196.46469999999999</v>
      </c>
      <c r="H1713">
        <v>0.93665949999999998</v>
      </c>
      <c r="I1713">
        <v>293.13440000000003</v>
      </c>
      <c r="J1713">
        <v>-196.0436</v>
      </c>
      <c r="K1713">
        <v>1.1060369999999999</v>
      </c>
      <c r="L1713">
        <v>293.60169999999999</v>
      </c>
      <c r="M1713">
        <v>-0.429344</v>
      </c>
      <c r="N1713">
        <v>-1.428664E-2</v>
      </c>
      <c r="O1713">
        <v>-0.90302819999999995</v>
      </c>
      <c r="P1713">
        <v>-0.46727780000000002</v>
      </c>
      <c r="Q1713">
        <v>0.35435409999999901</v>
      </c>
      <c r="R1713">
        <v>-0.80999080000000001</v>
      </c>
      <c r="S1713">
        <v>-2.1565089999999998</v>
      </c>
      <c r="T1713">
        <v>-0.69145489999999998</v>
      </c>
      <c r="U1713">
        <v>-2.7574160000000001</v>
      </c>
      <c r="V1713">
        <v>7.8799519999999998E-2</v>
      </c>
      <c r="W1713">
        <v>0.36667880000000003</v>
      </c>
      <c r="X1713">
        <v>0.92700450000000001</v>
      </c>
      <c r="Y1713">
        <v>0.2077396</v>
      </c>
      <c r="Z1713">
        <v>0.1720912</v>
      </c>
      <c r="AA1713">
        <v>0.96292730000000004</v>
      </c>
      <c r="AB1713">
        <v>23</v>
      </c>
      <c r="AC1713">
        <v>-0.42109999999999498</v>
      </c>
      <c r="AD1713">
        <v>-0.16937749999999999</v>
      </c>
      <c r="AE1713">
        <v>-0.46729999999996602</v>
      </c>
      <c r="AF1713">
        <v>0.16750643915226399</v>
      </c>
      <c r="AG1713">
        <v>-0.16937749999999999</v>
      </c>
      <c r="AH1713">
        <v>0.56209045228719401</v>
      </c>
      <c r="AI1713">
        <v>106.107899146012</v>
      </c>
      <c r="AJ1713">
        <v>73.405617215235594</v>
      </c>
      <c r="AK1713">
        <v>0.61048572564487003</v>
      </c>
      <c r="AL1713">
        <v>68.489065061130106</v>
      </c>
      <c r="AM1713">
        <v>85.141283187141795</v>
      </c>
      <c r="AN1713">
        <v>1.00000002487096</v>
      </c>
    </row>
    <row r="1714" spans="1:40" x14ac:dyDescent="0.25">
      <c r="A1714" t="str">
        <f>"20190304164402963"</f>
        <v>20190304164402963</v>
      </c>
      <c r="B1714" t="str">
        <f>"1551689042951986"</f>
        <v>1551689042951986</v>
      </c>
      <c r="C1714" t="s">
        <v>40</v>
      </c>
      <c r="D1714">
        <v>5.4630839999999896</v>
      </c>
      <c r="E1714">
        <v>0.56854589999999905</v>
      </c>
      <c r="F1714" t="s">
        <v>41</v>
      </c>
      <c r="G1714">
        <v>-196.5625</v>
      </c>
      <c r="H1714">
        <v>0.94297589999999998</v>
      </c>
      <c r="I1714">
        <v>292.94670000000002</v>
      </c>
      <c r="J1714">
        <v>-196.14769999999999</v>
      </c>
      <c r="K1714">
        <v>1.1060570000000001</v>
      </c>
      <c r="L1714">
        <v>293.4033</v>
      </c>
      <c r="M1714">
        <v>-0.43633430000000001</v>
      </c>
      <c r="N1714">
        <v>-1.428898E-2</v>
      </c>
      <c r="O1714">
        <v>-0.89967129999999995</v>
      </c>
      <c r="P1714">
        <v>-0.47245700000000002</v>
      </c>
      <c r="Q1714">
        <v>0.35865439999999998</v>
      </c>
      <c r="R1714">
        <v>-0.80507869999999904</v>
      </c>
      <c r="S1714">
        <v>-2.1757659999999999</v>
      </c>
      <c r="T1714">
        <v>-0.68359879999999995</v>
      </c>
      <c r="U1714">
        <v>-2.74762</v>
      </c>
      <c r="V1714">
        <v>7.8424800000000003E-2</v>
      </c>
      <c r="W1714">
        <v>0.37096249999999997</v>
      </c>
      <c r="X1714">
        <v>0.9253304</v>
      </c>
      <c r="Y1714">
        <v>0.20629020000000001</v>
      </c>
      <c r="Z1714">
        <v>0.16934560000000001</v>
      </c>
      <c r="AA1714">
        <v>0.96372530000000001</v>
      </c>
      <c r="AB1714">
        <v>23</v>
      </c>
      <c r="AC1714">
        <v>-0.41480000000001299</v>
      </c>
      <c r="AD1714">
        <v>-0.16308110000000001</v>
      </c>
      <c r="AE1714">
        <v>-0.45659999999998002</v>
      </c>
      <c r="AF1714">
        <v>0.16260685035628999</v>
      </c>
      <c r="AG1714">
        <v>-0.16308110000000001</v>
      </c>
      <c r="AH1714">
        <v>0.55318090452840996</v>
      </c>
      <c r="AI1714">
        <v>105.79301025635201</v>
      </c>
      <c r="AJ1714">
        <v>73.6193652679883</v>
      </c>
      <c r="AK1714">
        <v>0.59920409385690399</v>
      </c>
      <c r="AL1714">
        <v>68.225010314292206</v>
      </c>
      <c r="AM1714">
        <v>85.155571156583505</v>
      </c>
      <c r="AN1714">
        <v>0.999999987412724</v>
      </c>
    </row>
    <row r="1715" spans="1:40" x14ac:dyDescent="0.25">
      <c r="A1715" t="str">
        <f>"20190304164402984"</f>
        <v>20190304164402984</v>
      </c>
      <c r="B1715" t="str">
        <f>"1551689042981773"</f>
        <v>1551689042981773</v>
      </c>
      <c r="C1715" t="s">
        <v>40</v>
      </c>
      <c r="D1715">
        <v>5.4622780000000004</v>
      </c>
      <c r="E1715">
        <v>0.56598899999999996</v>
      </c>
      <c r="F1715" t="s">
        <v>41</v>
      </c>
      <c r="G1715">
        <v>-196.6627</v>
      </c>
      <c r="H1715">
        <v>0.94821849999999996</v>
      </c>
      <c r="I1715">
        <v>292.76100000000002</v>
      </c>
      <c r="J1715">
        <v>-196.25389999999999</v>
      </c>
      <c r="K1715">
        <v>1.106066</v>
      </c>
      <c r="L1715">
        <v>293.20479999999998</v>
      </c>
      <c r="M1715">
        <v>-0.4433742</v>
      </c>
      <c r="N1715">
        <v>-1.429215E-2</v>
      </c>
      <c r="O1715">
        <v>-0.89622269999999904</v>
      </c>
      <c r="P1715">
        <v>-0.47815010000000002</v>
      </c>
      <c r="Q1715">
        <v>0.36104740000000002</v>
      </c>
      <c r="R1715">
        <v>-0.80063569999999995</v>
      </c>
      <c r="S1715">
        <v>-2.1953279999999999</v>
      </c>
      <c r="T1715">
        <v>-0.67280580000000001</v>
      </c>
      <c r="U1715">
        <v>-2.7377319999999998</v>
      </c>
      <c r="V1715">
        <v>7.8241850000000002E-2</v>
      </c>
      <c r="W1715">
        <v>0.37334539999999999</v>
      </c>
      <c r="X1715">
        <v>0.92438699999999996</v>
      </c>
      <c r="Y1715">
        <v>0.2049156</v>
      </c>
      <c r="Z1715">
        <v>0.16583609999999999</v>
      </c>
      <c r="AA1715">
        <v>0.96462840000000005</v>
      </c>
      <c r="AB1715">
        <v>23</v>
      </c>
      <c r="AC1715">
        <v>-0.40880000000001299</v>
      </c>
      <c r="AD1715">
        <v>-0.1578475</v>
      </c>
      <c r="AE1715">
        <v>-0.44380000000001002</v>
      </c>
      <c r="AF1715">
        <v>0.15875889266506801</v>
      </c>
      <c r="AG1715">
        <v>-0.1578475</v>
      </c>
      <c r="AH1715">
        <v>0.54196435141699995</v>
      </c>
      <c r="AI1715">
        <v>105.61596456253299</v>
      </c>
      <c r="AJ1715">
        <v>73.672985019743507</v>
      </c>
      <c r="AK1715">
        <v>0.58638347304757699</v>
      </c>
      <c r="AL1715">
        <v>68.077913537165699</v>
      </c>
      <c r="AM1715">
        <v>85.161909492778605</v>
      </c>
      <c r="AN1715">
        <v>0.99999995028078903</v>
      </c>
    </row>
    <row r="1716" spans="1:40" x14ac:dyDescent="0.25">
      <c r="A1716" t="str">
        <f>"20190304164403008"</f>
        <v>20190304164403008</v>
      </c>
      <c r="B1716" t="str">
        <f>"1551689043001293"</f>
        <v>1551689043001293</v>
      </c>
      <c r="C1716" t="s">
        <v>40</v>
      </c>
      <c r="D1716">
        <v>5.4666399999999999</v>
      </c>
      <c r="E1716">
        <v>0.56599560000000004</v>
      </c>
      <c r="F1716" t="s">
        <v>41</v>
      </c>
      <c r="G1716">
        <v>-196.75630000000001</v>
      </c>
      <c r="H1716">
        <v>0.94062089999999998</v>
      </c>
      <c r="I1716">
        <v>292.57929999999999</v>
      </c>
      <c r="J1716">
        <v>-196.36949999999999</v>
      </c>
      <c r="K1716">
        <v>1.1060410000000001</v>
      </c>
      <c r="L1716">
        <v>292.99299999999999</v>
      </c>
      <c r="M1716">
        <v>-0.45096609999999998</v>
      </c>
      <c r="N1716">
        <v>-1.429766E-2</v>
      </c>
      <c r="O1716">
        <v>-0.89242649999999901</v>
      </c>
      <c r="P1716">
        <v>-0.48494150000000003</v>
      </c>
      <c r="Q1716">
        <v>0.36116559999999998</v>
      </c>
      <c r="R1716">
        <v>-0.79648669999999899</v>
      </c>
      <c r="S1716">
        <v>-2.2113649999999998</v>
      </c>
      <c r="T1716">
        <v>-0.72778940000000003</v>
      </c>
      <c r="U1716">
        <v>-2.7545169999999999</v>
      </c>
      <c r="V1716">
        <v>7.8314099999999998E-2</v>
      </c>
      <c r="W1716">
        <v>0.3734613</v>
      </c>
      <c r="X1716">
        <v>0.92433410000000005</v>
      </c>
      <c r="Y1716">
        <v>0.19567229999999999</v>
      </c>
      <c r="Z1716">
        <v>0.1776722</v>
      </c>
      <c r="AA1716">
        <v>0.96444019999999997</v>
      </c>
      <c r="AB1716">
        <v>23</v>
      </c>
      <c r="AC1716">
        <v>-0.38680000000002202</v>
      </c>
      <c r="AD1716">
        <v>-0.16542009999999899</v>
      </c>
      <c r="AE1716">
        <v>-0.41370000000000501</v>
      </c>
      <c r="AF1716">
        <v>0.14617233433391899</v>
      </c>
      <c r="AG1716">
        <v>-0.16542009999999899</v>
      </c>
      <c r="AH1716">
        <v>0.50095064143280399</v>
      </c>
      <c r="AI1716">
        <v>107.58827021578701</v>
      </c>
      <c r="AJ1716">
        <v>73.733288661093994</v>
      </c>
      <c r="AK1716">
        <v>0.54743191901877197</v>
      </c>
      <c r="AL1716">
        <v>68.070755978403596</v>
      </c>
      <c r="AM1716">
        <v>85.157187322028904</v>
      </c>
      <c r="AN1716">
        <v>0.999999984639655</v>
      </c>
    </row>
    <row r="1717" spans="1:40" x14ac:dyDescent="0.25">
      <c r="A1717" t="str">
        <f>"20190304164403030"</f>
        <v>20190304164403030</v>
      </c>
      <c r="B1717" t="str">
        <f>"1551689043021790"</f>
        <v>1551689043021790</v>
      </c>
      <c r="C1717" t="s">
        <v>40</v>
      </c>
      <c r="D1717">
        <v>5.4701930000000001</v>
      </c>
      <c r="E1717">
        <v>0.56597209999999998</v>
      </c>
      <c r="F1717" t="s">
        <v>41</v>
      </c>
      <c r="G1717">
        <v>-196.85910000000001</v>
      </c>
      <c r="H1717">
        <v>0.94747570000000003</v>
      </c>
      <c r="I1717">
        <v>292.3947</v>
      </c>
      <c r="J1717">
        <v>-196.4854</v>
      </c>
      <c r="K1717">
        <v>1.105988</v>
      </c>
      <c r="L1717">
        <v>292.7851</v>
      </c>
      <c r="M1717">
        <v>-0.45852490000000001</v>
      </c>
      <c r="N1717">
        <v>-1.43058E-2</v>
      </c>
      <c r="O1717">
        <v>-0.88856650000000004</v>
      </c>
      <c r="P1717">
        <v>-0.49234129999999998</v>
      </c>
      <c r="Q1717">
        <v>0.36176839999999999</v>
      </c>
      <c r="R1717">
        <v>-0.791659</v>
      </c>
      <c r="S1717">
        <v>-2.2366790000000001</v>
      </c>
      <c r="T1717">
        <v>-0.72450639999999999</v>
      </c>
      <c r="U1717">
        <v>-2.733215</v>
      </c>
      <c r="V1717">
        <v>7.9272690000000007E-2</v>
      </c>
      <c r="W1717">
        <v>0.37404379999999998</v>
      </c>
      <c r="X1717">
        <v>0.92401679999999997</v>
      </c>
      <c r="Y1717">
        <v>0.1965209</v>
      </c>
      <c r="Z1717">
        <v>0.1763651</v>
      </c>
      <c r="AA1717">
        <v>0.96450760000000002</v>
      </c>
      <c r="AB1717">
        <v>23</v>
      </c>
      <c r="AC1717">
        <v>-0.37370000000001302</v>
      </c>
      <c r="AD1717">
        <v>-0.15851229999999999</v>
      </c>
      <c r="AE1717">
        <v>-0.39039999999999903</v>
      </c>
      <c r="AF1717">
        <v>0.140939827781391</v>
      </c>
      <c r="AG1717">
        <v>-0.15851229999999999</v>
      </c>
      <c r="AH1717">
        <v>0.477243062244255</v>
      </c>
      <c r="AI1717">
        <v>107.668825426889</v>
      </c>
      <c r="AJ1717">
        <v>73.547030522391907</v>
      </c>
      <c r="AK1717">
        <v>0.52225580395684601</v>
      </c>
      <c r="AL1717">
        <v>68.0347734906819</v>
      </c>
      <c r="AM1717">
        <v>85.096521777627501</v>
      </c>
      <c r="AN1717">
        <v>0.99999998519025701</v>
      </c>
    </row>
    <row r="1718" spans="1:40" x14ac:dyDescent="0.25">
      <c r="A1718" t="str">
        <f>"20190304164403053"</f>
        <v>20190304164403053</v>
      </c>
      <c r="B1718" t="str">
        <f>"1551689043041309"</f>
        <v>1551689043041309</v>
      </c>
      <c r="C1718" t="s">
        <v>40</v>
      </c>
      <c r="D1718">
        <v>5.4565400000000004</v>
      </c>
      <c r="E1718">
        <v>0.5655732</v>
      </c>
      <c r="F1718" t="s">
        <v>41</v>
      </c>
      <c r="G1718">
        <v>-196.96360000000001</v>
      </c>
      <c r="H1718">
        <v>0.95303179999999998</v>
      </c>
      <c r="I1718">
        <v>292.21190000000001</v>
      </c>
      <c r="J1718">
        <v>-196.6001</v>
      </c>
      <c r="K1718">
        <v>1.1059099999999999</v>
      </c>
      <c r="L1718">
        <v>292.58359999999999</v>
      </c>
      <c r="M1718">
        <v>-0.46598479999999998</v>
      </c>
      <c r="N1718">
        <v>-1.431702E-2</v>
      </c>
      <c r="O1718">
        <v>-0.88467700000000005</v>
      </c>
      <c r="P1718">
        <v>-0.4997625</v>
      </c>
      <c r="Q1718">
        <v>0.36242370000000002</v>
      </c>
      <c r="R1718">
        <v>-0.7866938</v>
      </c>
      <c r="S1718">
        <v>-2.261612</v>
      </c>
      <c r="T1718">
        <v>-0.72279740000000003</v>
      </c>
      <c r="U1718">
        <v>-2.713257</v>
      </c>
      <c r="V1718">
        <v>8.0415899999999998E-2</v>
      </c>
      <c r="W1718">
        <v>0.37467470000000003</v>
      </c>
      <c r="X1718">
        <v>0.92366239999999999</v>
      </c>
      <c r="Y1718">
        <v>0.1970913</v>
      </c>
      <c r="Z1718">
        <v>0.1753769</v>
      </c>
      <c r="AA1718">
        <v>0.96457139999999997</v>
      </c>
      <c r="AB1718">
        <v>23</v>
      </c>
      <c r="AC1718">
        <v>-0.36350000000001598</v>
      </c>
      <c r="AD1718">
        <v>-0.15287819999999899</v>
      </c>
      <c r="AE1718">
        <v>-0.37169999999997499</v>
      </c>
      <c r="AF1718">
        <v>0.13657900134832099</v>
      </c>
      <c r="AG1718">
        <v>-0.15287819999999899</v>
      </c>
      <c r="AH1718">
        <v>0.45861532211756401</v>
      </c>
      <c r="AI1718">
        <v>107.71769351840901</v>
      </c>
      <c r="AJ1718">
        <v>73.416083135967199</v>
      </c>
      <c r="AK1718">
        <v>0.50234806790266695</v>
      </c>
      <c r="AL1718">
        <v>67.995792148925702</v>
      </c>
      <c r="AM1718">
        <v>85.024260967290004</v>
      </c>
      <c r="AN1718">
        <v>1.0000000384833201</v>
      </c>
    </row>
    <row r="1719" spans="1:40" x14ac:dyDescent="0.25">
      <c r="A1719" t="str">
        <f>"20190304164403073"</f>
        <v>20190304164403073</v>
      </c>
      <c r="B1719" t="str">
        <f>"1551689043061336"</f>
        <v>1551689043061336</v>
      </c>
      <c r="C1719" t="s">
        <v>40</v>
      </c>
      <c r="D1719">
        <v>5.4291419999999997</v>
      </c>
      <c r="E1719">
        <v>0.56544050000000001</v>
      </c>
      <c r="F1719" t="s">
        <v>41</v>
      </c>
      <c r="G1719">
        <v>-197.06890000000001</v>
      </c>
      <c r="H1719">
        <v>0.95685980000000004</v>
      </c>
      <c r="I1719">
        <v>292.03089999999997</v>
      </c>
      <c r="J1719">
        <v>-196.70949999999999</v>
      </c>
      <c r="K1719">
        <v>1.1058159999999999</v>
      </c>
      <c r="L1719">
        <v>292.3954</v>
      </c>
      <c r="M1719">
        <v>-0.4731069</v>
      </c>
      <c r="N1719">
        <v>-1.4330849999999999E-2</v>
      </c>
      <c r="O1719">
        <v>-0.88088849999999996</v>
      </c>
      <c r="P1719">
        <v>-0.50589470000000003</v>
      </c>
      <c r="Q1719">
        <v>0.36330020000000002</v>
      </c>
      <c r="R1719">
        <v>-0.78235809999999995</v>
      </c>
      <c r="S1719">
        <v>-2.286133</v>
      </c>
      <c r="T1719">
        <v>-0.72699899999999995</v>
      </c>
      <c r="U1719">
        <v>-2.6959840000000002</v>
      </c>
      <c r="V1719">
        <v>8.0476549999999994E-2</v>
      </c>
      <c r="W1719">
        <v>0.37553979999999998</v>
      </c>
      <c r="X1719">
        <v>0.92330570000000001</v>
      </c>
      <c r="Y1719">
        <v>0.19726189999999999</v>
      </c>
      <c r="Z1719">
        <v>0.17574979999999901</v>
      </c>
      <c r="AA1719">
        <v>0.96446869999999996</v>
      </c>
      <c r="AB1719">
        <v>23</v>
      </c>
      <c r="AC1719">
        <v>-0.35940000000002198</v>
      </c>
      <c r="AD1719">
        <v>-0.14895619999999901</v>
      </c>
      <c r="AE1719">
        <v>-0.36450000000001997</v>
      </c>
      <c r="AF1719">
        <v>0.13290461933334799</v>
      </c>
      <c r="AG1719">
        <v>-0.14895619999999901</v>
      </c>
      <c r="AH1719">
        <v>0.45282479283582699</v>
      </c>
      <c r="AI1719">
        <v>107.51750998255601</v>
      </c>
      <c r="AJ1719">
        <v>73.642972903435293</v>
      </c>
      <c r="AK1719">
        <v>0.49487562110634598</v>
      </c>
      <c r="AL1719">
        <v>67.942320676141094</v>
      </c>
      <c r="AM1719">
        <v>85.018613066831705</v>
      </c>
      <c r="AN1719">
        <v>1.0000000160682101</v>
      </c>
    </row>
    <row r="1720" spans="1:40" x14ac:dyDescent="0.25">
      <c r="A1720" t="str">
        <f>"20190304164403096"</f>
        <v>20190304164403096</v>
      </c>
      <c r="B1720" t="str">
        <f>"1551689043091593"</f>
        <v>1551689043091593</v>
      </c>
      <c r="C1720" t="s">
        <v>40</v>
      </c>
      <c r="D1720">
        <v>5.4271750000000001</v>
      </c>
      <c r="E1720">
        <v>0.56490369999999901</v>
      </c>
      <c r="F1720" t="s">
        <v>41</v>
      </c>
      <c r="G1720">
        <v>-197.1782</v>
      </c>
      <c r="H1720">
        <v>0.959175</v>
      </c>
      <c r="I1720">
        <v>291.8528</v>
      </c>
      <c r="J1720">
        <v>-196.83019999999999</v>
      </c>
      <c r="K1720">
        <v>1.105691</v>
      </c>
      <c r="L1720">
        <v>292.19240000000002</v>
      </c>
      <c r="M1720">
        <v>-0.4809985</v>
      </c>
      <c r="N1720">
        <v>-1.4350150000000001E-2</v>
      </c>
      <c r="O1720">
        <v>-0.8766043</v>
      </c>
      <c r="P1720">
        <v>-0.51233200000000001</v>
      </c>
      <c r="Q1720">
        <v>0.36424459999999997</v>
      </c>
      <c r="R1720">
        <v>-0.77771610000000002</v>
      </c>
      <c r="S1720">
        <v>-2.3102260000000001</v>
      </c>
      <c r="T1720">
        <v>-0.72253719999999999</v>
      </c>
      <c r="U1720">
        <v>-2.6761780000000002</v>
      </c>
      <c r="V1720">
        <v>8.0143019999999995E-2</v>
      </c>
      <c r="W1720">
        <v>0.37647730000000001</v>
      </c>
      <c r="X1720">
        <v>0.92295280000000002</v>
      </c>
      <c r="Y1720">
        <v>0.19716929999999999</v>
      </c>
      <c r="Z1720">
        <v>0.17396819999999999</v>
      </c>
      <c r="AA1720">
        <v>0.96481050000000002</v>
      </c>
      <c r="AB1720">
        <v>23</v>
      </c>
      <c r="AC1720">
        <v>-0.34800000000001302</v>
      </c>
      <c r="AD1720">
        <v>-0.14651599999999901</v>
      </c>
      <c r="AE1720">
        <v>-0.339600000000018</v>
      </c>
      <c r="AF1720">
        <v>0.12992882595516</v>
      </c>
      <c r="AG1720">
        <v>-0.14651599999999901</v>
      </c>
      <c r="AH1720">
        <v>0.42641368159221299</v>
      </c>
      <c r="AI1720">
        <v>108.19472949037601</v>
      </c>
      <c r="AJ1720">
        <v>73.053950303000903</v>
      </c>
      <c r="AK1720">
        <v>0.46923029092239099</v>
      </c>
      <c r="AL1720">
        <v>67.884350747226307</v>
      </c>
      <c r="AM1720">
        <v>85.037267518342603</v>
      </c>
      <c r="AN1720">
        <v>0.99999996604892405</v>
      </c>
    </row>
    <row r="1721" spans="1:40" x14ac:dyDescent="0.25">
      <c r="A1721" t="str">
        <f>"20190304164403120"</f>
        <v>20190304164403120</v>
      </c>
      <c r="B1721" t="str">
        <f>"1551689043112090"</f>
        <v>1551689043112090</v>
      </c>
      <c r="C1721" t="s">
        <v>40</v>
      </c>
      <c r="D1721">
        <v>5.5054689999999997</v>
      </c>
      <c r="E1721">
        <v>0.56461399999999995</v>
      </c>
      <c r="F1721" t="s">
        <v>41</v>
      </c>
      <c r="G1721">
        <v>-197.4144</v>
      </c>
      <c r="H1721">
        <v>0.9239581</v>
      </c>
      <c r="I1721">
        <v>291.52780000000001</v>
      </c>
      <c r="J1721">
        <v>-196.96289999999999</v>
      </c>
      <c r="K1721">
        <v>1.105545</v>
      </c>
      <c r="L1721">
        <v>291.97449999999998</v>
      </c>
      <c r="M1721">
        <v>-0.48971969999999998</v>
      </c>
      <c r="N1721">
        <v>-1.437568E-2</v>
      </c>
      <c r="O1721">
        <v>-0.87176139999999902</v>
      </c>
      <c r="P1721">
        <v>-0.51981290000000002</v>
      </c>
      <c r="Q1721">
        <v>0.3650216</v>
      </c>
      <c r="R1721">
        <v>-0.77236890000000002</v>
      </c>
      <c r="S1721">
        <v>-2.3363489999999998</v>
      </c>
      <c r="T1721">
        <v>-0.72655360000000002</v>
      </c>
      <c r="U1721">
        <v>-2.6586609999999999</v>
      </c>
      <c r="V1721">
        <v>8.0172889999999997E-2</v>
      </c>
      <c r="W1721">
        <v>0.37724550000000001</v>
      </c>
      <c r="X1721">
        <v>0.92263649999999997</v>
      </c>
      <c r="Y1721">
        <v>0.1958607</v>
      </c>
      <c r="Z1721">
        <v>0.17396829999999999</v>
      </c>
      <c r="AA1721">
        <v>0.96507699999999996</v>
      </c>
      <c r="AB1721">
        <v>23</v>
      </c>
      <c r="AC1721">
        <v>-0.45150000000001</v>
      </c>
      <c r="AD1721">
        <v>-0.1815869</v>
      </c>
      <c r="AE1721">
        <v>-0.44669999999996401</v>
      </c>
      <c r="AF1721">
        <v>0.16164732167233101</v>
      </c>
      <c r="AG1721">
        <v>-0.1815869</v>
      </c>
      <c r="AH1721">
        <v>0.56444870014401305</v>
      </c>
      <c r="AI1721">
        <v>107.18548545297899</v>
      </c>
      <c r="AJ1721">
        <v>74.019299191688106</v>
      </c>
      <c r="AK1721">
        <v>0.61457789900850901</v>
      </c>
      <c r="AL1721">
        <v>67.836833046806305</v>
      </c>
      <c r="AM1721">
        <v>85.033733653259304</v>
      </c>
      <c r="AN1721">
        <v>0.99999998534672596</v>
      </c>
    </row>
    <row r="1722" spans="1:40" x14ac:dyDescent="0.25">
      <c r="A1722" t="str">
        <f>"20190304164403143"</f>
        <v>20190304164403143</v>
      </c>
      <c r="B1722" t="str">
        <f>"1551689043131609"</f>
        <v>1551689043131609</v>
      </c>
      <c r="C1722" t="s">
        <v>40</v>
      </c>
      <c r="D1722">
        <v>5.4196410000000004</v>
      </c>
      <c r="E1722">
        <v>0.56436940000000002</v>
      </c>
      <c r="F1722" t="s">
        <v>41</v>
      </c>
      <c r="G1722">
        <v>-197.5249</v>
      </c>
      <c r="H1722">
        <v>0.93384279999999997</v>
      </c>
      <c r="I1722">
        <v>291.34829999999999</v>
      </c>
      <c r="J1722">
        <v>-197.08519999999999</v>
      </c>
      <c r="K1722">
        <v>1.1054170000000001</v>
      </c>
      <c r="L1722">
        <v>291.7783</v>
      </c>
      <c r="M1722">
        <v>-0.4977705</v>
      </c>
      <c r="N1722">
        <v>-1.4400410000000001E-2</v>
      </c>
      <c r="O1722">
        <v>-0.86718949999999995</v>
      </c>
      <c r="P1722">
        <v>-0.52656119999999995</v>
      </c>
      <c r="Q1722">
        <v>0.36659969999999997</v>
      </c>
      <c r="R1722">
        <v>-0.76703209999999999</v>
      </c>
      <c r="S1722">
        <v>-2.3635250000000001</v>
      </c>
      <c r="T1722">
        <v>-0.72175739999999999</v>
      </c>
      <c r="U1722">
        <v>-2.6346129999999999</v>
      </c>
      <c r="V1722">
        <v>8.0231410000000003E-2</v>
      </c>
      <c r="W1722">
        <v>0.37881219999999999</v>
      </c>
      <c r="X1722">
        <v>0.92198930000000001</v>
      </c>
      <c r="Y1722">
        <v>0.19688449999999999</v>
      </c>
      <c r="Z1722">
        <v>0.1721509</v>
      </c>
      <c r="AA1722">
        <v>0.96519460000000001</v>
      </c>
      <c r="AB1722">
        <v>23</v>
      </c>
      <c r="AC1722">
        <v>-0.43970000000001602</v>
      </c>
      <c r="AD1722">
        <v>-0.17157420000000001</v>
      </c>
      <c r="AE1722">
        <v>-0.43000000000000599</v>
      </c>
      <c r="AF1722">
        <v>0.15520015387188099</v>
      </c>
      <c r="AG1722">
        <v>-0.17157420000000001</v>
      </c>
      <c r="AH1722">
        <v>0.54908751342570195</v>
      </c>
      <c r="AI1722">
        <v>106.735556144497</v>
      </c>
      <c r="AJ1722">
        <v>74.217000277968495</v>
      </c>
      <c r="AK1722">
        <v>0.59583713485105605</v>
      </c>
      <c r="AL1722">
        <v>67.739873383035899</v>
      </c>
      <c r="AM1722">
        <v>85.026655649016703</v>
      </c>
      <c r="AN1722">
        <v>1.00000001566695</v>
      </c>
    </row>
    <row r="1723" spans="1:40" x14ac:dyDescent="0.25">
      <c r="A1723" t="str">
        <f>"20190304164403163"</f>
        <v>20190304164403163</v>
      </c>
      <c r="B1723" t="str">
        <f>"1551689043161395"</f>
        <v>1551689043161395</v>
      </c>
      <c r="C1723" t="s">
        <v>40</v>
      </c>
      <c r="D1723">
        <v>5.7096929999999997</v>
      </c>
      <c r="E1723">
        <v>0.56424669999999999</v>
      </c>
      <c r="F1723" t="s">
        <v>41</v>
      </c>
      <c r="G1723">
        <v>-197.63820000000001</v>
      </c>
      <c r="H1723">
        <v>0.93885289999999999</v>
      </c>
      <c r="I1723">
        <v>291.17309999999998</v>
      </c>
      <c r="J1723">
        <v>-197.19980000000001</v>
      </c>
      <c r="K1723">
        <v>1.105308</v>
      </c>
      <c r="L1723">
        <v>291.5985</v>
      </c>
      <c r="M1723">
        <v>-0.50532849999999996</v>
      </c>
      <c r="N1723">
        <v>-1.4423190000000001E-2</v>
      </c>
      <c r="O1723">
        <v>-0.86280669999999904</v>
      </c>
      <c r="P1723">
        <v>-0.53269359999999999</v>
      </c>
      <c r="Q1723">
        <v>0.36722510000000003</v>
      </c>
      <c r="R1723">
        <v>-0.76248539999999998</v>
      </c>
      <c r="S1723">
        <v>-2.3888240000000001</v>
      </c>
      <c r="T1723">
        <v>-0.71949459999999998</v>
      </c>
      <c r="U1723">
        <v>-2.615173</v>
      </c>
      <c r="V1723">
        <v>7.9832470000000003E-2</v>
      </c>
      <c r="W1723">
        <v>0.37944</v>
      </c>
      <c r="X1723">
        <v>0.92176570000000002</v>
      </c>
      <c r="Y1723">
        <v>0.19713230000000001</v>
      </c>
      <c r="Z1723">
        <v>0.17082229999999901</v>
      </c>
      <c r="AA1723">
        <v>0.96538000000000002</v>
      </c>
      <c r="AB1723">
        <v>23</v>
      </c>
      <c r="AC1723">
        <v>-0.43840000000000101</v>
      </c>
      <c r="AD1723">
        <v>-0.166455099999999</v>
      </c>
      <c r="AE1723">
        <v>-0.42540000000002398</v>
      </c>
      <c r="AF1723">
        <v>0.15201731072800601</v>
      </c>
      <c r="AG1723">
        <v>-0.166455099999999</v>
      </c>
      <c r="AH1723">
        <v>0.54794958204912303</v>
      </c>
      <c r="AI1723">
        <v>106.315912081484</v>
      </c>
      <c r="AJ1723">
        <v>74.494422670224694</v>
      </c>
      <c r="AK1723">
        <v>0.592507643448415</v>
      </c>
      <c r="AL1723">
        <v>67.7010000382935</v>
      </c>
      <c r="AM1723">
        <v>85.050067340979496</v>
      </c>
      <c r="AN1723">
        <v>0.99999997128139495</v>
      </c>
    </row>
    <row r="1724" spans="1:40" x14ac:dyDescent="0.25">
      <c r="A1724" t="str">
        <f>"20190304164403186"</f>
        <v>20190304164403186</v>
      </c>
      <c r="B1724" t="str">
        <f>"1551689043181892"</f>
        <v>1551689043181892</v>
      </c>
      <c r="C1724" t="s">
        <v>40</v>
      </c>
      <c r="D1724">
        <v>5.2413869999999996</v>
      </c>
      <c r="E1724">
        <v>0.56421909999999997</v>
      </c>
      <c r="F1724" t="s">
        <v>41</v>
      </c>
      <c r="G1724">
        <v>-197.75370000000001</v>
      </c>
      <c r="H1724">
        <v>0.93970509999999996</v>
      </c>
      <c r="I1724">
        <v>291.00170000000003</v>
      </c>
      <c r="J1724">
        <v>-197.33080000000001</v>
      </c>
      <c r="K1724">
        <v>1.1051770000000001</v>
      </c>
      <c r="L1724">
        <v>291.39749999999998</v>
      </c>
      <c r="M1724">
        <v>-0.51400329999999905</v>
      </c>
      <c r="N1724">
        <v>-1.4450269999999999E-2</v>
      </c>
      <c r="O1724">
        <v>-0.85766640000000005</v>
      </c>
      <c r="P1724">
        <v>-0.53904589999999997</v>
      </c>
      <c r="Q1724">
        <v>0.36884050000000002</v>
      </c>
      <c r="R1724">
        <v>-0.75722259999999997</v>
      </c>
      <c r="S1724">
        <v>-2.4109039999999999</v>
      </c>
      <c r="T1724">
        <v>-0.72075149999999999</v>
      </c>
      <c r="U1724">
        <v>-2.5972900000000001</v>
      </c>
      <c r="V1724">
        <v>7.8780959999999997E-2</v>
      </c>
      <c r="W1724">
        <v>0.38106430000000002</v>
      </c>
      <c r="X1724">
        <v>0.9211859</v>
      </c>
      <c r="Y1724">
        <v>0.19502169999999999</v>
      </c>
      <c r="Z1724">
        <v>0.1701453</v>
      </c>
      <c r="AA1724">
        <v>0.96592809999999996</v>
      </c>
      <c r="AB1724">
        <v>23</v>
      </c>
      <c r="AC1724">
        <v>-0.422899999999998</v>
      </c>
      <c r="AD1724">
        <v>-0.16547190000000001</v>
      </c>
      <c r="AE1724">
        <v>-0.39579999999995102</v>
      </c>
      <c r="AF1724">
        <v>0.14726285918920901</v>
      </c>
      <c r="AG1724">
        <v>-0.16547190000000001</v>
      </c>
      <c r="AH1724">
        <v>0.514874658663388</v>
      </c>
      <c r="AI1724">
        <v>107.17076311817701</v>
      </c>
      <c r="AJ1724">
        <v>74.038574868484602</v>
      </c>
      <c r="AK1724">
        <v>0.56050264363331204</v>
      </c>
      <c r="AL1724">
        <v>67.600375413571797</v>
      </c>
      <c r="AM1724">
        <v>85.111887788553005</v>
      </c>
      <c r="AN1724">
        <v>0.99999995137590902</v>
      </c>
    </row>
    <row r="1725" spans="1:40" x14ac:dyDescent="0.25">
      <c r="A1725" t="str">
        <f>"20190304164403209"</f>
        <v>20190304164403209</v>
      </c>
      <c r="B1725" t="str">
        <f>"1551689043201412"</f>
        <v>1551689043201412</v>
      </c>
      <c r="C1725" t="s">
        <v>40</v>
      </c>
      <c r="D1725">
        <v>5.7637090000000004</v>
      </c>
      <c r="E1725">
        <v>0.56450369999999905</v>
      </c>
      <c r="F1725" t="s">
        <v>41</v>
      </c>
      <c r="G1725">
        <v>-197.87</v>
      </c>
      <c r="H1725">
        <v>0.94667219999999996</v>
      </c>
      <c r="I1725">
        <v>290.82810000000001</v>
      </c>
      <c r="J1725">
        <v>-197.46019999999999</v>
      </c>
      <c r="K1725">
        <v>1.1050450000000001</v>
      </c>
      <c r="L1725">
        <v>291.20389999999998</v>
      </c>
      <c r="M1725">
        <v>-0.52259120000000003</v>
      </c>
      <c r="N1725">
        <v>-1.44802E-2</v>
      </c>
      <c r="O1725">
        <v>-0.85246060000000001</v>
      </c>
      <c r="P1725">
        <v>-0.54613519999999904</v>
      </c>
      <c r="Q1725">
        <v>0.37088080000000001</v>
      </c>
      <c r="R1725">
        <v>-0.75112209999999902</v>
      </c>
      <c r="S1725">
        <v>-2.4377749999999998</v>
      </c>
      <c r="T1725">
        <v>-0.7162752</v>
      </c>
      <c r="U1725">
        <v>-2.5753170000000001</v>
      </c>
      <c r="V1725">
        <v>7.8861840000000002E-2</v>
      </c>
      <c r="W1725">
        <v>0.38309490000000002</v>
      </c>
      <c r="X1725">
        <v>0.92033640000000005</v>
      </c>
      <c r="Y1725">
        <v>0.19484080000000001</v>
      </c>
      <c r="Z1725">
        <v>0.16813889999999901</v>
      </c>
      <c r="AA1725">
        <v>0.96631590000000001</v>
      </c>
      <c r="AB1725">
        <v>23</v>
      </c>
      <c r="AC1725">
        <v>-0.40980000000001798</v>
      </c>
      <c r="AD1725">
        <v>-0.15837280000000001</v>
      </c>
      <c r="AE1725">
        <v>-0.37579999999996899</v>
      </c>
      <c r="AF1725">
        <v>0.14148599284919799</v>
      </c>
      <c r="AG1725">
        <v>-0.15837280000000001</v>
      </c>
      <c r="AH1725">
        <v>0.49445402377328102</v>
      </c>
      <c r="AI1725">
        <v>107.115660220012</v>
      </c>
      <c r="AJ1725">
        <v>74.0317432910485</v>
      </c>
      <c r="AK1725">
        <v>0.53813103569479404</v>
      </c>
      <c r="AL1725">
        <v>67.474479639168706</v>
      </c>
      <c r="AM1725">
        <v>85.102399254120897</v>
      </c>
      <c r="AN1725">
        <v>0.99999999068957701</v>
      </c>
    </row>
    <row r="1726" spans="1:40" x14ac:dyDescent="0.25">
      <c r="A1726" t="str">
        <f>"20190304164403230"</f>
        <v>20190304164403230</v>
      </c>
      <c r="B1726" t="str">
        <f>"1551689043221908"</f>
        <v>1551689043221908</v>
      </c>
      <c r="C1726" t="s">
        <v>40</v>
      </c>
      <c r="D1726">
        <v>5.7948180000000002</v>
      </c>
      <c r="E1726">
        <v>0.56464539999999996</v>
      </c>
      <c r="F1726" t="s">
        <v>41</v>
      </c>
      <c r="G1726">
        <v>-197.989</v>
      </c>
      <c r="H1726">
        <v>0.95301100000000005</v>
      </c>
      <c r="I1726">
        <v>290.65660000000003</v>
      </c>
      <c r="J1726">
        <v>-197.58680000000001</v>
      </c>
      <c r="K1726">
        <v>1.10491299999999</v>
      </c>
      <c r="L1726">
        <v>291.01859999999999</v>
      </c>
      <c r="M1726">
        <v>-0.53101989999999999</v>
      </c>
      <c r="N1726">
        <v>-1.45126E-2</v>
      </c>
      <c r="O1726">
        <v>-0.84723499999999996</v>
      </c>
      <c r="P1726">
        <v>-0.55436350000000001</v>
      </c>
      <c r="Q1726">
        <v>0.37198229999999999</v>
      </c>
      <c r="R1726">
        <v>-0.74452010000000002</v>
      </c>
      <c r="S1726">
        <v>-2.4655610000000001</v>
      </c>
      <c r="T1726">
        <v>-0.70866980000000002</v>
      </c>
      <c r="U1726">
        <v>-2.5512700000000001</v>
      </c>
      <c r="V1726">
        <v>8.0301990000000004E-2</v>
      </c>
      <c r="W1726">
        <v>0.38417109999999999</v>
      </c>
      <c r="X1726">
        <v>0.91976309999999994</v>
      </c>
      <c r="Y1726">
        <v>0.19544020000000001</v>
      </c>
      <c r="Z1726">
        <v>0.16544890000000001</v>
      </c>
      <c r="AA1726">
        <v>0.96665909999999999</v>
      </c>
      <c r="AB1726">
        <v>23</v>
      </c>
      <c r="AC1726">
        <v>-0.40219999999999301</v>
      </c>
      <c r="AD1726">
        <v>-0.15190199999999901</v>
      </c>
      <c r="AE1726">
        <v>-0.36199999999996602</v>
      </c>
      <c r="AF1726">
        <v>0.137693687805856</v>
      </c>
      <c r="AG1726">
        <v>-0.15190199999999901</v>
      </c>
      <c r="AH1726">
        <v>0.48232169778846001</v>
      </c>
      <c r="AI1726">
        <v>106.84842311537901</v>
      </c>
      <c r="AJ1726">
        <v>74.066961580125906</v>
      </c>
      <c r="AK1726">
        <v>0.52408776881655905</v>
      </c>
      <c r="AL1726">
        <v>67.407709269747897</v>
      </c>
      <c r="AM1726">
        <v>85.010315245020095</v>
      </c>
      <c r="AN1726">
        <v>1.00000000189738</v>
      </c>
    </row>
    <row r="1727" spans="1:40" x14ac:dyDescent="0.25">
      <c r="A1727" t="str">
        <f>"20190304164403254"</f>
        <v>20190304164403254</v>
      </c>
      <c r="B1727" t="str">
        <f>"1551689043241427"</f>
        <v>1551689043241427</v>
      </c>
      <c r="C1727" t="s">
        <v>40</v>
      </c>
      <c r="D1727">
        <v>5.7935420000000004</v>
      </c>
      <c r="E1727">
        <v>0.56480180000000002</v>
      </c>
      <c r="F1727" t="s">
        <v>41</v>
      </c>
      <c r="G1727">
        <v>-198.1097</v>
      </c>
      <c r="H1727">
        <v>0.95668980000000003</v>
      </c>
      <c r="I1727">
        <v>290.48809999999997</v>
      </c>
      <c r="J1727">
        <v>-197.71969999999999</v>
      </c>
      <c r="K1727">
        <v>1.1047769999999999</v>
      </c>
      <c r="L1727">
        <v>290.8288</v>
      </c>
      <c r="M1727">
        <v>-0.53986840000000003</v>
      </c>
      <c r="N1727">
        <v>-1.454781E-2</v>
      </c>
      <c r="O1727">
        <v>-0.84162380000000003</v>
      </c>
      <c r="P1727">
        <v>-0.56278099999999998</v>
      </c>
      <c r="Q1727">
        <v>0.37298949999999997</v>
      </c>
      <c r="R1727">
        <v>-0.73766940000000003</v>
      </c>
      <c r="S1727">
        <v>-2.4909970000000001</v>
      </c>
      <c r="T1727">
        <v>-0.70603470000000002</v>
      </c>
      <c r="U1727">
        <v>-2.527466</v>
      </c>
      <c r="V1727">
        <v>8.1541999999999906E-2</v>
      </c>
      <c r="W1727">
        <v>0.38515700000000003</v>
      </c>
      <c r="X1727">
        <v>0.91924150000000004</v>
      </c>
      <c r="Y1727">
        <v>0.19481989999999999</v>
      </c>
      <c r="Z1727">
        <v>0.16389329999999999</v>
      </c>
      <c r="AA1727">
        <v>0.96704920000000005</v>
      </c>
      <c r="AB1727">
        <v>23</v>
      </c>
      <c r="AC1727">
        <v>-0.390000000000014</v>
      </c>
      <c r="AD1727">
        <v>-0.148087199999999</v>
      </c>
      <c r="AE1727">
        <v>-0.34070000000002598</v>
      </c>
      <c r="AF1727">
        <v>0.133406240289136</v>
      </c>
      <c r="AG1727">
        <v>-0.148087199999999</v>
      </c>
      <c r="AH1727">
        <v>0.45974720865626101</v>
      </c>
      <c r="AI1727">
        <v>107.18921156918501</v>
      </c>
      <c r="AJ1727">
        <v>73.818696629625094</v>
      </c>
      <c r="AK1727">
        <v>0.50109334421756901</v>
      </c>
      <c r="AL1727">
        <v>67.346512016012397</v>
      </c>
      <c r="AM1727">
        <v>84.9308035486779</v>
      </c>
      <c r="AN1727">
        <v>0.99999997386762396</v>
      </c>
    </row>
    <row r="1728" spans="1:40" x14ac:dyDescent="0.25">
      <c r="A1728" t="str">
        <f>"20190304164403275"</f>
        <v>20190304164403275</v>
      </c>
      <c r="B1728" t="str">
        <f>"1551689043271684"</f>
        <v>1551689043271684</v>
      </c>
      <c r="C1728" t="s">
        <v>40</v>
      </c>
      <c r="D1728">
        <v>5.7960929999999999</v>
      </c>
      <c r="E1728">
        <v>0.56327430000000001</v>
      </c>
      <c r="F1728" t="s">
        <v>41</v>
      </c>
      <c r="G1728">
        <v>-198.23179999999999</v>
      </c>
      <c r="H1728">
        <v>0.96150740000000001</v>
      </c>
      <c r="I1728">
        <v>290.32040000000001</v>
      </c>
      <c r="J1728">
        <v>-197.8535</v>
      </c>
      <c r="K1728">
        <v>1.1046339999999999</v>
      </c>
      <c r="L1728">
        <v>290.64269999999999</v>
      </c>
      <c r="M1728">
        <v>-0.54876990000000003</v>
      </c>
      <c r="N1728">
        <v>-1.458335E-2</v>
      </c>
      <c r="O1728">
        <v>-0.83584629999999904</v>
      </c>
      <c r="P1728">
        <v>-0.57192069999999995</v>
      </c>
      <c r="Q1728">
        <v>0.37195499999999998</v>
      </c>
      <c r="R1728">
        <v>-0.73113349999999999</v>
      </c>
      <c r="S1728">
        <v>-2.519196</v>
      </c>
      <c r="T1728">
        <v>-0.70454079999999997</v>
      </c>
      <c r="U1728">
        <v>-2.5011899999999998</v>
      </c>
      <c r="V1728">
        <v>8.3068210000000003E-2</v>
      </c>
      <c r="W1728">
        <v>0.38410810000000001</v>
      </c>
      <c r="X1728">
        <v>0.91954369999999996</v>
      </c>
      <c r="Y1728">
        <v>0.19503400000000001</v>
      </c>
      <c r="Z1728">
        <v>0.1626118</v>
      </c>
      <c r="AA1728">
        <v>0.96722240000000004</v>
      </c>
      <c r="AB1728">
        <v>23</v>
      </c>
      <c r="AC1728">
        <v>-0.37829999999999497</v>
      </c>
      <c r="AD1728">
        <v>-0.14312659999999999</v>
      </c>
      <c r="AE1728">
        <v>-0.32229999999998399</v>
      </c>
      <c r="AF1728">
        <v>0.12867463994367601</v>
      </c>
      <c r="AG1728">
        <v>-0.14312659999999999</v>
      </c>
      <c r="AH1728">
        <v>0.44050785426359801</v>
      </c>
      <c r="AI1728">
        <v>107.321625177513</v>
      </c>
      <c r="AJ1728">
        <v>73.716641192122793</v>
      </c>
      <c r="AK1728">
        <v>0.48071775113897502</v>
      </c>
      <c r="AL1728">
        <v>67.411618538876496</v>
      </c>
      <c r="AM1728">
        <v>84.8381201379988</v>
      </c>
      <c r="AN1728">
        <v>0.99999998810395097</v>
      </c>
    </row>
    <row r="1729" spans="1:40" x14ac:dyDescent="0.25">
      <c r="A1729" t="str">
        <f>"20190304164403297"</f>
        <v>20190304164403297</v>
      </c>
      <c r="B1729" t="str">
        <f>"1551689043291203"</f>
        <v>1551689043291203</v>
      </c>
      <c r="C1729" t="s">
        <v>40</v>
      </c>
      <c r="D1729">
        <v>5.812335</v>
      </c>
      <c r="E1729">
        <v>0.5634074</v>
      </c>
      <c r="F1729" t="s">
        <v>41</v>
      </c>
      <c r="G1729">
        <v>-198.4871</v>
      </c>
      <c r="H1729">
        <v>0.91579999999999995</v>
      </c>
      <c r="I1729">
        <v>290.02300000000002</v>
      </c>
      <c r="J1729">
        <v>-197.98779999999999</v>
      </c>
      <c r="K1729">
        <v>1.104501</v>
      </c>
      <c r="L1729">
        <v>290.46039999999999</v>
      </c>
      <c r="M1729">
        <v>-0.55769690000000005</v>
      </c>
      <c r="N1729">
        <v>-1.4618620000000001E-2</v>
      </c>
      <c r="O1729">
        <v>-0.82991619999999999</v>
      </c>
      <c r="P1729">
        <v>-0.58142759999999905</v>
      </c>
      <c r="Q1729">
        <v>0.37144949999999999</v>
      </c>
      <c r="R1729">
        <v>-0.72385630000000001</v>
      </c>
      <c r="S1729">
        <v>-2.5501710000000002</v>
      </c>
      <c r="T1729">
        <v>-0.75966669999999903</v>
      </c>
      <c r="U1729">
        <v>-2.494904</v>
      </c>
      <c r="V1729">
        <v>8.5212099999999999E-2</v>
      </c>
      <c r="W1729">
        <v>0.38357580000000002</v>
      </c>
      <c r="X1729">
        <v>0.91956970000000005</v>
      </c>
      <c r="Y1729">
        <v>0.1899701</v>
      </c>
      <c r="Z1729">
        <v>0.1735824</v>
      </c>
      <c r="AA1729">
        <v>0.96632320000000005</v>
      </c>
      <c r="AB1729">
        <v>23</v>
      </c>
      <c r="AC1729">
        <v>-0.49930000000000502</v>
      </c>
      <c r="AD1729">
        <v>-0.18870100000000001</v>
      </c>
      <c r="AE1729">
        <v>-0.43740000000002499</v>
      </c>
      <c r="AF1729">
        <v>0.15771331722425599</v>
      </c>
      <c r="AG1729">
        <v>-0.18870100000000001</v>
      </c>
      <c r="AH1729">
        <v>0.59356374467480599</v>
      </c>
      <c r="AI1729">
        <v>107.07962785641701</v>
      </c>
      <c r="AJ1729">
        <v>75.119994818672396</v>
      </c>
      <c r="AK1729">
        <v>0.64249472902371596</v>
      </c>
      <c r="AL1729">
        <v>67.444646555542207</v>
      </c>
      <c r="AM1729">
        <v>84.7057947150047</v>
      </c>
      <c r="AN1729">
        <v>0.99999996474506903</v>
      </c>
    </row>
    <row r="1730" spans="1:40" x14ac:dyDescent="0.25">
      <c r="A1730" t="str">
        <f>"20190304164403333"</f>
        <v>20190304164403333</v>
      </c>
      <c r="B1730" t="str">
        <f>"1551689043321460"</f>
        <v>1551689043321460</v>
      </c>
      <c r="C1730" t="s">
        <v>40</v>
      </c>
      <c r="D1730">
        <v>5.8587870000000004</v>
      </c>
      <c r="E1730">
        <v>0.55991999999999997</v>
      </c>
      <c r="F1730" t="s">
        <v>41</v>
      </c>
      <c r="G1730">
        <v>-198.61580000000001</v>
      </c>
      <c r="H1730">
        <v>0.91950209999999999</v>
      </c>
      <c r="I1730">
        <v>289.86180000000002</v>
      </c>
      <c r="J1730">
        <v>-198.21270000000001</v>
      </c>
      <c r="K1730">
        <v>1.104331</v>
      </c>
      <c r="L1730">
        <v>290.16480000000001</v>
      </c>
      <c r="M1730">
        <v>-0.572511199999999</v>
      </c>
      <c r="N1730">
        <v>-1.4672340000000001E-2</v>
      </c>
      <c r="O1730">
        <v>-0.81976569999999904</v>
      </c>
      <c r="P1730">
        <v>-0.59819599999999995</v>
      </c>
      <c r="Q1730">
        <v>0.37068210000000001</v>
      </c>
      <c r="R1730">
        <v>-0.71046239999999905</v>
      </c>
      <c r="S1730">
        <v>-2.5817109999999999</v>
      </c>
      <c r="T1730">
        <v>-0.76051489999999999</v>
      </c>
      <c r="U1730">
        <v>-2.4609990000000002</v>
      </c>
      <c r="V1730">
        <v>9.0139929999999993E-2</v>
      </c>
      <c r="W1730">
        <v>0.38274160000000002</v>
      </c>
      <c r="X1730">
        <v>0.91944749999999997</v>
      </c>
      <c r="Y1730">
        <v>0.18503500000000001</v>
      </c>
      <c r="Z1730">
        <v>0.171828799999999</v>
      </c>
      <c r="AA1730">
        <v>0.96759340000000005</v>
      </c>
      <c r="AB1730">
        <v>23</v>
      </c>
      <c r="AC1730">
        <v>-0.40309999999999402</v>
      </c>
      <c r="AD1730">
        <v>-0.18482889999999899</v>
      </c>
      <c r="AE1730">
        <v>-0.30299999999999699</v>
      </c>
      <c r="AF1730">
        <v>0.138401147144076</v>
      </c>
      <c r="AG1730">
        <v>-0.18482889999999899</v>
      </c>
      <c r="AH1730">
        <v>0.42246687160600999</v>
      </c>
      <c r="AI1730">
        <v>112.575460667268</v>
      </c>
      <c r="AJ1730">
        <v>71.861081671457697</v>
      </c>
      <c r="AK1730">
        <v>0.48145078399621999</v>
      </c>
      <c r="AL1730">
        <v>67.4963931289643</v>
      </c>
      <c r="AM1730">
        <v>84.4007829823626</v>
      </c>
      <c r="AN1730">
        <v>1.0000000223036001</v>
      </c>
    </row>
    <row r="1731" spans="1:40" x14ac:dyDescent="0.25">
      <c r="A1731" t="str">
        <f>"20190304164403353"</f>
        <v>20190304164403353</v>
      </c>
      <c r="B1731" t="str">
        <f>"1551689043341955"</f>
        <v>1551689043341955</v>
      </c>
      <c r="C1731" t="s">
        <v>40</v>
      </c>
      <c r="D1731">
        <v>5.8685999999999998</v>
      </c>
      <c r="E1731">
        <v>0.56023179999999995</v>
      </c>
      <c r="F1731" t="s">
        <v>41</v>
      </c>
      <c r="G1731">
        <v>-198.73140000000001</v>
      </c>
      <c r="H1731">
        <v>0.94355060000000002</v>
      </c>
      <c r="I1731">
        <v>289.68180000000001</v>
      </c>
      <c r="J1731">
        <v>-198.3399</v>
      </c>
      <c r="K1731">
        <v>1.10426</v>
      </c>
      <c r="L1731">
        <v>290.0027</v>
      </c>
      <c r="M1731">
        <v>-0.58081130000000003</v>
      </c>
      <c r="N1731">
        <v>-1.4698889999999999E-2</v>
      </c>
      <c r="O1731">
        <v>-0.81390549999999995</v>
      </c>
      <c r="P1731">
        <v>-0.60731069999999998</v>
      </c>
      <c r="Q1731">
        <v>0.36942079999999999</v>
      </c>
      <c r="R1731">
        <v>-0.70335099999999995</v>
      </c>
      <c r="S1731">
        <v>-2.6203460000000001</v>
      </c>
      <c r="T1731">
        <v>-0.81207559999999901</v>
      </c>
      <c r="U1731">
        <v>-2.4399410000000001</v>
      </c>
      <c r="V1731">
        <v>9.2327290000000006E-2</v>
      </c>
      <c r="W1731">
        <v>0.38145839999999998</v>
      </c>
      <c r="X1731">
        <v>0.91976369999999996</v>
      </c>
      <c r="Y1731">
        <v>0.18464939999999999</v>
      </c>
      <c r="Z1731">
        <v>0.18199979999999999</v>
      </c>
      <c r="AA1731">
        <v>0.96580569999999999</v>
      </c>
      <c r="AB1731">
        <v>23</v>
      </c>
      <c r="AC1731">
        <v>-0.39150000000000701</v>
      </c>
      <c r="AD1731">
        <v>-0.1607094</v>
      </c>
      <c r="AE1731">
        <v>-0.32089999999999402</v>
      </c>
      <c r="AF1731">
        <v>0.12016449034747401</v>
      </c>
      <c r="AG1731">
        <v>-0.1607094</v>
      </c>
      <c r="AH1731">
        <v>0.44388339142704603</v>
      </c>
      <c r="AI1731">
        <v>109.263193332475</v>
      </c>
      <c r="AJ1731">
        <v>74.852417413524904</v>
      </c>
      <c r="AK1731">
        <v>0.48713394582353198</v>
      </c>
      <c r="AL1731">
        <v>67.575952616653197</v>
      </c>
      <c r="AM1731">
        <v>84.267763900953</v>
      </c>
      <c r="AN1731">
        <v>1.0000000516234899</v>
      </c>
    </row>
    <row r="1732" spans="1:40" x14ac:dyDescent="0.25">
      <c r="A1732" t="str">
        <f>"20190304164403376"</f>
        <v>20190304164403376</v>
      </c>
      <c r="B1732" t="str">
        <f>"1551689043371235"</f>
        <v>1551689043371235</v>
      </c>
      <c r="C1732" t="s">
        <v>40</v>
      </c>
      <c r="D1732">
        <v>5.8728379999999998</v>
      </c>
      <c r="E1732">
        <v>0.56019519999999901</v>
      </c>
      <c r="F1732" t="s">
        <v>41</v>
      </c>
      <c r="G1732">
        <v>-198.8647</v>
      </c>
      <c r="H1732">
        <v>0.94313100000000005</v>
      </c>
      <c r="I1732">
        <v>289.52670000000001</v>
      </c>
      <c r="J1732">
        <v>-198.483</v>
      </c>
      <c r="K1732">
        <v>1.104182</v>
      </c>
      <c r="L1732">
        <v>289.82479999999998</v>
      </c>
      <c r="M1732">
        <v>-0.59008989999999995</v>
      </c>
      <c r="N1732">
        <v>-1.4728359999999999E-2</v>
      </c>
      <c r="O1732">
        <v>-0.80720340000000002</v>
      </c>
      <c r="P1732">
        <v>-0.61623050000000001</v>
      </c>
      <c r="Q1732">
        <v>0.3683958</v>
      </c>
      <c r="R1732">
        <v>-0.69609259999999995</v>
      </c>
      <c r="S1732">
        <v>-2.6498569999999999</v>
      </c>
      <c r="T1732">
        <v>-0.81281329999999996</v>
      </c>
      <c r="U1732">
        <v>-2.404236</v>
      </c>
      <c r="V1732">
        <v>9.3265180000000003E-2</v>
      </c>
      <c r="W1732">
        <v>0.38043339999999998</v>
      </c>
      <c r="X1732">
        <v>0.92009350000000001</v>
      </c>
      <c r="Y1732">
        <v>0.18592739999999999</v>
      </c>
      <c r="Z1732">
        <v>0.18120220000000001</v>
      </c>
      <c r="AA1732">
        <v>0.96571050000000003</v>
      </c>
      <c r="AB1732">
        <v>23</v>
      </c>
      <c r="AC1732">
        <v>-0.38169999999999499</v>
      </c>
      <c r="AD1732">
        <v>-0.161051</v>
      </c>
      <c r="AE1732">
        <v>-0.298099999999976</v>
      </c>
      <c r="AF1732">
        <v>0.119053183828917</v>
      </c>
      <c r="AG1732">
        <v>-0.161051</v>
      </c>
      <c r="AH1732">
        <v>0.41952421477115698</v>
      </c>
      <c r="AI1732">
        <v>110.269543464081</v>
      </c>
      <c r="AJ1732">
        <v>74.157042409557505</v>
      </c>
      <c r="AK1732">
        <v>0.46487810441034699</v>
      </c>
      <c r="AL1732">
        <v>67.639469138721495</v>
      </c>
      <c r="AM1732">
        <v>84.211988995870698</v>
      </c>
      <c r="AN1732">
        <v>1.00000000718912</v>
      </c>
    </row>
    <row r="1733" spans="1:40" x14ac:dyDescent="0.25">
      <c r="A1733" t="str">
        <f>"20190304164403398"</f>
        <v>20190304164403398</v>
      </c>
      <c r="B1733" t="str">
        <f>"1551689043391732"</f>
        <v>1551689043391732</v>
      </c>
      <c r="C1733" t="s">
        <v>40</v>
      </c>
      <c r="D1733">
        <v>5.8890399999999996</v>
      </c>
      <c r="E1733">
        <v>0.56071719999999903</v>
      </c>
      <c r="F1733" t="s">
        <v>41</v>
      </c>
      <c r="G1733">
        <v>-199.13929999999999</v>
      </c>
      <c r="H1733">
        <v>0.90419970000000005</v>
      </c>
      <c r="I1733">
        <v>289.24489999999997</v>
      </c>
      <c r="J1733">
        <v>-198.6326</v>
      </c>
      <c r="K1733">
        <v>1.104104</v>
      </c>
      <c r="L1733">
        <v>289.64350000000002</v>
      </c>
      <c r="M1733">
        <v>-0.5997034</v>
      </c>
      <c r="N1733">
        <v>-1.4760809999999999E-2</v>
      </c>
      <c r="O1733">
        <v>-0.80008630000000003</v>
      </c>
      <c r="P1733">
        <v>-0.62589539999999999</v>
      </c>
      <c r="Q1733">
        <v>0.36762329999999999</v>
      </c>
      <c r="R1733">
        <v>-0.68782869999999996</v>
      </c>
      <c r="S1733">
        <v>-2.6806179999999999</v>
      </c>
      <c r="T1733">
        <v>-0.8163726</v>
      </c>
      <c r="U1733">
        <v>-2.3686829999999999</v>
      </c>
      <c r="V1733">
        <v>9.4937999999999995E-2</v>
      </c>
      <c r="W1733">
        <v>0.37964700000000001</v>
      </c>
      <c r="X1733">
        <v>0.92024729999999999</v>
      </c>
      <c r="Y1733">
        <v>0.18682489999999999</v>
      </c>
      <c r="Z1733">
        <v>0.18085019999999999</v>
      </c>
      <c r="AA1733">
        <v>0.96560319999999999</v>
      </c>
      <c r="AB1733">
        <v>22</v>
      </c>
      <c r="AC1733">
        <v>-0.50669999999999504</v>
      </c>
      <c r="AD1733">
        <v>-0.19990430000000001</v>
      </c>
      <c r="AE1733">
        <v>-0.39860000000004397</v>
      </c>
      <c r="AF1733">
        <v>0.15178612192070801</v>
      </c>
      <c r="AG1733">
        <v>-0.19990430000000001</v>
      </c>
      <c r="AH1733">
        <v>0.56821877515052699</v>
      </c>
      <c r="AI1733">
        <v>108.772431154117</v>
      </c>
      <c r="AJ1733">
        <v>75.044004343349201</v>
      </c>
      <c r="AK1733">
        <v>0.62118703495789696</v>
      </c>
      <c r="AL1733">
        <v>67.688183156623595</v>
      </c>
      <c r="AM1733">
        <v>84.109875669031496</v>
      </c>
      <c r="AN1733">
        <v>1.0000000808051399</v>
      </c>
    </row>
    <row r="1734" spans="1:40" x14ac:dyDescent="0.25">
      <c r="A1734" t="str">
        <f>"20190304164403421"</f>
        <v>20190304164403421</v>
      </c>
      <c r="B1734" t="str">
        <f>"1551689043411252"</f>
        <v>1551689043411252</v>
      </c>
      <c r="C1734" t="s">
        <v>40</v>
      </c>
      <c r="D1734">
        <v>5.9025970000000001</v>
      </c>
      <c r="E1734">
        <v>0.56095379999999995</v>
      </c>
      <c r="F1734" t="s">
        <v>41</v>
      </c>
      <c r="G1734">
        <v>-199.2766</v>
      </c>
      <c r="H1734">
        <v>0.9114776</v>
      </c>
      <c r="I1734">
        <v>289.0908</v>
      </c>
      <c r="J1734">
        <v>-198.78110000000001</v>
      </c>
      <c r="K1734">
        <v>1.104023</v>
      </c>
      <c r="L1734">
        <v>289.46809999999999</v>
      </c>
      <c r="M1734">
        <v>-0.60913189999999995</v>
      </c>
      <c r="N1734">
        <v>-1.4792680000000001E-2</v>
      </c>
      <c r="O1734">
        <v>-0.79293089999999999</v>
      </c>
      <c r="P1734">
        <v>-0.63516569999999895</v>
      </c>
      <c r="Q1734">
        <v>0.36754199999999998</v>
      </c>
      <c r="R1734">
        <v>-0.67932159999999997</v>
      </c>
      <c r="S1734">
        <v>-2.7117610000000001</v>
      </c>
      <c r="T1734">
        <v>-0.81110550000000003</v>
      </c>
      <c r="U1734">
        <v>-2.3273929999999998</v>
      </c>
      <c r="V1734">
        <v>9.6575549999999996E-2</v>
      </c>
      <c r="W1734">
        <v>0.3795481</v>
      </c>
      <c r="X1734">
        <v>0.92011759999999998</v>
      </c>
      <c r="Y1734">
        <v>0.1893948</v>
      </c>
      <c r="Z1734">
        <v>0.17876510000000001</v>
      </c>
      <c r="AA1734">
        <v>0.96549090000000004</v>
      </c>
      <c r="AB1734">
        <v>22</v>
      </c>
      <c r="AC1734">
        <v>-0.495499999999992</v>
      </c>
      <c r="AD1734">
        <v>-0.19254540000000001</v>
      </c>
      <c r="AE1734">
        <v>-0.37729999999999098</v>
      </c>
      <c r="AF1734">
        <v>0.14886126278299799</v>
      </c>
      <c r="AG1734">
        <v>-0.19254540000000001</v>
      </c>
      <c r="AH1734">
        <v>0.54862506589716897</v>
      </c>
      <c r="AI1734">
        <v>108.71189987058</v>
      </c>
      <c r="AJ1734">
        <v>74.819148391788005</v>
      </c>
      <c r="AK1734">
        <v>0.600185695888516</v>
      </c>
      <c r="AL1734">
        <v>67.694306194960703</v>
      </c>
      <c r="AM1734">
        <v>84.008173486675105</v>
      </c>
      <c r="AN1734">
        <v>0.99999999745058599</v>
      </c>
    </row>
    <row r="1735" spans="1:40" x14ac:dyDescent="0.25">
      <c r="A1735" t="str">
        <f>"20190304164403445"</f>
        <v>20190304164403445</v>
      </c>
      <c r="B1735" t="str">
        <f>"1551689043441508"</f>
        <v>1551689043441508</v>
      </c>
      <c r="C1735" t="s">
        <v>40</v>
      </c>
      <c r="D1735">
        <v>5.9090150000000001</v>
      </c>
      <c r="E1735">
        <v>0.56786550000000002</v>
      </c>
      <c r="F1735" t="s">
        <v>41</v>
      </c>
      <c r="G1735">
        <v>-199.41470000000001</v>
      </c>
      <c r="H1735">
        <v>0.91716120000000001</v>
      </c>
      <c r="I1735">
        <v>288.93860000000001</v>
      </c>
      <c r="J1735">
        <v>-198.93860000000001</v>
      </c>
      <c r="K1735">
        <v>1.1039559999999999</v>
      </c>
      <c r="L1735">
        <v>289.28680000000003</v>
      </c>
      <c r="M1735">
        <v>-0.61901799999999996</v>
      </c>
      <c r="N1735">
        <v>-1.48237E-2</v>
      </c>
      <c r="O1735">
        <v>-0.78523699999999996</v>
      </c>
      <c r="P1735">
        <v>-0.64421839999999997</v>
      </c>
      <c r="Q1735">
        <v>0.36834460000000002</v>
      </c>
      <c r="R1735">
        <v>-0.67030210000000001</v>
      </c>
      <c r="S1735">
        <v>-2.740631</v>
      </c>
      <c r="T1735">
        <v>-0.80737329999999996</v>
      </c>
      <c r="U1735">
        <v>-2.2905579999999999</v>
      </c>
      <c r="V1735">
        <v>9.774998E-2</v>
      </c>
      <c r="W1735">
        <v>0.38033499999999998</v>
      </c>
      <c r="X1735">
        <v>0.91966859999999995</v>
      </c>
      <c r="Y1735">
        <v>0.18998799999999999</v>
      </c>
      <c r="Z1735">
        <v>0.17669609999999999</v>
      </c>
      <c r="AA1735">
        <v>0.96575520000000004</v>
      </c>
      <c r="AB1735">
        <v>22</v>
      </c>
      <c r="AC1735">
        <v>-0.47610000000000202</v>
      </c>
      <c r="AD1735">
        <v>-0.18679480000000001</v>
      </c>
      <c r="AE1735">
        <v>-0.34820000000001899</v>
      </c>
      <c r="AF1735">
        <v>0.14389539907017099</v>
      </c>
      <c r="AG1735">
        <v>-0.18679480000000001</v>
      </c>
      <c r="AH1735">
        <v>0.51640607437595598</v>
      </c>
      <c r="AI1735">
        <v>109.21069446474399</v>
      </c>
      <c r="AJ1735">
        <v>74.4296234069745</v>
      </c>
      <c r="AK1735">
        <v>0.56769130417242597</v>
      </c>
      <c r="AL1735">
        <v>67.645566364070604</v>
      </c>
      <c r="AM1735">
        <v>83.932909606304705</v>
      </c>
      <c r="AN1735">
        <v>1.00000005232047</v>
      </c>
    </row>
    <row r="1736" spans="1:40" x14ac:dyDescent="0.25">
      <c r="A1736" t="str">
        <f>"20190304164403467"</f>
        <v>20190304164403467</v>
      </c>
      <c r="B1736" t="str">
        <f>"1551689043462003"</f>
        <v>1551689043462003</v>
      </c>
      <c r="C1736" t="s">
        <v>40</v>
      </c>
      <c r="D1736">
        <v>5.6284809999999998</v>
      </c>
      <c r="E1736">
        <v>0.56774040000000003</v>
      </c>
      <c r="F1736" t="s">
        <v>41</v>
      </c>
      <c r="G1736">
        <v>-199.572</v>
      </c>
      <c r="H1736">
        <v>0.942778</v>
      </c>
      <c r="I1736">
        <v>288.78969999999998</v>
      </c>
      <c r="J1736">
        <v>-199.08789999999999</v>
      </c>
      <c r="K1736">
        <v>1.1038889999999999</v>
      </c>
      <c r="L1736">
        <v>289.11930000000001</v>
      </c>
      <c r="M1736">
        <v>-0.62830319999999995</v>
      </c>
      <c r="N1736">
        <v>-1.485204E-2</v>
      </c>
      <c r="O1736">
        <v>-0.77782689999999999</v>
      </c>
      <c r="P1736">
        <v>-0.65210210000000002</v>
      </c>
      <c r="Q1736">
        <v>0.37010140000000002</v>
      </c>
      <c r="R1736">
        <v>-0.66165569999999996</v>
      </c>
      <c r="S1736">
        <v>-2.7866360000000001</v>
      </c>
      <c r="T1736">
        <v>-0.70874709999999996</v>
      </c>
      <c r="U1736">
        <v>-2.1869200000000002</v>
      </c>
      <c r="V1736">
        <v>9.8420549999999996E-2</v>
      </c>
      <c r="W1736">
        <v>0.38207760000000002</v>
      </c>
      <c r="X1736">
        <v>0.91887439999999998</v>
      </c>
      <c r="Y1736">
        <v>0.211446</v>
      </c>
      <c r="Z1736">
        <v>0.1561524</v>
      </c>
      <c r="AA1736">
        <v>0.9648352</v>
      </c>
      <c r="AB1736">
        <v>22</v>
      </c>
      <c r="AC1736">
        <v>-0.48410000000001202</v>
      </c>
      <c r="AD1736">
        <v>-0.16111099999999901</v>
      </c>
      <c r="AE1736">
        <v>-0.32960000000002698</v>
      </c>
      <c r="AF1736">
        <v>0.15755265884467201</v>
      </c>
      <c r="AG1736">
        <v>-0.16111099999999901</v>
      </c>
      <c r="AH1736">
        <v>0.52115507967247099</v>
      </c>
      <c r="AI1736">
        <v>106.48429243615401</v>
      </c>
      <c r="AJ1736">
        <v>73.179179763446697</v>
      </c>
      <c r="AK1736">
        <v>0.56778711829209805</v>
      </c>
      <c r="AL1736">
        <v>67.537567218655397</v>
      </c>
      <c r="AM1736">
        <v>83.886363012184901</v>
      </c>
      <c r="AN1736">
        <v>1.0000000300297101</v>
      </c>
    </row>
    <row r="1737" spans="1:40" x14ac:dyDescent="0.25">
      <c r="A1737" t="str">
        <f>"20190304164403489"</f>
        <v>20190304164403489</v>
      </c>
      <c r="B1737" t="str">
        <f>"1551689043481524"</f>
        <v>1551689043481524</v>
      </c>
      <c r="C1737" t="s">
        <v>40</v>
      </c>
      <c r="D1737">
        <v>5.2229130000000001</v>
      </c>
      <c r="E1737">
        <v>0.56778229999999996</v>
      </c>
      <c r="F1737" t="s">
        <v>41</v>
      </c>
      <c r="G1737">
        <v>-199.7133</v>
      </c>
      <c r="H1737">
        <v>0.94838730000000004</v>
      </c>
      <c r="I1737">
        <v>288.64150000000001</v>
      </c>
      <c r="J1737">
        <v>-199.2448</v>
      </c>
      <c r="K1737">
        <v>1.1038049999999999</v>
      </c>
      <c r="L1737">
        <v>288.94779999999997</v>
      </c>
      <c r="M1737">
        <v>-0.6379802</v>
      </c>
      <c r="N1737">
        <v>-1.4884629999999999E-2</v>
      </c>
      <c r="O1737">
        <v>-0.76990890000000001</v>
      </c>
      <c r="P1737">
        <v>-0.66095509999999902</v>
      </c>
      <c r="Q1737">
        <v>0.371998</v>
      </c>
      <c r="R1737">
        <v>-0.65173289999999995</v>
      </c>
      <c r="S1737">
        <v>-2.8149259999999998</v>
      </c>
      <c r="T1737">
        <v>-0.69955129999999999</v>
      </c>
      <c r="U1737">
        <v>-2.151154</v>
      </c>
      <c r="V1737">
        <v>0.1001242</v>
      </c>
      <c r="W1737">
        <v>0.38393860000000002</v>
      </c>
      <c r="X1737">
        <v>0.91791409999999996</v>
      </c>
      <c r="Y1737">
        <v>0.21208640000000001</v>
      </c>
      <c r="Z1737">
        <v>0.1528621</v>
      </c>
      <c r="AA1737">
        <v>0.96522149999999995</v>
      </c>
      <c r="AB1737">
        <v>22</v>
      </c>
      <c r="AC1737">
        <v>-0.46850000000000502</v>
      </c>
      <c r="AD1737">
        <v>-0.15541769999999999</v>
      </c>
      <c r="AE1737">
        <v>-0.30629999999996399</v>
      </c>
      <c r="AF1737">
        <v>0.15347518775567001</v>
      </c>
      <c r="AG1737">
        <v>-0.15541769999999999</v>
      </c>
      <c r="AH1737">
        <v>0.49649869053986401</v>
      </c>
      <c r="AI1737">
        <v>106.650093050289</v>
      </c>
      <c r="AJ1737">
        <v>72.822836979777506</v>
      </c>
      <c r="AK1737">
        <v>0.54242072640868699</v>
      </c>
      <c r="AL1737">
        <v>67.422136939449004</v>
      </c>
      <c r="AM1737">
        <v>83.774903983890994</v>
      </c>
      <c r="AN1737">
        <v>0.99999999948720497</v>
      </c>
    </row>
    <row r="1738" spans="1:40" x14ac:dyDescent="0.25">
      <c r="A1738" t="str">
        <f>"20190304164403510"</f>
        <v>20190304164403510</v>
      </c>
      <c r="B1738" t="str">
        <f>"1551689043502020"</f>
        <v>1551689043502020</v>
      </c>
      <c r="C1738" t="s">
        <v>40</v>
      </c>
      <c r="D1738">
        <v>5.6547179999999999</v>
      </c>
      <c r="E1738">
        <v>0.56737349999999998</v>
      </c>
      <c r="F1738" t="s">
        <v>41</v>
      </c>
      <c r="G1738">
        <v>-199.85589999999999</v>
      </c>
      <c r="H1738">
        <v>0.95520819999999995</v>
      </c>
      <c r="I1738">
        <v>288.4941</v>
      </c>
      <c r="J1738">
        <v>-199.39169999999999</v>
      </c>
      <c r="K1738">
        <v>1.1037030000000001</v>
      </c>
      <c r="L1738">
        <v>288.79140000000001</v>
      </c>
      <c r="M1738">
        <v>-0.6469935</v>
      </c>
      <c r="N1738">
        <v>-1.4919899999999899E-2</v>
      </c>
      <c r="O1738">
        <v>-0.76234959999999996</v>
      </c>
      <c r="P1738">
        <v>-0.67009540000000001</v>
      </c>
      <c r="Q1738">
        <v>0.37395709999999999</v>
      </c>
      <c r="R1738">
        <v>-0.64119309999999996</v>
      </c>
      <c r="S1738">
        <v>-2.8451390000000001</v>
      </c>
      <c r="T1738">
        <v>-0.69147789999999998</v>
      </c>
      <c r="U1738">
        <v>-2.1124269999999998</v>
      </c>
      <c r="V1738">
        <v>0.1031779</v>
      </c>
      <c r="W1738">
        <v>0.38583240000000002</v>
      </c>
      <c r="X1738">
        <v>0.91678119999999996</v>
      </c>
      <c r="Y1738">
        <v>0.21434610000000001</v>
      </c>
      <c r="Z1738">
        <v>0.1500002</v>
      </c>
      <c r="AA1738">
        <v>0.96517129999999995</v>
      </c>
      <c r="AB1738">
        <v>22</v>
      </c>
      <c r="AC1738">
        <v>-0.464200000000005</v>
      </c>
      <c r="AD1738">
        <v>-0.14849480000000001</v>
      </c>
      <c r="AE1738">
        <v>-0.297300000000007</v>
      </c>
      <c r="AF1738">
        <v>0.150619555581093</v>
      </c>
      <c r="AG1738">
        <v>-0.14849480000000001</v>
      </c>
      <c r="AH1738">
        <v>0.49138170292413802</v>
      </c>
      <c r="AI1738">
        <v>106.115581336321</v>
      </c>
      <c r="AJ1738">
        <v>72.958518625482299</v>
      </c>
      <c r="AK1738">
        <v>0.53497003104763896</v>
      </c>
      <c r="AL1738">
        <v>67.304574665698794</v>
      </c>
      <c r="AM1738">
        <v>83.578743732398394</v>
      </c>
      <c r="AN1738">
        <v>1.0000000443057999</v>
      </c>
    </row>
    <row r="1739" spans="1:40" x14ac:dyDescent="0.25">
      <c r="A1739" t="str">
        <f>"20190304164403535"</f>
        <v>20190304164403535</v>
      </c>
      <c r="B1739" t="str">
        <f>"1551689043531299"</f>
        <v>1551689043531299</v>
      </c>
      <c r="C1739" t="s">
        <v>40</v>
      </c>
      <c r="D1739">
        <v>5.6500029999999999</v>
      </c>
      <c r="E1739">
        <v>0.56697319999999995</v>
      </c>
      <c r="F1739" t="s">
        <v>41</v>
      </c>
      <c r="G1739">
        <v>-200.00049999999999</v>
      </c>
      <c r="H1739">
        <v>0.95789530000000001</v>
      </c>
      <c r="I1739">
        <v>288.35140000000001</v>
      </c>
      <c r="J1739">
        <v>-199.55860000000001</v>
      </c>
      <c r="K1739">
        <v>1.1035600000000001</v>
      </c>
      <c r="L1739">
        <v>288.61840000000001</v>
      </c>
      <c r="M1739">
        <v>-0.65718299999999996</v>
      </c>
      <c r="N1739">
        <v>-1.4965350000000001E-2</v>
      </c>
      <c r="O1739">
        <v>-0.7535828</v>
      </c>
      <c r="P1739">
        <v>-0.67955359999999998</v>
      </c>
      <c r="Q1739">
        <v>0.37538529999999998</v>
      </c>
      <c r="R1739">
        <v>-0.63031210000000004</v>
      </c>
      <c r="S1739">
        <v>-2.873459</v>
      </c>
      <c r="T1739">
        <v>-0.6878455</v>
      </c>
      <c r="U1739">
        <v>-2.076965</v>
      </c>
      <c r="V1739">
        <v>0.1052126</v>
      </c>
      <c r="W1739">
        <v>0.38721860000000002</v>
      </c>
      <c r="X1739">
        <v>0.91596509999999998</v>
      </c>
      <c r="Y1739">
        <v>0.2138311</v>
      </c>
      <c r="Z1739">
        <v>0.14772939999999901</v>
      </c>
      <c r="AA1739">
        <v>0.96563569999999999</v>
      </c>
      <c r="AB1739">
        <v>22</v>
      </c>
      <c r="AC1739">
        <v>-0.44189999999997498</v>
      </c>
      <c r="AD1739">
        <v>-0.14566469999999901</v>
      </c>
      <c r="AE1739">
        <v>-0.26699999999999502</v>
      </c>
      <c r="AF1739">
        <v>0.145941245844943</v>
      </c>
      <c r="AG1739">
        <v>-0.14566469999999901</v>
      </c>
      <c r="AH1739">
        <v>0.45541987069867201</v>
      </c>
      <c r="AI1739">
        <v>106.940204028688</v>
      </c>
      <c r="AJ1739">
        <v>72.231720992835506</v>
      </c>
      <c r="AK1739">
        <v>0.49992430496232099</v>
      </c>
      <c r="AL1739">
        <v>67.218457095639494</v>
      </c>
      <c r="AM1739">
        <v>83.447421092915306</v>
      </c>
      <c r="AN1739">
        <v>0.99999999990136501</v>
      </c>
    </row>
    <row r="1740" spans="1:40" x14ac:dyDescent="0.25">
      <c r="A1740" t="str">
        <f>"20190304164403556"</f>
        <v>20190304164403556</v>
      </c>
      <c r="B1740" t="str">
        <f>"1551689043551795"</f>
        <v>1551689043551795</v>
      </c>
      <c r="C1740" t="s">
        <v>40</v>
      </c>
      <c r="D1740">
        <v>5.8460349999999996</v>
      </c>
      <c r="E1740">
        <v>0.56699189999999999</v>
      </c>
      <c r="F1740" t="s">
        <v>41</v>
      </c>
      <c r="G1740">
        <v>-200.30080000000001</v>
      </c>
      <c r="H1740">
        <v>0.92860279999999995</v>
      </c>
      <c r="I1740">
        <v>288.09780000000001</v>
      </c>
      <c r="J1740">
        <v>-199.71809999999999</v>
      </c>
      <c r="K1740">
        <v>1.103397</v>
      </c>
      <c r="L1740">
        <v>288.45819999999998</v>
      </c>
      <c r="M1740">
        <v>-0.6668963</v>
      </c>
      <c r="N1740">
        <v>-1.501429E-2</v>
      </c>
      <c r="O1740">
        <v>-0.74499959999999998</v>
      </c>
      <c r="P1740">
        <v>-0.68839340000000004</v>
      </c>
      <c r="Q1740">
        <v>0.37602219999999997</v>
      </c>
      <c r="R1740">
        <v>-0.62026020000000004</v>
      </c>
      <c r="S1740">
        <v>-2.9034580000000001</v>
      </c>
      <c r="T1740">
        <v>-0.68404960000000004</v>
      </c>
      <c r="U1740">
        <v>-2.0365600000000001</v>
      </c>
      <c r="V1740">
        <v>0.1067086</v>
      </c>
      <c r="W1740">
        <v>0.3878278</v>
      </c>
      <c r="X1740">
        <v>0.91553419999999996</v>
      </c>
      <c r="Y1740">
        <v>0.215115</v>
      </c>
      <c r="Z1740">
        <v>0.14562410000000001</v>
      </c>
      <c r="AA1740">
        <v>0.96567029999999998</v>
      </c>
      <c r="AB1740">
        <v>22</v>
      </c>
      <c r="AC1740">
        <v>-0.58270000000001598</v>
      </c>
      <c r="AD1740">
        <v>-0.17479419999999901</v>
      </c>
      <c r="AE1740">
        <v>-0.36039999999997002</v>
      </c>
      <c r="AF1740">
        <v>0.181941824346464</v>
      </c>
      <c r="AG1740">
        <v>-0.17479419999999901</v>
      </c>
      <c r="AH1740">
        <v>0.61701348759434105</v>
      </c>
      <c r="AI1740">
        <v>105.201579046264</v>
      </c>
      <c r="AJ1740">
        <v>73.570531974080595</v>
      </c>
      <c r="AK1740">
        <v>0.66660444318463097</v>
      </c>
      <c r="AL1740">
        <v>67.180593863575794</v>
      </c>
      <c r="AM1740">
        <v>83.351979064602503</v>
      </c>
      <c r="AN1740">
        <v>0.99999999956821894</v>
      </c>
    </row>
    <row r="1741" spans="1:40" x14ac:dyDescent="0.25">
      <c r="A1741" t="str">
        <f>"20190304164403578"</f>
        <v>20190304164403578</v>
      </c>
      <c r="B1741" t="str">
        <f>"1551689043571316"</f>
        <v>1551689043571316</v>
      </c>
      <c r="C1741" t="s">
        <v>40</v>
      </c>
      <c r="D1741">
        <v>5.8226239999999896</v>
      </c>
      <c r="E1741">
        <v>0.56728250000000002</v>
      </c>
      <c r="F1741" t="s">
        <v>41</v>
      </c>
      <c r="G1741">
        <v>-200.45</v>
      </c>
      <c r="H1741">
        <v>0.93325820000000004</v>
      </c>
      <c r="I1741">
        <v>287.96030000000002</v>
      </c>
      <c r="J1741">
        <v>-199.86940000000001</v>
      </c>
      <c r="K1741">
        <v>1.103253</v>
      </c>
      <c r="L1741">
        <v>288.31040000000002</v>
      </c>
      <c r="M1741">
        <v>-0.67604129999999996</v>
      </c>
      <c r="N1741">
        <v>-1.50615E-2</v>
      </c>
      <c r="O1741">
        <v>-0.73670970000000002</v>
      </c>
      <c r="P1741">
        <v>-0.69683930000000005</v>
      </c>
      <c r="Q1741">
        <v>0.37632969999999999</v>
      </c>
      <c r="R1741">
        <v>-0.61056580000000005</v>
      </c>
      <c r="S1741">
        <v>-2.9328609999999999</v>
      </c>
      <c r="T1741">
        <v>-0.68194189999999999</v>
      </c>
      <c r="U1741">
        <v>-1.9950559999999999</v>
      </c>
      <c r="V1741">
        <v>0.1082462</v>
      </c>
      <c r="W1741">
        <v>0.38811000000000001</v>
      </c>
      <c r="X1741">
        <v>0.91523410000000005</v>
      </c>
      <c r="Y1741">
        <v>0.21707750000000001</v>
      </c>
      <c r="Z1741">
        <v>0.1440129</v>
      </c>
      <c r="AA1741">
        <v>0.96547280000000002</v>
      </c>
      <c r="AB1741">
        <v>22</v>
      </c>
      <c r="AC1741">
        <v>-0.58059999999997502</v>
      </c>
      <c r="AD1741">
        <v>-0.169994799999999</v>
      </c>
      <c r="AE1741">
        <v>-0.35009999999999702</v>
      </c>
      <c r="AF1741">
        <v>0.17977143668905901</v>
      </c>
      <c r="AG1741">
        <v>-0.169994799999999</v>
      </c>
      <c r="AH1741">
        <v>0.61202856044477505</v>
      </c>
      <c r="AI1741">
        <v>104.922380836386</v>
      </c>
      <c r="AJ1741">
        <v>73.630879207602206</v>
      </c>
      <c r="AK1741">
        <v>0.66014768065667895</v>
      </c>
      <c r="AL1741">
        <v>67.163051748678299</v>
      </c>
      <c r="AM1741">
        <v>83.254870779138599</v>
      </c>
      <c r="AN1741">
        <v>1.00000003485862</v>
      </c>
    </row>
    <row r="1742" spans="1:40" x14ac:dyDescent="0.25">
      <c r="A1742" t="str">
        <f>"20190304164403600"</f>
        <v>20190304164403600</v>
      </c>
      <c r="B1742" t="str">
        <f>"1551689043591812"</f>
        <v>1551689043591812</v>
      </c>
      <c r="C1742" t="s">
        <v>40</v>
      </c>
      <c r="D1742">
        <v>5.8186859999999996</v>
      </c>
      <c r="E1742">
        <v>0.56765739999999998</v>
      </c>
      <c r="F1742" t="s">
        <v>41</v>
      </c>
      <c r="G1742">
        <v>-200.60130000000001</v>
      </c>
      <c r="H1742">
        <v>0.93458260000000004</v>
      </c>
      <c r="I1742">
        <v>287.82749999999999</v>
      </c>
      <c r="J1742">
        <v>-200.036</v>
      </c>
      <c r="K1742">
        <v>1.1031</v>
      </c>
      <c r="L1742">
        <v>288.15210000000002</v>
      </c>
      <c r="M1742">
        <v>-0.68606940000000005</v>
      </c>
      <c r="N1742">
        <v>-1.5108389999999999E-2</v>
      </c>
      <c r="O1742">
        <v>-0.72737909999999995</v>
      </c>
      <c r="P1742">
        <v>-0.70631750000000004</v>
      </c>
      <c r="Q1742">
        <v>0.37488090000000002</v>
      </c>
      <c r="R1742">
        <v>-0.60048330000000005</v>
      </c>
      <c r="S1742">
        <v>-2.9614410000000002</v>
      </c>
      <c r="T1742">
        <v>-0.68213869999999999</v>
      </c>
      <c r="U1742">
        <v>-1.9540409999999999</v>
      </c>
      <c r="V1742">
        <v>0.1095458</v>
      </c>
      <c r="W1742">
        <v>0.38664870000000001</v>
      </c>
      <c r="X1742">
        <v>0.91569780000000001</v>
      </c>
      <c r="Y1742">
        <v>0.2174295</v>
      </c>
      <c r="Z1742">
        <v>0.14262610000000001</v>
      </c>
      <c r="AA1742">
        <v>0.9655994</v>
      </c>
      <c r="AB1742">
        <v>22</v>
      </c>
      <c r="AC1742">
        <v>-0.565300000000036</v>
      </c>
      <c r="AD1742">
        <v>-0.16851740000000001</v>
      </c>
      <c r="AE1742">
        <v>-0.32460000000003197</v>
      </c>
      <c r="AF1742">
        <v>0.17670179030841701</v>
      </c>
      <c r="AG1742">
        <v>-0.16851740000000001</v>
      </c>
      <c r="AH1742">
        <v>0.58492302829045195</v>
      </c>
      <c r="AI1742">
        <v>105.418433228723</v>
      </c>
      <c r="AJ1742">
        <v>73.190743569869596</v>
      </c>
      <c r="AK1742">
        <v>0.63384271379060098</v>
      </c>
      <c r="AL1742">
        <v>67.2538677472551</v>
      </c>
      <c r="AM1742">
        <v>83.178072198006006</v>
      </c>
      <c r="AN1742">
        <v>0.99999998021708403</v>
      </c>
    </row>
    <row r="1743" spans="1:40" x14ac:dyDescent="0.25">
      <c r="A1743" t="str">
        <f>"20190304164403623"</f>
        <v>20190304164403623</v>
      </c>
      <c r="B1743" t="str">
        <f>"1551689043611331"</f>
        <v>1551689043611331</v>
      </c>
      <c r="C1743" t="s">
        <v>40</v>
      </c>
      <c r="D1743">
        <v>5.8774559999999996</v>
      </c>
      <c r="E1743">
        <v>0.56794979999999995</v>
      </c>
      <c r="F1743" t="s">
        <v>41</v>
      </c>
      <c r="G1743">
        <v>-200.75309999999999</v>
      </c>
      <c r="H1743">
        <v>0.93851169999999995</v>
      </c>
      <c r="I1743">
        <v>287.69420000000002</v>
      </c>
      <c r="J1743">
        <v>-200.20429999999999</v>
      </c>
      <c r="K1743">
        <v>1.1029370000000001</v>
      </c>
      <c r="L1743">
        <v>287.99709999999999</v>
      </c>
      <c r="M1743">
        <v>-0.69614819999999999</v>
      </c>
      <c r="N1743">
        <v>-1.51386E-2</v>
      </c>
      <c r="O1743">
        <v>-0.7177386</v>
      </c>
      <c r="P1743">
        <v>-0.71513669999999996</v>
      </c>
      <c r="Q1743">
        <v>0.37296770000000001</v>
      </c>
      <c r="R1743">
        <v>-0.59116380000000002</v>
      </c>
      <c r="S1743">
        <v>-2.988998</v>
      </c>
      <c r="T1743">
        <v>-0.68596369999999995</v>
      </c>
      <c r="U1743">
        <v>-1.908417</v>
      </c>
      <c r="V1743">
        <v>0.1096066</v>
      </c>
      <c r="W1743">
        <v>0.38473580000000002</v>
      </c>
      <c r="X1743">
        <v>0.91649590000000003</v>
      </c>
      <c r="Y1743">
        <v>0.2182858</v>
      </c>
      <c r="Z1743">
        <v>0.14212859999999999</v>
      </c>
      <c r="AA1743">
        <v>0.96547959999999999</v>
      </c>
      <c r="AB1743">
        <v>22</v>
      </c>
      <c r="AC1743">
        <v>-0.54879999999999995</v>
      </c>
      <c r="AD1743">
        <v>-0.1644253</v>
      </c>
      <c r="AE1743">
        <v>-0.30289999999996498</v>
      </c>
      <c r="AF1743">
        <v>0.17126842771035899</v>
      </c>
      <c r="AG1743">
        <v>-0.1644253</v>
      </c>
      <c r="AH1743">
        <v>0.56092327161664901</v>
      </c>
      <c r="AI1743">
        <v>105.661155661349</v>
      </c>
      <c r="AJ1743">
        <v>73.0208360926067</v>
      </c>
      <c r="AK1743">
        <v>0.60910054198924701</v>
      </c>
      <c r="AL1743">
        <v>67.372660343086196</v>
      </c>
      <c r="AM1743">
        <v>83.180209520152701</v>
      </c>
      <c r="AN1743">
        <v>0.99999998864100503</v>
      </c>
    </row>
    <row r="1744" spans="1:40" x14ac:dyDescent="0.25">
      <c r="A1744" t="str">
        <f>"20190304164403644"</f>
        <v>20190304164403644</v>
      </c>
      <c r="B1744" t="str">
        <f>"1551689043641588"</f>
        <v>1551689043641588</v>
      </c>
      <c r="C1744" t="s">
        <v>40</v>
      </c>
      <c r="D1744">
        <v>5.803909</v>
      </c>
      <c r="E1744">
        <v>0.56858149999999996</v>
      </c>
      <c r="F1744" t="s">
        <v>41</v>
      </c>
      <c r="G1744">
        <v>-200.90649999999999</v>
      </c>
      <c r="H1744">
        <v>0.94190980000000002</v>
      </c>
      <c r="I1744">
        <v>287.56349999999998</v>
      </c>
      <c r="J1744">
        <v>-200.36359999999999</v>
      </c>
      <c r="K1744">
        <v>1.102768</v>
      </c>
      <c r="L1744">
        <v>287.8546</v>
      </c>
      <c r="M1744">
        <v>-0.70564839999999995</v>
      </c>
      <c r="N1744">
        <v>-1.51434E-2</v>
      </c>
      <c r="O1744">
        <v>-0.70840040000000004</v>
      </c>
      <c r="P1744">
        <v>-0.72237879999999999</v>
      </c>
      <c r="Q1744">
        <v>0.37209789999999998</v>
      </c>
      <c r="R1744">
        <v>-0.58284849999999999</v>
      </c>
      <c r="S1744">
        <v>-3.0158689999999999</v>
      </c>
      <c r="T1744">
        <v>-0.69112369999999901</v>
      </c>
      <c r="U1744">
        <v>-1.862457</v>
      </c>
      <c r="V1744">
        <v>0.1084345</v>
      </c>
      <c r="W1744">
        <v>0.3838646</v>
      </c>
      <c r="X1744">
        <v>0.9170005</v>
      </c>
      <c r="Y1744">
        <v>0.2196833</v>
      </c>
      <c r="Z1744">
        <v>0.14199600000000001</v>
      </c>
      <c r="AA1744">
        <v>0.96518210000000004</v>
      </c>
      <c r="AB1744">
        <v>22</v>
      </c>
      <c r="AC1744">
        <v>-0.54290000000000205</v>
      </c>
      <c r="AD1744">
        <v>-0.16085819999999901</v>
      </c>
      <c r="AE1744">
        <v>-0.291100000000028</v>
      </c>
      <c r="AF1744">
        <v>0.16775804376047199</v>
      </c>
      <c r="AG1744">
        <v>-0.16085819999999901</v>
      </c>
      <c r="AH1744">
        <v>0.55175707691644704</v>
      </c>
      <c r="AI1744">
        <v>105.58540870365201</v>
      </c>
      <c r="AJ1744">
        <v>73.0884570656562</v>
      </c>
      <c r="AK1744">
        <v>0.59871027524250997</v>
      </c>
      <c r="AL1744">
        <v>67.426728553593506</v>
      </c>
      <c r="AM1744">
        <v>83.256141071331498</v>
      </c>
      <c r="AN1744">
        <v>0.99999999446182897</v>
      </c>
    </row>
    <row r="1745" spans="1:40" x14ac:dyDescent="0.25">
      <c r="A1745" t="str">
        <f>"20190304164403665"</f>
        <v>20190304164403665</v>
      </c>
      <c r="B1745" t="str">
        <f>"1551689043662084"</f>
        <v>1551689043662084</v>
      </c>
      <c r="C1745" t="s">
        <v>40</v>
      </c>
      <c r="D1745">
        <v>5.9031630000000002</v>
      </c>
      <c r="E1745">
        <v>0.56857139999999995</v>
      </c>
      <c r="F1745" t="s">
        <v>41</v>
      </c>
      <c r="G1745">
        <v>-201.06370000000001</v>
      </c>
      <c r="H1745">
        <v>0.94463319999999995</v>
      </c>
      <c r="I1745">
        <v>287.43729999999999</v>
      </c>
      <c r="J1745">
        <v>-200.52010000000001</v>
      </c>
      <c r="K1745">
        <v>1.102598</v>
      </c>
      <c r="L1745">
        <v>287.71859999999998</v>
      </c>
      <c r="M1745">
        <v>-0.71492999999999995</v>
      </c>
      <c r="N1745">
        <v>-1.5123849999999999E-2</v>
      </c>
      <c r="O1745">
        <v>-0.69903249999999995</v>
      </c>
      <c r="P1745">
        <v>-0.72975089999999998</v>
      </c>
      <c r="Q1745">
        <v>0.37242540000000002</v>
      </c>
      <c r="R1745">
        <v>-0.57337869999999902</v>
      </c>
      <c r="S1745">
        <v>-3.0432130000000002</v>
      </c>
      <c r="T1745">
        <v>-0.68716259999999996</v>
      </c>
      <c r="U1745">
        <v>-1.814087</v>
      </c>
      <c r="V1745">
        <v>0.1083335</v>
      </c>
      <c r="W1745">
        <v>0.3841368</v>
      </c>
      <c r="X1745">
        <v>0.91689849999999995</v>
      </c>
      <c r="Y1745">
        <v>0.2221746</v>
      </c>
      <c r="Z1745">
        <v>0.14000279999999901</v>
      </c>
      <c r="AA1745">
        <v>0.96490290000000001</v>
      </c>
      <c r="AB1745">
        <v>22</v>
      </c>
      <c r="AC1745">
        <v>-0.54359999999999697</v>
      </c>
      <c r="AD1745">
        <v>-0.15796479999999899</v>
      </c>
      <c r="AE1745">
        <v>-0.281299999999987</v>
      </c>
      <c r="AF1745">
        <v>0.167732612366356</v>
      </c>
      <c r="AG1745">
        <v>-0.15796479999999899</v>
      </c>
      <c r="AH1745">
        <v>0.54878781892694795</v>
      </c>
      <c r="AI1745">
        <v>105.390769433424</v>
      </c>
      <c r="AJ1745">
        <v>73.004646297062706</v>
      </c>
      <c r="AK1745">
        <v>0.59519339503465496</v>
      </c>
      <c r="AL1745">
        <v>67.4098388417287</v>
      </c>
      <c r="AM1745">
        <v>83.261622148421296</v>
      </c>
      <c r="AN1745">
        <v>1.0000000438193599</v>
      </c>
    </row>
    <row r="1746" spans="1:40" x14ac:dyDescent="0.25">
      <c r="A1746" t="str">
        <f>"20190304164403689"</f>
        <v>20190304164403689</v>
      </c>
      <c r="B1746" t="str">
        <f>"1551689043681604"</f>
        <v>1551689043681604</v>
      </c>
      <c r="C1746" t="s">
        <v>40</v>
      </c>
      <c r="D1746">
        <v>5.8863760000000003</v>
      </c>
      <c r="E1746">
        <v>0.56837079999999995</v>
      </c>
      <c r="F1746" t="s">
        <v>41</v>
      </c>
      <c r="G1746">
        <v>-201.22210000000001</v>
      </c>
      <c r="H1746">
        <v>0.94570290000000001</v>
      </c>
      <c r="I1746">
        <v>287.31400000000002</v>
      </c>
      <c r="J1746">
        <v>-200.70959999999999</v>
      </c>
      <c r="K1746">
        <v>1.102393</v>
      </c>
      <c r="L1746">
        <v>287.5591</v>
      </c>
      <c r="M1746">
        <v>-0.72608459999999997</v>
      </c>
      <c r="N1746">
        <v>-1.506945E-2</v>
      </c>
      <c r="O1746">
        <v>-0.68744050000000001</v>
      </c>
      <c r="P1746">
        <v>-0.73977230000000005</v>
      </c>
      <c r="Q1746">
        <v>0.37268430000000002</v>
      </c>
      <c r="R1746">
        <v>-0.56021769999999904</v>
      </c>
      <c r="S1746">
        <v>-3.0702820000000002</v>
      </c>
      <c r="T1746">
        <v>-0.68537380000000003</v>
      </c>
      <c r="U1746">
        <v>-1.769684</v>
      </c>
      <c r="V1746">
        <v>0.1101067</v>
      </c>
      <c r="W1746">
        <v>0.3842565</v>
      </c>
      <c r="X1746">
        <v>0.91663709999999998</v>
      </c>
      <c r="Y1746">
        <v>0.22089239999999999</v>
      </c>
      <c r="Z1746">
        <v>0.13775860000000001</v>
      </c>
      <c r="AA1746">
        <v>0.96552009999999999</v>
      </c>
      <c r="AB1746">
        <v>22</v>
      </c>
      <c r="AC1746">
        <v>-0.51250000000001705</v>
      </c>
      <c r="AD1746">
        <v>-0.156690099999999</v>
      </c>
      <c r="AE1746">
        <v>-0.245099999999979</v>
      </c>
      <c r="AF1746">
        <v>0.162042279752902</v>
      </c>
      <c r="AG1746">
        <v>-0.156690099999999</v>
      </c>
      <c r="AH1746">
        <v>0.50244749385251297</v>
      </c>
      <c r="AI1746">
        <v>106.530905295914</v>
      </c>
      <c r="AJ1746">
        <v>72.1251825850009</v>
      </c>
      <c r="AK1746">
        <v>0.55069317404903295</v>
      </c>
      <c r="AL1746">
        <v>67.402410756489104</v>
      </c>
      <c r="AM1746">
        <v>83.150433291974807</v>
      </c>
      <c r="AN1746">
        <v>1.0000000581367701</v>
      </c>
    </row>
    <row r="1747" spans="1:40" x14ac:dyDescent="0.25">
      <c r="A1747" t="str">
        <f>"20190304164403711"</f>
        <v>20190304164403711</v>
      </c>
      <c r="B1747" t="str">
        <f>"1551689043701123"</f>
        <v>1551689043701123</v>
      </c>
      <c r="C1747" t="s">
        <v>40</v>
      </c>
      <c r="D1747">
        <v>5.9029999999999996</v>
      </c>
      <c r="E1747">
        <v>0.56820599999999999</v>
      </c>
      <c r="F1747" t="s">
        <v>41</v>
      </c>
      <c r="G1747">
        <v>-201.3802</v>
      </c>
      <c r="H1747">
        <v>0.95341189999999998</v>
      </c>
      <c r="I1747">
        <v>287.1866</v>
      </c>
      <c r="J1747">
        <v>-200.88980000000001</v>
      </c>
      <c r="K1747">
        <v>1.102203</v>
      </c>
      <c r="L1747">
        <v>287.4126</v>
      </c>
      <c r="M1747">
        <v>-0.73657700000000004</v>
      </c>
      <c r="N1747">
        <v>-1.499137E-2</v>
      </c>
      <c r="O1747">
        <v>-0.67618769999999995</v>
      </c>
      <c r="P1747">
        <v>-0.7490291</v>
      </c>
      <c r="Q1747">
        <v>0.3725057</v>
      </c>
      <c r="R1747">
        <v>-0.54790069999999902</v>
      </c>
      <c r="S1747">
        <v>-3.0988310000000001</v>
      </c>
      <c r="T1747">
        <v>-0.68864829999999999</v>
      </c>
      <c r="U1747">
        <v>-1.7211609999999999</v>
      </c>
      <c r="V1747">
        <v>0.11139209999999999</v>
      </c>
      <c r="W1747">
        <v>0.38393460000000001</v>
      </c>
      <c r="X1747">
        <v>0.9166166</v>
      </c>
      <c r="Y1747">
        <v>0.22125320000000001</v>
      </c>
      <c r="Z1747">
        <v>0.1367515</v>
      </c>
      <c r="AA1747">
        <v>0.96558069999999896</v>
      </c>
      <c r="AB1747">
        <v>22</v>
      </c>
      <c r="AC1747">
        <v>-0.49039999999999401</v>
      </c>
      <c r="AD1747">
        <v>-0.14879109999999901</v>
      </c>
      <c r="AE1747">
        <v>-0.22599999999999901</v>
      </c>
      <c r="AF1747">
        <v>0.15349936899339101</v>
      </c>
      <c r="AG1747">
        <v>-0.14879109999999901</v>
      </c>
      <c r="AH1747">
        <v>0.47781311165280599</v>
      </c>
      <c r="AI1747">
        <v>106.513876904865</v>
      </c>
      <c r="AJ1747">
        <v>72.190177605608895</v>
      </c>
      <c r="AK1747">
        <v>0.52345603195293899</v>
      </c>
      <c r="AL1747">
        <v>67.422384781172795</v>
      </c>
      <c r="AM1747">
        <v>83.071089990040804</v>
      </c>
      <c r="AN1747">
        <v>0.99999998420756497</v>
      </c>
    </row>
    <row r="1748" spans="1:40" x14ac:dyDescent="0.25">
      <c r="A1748" t="str">
        <f>"20190304164403735"</f>
        <v>20190304164403735</v>
      </c>
      <c r="B1748" t="str">
        <f>"1551689043731380"</f>
        <v>1551689043731380</v>
      </c>
      <c r="C1748" t="s">
        <v>40</v>
      </c>
      <c r="D1748">
        <v>5.9271839999999996</v>
      </c>
      <c r="E1748">
        <v>0.56782480000000002</v>
      </c>
      <c r="F1748" t="s">
        <v>41</v>
      </c>
      <c r="G1748">
        <v>-201.54069999999999</v>
      </c>
      <c r="H1748">
        <v>0.95792010000000005</v>
      </c>
      <c r="I1748">
        <v>287.06420000000003</v>
      </c>
      <c r="J1748">
        <v>-201.0727</v>
      </c>
      <c r="K1748">
        <v>1.102014</v>
      </c>
      <c r="L1748">
        <v>287.26889999999997</v>
      </c>
      <c r="M1748">
        <v>-0.74711559999999999</v>
      </c>
      <c r="N1748">
        <v>-1.488862E-2</v>
      </c>
      <c r="O1748">
        <v>-0.66452739999999999</v>
      </c>
      <c r="P1748">
        <v>-0.75748400000000005</v>
      </c>
      <c r="Q1748">
        <v>0.37133909999999998</v>
      </c>
      <c r="R1748">
        <v>-0.53695939999999998</v>
      </c>
      <c r="S1748">
        <v>-3.1257480000000002</v>
      </c>
      <c r="T1748">
        <v>-0.69227550000000004</v>
      </c>
      <c r="U1748">
        <v>-1.6730039999999999</v>
      </c>
      <c r="V1748">
        <v>0.110796699999999</v>
      </c>
      <c r="W1748">
        <v>0.38265519999999997</v>
      </c>
      <c r="X1748">
        <v>0.91722360000000003</v>
      </c>
      <c r="Y1748">
        <v>0.2209825</v>
      </c>
      <c r="Z1748">
        <v>0.135704399999999</v>
      </c>
      <c r="AA1748">
        <v>0.96579040000000005</v>
      </c>
      <c r="AB1748">
        <v>22</v>
      </c>
      <c r="AC1748">
        <v>-0.46799999999998898</v>
      </c>
      <c r="AD1748">
        <v>-0.1440939</v>
      </c>
      <c r="AE1748">
        <v>-0.20469999999994501</v>
      </c>
      <c r="AF1748">
        <v>0.14642971257201201</v>
      </c>
      <c r="AG1748">
        <v>-0.1440939</v>
      </c>
      <c r="AH1748">
        <v>0.449929768213083</v>
      </c>
      <c r="AI1748">
        <v>106.937409682506</v>
      </c>
      <c r="AJ1748">
        <v>71.972513543236204</v>
      </c>
      <c r="AK1748">
        <v>0.49461248373389299</v>
      </c>
      <c r="AL1748">
        <v>67.501751374284396</v>
      </c>
      <c r="AM1748">
        <v>83.112285712160897</v>
      </c>
      <c r="AN1748">
        <v>1.0000000216074401</v>
      </c>
    </row>
    <row r="1749" spans="1:40" x14ac:dyDescent="0.25">
      <c r="A1749" t="str">
        <f>"20190304164403756"</f>
        <v>20190304164403756</v>
      </c>
      <c r="B1749" t="str">
        <f>"1551689043751876"</f>
        <v>1551689043751876</v>
      </c>
      <c r="C1749" t="s">
        <v>40</v>
      </c>
      <c r="D1749">
        <v>5.9104760000000001</v>
      </c>
      <c r="E1749">
        <v>0.56761059999999997</v>
      </c>
      <c r="F1749" t="s">
        <v>41</v>
      </c>
      <c r="G1749">
        <v>-201.86949999999999</v>
      </c>
      <c r="H1749">
        <v>0.92446660000000003</v>
      </c>
      <c r="I1749">
        <v>286.8569</v>
      </c>
      <c r="J1749">
        <v>-201.24709999999999</v>
      </c>
      <c r="K1749">
        <v>1.1018509999999999</v>
      </c>
      <c r="L1749">
        <v>287.13670000000002</v>
      </c>
      <c r="M1749">
        <v>-0.75701490000000005</v>
      </c>
      <c r="N1749">
        <v>-1.4781849999999999E-2</v>
      </c>
      <c r="O1749">
        <v>-0.65323039999999999</v>
      </c>
      <c r="P1749">
        <v>-0.76558169999999903</v>
      </c>
      <c r="Q1749">
        <v>0.37049910000000003</v>
      </c>
      <c r="R1749">
        <v>-0.52594249999999998</v>
      </c>
      <c r="S1749">
        <v>-3.149689</v>
      </c>
      <c r="T1749">
        <v>-0.70135689999999995</v>
      </c>
      <c r="U1749">
        <v>-1.6288149999999999</v>
      </c>
      <c r="V1749">
        <v>0.1106491</v>
      </c>
      <c r="W1749">
        <v>0.3816947</v>
      </c>
      <c r="X1749">
        <v>0.9176415</v>
      </c>
      <c r="Y1749">
        <v>0.21986</v>
      </c>
      <c r="Z1749">
        <v>0.13570660000000001</v>
      </c>
      <c r="AA1749">
        <v>0.96604619999999997</v>
      </c>
      <c r="AB1749">
        <v>22</v>
      </c>
      <c r="AC1749">
        <v>-0.62239999999999895</v>
      </c>
      <c r="AD1749">
        <v>-0.1773844</v>
      </c>
      <c r="AE1749">
        <v>-0.27980000000002198</v>
      </c>
      <c r="AF1749">
        <v>0.18245093422963901</v>
      </c>
      <c r="AG1749">
        <v>-0.1773844</v>
      </c>
      <c r="AH1749">
        <v>0.61261697019435202</v>
      </c>
      <c r="AI1749">
        <v>105.509663831962</v>
      </c>
      <c r="AJ1749">
        <v>73.415300151823402</v>
      </c>
      <c r="AK1749">
        <v>0.66336499827375195</v>
      </c>
      <c r="AL1749">
        <v>67.561304032526195</v>
      </c>
      <c r="AM1749">
        <v>83.124475924813297</v>
      </c>
      <c r="AN1749">
        <v>0.99999999493057401</v>
      </c>
    </row>
    <row r="1750" spans="1:40" x14ac:dyDescent="0.25">
      <c r="A1750" t="str">
        <f>"20190304164403777"</f>
        <v>20190304164403777</v>
      </c>
      <c r="B1750" t="str">
        <f>"1551689043771396"</f>
        <v>1551689043771396</v>
      </c>
      <c r="C1750" t="s">
        <v>40</v>
      </c>
      <c r="D1750">
        <v>5.6347060000000004</v>
      </c>
      <c r="E1750">
        <v>0.56753679999999995</v>
      </c>
      <c r="F1750" t="s">
        <v>41</v>
      </c>
      <c r="G1750">
        <v>-202.03489999999999</v>
      </c>
      <c r="H1750">
        <v>0.92626799999999998</v>
      </c>
      <c r="I1750">
        <v>286.7432</v>
      </c>
      <c r="J1750">
        <v>-201.41679999999999</v>
      </c>
      <c r="K1750">
        <v>1.101729</v>
      </c>
      <c r="L1750">
        <v>287.01209999999998</v>
      </c>
      <c r="M1750">
        <v>-0.7664801</v>
      </c>
      <c r="N1750">
        <v>-1.4680550000000001E-2</v>
      </c>
      <c r="O1750">
        <v>-0.64210029999999996</v>
      </c>
      <c r="P1750">
        <v>-0.77384310000000001</v>
      </c>
      <c r="Q1750">
        <v>0.36891410000000002</v>
      </c>
      <c r="R1750">
        <v>-0.51484890000000005</v>
      </c>
      <c r="S1750">
        <v>-3.1720429999999999</v>
      </c>
      <c r="T1750">
        <v>-0.7069569</v>
      </c>
      <c r="U1750">
        <v>-1.5847169999999999</v>
      </c>
      <c r="V1750">
        <v>0.1110039</v>
      </c>
      <c r="W1750">
        <v>0.37999460000000002</v>
      </c>
      <c r="X1750">
        <v>0.91830400000000001</v>
      </c>
      <c r="Y1750">
        <v>0.2190377</v>
      </c>
      <c r="Z1750">
        <v>0.1350315</v>
      </c>
      <c r="AA1750">
        <v>0.96632759999999995</v>
      </c>
      <c r="AB1750">
        <v>22</v>
      </c>
      <c r="AC1750">
        <v>-0.61809999999999798</v>
      </c>
      <c r="AD1750">
        <v>-0.17546100000000001</v>
      </c>
      <c r="AE1750">
        <v>-0.26889999999997299</v>
      </c>
      <c r="AF1750">
        <v>0.178688522481569</v>
      </c>
      <c r="AG1750">
        <v>-0.17546100000000001</v>
      </c>
      <c r="AH1750">
        <v>0.60546608243540401</v>
      </c>
      <c r="AI1750">
        <v>105.53291508833701</v>
      </c>
      <c r="AJ1750">
        <v>73.557322375885093</v>
      </c>
      <c r="AK1750">
        <v>0.65521395556514295</v>
      </c>
      <c r="AL1750">
        <v>67.666651809676395</v>
      </c>
      <c r="AM1750">
        <v>83.1075695116904</v>
      </c>
      <c r="AN1750">
        <v>0.999999999130184</v>
      </c>
    </row>
    <row r="1751" spans="1:40" x14ac:dyDescent="0.25">
      <c r="A1751" t="str">
        <f>"20190304164403800"</f>
        <v>20190304164403800</v>
      </c>
      <c r="B1751" t="str">
        <f>"1551689043791892"</f>
        <v>1551689043791892</v>
      </c>
      <c r="C1751" t="s">
        <v>40</v>
      </c>
      <c r="D1751">
        <v>5.6443440000000002</v>
      </c>
      <c r="E1751">
        <v>0.56767599999999996</v>
      </c>
      <c r="F1751" t="s">
        <v>41</v>
      </c>
      <c r="G1751">
        <v>-202.202</v>
      </c>
      <c r="H1751">
        <v>0.92597149999999995</v>
      </c>
      <c r="I1751">
        <v>286.63330000000002</v>
      </c>
      <c r="J1751">
        <v>-201.6078</v>
      </c>
      <c r="K1751">
        <v>1.101629</v>
      </c>
      <c r="L1751">
        <v>286.87670000000003</v>
      </c>
      <c r="M1751">
        <v>-0.77691080000000001</v>
      </c>
      <c r="N1751">
        <v>-1.4569230000000001E-2</v>
      </c>
      <c r="O1751">
        <v>-0.62944209999999901</v>
      </c>
      <c r="P1751">
        <v>-0.78228679999999995</v>
      </c>
      <c r="Q1751">
        <v>0.36708380000000002</v>
      </c>
      <c r="R1751">
        <v>-0.50326629999999895</v>
      </c>
      <c r="S1751">
        <v>-3.1924899999999998</v>
      </c>
      <c r="T1751">
        <v>-0.71420410000000001</v>
      </c>
      <c r="U1751">
        <v>-1.5402530000000001</v>
      </c>
      <c r="V1751">
        <v>0.11017100000000001</v>
      </c>
      <c r="W1751">
        <v>0.37807600000000002</v>
      </c>
      <c r="X1751">
        <v>0.91919580000000001</v>
      </c>
      <c r="Y1751">
        <v>0.2163146</v>
      </c>
      <c r="Z1751">
        <v>0.13427140000000001</v>
      </c>
      <c r="AA1751">
        <v>0.96704659999999998</v>
      </c>
      <c r="AB1751">
        <v>22</v>
      </c>
      <c r="AC1751">
        <v>-0.59419999999999995</v>
      </c>
      <c r="AD1751">
        <v>-0.17565749999999999</v>
      </c>
      <c r="AE1751">
        <v>-0.243400000000008</v>
      </c>
      <c r="AF1751">
        <v>0.172058146618423</v>
      </c>
      <c r="AG1751">
        <v>-0.17565749999999999</v>
      </c>
      <c r="AH1751">
        <v>0.57209910727883695</v>
      </c>
      <c r="AI1751">
        <v>106.384951491495</v>
      </c>
      <c r="AJ1751">
        <v>73.261400813688795</v>
      </c>
      <c r="AK1751">
        <v>0.62270133424721297</v>
      </c>
      <c r="AL1751">
        <v>67.7854438629859</v>
      </c>
      <c r="AM1751">
        <v>83.165368295518505</v>
      </c>
      <c r="AN1751">
        <v>1.00000001487732</v>
      </c>
    </row>
    <row r="1752" spans="1:40" x14ac:dyDescent="0.25">
      <c r="A1752" t="str">
        <f>"20190304164403825"</f>
        <v>20190304164403825</v>
      </c>
      <c r="B1752" t="str">
        <f>"1551689043821172"</f>
        <v>1551689043821172</v>
      </c>
      <c r="C1752" t="s">
        <v>40</v>
      </c>
      <c r="D1752">
        <v>5.664288</v>
      </c>
      <c r="E1752">
        <v>0.56773249999999997</v>
      </c>
      <c r="F1752" t="s">
        <v>41</v>
      </c>
      <c r="G1752">
        <v>-202.37139999999999</v>
      </c>
      <c r="H1752">
        <v>0.93088839999999995</v>
      </c>
      <c r="I1752">
        <v>286.52319999999997</v>
      </c>
      <c r="J1752">
        <v>-201.8047</v>
      </c>
      <c r="K1752">
        <v>1.1015649999999999</v>
      </c>
      <c r="L1752">
        <v>286.74200000000002</v>
      </c>
      <c r="M1752">
        <v>-0.78738769999999902</v>
      </c>
      <c r="N1752">
        <v>-1.4457879999999999E-2</v>
      </c>
      <c r="O1752">
        <v>-0.61628859999999996</v>
      </c>
      <c r="P1752">
        <v>-0.7904909</v>
      </c>
      <c r="Q1752">
        <v>0.3659733</v>
      </c>
      <c r="R1752">
        <v>-0.4911085</v>
      </c>
      <c r="S1752">
        <v>-3.2145999999999999</v>
      </c>
      <c r="T1752">
        <v>-0.71860179999999996</v>
      </c>
      <c r="U1752">
        <v>-1.4883729999999999</v>
      </c>
      <c r="V1752">
        <v>0.1092487</v>
      </c>
      <c r="W1752">
        <v>0.37688149999999998</v>
      </c>
      <c r="X1752">
        <v>0.91979619999999995</v>
      </c>
      <c r="Y1752">
        <v>0.21531</v>
      </c>
      <c r="Z1752">
        <v>0.13300519999999999</v>
      </c>
      <c r="AA1752">
        <v>0.96744569999999996</v>
      </c>
      <c r="AB1752">
        <v>22</v>
      </c>
      <c r="AC1752">
        <v>-0.56669999999999698</v>
      </c>
      <c r="AD1752">
        <v>-0.17067659999999901</v>
      </c>
      <c r="AE1752">
        <v>-0.21880000000004399</v>
      </c>
      <c r="AF1752">
        <v>0.164039583654572</v>
      </c>
      <c r="AG1752">
        <v>-0.17067659999999901</v>
      </c>
      <c r="AH1752">
        <v>0.53860034237988696</v>
      </c>
      <c r="AI1752">
        <v>106.864212860706</v>
      </c>
      <c r="AJ1752">
        <v>73.061024349811305</v>
      </c>
      <c r="AK1752">
        <v>0.58832798302040401</v>
      </c>
      <c r="AL1752">
        <v>67.859351065536103</v>
      </c>
      <c r="AM1752">
        <v>83.226433314440698</v>
      </c>
      <c r="AN1752">
        <v>0.99999999651418903</v>
      </c>
    </row>
    <row r="1753" spans="1:40" x14ac:dyDescent="0.25">
      <c r="A1753" t="str">
        <f>"20190304164403843"</f>
        <v>20190304164403843</v>
      </c>
      <c r="B1753" t="str">
        <f>"1551689043831908"</f>
        <v>1551689043831908</v>
      </c>
      <c r="C1753" t="s">
        <v>40</v>
      </c>
      <c r="D1753">
        <v>5.6889159999999999</v>
      </c>
      <c r="E1753">
        <v>0.56781669999999995</v>
      </c>
      <c r="F1753" t="s">
        <v>41</v>
      </c>
      <c r="G1753">
        <v>-202.54230000000001</v>
      </c>
      <c r="H1753">
        <v>0.93717609999999996</v>
      </c>
      <c r="I1753">
        <v>286.41419999999999</v>
      </c>
      <c r="J1753">
        <v>-201.96850000000001</v>
      </c>
      <c r="K1753">
        <v>1.101532</v>
      </c>
      <c r="L1753">
        <v>286.6336</v>
      </c>
      <c r="M1753">
        <v>-0.79588000000000003</v>
      </c>
      <c r="N1753">
        <v>-1.437038E-2</v>
      </c>
      <c r="O1753">
        <v>-0.60528400000000004</v>
      </c>
      <c r="P1753">
        <v>-0.796656699999999</v>
      </c>
      <c r="Q1753">
        <v>0.36660930000000003</v>
      </c>
      <c r="R1753">
        <v>-0.48055819999999999</v>
      </c>
      <c r="S1753">
        <v>-3.235306</v>
      </c>
      <c r="T1753">
        <v>-0.72067060000000005</v>
      </c>
      <c r="U1753">
        <v>-1.43811</v>
      </c>
      <c r="V1753">
        <v>0.1085371</v>
      </c>
      <c r="W1753">
        <v>0.37744640000000002</v>
      </c>
      <c r="X1753">
        <v>0.91964880000000004</v>
      </c>
      <c r="Y1753">
        <v>0.2166351</v>
      </c>
      <c r="Z1753">
        <v>0.13180169999999999</v>
      </c>
      <c r="AA1753">
        <v>0.96731460000000002</v>
      </c>
      <c r="AB1753">
        <v>22</v>
      </c>
      <c r="AC1753">
        <v>-0.57380000000000497</v>
      </c>
      <c r="AD1753">
        <v>-0.164355899999999</v>
      </c>
      <c r="AE1753">
        <v>-0.21940000000000701</v>
      </c>
      <c r="AF1753">
        <v>0.16117675669398099</v>
      </c>
      <c r="AG1753">
        <v>-0.164355899999999</v>
      </c>
      <c r="AH1753">
        <v>0.550156179553842</v>
      </c>
      <c r="AI1753">
        <v>105.997280487377</v>
      </c>
      <c r="AJ1753">
        <v>73.671238193747996</v>
      </c>
      <c r="AK1753">
        <v>0.59637457244963099</v>
      </c>
      <c r="AL1753">
        <v>67.824403801499002</v>
      </c>
      <c r="AM1753">
        <v>83.269078730201201</v>
      </c>
      <c r="AN1753">
        <v>1.0000000011454</v>
      </c>
    </row>
    <row r="1754" spans="1:40" x14ac:dyDescent="0.25">
      <c r="A1754" t="str">
        <f>"20190304164403868"</f>
        <v>20190304164403868</v>
      </c>
      <c r="B1754" t="str">
        <f>"1551689043861188"</f>
        <v>1551689043861188</v>
      </c>
      <c r="C1754" t="s">
        <v>40</v>
      </c>
      <c r="D1754">
        <v>5.5919780000000001</v>
      </c>
      <c r="E1754">
        <v>0.56798740000000003</v>
      </c>
      <c r="F1754" t="s">
        <v>41</v>
      </c>
      <c r="G1754">
        <v>-202.71559999999999</v>
      </c>
      <c r="H1754">
        <v>0.93691579999999997</v>
      </c>
      <c r="I1754">
        <v>286.31319999999999</v>
      </c>
      <c r="J1754">
        <v>-202.17230000000001</v>
      </c>
      <c r="K1754">
        <v>1.101521</v>
      </c>
      <c r="L1754">
        <v>286.50310000000002</v>
      </c>
      <c r="M1754">
        <v>-0.80614469999999905</v>
      </c>
      <c r="N1754">
        <v>-1.42697999999999E-2</v>
      </c>
      <c r="O1754">
        <v>-0.59154640000000003</v>
      </c>
      <c r="P1754">
        <v>-0.80393680000000001</v>
      </c>
      <c r="Q1754">
        <v>0.36796240000000002</v>
      </c>
      <c r="R1754">
        <v>-0.46721469999999998</v>
      </c>
      <c r="S1754">
        <v>-3.2536619999999998</v>
      </c>
      <c r="T1754">
        <v>-0.71643509999999999</v>
      </c>
      <c r="U1754">
        <v>-1.395508</v>
      </c>
      <c r="V1754">
        <v>0.1077577</v>
      </c>
      <c r="W1754">
        <v>0.37871769999999999</v>
      </c>
      <c r="X1754">
        <v>0.91921770000000003</v>
      </c>
      <c r="Y1754">
        <v>0.21300050000000001</v>
      </c>
      <c r="Z1754">
        <v>0.1284477</v>
      </c>
      <c r="AA1754">
        <v>0.96857210000000005</v>
      </c>
      <c r="AB1754">
        <v>22</v>
      </c>
      <c r="AC1754">
        <v>-0.54329999999998702</v>
      </c>
      <c r="AD1754">
        <v>-0.16460519999999901</v>
      </c>
      <c r="AE1754">
        <v>-0.189900000000022</v>
      </c>
      <c r="AF1754">
        <v>0.15559027401470499</v>
      </c>
      <c r="AG1754">
        <v>-0.16460519999999901</v>
      </c>
      <c r="AH1754">
        <v>0.50875353341021201</v>
      </c>
      <c r="AI1754">
        <v>107.192085730014</v>
      </c>
      <c r="AJ1754">
        <v>72.994983390201696</v>
      </c>
      <c r="AK1754">
        <v>0.556896186907746</v>
      </c>
      <c r="AL1754">
        <v>67.745723337726204</v>
      </c>
      <c r="AM1754">
        <v>83.313868534871801</v>
      </c>
      <c r="AN1754">
        <v>0.99999999909793502</v>
      </c>
    </row>
    <row r="1755" spans="1:40" x14ac:dyDescent="0.25">
      <c r="A1755" t="str">
        <f>"20190304164403889"</f>
        <v>20190304164403889</v>
      </c>
      <c r="B1755" t="str">
        <f>"1551689043881684"</f>
        <v>1551689043881684</v>
      </c>
      <c r="C1755" t="s">
        <v>40</v>
      </c>
      <c r="D1755">
        <v>5.6176709999999996</v>
      </c>
      <c r="E1755">
        <v>0.56818829999999998</v>
      </c>
      <c r="F1755" t="s">
        <v>41</v>
      </c>
      <c r="G1755">
        <v>-202.89160000000001</v>
      </c>
      <c r="H1755">
        <v>0.94625740000000003</v>
      </c>
      <c r="I1755">
        <v>286.20909999999998</v>
      </c>
      <c r="J1755">
        <v>-202.364</v>
      </c>
      <c r="K1755">
        <v>1.101518</v>
      </c>
      <c r="L1755">
        <v>286.38490000000002</v>
      </c>
      <c r="M1755">
        <v>-0.81548730000000003</v>
      </c>
      <c r="N1755">
        <v>-1.41838E-2</v>
      </c>
      <c r="O1755">
        <v>-0.57860119999999904</v>
      </c>
      <c r="P1755">
        <v>-0.81053330000000001</v>
      </c>
      <c r="Q1755">
        <v>0.36933339999999998</v>
      </c>
      <c r="R1755">
        <v>-0.45456429999999998</v>
      </c>
      <c r="S1755">
        <v>-3.2767940000000002</v>
      </c>
      <c r="T1755">
        <v>-0.70704199999999995</v>
      </c>
      <c r="U1755">
        <v>-1.339569</v>
      </c>
      <c r="V1755">
        <v>0.1071438</v>
      </c>
      <c r="W1755">
        <v>0.38001879999999999</v>
      </c>
      <c r="X1755">
        <v>0.91875240000000002</v>
      </c>
      <c r="Y1755">
        <v>0.21448919999999999</v>
      </c>
      <c r="Z1755">
        <v>0.1247577</v>
      </c>
      <c r="AA1755">
        <v>0.96872590000000003</v>
      </c>
      <c r="AB1755">
        <v>22</v>
      </c>
      <c r="AC1755">
        <v>-0.52760000000000595</v>
      </c>
      <c r="AD1755">
        <v>-0.155260599999999</v>
      </c>
      <c r="AE1755">
        <v>-0.17580000000003701</v>
      </c>
      <c r="AF1755">
        <v>0.15021509084951301</v>
      </c>
      <c r="AG1755">
        <v>-0.155260599999999</v>
      </c>
      <c r="AH1755">
        <v>0.49355271533349698</v>
      </c>
      <c r="AI1755">
        <v>106.74903867302901</v>
      </c>
      <c r="AJ1755">
        <v>73.072126240690494</v>
      </c>
      <c r="AK1755">
        <v>0.538762201944749</v>
      </c>
      <c r="AL1755">
        <v>67.665153466561307</v>
      </c>
      <c r="AM1755">
        <v>83.3482808456329</v>
      </c>
      <c r="AN1755">
        <v>1.0000000273688101</v>
      </c>
    </row>
    <row r="1756" spans="1:40" x14ac:dyDescent="0.25">
      <c r="A1756" t="str">
        <f>"20190304164403912"</f>
        <v>20190304164403912</v>
      </c>
      <c r="B1756" t="str">
        <f>"1551689043901204"</f>
        <v>1551689043901204</v>
      </c>
      <c r="C1756" t="s">
        <v>40</v>
      </c>
      <c r="D1756">
        <v>5.5627050000000002</v>
      </c>
      <c r="E1756">
        <v>0.56829600000000002</v>
      </c>
      <c r="F1756" t="s">
        <v>41</v>
      </c>
      <c r="G1756">
        <v>-203.06909999999999</v>
      </c>
      <c r="H1756">
        <v>0.95271349999999999</v>
      </c>
      <c r="I1756">
        <v>286.10989999999998</v>
      </c>
      <c r="J1756">
        <v>-202.5615</v>
      </c>
      <c r="K1756">
        <v>1.101531</v>
      </c>
      <c r="L1756">
        <v>286.26729999999998</v>
      </c>
      <c r="M1756">
        <v>-0.82479910000000001</v>
      </c>
      <c r="N1756">
        <v>-1.409944E-2</v>
      </c>
      <c r="O1756">
        <v>-0.56525049999999999</v>
      </c>
      <c r="P1756">
        <v>-0.8174844</v>
      </c>
      <c r="Q1756">
        <v>0.37060140000000003</v>
      </c>
      <c r="R1756">
        <v>-0.44087870000000001</v>
      </c>
      <c r="S1756">
        <v>-3.2970429999999999</v>
      </c>
      <c r="T1756">
        <v>-0.69563560000000002</v>
      </c>
      <c r="U1756">
        <v>-1.2859799999999999</v>
      </c>
      <c r="V1756">
        <v>0.1073248</v>
      </c>
      <c r="W1756">
        <v>0.3812005</v>
      </c>
      <c r="X1756">
        <v>0.91824159999999999</v>
      </c>
      <c r="Y1756">
        <v>0.21487290000000001</v>
      </c>
      <c r="Z1756">
        <v>0.120615899999999</v>
      </c>
      <c r="AA1756">
        <v>0.96916530000000001</v>
      </c>
      <c r="AB1756">
        <v>22</v>
      </c>
      <c r="AC1756">
        <v>-0.50759999999999605</v>
      </c>
      <c r="AD1756">
        <v>-0.14881749999999999</v>
      </c>
      <c r="AE1756">
        <v>-0.15739999999999499</v>
      </c>
      <c r="AF1756">
        <v>0.14568928375326901</v>
      </c>
      <c r="AG1756">
        <v>-0.14881749999999999</v>
      </c>
      <c r="AH1756">
        <v>0.47077358186991902</v>
      </c>
      <c r="AI1756">
        <v>106.80341090055499</v>
      </c>
      <c r="AJ1756">
        <v>72.804385248291496</v>
      </c>
      <c r="AK1756">
        <v>0.514781294428444</v>
      </c>
      <c r="AL1756">
        <v>67.591936594892701</v>
      </c>
      <c r="AM1756">
        <v>83.333471855646806</v>
      </c>
      <c r="AN1756">
        <v>1.0000000349329199</v>
      </c>
    </row>
    <row r="1757" spans="1:40" x14ac:dyDescent="0.25">
      <c r="A1757" t="str">
        <f>"20190304164403937"</f>
        <v>20190304164403937</v>
      </c>
      <c r="B1757" t="str">
        <f>"1551689043931460"</f>
        <v>1551689043931460</v>
      </c>
      <c r="C1757" t="s">
        <v>40</v>
      </c>
      <c r="D1757">
        <v>5.474297</v>
      </c>
      <c r="E1757">
        <v>0.56838409999999995</v>
      </c>
      <c r="F1757" t="s">
        <v>41</v>
      </c>
      <c r="G1757">
        <v>-203.24789999999999</v>
      </c>
      <c r="H1757">
        <v>0.95917759999999996</v>
      </c>
      <c r="I1757">
        <v>286.01260000000002</v>
      </c>
      <c r="J1757">
        <v>-202.77269999999999</v>
      </c>
      <c r="K1757">
        <v>1.1015330000000001</v>
      </c>
      <c r="L1757">
        <v>286.1465</v>
      </c>
      <c r="M1757">
        <v>-0.83440999999999999</v>
      </c>
      <c r="N1757">
        <v>-1.4007179999999999E-2</v>
      </c>
      <c r="O1757">
        <v>-0.55096619999999996</v>
      </c>
      <c r="P1757">
        <v>-0.8249396</v>
      </c>
      <c r="Q1757">
        <v>0.37142910000000001</v>
      </c>
      <c r="R1757">
        <v>-0.42604619999999999</v>
      </c>
      <c r="S1757">
        <v>-3.3172609999999998</v>
      </c>
      <c r="T1757">
        <v>-0.68708230000000003</v>
      </c>
      <c r="U1757">
        <v>-1.2312320000000001</v>
      </c>
      <c r="V1757">
        <v>0.1079027</v>
      </c>
      <c r="W1757">
        <v>0.3819265</v>
      </c>
      <c r="X1757">
        <v>0.91787209999999997</v>
      </c>
      <c r="Y1757">
        <v>0.2145627</v>
      </c>
      <c r="Z1757">
        <v>0.1168088</v>
      </c>
      <c r="AA1757">
        <v>0.96970020000000001</v>
      </c>
      <c r="AB1757">
        <v>22</v>
      </c>
      <c r="AC1757">
        <v>-0.47520000000000101</v>
      </c>
      <c r="AD1757">
        <v>-0.14235539999999999</v>
      </c>
      <c r="AE1757">
        <v>-0.13389999999998201</v>
      </c>
      <c r="AF1757">
        <v>0.138584368242199</v>
      </c>
      <c r="AG1757">
        <v>-0.14235539999999999</v>
      </c>
      <c r="AH1757">
        <v>0.43422997703009603</v>
      </c>
      <c r="AI1757">
        <v>107.344321480358</v>
      </c>
      <c r="AJ1757">
        <v>72.299532331992197</v>
      </c>
      <c r="AK1757">
        <v>0.47752105710827703</v>
      </c>
      <c r="AL1757">
        <v>67.546934768905302</v>
      </c>
      <c r="AM1757">
        <v>83.295227576347699</v>
      </c>
      <c r="AN1757">
        <v>1.0000000180139701</v>
      </c>
    </row>
    <row r="1758" spans="1:40" x14ac:dyDescent="0.25">
      <c r="A1758" t="str">
        <f>"20190304164403959"</f>
        <v>20190304164403959</v>
      </c>
      <c r="B1758" t="str">
        <f>"1551689043951957"</f>
        <v>1551689043951957</v>
      </c>
      <c r="C1758" t="s">
        <v>40</v>
      </c>
      <c r="D1758">
        <v>5.4540769999999998</v>
      </c>
      <c r="E1758">
        <v>0.5684361</v>
      </c>
      <c r="F1758" t="s">
        <v>41</v>
      </c>
      <c r="G1758">
        <v>-203.60650000000001</v>
      </c>
      <c r="H1758">
        <v>0.93138770000000004</v>
      </c>
      <c r="I1758">
        <v>285.85329999999999</v>
      </c>
      <c r="J1758">
        <v>-202.971</v>
      </c>
      <c r="K1758">
        <v>1.101537</v>
      </c>
      <c r="L1758">
        <v>286.0376</v>
      </c>
      <c r="M1758">
        <v>-0.84311429999999998</v>
      </c>
      <c r="N1758">
        <v>-1.391822E-2</v>
      </c>
      <c r="O1758">
        <v>-0.53755410000000003</v>
      </c>
      <c r="P1758">
        <v>-0.831001199999999</v>
      </c>
      <c r="Q1758">
        <v>0.37247750000000002</v>
      </c>
      <c r="R1758">
        <v>-0.41315560000000001</v>
      </c>
      <c r="S1758">
        <v>-3.3367309999999999</v>
      </c>
      <c r="T1758">
        <v>-0.68039559999999999</v>
      </c>
      <c r="U1758">
        <v>-1.1738280000000001</v>
      </c>
      <c r="V1758">
        <v>0.1072737</v>
      </c>
      <c r="W1758">
        <v>0.38290459999999998</v>
      </c>
      <c r="X1758">
        <v>0.91753819999999997</v>
      </c>
      <c r="Y1758">
        <v>0.21596009999999999</v>
      </c>
      <c r="Z1758">
        <v>0.11368259999999999</v>
      </c>
      <c r="AA1758">
        <v>0.9697616</v>
      </c>
      <c r="AB1758">
        <v>22</v>
      </c>
      <c r="AC1758">
        <v>-0.63550000000003504</v>
      </c>
      <c r="AD1758">
        <v>-0.170149299999999</v>
      </c>
      <c r="AE1758">
        <v>-0.18430000000000701</v>
      </c>
      <c r="AF1758">
        <v>0.17469614032407799</v>
      </c>
      <c r="AG1758">
        <v>-0.170149299999999</v>
      </c>
      <c r="AH1758">
        <v>0.59555174070654004</v>
      </c>
      <c r="AI1758">
        <v>105.33091126295299</v>
      </c>
      <c r="AJ1758">
        <v>73.651743141801802</v>
      </c>
      <c r="AK1758">
        <v>0.64354595919266699</v>
      </c>
      <c r="AL1758">
        <v>67.486282419591006</v>
      </c>
      <c r="AM1758">
        <v>83.331555133901205</v>
      </c>
      <c r="AN1758">
        <v>0.99999996393604396</v>
      </c>
    </row>
    <row r="1759" spans="1:40" x14ac:dyDescent="0.25">
      <c r="A1759" t="str">
        <f>"20190304164403980"</f>
        <v>20190304164403980</v>
      </c>
      <c r="B1759" t="str">
        <f>"1551689043971476"</f>
        <v>1551689043971476</v>
      </c>
      <c r="C1759" t="s">
        <v>40</v>
      </c>
      <c r="D1759">
        <v>5.4596799999999996</v>
      </c>
      <c r="E1759">
        <v>0.56841830000000004</v>
      </c>
      <c r="F1759" t="s">
        <v>41</v>
      </c>
      <c r="G1759">
        <v>-203.7895</v>
      </c>
      <c r="H1759">
        <v>0.93737760000000003</v>
      </c>
      <c r="I1759">
        <v>285.76459999999997</v>
      </c>
      <c r="J1759">
        <v>-203.16239999999999</v>
      </c>
      <c r="K1759">
        <v>1.101542</v>
      </c>
      <c r="L1759">
        <v>285.93610000000001</v>
      </c>
      <c r="M1759">
        <v>-0.85123890000000002</v>
      </c>
      <c r="N1759">
        <v>-1.383498E-2</v>
      </c>
      <c r="O1759">
        <v>-0.52459630000000002</v>
      </c>
      <c r="P1759">
        <v>-0.83561659999999904</v>
      </c>
      <c r="Q1759">
        <v>0.37435810000000003</v>
      </c>
      <c r="R1759">
        <v>-0.40199649999999998</v>
      </c>
      <c r="S1759">
        <v>-3.355286</v>
      </c>
      <c r="T1759">
        <v>-0.67272569999999998</v>
      </c>
      <c r="U1759">
        <v>-1.11911</v>
      </c>
      <c r="V1759">
        <v>0.10510839999999901</v>
      </c>
      <c r="W1759">
        <v>0.38475209999999999</v>
      </c>
      <c r="X1759">
        <v>0.91701589999999999</v>
      </c>
      <c r="Y1759">
        <v>0.2172991</v>
      </c>
      <c r="Z1759">
        <v>0.1104538</v>
      </c>
      <c r="AA1759">
        <v>0.96983560000000002</v>
      </c>
      <c r="AB1759">
        <v>22</v>
      </c>
      <c r="AC1759">
        <v>-0.62710000000001198</v>
      </c>
      <c r="AD1759">
        <v>-0.16416439999999999</v>
      </c>
      <c r="AE1759">
        <v>-0.17150000000003701</v>
      </c>
      <c r="AF1759">
        <v>0.172035098782929</v>
      </c>
      <c r="AG1759">
        <v>-0.16416439999999999</v>
      </c>
      <c r="AH1759">
        <v>0.586446917056207</v>
      </c>
      <c r="AI1759">
        <v>105.035390996975</v>
      </c>
      <c r="AJ1759">
        <v>73.650868610873104</v>
      </c>
      <c r="AK1759">
        <v>0.63282383959941202</v>
      </c>
      <c r="AL1759">
        <v>67.371650181632901</v>
      </c>
      <c r="AM1759">
        <v>83.461290424583694</v>
      </c>
      <c r="AN1759">
        <v>1.0000000575288801</v>
      </c>
    </row>
    <row r="1760" spans="1:40" x14ac:dyDescent="0.25">
      <c r="A1760" t="str">
        <f>"20190304164404002"</f>
        <v>20190304164404002</v>
      </c>
      <c r="B1760" t="str">
        <f>"1551689043991972"</f>
        <v>1551689043991972</v>
      </c>
      <c r="C1760" t="s">
        <v>40</v>
      </c>
      <c r="D1760">
        <v>5.4288800000000004</v>
      </c>
      <c r="E1760">
        <v>0.56837740000000003</v>
      </c>
      <c r="F1760" t="s">
        <v>41</v>
      </c>
      <c r="G1760">
        <v>-203.9735</v>
      </c>
      <c r="H1760">
        <v>0.94214279999999995</v>
      </c>
      <c r="I1760">
        <v>285.6789</v>
      </c>
      <c r="J1760">
        <v>-203.3631</v>
      </c>
      <c r="K1760">
        <v>1.101531</v>
      </c>
      <c r="L1760">
        <v>285.8338</v>
      </c>
      <c r="M1760">
        <v>-0.85947099999999899</v>
      </c>
      <c r="N1760">
        <v>-1.3748689999999999E-2</v>
      </c>
      <c r="O1760">
        <v>-0.5109996</v>
      </c>
      <c r="P1760">
        <v>-0.84015149999999905</v>
      </c>
      <c r="Q1760">
        <v>0.37628240000000002</v>
      </c>
      <c r="R1760">
        <v>-0.39058540000000003</v>
      </c>
      <c r="S1760">
        <v>-3.3722840000000001</v>
      </c>
      <c r="T1760">
        <v>-0.66232800000000003</v>
      </c>
      <c r="U1760">
        <v>-1.069672</v>
      </c>
      <c r="V1760">
        <v>0.1026077</v>
      </c>
      <c r="W1760">
        <v>0.3866483</v>
      </c>
      <c r="X1760">
        <v>0.91650129999999996</v>
      </c>
      <c r="Y1760">
        <v>0.2166748</v>
      </c>
      <c r="Z1760">
        <v>0.10650220000000001</v>
      </c>
      <c r="AA1760">
        <v>0.97041710000000003</v>
      </c>
      <c r="AB1760">
        <v>22</v>
      </c>
      <c r="AC1760">
        <v>-0.61039999999999806</v>
      </c>
      <c r="AD1760">
        <v>-0.15938820000000001</v>
      </c>
      <c r="AE1760">
        <v>-0.15489999999999701</v>
      </c>
      <c r="AF1760">
        <v>0.16803487495818301</v>
      </c>
      <c r="AG1760">
        <v>-0.15938820000000001</v>
      </c>
      <c r="AH1760">
        <v>0.56747989377341401</v>
      </c>
      <c r="AI1760">
        <v>105.072811703215</v>
      </c>
      <c r="AJ1760">
        <v>73.505599837201203</v>
      </c>
      <c r="AK1760">
        <v>0.61292230122466396</v>
      </c>
      <c r="AL1760">
        <v>67.253891642963893</v>
      </c>
      <c r="AM1760">
        <v>83.612001860734097</v>
      </c>
      <c r="AN1760">
        <v>0.99999994044693297</v>
      </c>
    </row>
    <row r="1761" spans="1:40" x14ac:dyDescent="0.25">
      <c r="A1761" t="str">
        <f>"20190304164404025"</f>
        <v>20190304164404025</v>
      </c>
      <c r="B1761" t="str">
        <f>"1551689044021253"</f>
        <v>1551689044021253</v>
      </c>
      <c r="C1761" t="s">
        <v>40</v>
      </c>
      <c r="D1761">
        <v>5.5690749999999998</v>
      </c>
      <c r="E1761">
        <v>0.56836189999999998</v>
      </c>
      <c r="F1761" t="s">
        <v>41</v>
      </c>
      <c r="G1761">
        <v>-204.1584</v>
      </c>
      <c r="H1761">
        <v>0.94830020000000004</v>
      </c>
      <c r="I1761">
        <v>285.59379999999999</v>
      </c>
      <c r="J1761">
        <v>-203.5677</v>
      </c>
      <c r="K1761">
        <v>1.1014930000000001</v>
      </c>
      <c r="L1761">
        <v>285.73340000000002</v>
      </c>
      <c r="M1761">
        <v>-0.86759540000000002</v>
      </c>
      <c r="N1761">
        <v>-1.36562E-2</v>
      </c>
      <c r="O1761">
        <v>-0.49708330000000001</v>
      </c>
      <c r="P1761">
        <v>-0.84454439999999997</v>
      </c>
      <c r="Q1761">
        <v>0.37836130000000001</v>
      </c>
      <c r="R1761">
        <v>-0.37892999999999999</v>
      </c>
      <c r="S1761">
        <v>-3.3879090000000001</v>
      </c>
      <c r="T1761">
        <v>-0.65268919999999997</v>
      </c>
      <c r="U1761">
        <v>-1.022186</v>
      </c>
      <c r="V1761">
        <v>0.10009990000000001</v>
      </c>
      <c r="W1761">
        <v>0.38868910000000001</v>
      </c>
      <c r="X1761">
        <v>0.91591529999999999</v>
      </c>
      <c r="Y1761">
        <v>0.2151884</v>
      </c>
      <c r="Z1761">
        <v>0.10261240000000001</v>
      </c>
      <c r="AA1761">
        <v>0.97116659999999999</v>
      </c>
      <c r="AB1761">
        <v>22</v>
      </c>
      <c r="AC1761">
        <v>-0.590699999999998</v>
      </c>
      <c r="AD1761">
        <v>-0.15319279999999999</v>
      </c>
      <c r="AE1761">
        <v>-0.13960000000002901</v>
      </c>
      <c r="AF1761">
        <v>0.162195036057415</v>
      </c>
      <c r="AG1761">
        <v>-0.15319279999999999</v>
      </c>
      <c r="AH1761">
        <v>0.54708624974090003</v>
      </c>
      <c r="AI1761">
        <v>105.027617110096</v>
      </c>
      <c r="AJ1761">
        <v>73.486453631667899</v>
      </c>
      <c r="AK1761">
        <v>0.59082876398248296</v>
      </c>
      <c r="AL1761">
        <v>67.127044584106898</v>
      </c>
      <c r="AM1761">
        <v>83.762928132081797</v>
      </c>
      <c r="AN1761">
        <v>1.00000002160645</v>
      </c>
    </row>
    <row r="1762" spans="1:40" x14ac:dyDescent="0.25">
      <c r="A1762" t="str">
        <f>"20190304164404045"</f>
        <v>20190304164404045</v>
      </c>
      <c r="B1762" t="str">
        <f>"1551689044041748"</f>
        <v>1551689044041748</v>
      </c>
      <c r="C1762" t="s">
        <v>40</v>
      </c>
      <c r="D1762">
        <v>5.7976590000000003</v>
      </c>
      <c r="E1762">
        <v>0.56839629999999997</v>
      </c>
      <c r="F1762" t="s">
        <v>41</v>
      </c>
      <c r="G1762">
        <v>-204.34460000000001</v>
      </c>
      <c r="H1762">
        <v>0.95465820000000001</v>
      </c>
      <c r="I1762">
        <v>285.51089999999999</v>
      </c>
      <c r="J1762">
        <v>-203.76</v>
      </c>
      <c r="K1762">
        <v>1.101456</v>
      </c>
      <c r="L1762">
        <v>285.6429</v>
      </c>
      <c r="M1762">
        <v>-0.87498639999999905</v>
      </c>
      <c r="N1762">
        <v>-1.356714E-2</v>
      </c>
      <c r="O1762">
        <v>-0.48395769999999999</v>
      </c>
      <c r="P1762">
        <v>-0.84843729999999995</v>
      </c>
      <c r="Q1762">
        <v>0.38025170000000003</v>
      </c>
      <c r="R1762">
        <v>-0.36818879999999998</v>
      </c>
      <c r="S1762">
        <v>-3.4026179999999999</v>
      </c>
      <c r="T1762">
        <v>-0.64233839999999998</v>
      </c>
      <c r="U1762">
        <v>-0.97476200000000002</v>
      </c>
      <c r="V1762">
        <v>9.7567680000000004E-2</v>
      </c>
      <c r="W1762">
        <v>0.39054319999999998</v>
      </c>
      <c r="X1762">
        <v>0.91539970000000004</v>
      </c>
      <c r="Y1762">
        <v>0.2146209</v>
      </c>
      <c r="Z1762">
        <v>9.8875580000000005E-2</v>
      </c>
      <c r="AA1762">
        <v>0.97167969999999904</v>
      </c>
      <c r="AB1762">
        <v>22</v>
      </c>
      <c r="AC1762">
        <v>-0.58460000000002299</v>
      </c>
      <c r="AD1762">
        <v>-0.14679779999999901</v>
      </c>
      <c r="AE1762">
        <v>-0.132000000000005</v>
      </c>
      <c r="AF1762">
        <v>0.157961708730262</v>
      </c>
      <c r="AG1762">
        <v>-0.14679779999999901</v>
      </c>
      <c r="AH1762">
        <v>0.54288138133503905</v>
      </c>
      <c r="AI1762">
        <v>104.554752325866</v>
      </c>
      <c r="AJ1762">
        <v>73.776636183787502</v>
      </c>
      <c r="AK1762">
        <v>0.58414184040356598</v>
      </c>
      <c r="AL1762">
        <v>67.011697545096396</v>
      </c>
      <c r="AM1762">
        <v>83.916110594939596</v>
      </c>
      <c r="AN1762">
        <v>1.0000000270034499</v>
      </c>
    </row>
    <row r="1763" spans="1:40" x14ac:dyDescent="0.25">
      <c r="A1763" t="str">
        <f>"20190304164404068"</f>
        <v>20190304164404068</v>
      </c>
      <c r="B1763" t="str">
        <f>"1551689044061268"</f>
        <v>1551689044061268</v>
      </c>
      <c r="C1763" t="s">
        <v>40</v>
      </c>
      <c r="D1763">
        <v>5.7973720000000002</v>
      </c>
      <c r="E1763">
        <v>0.56852469999999999</v>
      </c>
      <c r="F1763" t="s">
        <v>41</v>
      </c>
      <c r="G1763">
        <v>-204.53210000000001</v>
      </c>
      <c r="H1763">
        <v>0.95805119999999999</v>
      </c>
      <c r="I1763">
        <v>285.43310000000002</v>
      </c>
      <c r="J1763">
        <v>-203.96619999999999</v>
      </c>
      <c r="K1763">
        <v>1.1013949999999999</v>
      </c>
      <c r="L1763">
        <v>285.5496</v>
      </c>
      <c r="M1763">
        <v>-0.88267030000000002</v>
      </c>
      <c r="N1763">
        <v>-1.3470909999999999E-2</v>
      </c>
      <c r="O1763">
        <v>-0.46979959999999998</v>
      </c>
      <c r="P1763">
        <v>-0.85296299999999903</v>
      </c>
      <c r="Q1763">
        <v>0.38156459999999998</v>
      </c>
      <c r="R1763">
        <v>-0.35617840000000001</v>
      </c>
      <c r="S1763">
        <v>-3.417389</v>
      </c>
      <c r="T1763">
        <v>-0.6344204</v>
      </c>
      <c r="U1763">
        <v>-0.92837519999999996</v>
      </c>
      <c r="V1763">
        <v>9.5531809999999995E-2</v>
      </c>
      <c r="W1763">
        <v>0.39179969999999997</v>
      </c>
      <c r="X1763">
        <v>0.91507740000000004</v>
      </c>
      <c r="Y1763">
        <v>0.21270919999999999</v>
      </c>
      <c r="Z1763">
        <v>9.5278399999999999E-2</v>
      </c>
      <c r="AA1763">
        <v>0.97245910000000002</v>
      </c>
      <c r="AB1763">
        <v>22</v>
      </c>
      <c r="AC1763">
        <v>-0.56590000000002705</v>
      </c>
      <c r="AD1763">
        <v>-0.14334379999999999</v>
      </c>
      <c r="AE1763">
        <v>-0.116499999999973</v>
      </c>
      <c r="AF1763">
        <v>0.15358935487858</v>
      </c>
      <c r="AG1763">
        <v>-0.14334379999999999</v>
      </c>
      <c r="AH1763">
        <v>0.52214526783042003</v>
      </c>
      <c r="AI1763">
        <v>104.75497609634</v>
      </c>
      <c r="AJ1763">
        <v>73.608720823724795</v>
      </c>
      <c r="AK1763">
        <v>0.56282574181371603</v>
      </c>
      <c r="AL1763">
        <v>66.933471320999701</v>
      </c>
      <c r="AM1763">
        <v>84.040052388881904</v>
      </c>
      <c r="AN1763">
        <v>0.99999998981636296</v>
      </c>
    </row>
    <row r="1764" spans="1:40" x14ac:dyDescent="0.25">
      <c r="A1764" t="str">
        <f>"20190304164404090"</f>
        <v>20190304164404090</v>
      </c>
      <c r="B1764" t="str">
        <f>"1551689044081765"</f>
        <v>1551689044081765</v>
      </c>
      <c r="C1764" t="s">
        <v>40</v>
      </c>
      <c r="D1764">
        <v>5.8228879999999998</v>
      </c>
      <c r="E1764">
        <v>0.5686194</v>
      </c>
      <c r="F1764" t="s">
        <v>41</v>
      </c>
      <c r="G1764">
        <v>-204.72130000000001</v>
      </c>
      <c r="H1764">
        <v>0.96318139999999997</v>
      </c>
      <c r="I1764">
        <v>285.3571</v>
      </c>
      <c r="J1764">
        <v>-204.17920000000001</v>
      </c>
      <c r="K1764">
        <v>1.1013109999999999</v>
      </c>
      <c r="L1764">
        <v>285.45749999999998</v>
      </c>
      <c r="M1764">
        <v>-0.89034869999999899</v>
      </c>
      <c r="N1764">
        <v>-1.33741E-2</v>
      </c>
      <c r="O1764">
        <v>-0.45508300000000002</v>
      </c>
      <c r="P1764">
        <v>-0.85758609999999902</v>
      </c>
      <c r="Q1764">
        <v>0.3826079</v>
      </c>
      <c r="R1764">
        <v>-0.3437403</v>
      </c>
      <c r="S1764">
        <v>-3.4324490000000001</v>
      </c>
      <c r="T1764">
        <v>-0.62773179999999995</v>
      </c>
      <c r="U1764">
        <v>-0.87533570000000005</v>
      </c>
      <c r="V1764">
        <v>9.3514139999999996E-2</v>
      </c>
      <c r="W1764">
        <v>0.39278380000000002</v>
      </c>
      <c r="X1764">
        <v>0.91486389999999995</v>
      </c>
      <c r="Y1764">
        <v>0.21203359999999999</v>
      </c>
      <c r="Z1764">
        <v>9.1962059999999998E-2</v>
      </c>
      <c r="AA1764">
        <v>0.97292579999999995</v>
      </c>
      <c r="AB1764">
        <v>22</v>
      </c>
      <c r="AC1764">
        <v>-0.54210000000000402</v>
      </c>
      <c r="AD1764">
        <v>-0.13812959999999999</v>
      </c>
      <c r="AE1764">
        <v>-0.10039999999997901</v>
      </c>
      <c r="AF1764">
        <v>0.148031282300536</v>
      </c>
      <c r="AG1764">
        <v>-0.13812959999999999</v>
      </c>
      <c r="AH1764">
        <v>0.49718607772021201</v>
      </c>
      <c r="AI1764">
        <v>104.91025605148501</v>
      </c>
      <c r="AJ1764">
        <v>73.419721610365002</v>
      </c>
      <c r="AK1764">
        <v>0.53683055316785899</v>
      </c>
      <c r="AL1764">
        <v>66.872172712816706</v>
      </c>
      <c r="AM1764">
        <v>84.1636987848199</v>
      </c>
      <c r="AN1764">
        <v>0.99999998172279403</v>
      </c>
    </row>
    <row r="1765" spans="1:40" x14ac:dyDescent="0.25">
      <c r="A1765" t="str">
        <f>"20190304164404112"</f>
        <v>20190304164404112</v>
      </c>
      <c r="B1765" t="str">
        <f>"1551689044101287"</f>
        <v>1551689044101287</v>
      </c>
      <c r="C1765" t="s">
        <v>40</v>
      </c>
      <c r="D1765">
        <v>5.8170149999999996</v>
      </c>
      <c r="E1765">
        <v>0.56866680000000003</v>
      </c>
      <c r="F1765" t="s">
        <v>41</v>
      </c>
      <c r="G1765">
        <v>-204.9119</v>
      </c>
      <c r="H1765">
        <v>0.96904860000000004</v>
      </c>
      <c r="I1765">
        <v>285.28309999999999</v>
      </c>
      <c r="J1765">
        <v>-204.381</v>
      </c>
      <c r="K1765">
        <v>1.1012309999999901</v>
      </c>
      <c r="L1765">
        <v>285.3741</v>
      </c>
      <c r="M1765">
        <v>-0.89738830000000003</v>
      </c>
      <c r="N1765">
        <v>-1.3291610000000001E-2</v>
      </c>
      <c r="O1765">
        <v>-0.44104169999999998</v>
      </c>
      <c r="P1765">
        <v>-0.86156559999999904</v>
      </c>
      <c r="Q1765">
        <v>0.3848144</v>
      </c>
      <c r="R1765">
        <v>-0.3310939</v>
      </c>
      <c r="S1765">
        <v>-3.4470519999999998</v>
      </c>
      <c r="T1765">
        <v>-0.62230830000000004</v>
      </c>
      <c r="U1765">
        <v>-0.82034300000000004</v>
      </c>
      <c r="V1765">
        <v>9.2284320000000003E-2</v>
      </c>
      <c r="W1765">
        <v>0.39491749999999998</v>
      </c>
      <c r="X1765">
        <v>0.91406989999999999</v>
      </c>
      <c r="Y1765">
        <v>0.21264240000000001</v>
      </c>
      <c r="Z1765">
        <v>8.908518E-2</v>
      </c>
      <c r="AA1765">
        <v>0.9730607</v>
      </c>
      <c r="AB1765">
        <v>22</v>
      </c>
      <c r="AC1765">
        <v>-0.53090000000003101</v>
      </c>
      <c r="AD1765">
        <v>-0.13218239999999901</v>
      </c>
      <c r="AE1765">
        <v>-9.1000000000008199E-2</v>
      </c>
      <c r="AF1765">
        <v>0.14383812363359599</v>
      </c>
      <c r="AG1765">
        <v>-0.13218239999999901</v>
      </c>
      <c r="AH1765">
        <v>0.48726063893565502</v>
      </c>
      <c r="AI1765">
        <v>104.583726264692</v>
      </c>
      <c r="AJ1765">
        <v>73.553531219396504</v>
      </c>
      <c r="AK1765">
        <v>0.52496144899999697</v>
      </c>
      <c r="AL1765">
        <v>66.739171270375195</v>
      </c>
      <c r="AM1765">
        <v>84.234963689184397</v>
      </c>
      <c r="AN1765">
        <v>1.0000000048050599</v>
      </c>
    </row>
    <row r="1766" spans="1:40" x14ac:dyDescent="0.25">
      <c r="A1766" t="str">
        <f>"20190304164404135"</f>
        <v>20190304164404135</v>
      </c>
      <c r="B1766" t="str">
        <f>"1551689044131540"</f>
        <v>1551689044131540</v>
      </c>
      <c r="C1766" t="s">
        <v>40</v>
      </c>
      <c r="D1766">
        <v>5.7996040000000004</v>
      </c>
      <c r="E1766">
        <v>0.5686696</v>
      </c>
      <c r="F1766" t="s">
        <v>41</v>
      </c>
      <c r="G1766">
        <v>-205.10400000000001</v>
      </c>
      <c r="H1766">
        <v>0.97311789999999998</v>
      </c>
      <c r="I1766">
        <v>285.21379999999999</v>
      </c>
      <c r="J1766">
        <v>-204.59710000000001</v>
      </c>
      <c r="K1766">
        <v>1.101137</v>
      </c>
      <c r="L1766">
        <v>285.28910000000002</v>
      </c>
      <c r="M1766">
        <v>-0.90468150000000003</v>
      </c>
      <c r="N1766">
        <v>-1.3216179999999999E-2</v>
      </c>
      <c r="O1766">
        <v>-0.42588389999999998</v>
      </c>
      <c r="P1766">
        <v>-0.86622779999999999</v>
      </c>
      <c r="Q1766">
        <v>0.3858877</v>
      </c>
      <c r="R1766">
        <v>-0.31739630000000002</v>
      </c>
      <c r="S1766">
        <v>-3.4609990000000002</v>
      </c>
      <c r="T1766">
        <v>-0.61324019999999901</v>
      </c>
      <c r="U1766">
        <v>-0.76751709999999995</v>
      </c>
      <c r="V1766">
        <v>9.1296870000000002E-2</v>
      </c>
      <c r="W1766">
        <v>0.39592349999999998</v>
      </c>
      <c r="X1766">
        <v>0.91373380000000004</v>
      </c>
      <c r="Y1766">
        <v>0.2116711</v>
      </c>
      <c r="Z1766">
        <v>8.5389519999999997E-2</v>
      </c>
      <c r="AA1766">
        <v>0.97360360000000001</v>
      </c>
      <c r="AB1766">
        <v>22</v>
      </c>
      <c r="AC1766">
        <v>-0.50690000000000102</v>
      </c>
      <c r="AD1766">
        <v>-0.1280191</v>
      </c>
      <c r="AE1766">
        <v>-7.5300000000026998E-2</v>
      </c>
      <c r="AF1766">
        <v>0.13909082386789701</v>
      </c>
      <c r="AG1766">
        <v>-0.1280191</v>
      </c>
      <c r="AH1766">
        <v>0.46187138059399402</v>
      </c>
      <c r="AI1766">
        <v>104.86371537241</v>
      </c>
      <c r="AJ1766">
        <v>73.240523414273397</v>
      </c>
      <c r="AK1766">
        <v>0.499059434797963</v>
      </c>
      <c r="AL1766">
        <v>66.676417076347306</v>
      </c>
      <c r="AM1766">
        <v>84.294156969252001</v>
      </c>
      <c r="AN1766">
        <v>0.99999999679324303</v>
      </c>
    </row>
    <row r="1767" spans="1:40" x14ac:dyDescent="0.25">
      <c r="A1767" t="str">
        <f>"20190304164404159"</f>
        <v>20190304164404159</v>
      </c>
      <c r="B1767" t="str">
        <f>"1551689044152037"</f>
        <v>1551689044152037</v>
      </c>
      <c r="C1767" t="s">
        <v>40</v>
      </c>
      <c r="D1767">
        <v>5.6221560000000004</v>
      </c>
      <c r="E1767">
        <v>0.56867129999999999</v>
      </c>
      <c r="F1767" t="s">
        <v>41</v>
      </c>
      <c r="G1767">
        <v>-205.48480000000001</v>
      </c>
      <c r="H1767">
        <v>0.9451581</v>
      </c>
      <c r="I1767">
        <v>285.1071</v>
      </c>
      <c r="J1767">
        <v>-204.82769999999999</v>
      </c>
      <c r="K1767">
        <v>1.101051</v>
      </c>
      <c r="L1767">
        <v>285.20330000000001</v>
      </c>
      <c r="M1767">
        <v>-0.91216839999999999</v>
      </c>
      <c r="N1767">
        <v>-1.314834E-2</v>
      </c>
      <c r="O1767">
        <v>-0.409605</v>
      </c>
      <c r="P1767">
        <v>-0.87152109999999905</v>
      </c>
      <c r="Q1767">
        <v>0.38530310000000001</v>
      </c>
      <c r="R1767">
        <v>-0.30330269999999998</v>
      </c>
      <c r="S1767">
        <v>-3.4739840000000002</v>
      </c>
      <c r="T1767">
        <v>-0.60988069999999905</v>
      </c>
      <c r="U1767">
        <v>-0.71234129999999996</v>
      </c>
      <c r="V1767">
        <v>8.9909749999999997E-2</v>
      </c>
      <c r="W1767">
        <v>0.39529769999999997</v>
      </c>
      <c r="X1767">
        <v>0.91414220000000002</v>
      </c>
      <c r="Y1767">
        <v>0.2100455</v>
      </c>
      <c r="Z1767">
        <v>8.2347149999999994E-2</v>
      </c>
      <c r="AA1767">
        <v>0.97421749999999996</v>
      </c>
      <c r="AB1767">
        <v>22</v>
      </c>
      <c r="AC1767">
        <v>-0.65710000000001401</v>
      </c>
      <c r="AD1767">
        <v>-0.155892899999999</v>
      </c>
      <c r="AE1767">
        <v>-9.6200000000010194E-2</v>
      </c>
      <c r="AF1767">
        <v>0.171941885825666</v>
      </c>
      <c r="AG1767">
        <v>-0.155892899999999</v>
      </c>
      <c r="AH1767">
        <v>0.60548081979823098</v>
      </c>
      <c r="AI1767">
        <v>103.910884729983</v>
      </c>
      <c r="AJ1767">
        <v>74.146737903875305</v>
      </c>
      <c r="AK1767">
        <v>0.64843938152708902</v>
      </c>
      <c r="AL1767">
        <v>66.715457818860301</v>
      </c>
      <c r="AM1767">
        <v>84.3827841859692</v>
      </c>
      <c r="AN1767">
        <v>0.99999999829559605</v>
      </c>
    </row>
    <row r="1768" spans="1:40" x14ac:dyDescent="0.25">
      <c r="A1768" t="str">
        <f>"20190304164404181"</f>
        <v>20190304164404181</v>
      </c>
      <c r="B1768" t="str">
        <f>"1551689044171557"</f>
        <v>1551689044171557</v>
      </c>
      <c r="C1768" t="s">
        <v>40</v>
      </c>
      <c r="D1768">
        <v>5.6679559999999896</v>
      </c>
      <c r="E1768">
        <v>0.56869579999999997</v>
      </c>
      <c r="F1768" t="s">
        <v>41</v>
      </c>
      <c r="G1768">
        <v>-205.67949999999999</v>
      </c>
      <c r="H1768">
        <v>0.95121670000000003</v>
      </c>
      <c r="I1768">
        <v>285.04289999999997</v>
      </c>
      <c r="J1768">
        <v>-205.04220000000001</v>
      </c>
      <c r="K1768">
        <v>1.100983</v>
      </c>
      <c r="L1768">
        <v>285.1277</v>
      </c>
      <c r="M1768">
        <v>-0.91885919999999999</v>
      </c>
      <c r="N1768">
        <v>-1.3093560000000001E-2</v>
      </c>
      <c r="O1768">
        <v>-0.39436840000000001</v>
      </c>
      <c r="P1768">
        <v>-0.87594539999999999</v>
      </c>
      <c r="Q1768">
        <v>0.3840692</v>
      </c>
      <c r="R1768">
        <v>-0.29190860000000002</v>
      </c>
      <c r="S1768">
        <v>-3.4848020000000002</v>
      </c>
      <c r="T1768">
        <v>-0.61274410000000001</v>
      </c>
      <c r="U1768">
        <v>-0.65615840000000003</v>
      </c>
      <c r="V1768">
        <v>8.684799E-2</v>
      </c>
      <c r="W1768">
        <v>0.3940863</v>
      </c>
      <c r="X1768">
        <v>0.91496089999999997</v>
      </c>
      <c r="Y1768">
        <v>0.20961460000000001</v>
      </c>
      <c r="Z1768">
        <v>8.0455719999999994E-2</v>
      </c>
      <c r="AA1768">
        <v>0.97446840000000001</v>
      </c>
      <c r="AB1768">
        <v>22</v>
      </c>
      <c r="AC1768">
        <v>-0.63729999999998199</v>
      </c>
      <c r="AD1768">
        <v>-0.14976629999999999</v>
      </c>
      <c r="AE1768">
        <v>-8.4800000000029699E-2</v>
      </c>
      <c r="AF1768">
        <v>0.16450001611337001</v>
      </c>
      <c r="AG1768">
        <v>-0.14976629999999999</v>
      </c>
      <c r="AH1768">
        <v>0.58721911061425003</v>
      </c>
      <c r="AI1768">
        <v>103.798131383236</v>
      </c>
      <c r="AJ1768">
        <v>74.350636332598995</v>
      </c>
      <c r="AK1768">
        <v>0.62794624275297595</v>
      </c>
      <c r="AL1768">
        <v>66.790999303073406</v>
      </c>
      <c r="AM1768">
        <v>84.5777363214806</v>
      </c>
      <c r="AN1768">
        <v>1.00000001687176</v>
      </c>
    </row>
    <row r="1769" spans="1:40" x14ac:dyDescent="0.25">
      <c r="A1769" t="str">
        <f>"20190304164404202"</f>
        <v>20190304164404202</v>
      </c>
      <c r="B1769" t="str">
        <f>"1551689044192052"</f>
        <v>1551689044192052</v>
      </c>
      <c r="C1769" t="s">
        <v>40</v>
      </c>
      <c r="D1769">
        <v>5.6305690000000004</v>
      </c>
      <c r="E1769">
        <v>0.56872730000000005</v>
      </c>
      <c r="F1769" t="s">
        <v>41</v>
      </c>
      <c r="G1769">
        <v>-205.87459999999999</v>
      </c>
      <c r="H1769">
        <v>0.95409290000000002</v>
      </c>
      <c r="I1769">
        <v>284.98360000000002</v>
      </c>
      <c r="J1769">
        <v>-205.24930000000001</v>
      </c>
      <c r="K1769">
        <v>1.1009359999999999</v>
      </c>
      <c r="L1769">
        <v>285.05849999999998</v>
      </c>
      <c r="M1769">
        <v>-0.92505959999999998</v>
      </c>
      <c r="N1769">
        <v>-1.305046E-2</v>
      </c>
      <c r="O1769">
        <v>-0.37959809999999999</v>
      </c>
      <c r="P1769">
        <v>-0.87938749999999999</v>
      </c>
      <c r="Q1769">
        <v>0.3832508</v>
      </c>
      <c r="R1769">
        <v>-0.28248319999999999</v>
      </c>
      <c r="S1769">
        <v>-3.4935610000000001</v>
      </c>
      <c r="T1769">
        <v>-0.61618470000000003</v>
      </c>
      <c r="U1769">
        <v>-0.60458369999999995</v>
      </c>
      <c r="V1769">
        <v>8.2149890000000003E-2</v>
      </c>
      <c r="W1769">
        <v>0.39334380000000002</v>
      </c>
      <c r="X1769">
        <v>0.91571400000000003</v>
      </c>
      <c r="Y1769">
        <v>0.20844119999999999</v>
      </c>
      <c r="Z1769">
        <v>7.861638E-2</v>
      </c>
      <c r="AA1769">
        <v>0.97487009999999996</v>
      </c>
      <c r="AB1769">
        <v>22</v>
      </c>
      <c r="AC1769">
        <v>-0.62529999999998098</v>
      </c>
      <c r="AD1769">
        <v>-0.1468431</v>
      </c>
      <c r="AE1769">
        <v>-7.4899999999956807E-2</v>
      </c>
      <c r="AF1769">
        <v>0.159422534165341</v>
      </c>
      <c r="AG1769">
        <v>-0.1468431</v>
      </c>
      <c r="AH1769">
        <v>0.57562754630225899</v>
      </c>
      <c r="AI1769">
        <v>103.812041429445</v>
      </c>
      <c r="AJ1769">
        <v>74.519699388240895</v>
      </c>
      <c r="AK1769">
        <v>0.61508171203448103</v>
      </c>
      <c r="AL1769">
        <v>66.837279898938903</v>
      </c>
      <c r="AM1769">
        <v>84.873644457293494</v>
      </c>
      <c r="AN1769">
        <v>1.00000003961072</v>
      </c>
    </row>
    <row r="1770" spans="1:40" x14ac:dyDescent="0.25">
      <c r="A1770" t="str">
        <f>"20190304164404223"</f>
        <v>20190304164404223</v>
      </c>
      <c r="B1770" t="str">
        <f>"1551689044211572"</f>
        <v>1551689044211572</v>
      </c>
      <c r="C1770" t="s">
        <v>40</v>
      </c>
      <c r="D1770">
        <v>5.6781920000000001</v>
      </c>
      <c r="E1770">
        <v>0.56873200000000002</v>
      </c>
      <c r="F1770" t="s">
        <v>41</v>
      </c>
      <c r="G1770">
        <v>-206.07069999999999</v>
      </c>
      <c r="H1770">
        <v>0.95619620000000005</v>
      </c>
      <c r="I1770">
        <v>284.92770000000002</v>
      </c>
      <c r="J1770">
        <v>-205.45249999999999</v>
      </c>
      <c r="K1770">
        <v>1.1009089999999999</v>
      </c>
      <c r="L1770">
        <v>284.9941</v>
      </c>
      <c r="M1770">
        <v>-0.93089010000000005</v>
      </c>
      <c r="N1770">
        <v>-1.301721E-2</v>
      </c>
      <c r="O1770">
        <v>-0.36506719999999998</v>
      </c>
      <c r="P1770">
        <v>-0.88249</v>
      </c>
      <c r="Q1770">
        <v>0.38328790000000001</v>
      </c>
      <c r="R1770">
        <v>-0.27258329999999997</v>
      </c>
      <c r="S1770">
        <v>-3.5012050000000001</v>
      </c>
      <c r="T1770">
        <v>-0.61675599999999997</v>
      </c>
      <c r="U1770">
        <v>-0.55746459999999998</v>
      </c>
      <c r="V1770">
        <v>7.810019E-2</v>
      </c>
      <c r="W1770">
        <v>0.39344849999999998</v>
      </c>
      <c r="X1770">
        <v>0.91602329999999998</v>
      </c>
      <c r="Y1770">
        <v>0.20645659999999999</v>
      </c>
      <c r="Z1770">
        <v>7.6327030000000004E-2</v>
      </c>
      <c r="AA1770">
        <v>0.97547419999999996</v>
      </c>
      <c r="AB1770">
        <v>22</v>
      </c>
      <c r="AC1770">
        <v>-0.61820000000000097</v>
      </c>
      <c r="AD1770">
        <v>-0.144712799999999</v>
      </c>
      <c r="AE1770">
        <v>-6.6399999999987303E-2</v>
      </c>
      <c r="AF1770">
        <v>0.15546547125233201</v>
      </c>
      <c r="AG1770">
        <v>-0.144712799999999</v>
      </c>
      <c r="AH1770">
        <v>0.56894663687112101</v>
      </c>
      <c r="AI1770">
        <v>103.785599615241</v>
      </c>
      <c r="AJ1770">
        <v>74.716933175110995</v>
      </c>
      <c r="AK1770">
        <v>0.60729859446775403</v>
      </c>
      <c r="AL1770">
        <v>66.830754532445695</v>
      </c>
      <c r="AM1770">
        <v>85.126744663583906</v>
      </c>
      <c r="AN1770">
        <v>1.0000000239865801</v>
      </c>
    </row>
    <row r="1771" spans="1:40" x14ac:dyDescent="0.25">
      <c r="A1771" t="str">
        <f>"20190304164404246"</f>
        <v>20190304164404246</v>
      </c>
      <c r="B1771" t="str">
        <f>"1551689044241828"</f>
        <v>1551689044241828</v>
      </c>
      <c r="C1771" t="s">
        <v>40</v>
      </c>
      <c r="D1771">
        <v>5.5349440000000003</v>
      </c>
      <c r="E1771">
        <v>0.56872250000000002</v>
      </c>
      <c r="F1771" t="s">
        <v>41</v>
      </c>
      <c r="G1771">
        <v>-206.26750000000001</v>
      </c>
      <c r="H1771">
        <v>0.95778280000000005</v>
      </c>
      <c r="I1771">
        <v>284.87430000000001</v>
      </c>
      <c r="J1771">
        <v>-205.6799</v>
      </c>
      <c r="K1771">
        <v>1.100894</v>
      </c>
      <c r="L1771">
        <v>284.92610000000002</v>
      </c>
      <c r="M1771">
        <v>-0.93710979999999999</v>
      </c>
      <c r="N1771">
        <v>-1.2991290000000001E-2</v>
      </c>
      <c r="O1771">
        <v>-0.34879329999999997</v>
      </c>
      <c r="P1771">
        <v>-0.88663269999999905</v>
      </c>
      <c r="Q1771">
        <v>0.38279469999999999</v>
      </c>
      <c r="R1771">
        <v>-0.25952059999999999</v>
      </c>
      <c r="S1771">
        <v>-3.507568</v>
      </c>
      <c r="T1771">
        <v>-0.6158574</v>
      </c>
      <c r="U1771">
        <v>-0.51599119999999998</v>
      </c>
      <c r="V1771">
        <v>7.5724639999999996E-2</v>
      </c>
      <c r="W1771">
        <v>0.3929935</v>
      </c>
      <c r="X1771">
        <v>0.91641799999999995</v>
      </c>
      <c r="Y1771">
        <v>0.20126579999999999</v>
      </c>
      <c r="Z1771">
        <v>7.3283639999999997E-2</v>
      </c>
      <c r="AA1771">
        <v>0.97679150000000003</v>
      </c>
      <c r="AB1771">
        <v>22</v>
      </c>
      <c r="AC1771">
        <v>-0.587600000000009</v>
      </c>
      <c r="AD1771">
        <v>-0.14311119999999899</v>
      </c>
      <c r="AE1771">
        <v>-5.1800000000014203E-2</v>
      </c>
      <c r="AF1771">
        <v>0.14772661436748999</v>
      </c>
      <c r="AG1771">
        <v>-0.14311119999999899</v>
      </c>
      <c r="AH1771">
        <v>0.53714468059841702</v>
      </c>
      <c r="AI1771">
        <v>104.407254941662</v>
      </c>
      <c r="AJ1771">
        <v>74.622575880657905</v>
      </c>
      <c r="AK1771">
        <v>0.57517682155411698</v>
      </c>
      <c r="AL1771">
        <v>66.859108349981796</v>
      </c>
      <c r="AM1771">
        <v>85.276317366087198</v>
      </c>
      <c r="AN1771">
        <v>1.00000003143468</v>
      </c>
    </row>
    <row r="1772" spans="1:40" x14ac:dyDescent="0.25">
      <c r="A1772" t="str">
        <f>"20190304164404269"</f>
        <v>20190304164404269</v>
      </c>
      <c r="B1772" t="str">
        <f>"1551689044261349"</f>
        <v>1551689044261349</v>
      </c>
      <c r="C1772" t="s">
        <v>40</v>
      </c>
      <c r="D1772">
        <v>5.5819830000000001</v>
      </c>
      <c r="E1772">
        <v>0.56869639999999999</v>
      </c>
      <c r="F1772" t="s">
        <v>41</v>
      </c>
      <c r="G1772">
        <v>-206.4657</v>
      </c>
      <c r="H1772">
        <v>0.96234350000000002</v>
      </c>
      <c r="I1772">
        <v>284.82130000000001</v>
      </c>
      <c r="J1772">
        <v>-205.90610000000001</v>
      </c>
      <c r="K1772">
        <v>1.1008979999999999</v>
      </c>
      <c r="L1772">
        <v>284.86270000000002</v>
      </c>
      <c r="M1772">
        <v>-0.94296809999999998</v>
      </c>
      <c r="N1772">
        <v>-1.2973429999999999E-2</v>
      </c>
      <c r="O1772">
        <v>-0.3326307</v>
      </c>
      <c r="P1772">
        <v>-0.8915303</v>
      </c>
      <c r="Q1772">
        <v>0.3802082</v>
      </c>
      <c r="R1772">
        <v>-0.24620300000000001</v>
      </c>
      <c r="S1772">
        <v>-3.5135649999999998</v>
      </c>
      <c r="T1772">
        <v>-0.61893299999999996</v>
      </c>
      <c r="U1772">
        <v>-0.46887210000000001</v>
      </c>
      <c r="V1772">
        <v>7.397898E-2</v>
      </c>
      <c r="W1772">
        <v>0.39045190000000002</v>
      </c>
      <c r="X1772">
        <v>0.91764610000000002</v>
      </c>
      <c r="Y1772">
        <v>0.19770080000000001</v>
      </c>
      <c r="Z1772">
        <v>7.0878739999999996E-2</v>
      </c>
      <c r="AA1772">
        <v>0.97769660000000003</v>
      </c>
      <c r="AB1772">
        <v>22</v>
      </c>
      <c r="AC1772">
        <v>-0.559599999999989</v>
      </c>
      <c r="AD1772">
        <v>-0.1385545</v>
      </c>
      <c r="AE1772">
        <v>-4.1400000000009998E-2</v>
      </c>
      <c r="AF1772">
        <v>0.13865956024415799</v>
      </c>
      <c r="AG1772">
        <v>-0.1385545</v>
      </c>
      <c r="AH1772">
        <v>0.51038333192544405</v>
      </c>
      <c r="AI1772">
        <v>104.680187388493</v>
      </c>
      <c r="AJ1772">
        <v>74.800890917004097</v>
      </c>
      <c r="AK1772">
        <v>0.54673116668493604</v>
      </c>
      <c r="AL1772">
        <v>67.017378419317595</v>
      </c>
      <c r="AM1772">
        <v>85.390885273767793</v>
      </c>
      <c r="AN1772">
        <v>0.99999997027032905</v>
      </c>
    </row>
    <row r="1773" spans="1:40" x14ac:dyDescent="0.25">
      <c r="A1773" t="str">
        <f>"20190304164404291"</f>
        <v>20190304164404291</v>
      </c>
      <c r="B1773" t="str">
        <f>"1551689044281844"</f>
        <v>1551689044281844</v>
      </c>
      <c r="C1773" t="s">
        <v>40</v>
      </c>
      <c r="D1773">
        <v>5.4904729999999997</v>
      </c>
      <c r="E1773">
        <v>0.56868019999999997</v>
      </c>
      <c r="F1773" t="s">
        <v>41</v>
      </c>
      <c r="G1773">
        <v>-206.66399999999999</v>
      </c>
      <c r="H1773">
        <v>0.96480120000000003</v>
      </c>
      <c r="I1773">
        <v>284.77159999999998</v>
      </c>
      <c r="J1773">
        <v>-206.1275</v>
      </c>
      <c r="K1773">
        <v>1.1009389999999999</v>
      </c>
      <c r="L1773">
        <v>284.80450000000002</v>
      </c>
      <c r="M1773">
        <v>-0.94837210000000005</v>
      </c>
      <c r="N1773">
        <v>-1.295439E-2</v>
      </c>
      <c r="O1773">
        <v>-0.31689539999999999</v>
      </c>
      <c r="P1773">
        <v>-0.89666679999999999</v>
      </c>
      <c r="Q1773">
        <v>0.37577450000000001</v>
      </c>
      <c r="R1773">
        <v>-0.2340564</v>
      </c>
      <c r="S1773">
        <v>-3.5173030000000001</v>
      </c>
      <c r="T1773">
        <v>-0.6309901</v>
      </c>
      <c r="U1773">
        <v>-0.42297360000000001</v>
      </c>
      <c r="V1773">
        <v>7.160888E-2</v>
      </c>
      <c r="W1773">
        <v>0.38609100000000002</v>
      </c>
      <c r="X1773">
        <v>0.91967710000000003</v>
      </c>
      <c r="Y1773">
        <v>0.1940548</v>
      </c>
      <c r="Z1773">
        <v>6.9536550000000003E-2</v>
      </c>
      <c r="AA1773">
        <v>0.97852309999999998</v>
      </c>
      <c r="AB1773">
        <v>22</v>
      </c>
      <c r="AC1773">
        <v>-0.53650000000001796</v>
      </c>
      <c r="AD1773">
        <v>-0.136137799999999</v>
      </c>
      <c r="AE1773">
        <v>-3.2900000000040501E-2</v>
      </c>
      <c r="AF1773">
        <v>0.13045599567378799</v>
      </c>
      <c r="AG1773">
        <v>-0.136137799999999</v>
      </c>
      <c r="AH1773">
        <v>0.48796847919749697</v>
      </c>
      <c r="AI1773">
        <v>105.084113099901</v>
      </c>
      <c r="AJ1773">
        <v>75.032296747395606</v>
      </c>
      <c r="AK1773">
        <v>0.52313048476111301</v>
      </c>
      <c r="AL1773">
        <v>67.288513133001999</v>
      </c>
      <c r="AM1773">
        <v>85.547757831994602</v>
      </c>
      <c r="AN1773">
        <v>1.0000000301201299</v>
      </c>
    </row>
    <row r="1774" spans="1:40" x14ac:dyDescent="0.25">
      <c r="A1774" t="str">
        <f>"20190304164404313"</f>
        <v>20190304164404313</v>
      </c>
      <c r="B1774" t="str">
        <f>"1551689044301364"</f>
        <v>1551689044301364</v>
      </c>
      <c r="C1774" t="s">
        <v>40</v>
      </c>
      <c r="D1774">
        <v>5.4697750000000003</v>
      </c>
      <c r="E1774">
        <v>0.56867349999999905</v>
      </c>
      <c r="F1774" t="s">
        <v>41</v>
      </c>
      <c r="G1774">
        <v>-206.86279999999999</v>
      </c>
      <c r="H1774">
        <v>0.9654469</v>
      </c>
      <c r="I1774">
        <v>284.726</v>
      </c>
      <c r="J1774">
        <v>-206.3382</v>
      </c>
      <c r="K1774">
        <v>1.101005</v>
      </c>
      <c r="L1774">
        <v>284.75259999999997</v>
      </c>
      <c r="M1774">
        <v>-0.9532003</v>
      </c>
      <c r="N1774">
        <v>-1.2931750000000001E-2</v>
      </c>
      <c r="O1774">
        <v>-0.30206280000000002</v>
      </c>
      <c r="P1774">
        <v>-0.90164449999999996</v>
      </c>
      <c r="Q1774">
        <v>0.37107000000000001</v>
      </c>
      <c r="R1774">
        <v>-0.22213630000000001</v>
      </c>
      <c r="S1774">
        <v>-3.5193789999999998</v>
      </c>
      <c r="T1774">
        <v>-0.6483371</v>
      </c>
      <c r="U1774">
        <v>-0.37561040000000001</v>
      </c>
      <c r="V1774">
        <v>6.9844859999999995E-2</v>
      </c>
      <c r="W1774">
        <v>0.38144739999999999</v>
      </c>
      <c r="X1774">
        <v>0.92174809999999996</v>
      </c>
      <c r="Y1774">
        <v>0.19164490000000001</v>
      </c>
      <c r="Z1774">
        <v>6.8931300000000001E-2</v>
      </c>
      <c r="AA1774">
        <v>0.97904069999999999</v>
      </c>
      <c r="AB1774">
        <v>22</v>
      </c>
      <c r="AC1774">
        <v>-0.52459999999999196</v>
      </c>
      <c r="AD1774">
        <v>-0.13555809999999899</v>
      </c>
      <c r="AE1774">
        <v>-2.6599999999973499E-2</v>
      </c>
      <c r="AF1774">
        <v>0.12480597597636101</v>
      </c>
      <c r="AG1774">
        <v>-0.13555809999999899</v>
      </c>
      <c r="AH1774">
        <v>0.476397785077112</v>
      </c>
      <c r="AI1774">
        <v>105.390045762922</v>
      </c>
      <c r="AJ1774">
        <v>75.319653382377794</v>
      </c>
      <c r="AK1774">
        <v>0.51079093545344001</v>
      </c>
      <c r="AL1774">
        <v>67.576633004638694</v>
      </c>
      <c r="AM1774">
        <v>85.666730603307897</v>
      </c>
      <c r="AN1774">
        <v>0.99999999164439402</v>
      </c>
    </row>
    <row r="1775" spans="1:40" x14ac:dyDescent="0.25">
      <c r="A1775" t="str">
        <f>"20190304164404335"</f>
        <v>20190304164404335</v>
      </c>
      <c r="B1775" t="str">
        <f>"1551689044331620"</f>
        <v>1551689044331620</v>
      </c>
      <c r="C1775" t="s">
        <v>40</v>
      </c>
      <c r="D1775">
        <v>5.4436879999999999</v>
      </c>
      <c r="E1775">
        <v>0.56867900000000005</v>
      </c>
      <c r="F1775" t="s">
        <v>41</v>
      </c>
      <c r="G1775">
        <v>-207.06200000000001</v>
      </c>
      <c r="H1775">
        <v>0.9639084</v>
      </c>
      <c r="I1775">
        <v>284.68509999999998</v>
      </c>
      <c r="J1775">
        <v>-206.55959999999999</v>
      </c>
      <c r="K1775">
        <v>1.1011310000000001</v>
      </c>
      <c r="L1775">
        <v>284.70159999999998</v>
      </c>
      <c r="M1775">
        <v>-0.9579356</v>
      </c>
      <c r="N1775">
        <v>-1.2900790000000001E-2</v>
      </c>
      <c r="O1775">
        <v>-0.28669319999999998</v>
      </c>
      <c r="P1775">
        <v>-0.90656809999999999</v>
      </c>
      <c r="Q1775">
        <v>0.36713220000000002</v>
      </c>
      <c r="R1775">
        <v>-0.20820179999999999</v>
      </c>
      <c r="S1775">
        <v>-3.5204469999999999</v>
      </c>
      <c r="T1775">
        <v>-0.66600059999999905</v>
      </c>
      <c r="U1775">
        <v>-0.32821660000000002</v>
      </c>
      <c r="V1775">
        <v>6.9462750000000004E-2</v>
      </c>
      <c r="W1775">
        <v>0.37753199999999998</v>
      </c>
      <c r="X1775">
        <v>0.92338750000000003</v>
      </c>
      <c r="Y1775">
        <v>0.18878710000000001</v>
      </c>
      <c r="Z1775">
        <v>6.8073259999999997E-2</v>
      </c>
      <c r="AA1775">
        <v>0.97965579999999997</v>
      </c>
      <c r="AB1775">
        <v>22</v>
      </c>
      <c r="AC1775">
        <v>-0.50240000000002205</v>
      </c>
      <c r="AD1775">
        <v>-0.137222599999999</v>
      </c>
      <c r="AE1775">
        <v>-1.6500000000007699E-2</v>
      </c>
      <c r="AF1775">
        <v>0.119345541089467</v>
      </c>
      <c r="AG1775">
        <v>-0.137222599999999</v>
      </c>
      <c r="AH1775">
        <v>0.452329290159521</v>
      </c>
      <c r="AI1775">
        <v>106.348020757841</v>
      </c>
      <c r="AJ1775">
        <v>75.219539708576093</v>
      </c>
      <c r="AK1775">
        <v>0.487519422038665</v>
      </c>
      <c r="AL1775">
        <v>67.819106928917094</v>
      </c>
      <c r="AM1775">
        <v>85.697970353327094</v>
      </c>
      <c r="AN1775">
        <v>0.99999997990890599</v>
      </c>
    </row>
    <row r="1776" spans="1:40" x14ac:dyDescent="0.25">
      <c r="A1776" t="str">
        <f>"20190304164404358"</f>
        <v>20190304164404358</v>
      </c>
      <c r="B1776" t="str">
        <f>"1551689044351140"</f>
        <v>1551689044351140</v>
      </c>
      <c r="C1776" t="s">
        <v>40</v>
      </c>
      <c r="D1776">
        <v>5.4963199999999999</v>
      </c>
      <c r="E1776">
        <v>0.56964700000000001</v>
      </c>
      <c r="F1776" t="s">
        <v>41</v>
      </c>
      <c r="G1776">
        <v>-207.453</v>
      </c>
      <c r="H1776">
        <v>0.92819759999999996</v>
      </c>
      <c r="I1776">
        <v>284.63099999999997</v>
      </c>
      <c r="J1776">
        <v>-206.79759999999999</v>
      </c>
      <c r="K1776">
        <v>1.1013219999999999</v>
      </c>
      <c r="L1776">
        <v>284.6508</v>
      </c>
      <c r="M1776">
        <v>-0.96263319999999997</v>
      </c>
      <c r="N1776">
        <v>-1.285565E-2</v>
      </c>
      <c r="O1776">
        <v>-0.27050370000000001</v>
      </c>
      <c r="P1776">
        <v>-0.91095289999999995</v>
      </c>
      <c r="Q1776">
        <v>0.36407210000000001</v>
      </c>
      <c r="R1776">
        <v>-0.19394980000000001</v>
      </c>
      <c r="S1776">
        <v>-3.5209809999999999</v>
      </c>
      <c r="T1776">
        <v>-0.68098289999999995</v>
      </c>
      <c r="U1776">
        <v>-0.2785339</v>
      </c>
      <c r="V1776">
        <v>6.8445619999999999E-2</v>
      </c>
      <c r="W1776">
        <v>0.37450060000000002</v>
      </c>
      <c r="X1776">
        <v>0.92469699999999999</v>
      </c>
      <c r="Y1776">
        <v>0.18590950000000001</v>
      </c>
      <c r="Z1776">
        <v>6.6636089999999995E-2</v>
      </c>
      <c r="AA1776">
        <v>0.98030470000000003</v>
      </c>
      <c r="AB1776">
        <v>22</v>
      </c>
      <c r="AC1776">
        <v>-0.65540000000001397</v>
      </c>
      <c r="AD1776">
        <v>-0.17312439999999901</v>
      </c>
      <c r="AE1776">
        <v>-1.9800000000032E-2</v>
      </c>
      <c r="AF1776">
        <v>0.147928647785108</v>
      </c>
      <c r="AG1776">
        <v>-0.17312439999999901</v>
      </c>
      <c r="AH1776">
        <v>0.59485010698519203</v>
      </c>
      <c r="AI1776">
        <v>105.771609371129</v>
      </c>
      <c r="AJ1776">
        <v>76.034840165009697</v>
      </c>
      <c r="AK1776">
        <v>0.63694708766991304</v>
      </c>
      <c r="AL1776">
        <v>68.006550274050198</v>
      </c>
      <c r="AM1776">
        <v>85.766714372763801</v>
      </c>
      <c r="AN1776">
        <v>1.0000000220532701</v>
      </c>
    </row>
    <row r="1777" spans="1:40" x14ac:dyDescent="0.25">
      <c r="A1777" t="str">
        <f>"20190304164404383"</f>
        <v>20190304164404383</v>
      </c>
      <c r="B1777" t="str">
        <f>"1551689044371637"</f>
        <v>1551689044371637</v>
      </c>
      <c r="C1777" t="s">
        <v>40</v>
      </c>
      <c r="D1777">
        <v>5.4863229999999996</v>
      </c>
      <c r="E1777">
        <v>0.56222519999999998</v>
      </c>
      <c r="F1777" t="s">
        <v>41</v>
      </c>
      <c r="G1777">
        <v>-207.66739999999999</v>
      </c>
      <c r="H1777">
        <v>0.95384659999999999</v>
      </c>
      <c r="I1777">
        <v>284.5992</v>
      </c>
      <c r="J1777">
        <v>-207.0461</v>
      </c>
      <c r="K1777">
        <v>1.1015360000000001</v>
      </c>
      <c r="L1777">
        <v>284.60149999999999</v>
      </c>
      <c r="M1777">
        <v>-0.96714339999999999</v>
      </c>
      <c r="N1777">
        <v>-1.2802600000000001E-2</v>
      </c>
      <c r="O1777">
        <v>-0.25390889999999999</v>
      </c>
      <c r="P1777">
        <v>-0.91444049999999999</v>
      </c>
      <c r="Q1777">
        <v>0.36135200000000001</v>
      </c>
      <c r="R1777">
        <v>-0.1822742</v>
      </c>
      <c r="S1777">
        <v>-3.4853209999999999</v>
      </c>
      <c r="T1777">
        <v>-0.59077409999999997</v>
      </c>
      <c r="U1777">
        <v>-0.20690919999999999</v>
      </c>
      <c r="V1777">
        <v>6.4356269999999993E-2</v>
      </c>
      <c r="W1777">
        <v>0.37187409999999999</v>
      </c>
      <c r="X1777">
        <v>0.92604960000000003</v>
      </c>
      <c r="Y1777">
        <v>0.19025539999999999</v>
      </c>
      <c r="Z1777">
        <v>5.6224169999999997E-2</v>
      </c>
      <c r="AA1777">
        <v>0.98012330000000003</v>
      </c>
      <c r="AB1777">
        <v>22</v>
      </c>
      <c r="AC1777">
        <v>-0.62129999999998997</v>
      </c>
      <c r="AD1777">
        <v>-0.1476894</v>
      </c>
      <c r="AE1777">
        <v>-2.29999999999108E-3</v>
      </c>
      <c r="AF1777">
        <v>0.147223021562325</v>
      </c>
      <c r="AG1777">
        <v>-0.1476894</v>
      </c>
      <c r="AH1777">
        <v>0.56934823314165395</v>
      </c>
      <c r="AI1777">
        <v>104.097727831398</v>
      </c>
      <c r="AJ1777">
        <v>75.501928321459005</v>
      </c>
      <c r="AK1777">
        <v>0.60633669485841302</v>
      </c>
      <c r="AL1777">
        <v>68.168754882790097</v>
      </c>
      <c r="AM1777">
        <v>86.024593455468207</v>
      </c>
      <c r="AN1777">
        <v>0.99999996869964103</v>
      </c>
    </row>
    <row r="1778" spans="1:40" x14ac:dyDescent="0.25">
      <c r="A1778" t="str">
        <f>"20190304164404413"</f>
        <v>20190304164404413</v>
      </c>
      <c r="B1778" t="str">
        <f>"1551689044401892"</f>
        <v>1551689044401892</v>
      </c>
      <c r="C1778" t="s">
        <v>40</v>
      </c>
      <c r="D1778">
        <v>5.4101860000000004</v>
      </c>
      <c r="E1778">
        <v>0.56046039999999997</v>
      </c>
      <c r="F1778" t="s">
        <v>41</v>
      </c>
      <c r="G1778">
        <v>-207.87739999999999</v>
      </c>
      <c r="H1778">
        <v>0.98034940000000004</v>
      </c>
      <c r="I1778">
        <v>284.55119999999999</v>
      </c>
      <c r="J1778">
        <v>-207.3526</v>
      </c>
      <c r="K1778">
        <v>1.1018349999999999</v>
      </c>
      <c r="L1778">
        <v>284.54579999999999</v>
      </c>
      <c r="M1778">
        <v>-0.97216939999999996</v>
      </c>
      <c r="N1778">
        <v>-1.27241E-2</v>
      </c>
      <c r="O1778">
        <v>-0.23393320000000001</v>
      </c>
      <c r="P1778">
        <v>-0.91649840000000005</v>
      </c>
      <c r="Q1778">
        <v>0.36373630000000001</v>
      </c>
      <c r="R1778">
        <v>-0.16651359999999901</v>
      </c>
      <c r="S1778">
        <v>-3.4370419999999999</v>
      </c>
      <c r="T1778">
        <v>-0.50068400000000002</v>
      </c>
      <c r="U1778">
        <v>-0.2081604</v>
      </c>
      <c r="V1778">
        <v>6.0754429999999998E-2</v>
      </c>
      <c r="W1778">
        <v>0.37429760000000001</v>
      </c>
      <c r="X1778">
        <v>0.92531629999999998</v>
      </c>
      <c r="Y1778">
        <v>0.17079659999999999</v>
      </c>
      <c r="Z1778">
        <v>4.4041089999999998E-2</v>
      </c>
      <c r="AA1778">
        <v>0.98432149999999996</v>
      </c>
      <c r="AB1778">
        <v>22</v>
      </c>
      <c r="AC1778">
        <v>-0.52479999999999805</v>
      </c>
      <c r="AD1778">
        <v>-0.1214856</v>
      </c>
      <c r="AE1778">
        <v>5.4000000000087303E-3</v>
      </c>
      <c r="AF1778">
        <v>0.12151713639183399</v>
      </c>
      <c r="AG1778">
        <v>-0.1214856</v>
      </c>
      <c r="AH1778">
        <v>0.483087832176543</v>
      </c>
      <c r="AI1778">
        <v>103.70574731428199</v>
      </c>
      <c r="AJ1778">
        <v>75.880605064375601</v>
      </c>
      <c r="AK1778">
        <v>0.51273679314172904</v>
      </c>
      <c r="AL1778">
        <v>68.019093682854603</v>
      </c>
      <c r="AM1778">
        <v>86.243464860177198</v>
      </c>
      <c r="AN1778">
        <v>1.0000000245880301</v>
      </c>
    </row>
    <row r="1779" spans="1:40" x14ac:dyDescent="0.25">
      <c r="A1779" t="str">
        <f>"20190304164404437"</f>
        <v>20190304164404437</v>
      </c>
      <c r="B1779" t="str">
        <f>"1551689044431172"</f>
        <v>1551689044431172</v>
      </c>
      <c r="C1779" t="s">
        <v>40</v>
      </c>
      <c r="D1779">
        <v>5.3938470000000001</v>
      </c>
      <c r="E1779">
        <v>0.55962000000000001</v>
      </c>
      <c r="F1779" t="s">
        <v>41</v>
      </c>
      <c r="G1779">
        <v>-208.0866</v>
      </c>
      <c r="H1779">
        <v>0.99991770000000002</v>
      </c>
      <c r="I1779">
        <v>284.51080000000002</v>
      </c>
      <c r="J1779">
        <v>-207.5891</v>
      </c>
      <c r="K1779">
        <v>1.1020939999999999</v>
      </c>
      <c r="L1779">
        <v>284.50700000000001</v>
      </c>
      <c r="M1779">
        <v>-0.97562439999999995</v>
      </c>
      <c r="N1779">
        <v>-1.2630010000000001E-2</v>
      </c>
      <c r="O1779">
        <v>-0.21908340000000001</v>
      </c>
      <c r="P1779">
        <v>-0.91742869999999999</v>
      </c>
      <c r="Q1779">
        <v>0.36662349999999999</v>
      </c>
      <c r="R1779">
        <v>-0.1546341</v>
      </c>
      <c r="S1779">
        <v>-3.4327390000000002</v>
      </c>
      <c r="T1779">
        <v>-0.47672500000000001</v>
      </c>
      <c r="U1779">
        <v>-0.16400149999999999</v>
      </c>
      <c r="V1779">
        <v>5.8180099999999901E-2</v>
      </c>
      <c r="W1779">
        <v>0.37717430000000002</v>
      </c>
      <c r="X1779">
        <v>0.92431300000000005</v>
      </c>
      <c r="Y1779">
        <v>0.1688279</v>
      </c>
      <c r="Z1779">
        <v>3.9995580000000003E-2</v>
      </c>
      <c r="AA1779">
        <v>0.98483370000000003</v>
      </c>
      <c r="AB1779">
        <v>22</v>
      </c>
      <c r="AC1779">
        <v>-0.497500000000002</v>
      </c>
      <c r="AD1779">
        <v>-0.1021763</v>
      </c>
      <c r="AE1779">
        <v>3.8000000000124601E-3</v>
      </c>
      <c r="AF1779">
        <v>0.108148821897672</v>
      </c>
      <c r="AG1779">
        <v>-0.1021763</v>
      </c>
      <c r="AH1779">
        <v>0.46496772955843102</v>
      </c>
      <c r="AI1779">
        <v>102.08106638429</v>
      </c>
      <c r="AJ1779">
        <v>76.906143946716696</v>
      </c>
      <c r="AK1779">
        <v>0.48819171796566402</v>
      </c>
      <c r="AL1779">
        <v>67.841237061528204</v>
      </c>
      <c r="AM1779">
        <v>86.398317186616794</v>
      </c>
      <c r="AN1779">
        <v>0.99999994929274805</v>
      </c>
    </row>
    <row r="1780" spans="1:40" x14ac:dyDescent="0.25">
      <c r="A1780" t="str">
        <f>"20190304164404460"</f>
        <v>20190304164404460</v>
      </c>
      <c r="B1780" t="str">
        <f>"1551689044451669"</f>
        <v>1551689044451669</v>
      </c>
      <c r="C1780" t="s">
        <v>40</v>
      </c>
      <c r="D1780">
        <v>5.3890279999999997</v>
      </c>
      <c r="E1780">
        <v>0.55917839999999996</v>
      </c>
      <c r="F1780" t="s">
        <v>41</v>
      </c>
      <c r="G1780">
        <v>-208.48840000000001</v>
      </c>
      <c r="H1780">
        <v>0.98249799999999998</v>
      </c>
      <c r="I1780">
        <v>284.47329999999999</v>
      </c>
      <c r="J1780">
        <v>-207.833</v>
      </c>
      <c r="K1780">
        <v>1.1024050000000001</v>
      </c>
      <c r="L1780">
        <v>284.47030000000001</v>
      </c>
      <c r="M1780">
        <v>-0.97882190000000002</v>
      </c>
      <c r="N1780">
        <v>-1.2503729999999999E-2</v>
      </c>
      <c r="O1780">
        <v>-0.2043316</v>
      </c>
      <c r="P1780">
        <v>-0.91844729999999997</v>
      </c>
      <c r="Q1780">
        <v>0.36750250000000001</v>
      </c>
      <c r="R1780">
        <v>-0.14627679999999901</v>
      </c>
      <c r="S1780">
        <v>-3.4306950000000001</v>
      </c>
      <c r="T1780">
        <v>-0.45624959999999998</v>
      </c>
      <c r="U1780">
        <v>-0.12844849999999999</v>
      </c>
      <c r="V1780">
        <v>5.2265220000000001E-2</v>
      </c>
      <c r="W1780">
        <v>0.37809579999999998</v>
      </c>
      <c r="X1780">
        <v>0.9242899</v>
      </c>
      <c r="Y1780">
        <v>0.16454739999999901</v>
      </c>
      <c r="Z1780">
        <v>3.623912E-2</v>
      </c>
      <c r="AA1780">
        <v>0.9857032</v>
      </c>
      <c r="AB1780">
        <v>22</v>
      </c>
      <c r="AC1780">
        <v>-0.65540000000001397</v>
      </c>
      <c r="AD1780">
        <v>-0.119906999999999</v>
      </c>
      <c r="AE1780">
        <v>2.9999999999858998E-3</v>
      </c>
      <c r="AF1780">
        <v>0.13243342873853001</v>
      </c>
      <c r="AG1780">
        <v>-0.119906999999999</v>
      </c>
      <c r="AH1780">
        <v>0.62019838228160096</v>
      </c>
      <c r="AI1780">
        <v>100.706750654196</v>
      </c>
      <c r="AJ1780">
        <v>77.946429549679493</v>
      </c>
      <c r="AK1780">
        <v>0.64541640440970904</v>
      </c>
      <c r="AL1780">
        <v>67.784217001593206</v>
      </c>
      <c r="AM1780">
        <v>86.763579347262294</v>
      </c>
      <c r="AN1780">
        <v>0.99999995322064805</v>
      </c>
    </row>
    <row r="1781" spans="1:40" x14ac:dyDescent="0.25">
      <c r="A1781" t="str">
        <f>"20190304164404482"</f>
        <v>20190304164404482</v>
      </c>
      <c r="B1781" t="str">
        <f>"1551689044471188"</f>
        <v>1551689044471188</v>
      </c>
      <c r="C1781" t="s">
        <v>40</v>
      </c>
      <c r="D1781">
        <v>5.3700590000000004</v>
      </c>
      <c r="E1781">
        <v>0.55850319999999998</v>
      </c>
      <c r="F1781" t="s">
        <v>41</v>
      </c>
      <c r="G1781">
        <v>-208.69489999999999</v>
      </c>
      <c r="H1781">
        <v>0.98992550000000001</v>
      </c>
      <c r="I1781">
        <v>284.44560000000001</v>
      </c>
      <c r="J1781">
        <v>-208.0626</v>
      </c>
      <c r="K1781">
        <v>1.102692</v>
      </c>
      <c r="L1781">
        <v>284.4384</v>
      </c>
      <c r="M1781">
        <v>-0.98153509999999999</v>
      </c>
      <c r="N1781">
        <v>-1.237516E-2</v>
      </c>
      <c r="O1781">
        <v>-0.1908813</v>
      </c>
      <c r="P1781">
        <v>-0.9189889</v>
      </c>
      <c r="Q1781">
        <v>0.368311</v>
      </c>
      <c r="R1781">
        <v>-0.14073469999999999</v>
      </c>
      <c r="S1781">
        <v>-3.4296259999999998</v>
      </c>
      <c r="T1781">
        <v>-0.44706630000000003</v>
      </c>
      <c r="U1781">
        <v>-9.8144529999999994E-2</v>
      </c>
      <c r="V1781">
        <v>4.4797169999999997E-2</v>
      </c>
      <c r="W1781">
        <v>0.37896619999999998</v>
      </c>
      <c r="X1781">
        <v>0.92432559999999997</v>
      </c>
      <c r="Y1781">
        <v>0.1599556</v>
      </c>
      <c r="Z1781">
        <v>3.364876E-2</v>
      </c>
      <c r="AA1781">
        <v>0.9865505</v>
      </c>
      <c r="AB1781">
        <v>22</v>
      </c>
      <c r="AC1781">
        <v>-0.63229999999998598</v>
      </c>
      <c r="AD1781">
        <v>-0.11276650000000001</v>
      </c>
      <c r="AE1781">
        <v>7.2000000000116398E-3</v>
      </c>
      <c r="AF1781">
        <v>0.123832922192313</v>
      </c>
      <c r="AG1781">
        <v>-0.11276650000000001</v>
      </c>
      <c r="AH1781">
        <v>0.60020972540106199</v>
      </c>
      <c r="AI1781">
        <v>100.425982345897</v>
      </c>
      <c r="AJ1781">
        <v>78.342527432966705</v>
      </c>
      <c r="AK1781">
        <v>0.62313930273009999</v>
      </c>
      <c r="AL1781">
        <v>67.730338387722398</v>
      </c>
      <c r="AM1781">
        <v>87.225347829371103</v>
      </c>
      <c r="AN1781">
        <v>0.99999999099890402</v>
      </c>
    </row>
    <row r="1782" spans="1:40" x14ac:dyDescent="0.25">
      <c r="A1782" t="str">
        <f>"20190304164404503"</f>
        <v>20190304164404503</v>
      </c>
      <c r="B1782" t="str">
        <f>"1551689044491684"</f>
        <v>1551689044491684</v>
      </c>
      <c r="C1782" t="s">
        <v>40</v>
      </c>
      <c r="D1782">
        <v>5.3703750000000001</v>
      </c>
      <c r="E1782">
        <v>0.55764199999999997</v>
      </c>
      <c r="F1782" t="s">
        <v>41</v>
      </c>
      <c r="G1782">
        <v>-208.90090000000001</v>
      </c>
      <c r="H1782">
        <v>0.99533510000000003</v>
      </c>
      <c r="I1782">
        <v>284.42</v>
      </c>
      <c r="J1782">
        <v>-208.27440000000001</v>
      </c>
      <c r="K1782">
        <v>1.102946</v>
      </c>
      <c r="L1782">
        <v>284.41129999999998</v>
      </c>
      <c r="M1782">
        <v>-0.98379810000000001</v>
      </c>
      <c r="N1782">
        <v>-1.2249670000000001E-2</v>
      </c>
      <c r="O1782">
        <v>-0.17886050000000001</v>
      </c>
      <c r="P1782">
        <v>-0.91882560000000002</v>
      </c>
      <c r="Q1782">
        <v>0.37077300000000002</v>
      </c>
      <c r="R1782">
        <v>-0.13522970000000001</v>
      </c>
      <c r="S1782">
        <v>-3.4288479999999999</v>
      </c>
      <c r="T1782">
        <v>-0.43905290000000002</v>
      </c>
      <c r="U1782">
        <v>-7.5561519999999993E-2</v>
      </c>
      <c r="V1782">
        <v>3.8615040000000003E-2</v>
      </c>
      <c r="W1782">
        <v>0.38144610000000001</v>
      </c>
      <c r="X1782">
        <v>0.92358419999999997</v>
      </c>
      <c r="Y1782">
        <v>0.154592799999999</v>
      </c>
      <c r="Z1782">
        <v>3.1317049999999999E-2</v>
      </c>
      <c r="AA1782">
        <v>0.98748179999999997</v>
      </c>
      <c r="AB1782">
        <v>23</v>
      </c>
      <c r="AC1782">
        <v>-0.62649999999999295</v>
      </c>
      <c r="AD1782">
        <v>-0.107610899999999</v>
      </c>
      <c r="AE1782">
        <v>8.7000000000330095E-3</v>
      </c>
      <c r="AF1782">
        <v>0.11716803178015101</v>
      </c>
      <c r="AG1782">
        <v>-0.107610899999999</v>
      </c>
      <c r="AH1782">
        <v>0.59722296343629599</v>
      </c>
      <c r="AI1782">
        <v>100.027105850551</v>
      </c>
      <c r="AJ1782">
        <v>78.900226820444701</v>
      </c>
      <c r="AK1782">
        <v>0.61804831649772796</v>
      </c>
      <c r="AL1782">
        <v>67.576714051054395</v>
      </c>
      <c r="AM1782">
        <v>87.605858810216304</v>
      </c>
      <c r="AN1782">
        <v>1.00000001150452</v>
      </c>
    </row>
    <row r="1783" spans="1:40" x14ac:dyDescent="0.25">
      <c r="A1783" t="str">
        <f>"20190304164404524"</f>
        <v>20190304164404524</v>
      </c>
      <c r="B1783" t="str">
        <f>"1551689044521941"</f>
        <v>1551689044521941</v>
      </c>
      <c r="C1783" t="s">
        <v>40</v>
      </c>
      <c r="D1783">
        <v>5.3782319999999997</v>
      </c>
      <c r="E1783">
        <v>0.55638310000000002</v>
      </c>
      <c r="F1783" t="s">
        <v>41</v>
      </c>
      <c r="G1783">
        <v>-209.1069</v>
      </c>
      <c r="H1783">
        <v>0.9991698</v>
      </c>
      <c r="I1783">
        <v>284.39679999999998</v>
      </c>
      <c r="J1783">
        <v>-208.49</v>
      </c>
      <c r="K1783">
        <v>1.1032010000000001</v>
      </c>
      <c r="L1783">
        <v>284.38600000000002</v>
      </c>
      <c r="M1783">
        <v>-0.98587659999999999</v>
      </c>
      <c r="N1783">
        <v>-1.210984E-2</v>
      </c>
      <c r="O1783">
        <v>-0.16703509999999999</v>
      </c>
      <c r="P1783">
        <v>-0.91860589999999998</v>
      </c>
      <c r="Q1783">
        <v>0.37342520000000001</v>
      </c>
      <c r="R1783">
        <v>-0.12929369999999901</v>
      </c>
      <c r="S1783">
        <v>-3.428436</v>
      </c>
      <c r="T1783">
        <v>-0.42681789999999997</v>
      </c>
      <c r="U1783">
        <v>-6.011963E-2</v>
      </c>
      <c r="V1783">
        <v>3.3079259999999999E-2</v>
      </c>
      <c r="W1783">
        <v>0.38408179999999997</v>
      </c>
      <c r="X1783">
        <v>0.92270640000000004</v>
      </c>
      <c r="Y1783">
        <v>0.14744689999999999</v>
      </c>
      <c r="Z1783">
        <v>2.864734E-2</v>
      </c>
      <c r="AA1783">
        <v>0.98865499999999995</v>
      </c>
      <c r="AB1783">
        <v>23</v>
      </c>
      <c r="AC1783">
        <v>-0.61689999999998602</v>
      </c>
      <c r="AD1783">
        <v>-0.1040312</v>
      </c>
      <c r="AE1783">
        <v>1.08000000000174E-2</v>
      </c>
      <c r="AF1783">
        <v>0.110556716603286</v>
      </c>
      <c r="AG1783">
        <v>-0.1040312</v>
      </c>
      <c r="AH1783">
        <v>0.58966407378837804</v>
      </c>
      <c r="AI1783">
        <v>99.837440987770705</v>
      </c>
      <c r="AJ1783">
        <v>79.380841958922602</v>
      </c>
      <c r="AK1783">
        <v>0.608891614391466</v>
      </c>
      <c r="AL1783">
        <v>67.413252883358894</v>
      </c>
      <c r="AM1783">
        <v>87.946810990104794</v>
      </c>
      <c r="AN1783">
        <v>1.0000000835671701</v>
      </c>
    </row>
    <row r="1784" spans="1:40" x14ac:dyDescent="0.25">
      <c r="A1784" t="str">
        <f>"20190304164404548"</f>
        <v>20190304164404548</v>
      </c>
      <c r="B1784" t="str">
        <f>"1551689044541461"</f>
        <v>1551689044541461</v>
      </c>
      <c r="C1784" t="s">
        <v>40</v>
      </c>
      <c r="D1784">
        <v>5.4176679999999999</v>
      </c>
      <c r="E1784">
        <v>0.55561340000000004</v>
      </c>
      <c r="F1784" t="s">
        <v>41</v>
      </c>
      <c r="G1784">
        <v>-209.31280000000001</v>
      </c>
      <c r="H1784">
        <v>1.002407</v>
      </c>
      <c r="I1784">
        <v>284.37349999999998</v>
      </c>
      <c r="J1784">
        <v>-208.73750000000001</v>
      </c>
      <c r="K1784">
        <v>1.1035079999999999</v>
      </c>
      <c r="L1784">
        <v>284.35939999999999</v>
      </c>
      <c r="M1784">
        <v>-0.98799890000000001</v>
      </c>
      <c r="N1784">
        <v>-1.192958E-2</v>
      </c>
      <c r="O1784">
        <v>-0.15399959999999999</v>
      </c>
      <c r="P1784">
        <v>-0.91879789999999995</v>
      </c>
      <c r="Q1784">
        <v>0.37444529999999998</v>
      </c>
      <c r="R1784">
        <v>-0.1249049</v>
      </c>
      <c r="S1784">
        <v>-3.429214</v>
      </c>
      <c r="T1784">
        <v>-0.41994730000000002</v>
      </c>
      <c r="U1784">
        <v>-5.2032469999999997E-2</v>
      </c>
      <c r="V1784">
        <v>2.4916440000000002E-2</v>
      </c>
      <c r="W1784">
        <v>0.38509719999999997</v>
      </c>
      <c r="X1784">
        <v>0.92253960000000002</v>
      </c>
      <c r="Y1784">
        <v>0.13695079999999901</v>
      </c>
      <c r="Z1784">
        <v>2.6062990000000001E-2</v>
      </c>
      <c r="AA1784">
        <v>0.99023490000000003</v>
      </c>
      <c r="AB1784">
        <v>23</v>
      </c>
      <c r="AC1784">
        <v>-0.57529999999999804</v>
      </c>
      <c r="AD1784">
        <v>-0.101100999999999</v>
      </c>
      <c r="AE1784">
        <v>1.4099999999984901E-2</v>
      </c>
      <c r="AF1784">
        <v>9.94641243732136E-2</v>
      </c>
      <c r="AG1784">
        <v>-0.101100999999999</v>
      </c>
      <c r="AH1784">
        <v>0.54931039011614702</v>
      </c>
      <c r="AI1784">
        <v>100.265330406101</v>
      </c>
      <c r="AJ1784">
        <v>79.736605191808493</v>
      </c>
      <c r="AK1784">
        <v>0.56732391887517297</v>
      </c>
      <c r="AL1784">
        <v>67.350225262886795</v>
      </c>
      <c r="AM1784">
        <v>88.452901234153899</v>
      </c>
      <c r="AN1784">
        <v>0.99999999799913597</v>
      </c>
    </row>
    <row r="1785" spans="1:40" x14ac:dyDescent="0.25">
      <c r="A1785" t="str">
        <f>"20190304164404571"</f>
        <v>20190304164404571</v>
      </c>
      <c r="B1785" t="str">
        <f>"1551689044561958"</f>
        <v>1551689044561958</v>
      </c>
      <c r="C1785" t="s">
        <v>40</v>
      </c>
      <c r="D1785">
        <v>5.4060600000000001</v>
      </c>
      <c r="E1785">
        <v>0.55494390000000005</v>
      </c>
      <c r="F1785" t="s">
        <v>41</v>
      </c>
      <c r="G1785">
        <v>-209.5205</v>
      </c>
      <c r="H1785">
        <v>1.0085679999999999</v>
      </c>
      <c r="I1785">
        <v>284.35109999999997</v>
      </c>
      <c r="J1785">
        <v>-208.97890000000001</v>
      </c>
      <c r="K1785">
        <v>1.103807</v>
      </c>
      <c r="L1785">
        <v>284.33600000000001</v>
      </c>
      <c r="M1785">
        <v>-0.98981669999999999</v>
      </c>
      <c r="N1785">
        <v>-1.1734909999999999E-2</v>
      </c>
      <c r="O1785">
        <v>-0.141863299999999</v>
      </c>
      <c r="P1785">
        <v>-0.91951190000000005</v>
      </c>
      <c r="Q1785">
        <v>0.37322880000000003</v>
      </c>
      <c r="R1785">
        <v>-0.1232814</v>
      </c>
      <c r="S1785">
        <v>-3.4295200000000001</v>
      </c>
      <c r="T1785">
        <v>-0.41570459999999898</v>
      </c>
      <c r="U1785">
        <v>-3.701782E-2</v>
      </c>
      <c r="V1785">
        <v>1.4922690000000001E-2</v>
      </c>
      <c r="W1785">
        <v>0.38389240000000002</v>
      </c>
      <c r="X1785">
        <v>0.9232572</v>
      </c>
      <c r="Y1785">
        <v>0.12930159999999999</v>
      </c>
      <c r="Z1785">
        <v>2.39913E-2</v>
      </c>
      <c r="AA1785">
        <v>0.99131499999999995</v>
      </c>
      <c r="AB1785">
        <v>23</v>
      </c>
      <c r="AC1785">
        <v>-0.54159999999998798</v>
      </c>
      <c r="AD1785">
        <v>-9.5238999999999796E-2</v>
      </c>
      <c r="AE1785">
        <v>1.50999999999612E-2</v>
      </c>
      <c r="AF1785">
        <v>8.9034692746113503E-2</v>
      </c>
      <c r="AG1785">
        <v>-9.5238999999999796E-2</v>
      </c>
      <c r="AH1785">
        <v>0.51797480374344496</v>
      </c>
      <c r="AI1785">
        <v>100.27113754947599</v>
      </c>
      <c r="AJ1785">
        <v>80.246739883067605</v>
      </c>
      <c r="AK1785">
        <v>0.53413064033666402</v>
      </c>
      <c r="AL1785">
        <v>67.4250027336942</v>
      </c>
      <c r="AM1785">
        <v>89.074003742339201</v>
      </c>
      <c r="AN1785">
        <v>0.99999995940321695</v>
      </c>
    </row>
    <row r="1786" spans="1:40" x14ac:dyDescent="0.25">
      <c r="A1786" t="str">
        <f>"20190304164404595"</f>
        <v>20190304164404595</v>
      </c>
      <c r="B1786" t="str">
        <f>"1551689044591236"</f>
        <v>1551689044591236</v>
      </c>
      <c r="C1786" t="s">
        <v>40</v>
      </c>
      <c r="D1786">
        <v>5.401929</v>
      </c>
      <c r="E1786">
        <v>0.55393400000000004</v>
      </c>
      <c r="F1786" t="s">
        <v>41</v>
      </c>
      <c r="G1786">
        <v>-209.72800000000001</v>
      </c>
      <c r="H1786">
        <v>1.0126999999999999</v>
      </c>
      <c r="I1786">
        <v>284.33109999999999</v>
      </c>
      <c r="J1786">
        <v>-209.215</v>
      </c>
      <c r="K1786">
        <v>1.104123</v>
      </c>
      <c r="L1786">
        <v>284.31540000000001</v>
      </c>
      <c r="M1786">
        <v>-0.991371</v>
      </c>
      <c r="N1786">
        <v>-1.153145E-2</v>
      </c>
      <c r="O1786">
        <v>-0.13057779999999999</v>
      </c>
      <c r="P1786">
        <v>-0.91985799999999995</v>
      </c>
      <c r="Q1786">
        <v>0.37364409999999998</v>
      </c>
      <c r="R1786">
        <v>-0.1193791</v>
      </c>
      <c r="S1786">
        <v>-3.4287260000000002</v>
      </c>
      <c r="T1786">
        <v>-0.41680840000000002</v>
      </c>
      <c r="U1786">
        <v>-2.2796629999999998E-2</v>
      </c>
      <c r="V1786">
        <v>7.9540510000000002E-3</v>
      </c>
      <c r="W1786">
        <v>0.38423760000000001</v>
      </c>
      <c r="X1786">
        <v>0.92320000000000002</v>
      </c>
      <c r="Y1786">
        <v>0.1222237</v>
      </c>
      <c r="Z1786">
        <v>2.2384330000000001E-2</v>
      </c>
      <c r="AA1786">
        <v>0.99225010000000002</v>
      </c>
      <c r="AB1786">
        <v>23</v>
      </c>
      <c r="AC1786">
        <v>-0.51299999999997603</v>
      </c>
      <c r="AD1786">
        <v>-9.1423000000000004E-2</v>
      </c>
      <c r="AE1786">
        <v>1.5699999999981101E-2</v>
      </c>
      <c r="AF1786">
        <v>8.0017473564247599E-2</v>
      </c>
      <c r="AG1786">
        <v>-9.1423000000000004E-2</v>
      </c>
      <c r="AH1786">
        <v>0.49097821060066299</v>
      </c>
      <c r="AI1786">
        <v>100.413677006814</v>
      </c>
      <c r="AJ1786">
        <v>80.743566358760305</v>
      </c>
      <c r="AK1786">
        <v>0.50578707406302303</v>
      </c>
      <c r="AL1786">
        <v>67.403582785349101</v>
      </c>
      <c r="AM1786">
        <v>89.506366685096296</v>
      </c>
      <c r="AN1786">
        <v>1.0000000200905299</v>
      </c>
    </row>
    <row r="1787" spans="1:40" x14ac:dyDescent="0.25">
      <c r="A1787" t="str">
        <f>"20190304164404614"</f>
        <v>20190304164404614</v>
      </c>
      <c r="B1787" t="str">
        <f>"1551689044611732"</f>
        <v>1551689044611732</v>
      </c>
      <c r="C1787" t="s">
        <v>40</v>
      </c>
      <c r="D1787">
        <v>5.4084190000000003</v>
      </c>
      <c r="E1787">
        <v>0.55324079999999998</v>
      </c>
      <c r="F1787" t="s">
        <v>41</v>
      </c>
      <c r="G1787">
        <v>-210.1327</v>
      </c>
      <c r="H1787">
        <v>0.99257240000000002</v>
      </c>
      <c r="I1787">
        <v>284.31169999999997</v>
      </c>
      <c r="J1787">
        <v>-209.41800000000001</v>
      </c>
      <c r="K1787">
        <v>1.1044240000000001</v>
      </c>
      <c r="L1787">
        <v>284.29930000000002</v>
      </c>
      <c r="M1787">
        <v>-0.99254050000000005</v>
      </c>
      <c r="N1787">
        <v>-1.134657E-2</v>
      </c>
      <c r="O1787">
        <v>-0.1213867</v>
      </c>
      <c r="P1787">
        <v>-0.91958519999999999</v>
      </c>
      <c r="Q1787">
        <v>0.37564019999999998</v>
      </c>
      <c r="R1787">
        <v>-0.1151402</v>
      </c>
      <c r="S1787">
        <v>-3.428696</v>
      </c>
      <c r="T1787">
        <v>-0.41651840000000001</v>
      </c>
      <c r="U1787">
        <v>-1.428223E-2</v>
      </c>
      <c r="V1787">
        <v>3.2600670000000002E-3</v>
      </c>
      <c r="W1787">
        <v>0.3861271</v>
      </c>
      <c r="X1787">
        <v>0.92243980000000003</v>
      </c>
      <c r="Y1787">
        <v>0.1155994</v>
      </c>
      <c r="Z1787">
        <v>2.0942539999999999E-2</v>
      </c>
      <c r="AA1787">
        <v>0.99307509999999999</v>
      </c>
      <c r="AB1787">
        <v>23</v>
      </c>
      <c r="AC1787">
        <v>-0.71469999999999301</v>
      </c>
      <c r="AD1787">
        <v>-0.1118516</v>
      </c>
      <c r="AE1787">
        <v>1.23999999999568E-2</v>
      </c>
      <c r="AF1787">
        <v>9.6701186894713201E-2</v>
      </c>
      <c r="AG1787">
        <v>-0.1118516</v>
      </c>
      <c r="AH1787">
        <v>0.69098990681205497</v>
      </c>
      <c r="AI1787">
        <v>99.107557241364702</v>
      </c>
      <c r="AJ1787">
        <v>82.033431167275594</v>
      </c>
      <c r="AK1787">
        <v>0.70663211877577303</v>
      </c>
      <c r="AL1787">
        <v>67.286269553616904</v>
      </c>
      <c r="AM1787">
        <v>89.7975073253033</v>
      </c>
      <c r="AN1787">
        <v>0.99999997500764604</v>
      </c>
    </row>
    <row r="1788" spans="1:40" x14ac:dyDescent="0.25">
      <c r="A1788" t="str">
        <f>"20190304164404637"</f>
        <v>20190304164404637</v>
      </c>
      <c r="B1788" t="str">
        <f>"1551689044631253"</f>
        <v>1551689044631253</v>
      </c>
      <c r="C1788" t="s">
        <v>40</v>
      </c>
      <c r="D1788">
        <v>5.3893979999999999</v>
      </c>
      <c r="E1788">
        <v>0.5525468</v>
      </c>
      <c r="F1788" t="s">
        <v>41</v>
      </c>
      <c r="G1788">
        <v>-210.34020000000001</v>
      </c>
      <c r="H1788">
        <v>0.99360309999999996</v>
      </c>
      <c r="I1788">
        <v>284.29700000000003</v>
      </c>
      <c r="J1788">
        <v>-209.65219999999999</v>
      </c>
      <c r="K1788">
        <v>1.1047499999999999</v>
      </c>
      <c r="L1788">
        <v>284.2824</v>
      </c>
      <c r="M1788">
        <v>-0.99372479999999996</v>
      </c>
      <c r="N1788">
        <v>-1.1135590000000001E-2</v>
      </c>
      <c r="O1788">
        <v>-0.1112974</v>
      </c>
      <c r="P1788">
        <v>-0.92007340000000004</v>
      </c>
      <c r="Q1788">
        <v>0.37525930000000002</v>
      </c>
      <c r="R1788">
        <v>-0.112454399999999</v>
      </c>
      <c r="S1788">
        <v>-3.4294129999999998</v>
      </c>
      <c r="T1788">
        <v>-0.41176649999999998</v>
      </c>
      <c r="U1788">
        <v>-8.9416500000000006E-3</v>
      </c>
      <c r="V1788">
        <v>-3.7640490000000002E-3</v>
      </c>
      <c r="W1788">
        <v>0.38565240000000001</v>
      </c>
      <c r="X1788">
        <v>0.92263640000000002</v>
      </c>
      <c r="Y1788">
        <v>0.1072157</v>
      </c>
      <c r="Z1788">
        <v>1.9069800000000001E-2</v>
      </c>
      <c r="AA1788">
        <v>0.99405290000000002</v>
      </c>
      <c r="AB1788">
        <v>23</v>
      </c>
      <c r="AC1788">
        <v>-0.68800000000001604</v>
      </c>
      <c r="AD1788">
        <v>-0.11114690000000001</v>
      </c>
      <c r="AE1788">
        <v>1.46000000000299E-2</v>
      </c>
      <c r="AF1788">
        <v>8.87708805888415E-2</v>
      </c>
      <c r="AG1788">
        <v>-0.11114690000000001</v>
      </c>
      <c r="AH1788">
        <v>0.66475849975222401</v>
      </c>
      <c r="AI1788">
        <v>99.409973406125999</v>
      </c>
      <c r="AJ1788">
        <v>82.393804745543406</v>
      </c>
      <c r="AK1788">
        <v>0.67980715325227004</v>
      </c>
      <c r="AL1788">
        <v>67.315750400462804</v>
      </c>
      <c r="AM1788">
        <v>90.233746387104105</v>
      </c>
      <c r="AN1788">
        <v>0.99999993414779498</v>
      </c>
    </row>
    <row r="1789" spans="1:40" x14ac:dyDescent="0.25">
      <c r="A1789" t="str">
        <f>"20190304164404659"</f>
        <v>20190304164404659</v>
      </c>
      <c r="B1789" t="str">
        <f>"1551689044651749"</f>
        <v>1551689044651749</v>
      </c>
      <c r="C1789" t="s">
        <v>40</v>
      </c>
      <c r="D1789">
        <v>5.4113199999999999</v>
      </c>
      <c r="E1789">
        <v>0.5518845</v>
      </c>
      <c r="F1789" t="s">
        <v>41</v>
      </c>
      <c r="G1789">
        <v>-210.54910000000001</v>
      </c>
      <c r="H1789">
        <v>0.99657810000000002</v>
      </c>
      <c r="I1789">
        <v>284.28309999999999</v>
      </c>
      <c r="J1789">
        <v>-209.8937</v>
      </c>
      <c r="K1789">
        <v>1.105059</v>
      </c>
      <c r="L1789">
        <v>284.26690000000002</v>
      </c>
      <c r="M1789">
        <v>-0.99477990000000005</v>
      </c>
      <c r="N1789">
        <v>-1.093124E-2</v>
      </c>
      <c r="O1789">
        <v>-0.1014564</v>
      </c>
      <c r="P1789">
        <v>-0.92049720000000002</v>
      </c>
      <c r="Q1789">
        <v>0.37481989999999998</v>
      </c>
      <c r="R1789">
        <v>-0.1104305</v>
      </c>
      <c r="S1789">
        <v>-3.4294739999999999</v>
      </c>
      <c r="T1789">
        <v>-0.4133773</v>
      </c>
      <c r="U1789">
        <v>2.1362299999999998E-3</v>
      </c>
      <c r="V1789">
        <v>-1.120298E-2</v>
      </c>
      <c r="W1789">
        <v>0.38511960000000001</v>
      </c>
      <c r="X1789">
        <v>0.92279869999999997</v>
      </c>
      <c r="Y1789">
        <v>0.1006817</v>
      </c>
      <c r="Z1789">
        <v>1.7661030000000001E-2</v>
      </c>
      <c r="AA1789">
        <v>0.99476189999999998</v>
      </c>
      <c r="AB1789">
        <v>23</v>
      </c>
      <c r="AC1789">
        <v>-0.65540000000001397</v>
      </c>
      <c r="AD1789">
        <v>-0.10848090000000001</v>
      </c>
      <c r="AE1789">
        <v>1.6199999999969301E-2</v>
      </c>
      <c r="AF1789">
        <v>8.0413209137890199E-2</v>
      </c>
      <c r="AG1789">
        <v>-0.10848090000000001</v>
      </c>
      <c r="AH1789">
        <v>0.63304155238985405</v>
      </c>
      <c r="AI1789">
        <v>99.647963911164695</v>
      </c>
      <c r="AJ1789">
        <v>82.760674789296402</v>
      </c>
      <c r="AK1789">
        <v>0.64728355217850198</v>
      </c>
      <c r="AL1789">
        <v>67.348835266442407</v>
      </c>
      <c r="AM1789">
        <v>90.695549246114894</v>
      </c>
      <c r="AN1789">
        <v>1.00000002689336</v>
      </c>
    </row>
    <row r="1790" spans="1:40" x14ac:dyDescent="0.25">
      <c r="A1790" t="str">
        <f>"20190304164404681"</f>
        <v>20190304164404681</v>
      </c>
      <c r="B1790" t="str">
        <f>"1551689044671878"</f>
        <v>1551689044671878</v>
      </c>
      <c r="C1790" t="s">
        <v>40</v>
      </c>
      <c r="D1790">
        <v>5.3764200000000004</v>
      </c>
      <c r="E1790">
        <v>0.55120690000000006</v>
      </c>
      <c r="F1790" t="s">
        <v>41</v>
      </c>
      <c r="G1790">
        <v>-210.7587</v>
      </c>
      <c r="H1790">
        <v>1.0002629999999999</v>
      </c>
      <c r="I1790">
        <v>284.26960000000003</v>
      </c>
      <c r="J1790">
        <v>-210.12289999999999</v>
      </c>
      <c r="K1790">
        <v>1.1053580000000001</v>
      </c>
      <c r="L1790">
        <v>284.25369999999998</v>
      </c>
      <c r="M1790">
        <v>-0.99563690000000005</v>
      </c>
      <c r="N1790">
        <v>-1.074111E-2</v>
      </c>
      <c r="O1790">
        <v>-9.2692269999999993E-2</v>
      </c>
      <c r="P1790">
        <v>-0.92058090000000004</v>
      </c>
      <c r="Q1790">
        <v>0.37603320000000001</v>
      </c>
      <c r="R1790">
        <v>-0.1054982</v>
      </c>
      <c r="S1790">
        <v>-3.4294739999999999</v>
      </c>
      <c r="T1790">
        <v>-0.41543459999999899</v>
      </c>
      <c r="U1790">
        <v>1.0162350000000001E-2</v>
      </c>
      <c r="V1790">
        <v>-1.4730500000000001E-2</v>
      </c>
      <c r="W1790">
        <v>0.38618429999999998</v>
      </c>
      <c r="X1790">
        <v>0.92230400000000001</v>
      </c>
      <c r="Y1790">
        <v>9.4335210000000003E-2</v>
      </c>
      <c r="Z1790">
        <v>1.6383950000000001E-2</v>
      </c>
      <c r="AA1790">
        <v>0.99540569999999895</v>
      </c>
      <c r="AB1790">
        <v>23</v>
      </c>
      <c r="AC1790">
        <v>-0.63580000000001702</v>
      </c>
      <c r="AD1790">
        <v>-0.10509499999999999</v>
      </c>
      <c r="AE1790">
        <v>1.5900000000044601E-2</v>
      </c>
      <c r="AF1790">
        <v>7.2781345286683799E-2</v>
      </c>
      <c r="AG1790">
        <v>-0.10509499999999999</v>
      </c>
      <c r="AH1790">
        <v>0.61480104374595401</v>
      </c>
      <c r="AI1790">
        <v>99.634463554035605</v>
      </c>
      <c r="AJ1790">
        <v>83.248635510469597</v>
      </c>
      <c r="AK1790">
        <v>0.62795095878408702</v>
      </c>
      <c r="AL1790">
        <v>67.282716884012402</v>
      </c>
      <c r="AM1790">
        <v>90.915016878665597</v>
      </c>
      <c r="AN1790">
        <v>0.99999998480636898</v>
      </c>
    </row>
    <row r="1791" spans="1:40" x14ac:dyDescent="0.25">
      <c r="A1791" t="str">
        <f>"20190304164404703"</f>
        <v>20190304164404703</v>
      </c>
      <c r="B1791" t="str">
        <f>"1551689044691397"</f>
        <v>1551689044691397</v>
      </c>
      <c r="C1791" t="s">
        <v>40</v>
      </c>
      <c r="D1791">
        <v>5.3757979999999996</v>
      </c>
      <c r="E1791">
        <v>0.55053099999999999</v>
      </c>
      <c r="F1791" t="s">
        <v>41</v>
      </c>
      <c r="G1791">
        <v>-210.9684</v>
      </c>
      <c r="H1791">
        <v>1.00315</v>
      </c>
      <c r="I1791">
        <v>284.25729999999999</v>
      </c>
      <c r="J1791">
        <v>-210.34180000000001</v>
      </c>
      <c r="K1791">
        <v>1.105666</v>
      </c>
      <c r="L1791">
        <v>284.24239999999998</v>
      </c>
      <c r="M1791">
        <v>-0.99633289999999997</v>
      </c>
      <c r="N1791">
        <v>-1.05515E-2</v>
      </c>
      <c r="O1791">
        <v>-8.4908250000000005E-2</v>
      </c>
      <c r="P1791">
        <v>-0.92130369999999995</v>
      </c>
      <c r="Q1791">
        <v>0.37508229999999998</v>
      </c>
      <c r="R1791">
        <v>-0.10253279999999999</v>
      </c>
      <c r="S1791">
        <v>-3.4297330000000001</v>
      </c>
      <c r="T1791">
        <v>-0.41449399999999997</v>
      </c>
      <c r="U1791">
        <v>1.4190670000000001E-2</v>
      </c>
      <c r="V1791">
        <v>-1.9277949999999999E-2</v>
      </c>
      <c r="W1791">
        <v>0.3851002</v>
      </c>
      <c r="X1791">
        <v>0.92267339999999998</v>
      </c>
      <c r="Y1791">
        <v>8.7826080000000001E-2</v>
      </c>
      <c r="Z1791">
        <v>1.5074580000000001E-2</v>
      </c>
      <c r="AA1791">
        <v>0.99602170000000001</v>
      </c>
      <c r="AB1791">
        <v>23</v>
      </c>
      <c r="AC1791">
        <v>-0.62659999999999605</v>
      </c>
      <c r="AD1791">
        <v>-0.102516</v>
      </c>
      <c r="AE1791">
        <v>1.4900000000011401E-2</v>
      </c>
      <c r="AF1791">
        <v>6.6279544793079098E-2</v>
      </c>
      <c r="AG1791">
        <v>-0.102516</v>
      </c>
      <c r="AH1791">
        <v>0.60683760184622104</v>
      </c>
      <c r="AI1791">
        <v>99.533075568261694</v>
      </c>
      <c r="AJ1791">
        <v>83.766792436679196</v>
      </c>
      <c r="AK1791">
        <v>0.618994655331086</v>
      </c>
      <c r="AL1791">
        <v>67.350039136047499</v>
      </c>
      <c r="AM1791">
        <v>91.196939770982098</v>
      </c>
      <c r="AN1791">
        <v>1.0000000032319001</v>
      </c>
    </row>
    <row r="1792" spans="1:40" x14ac:dyDescent="0.25">
      <c r="A1792" t="str">
        <f>"20190304164404726"</f>
        <v>20190304164404726</v>
      </c>
      <c r="B1792" t="str">
        <f>"1551689044721654"</f>
        <v>1551689044721654</v>
      </c>
      <c r="C1792" t="s">
        <v>40</v>
      </c>
      <c r="D1792">
        <v>5.3436870000000001</v>
      </c>
      <c r="E1792">
        <v>0.54986550000000001</v>
      </c>
      <c r="F1792" t="s">
        <v>41</v>
      </c>
      <c r="G1792">
        <v>-211.1773</v>
      </c>
      <c r="H1792">
        <v>1.003074</v>
      </c>
      <c r="I1792">
        <v>284.24619999999999</v>
      </c>
      <c r="J1792">
        <v>-210.58170000000001</v>
      </c>
      <c r="K1792">
        <v>1.1060570000000001</v>
      </c>
      <c r="L1792">
        <v>284.2312</v>
      </c>
      <c r="M1792">
        <v>-0.99697069999999999</v>
      </c>
      <c r="N1792">
        <v>-1.0336089999999999E-2</v>
      </c>
      <c r="O1792">
        <v>-7.7087539999999996E-2</v>
      </c>
      <c r="P1792">
        <v>-0.92218520000000004</v>
      </c>
      <c r="Q1792">
        <v>0.3729189</v>
      </c>
      <c r="R1792">
        <v>-0.102497699999999</v>
      </c>
      <c r="S1792">
        <v>-3.4293670000000001</v>
      </c>
      <c r="T1792">
        <v>-0.42096260000000002</v>
      </c>
      <c r="U1792">
        <v>1.528931E-2</v>
      </c>
      <c r="V1792">
        <v>-2.6862690000000002E-2</v>
      </c>
      <c r="W1792">
        <v>0.38280500000000001</v>
      </c>
      <c r="X1792">
        <v>0.92343850000000005</v>
      </c>
      <c r="Y1792">
        <v>8.0396880000000004E-2</v>
      </c>
      <c r="Z1792">
        <v>1.395913E-2</v>
      </c>
      <c r="AA1792">
        <v>0.99666520000000003</v>
      </c>
      <c r="AB1792">
        <v>23</v>
      </c>
      <c r="AC1792">
        <v>-0.59559999999999003</v>
      </c>
      <c r="AD1792">
        <v>-0.10298300000000001</v>
      </c>
      <c r="AE1792">
        <v>1.49999999999863E-2</v>
      </c>
      <c r="AF1792">
        <v>5.9105229112680902E-2</v>
      </c>
      <c r="AG1792">
        <v>-0.10298300000000001</v>
      </c>
      <c r="AH1792">
        <v>0.575477222384564</v>
      </c>
      <c r="AI1792">
        <v>100.093822854506</v>
      </c>
      <c r="AJ1792">
        <v>84.135914881120399</v>
      </c>
      <c r="AK1792">
        <v>0.58759931916307995</v>
      </c>
      <c r="AL1792">
        <v>67.492459828090304</v>
      </c>
      <c r="AM1792">
        <v>91.666255889854099</v>
      </c>
      <c r="AN1792">
        <v>0.99999996771064203</v>
      </c>
    </row>
    <row r="1793" spans="1:40" x14ac:dyDescent="0.25">
      <c r="A1793" t="str">
        <f>"20190304164404749"</f>
        <v>20190304164404749</v>
      </c>
      <c r="B1793" t="str">
        <f>"1551689044742150"</f>
        <v>1551689044742150</v>
      </c>
      <c r="C1793" t="s">
        <v>40</v>
      </c>
      <c r="D1793">
        <v>5.3633490000000004</v>
      </c>
      <c r="E1793">
        <v>0.53733149999999996</v>
      </c>
      <c r="F1793" t="s">
        <v>41</v>
      </c>
      <c r="G1793">
        <v>-211.38759999999999</v>
      </c>
      <c r="H1793">
        <v>1.0053270000000001</v>
      </c>
      <c r="I1793">
        <v>284.2355</v>
      </c>
      <c r="J1793">
        <v>-210.83439999999999</v>
      </c>
      <c r="K1793">
        <v>1.1065309999999999</v>
      </c>
      <c r="L1793">
        <v>284.22039999999998</v>
      </c>
      <c r="M1793">
        <v>-0.99751990000000001</v>
      </c>
      <c r="N1793">
        <v>-1.0107909999999999E-2</v>
      </c>
      <c r="O1793">
        <v>-6.9656419999999997E-2</v>
      </c>
      <c r="P1793">
        <v>-0.92264400000000002</v>
      </c>
      <c r="Q1793">
        <v>0.37229699999999999</v>
      </c>
      <c r="R1793">
        <v>-0.1006148</v>
      </c>
      <c r="S1793">
        <v>-3.4284819999999998</v>
      </c>
      <c r="T1793">
        <v>-0.42850709999999997</v>
      </c>
      <c r="U1793">
        <v>1.8554689999999999E-2</v>
      </c>
      <c r="V1793">
        <v>-3.2330560000000001E-2</v>
      </c>
      <c r="W1793">
        <v>0.38198989999999999</v>
      </c>
      <c r="X1793">
        <v>0.9236008</v>
      </c>
      <c r="Y1793">
        <v>7.3978009999999997E-2</v>
      </c>
      <c r="Z1793">
        <v>1.294587E-2</v>
      </c>
      <c r="AA1793">
        <v>0.99717579999999995</v>
      </c>
      <c r="AB1793">
        <v>23</v>
      </c>
      <c r="AC1793">
        <v>-0.55320000000000302</v>
      </c>
      <c r="AD1793">
        <v>-0.101203999999999</v>
      </c>
      <c r="AE1793">
        <v>1.5100000000018101E-2</v>
      </c>
      <c r="AF1793">
        <v>5.1864696186070001E-2</v>
      </c>
      <c r="AG1793">
        <v>-0.101203999999999</v>
      </c>
      <c r="AH1793">
        <v>0.532979759608187</v>
      </c>
      <c r="AI1793">
        <v>100.70214180203899</v>
      </c>
      <c r="AJ1793">
        <v>84.442000398353798</v>
      </c>
      <c r="AK1793">
        <v>0.54497671553789795</v>
      </c>
      <c r="AL1793">
        <v>67.543003613583593</v>
      </c>
      <c r="AM1793">
        <v>92.004814831698596</v>
      </c>
      <c r="AN1793">
        <v>0.99999999328628097</v>
      </c>
    </row>
    <row r="1794" spans="1:40" x14ac:dyDescent="0.25">
      <c r="A1794" t="str">
        <f>"20190304164404772"</f>
        <v>20190304164404772</v>
      </c>
      <c r="B1794" t="str">
        <f>"1551689044761669"</f>
        <v>1551689044761669</v>
      </c>
      <c r="C1794" t="s">
        <v>40</v>
      </c>
      <c r="D1794">
        <v>5.3669609999999999</v>
      </c>
      <c r="E1794">
        <v>0.53707720000000003</v>
      </c>
      <c r="F1794" t="s">
        <v>41</v>
      </c>
      <c r="G1794">
        <v>-211.596</v>
      </c>
      <c r="H1794">
        <v>1.0050939999999999</v>
      </c>
      <c r="I1794">
        <v>284.20400000000001</v>
      </c>
      <c r="J1794">
        <v>-211.07769999999999</v>
      </c>
      <c r="K1794">
        <v>1.107032</v>
      </c>
      <c r="L1794">
        <v>284.21089999999998</v>
      </c>
      <c r="M1794">
        <v>-0.99794510000000003</v>
      </c>
      <c r="N1794">
        <v>-9.8901319999999994E-3</v>
      </c>
      <c r="O1794">
        <v>-6.3307520000000006E-2</v>
      </c>
      <c r="P1794">
        <v>-0.92248980000000003</v>
      </c>
      <c r="Q1794">
        <v>0.37335249999999998</v>
      </c>
      <c r="R1794">
        <v>-9.8083630000000005E-2</v>
      </c>
      <c r="S1794">
        <v>-3.4275359999999999</v>
      </c>
      <c r="T1794">
        <v>-0.45639109999999999</v>
      </c>
      <c r="U1794">
        <v>-7.4859620000000002E-2</v>
      </c>
      <c r="V1794">
        <v>-3.617861E-2</v>
      </c>
      <c r="W1794">
        <v>0.38282749999999999</v>
      </c>
      <c r="X1794">
        <v>0.92311109999999996</v>
      </c>
      <c r="Y1794">
        <v>4.0640780000000001E-2</v>
      </c>
      <c r="Z1794">
        <v>1.065752E-2</v>
      </c>
      <c r="AA1794">
        <v>0.99911700000000003</v>
      </c>
      <c r="AB1794">
        <v>23</v>
      </c>
      <c r="AC1794">
        <v>-0.518299999999982</v>
      </c>
      <c r="AD1794">
        <v>-0.101937999999999</v>
      </c>
      <c r="AE1794">
        <v>-6.89999999997326E-3</v>
      </c>
      <c r="AF1794">
        <v>2.49623105354768E-2</v>
      </c>
      <c r="AG1794">
        <v>-0.101937999999999</v>
      </c>
      <c r="AH1794">
        <v>0.498420540477998</v>
      </c>
      <c r="AI1794">
        <v>101.544764131769</v>
      </c>
      <c r="AJ1794">
        <v>87.132860894860499</v>
      </c>
      <c r="AK1794">
        <v>0.50935008389284597</v>
      </c>
      <c r="AL1794">
        <v>67.491063828656195</v>
      </c>
      <c r="AM1794">
        <v>92.244389989541105</v>
      </c>
      <c r="AN1794">
        <v>0.99999994476049403</v>
      </c>
    </row>
    <row r="1795" spans="1:40" x14ac:dyDescent="0.25">
      <c r="A1795" t="str">
        <f>"20190304164404793"</f>
        <v>20190304164404793</v>
      </c>
      <c r="B1795" t="str">
        <f>"1551689044781696"</f>
        <v>1551689044781696</v>
      </c>
      <c r="C1795" t="s">
        <v>40</v>
      </c>
      <c r="D1795">
        <v>5.3310649999999997</v>
      </c>
      <c r="E1795">
        <v>0.53672919999999902</v>
      </c>
      <c r="F1795" t="s">
        <v>41</v>
      </c>
      <c r="G1795">
        <v>-211.8092</v>
      </c>
      <c r="H1795">
        <v>1.0110669999999999</v>
      </c>
      <c r="I1795">
        <v>284.19560000000001</v>
      </c>
      <c r="J1795">
        <v>-211.29159999999999</v>
      </c>
      <c r="K1795">
        <v>1.1074820000000001</v>
      </c>
      <c r="L1795">
        <v>284.20310000000001</v>
      </c>
      <c r="M1795">
        <v>-0.99824389999999996</v>
      </c>
      <c r="N1795">
        <v>-9.7024290000000003E-3</v>
      </c>
      <c r="O1795">
        <v>-5.8437080000000002E-2</v>
      </c>
      <c r="P1795">
        <v>-0.92192819999999998</v>
      </c>
      <c r="Q1795">
        <v>0.3747818</v>
      </c>
      <c r="R1795">
        <v>-9.7912920000000001E-2</v>
      </c>
      <c r="S1795">
        <v>-3.4262999999999999</v>
      </c>
      <c r="T1795">
        <v>-0.44944319999999999</v>
      </c>
      <c r="U1795">
        <v>-7.2052000000000005E-2</v>
      </c>
      <c r="V1795">
        <v>-4.0970270000000003E-2</v>
      </c>
      <c r="W1795">
        <v>0.38406980000000002</v>
      </c>
      <c r="X1795">
        <v>0.92239459999999995</v>
      </c>
      <c r="Y1795">
        <v>3.6672530000000002E-2</v>
      </c>
      <c r="Z1795">
        <v>9.6359380000000001E-3</v>
      </c>
      <c r="AA1795">
        <v>0.99928090000000003</v>
      </c>
      <c r="AB1795">
        <v>23</v>
      </c>
      <c r="AC1795">
        <v>-0.51760000000001505</v>
      </c>
      <c r="AD1795">
        <v>-9.6415000000000098E-2</v>
      </c>
      <c r="AE1795">
        <v>-7.4999999999931797E-3</v>
      </c>
      <c r="AF1795">
        <v>2.19981507215283E-2</v>
      </c>
      <c r="AG1795">
        <v>-9.6415000000000098E-2</v>
      </c>
      <c r="AH1795">
        <v>0.49981489889272301</v>
      </c>
      <c r="AI1795">
        <v>100.908021695302</v>
      </c>
      <c r="AJ1795">
        <v>87.479890463062603</v>
      </c>
      <c r="AK1795">
        <v>0.50950437094818901</v>
      </c>
      <c r="AL1795">
        <v>67.4139952266557</v>
      </c>
      <c r="AM1795">
        <v>92.543251706624602</v>
      </c>
      <c r="AN1795">
        <v>0.99999998620253605</v>
      </c>
    </row>
    <row r="1796" spans="1:40" x14ac:dyDescent="0.25">
      <c r="A1796" t="str">
        <f>"20190304164404816"</f>
        <v>20190304164404816</v>
      </c>
      <c r="B1796" t="str">
        <f>"1551689044811952"</f>
        <v>1551689044811952</v>
      </c>
      <c r="C1796" t="s">
        <v>40</v>
      </c>
      <c r="D1796">
        <v>5.375807</v>
      </c>
      <c r="E1796">
        <v>0.53658739999999905</v>
      </c>
      <c r="F1796" t="s">
        <v>41</v>
      </c>
      <c r="G1796">
        <v>-212.02109999999999</v>
      </c>
      <c r="H1796">
        <v>1.0133190000000001</v>
      </c>
      <c r="I1796">
        <v>284.18770000000001</v>
      </c>
      <c r="J1796">
        <v>-211.53450000000001</v>
      </c>
      <c r="K1796">
        <v>1.107952</v>
      </c>
      <c r="L1796">
        <v>284.19450000000001</v>
      </c>
      <c r="M1796">
        <v>-0.99851310000000004</v>
      </c>
      <c r="N1796">
        <v>-9.4952579999999995E-3</v>
      </c>
      <c r="O1796">
        <v>-5.3680789999999999E-2</v>
      </c>
      <c r="P1796">
        <v>-0.92144550000000003</v>
      </c>
      <c r="Q1796">
        <v>0.37597530000000001</v>
      </c>
      <c r="R1796">
        <v>-9.7883700000000004E-2</v>
      </c>
      <c r="S1796">
        <v>-3.4260410000000001</v>
      </c>
      <c r="T1796">
        <v>-0.44217780000000001</v>
      </c>
      <c r="U1796">
        <v>-7.2906490000000004E-2</v>
      </c>
      <c r="V1796">
        <v>-4.582021E-2</v>
      </c>
      <c r="W1796">
        <v>0.38504519999999998</v>
      </c>
      <c r="X1796">
        <v>0.92175949999999995</v>
      </c>
      <c r="Y1796">
        <v>3.1762150000000003E-2</v>
      </c>
      <c r="Z1796">
        <v>8.5798699999999999E-3</v>
      </c>
      <c r="AA1796">
        <v>0.99945859999999997</v>
      </c>
      <c r="AB1796">
        <v>23</v>
      </c>
      <c r="AC1796">
        <v>-0.48659999999998099</v>
      </c>
      <c r="AD1796">
        <v>-9.4632999999999898E-2</v>
      </c>
      <c r="AE1796">
        <v>-6.7999999999983603E-3</v>
      </c>
      <c r="AF1796">
        <v>1.8627660752417299E-2</v>
      </c>
      <c r="AG1796">
        <v>-9.4632999999999898E-2</v>
      </c>
      <c r="AH1796">
        <v>0.46854564568722201</v>
      </c>
      <c r="AI1796">
        <v>101.409744193789</v>
      </c>
      <c r="AJ1796">
        <v>87.723328388517004</v>
      </c>
      <c r="AK1796">
        <v>0.478369539714396</v>
      </c>
      <c r="AL1796">
        <v>67.353452126028799</v>
      </c>
      <c r="AM1796">
        <v>92.845802449750906</v>
      </c>
      <c r="AN1796">
        <v>0.99999993676386401</v>
      </c>
    </row>
    <row r="1797" spans="1:40" x14ac:dyDescent="0.25">
      <c r="A1797" t="str">
        <f>"20190304164404838"</f>
        <v>20190304164404838</v>
      </c>
      <c r="B1797" t="str">
        <f>"1551689044831473"</f>
        <v>1551689044831473</v>
      </c>
      <c r="C1797" t="s">
        <v>40</v>
      </c>
      <c r="D1797">
        <v>5.3465809999999996</v>
      </c>
      <c r="E1797">
        <v>0.5364158</v>
      </c>
      <c r="F1797" t="s">
        <v>41</v>
      </c>
      <c r="G1797">
        <v>-212.43430000000001</v>
      </c>
      <c r="H1797">
        <v>0.99336150000000001</v>
      </c>
      <c r="I1797">
        <v>284.17540000000002</v>
      </c>
      <c r="J1797">
        <v>-211.77209999999999</v>
      </c>
      <c r="K1797">
        <v>1.1083480000000001</v>
      </c>
      <c r="L1797">
        <v>284.18650000000002</v>
      </c>
      <c r="M1797">
        <v>-0.99871869999999996</v>
      </c>
      <c r="N1797">
        <v>-9.3008459999999998E-3</v>
      </c>
      <c r="O1797">
        <v>-4.9744049999999998E-2</v>
      </c>
      <c r="P1797">
        <v>-0.92115130000000001</v>
      </c>
      <c r="Q1797">
        <v>0.37703819999999999</v>
      </c>
      <c r="R1797">
        <v>-9.6554089999999995E-2</v>
      </c>
      <c r="S1797">
        <v>-3.42598</v>
      </c>
      <c r="T1797">
        <v>-0.43625969999999997</v>
      </c>
      <c r="U1797">
        <v>-7.3272710000000005E-2</v>
      </c>
      <c r="V1797">
        <v>-4.8532659999999998E-2</v>
      </c>
      <c r="W1797">
        <v>0.38589050000000003</v>
      </c>
      <c r="X1797">
        <v>0.92126719999999895</v>
      </c>
      <c r="Y1797">
        <v>2.7793410000000001E-2</v>
      </c>
      <c r="Z1797">
        <v>7.7363609999999998E-3</v>
      </c>
      <c r="AA1797">
        <v>0.99958369999999996</v>
      </c>
      <c r="AB1797">
        <v>23</v>
      </c>
      <c r="AC1797">
        <v>-0.662200000000012</v>
      </c>
      <c r="AD1797">
        <v>-0.11498649999999901</v>
      </c>
      <c r="AE1797">
        <v>-1.1099999999999E-2</v>
      </c>
      <c r="AF1797">
        <v>2.12161489823884E-2</v>
      </c>
      <c r="AG1797">
        <v>-0.11498649999999901</v>
      </c>
      <c r="AH1797">
        <v>0.64256321756069601</v>
      </c>
      <c r="AI1797">
        <v>100.140263178026</v>
      </c>
      <c r="AJ1797">
        <v>88.108895269623901</v>
      </c>
      <c r="AK1797">
        <v>0.65311523387672299</v>
      </c>
      <c r="AL1797">
        <v>67.300967086712504</v>
      </c>
      <c r="AM1797">
        <v>93.0155730034313</v>
      </c>
      <c r="AN1797">
        <v>1.00000007543637</v>
      </c>
    </row>
    <row r="1798" spans="1:40" x14ac:dyDescent="0.25">
      <c r="A1798" t="str">
        <f>"20190304164404860"</f>
        <v>20190304164404860</v>
      </c>
      <c r="B1798" t="str">
        <f>"1551689044851968"</f>
        <v>1551689044851968</v>
      </c>
      <c r="C1798" t="s">
        <v>40</v>
      </c>
      <c r="D1798">
        <v>5.3284599999999998</v>
      </c>
      <c r="E1798">
        <v>0.53621890000000005</v>
      </c>
      <c r="F1798" t="s">
        <v>41</v>
      </c>
      <c r="G1798">
        <v>-212.64859999999999</v>
      </c>
      <c r="H1798">
        <v>0.99787809999999999</v>
      </c>
      <c r="I1798">
        <v>284.16789999999997</v>
      </c>
      <c r="J1798">
        <v>-212.00810000000001</v>
      </c>
      <c r="K1798">
        <v>1.1086400000000001</v>
      </c>
      <c r="L1798">
        <v>284.1789</v>
      </c>
      <c r="M1798">
        <v>-0.99888370000000004</v>
      </c>
      <c r="N1798">
        <v>-9.1200169999999994E-3</v>
      </c>
      <c r="O1798">
        <v>-4.6349689999999999E-2</v>
      </c>
      <c r="P1798">
        <v>-0.92102949999999995</v>
      </c>
      <c r="Q1798">
        <v>0.3774149</v>
      </c>
      <c r="R1798">
        <v>-9.6242439999999999E-2</v>
      </c>
      <c r="S1798">
        <v>-3.425888</v>
      </c>
      <c r="T1798">
        <v>-0.43178549999999899</v>
      </c>
      <c r="U1798">
        <v>-7.2998049999999995E-2</v>
      </c>
      <c r="V1798">
        <v>-5.1658040000000002E-2</v>
      </c>
      <c r="W1798">
        <v>0.38607429999999998</v>
      </c>
      <c r="X1798">
        <v>0.92102019999999996</v>
      </c>
      <c r="Y1798">
        <v>2.453781E-2</v>
      </c>
      <c r="Z1798">
        <v>7.0469259999999898E-3</v>
      </c>
      <c r="AA1798">
        <v>0.99967410000000001</v>
      </c>
      <c r="AB1798">
        <v>24</v>
      </c>
      <c r="AC1798">
        <v>-0.64049999999997398</v>
      </c>
      <c r="AD1798">
        <v>-0.1107619</v>
      </c>
      <c r="AE1798">
        <v>-1.10000000000241E-2</v>
      </c>
      <c r="AF1798">
        <v>1.8157202929475699E-2</v>
      </c>
      <c r="AG1798">
        <v>-0.1107619</v>
      </c>
      <c r="AH1798">
        <v>0.62173403057523102</v>
      </c>
      <c r="AI1798">
        <v>100.09705222982799</v>
      </c>
      <c r="AJ1798">
        <v>88.327201928687003</v>
      </c>
      <c r="AK1798">
        <v>0.63178405114813896</v>
      </c>
      <c r="AL1798">
        <v>67.289551198374795</v>
      </c>
      <c r="AM1798">
        <v>93.2102334299571</v>
      </c>
      <c r="AN1798">
        <v>1.0000000635125801</v>
      </c>
    </row>
    <row r="1799" spans="1:40" x14ac:dyDescent="0.25">
      <c r="A1799" t="str">
        <f>"20190304164404882"</f>
        <v>20190304164404882</v>
      </c>
      <c r="B1799" t="str">
        <f>"1551689044871488"</f>
        <v>1551689044871488</v>
      </c>
      <c r="C1799" t="s">
        <v>40</v>
      </c>
      <c r="D1799">
        <v>5.3475590000000004</v>
      </c>
      <c r="E1799">
        <v>0.53600899999999996</v>
      </c>
      <c r="F1799" t="s">
        <v>41</v>
      </c>
      <c r="G1799">
        <v>-212.8629</v>
      </c>
      <c r="H1799">
        <v>1.0013259999999999</v>
      </c>
      <c r="I1799">
        <v>284.16039999999998</v>
      </c>
      <c r="J1799">
        <v>-212.23660000000001</v>
      </c>
      <c r="K1799">
        <v>1.1088340000000001</v>
      </c>
      <c r="L1799">
        <v>284.17180000000002</v>
      </c>
      <c r="M1799">
        <v>-0.99901459999999997</v>
      </c>
      <c r="N1799">
        <v>-8.9551240000000001E-3</v>
      </c>
      <c r="O1799">
        <v>-4.3472030000000002E-2</v>
      </c>
      <c r="P1799">
        <v>-0.92144009999999998</v>
      </c>
      <c r="Q1799">
        <v>0.37620910000000002</v>
      </c>
      <c r="R1799">
        <v>-9.7031329999999999E-2</v>
      </c>
      <c r="S1799">
        <v>-3.4257200000000001</v>
      </c>
      <c r="T1799">
        <v>-0.43017030000000001</v>
      </c>
      <c r="U1799">
        <v>-7.4249270000000006E-2</v>
      </c>
      <c r="V1799">
        <v>-5.5304989999999998E-2</v>
      </c>
      <c r="W1799">
        <v>0.38470549999999998</v>
      </c>
      <c r="X1799">
        <v>0.92138109999999995</v>
      </c>
      <c r="Y1799">
        <v>2.1341499999999999E-2</v>
      </c>
      <c r="Z1799">
        <v>6.4774319999999896E-3</v>
      </c>
      <c r="AA1799">
        <v>0.99975130000000001</v>
      </c>
      <c r="AB1799">
        <v>24</v>
      </c>
      <c r="AC1799">
        <v>-0.62629999999998598</v>
      </c>
      <c r="AD1799">
        <v>-0.10750800000000001</v>
      </c>
      <c r="AE1799">
        <v>-1.14000000000373E-2</v>
      </c>
      <c r="AF1799">
        <v>1.5385213669505999E-2</v>
      </c>
      <c r="AG1799">
        <v>-0.10750800000000001</v>
      </c>
      <c r="AH1799">
        <v>0.60828584642443995</v>
      </c>
      <c r="AI1799">
        <v>100.019769381453</v>
      </c>
      <c r="AJ1799">
        <v>88.551141845563293</v>
      </c>
      <c r="AK1799">
        <v>0.61790480320511598</v>
      </c>
      <c r="AL1799">
        <v>67.374542573029302</v>
      </c>
      <c r="AM1799">
        <v>93.435001199099204</v>
      </c>
      <c r="AN1799">
        <v>1.0000000475431701</v>
      </c>
    </row>
    <row r="1800" spans="1:40" x14ac:dyDescent="0.25">
      <c r="A1800" t="str">
        <f>"20190304164404917"</f>
        <v>20190304164404917</v>
      </c>
      <c r="B1800" t="str">
        <f>"1551689044911505"</f>
        <v>1551689044911505</v>
      </c>
      <c r="C1800" t="s">
        <v>40</v>
      </c>
      <c r="D1800">
        <v>5.3921710000000003</v>
      </c>
      <c r="E1800">
        <v>0.53565479999999999</v>
      </c>
      <c r="F1800" t="s">
        <v>41</v>
      </c>
      <c r="G1800">
        <v>-213.07660000000001</v>
      </c>
      <c r="H1800">
        <v>1.0022789999999999</v>
      </c>
      <c r="I1800">
        <v>284.15280000000001</v>
      </c>
      <c r="J1800">
        <v>-212.601</v>
      </c>
      <c r="K1800">
        <v>1.1090770000000001</v>
      </c>
      <c r="L1800">
        <v>284.161</v>
      </c>
      <c r="M1800">
        <v>-0.99917889999999998</v>
      </c>
      <c r="N1800">
        <v>-8.7059319999999996E-3</v>
      </c>
      <c r="O1800">
        <v>-3.9568520000000003E-2</v>
      </c>
      <c r="P1800">
        <v>-0.92227380000000003</v>
      </c>
      <c r="Q1800">
        <v>0.37419029999999998</v>
      </c>
      <c r="R1800">
        <v>-9.6917370000000003E-2</v>
      </c>
      <c r="S1800">
        <v>-3.4250029999999998</v>
      </c>
      <c r="T1800">
        <v>-0.43448599999999998</v>
      </c>
      <c r="U1800">
        <v>-7.7453610000000006E-2</v>
      </c>
      <c r="V1800">
        <v>-5.9028869999999997E-2</v>
      </c>
      <c r="W1800">
        <v>0.38243850000000001</v>
      </c>
      <c r="X1800">
        <v>0.92209350000000001</v>
      </c>
      <c r="Y1800">
        <v>1.655274E-2</v>
      </c>
      <c r="Z1800">
        <v>5.77204E-3</v>
      </c>
      <c r="AA1800">
        <v>0.99984629999999997</v>
      </c>
      <c r="AB1800">
        <v>24</v>
      </c>
      <c r="AC1800">
        <v>-0.47560000000001401</v>
      </c>
      <c r="AD1800">
        <v>-0.106797999999999</v>
      </c>
      <c r="AE1800">
        <v>-8.1999999999879895E-3</v>
      </c>
      <c r="AF1800">
        <v>1.0115981344938499E-2</v>
      </c>
      <c r="AG1800">
        <v>-0.106797999999999</v>
      </c>
      <c r="AH1800">
        <v>0.45273003309454202</v>
      </c>
      <c r="AI1800">
        <v>103.270092169686</v>
      </c>
      <c r="AJ1800">
        <v>88.719973133396095</v>
      </c>
      <c r="AK1800">
        <v>0.46526619128017099</v>
      </c>
      <c r="AL1800">
        <v>67.5151894484639</v>
      </c>
      <c r="AM1800">
        <v>93.662856767190604</v>
      </c>
      <c r="AN1800">
        <v>1.0000000182589801</v>
      </c>
    </row>
    <row r="1801" spans="1:40" x14ac:dyDescent="0.25">
      <c r="A1801" t="str">
        <f>"20190304164404938"</f>
        <v>20190304164404938</v>
      </c>
      <c r="B1801" t="str">
        <f>"1551689044932001"</f>
        <v>1551689044932001</v>
      </c>
      <c r="C1801" t="s">
        <v>40</v>
      </c>
      <c r="D1801">
        <v>5.3404129999999999</v>
      </c>
      <c r="E1801">
        <v>0.53548370000000001</v>
      </c>
      <c r="F1801" t="s">
        <v>41</v>
      </c>
      <c r="G1801">
        <v>-213.50049999999999</v>
      </c>
      <c r="H1801">
        <v>0.99304029999999999</v>
      </c>
      <c r="I1801">
        <v>284.13990000000001</v>
      </c>
      <c r="J1801">
        <v>-212.84460000000001</v>
      </c>
      <c r="K1801">
        <v>1.109208</v>
      </c>
      <c r="L1801">
        <v>284.1542</v>
      </c>
      <c r="M1801">
        <v>-0.99926579999999998</v>
      </c>
      <c r="N1801">
        <v>-8.5488219999999993E-3</v>
      </c>
      <c r="O1801">
        <v>-3.7347289999999998E-2</v>
      </c>
      <c r="P1801">
        <v>-0.92264259999999998</v>
      </c>
      <c r="Q1801">
        <v>0.37280150000000001</v>
      </c>
      <c r="R1801">
        <v>-9.8741380000000004E-2</v>
      </c>
      <c r="S1801">
        <v>-3.4235380000000002</v>
      </c>
      <c r="T1801">
        <v>-0.44165769999999999</v>
      </c>
      <c r="U1801">
        <v>-8.0657960000000001E-2</v>
      </c>
      <c r="V1801">
        <v>-6.3040319999999997E-2</v>
      </c>
      <c r="W1801">
        <v>0.3808976</v>
      </c>
      <c r="X1801">
        <v>0.92246570000000006</v>
      </c>
      <c r="Y1801">
        <v>1.341344E-2</v>
      </c>
      <c r="Z1801">
        <v>5.3971469999999997E-3</v>
      </c>
      <c r="AA1801">
        <v>0.99989550000000005</v>
      </c>
      <c r="AB1801">
        <v>24</v>
      </c>
      <c r="AC1801">
        <v>-0.65589999999997395</v>
      </c>
      <c r="AD1801">
        <v>-0.116167699999999</v>
      </c>
      <c r="AE1801">
        <v>-1.42999999999915E-2</v>
      </c>
      <c r="AF1801">
        <v>9.8966621248251594E-3</v>
      </c>
      <c r="AG1801">
        <v>-0.116167699999999</v>
      </c>
      <c r="AH1801">
        <v>0.636034413805173</v>
      </c>
      <c r="AI1801">
        <v>100.349401113363</v>
      </c>
      <c r="AJ1801">
        <v>89.108552614113606</v>
      </c>
      <c r="AK1801">
        <v>0.64663177619801004</v>
      </c>
      <c r="AL1801">
        <v>67.610707218192701</v>
      </c>
      <c r="AM1801">
        <v>93.909453905110595</v>
      </c>
      <c r="AN1801">
        <v>1.0000000156539699</v>
      </c>
    </row>
    <row r="1802" spans="1:40" x14ac:dyDescent="0.25">
      <c r="A1802" t="str">
        <f>"20190304164404951"</f>
        <v>20190304164404951</v>
      </c>
      <c r="B1802" t="str">
        <f>"1551689044941761"</f>
        <v>1551689044941761</v>
      </c>
      <c r="C1802" t="s">
        <v>40</v>
      </c>
      <c r="D1802">
        <v>5.3450049999999996</v>
      </c>
      <c r="E1802">
        <v>0.53543109999999905</v>
      </c>
      <c r="F1802" t="s">
        <v>41</v>
      </c>
      <c r="G1802">
        <v>-213.7167</v>
      </c>
      <c r="H1802">
        <v>0.99540459999999997</v>
      </c>
      <c r="I1802">
        <v>284.13119999999998</v>
      </c>
      <c r="J1802">
        <v>-212.98660000000001</v>
      </c>
      <c r="K1802">
        <v>1.109272</v>
      </c>
      <c r="L1802">
        <v>284.15030000000002</v>
      </c>
      <c r="M1802">
        <v>-0.99931139999999996</v>
      </c>
      <c r="N1802">
        <v>-8.4621560000000002E-3</v>
      </c>
      <c r="O1802">
        <v>-3.6126890000000002E-2</v>
      </c>
      <c r="P1802">
        <v>-0.9227341</v>
      </c>
      <c r="Q1802">
        <v>0.37226949999999998</v>
      </c>
      <c r="R1802">
        <v>-9.988619E-2</v>
      </c>
      <c r="S1802">
        <v>-3.4223020000000002</v>
      </c>
      <c r="T1802">
        <v>-0.44662960000000002</v>
      </c>
      <c r="U1802">
        <v>-9.0698239999999999E-2</v>
      </c>
      <c r="V1802">
        <v>-6.5384079999999997E-2</v>
      </c>
      <c r="W1802">
        <v>0.38028079999999997</v>
      </c>
      <c r="X1802">
        <v>0.92255699999999996</v>
      </c>
      <c r="Y1802">
        <v>9.2885950000000002E-3</v>
      </c>
      <c r="Z1802">
        <v>5.0310989999999998E-3</v>
      </c>
      <c r="AA1802">
        <v>0.99994419999999995</v>
      </c>
      <c r="AB1802">
        <v>24</v>
      </c>
      <c r="AC1802">
        <v>-0.73009999999999298</v>
      </c>
      <c r="AD1802">
        <v>-0.11386739999999999</v>
      </c>
      <c r="AE1802">
        <v>-1.9100000000037198E-2</v>
      </c>
      <c r="AF1802">
        <v>7.11666842663565E-3</v>
      </c>
      <c r="AG1802">
        <v>-0.11386739999999999</v>
      </c>
      <c r="AH1802">
        <v>0.71298271736210606</v>
      </c>
      <c r="AI1802">
        <v>99.073390138001002</v>
      </c>
      <c r="AJ1802">
        <v>89.428118642698095</v>
      </c>
      <c r="AK1802">
        <v>0.72205317464111096</v>
      </c>
      <c r="AL1802">
        <v>67.648922662612506</v>
      </c>
      <c r="AM1802">
        <v>94.053926539677306</v>
      </c>
      <c r="AN1802">
        <v>0.99999999150754304</v>
      </c>
    </row>
    <row r="1803" spans="1:40" x14ac:dyDescent="0.25">
      <c r="A1803" t="str">
        <f>"20190304164404974"</f>
        <v>20190304164404974</v>
      </c>
      <c r="B1803" t="str">
        <f>"1551689044961280"</f>
        <v>1551689044961280</v>
      </c>
      <c r="C1803" t="s">
        <v>40</v>
      </c>
      <c r="D1803">
        <v>5.3437710000000003</v>
      </c>
      <c r="E1803">
        <v>0.53531629999999997</v>
      </c>
      <c r="F1803" t="s">
        <v>41</v>
      </c>
      <c r="G1803">
        <v>-213.72489999999999</v>
      </c>
      <c r="H1803">
        <v>1.012545</v>
      </c>
      <c r="I1803">
        <v>284.12959999999998</v>
      </c>
      <c r="J1803">
        <v>-213.22450000000001</v>
      </c>
      <c r="K1803">
        <v>1.1093710000000001</v>
      </c>
      <c r="L1803">
        <v>284.14400000000001</v>
      </c>
      <c r="M1803">
        <v>-0.99938020000000005</v>
      </c>
      <c r="N1803">
        <v>-8.3256470000000003E-3</v>
      </c>
      <c r="O1803">
        <v>-3.4208280000000001E-2</v>
      </c>
      <c r="P1803">
        <v>-0.92274860000000003</v>
      </c>
      <c r="Q1803">
        <v>0.37144430000000001</v>
      </c>
      <c r="R1803">
        <v>-0.102783</v>
      </c>
      <c r="S1803">
        <v>-3.4216310000000001</v>
      </c>
      <c r="T1803">
        <v>-0.4483413</v>
      </c>
      <c r="U1803">
        <v>-9.6771239999999994E-2</v>
      </c>
      <c r="V1803">
        <v>-7.0161799999999996E-2</v>
      </c>
      <c r="W1803">
        <v>0.37932399999999999</v>
      </c>
      <c r="X1803">
        <v>0.92259990000000003</v>
      </c>
      <c r="Y1803">
        <v>5.6341719999999998E-3</v>
      </c>
      <c r="Z1803">
        <v>4.568562E-3</v>
      </c>
      <c r="AA1803">
        <v>0.99997369999999997</v>
      </c>
      <c r="AB1803">
        <v>24</v>
      </c>
      <c r="AC1803">
        <v>-0.50039999999998397</v>
      </c>
      <c r="AD1803">
        <v>-9.6825999999999801E-2</v>
      </c>
      <c r="AE1803">
        <v>-1.44000000000232E-2</v>
      </c>
      <c r="AF1803">
        <v>2.6285094900312098E-3</v>
      </c>
      <c r="AG1803">
        <v>-9.6825999999999801E-2</v>
      </c>
      <c r="AH1803">
        <v>0.482547531113101</v>
      </c>
      <c r="AI1803">
        <v>101.34589781594001</v>
      </c>
      <c r="AJ1803">
        <v>89.687904297559996</v>
      </c>
      <c r="AK1803">
        <v>0.49217304184756799</v>
      </c>
      <c r="AL1803">
        <v>67.708183469013406</v>
      </c>
      <c r="AM1803">
        <v>94.348853981733797</v>
      </c>
      <c r="AN1803">
        <v>0.99999997531762397</v>
      </c>
    </row>
    <row r="1804" spans="1:40" x14ac:dyDescent="0.25">
      <c r="A1804" t="str">
        <f>"20190304164404995"</f>
        <v>20190304164404995</v>
      </c>
      <c r="B1804" t="str">
        <f>"1551689044992045"</f>
        <v>1551689044992045</v>
      </c>
      <c r="C1804" t="s">
        <v>40</v>
      </c>
      <c r="D1804">
        <v>5.3462489999999896</v>
      </c>
      <c r="E1804">
        <v>0.53516830000000004</v>
      </c>
      <c r="F1804" t="s">
        <v>41</v>
      </c>
      <c r="G1804">
        <v>-214.1454</v>
      </c>
      <c r="H1804">
        <v>0.98798529999999996</v>
      </c>
      <c r="I1804">
        <v>284.11500000000001</v>
      </c>
      <c r="J1804">
        <v>-213.4538</v>
      </c>
      <c r="K1804">
        <v>1.1094569999999999</v>
      </c>
      <c r="L1804">
        <v>284.13810000000001</v>
      </c>
      <c r="M1804">
        <v>-0.99943760000000004</v>
      </c>
      <c r="N1804">
        <v>-8.1958220000000002E-3</v>
      </c>
      <c r="O1804">
        <v>-3.2518320000000003E-2</v>
      </c>
      <c r="P1804">
        <v>-0.92204989999999998</v>
      </c>
      <c r="Q1804">
        <v>0.3721738</v>
      </c>
      <c r="R1804">
        <v>-0.10635360000000001</v>
      </c>
      <c r="S1804">
        <v>-3.4205930000000002</v>
      </c>
      <c r="T1804">
        <v>-0.45088889999999998</v>
      </c>
      <c r="U1804">
        <v>-0.10827639999999999</v>
      </c>
      <c r="V1804">
        <v>-7.5403880000000006E-2</v>
      </c>
      <c r="W1804">
        <v>0.37992389999999998</v>
      </c>
      <c r="X1804">
        <v>0.92193930000000002</v>
      </c>
      <c r="Y1804">
        <v>6.2866940000000002E-4</v>
      </c>
      <c r="Z1804">
        <v>4.0441959999999999E-3</v>
      </c>
      <c r="AA1804">
        <v>0.99999159999999998</v>
      </c>
      <c r="AB1804">
        <v>24</v>
      </c>
      <c r="AC1804">
        <v>-0.691599999999994</v>
      </c>
      <c r="AD1804">
        <v>-0.121471699999999</v>
      </c>
      <c r="AE1804">
        <v>-2.3099999999999399E-2</v>
      </c>
      <c r="AF1804">
        <v>-5.7950139038711105E-4</v>
      </c>
      <c r="AG1804">
        <v>-0.121471699999999</v>
      </c>
      <c r="AH1804">
        <v>0.67129960978348402</v>
      </c>
      <c r="AI1804">
        <v>100.256686950748</v>
      </c>
      <c r="AJ1804">
        <v>90.049460740270902</v>
      </c>
      <c r="AK1804">
        <v>0.682201492096147</v>
      </c>
      <c r="AL1804">
        <v>67.671030927063896</v>
      </c>
      <c r="AM1804">
        <v>94.675719110043005</v>
      </c>
      <c r="AN1804">
        <v>0.99999999389737704</v>
      </c>
    </row>
    <row r="1805" spans="1:40" x14ac:dyDescent="0.25">
      <c r="A1805" t="str">
        <f>"20190304164405018"</f>
        <v>20190304164405018</v>
      </c>
      <c r="B1805" t="str">
        <f>"1551689045011564"</f>
        <v>1551689045011564</v>
      </c>
      <c r="C1805" t="s">
        <v>40</v>
      </c>
      <c r="D1805">
        <v>5.3631699999999896</v>
      </c>
      <c r="E1805">
        <v>0.53508599999999995</v>
      </c>
      <c r="F1805" t="s">
        <v>41</v>
      </c>
      <c r="G1805">
        <v>-214.3639</v>
      </c>
      <c r="H1805">
        <v>0.99059699999999995</v>
      </c>
      <c r="I1805">
        <v>284.10629999999998</v>
      </c>
      <c r="J1805">
        <v>-213.69550000000001</v>
      </c>
      <c r="K1805">
        <v>1.1095109999999999</v>
      </c>
      <c r="L1805">
        <v>284.13220000000001</v>
      </c>
      <c r="M1805">
        <v>-0.99949100000000002</v>
      </c>
      <c r="N1805">
        <v>-8.0626069999999994E-3</v>
      </c>
      <c r="O1805">
        <v>-3.0866250000000001E-2</v>
      </c>
      <c r="P1805">
        <v>-0.92142219999999997</v>
      </c>
      <c r="Q1805">
        <v>0.37272640000000001</v>
      </c>
      <c r="R1805">
        <v>-0.1098017</v>
      </c>
      <c r="S1805">
        <v>-3.4200129999999902</v>
      </c>
      <c r="T1805">
        <v>-0.44666339999999999</v>
      </c>
      <c r="U1805">
        <v>-0.1203308</v>
      </c>
      <c r="V1805">
        <v>-8.0465590000000004E-2</v>
      </c>
      <c r="W1805">
        <v>0.38034639999999997</v>
      </c>
      <c r="X1805">
        <v>0.92133699999999996</v>
      </c>
      <c r="Y1805">
        <v>-4.4875469999999997E-3</v>
      </c>
      <c r="Z1805">
        <v>3.4541670000000002E-3</v>
      </c>
      <c r="AA1805">
        <v>0.99998399999999998</v>
      </c>
      <c r="AB1805">
        <v>24</v>
      </c>
      <c r="AC1805">
        <v>-0.668399999999991</v>
      </c>
      <c r="AD1805">
        <v>-0.11891400000000001</v>
      </c>
      <c r="AE1805">
        <v>-2.5900000000035499E-2</v>
      </c>
      <c r="AF1805">
        <v>-5.0949651929006103E-3</v>
      </c>
      <c r="AG1805">
        <v>-0.11891400000000001</v>
      </c>
      <c r="AH1805">
        <v>0.64838929583190896</v>
      </c>
      <c r="AI1805">
        <v>100.39218841076701</v>
      </c>
      <c r="AJ1805">
        <v>90.450214086034407</v>
      </c>
      <c r="AK1805">
        <v>0.65922316177127505</v>
      </c>
      <c r="AL1805">
        <v>67.644858443241702</v>
      </c>
      <c r="AM1805">
        <v>94.9913009464384</v>
      </c>
      <c r="AN1805">
        <v>0.99999998136800305</v>
      </c>
    </row>
    <row r="1806" spans="1:40" x14ac:dyDescent="0.25">
      <c r="A1806" t="str">
        <f>"20190304164405039"</f>
        <v>20190304164405039</v>
      </c>
      <c r="B1806" t="str">
        <f>"1551689045032060"</f>
        <v>1551689045032060</v>
      </c>
      <c r="C1806" t="s">
        <v>40</v>
      </c>
      <c r="D1806">
        <v>5.3409139999999997</v>
      </c>
      <c r="E1806">
        <v>0.53510930000000001</v>
      </c>
      <c r="F1806" t="s">
        <v>41</v>
      </c>
      <c r="G1806">
        <v>-214.58349999999999</v>
      </c>
      <c r="H1806">
        <v>0.99432770000000004</v>
      </c>
      <c r="I1806">
        <v>284.09879999999998</v>
      </c>
      <c r="J1806">
        <v>-213.9365</v>
      </c>
      <c r="K1806">
        <v>1.1095469999999901</v>
      </c>
      <c r="L1806">
        <v>284.12650000000002</v>
      </c>
      <c r="M1806">
        <v>-0.99953840000000005</v>
      </c>
      <c r="N1806">
        <v>-7.9367440000000008E-3</v>
      </c>
      <c r="O1806">
        <v>-2.932908E-2</v>
      </c>
      <c r="P1806">
        <v>-0.92131439999999998</v>
      </c>
      <c r="Q1806">
        <v>0.37227199999999999</v>
      </c>
      <c r="R1806">
        <v>-0.1122203</v>
      </c>
      <c r="S1806">
        <v>-3.4198460000000002</v>
      </c>
      <c r="T1806">
        <v>-0.44364150000000002</v>
      </c>
      <c r="U1806">
        <v>-0.12976070000000001</v>
      </c>
      <c r="V1806">
        <v>-8.435687E-2</v>
      </c>
      <c r="W1806">
        <v>0.3797722</v>
      </c>
      <c r="X1806">
        <v>0.92122579999999998</v>
      </c>
      <c r="Y1806">
        <v>-8.7295789999999995E-3</v>
      </c>
      <c r="Z1806">
        <v>2.956265E-3</v>
      </c>
      <c r="AA1806">
        <v>0.99995750000000005</v>
      </c>
      <c r="AB1806">
        <v>24</v>
      </c>
      <c r="AC1806">
        <v>-0.64699999999999103</v>
      </c>
      <c r="AD1806">
        <v>-0.115219299999999</v>
      </c>
      <c r="AE1806">
        <v>-2.7700000000038399E-2</v>
      </c>
      <c r="AF1806">
        <v>-8.4442665450170998E-3</v>
      </c>
      <c r="AG1806">
        <v>-0.115219299999999</v>
      </c>
      <c r="AH1806">
        <v>0.62766515463003503</v>
      </c>
      <c r="AI1806">
        <v>100.40095034220199</v>
      </c>
      <c r="AJ1806">
        <v>90.770779840034706</v>
      </c>
      <c r="AK1806">
        <v>0.63820869554301696</v>
      </c>
      <c r="AL1806">
        <v>67.680426846579493</v>
      </c>
      <c r="AM1806">
        <v>95.231997362958694</v>
      </c>
      <c r="AN1806">
        <v>0.99999998999733797</v>
      </c>
    </row>
    <row r="1807" spans="1:40" x14ac:dyDescent="0.25">
      <c r="A1807" t="str">
        <f>"20190304164405062"</f>
        <v>20190304164405062</v>
      </c>
      <c r="B1807" t="str">
        <f>"1551689045051583"</f>
        <v>1551689045051583</v>
      </c>
      <c r="C1807" t="s">
        <v>40</v>
      </c>
      <c r="D1807">
        <v>5.3393980000000001</v>
      </c>
      <c r="E1807">
        <v>0.53513009999999905</v>
      </c>
      <c r="F1807" t="s">
        <v>41</v>
      </c>
      <c r="G1807">
        <v>-214.80340000000001</v>
      </c>
      <c r="H1807">
        <v>0.99688169999999998</v>
      </c>
      <c r="I1807">
        <v>284.09230000000002</v>
      </c>
      <c r="J1807">
        <v>-214.18279999999999</v>
      </c>
      <c r="K1807">
        <v>1.109572</v>
      </c>
      <c r="L1807">
        <v>284.12090000000001</v>
      </c>
      <c r="M1807">
        <v>-0.9995811</v>
      </c>
      <c r="N1807">
        <v>-7.8174619999999903E-3</v>
      </c>
      <c r="O1807">
        <v>-2.7865150000000002E-2</v>
      </c>
      <c r="P1807">
        <v>-0.92157500000000003</v>
      </c>
      <c r="Q1807">
        <v>0.37115969999999998</v>
      </c>
      <c r="R1807">
        <v>-0.11375490000000001</v>
      </c>
      <c r="S1807">
        <v>-3.419327</v>
      </c>
      <c r="T1807">
        <v>-0.44443700000000003</v>
      </c>
      <c r="U1807">
        <v>-0.13540650000000001</v>
      </c>
      <c r="V1807">
        <v>-8.7275229999999995E-2</v>
      </c>
      <c r="W1807">
        <v>0.37854959999999999</v>
      </c>
      <c r="X1807">
        <v>0.92145710000000003</v>
      </c>
      <c r="Y1807">
        <v>-1.1811200000000001E-2</v>
      </c>
      <c r="Z1807">
        <v>2.5770189999999998E-3</v>
      </c>
      <c r="AA1807">
        <v>0.99992689999999995</v>
      </c>
      <c r="AB1807">
        <v>24</v>
      </c>
      <c r="AC1807">
        <v>-0.62060000000002402</v>
      </c>
      <c r="AD1807">
        <v>-0.11269029999999999</v>
      </c>
      <c r="AE1807">
        <v>-2.8599999999983E-2</v>
      </c>
      <c r="AF1807">
        <v>-1.09354497468698E-2</v>
      </c>
      <c r="AG1807">
        <v>-0.11269029999999999</v>
      </c>
      <c r="AH1807">
        <v>0.60136944395001801</v>
      </c>
      <c r="AI1807">
        <v>100.611822715567</v>
      </c>
      <c r="AJ1807">
        <v>91.041765718644697</v>
      </c>
      <c r="AK1807">
        <v>0.61193455196778201</v>
      </c>
      <c r="AL1807">
        <v>67.756129000205206</v>
      </c>
      <c r="AM1807">
        <v>95.410593125544295</v>
      </c>
      <c r="AN1807">
        <v>0.99999997628606097</v>
      </c>
    </row>
    <row r="1808" spans="1:40" x14ac:dyDescent="0.25">
      <c r="A1808" t="str">
        <f>"20190304164405082"</f>
        <v>20190304164405082</v>
      </c>
      <c r="B1808" t="str">
        <f>"1551689045072079"</f>
        <v>1551689045072079</v>
      </c>
      <c r="C1808" t="s">
        <v>40</v>
      </c>
      <c r="D1808">
        <v>5.3290839999999999</v>
      </c>
      <c r="E1808">
        <v>0.53518199999999905</v>
      </c>
      <c r="F1808" t="s">
        <v>41</v>
      </c>
      <c r="G1808">
        <v>-215.0239</v>
      </c>
      <c r="H1808">
        <v>0.99920989999999998</v>
      </c>
      <c r="I1808">
        <v>284.08600000000001</v>
      </c>
      <c r="J1808">
        <v>-214.41069999999999</v>
      </c>
      <c r="K1808">
        <v>1.109586</v>
      </c>
      <c r="L1808">
        <v>284.11599999999999</v>
      </c>
      <c r="M1808">
        <v>-0.99961630000000001</v>
      </c>
      <c r="N1808">
        <v>-7.7136890000000001E-3</v>
      </c>
      <c r="O1808">
        <v>-2.6605899999999998E-2</v>
      </c>
      <c r="P1808">
        <v>-0.92128940000000004</v>
      </c>
      <c r="Q1808">
        <v>0.37123699999999998</v>
      </c>
      <c r="R1808">
        <v>-0.1157972</v>
      </c>
      <c r="S1808">
        <v>-3.4183500000000002</v>
      </c>
      <c r="T1808">
        <v>-0.44858229999999999</v>
      </c>
      <c r="U1808">
        <v>-0.14288329999999999</v>
      </c>
      <c r="V1808">
        <v>-9.0519530000000001E-2</v>
      </c>
      <c r="W1808">
        <v>0.37852789999999997</v>
      </c>
      <c r="X1808">
        <v>0.921153</v>
      </c>
      <c r="Y1808">
        <v>-1.522777E-2</v>
      </c>
      <c r="Z1808">
        <v>2.2163930000000001E-3</v>
      </c>
      <c r="AA1808">
        <v>0.99988160000000004</v>
      </c>
      <c r="AB1808">
        <v>24</v>
      </c>
      <c r="AC1808">
        <v>-0.61320000000000596</v>
      </c>
      <c r="AD1808">
        <v>-0.11037609999999901</v>
      </c>
      <c r="AE1808">
        <v>-2.9999999999972701E-2</v>
      </c>
      <c r="AF1808">
        <v>-1.32460103707581E-2</v>
      </c>
      <c r="AG1808">
        <v>-0.11037609999999901</v>
      </c>
      <c r="AH1808">
        <v>0.59456323019240997</v>
      </c>
      <c r="AI1808">
        <v>100.514247874304</v>
      </c>
      <c r="AJ1808">
        <v>91.276256125174498</v>
      </c>
      <c r="AK1808">
        <v>0.60486674147185904</v>
      </c>
      <c r="AL1808">
        <v>67.757472901674902</v>
      </c>
      <c r="AM1808">
        <v>95.612302114551795</v>
      </c>
      <c r="AN1808">
        <v>1.00000000289941</v>
      </c>
    </row>
    <row r="1809" spans="1:40" x14ac:dyDescent="0.25">
      <c r="A1809" t="str">
        <f>"20190304164405106"</f>
        <v>20190304164405106</v>
      </c>
      <c r="B1809" t="str">
        <f>"1551689045101359"</f>
        <v>1551689045101359</v>
      </c>
      <c r="C1809" t="s">
        <v>40</v>
      </c>
      <c r="D1809">
        <v>5.3253510000000004</v>
      </c>
      <c r="E1809">
        <v>0.53937480000000004</v>
      </c>
      <c r="F1809" t="s">
        <v>41</v>
      </c>
      <c r="G1809">
        <v>-215.24459999999999</v>
      </c>
      <c r="H1809">
        <v>1.000292</v>
      </c>
      <c r="I1809">
        <v>284.07979999999998</v>
      </c>
      <c r="J1809">
        <v>-214.66390000000001</v>
      </c>
      <c r="K1809">
        <v>1.109612</v>
      </c>
      <c r="L1809">
        <v>284.11070000000001</v>
      </c>
      <c r="M1809">
        <v>-0.9996505</v>
      </c>
      <c r="N1809">
        <v>-7.6048499999999998E-3</v>
      </c>
      <c r="O1809">
        <v>-2.5322170000000001E-2</v>
      </c>
      <c r="P1809">
        <v>-0.92063890000000004</v>
      </c>
      <c r="Q1809">
        <v>0.37223289999999998</v>
      </c>
      <c r="R1809">
        <v>-0.1177583</v>
      </c>
      <c r="S1809">
        <v>-3.4180760000000001</v>
      </c>
      <c r="T1809">
        <v>-0.44797589999999998</v>
      </c>
      <c r="U1809">
        <v>-0.14889530000000001</v>
      </c>
      <c r="V1809">
        <v>-9.3723829999999994E-2</v>
      </c>
      <c r="W1809">
        <v>0.37941360000000002</v>
      </c>
      <c r="X1809">
        <v>0.92046790000000001</v>
      </c>
      <c r="Y1809">
        <v>-1.8233969999999999E-2</v>
      </c>
      <c r="Z1809">
        <v>1.8516800000000001E-3</v>
      </c>
      <c r="AA1809">
        <v>0.99983200000000005</v>
      </c>
      <c r="AB1809">
        <v>24</v>
      </c>
      <c r="AC1809">
        <v>-0.58069999999997801</v>
      </c>
      <c r="AD1809">
        <v>-0.10932</v>
      </c>
      <c r="AE1809">
        <v>-3.0900000000031E-2</v>
      </c>
      <c r="AF1809">
        <v>-1.5632624655677801E-2</v>
      </c>
      <c r="AG1809">
        <v>-0.10932</v>
      </c>
      <c r="AH1809">
        <v>0.56145441226289206</v>
      </c>
      <c r="AI1809">
        <v>101.01395953374001</v>
      </c>
      <c r="AJ1809">
        <v>91.594879384181993</v>
      </c>
      <c r="AK1809">
        <v>0.57221176010555297</v>
      </c>
      <c r="AL1809">
        <v>67.702635469193496</v>
      </c>
      <c r="AM1809">
        <v>95.8139304650431</v>
      </c>
      <c r="AN1809">
        <v>0.99999999555261898</v>
      </c>
    </row>
    <row r="1810" spans="1:40" x14ac:dyDescent="0.25">
      <c r="A1810" t="str">
        <f>"20190304164405128"</f>
        <v>20190304164405128</v>
      </c>
      <c r="B1810" t="str">
        <f>"1551689045121855"</f>
        <v>1551689045121855</v>
      </c>
      <c r="C1810" t="s">
        <v>40</v>
      </c>
      <c r="D1810">
        <v>5.338838</v>
      </c>
      <c r="E1810">
        <v>0.53975680000000004</v>
      </c>
      <c r="F1810" t="s">
        <v>41</v>
      </c>
      <c r="G1810">
        <v>-215.46960000000001</v>
      </c>
      <c r="H1810">
        <v>1.009112</v>
      </c>
      <c r="I1810">
        <v>284.08229999999998</v>
      </c>
      <c r="J1810">
        <v>-214.9153</v>
      </c>
      <c r="K1810">
        <v>1.109658</v>
      </c>
      <c r="L1810">
        <v>284.10570000000001</v>
      </c>
      <c r="M1810">
        <v>-0.9996796</v>
      </c>
      <c r="N1810">
        <v>-7.5030950000000004E-3</v>
      </c>
      <c r="O1810">
        <v>-2.417911E-2</v>
      </c>
      <c r="P1810">
        <v>-0.92018639999999996</v>
      </c>
      <c r="Q1810">
        <v>0.373197</v>
      </c>
      <c r="R1810">
        <v>-0.1182435</v>
      </c>
      <c r="S1810">
        <v>-3.4154049999999998</v>
      </c>
      <c r="T1810">
        <v>-0.42611559999999998</v>
      </c>
      <c r="U1810">
        <v>-0.12103269999999999</v>
      </c>
      <c r="V1810">
        <v>-9.5331669999999993E-2</v>
      </c>
      <c r="W1810">
        <v>0.38026789999999999</v>
      </c>
      <c r="X1810">
        <v>0.91995009999999999</v>
      </c>
      <c r="Y1810">
        <v>-1.131251E-2</v>
      </c>
      <c r="Z1810">
        <v>2.07742E-3</v>
      </c>
      <c r="AA1810">
        <v>0.99993379999999998</v>
      </c>
      <c r="AB1810">
        <v>25</v>
      </c>
      <c r="AC1810">
        <v>-0.55430000000001201</v>
      </c>
      <c r="AD1810">
        <v>-0.100546</v>
      </c>
      <c r="AE1810">
        <v>-2.34000000000378E-2</v>
      </c>
      <c r="AF1810">
        <v>-9.6726072386493899E-3</v>
      </c>
      <c r="AG1810">
        <v>-0.100546</v>
      </c>
      <c r="AH1810">
        <v>0.53706398773692299</v>
      </c>
      <c r="AI1810">
        <v>100.602154604814</v>
      </c>
      <c r="AJ1810">
        <v>91.031794487895894</v>
      </c>
      <c r="AK1810">
        <v>0.54648036046200099</v>
      </c>
      <c r="AL1810">
        <v>67.649721892708797</v>
      </c>
      <c r="AM1810">
        <v>95.916272702968001</v>
      </c>
      <c r="AN1810">
        <v>0.99999999478270396</v>
      </c>
    </row>
    <row r="1811" spans="1:40" x14ac:dyDescent="0.25">
      <c r="A1811" t="str">
        <f>"20190304164405151"</f>
        <v>20190304164405151</v>
      </c>
      <c r="B1811" t="str">
        <f>"1551689045141382"</f>
        <v>1551689045141382</v>
      </c>
      <c r="C1811" t="s">
        <v>40</v>
      </c>
      <c r="D1811">
        <v>5.3158690000000002</v>
      </c>
      <c r="E1811">
        <v>0.54010559999999996</v>
      </c>
      <c r="F1811" t="s">
        <v>41</v>
      </c>
      <c r="G1811">
        <v>-215.69300000000001</v>
      </c>
      <c r="H1811">
        <v>1.0127280000000001</v>
      </c>
      <c r="I1811">
        <v>284.07810000000001</v>
      </c>
      <c r="J1811">
        <v>-215.16919999999999</v>
      </c>
      <c r="K1811">
        <v>1.109731</v>
      </c>
      <c r="L1811">
        <v>284.10070000000002</v>
      </c>
      <c r="M1811">
        <v>-0.99970389999999998</v>
      </c>
      <c r="N1811">
        <v>-7.4059909999999998E-3</v>
      </c>
      <c r="O1811">
        <v>-2.3181440000000001E-2</v>
      </c>
      <c r="P1811">
        <v>-0.92001809999999995</v>
      </c>
      <c r="Q1811">
        <v>0.3736854</v>
      </c>
      <c r="R1811">
        <v>-0.1180089</v>
      </c>
      <c r="S1811">
        <v>-3.4173580000000001</v>
      </c>
      <c r="T1811">
        <v>-0.42595179999999999</v>
      </c>
      <c r="U1811">
        <v>-0.1213989</v>
      </c>
      <c r="V1811">
        <v>-9.6099799999999999E-2</v>
      </c>
      <c r="W1811">
        <v>0.38064629999999999</v>
      </c>
      <c r="X1811">
        <v>0.91971369999999997</v>
      </c>
      <c r="Y1811">
        <v>-1.238184E-2</v>
      </c>
      <c r="Z1811">
        <v>1.8913619999999999E-3</v>
      </c>
      <c r="AA1811">
        <v>0.99992159999999997</v>
      </c>
      <c r="AB1811">
        <v>25</v>
      </c>
      <c r="AC1811">
        <v>-0.52379999999999405</v>
      </c>
      <c r="AD1811">
        <v>-9.7002999999999895E-2</v>
      </c>
      <c r="AE1811">
        <v>-2.2600000000011201E-2</v>
      </c>
      <c r="AF1811">
        <v>-1.01052340384939E-2</v>
      </c>
      <c r="AG1811">
        <v>-9.7002999999999895E-2</v>
      </c>
      <c r="AH1811">
        <v>0.50683325891209696</v>
      </c>
      <c r="AI1811">
        <v>100.83273166369</v>
      </c>
      <c r="AJ1811">
        <v>91.142211070823393</v>
      </c>
      <c r="AK1811">
        <v>0.516131427161173</v>
      </c>
      <c r="AL1811">
        <v>67.626279083610001</v>
      </c>
      <c r="AM1811">
        <v>95.9651223871886</v>
      </c>
      <c r="AN1811">
        <v>1.0000000336157</v>
      </c>
    </row>
    <row r="1812" spans="1:40" x14ac:dyDescent="0.25">
      <c r="A1812" t="str">
        <f>"20190304164405173"</f>
        <v>20190304164405173</v>
      </c>
      <c r="B1812" t="str">
        <f>"1551689045161871"</f>
        <v>1551689045161871</v>
      </c>
      <c r="C1812" t="s">
        <v>40</v>
      </c>
      <c r="D1812">
        <v>5.3092670000000002</v>
      </c>
      <c r="E1812">
        <v>0.5401996</v>
      </c>
      <c r="F1812" t="s">
        <v>41</v>
      </c>
      <c r="G1812">
        <v>-215.9171</v>
      </c>
      <c r="H1812">
        <v>1.0164679999999999</v>
      </c>
      <c r="I1812">
        <v>284.07440000000003</v>
      </c>
      <c r="J1812">
        <v>-215.41720000000001</v>
      </c>
      <c r="K1812">
        <v>1.109823</v>
      </c>
      <c r="L1812">
        <v>284.09589999999997</v>
      </c>
      <c r="M1812">
        <v>-0.99972280000000002</v>
      </c>
      <c r="N1812">
        <v>-7.3130189999999996E-3</v>
      </c>
      <c r="O1812">
        <v>-2.2386590000000001E-2</v>
      </c>
      <c r="P1812">
        <v>-0.92041530000000005</v>
      </c>
      <c r="Q1812">
        <v>0.37286520000000001</v>
      </c>
      <c r="R1812">
        <v>-0.1175055</v>
      </c>
      <c r="S1812">
        <v>-3.418533</v>
      </c>
      <c r="T1812">
        <v>-0.42654399999999998</v>
      </c>
      <c r="U1812">
        <v>-0.1208496</v>
      </c>
      <c r="V1812">
        <v>-9.6420679999999995E-2</v>
      </c>
      <c r="W1812">
        <v>0.379718</v>
      </c>
      <c r="X1812">
        <v>0.92006379999999999</v>
      </c>
      <c r="Y1812">
        <v>-1.2994199999999999E-2</v>
      </c>
      <c r="Z1812">
        <v>1.7630600000000001E-3</v>
      </c>
      <c r="AA1812">
        <v>0.99991399999999997</v>
      </c>
      <c r="AB1812">
        <v>25</v>
      </c>
      <c r="AC1812">
        <v>-0.49989999999999601</v>
      </c>
      <c r="AD1812">
        <v>-9.3354999999999994E-2</v>
      </c>
      <c r="AE1812">
        <v>-2.1499999999946302E-2</v>
      </c>
      <c r="AF1812">
        <v>-9.9566644339340593E-3</v>
      </c>
      <c r="AG1812">
        <v>-9.3354999999999994E-2</v>
      </c>
      <c r="AH1812">
        <v>0.48342782634202702</v>
      </c>
      <c r="AI1812">
        <v>100.92761707865</v>
      </c>
      <c r="AJ1812">
        <v>91.179895271943195</v>
      </c>
      <c r="AK1812">
        <v>0.49245990138632301</v>
      </c>
      <c r="AL1812">
        <v>67.683785186637806</v>
      </c>
      <c r="AM1812">
        <v>95.982634938690296</v>
      </c>
      <c r="AN1812">
        <v>1.0000000515630401</v>
      </c>
    </row>
    <row r="1813" spans="1:40" x14ac:dyDescent="0.25">
      <c r="A1813" t="str">
        <f>"20190304164405197"</f>
        <v>20190304164405197</v>
      </c>
      <c r="B1813" t="str">
        <f>"1551689045192127"</f>
        <v>1551689045192127</v>
      </c>
      <c r="C1813" t="s">
        <v>40</v>
      </c>
      <c r="D1813">
        <v>5.2879069999999997</v>
      </c>
      <c r="E1813">
        <v>0.54025190000000001</v>
      </c>
      <c r="F1813" t="s">
        <v>41</v>
      </c>
      <c r="G1813">
        <v>-216.14109999999999</v>
      </c>
      <c r="H1813">
        <v>1.0184610000000001</v>
      </c>
      <c r="I1813">
        <v>284.07060000000001</v>
      </c>
      <c r="J1813">
        <v>-215.67359999999999</v>
      </c>
      <c r="K1813">
        <v>1.109934</v>
      </c>
      <c r="L1813">
        <v>284.09089999999998</v>
      </c>
      <c r="M1813">
        <v>-0.99973670000000003</v>
      </c>
      <c r="N1813">
        <v>-7.2106230000000002E-3</v>
      </c>
      <c r="O1813">
        <v>-2.1786320000000001E-2</v>
      </c>
      <c r="P1813">
        <v>-0.92077370000000003</v>
      </c>
      <c r="Q1813">
        <v>0.37220560000000003</v>
      </c>
      <c r="R1813">
        <v>-0.1167858</v>
      </c>
      <c r="S1813">
        <v>-3.4189449999999999</v>
      </c>
      <c r="T1813">
        <v>-0.43157980000000001</v>
      </c>
      <c r="U1813">
        <v>-0.119812</v>
      </c>
      <c r="V1813">
        <v>-9.6365850000000003E-2</v>
      </c>
      <c r="W1813">
        <v>0.37893660000000001</v>
      </c>
      <c r="X1813">
        <v>0.92039159999999998</v>
      </c>
      <c r="Y1813">
        <v>-1.328237E-2</v>
      </c>
      <c r="Z1813">
        <v>1.6986529999999901E-3</v>
      </c>
      <c r="AA1813">
        <v>0.99991039999999998</v>
      </c>
      <c r="AB1813">
        <v>25</v>
      </c>
      <c r="AC1813">
        <v>-0.46750000000000103</v>
      </c>
      <c r="AD1813">
        <v>-9.1472999999999902E-2</v>
      </c>
      <c r="AE1813">
        <v>-2.0299999999963299E-2</v>
      </c>
      <c r="AF1813">
        <v>-9.73771120632708E-3</v>
      </c>
      <c r="AG1813">
        <v>-9.1472999999999902E-2</v>
      </c>
      <c r="AH1813">
        <v>0.45061232053733202</v>
      </c>
      <c r="AI1813">
        <v>101.47234673994301</v>
      </c>
      <c r="AJ1813">
        <v>91.237966437936194</v>
      </c>
      <c r="AK1813">
        <v>0.45990607320253601</v>
      </c>
      <c r="AL1813">
        <v>67.732171487411094</v>
      </c>
      <c r="AM1813">
        <v>95.977143433323107</v>
      </c>
      <c r="AN1813">
        <v>1.0000000106081699</v>
      </c>
    </row>
    <row r="1814" spans="1:40" x14ac:dyDescent="0.25">
      <c r="A1814" t="str">
        <f>"20190304164405217"</f>
        <v>20190304164405217</v>
      </c>
      <c r="B1814" t="str">
        <f>"1551689045211646"</f>
        <v>1551689045211646</v>
      </c>
      <c r="C1814" t="s">
        <v>40</v>
      </c>
      <c r="D1814">
        <v>5.3111990000000002</v>
      </c>
      <c r="E1814">
        <v>0.54017899999999996</v>
      </c>
      <c r="F1814" t="s">
        <v>41</v>
      </c>
      <c r="G1814">
        <v>-216.57820000000001</v>
      </c>
      <c r="H1814">
        <v>0.99455309999999997</v>
      </c>
      <c r="I1814">
        <v>284.05950000000001</v>
      </c>
      <c r="J1814">
        <v>-215.9117</v>
      </c>
      <c r="K1814">
        <v>1.1100460000000001</v>
      </c>
      <c r="L1814">
        <v>284.08620000000002</v>
      </c>
      <c r="M1814">
        <v>-0.99974549999999995</v>
      </c>
      <c r="N1814">
        <v>-7.1071900000000002E-3</v>
      </c>
      <c r="O1814">
        <v>-2.141239E-2</v>
      </c>
      <c r="P1814">
        <v>-0.92104770000000002</v>
      </c>
      <c r="Q1814">
        <v>0.37186019999999997</v>
      </c>
      <c r="R1814">
        <v>-0.1157214</v>
      </c>
      <c r="S1814">
        <v>-3.419327</v>
      </c>
      <c r="T1814">
        <v>-0.43611490000000003</v>
      </c>
      <c r="U1814">
        <v>-0.1191101</v>
      </c>
      <c r="V1814">
        <v>-9.5754099999999995E-2</v>
      </c>
      <c r="W1814">
        <v>0.37846829999999998</v>
      </c>
      <c r="X1814">
        <v>0.92064809999999997</v>
      </c>
      <c r="Y1814">
        <v>-1.3444879999999999E-2</v>
      </c>
      <c r="Z1814">
        <v>1.6655140000000001E-3</v>
      </c>
      <c r="AA1814">
        <v>0.99990820000000002</v>
      </c>
      <c r="AB1814">
        <v>25</v>
      </c>
      <c r="AC1814">
        <v>-0.66650000000001297</v>
      </c>
      <c r="AD1814">
        <v>-0.115492899999999</v>
      </c>
      <c r="AE1814">
        <v>-2.6700000000005199E-2</v>
      </c>
      <c r="AF1814">
        <v>-1.20605982867362E-2</v>
      </c>
      <c r="AG1814">
        <v>-0.115492899999999</v>
      </c>
      <c r="AH1814">
        <v>0.647507429262141</v>
      </c>
      <c r="AI1814">
        <v>100.111511946663</v>
      </c>
      <c r="AJ1814">
        <v>91.067078851077994</v>
      </c>
      <c r="AK1814">
        <v>0.65783731950316604</v>
      </c>
      <c r="AL1814">
        <v>67.761162441143398</v>
      </c>
      <c r="AM1814">
        <v>95.937828458735396</v>
      </c>
      <c r="AN1814">
        <v>1.0000000129026501</v>
      </c>
    </row>
    <row r="1815" spans="1:40" x14ac:dyDescent="0.25">
      <c r="A1815" t="str">
        <f>"20190304164405240"</f>
        <v>20190304164405240</v>
      </c>
      <c r="B1815" t="str">
        <f>"1551689045232143"</f>
        <v>1551689045232143</v>
      </c>
      <c r="C1815" t="s">
        <v>40</v>
      </c>
      <c r="D1815">
        <v>5.3249459999999997</v>
      </c>
      <c r="E1815">
        <v>0.5401627</v>
      </c>
      <c r="F1815" t="s">
        <v>41</v>
      </c>
      <c r="G1815">
        <v>-216.80410000000001</v>
      </c>
      <c r="H1815">
        <v>0.9957182</v>
      </c>
      <c r="I1815">
        <v>284.05540000000002</v>
      </c>
      <c r="J1815">
        <v>-216.1705</v>
      </c>
      <c r="K1815">
        <v>1.1101399999999999</v>
      </c>
      <c r="L1815">
        <v>284.08109999999999</v>
      </c>
      <c r="M1815">
        <v>-0.99975139999999996</v>
      </c>
      <c r="N1815">
        <v>-6.9928560000000004E-3</v>
      </c>
      <c r="O1815">
        <v>-2.1173930000000001E-2</v>
      </c>
      <c r="P1815">
        <v>-0.92137000000000002</v>
      </c>
      <c r="Q1815">
        <v>0.37154510000000002</v>
      </c>
      <c r="R1815">
        <v>-0.1141566</v>
      </c>
      <c r="S1815">
        <v>-3.4191280000000002</v>
      </c>
      <c r="T1815">
        <v>-0.43811689999999998</v>
      </c>
      <c r="U1815">
        <v>-0.1187439</v>
      </c>
      <c r="V1815">
        <v>-9.4508270000000005E-2</v>
      </c>
      <c r="W1815">
        <v>0.378023</v>
      </c>
      <c r="X1815">
        <v>0.92095970000000005</v>
      </c>
      <c r="Y1815">
        <v>-1.357644E-2</v>
      </c>
      <c r="Z1815">
        <v>1.6397269999999999E-3</v>
      </c>
      <c r="AA1815">
        <v>0.99990650000000003</v>
      </c>
      <c r="AB1815">
        <v>25</v>
      </c>
      <c r="AC1815">
        <v>-0.63360000000000105</v>
      </c>
      <c r="AD1815">
        <v>-0.1144218</v>
      </c>
      <c r="AE1815">
        <v>-2.5699999999971999E-2</v>
      </c>
      <c r="AF1815">
        <v>-1.1890949152363099E-2</v>
      </c>
      <c r="AG1815">
        <v>-0.1144218</v>
      </c>
      <c r="AH1815">
        <v>0.61401045935159004</v>
      </c>
      <c r="AI1815">
        <v>100.554140957109</v>
      </c>
      <c r="AJ1815">
        <v>91.109453490765105</v>
      </c>
      <c r="AK1815">
        <v>0.62469399483277799</v>
      </c>
      <c r="AL1815">
        <v>67.788723279861301</v>
      </c>
      <c r="AM1815">
        <v>95.859145088714996</v>
      </c>
      <c r="AN1815">
        <v>0.99999998532574097</v>
      </c>
    </row>
    <row r="1816" spans="1:40" x14ac:dyDescent="0.25">
      <c r="A1816" t="str">
        <f>"20190304164405253"</f>
        <v>20190304164405253</v>
      </c>
      <c r="B1816" t="str">
        <f>"1551689045241903"</f>
        <v>1551689045241903</v>
      </c>
      <c r="C1816" t="s">
        <v>40</v>
      </c>
      <c r="D1816">
        <v>5.317431</v>
      </c>
      <c r="E1816">
        <v>0.5401627</v>
      </c>
      <c r="F1816" t="s">
        <v>41</v>
      </c>
      <c r="G1816">
        <v>-217.03210000000001</v>
      </c>
      <c r="H1816">
        <v>0.99934029999999996</v>
      </c>
      <c r="I1816">
        <v>284.05180000000001</v>
      </c>
      <c r="J1816">
        <v>-216.31989999999999</v>
      </c>
      <c r="K1816">
        <v>1.1101810000000001</v>
      </c>
      <c r="L1816">
        <v>284.07799999999997</v>
      </c>
      <c r="M1816">
        <v>-0.99975369999999997</v>
      </c>
      <c r="N1816">
        <v>-6.9260650000000003E-3</v>
      </c>
      <c r="O1816">
        <v>-2.1092039999999999E-2</v>
      </c>
      <c r="P1816">
        <v>-0.92132939999999997</v>
      </c>
      <c r="Q1816">
        <v>0.37198799999999999</v>
      </c>
      <c r="R1816">
        <v>-0.11303779999999999</v>
      </c>
      <c r="S1816">
        <v>-3.4189449999999999</v>
      </c>
      <c r="T1816">
        <v>-0.43969059999999999</v>
      </c>
      <c r="U1816">
        <v>-0.1159058</v>
      </c>
      <c r="V1816">
        <v>-9.3518580000000004E-2</v>
      </c>
      <c r="W1816">
        <v>0.37839020000000001</v>
      </c>
      <c r="X1816">
        <v>0.92090989999999995</v>
      </c>
      <c r="Y1816">
        <v>-1.283754E-2</v>
      </c>
      <c r="Z1816">
        <v>1.6882189999999999E-3</v>
      </c>
      <c r="AA1816">
        <v>0.99991620000000003</v>
      </c>
      <c r="AB1816">
        <v>25</v>
      </c>
      <c r="AC1816">
        <v>-0.71220000000002404</v>
      </c>
      <c r="AD1816">
        <v>-0.110840699999999</v>
      </c>
      <c r="AE1816">
        <v>-2.61999999999602E-2</v>
      </c>
      <c r="AF1816">
        <v>-1.0908210104533401E-2</v>
      </c>
      <c r="AG1816">
        <v>-0.110840699999999</v>
      </c>
      <c r="AH1816">
        <v>0.69576474005878897</v>
      </c>
      <c r="AI1816">
        <v>99.050504721677697</v>
      </c>
      <c r="AJ1816">
        <v>90.898210508083906</v>
      </c>
      <c r="AK1816">
        <v>0.70462275249472905</v>
      </c>
      <c r="AL1816">
        <v>67.765995438735104</v>
      </c>
      <c r="AM1816">
        <v>95.798519806484904</v>
      </c>
      <c r="AN1816">
        <v>0.99999995608963199</v>
      </c>
    </row>
    <row r="1817" spans="1:40" x14ac:dyDescent="0.25">
      <c r="A1817" t="str">
        <f>"20190304164405273"</f>
        <v>20190304164405273</v>
      </c>
      <c r="B1817" t="str">
        <f>"1551689045261423"</f>
        <v>1551689045261423</v>
      </c>
      <c r="C1817" t="s">
        <v>40</v>
      </c>
      <c r="D1817">
        <v>4.7508549999999996</v>
      </c>
      <c r="E1817">
        <v>0.53999299999999995</v>
      </c>
      <c r="F1817" t="s">
        <v>41</v>
      </c>
      <c r="G1817">
        <v>-217.04089999999999</v>
      </c>
      <c r="H1817">
        <v>1.0177290000000001</v>
      </c>
      <c r="I1817">
        <v>284.0539</v>
      </c>
      <c r="J1817">
        <v>-216.54060000000001</v>
      </c>
      <c r="K1817">
        <v>1.1102179999999999</v>
      </c>
      <c r="L1817">
        <v>284.07350000000002</v>
      </c>
      <c r="M1817">
        <v>-0.99975480000000005</v>
      </c>
      <c r="N1817">
        <v>-6.8249690000000002E-3</v>
      </c>
      <c r="O1817">
        <v>-2.106421E-2</v>
      </c>
      <c r="P1817">
        <v>-0.92143209999999998</v>
      </c>
      <c r="Q1817">
        <v>0.37237930000000002</v>
      </c>
      <c r="R1817">
        <v>-0.11089019999999999</v>
      </c>
      <c r="S1817">
        <v>-3.4191590000000001</v>
      </c>
      <c r="T1817">
        <v>-0.4384555</v>
      </c>
      <c r="U1817">
        <v>-0.1143494</v>
      </c>
      <c r="V1817">
        <v>-9.1452199999999997E-2</v>
      </c>
      <c r="W1817">
        <v>0.37867499999999998</v>
      </c>
      <c r="X1817">
        <v>0.92100040000000005</v>
      </c>
      <c r="Y1817">
        <v>-1.2412110000000001E-2</v>
      </c>
      <c r="Z1817">
        <v>1.710914E-3</v>
      </c>
      <c r="AA1817">
        <v>0.99992150000000002</v>
      </c>
      <c r="AB1817">
        <v>25</v>
      </c>
      <c r="AC1817">
        <v>-0.50029999999998098</v>
      </c>
      <c r="AD1817">
        <v>-9.2488999999999794E-2</v>
      </c>
      <c r="AE1817">
        <v>-1.9600000000025299E-2</v>
      </c>
      <c r="AF1817">
        <v>-8.7581235063640198E-3</v>
      </c>
      <c r="AG1817">
        <v>-9.2488999999999794E-2</v>
      </c>
      <c r="AH1817">
        <v>0.48408326086373699</v>
      </c>
      <c r="AI1817">
        <v>100.814850968312</v>
      </c>
      <c r="AJ1817">
        <v>91.036492713925298</v>
      </c>
      <c r="AK1817">
        <v>0.49291735950037402</v>
      </c>
      <c r="AL1817">
        <v>67.748366735601607</v>
      </c>
      <c r="AM1817">
        <v>95.670687029252093</v>
      </c>
      <c r="AN1817">
        <v>0.999999998655</v>
      </c>
    </row>
    <row r="1818" spans="1:40" x14ac:dyDescent="0.25">
      <c r="A1818" t="str">
        <f>"20190304164405396"</f>
        <v>20190304164405396</v>
      </c>
      <c r="B1818" t="str">
        <f>"1551689045392207"</f>
        <v>1551689045392207</v>
      </c>
      <c r="C1818" t="s">
        <v>40</v>
      </c>
      <c r="D1818">
        <v>5.3066789999999999</v>
      </c>
      <c r="E1818">
        <v>0.53840449999999995</v>
      </c>
      <c r="F1818" t="s">
        <v>45</v>
      </c>
      <c r="G1818">
        <v>-220.1935</v>
      </c>
      <c r="H1818" s="1">
        <v>-1.433816E-6</v>
      </c>
      <c r="I1818">
        <v>283.84160000000003</v>
      </c>
      <c r="J1818">
        <v>-217.95580000000001</v>
      </c>
      <c r="K1818">
        <v>1.1101780000000001</v>
      </c>
      <c r="L1818">
        <v>284.04300000000001</v>
      </c>
      <c r="M1818">
        <v>-0.99974459999999998</v>
      </c>
      <c r="N1818">
        <v>-6.2066869999999998E-3</v>
      </c>
      <c r="O1818">
        <v>-2.1735930000000001E-2</v>
      </c>
      <c r="P1818">
        <v>-0.92603279999999999</v>
      </c>
      <c r="Q1818">
        <v>0.3629407</v>
      </c>
      <c r="R1818">
        <v>-0.10362209999999999</v>
      </c>
      <c r="S1818">
        <v>-3.8923030000000001</v>
      </c>
      <c r="T1818">
        <v>-1.7348779999999999</v>
      </c>
      <c r="U1818">
        <v>-0.32345580000000002</v>
      </c>
      <c r="V1818">
        <v>-8.3554420000000004E-2</v>
      </c>
      <c r="W1818">
        <v>0.36867470000000002</v>
      </c>
      <c r="X1818">
        <v>0.9257957</v>
      </c>
      <c r="Y1818">
        <v>-5.7615810000000003E-2</v>
      </c>
      <c r="Z1818">
        <v>-3.323468E-3</v>
      </c>
      <c r="AA1818">
        <v>0.99833329999999998</v>
      </c>
      <c r="AB1818">
        <v>26</v>
      </c>
      <c r="AC1818">
        <v>-2.2376999999999798</v>
      </c>
      <c r="AD1818">
        <v>-1.110179433816</v>
      </c>
      <c r="AE1818">
        <v>-0.20139999999997801</v>
      </c>
      <c r="AF1818">
        <v>-0.12274361923747901</v>
      </c>
      <c r="AG1818">
        <v>-1.110179433816</v>
      </c>
      <c r="AH1818">
        <v>1.8016530856114801</v>
      </c>
      <c r="AI1818">
        <v>121.582176267647</v>
      </c>
      <c r="AJ1818">
        <v>93.897443368808595</v>
      </c>
      <c r="AK1818">
        <v>2.1197920209833998</v>
      </c>
      <c r="AL1818">
        <v>68.366094811160707</v>
      </c>
      <c r="AM1818">
        <v>95.157056463318895</v>
      </c>
      <c r="AN1818">
        <v>1.00000002683005</v>
      </c>
    </row>
    <row r="1819" spans="1:40" x14ac:dyDescent="0.25">
      <c r="A1819" t="str">
        <f>"20190304164405432"</f>
        <v>20190304164405432</v>
      </c>
      <c r="B1819" t="str">
        <f>"1551689045421487"</f>
        <v>1551689045421487</v>
      </c>
      <c r="C1819" t="s">
        <v>40</v>
      </c>
      <c r="D1819">
        <v>5.3813399999999998</v>
      </c>
      <c r="E1819">
        <v>0.53854199999999997</v>
      </c>
      <c r="F1819" t="s">
        <v>41</v>
      </c>
      <c r="G1819">
        <v>-218.84530000000001</v>
      </c>
      <c r="H1819">
        <v>0.93278119999999998</v>
      </c>
      <c r="I1819">
        <v>284.01339999999999</v>
      </c>
      <c r="J1819">
        <v>-218.37540000000001</v>
      </c>
      <c r="K1819">
        <v>1.110115</v>
      </c>
      <c r="L1819">
        <v>284.03379999999999</v>
      </c>
      <c r="M1819">
        <v>-0.99974249999999998</v>
      </c>
      <c r="N1819">
        <v>-6.061543E-3</v>
      </c>
      <c r="O1819">
        <v>-2.1874709999999999E-2</v>
      </c>
      <c r="P1819">
        <v>-0.92696789999999996</v>
      </c>
      <c r="Q1819">
        <v>0.36060680000000001</v>
      </c>
      <c r="R1819">
        <v>-0.1034114</v>
      </c>
      <c r="S1819">
        <v>-3.5001980000000001</v>
      </c>
      <c r="T1819">
        <v>-0.69809189999999999</v>
      </c>
      <c r="U1819">
        <v>-0.1164246</v>
      </c>
      <c r="V1819">
        <v>-8.316614E-2</v>
      </c>
      <c r="W1819">
        <v>0.3662183</v>
      </c>
      <c r="X1819">
        <v>0.92680499999999999</v>
      </c>
      <c r="Y1819">
        <v>-1.154327E-2</v>
      </c>
      <c r="Z1819">
        <v>3.0121610000000002E-3</v>
      </c>
      <c r="AA1819">
        <v>0.99992879999999995</v>
      </c>
      <c r="AB1819">
        <v>26</v>
      </c>
      <c r="AC1819">
        <v>-0.46989999999999499</v>
      </c>
      <c r="AD1819">
        <v>-0.17733380000000001</v>
      </c>
      <c r="AE1819">
        <v>-2.0399999999994999E-2</v>
      </c>
      <c r="AF1819">
        <v>-8.8569655591155903E-3</v>
      </c>
      <c r="AG1819">
        <v>-0.17733380000000001</v>
      </c>
      <c r="AH1819">
        <v>0.411708440946573</v>
      </c>
      <c r="AI1819">
        <v>113.298017482235</v>
      </c>
      <c r="AJ1819">
        <v>91.232397571757801</v>
      </c>
      <c r="AK1819">
        <v>0.44836320411917502</v>
      </c>
      <c r="AL1819">
        <v>68.517421314867704</v>
      </c>
      <c r="AM1819">
        <v>95.127659479331598</v>
      </c>
      <c r="AN1819">
        <v>0.99999997906119398</v>
      </c>
    </row>
    <row r="1820" spans="1:40" x14ac:dyDescent="0.25">
      <c r="A1820" t="str">
        <f>"20190304164405452"</f>
        <v>20190304164405452</v>
      </c>
      <c r="B1820" t="str">
        <f>"1551689045441983"</f>
        <v>1551689045441983</v>
      </c>
      <c r="C1820" t="s">
        <v>40</v>
      </c>
      <c r="D1820">
        <v>5.3763480000000001</v>
      </c>
      <c r="E1820">
        <v>0.53807590000000005</v>
      </c>
      <c r="F1820" t="s">
        <v>41</v>
      </c>
      <c r="G1820">
        <v>-219.10480000000001</v>
      </c>
      <c r="H1820">
        <v>0.98646590000000001</v>
      </c>
      <c r="I1820">
        <v>284.00970000000001</v>
      </c>
      <c r="J1820">
        <v>-218.62129999999999</v>
      </c>
      <c r="K1820">
        <v>1.1100950000000001</v>
      </c>
      <c r="L1820">
        <v>284.0283</v>
      </c>
      <c r="M1820">
        <v>-0.99974189999999996</v>
      </c>
      <c r="N1820">
        <v>-5.9885800000000003E-3</v>
      </c>
      <c r="O1820">
        <v>-2.1919870000000001E-2</v>
      </c>
      <c r="P1820">
        <v>-0.92692529999999995</v>
      </c>
      <c r="Q1820">
        <v>0.36014669999999999</v>
      </c>
      <c r="R1820">
        <v>-0.1053766</v>
      </c>
      <c r="S1820">
        <v>-3.4512179999999999</v>
      </c>
      <c r="T1820">
        <v>-0.58522010000000002</v>
      </c>
      <c r="U1820">
        <v>-0.114624</v>
      </c>
      <c r="V1820">
        <v>-8.5070950000000006E-2</v>
      </c>
      <c r="W1820">
        <v>0.3656951</v>
      </c>
      <c r="X1820">
        <v>0.92683879999999996</v>
      </c>
      <c r="Y1820">
        <v>-1.140059E-2</v>
      </c>
      <c r="Z1820">
        <v>2.5648020000000001E-3</v>
      </c>
      <c r="AA1820">
        <v>0.99993169999999998</v>
      </c>
      <c r="AB1820">
        <v>26</v>
      </c>
      <c r="AC1820">
        <v>-0.48350000000002002</v>
      </c>
      <c r="AD1820">
        <v>-0.12362910000000001</v>
      </c>
      <c r="AE1820">
        <v>-1.8599999999992099E-2</v>
      </c>
      <c r="AF1820">
        <v>-7.5069984714015697E-3</v>
      </c>
      <c r="AG1820">
        <v>-0.12362910000000001</v>
      </c>
      <c r="AH1820">
        <v>0.45414328866006298</v>
      </c>
      <c r="AI1820">
        <v>105.226339332843</v>
      </c>
      <c r="AJ1820">
        <v>90.947014237316594</v>
      </c>
      <c r="AK1820">
        <v>0.47072989710431301</v>
      </c>
      <c r="AL1820">
        <v>68.549634905403494</v>
      </c>
      <c r="AM1820">
        <v>95.244263911559301</v>
      </c>
      <c r="AN1820">
        <v>1.00000006694167</v>
      </c>
    </row>
    <row r="1821" spans="1:40" x14ac:dyDescent="0.25">
      <c r="A1821" t="str">
        <f>"20190304164405476"</f>
        <v>20190304164405476</v>
      </c>
      <c r="B1821" t="str">
        <f>"1551689045471264"</f>
        <v>1551689045471264</v>
      </c>
      <c r="C1821" t="s">
        <v>40</v>
      </c>
      <c r="D1821">
        <v>5.3841510000000001</v>
      </c>
      <c r="E1821">
        <v>0.53769789999999995</v>
      </c>
      <c r="F1821" t="s">
        <v>41</v>
      </c>
      <c r="G1821">
        <v>-219.3442</v>
      </c>
      <c r="H1821">
        <v>0.99393339999999997</v>
      </c>
      <c r="I1821">
        <v>284.00259999999997</v>
      </c>
      <c r="J1821">
        <v>-218.88570000000001</v>
      </c>
      <c r="K1821">
        <v>1.11007099999999</v>
      </c>
      <c r="L1821">
        <v>284.02249999999998</v>
      </c>
      <c r="M1821">
        <v>-0.99974169999999996</v>
      </c>
      <c r="N1821">
        <v>-5.9198430000000002E-3</v>
      </c>
      <c r="O1821">
        <v>-2.1945739999999998E-2</v>
      </c>
      <c r="P1821">
        <v>-0.92677889999999996</v>
      </c>
      <c r="Q1821">
        <v>0.35974990000000001</v>
      </c>
      <c r="R1821">
        <v>-0.107988</v>
      </c>
      <c r="S1821">
        <v>-3.4371800000000001</v>
      </c>
      <c r="T1821">
        <v>-0.55234189999999905</v>
      </c>
      <c r="U1821">
        <v>-0.1228027</v>
      </c>
      <c r="V1821">
        <v>-8.7642880000000006E-2</v>
      </c>
      <c r="W1821">
        <v>0.3652379</v>
      </c>
      <c r="X1821">
        <v>0.92677940000000003</v>
      </c>
      <c r="Y1821">
        <v>-1.384108E-2</v>
      </c>
      <c r="Z1821">
        <v>2.2274489999999998E-3</v>
      </c>
      <c r="AA1821">
        <v>0.9999017</v>
      </c>
      <c r="AB1821">
        <v>26</v>
      </c>
      <c r="AC1821">
        <v>-0.45849999999998597</v>
      </c>
      <c r="AD1821">
        <v>-0.11613759999999899</v>
      </c>
      <c r="AE1821">
        <v>-1.9900000000006898E-2</v>
      </c>
      <c r="AF1821">
        <v>-9.2411111999968799E-3</v>
      </c>
      <c r="AG1821">
        <v>-0.11613759999999899</v>
      </c>
      <c r="AH1821">
        <v>0.43121161351361098</v>
      </c>
      <c r="AI1821">
        <v>105.070409145581</v>
      </c>
      <c r="AJ1821">
        <v>91.227693359906795</v>
      </c>
      <c r="AK1821">
        <v>0.44667303018985</v>
      </c>
      <c r="AL1821">
        <v>68.577776403679394</v>
      </c>
      <c r="AM1821">
        <v>95.402232442059699</v>
      </c>
      <c r="AN1821">
        <v>1.0000000271377301</v>
      </c>
    </row>
    <row r="1822" spans="1:40" x14ac:dyDescent="0.25">
      <c r="A1822" t="str">
        <f>"20190304164405497"</f>
        <v>20190304164405497</v>
      </c>
      <c r="B1822" t="str">
        <f>"1551689045491759"</f>
        <v>1551689045491759</v>
      </c>
      <c r="C1822" t="s">
        <v>40</v>
      </c>
      <c r="D1822">
        <v>5.3954240000000002</v>
      </c>
      <c r="E1822">
        <v>0.53706069999999995</v>
      </c>
      <c r="F1822" t="s">
        <v>41</v>
      </c>
      <c r="G1822">
        <v>-219.80779999999999</v>
      </c>
      <c r="H1822">
        <v>0.97021290000000004</v>
      </c>
      <c r="I1822">
        <v>283.98770000000002</v>
      </c>
      <c r="J1822">
        <v>-219.148</v>
      </c>
      <c r="K1822">
        <v>1.1100479999999999</v>
      </c>
      <c r="L1822">
        <v>284.01670000000001</v>
      </c>
      <c r="M1822">
        <v>-0.99974189999999996</v>
      </c>
      <c r="N1822">
        <v>-5.8612869999999997E-3</v>
      </c>
      <c r="O1822">
        <v>-2.1953810000000001E-2</v>
      </c>
      <c r="P1822">
        <v>-0.92667560000000004</v>
      </c>
      <c r="Q1822">
        <v>0.35958580000000001</v>
      </c>
      <c r="R1822">
        <v>-0.1094091</v>
      </c>
      <c r="S1822">
        <v>-3.4235530000000001</v>
      </c>
      <c r="T1822">
        <v>-0.51933770000000001</v>
      </c>
      <c r="U1822">
        <v>-0.12908939999999999</v>
      </c>
      <c r="V1822">
        <v>-8.9045139999999995E-2</v>
      </c>
      <c r="W1822">
        <v>0.36502259999999997</v>
      </c>
      <c r="X1822">
        <v>0.92673050000000001</v>
      </c>
      <c r="Y1822">
        <v>-1.577626E-2</v>
      </c>
      <c r="Z1822">
        <v>1.9458069999999999E-3</v>
      </c>
      <c r="AA1822">
        <v>0.99987360000000003</v>
      </c>
      <c r="AB1822">
        <v>27</v>
      </c>
      <c r="AC1822">
        <v>-0.65979999999998995</v>
      </c>
      <c r="AD1822">
        <v>-0.13983509999999899</v>
      </c>
      <c r="AE1822">
        <v>-2.89999999999963E-2</v>
      </c>
      <c r="AF1822">
        <v>-1.3885165869602501E-2</v>
      </c>
      <c r="AG1822">
        <v>-0.13983509999999899</v>
      </c>
      <c r="AH1822">
        <v>0.63194738778246695</v>
      </c>
      <c r="AI1822">
        <v>102.47424442336199</v>
      </c>
      <c r="AJ1822">
        <v>91.258701958765698</v>
      </c>
      <c r="AK1822">
        <v>0.64738254065762402</v>
      </c>
      <c r="AL1822">
        <v>68.591025942909198</v>
      </c>
      <c r="AM1822">
        <v>95.488430770106604</v>
      </c>
      <c r="AN1822">
        <v>0.99999997754931402</v>
      </c>
    </row>
    <row r="1823" spans="1:40" x14ac:dyDescent="0.25">
      <c r="A1823" t="str">
        <f>"20190304164405519"</f>
        <v>20190304164405519</v>
      </c>
      <c r="B1823" t="str">
        <f>"1551689045511280"</f>
        <v>1551689045511280</v>
      </c>
      <c r="C1823" t="s">
        <v>40</v>
      </c>
      <c r="D1823">
        <v>5.3978549999999998</v>
      </c>
      <c r="E1823">
        <v>0.53663939999999999</v>
      </c>
      <c r="F1823" t="s">
        <v>41</v>
      </c>
      <c r="G1823">
        <v>-220.0498</v>
      </c>
      <c r="H1823">
        <v>0.97712900000000003</v>
      </c>
      <c r="I1823">
        <v>283.98050000000001</v>
      </c>
      <c r="J1823">
        <v>-219.4153</v>
      </c>
      <c r="K1823">
        <v>1.110023</v>
      </c>
      <c r="L1823">
        <v>284.01089999999999</v>
      </c>
      <c r="M1823">
        <v>-0.99974220000000003</v>
      </c>
      <c r="N1823">
        <v>-5.8102910000000004E-3</v>
      </c>
      <c r="O1823">
        <v>-2.1950379999999999E-2</v>
      </c>
      <c r="P1823">
        <v>-0.92692370000000002</v>
      </c>
      <c r="Q1823">
        <v>0.35892869999999999</v>
      </c>
      <c r="R1823">
        <v>-0.1094659</v>
      </c>
      <c r="S1823">
        <v>-3.4165649999999999</v>
      </c>
      <c r="T1823">
        <v>-0.50369039999999998</v>
      </c>
      <c r="U1823">
        <v>-0.13787839999999901</v>
      </c>
      <c r="V1823">
        <v>-8.9090820000000001E-2</v>
      </c>
      <c r="W1823">
        <v>0.36432199999999998</v>
      </c>
      <c r="X1823">
        <v>0.92700179999999999</v>
      </c>
      <c r="Y1823">
        <v>-1.8392559999999999E-2</v>
      </c>
      <c r="Z1823">
        <v>1.6882749999999999E-3</v>
      </c>
      <c r="AA1823">
        <v>0.99982939999999998</v>
      </c>
      <c r="AB1823">
        <v>27</v>
      </c>
      <c r="AC1823">
        <v>-0.63450000000000195</v>
      </c>
      <c r="AD1823">
        <v>-0.13289399999999901</v>
      </c>
      <c r="AE1823">
        <v>-3.03999999999859E-2</v>
      </c>
      <c r="AF1823">
        <v>-1.5774513376872901E-2</v>
      </c>
      <c r="AG1823">
        <v>-0.13289399999999901</v>
      </c>
      <c r="AH1823">
        <v>0.60838685307059404</v>
      </c>
      <c r="AI1823">
        <v>102.317940227074</v>
      </c>
      <c r="AJ1823">
        <v>91.485256589628094</v>
      </c>
      <c r="AK1823">
        <v>0.62293194933107898</v>
      </c>
      <c r="AL1823">
        <v>68.634136961906094</v>
      </c>
      <c r="AM1823">
        <v>95.489631854223802</v>
      </c>
      <c r="AN1823">
        <v>1.00000001554775</v>
      </c>
    </row>
    <row r="1824" spans="1:40" x14ac:dyDescent="0.25">
      <c r="A1824" t="str">
        <f>"20190304164405541"</f>
        <v>20190304164405541</v>
      </c>
      <c r="B1824" t="str">
        <f>"1551689045531775"</f>
        <v>1551689045531775</v>
      </c>
      <c r="C1824" t="s">
        <v>40</v>
      </c>
      <c r="D1824">
        <v>5.4069839999999996</v>
      </c>
      <c r="E1824">
        <v>0.53635250000000001</v>
      </c>
      <c r="F1824" t="s">
        <v>41</v>
      </c>
      <c r="G1824">
        <v>-220.29230000000001</v>
      </c>
      <c r="H1824">
        <v>0.98282930000000002</v>
      </c>
      <c r="I1824">
        <v>283.97410000000002</v>
      </c>
      <c r="J1824">
        <v>-219.68539999999999</v>
      </c>
      <c r="K1824">
        <v>1.110006</v>
      </c>
      <c r="L1824">
        <v>284.00490000000002</v>
      </c>
      <c r="M1824">
        <v>-0.99974269999999998</v>
      </c>
      <c r="N1824">
        <v>-5.766541E-3</v>
      </c>
      <c r="O1824">
        <v>-2.1941510000000001E-2</v>
      </c>
      <c r="P1824">
        <v>-0.92718970000000001</v>
      </c>
      <c r="Q1824">
        <v>0.358122099999999</v>
      </c>
      <c r="R1824">
        <v>-0.1098537</v>
      </c>
      <c r="S1824">
        <v>-3.4112550000000001</v>
      </c>
      <c r="T1824">
        <v>-0.4949038</v>
      </c>
      <c r="U1824">
        <v>-0.1432495</v>
      </c>
      <c r="V1824">
        <v>-8.9475239999999998E-2</v>
      </c>
      <c r="W1824">
        <v>0.3634772</v>
      </c>
      <c r="X1824">
        <v>0.92729629999999996</v>
      </c>
      <c r="Y1824">
        <v>-2.001737E-2</v>
      </c>
      <c r="Z1824">
        <v>1.5369789999999999E-3</v>
      </c>
      <c r="AA1824">
        <v>0.99979850000000003</v>
      </c>
      <c r="AB1824">
        <v>27</v>
      </c>
      <c r="AC1824">
        <v>-0.60690000000002398</v>
      </c>
      <c r="AD1824">
        <v>-0.1271767</v>
      </c>
      <c r="AE1824">
        <v>-3.07999999999992E-2</v>
      </c>
      <c r="AF1824">
        <v>-1.6742747212652401E-2</v>
      </c>
      <c r="AG1824">
        <v>-0.1271767</v>
      </c>
      <c r="AH1824">
        <v>0.58194127880826796</v>
      </c>
      <c r="AI1824">
        <v>102.322590892009</v>
      </c>
      <c r="AJ1824">
        <v>91.647974181876606</v>
      </c>
      <c r="AK1824">
        <v>0.59591097035389395</v>
      </c>
      <c r="AL1824">
        <v>68.686102122923103</v>
      </c>
      <c r="AM1824">
        <v>95.511433414221898</v>
      </c>
      <c r="AN1824">
        <v>0.999999960743293</v>
      </c>
    </row>
    <row r="1825" spans="1:40" x14ac:dyDescent="0.25">
      <c r="A1825" t="str">
        <f>"20190304164405563"</f>
        <v>20190304164405563</v>
      </c>
      <c r="B1825" t="str">
        <f>"1551689045551298"</f>
        <v>1551689045551298</v>
      </c>
      <c r="C1825" t="s">
        <v>40</v>
      </c>
      <c r="D1825">
        <v>5.4042260000000004</v>
      </c>
      <c r="E1825">
        <v>0.53627389999999997</v>
      </c>
      <c r="F1825" t="s">
        <v>41</v>
      </c>
      <c r="G1825">
        <v>-220.53550000000001</v>
      </c>
      <c r="H1825">
        <v>0.98816130000000002</v>
      </c>
      <c r="I1825">
        <v>283.96879999999999</v>
      </c>
      <c r="J1825">
        <v>-219.93629999999999</v>
      </c>
      <c r="K1825">
        <v>1.1099870000000001</v>
      </c>
      <c r="L1825">
        <v>283.99939999999998</v>
      </c>
      <c r="M1825">
        <v>-0.99974320000000005</v>
      </c>
      <c r="N1825">
        <v>-5.7322249999999996E-3</v>
      </c>
      <c r="O1825">
        <v>-2.1931849999999999E-2</v>
      </c>
      <c r="P1825">
        <v>-0.927651</v>
      </c>
      <c r="Q1825">
        <v>0.3568808</v>
      </c>
      <c r="R1825">
        <v>-0.110002</v>
      </c>
      <c r="S1825">
        <v>-3.4069370000000001</v>
      </c>
      <c r="T1825">
        <v>-0.48843409999999898</v>
      </c>
      <c r="U1825">
        <v>-0.14608759999999901</v>
      </c>
      <c r="V1825">
        <v>-8.9619630000000006E-2</v>
      </c>
      <c r="W1825">
        <v>0.36220730000000001</v>
      </c>
      <c r="X1825">
        <v>0.92777920000000003</v>
      </c>
      <c r="Y1825">
        <v>-2.0902029999999999E-2</v>
      </c>
      <c r="Z1825">
        <v>1.4509550000000001E-3</v>
      </c>
      <c r="AA1825">
        <v>0.99978049999999996</v>
      </c>
      <c r="AB1825">
        <v>27</v>
      </c>
      <c r="AC1825">
        <v>-0.59920000000002405</v>
      </c>
      <c r="AD1825">
        <v>-0.121825699999999</v>
      </c>
      <c r="AE1825">
        <v>-3.0599999999992598E-2</v>
      </c>
      <c r="AF1825">
        <v>-1.6759868178211301E-2</v>
      </c>
      <c r="AG1825">
        <v>-0.121825699999999</v>
      </c>
      <c r="AH1825">
        <v>0.57597990353280204</v>
      </c>
      <c r="AI1825">
        <v>101.937726770162</v>
      </c>
      <c r="AJ1825">
        <v>91.666722788908302</v>
      </c>
      <c r="AK1825">
        <v>0.58896115630446899</v>
      </c>
      <c r="AL1825">
        <v>68.764184659797095</v>
      </c>
      <c r="AM1825">
        <v>95.517417040456195</v>
      </c>
      <c r="AN1825">
        <v>1.0000000251036301</v>
      </c>
    </row>
    <row r="1826" spans="1:40" x14ac:dyDescent="0.25">
      <c r="A1826" t="str">
        <f>"20190304164405588"</f>
        <v>20190304164405588</v>
      </c>
      <c r="B1826" t="str">
        <f>"1551689045581551"</f>
        <v>1551689045581551</v>
      </c>
      <c r="C1826" t="s">
        <v>40</v>
      </c>
      <c r="D1826">
        <v>5.4218190000000002</v>
      </c>
      <c r="E1826">
        <v>0.53612059999999995</v>
      </c>
      <c r="F1826" t="s">
        <v>41</v>
      </c>
      <c r="G1826">
        <v>-220.7782</v>
      </c>
      <c r="H1826">
        <v>0.99026369999999997</v>
      </c>
      <c r="I1826">
        <v>283.9631</v>
      </c>
      <c r="J1826">
        <v>-220.23599999999999</v>
      </c>
      <c r="K1826">
        <v>1.1099669999999999</v>
      </c>
      <c r="L1826">
        <v>283.99290000000002</v>
      </c>
      <c r="M1826">
        <v>-0.99974350000000001</v>
      </c>
      <c r="N1826">
        <v>-5.6982789999999997E-3</v>
      </c>
      <c r="O1826">
        <v>-2.1922199999999999E-2</v>
      </c>
      <c r="P1826">
        <v>-0.92835199999999996</v>
      </c>
      <c r="Q1826">
        <v>0.3550624</v>
      </c>
      <c r="R1826">
        <v>-0.1099707</v>
      </c>
      <c r="S1826">
        <v>-3.402695</v>
      </c>
      <c r="T1826">
        <v>-0.48392879999999999</v>
      </c>
      <c r="U1826">
        <v>-0.14703369999999999</v>
      </c>
      <c r="V1826">
        <v>-8.958033E-2</v>
      </c>
      <c r="W1826">
        <v>0.36036210000000002</v>
      </c>
      <c r="X1826">
        <v>0.92850120000000003</v>
      </c>
      <c r="Y1826">
        <v>-2.1239069999999999E-2</v>
      </c>
      <c r="Z1826">
        <v>1.4129819999999999E-3</v>
      </c>
      <c r="AA1826">
        <v>0.99977340000000003</v>
      </c>
      <c r="AB1826">
        <v>27</v>
      </c>
      <c r="AC1826">
        <v>-0.54220000000000801</v>
      </c>
      <c r="AD1826">
        <v>-0.1197033</v>
      </c>
      <c r="AE1826">
        <v>-2.9800000000022898E-2</v>
      </c>
      <c r="AF1826">
        <v>-1.70766072051384E-2</v>
      </c>
      <c r="AG1826">
        <v>-0.1197033</v>
      </c>
      <c r="AH1826">
        <v>0.51757205190534605</v>
      </c>
      <c r="AI1826">
        <v>103.015477660713</v>
      </c>
      <c r="AJ1826">
        <v>91.889713170962395</v>
      </c>
      <c r="AK1826">
        <v>0.53150853187699598</v>
      </c>
      <c r="AL1826">
        <v>68.877564039755001</v>
      </c>
      <c r="AM1826">
        <v>95.510750413058702</v>
      </c>
      <c r="AN1826">
        <v>0.99999997852037903</v>
      </c>
    </row>
    <row r="1827" spans="1:40" x14ac:dyDescent="0.25">
      <c r="A1827" t="str">
        <f>"20190304164405610"</f>
        <v>20190304164405610</v>
      </c>
      <c r="B1827" t="str">
        <f>"1551689045602048"</f>
        <v>1551689045602048</v>
      </c>
      <c r="C1827" t="s">
        <v>40</v>
      </c>
      <c r="D1827">
        <v>5.4215819999999999</v>
      </c>
      <c r="E1827">
        <v>0.53610210000000003</v>
      </c>
      <c r="F1827" t="s">
        <v>41</v>
      </c>
      <c r="G1827">
        <v>-221.0248</v>
      </c>
      <c r="H1827">
        <v>0.99859379999999998</v>
      </c>
      <c r="I1827">
        <v>283.95859999999999</v>
      </c>
      <c r="J1827">
        <v>-220.51390000000001</v>
      </c>
      <c r="K1827">
        <v>1.109955</v>
      </c>
      <c r="L1827">
        <v>283.98680000000002</v>
      </c>
      <c r="M1827">
        <v>-0.99974379999999996</v>
      </c>
      <c r="N1827">
        <v>-5.6728229999999996E-3</v>
      </c>
      <c r="O1827">
        <v>-2.1916519999999998E-2</v>
      </c>
      <c r="P1827">
        <v>-0.92934499999999998</v>
      </c>
      <c r="Q1827">
        <v>0.35265180000000002</v>
      </c>
      <c r="R1827">
        <v>-0.10933809999999999</v>
      </c>
      <c r="S1827">
        <v>-3.3975369999999998</v>
      </c>
      <c r="T1827">
        <v>-0.47979450000000001</v>
      </c>
      <c r="U1827">
        <v>-0.14807129999999999</v>
      </c>
      <c r="V1827">
        <v>-8.8929910000000001E-2</v>
      </c>
      <c r="W1827">
        <v>0.35793399999999997</v>
      </c>
      <c r="X1827">
        <v>0.92950239999999995</v>
      </c>
      <c r="Y1827">
        <v>-2.161128E-2</v>
      </c>
      <c r="Z1827">
        <v>1.374686E-3</v>
      </c>
      <c r="AA1827">
        <v>0.99976549999999997</v>
      </c>
      <c r="AB1827">
        <v>27</v>
      </c>
      <c r="AC1827">
        <v>-0.51089999999999203</v>
      </c>
      <c r="AD1827">
        <v>-0.11136119999999999</v>
      </c>
      <c r="AE1827">
        <v>-2.82000000000266E-2</v>
      </c>
      <c r="AF1827">
        <v>-1.6227262120408599E-2</v>
      </c>
      <c r="AG1827">
        <v>-0.11136119999999999</v>
      </c>
      <c r="AH1827">
        <v>0.48826761807319302</v>
      </c>
      <c r="AI1827">
        <v>102.841064427017</v>
      </c>
      <c r="AJ1827">
        <v>91.903487992005907</v>
      </c>
      <c r="AK1827">
        <v>0.50106876550053903</v>
      </c>
      <c r="AL1827">
        <v>69.026629892406405</v>
      </c>
      <c r="AM1827">
        <v>95.465124613103697</v>
      </c>
      <c r="AN1827">
        <v>0.99999999442718301</v>
      </c>
    </row>
    <row r="1828" spans="1:40" x14ac:dyDescent="0.25">
      <c r="A1828" t="str">
        <f>"20190304164405631"</f>
        <v>20190304164405631</v>
      </c>
      <c r="B1828" t="str">
        <f>"1551689045621567"</f>
        <v>1551689045621567</v>
      </c>
      <c r="C1828" t="s">
        <v>40</v>
      </c>
      <c r="D1828">
        <v>5.4324120000000002</v>
      </c>
      <c r="E1828">
        <v>0.53608420000000001</v>
      </c>
      <c r="F1828" t="s">
        <v>41</v>
      </c>
      <c r="G1828">
        <v>-221.27019999999999</v>
      </c>
      <c r="H1828">
        <v>1.0024230000000001</v>
      </c>
      <c r="I1828">
        <v>283.95420000000001</v>
      </c>
      <c r="J1828">
        <v>-220.77549999999999</v>
      </c>
      <c r="K1828">
        <v>1.1099289999999999</v>
      </c>
      <c r="L1828">
        <v>283.98099999999999</v>
      </c>
      <c r="M1828">
        <v>-0.99974390000000002</v>
      </c>
      <c r="N1828">
        <v>-5.6536190000000004E-3</v>
      </c>
      <c r="O1828">
        <v>-2.191396E-2</v>
      </c>
      <c r="P1828">
        <v>-0.93034450000000002</v>
      </c>
      <c r="Q1828">
        <v>0.35004839999999998</v>
      </c>
      <c r="R1828">
        <v>-0.10920290000000001</v>
      </c>
      <c r="S1828">
        <v>-3.3939819999999998</v>
      </c>
      <c r="T1828">
        <v>-0.48261700000000002</v>
      </c>
      <c r="U1828">
        <v>-0.1463013</v>
      </c>
      <c r="V1828">
        <v>-8.8774759999999994E-2</v>
      </c>
      <c r="W1828">
        <v>0.35531849999999998</v>
      </c>
      <c r="X1828">
        <v>0.93052020000000002</v>
      </c>
      <c r="Y1828">
        <v>-2.1143789999999999E-2</v>
      </c>
      <c r="Z1828">
        <v>1.420089E-3</v>
      </c>
      <c r="AA1828">
        <v>0.99977539999999998</v>
      </c>
      <c r="AB1828">
        <v>27</v>
      </c>
      <c r="AC1828">
        <v>-0.49469999999999398</v>
      </c>
      <c r="AD1828">
        <v>-0.107506</v>
      </c>
      <c r="AE1828">
        <v>-2.67999999999801E-2</v>
      </c>
      <c r="AF1828">
        <v>-1.52351639368458E-2</v>
      </c>
      <c r="AG1828">
        <v>-0.107506</v>
      </c>
      <c r="AH1828">
        <v>0.47290062862756699</v>
      </c>
      <c r="AI1828">
        <v>102.801136727426</v>
      </c>
      <c r="AJ1828">
        <v>91.845226526719102</v>
      </c>
      <c r="AK1828">
        <v>0.485205786046015</v>
      </c>
      <c r="AL1828">
        <v>69.187034636205297</v>
      </c>
      <c r="AM1828">
        <v>95.449716132364301</v>
      </c>
      <c r="AN1828">
        <v>1.00000001853167</v>
      </c>
    </row>
    <row r="1829" spans="1:40" x14ac:dyDescent="0.25">
      <c r="A1829" t="str">
        <f>"20190304164405653"</f>
        <v>20190304164405653</v>
      </c>
      <c r="B1829" t="str">
        <f>"1551689045642063"</f>
        <v>1551689045642063</v>
      </c>
      <c r="C1829" t="s">
        <v>40</v>
      </c>
      <c r="D1829">
        <v>5.4292860000000003</v>
      </c>
      <c r="E1829">
        <v>0.53607799999999906</v>
      </c>
      <c r="F1829" t="s">
        <v>41</v>
      </c>
      <c r="G1829">
        <v>-221.5154</v>
      </c>
      <c r="H1829">
        <v>1.003733</v>
      </c>
      <c r="I1829">
        <v>283.94929999999999</v>
      </c>
      <c r="J1829">
        <v>-221.03800000000001</v>
      </c>
      <c r="K1829">
        <v>1.1098980000000001</v>
      </c>
      <c r="L1829">
        <v>283.9753</v>
      </c>
      <c r="M1829">
        <v>-0.99974410000000002</v>
      </c>
      <c r="N1829">
        <v>-5.63825E-3</v>
      </c>
      <c r="O1829">
        <v>-2.1912959999999999E-2</v>
      </c>
      <c r="P1829">
        <v>-0.93152330000000005</v>
      </c>
      <c r="Q1829">
        <v>0.34712209999999899</v>
      </c>
      <c r="R1829">
        <v>-0.10849399999999999</v>
      </c>
      <c r="S1829">
        <v>-3.3906559999999999</v>
      </c>
      <c r="T1829">
        <v>-0.48676609999999998</v>
      </c>
      <c r="U1829">
        <v>-0.14569089999999901</v>
      </c>
      <c r="V1829">
        <v>-8.8040530000000006E-2</v>
      </c>
      <c r="W1829">
        <v>0.3523848</v>
      </c>
      <c r="X1829">
        <v>0.9317048</v>
      </c>
      <c r="Y1829">
        <v>-2.100875E-2</v>
      </c>
      <c r="Z1829">
        <v>1.445701E-3</v>
      </c>
      <c r="AA1829">
        <v>0.99977830000000001</v>
      </c>
      <c r="AB1829">
        <v>27</v>
      </c>
      <c r="AC1829">
        <v>-0.47740000000001698</v>
      </c>
      <c r="AD1829">
        <v>-0.106165</v>
      </c>
      <c r="AE1829">
        <v>-2.60000000000104E-2</v>
      </c>
      <c r="AF1829">
        <v>-1.48024738250316E-2</v>
      </c>
      <c r="AG1829">
        <v>-0.106165</v>
      </c>
      <c r="AH1829">
        <v>0.45540051771738599</v>
      </c>
      <c r="AI1829">
        <v>103.115984941851</v>
      </c>
      <c r="AJ1829">
        <v>91.861703588619093</v>
      </c>
      <c r="AK1829">
        <v>0.46784586349951202</v>
      </c>
      <c r="AL1829">
        <v>69.366750487461601</v>
      </c>
      <c r="AM1829">
        <v>95.398079790723799</v>
      </c>
      <c r="AN1829">
        <v>1.00000000826838</v>
      </c>
    </row>
    <row r="1830" spans="1:40" x14ac:dyDescent="0.25">
      <c r="A1830" t="str">
        <f>"20190304164405675"</f>
        <v>20190304164405675</v>
      </c>
      <c r="B1830" t="str">
        <f>"1551689045671343"</f>
        <v>1551689045671343</v>
      </c>
      <c r="C1830" t="s">
        <v>40</v>
      </c>
      <c r="D1830">
        <v>5.4625750000000002</v>
      </c>
      <c r="E1830">
        <v>0.5361321</v>
      </c>
      <c r="F1830" t="s">
        <v>41</v>
      </c>
      <c r="G1830">
        <v>-221.7612</v>
      </c>
      <c r="H1830">
        <v>1.0043489999999999</v>
      </c>
      <c r="I1830">
        <v>283.94490000000002</v>
      </c>
      <c r="J1830">
        <v>-221.30439999999999</v>
      </c>
      <c r="K1830">
        <v>1.1098669999999999</v>
      </c>
      <c r="L1830">
        <v>283.96949999999998</v>
      </c>
      <c r="M1830">
        <v>-0.99974410000000002</v>
      </c>
      <c r="N1830">
        <v>-5.6262329999999996E-3</v>
      </c>
      <c r="O1830">
        <v>-2.191328E-2</v>
      </c>
      <c r="P1830">
        <v>-0.93278570000000005</v>
      </c>
      <c r="Q1830">
        <v>0.34424729999999998</v>
      </c>
      <c r="R1830">
        <v>-0.10679370000000001</v>
      </c>
      <c r="S1830">
        <v>-3.3882289999999999</v>
      </c>
      <c r="T1830">
        <v>-0.4946026</v>
      </c>
      <c r="U1830">
        <v>-0.1427612</v>
      </c>
      <c r="V1830">
        <v>-8.63125E-2</v>
      </c>
      <c r="W1830">
        <v>0.34950540000000002</v>
      </c>
      <c r="X1830">
        <v>0.93295030000000001</v>
      </c>
      <c r="Y1830">
        <v>-2.01852E-2</v>
      </c>
      <c r="Z1830">
        <v>1.53539E-3</v>
      </c>
      <c r="AA1830">
        <v>0.99979510000000005</v>
      </c>
      <c r="AB1830">
        <v>27</v>
      </c>
      <c r="AC1830">
        <v>-0.45680000000001503</v>
      </c>
      <c r="AD1830">
        <v>-0.105518</v>
      </c>
      <c r="AE1830">
        <v>-2.4599999999963901E-2</v>
      </c>
      <c r="AF1830">
        <v>-1.3847222730537701E-2</v>
      </c>
      <c r="AG1830">
        <v>-0.105518</v>
      </c>
      <c r="AH1830">
        <v>0.43413188637361699</v>
      </c>
      <c r="AI1830">
        <v>103.654448962534</v>
      </c>
      <c r="AJ1830">
        <v>91.826906871785596</v>
      </c>
      <c r="AK1830">
        <v>0.446985781281312</v>
      </c>
      <c r="AL1830">
        <v>69.542935277829699</v>
      </c>
      <c r="AM1830">
        <v>95.285709954675795</v>
      </c>
      <c r="AN1830">
        <v>1.00000006727774</v>
      </c>
    </row>
    <row r="1831" spans="1:40" x14ac:dyDescent="0.25">
      <c r="A1831" t="str">
        <f>"20190304164405709"</f>
        <v>20190304164405709</v>
      </c>
      <c r="B1831" t="str">
        <f>"1551689045701600"</f>
        <v>1551689045701600</v>
      </c>
      <c r="C1831" t="s">
        <v>40</v>
      </c>
      <c r="D1831">
        <v>5.4268239999999999</v>
      </c>
      <c r="E1831">
        <v>0.5362114</v>
      </c>
      <c r="F1831" t="s">
        <v>41</v>
      </c>
      <c r="G1831">
        <v>-222.2405</v>
      </c>
      <c r="H1831">
        <v>0.97301550000000003</v>
      </c>
      <c r="I1831">
        <v>283.9314</v>
      </c>
      <c r="J1831">
        <v>-221.74039999999999</v>
      </c>
      <c r="K1831">
        <v>1.1098330000000001</v>
      </c>
      <c r="L1831">
        <v>283.95999999999998</v>
      </c>
      <c r="M1831">
        <v>-0.99974410000000002</v>
      </c>
      <c r="N1831">
        <v>-5.6129350000000003E-3</v>
      </c>
      <c r="O1831">
        <v>-2.1914800000000002E-2</v>
      </c>
      <c r="P1831">
        <v>-0.93481829999999999</v>
      </c>
      <c r="Q1831">
        <v>0.33961370000000002</v>
      </c>
      <c r="R1831">
        <v>-0.10381600000000001</v>
      </c>
      <c r="S1831">
        <v>-3.3829039999999999</v>
      </c>
      <c r="T1831">
        <v>-0.4945852</v>
      </c>
      <c r="U1831">
        <v>-0.1379089</v>
      </c>
      <c r="V1831">
        <v>-8.3289710000000003E-2</v>
      </c>
      <c r="W1831">
        <v>0.34487040000000002</v>
      </c>
      <c r="X1831">
        <v>0.93494770000000005</v>
      </c>
      <c r="Y1831">
        <v>-1.8833249999999999E-2</v>
      </c>
      <c r="Z1831">
        <v>1.6407800000000001E-3</v>
      </c>
      <c r="AA1831">
        <v>0.99982130000000002</v>
      </c>
      <c r="AB1831">
        <v>28</v>
      </c>
      <c r="AC1831">
        <v>-0.50010000000000299</v>
      </c>
      <c r="AD1831">
        <v>-0.13681750000000001</v>
      </c>
      <c r="AE1831">
        <v>-2.8599999999983E-2</v>
      </c>
      <c r="AF1831">
        <v>-1.64092047980041E-2</v>
      </c>
      <c r="AG1831">
        <v>-0.13681750000000001</v>
      </c>
      <c r="AH1831">
        <v>0.4658530144934</v>
      </c>
      <c r="AI1831">
        <v>106.35751221402499</v>
      </c>
      <c r="AJ1831">
        <v>92.017352264196106</v>
      </c>
      <c r="AK1831">
        <v>0.48580584745445499</v>
      </c>
      <c r="AL1831">
        <v>69.826114983389402</v>
      </c>
      <c r="AM1831">
        <v>95.090749485140805</v>
      </c>
      <c r="AN1831">
        <v>0.99999998516166699</v>
      </c>
    </row>
    <row r="1832" spans="1:40" x14ac:dyDescent="0.25">
      <c r="A1832" t="str">
        <f>"20190304164405731"</f>
        <v>20190304164405731</v>
      </c>
      <c r="B1832" t="str">
        <f>"1551689045722096"</f>
        <v>1551689045722096</v>
      </c>
      <c r="C1832" t="s">
        <v>40</v>
      </c>
      <c r="D1832">
        <v>5.4402480000000004</v>
      </c>
      <c r="E1832">
        <v>0.53551539999999997</v>
      </c>
      <c r="F1832" t="s">
        <v>41</v>
      </c>
      <c r="G1832">
        <v>-222.49979999999999</v>
      </c>
      <c r="H1832">
        <v>0.99632810000000005</v>
      </c>
      <c r="I1832">
        <v>283.9307</v>
      </c>
      <c r="J1832">
        <v>-222.011</v>
      </c>
      <c r="K1832">
        <v>1.1098250000000001</v>
      </c>
      <c r="L1832">
        <v>283.95409999999998</v>
      </c>
      <c r="M1832">
        <v>-0.99974410000000002</v>
      </c>
      <c r="N1832">
        <v>-5.6080319999999998E-3</v>
      </c>
      <c r="O1832">
        <v>-2.1915500000000001E-2</v>
      </c>
      <c r="P1832">
        <v>-0.93604580000000004</v>
      </c>
      <c r="Q1832">
        <v>0.33695009999999997</v>
      </c>
      <c r="R1832">
        <v>-0.10140449999999999</v>
      </c>
      <c r="S1832">
        <v>-3.378098</v>
      </c>
      <c r="T1832">
        <v>-0.50499320000000003</v>
      </c>
      <c r="U1832">
        <v>-0.131134</v>
      </c>
      <c r="V1832">
        <v>-8.0852540000000001E-2</v>
      </c>
      <c r="W1832">
        <v>0.34220850000000003</v>
      </c>
      <c r="X1832">
        <v>0.93613900000000005</v>
      </c>
      <c r="Y1832">
        <v>-1.6911470000000001E-2</v>
      </c>
      <c r="Z1832">
        <v>1.829773E-3</v>
      </c>
      <c r="AA1832">
        <v>0.9998553</v>
      </c>
      <c r="AB1832">
        <v>28</v>
      </c>
      <c r="AC1832">
        <v>-0.48879999999999701</v>
      </c>
      <c r="AD1832">
        <v>-0.1134969</v>
      </c>
      <c r="AE1832">
        <v>-2.3399999999980901E-2</v>
      </c>
      <c r="AF1832">
        <v>-1.2034561135201899E-2</v>
      </c>
      <c r="AG1832">
        <v>-0.1134969</v>
      </c>
      <c r="AH1832">
        <v>0.46422423925050899</v>
      </c>
      <c r="AI1832">
        <v>103.734142228029</v>
      </c>
      <c r="AJ1832">
        <v>91.485004655120804</v>
      </c>
      <c r="AK1832">
        <v>0.47804865994900603</v>
      </c>
      <c r="AL1832">
        <v>69.988515117213396</v>
      </c>
      <c r="AM1832">
        <v>94.936277553059298</v>
      </c>
      <c r="AN1832">
        <v>1.0000000090088501</v>
      </c>
    </row>
    <row r="1833" spans="1:40" x14ac:dyDescent="0.25">
      <c r="A1833" t="str">
        <f>"20190304164405753"</f>
        <v>20190304164405753</v>
      </c>
      <c r="B1833" t="str">
        <f>"1551689045741615"</f>
        <v>1551689045741615</v>
      </c>
      <c r="C1833" t="s">
        <v>40</v>
      </c>
      <c r="D1833">
        <v>5.4335839999999997</v>
      </c>
      <c r="E1833">
        <v>0.53505729999999996</v>
      </c>
      <c r="F1833" t="s">
        <v>41</v>
      </c>
      <c r="G1833">
        <v>-222.7578</v>
      </c>
      <c r="H1833">
        <v>1.0144660000000001</v>
      </c>
      <c r="I1833">
        <v>283.92579999999998</v>
      </c>
      <c r="J1833">
        <v>-222.28440000000001</v>
      </c>
      <c r="K1833">
        <v>1.1098239999999999</v>
      </c>
      <c r="L1833">
        <v>283.94810000000001</v>
      </c>
      <c r="M1833">
        <v>-0.99974419999999997</v>
      </c>
      <c r="N1833">
        <v>-5.6015290000000001E-3</v>
      </c>
      <c r="O1833">
        <v>-2.1916330000000001E-2</v>
      </c>
      <c r="P1833">
        <v>-0.93663390000000002</v>
      </c>
      <c r="Q1833">
        <v>0.335868</v>
      </c>
      <c r="R1833">
        <v>-9.9549990000000005E-2</v>
      </c>
      <c r="S1833">
        <v>-3.3449710000000001</v>
      </c>
      <c r="T1833">
        <v>-0.42712430000000001</v>
      </c>
      <c r="U1833">
        <v>-0.1267395</v>
      </c>
      <c r="V1833">
        <v>-7.8984810000000003E-2</v>
      </c>
      <c r="W1833">
        <v>0.34112320000000002</v>
      </c>
      <c r="X1833">
        <v>0.93669440000000004</v>
      </c>
      <c r="Y1833">
        <v>-1.5979469999999999E-2</v>
      </c>
      <c r="Z1833">
        <v>1.6028049999999999E-3</v>
      </c>
      <c r="AA1833">
        <v>0.99987099999999995</v>
      </c>
      <c r="AB1833">
        <v>28</v>
      </c>
      <c r="AC1833">
        <v>-0.47339999999999799</v>
      </c>
      <c r="AD1833">
        <v>-9.5357999999999804E-2</v>
      </c>
      <c r="AE1833">
        <v>-2.2300000000029699E-2</v>
      </c>
      <c r="AF1833">
        <v>-1.1455513508478401E-2</v>
      </c>
      <c r="AG1833">
        <v>-9.5357999999999804E-2</v>
      </c>
      <c r="AH1833">
        <v>0.455340528059901</v>
      </c>
      <c r="AI1833">
        <v>101.824382144719</v>
      </c>
      <c r="AJ1833">
        <v>91.441150332493805</v>
      </c>
      <c r="AK1833">
        <v>0.46535940244891599</v>
      </c>
      <c r="AL1833">
        <v>70.054680125343396</v>
      </c>
      <c r="AM1833">
        <v>94.819945357341496</v>
      </c>
      <c r="AN1833">
        <v>1.0000000183901601</v>
      </c>
    </row>
    <row r="1834" spans="1:40" x14ac:dyDescent="0.25">
      <c r="A1834" t="str">
        <f>"20190304164405776"</f>
        <v>20190304164405776</v>
      </c>
      <c r="B1834" t="str">
        <f>"1551689045771872"</f>
        <v>1551689045771872</v>
      </c>
      <c r="C1834" t="s">
        <v>40</v>
      </c>
      <c r="D1834">
        <v>5.4463970000000002</v>
      </c>
      <c r="E1834">
        <v>0.53489010000000003</v>
      </c>
      <c r="F1834" t="s">
        <v>41</v>
      </c>
      <c r="G1834">
        <v>-223.0094</v>
      </c>
      <c r="H1834">
        <v>1.0172620000000001</v>
      </c>
      <c r="I1834">
        <v>283.92039999999997</v>
      </c>
      <c r="J1834">
        <v>-222.56110000000001</v>
      </c>
      <c r="K1834">
        <v>1.109815</v>
      </c>
      <c r="L1834">
        <v>283.94209999999998</v>
      </c>
      <c r="M1834">
        <v>-0.99974419999999997</v>
      </c>
      <c r="N1834">
        <v>-5.5880349999999999E-3</v>
      </c>
      <c r="O1834">
        <v>-2.1916649999999999E-2</v>
      </c>
      <c r="P1834">
        <v>-0.93683139999999998</v>
      </c>
      <c r="Q1834">
        <v>0.33597450000000001</v>
      </c>
      <c r="R1834">
        <v>-9.7303200000000006E-2</v>
      </c>
      <c r="S1834">
        <v>-3.3423769999999902</v>
      </c>
      <c r="T1834">
        <v>-0.42674260000000003</v>
      </c>
      <c r="U1834">
        <v>-0.1281128</v>
      </c>
      <c r="V1834">
        <v>-7.6734689999999994E-2</v>
      </c>
      <c r="W1834">
        <v>0.34121770000000001</v>
      </c>
      <c r="X1834">
        <v>0.93684699999999999</v>
      </c>
      <c r="Y1834">
        <v>-1.6415079999999999E-2</v>
      </c>
      <c r="Z1834">
        <v>1.5741129999999901E-3</v>
      </c>
      <c r="AA1834">
        <v>0.99986399999999998</v>
      </c>
      <c r="AB1834">
        <v>28</v>
      </c>
      <c r="AC1834">
        <v>-0.44829999999998799</v>
      </c>
      <c r="AD1834">
        <v>-9.2552999999999802E-2</v>
      </c>
      <c r="AE1834">
        <v>-2.1700000000009802E-2</v>
      </c>
      <c r="AF1834">
        <v>-1.1385261011098199E-2</v>
      </c>
      <c r="AG1834">
        <v>-9.2552999999999802E-2</v>
      </c>
      <c r="AH1834">
        <v>0.43036727026031002</v>
      </c>
      <c r="AI1834">
        <v>102.132819801773</v>
      </c>
      <c r="AJ1834">
        <v>91.515392399758198</v>
      </c>
      <c r="AK1834">
        <v>0.44035402721969202</v>
      </c>
      <c r="AL1834">
        <v>70.048920039053698</v>
      </c>
      <c r="AM1834">
        <v>94.682494928166093</v>
      </c>
      <c r="AN1834">
        <v>1.00000001642584</v>
      </c>
    </row>
    <row r="1835" spans="1:40" x14ac:dyDescent="0.25">
      <c r="A1835" t="str">
        <f>"20190304164405800"</f>
        <v>20190304164405800</v>
      </c>
      <c r="B1835" t="str">
        <f>"1551689045791391"</f>
        <v>1551689045791391</v>
      </c>
      <c r="C1835" t="s">
        <v>40</v>
      </c>
      <c r="D1835">
        <v>5.4374539999999998</v>
      </c>
      <c r="E1835">
        <v>0.53468939999999998</v>
      </c>
      <c r="F1835" t="s">
        <v>41</v>
      </c>
      <c r="G1835">
        <v>-223.501</v>
      </c>
      <c r="H1835">
        <v>0.99169019999999997</v>
      </c>
      <c r="I1835">
        <v>283.90730000000002</v>
      </c>
      <c r="J1835">
        <v>-222.86760000000001</v>
      </c>
      <c r="K1835">
        <v>1.1098059999999901</v>
      </c>
      <c r="L1835">
        <v>283.93540000000002</v>
      </c>
      <c r="M1835">
        <v>-0.99974439999999998</v>
      </c>
      <c r="N1835">
        <v>-5.5642199999999999E-3</v>
      </c>
      <c r="O1835">
        <v>-2.1917539999999999E-2</v>
      </c>
      <c r="P1835">
        <v>-0.93725029999999998</v>
      </c>
      <c r="Q1835">
        <v>0.33550799999999997</v>
      </c>
      <c r="R1835">
        <v>-9.4850939999999995E-2</v>
      </c>
      <c r="S1835">
        <v>-3.3399809999999999</v>
      </c>
      <c r="T1835">
        <v>-0.41986990000000002</v>
      </c>
      <c r="U1835">
        <v>-0.124115</v>
      </c>
      <c r="V1835">
        <v>-7.4273069999999997E-2</v>
      </c>
      <c r="W1835">
        <v>0.3407309</v>
      </c>
      <c r="X1835">
        <v>0.93722249999999996</v>
      </c>
      <c r="Y1835">
        <v>-1.525514E-2</v>
      </c>
      <c r="Z1835">
        <v>1.624194E-3</v>
      </c>
      <c r="AA1835">
        <v>0.9998823</v>
      </c>
      <c r="AB1835">
        <v>28</v>
      </c>
      <c r="AC1835">
        <v>-0.63339999999996599</v>
      </c>
      <c r="AD1835">
        <v>-0.11811579999999899</v>
      </c>
      <c r="AE1835">
        <v>-2.80999999999949E-2</v>
      </c>
      <c r="AF1835">
        <v>-1.3733818882858099E-2</v>
      </c>
      <c r="AG1835">
        <v>-0.11811579999999899</v>
      </c>
      <c r="AH1835">
        <v>0.61260267658201195</v>
      </c>
      <c r="AI1835">
        <v>100.910591493176</v>
      </c>
      <c r="AJ1835">
        <v>91.284287675195699</v>
      </c>
      <c r="AK1835">
        <v>0.62403685736196002</v>
      </c>
      <c r="AL1835">
        <v>70.078589820722698</v>
      </c>
      <c r="AM1835">
        <v>94.531110007153401</v>
      </c>
      <c r="AN1835">
        <v>1.0000000248241401</v>
      </c>
    </row>
    <row r="1836" spans="1:40" x14ac:dyDescent="0.25">
      <c r="A1836" t="str">
        <f>"20190304164405823"</f>
        <v>20190304164405823</v>
      </c>
      <c r="B1836" t="str">
        <f>"1551689045811888"</f>
        <v>1551689045811888</v>
      </c>
      <c r="C1836" t="s">
        <v>40</v>
      </c>
      <c r="D1836">
        <v>5.4581580000000001</v>
      </c>
      <c r="E1836">
        <v>0.53470509999999905</v>
      </c>
      <c r="F1836" t="s">
        <v>41</v>
      </c>
      <c r="G1836">
        <v>-223.75700000000001</v>
      </c>
      <c r="H1836">
        <v>0.99742350000000002</v>
      </c>
      <c r="I1836">
        <v>283.90350000000001</v>
      </c>
      <c r="J1836">
        <v>-223.16079999999999</v>
      </c>
      <c r="K1836">
        <v>1.1097939999999999</v>
      </c>
      <c r="L1836">
        <v>283.92899999999997</v>
      </c>
      <c r="M1836">
        <v>-0.99974450000000004</v>
      </c>
      <c r="N1836">
        <v>-5.5375329999999999E-3</v>
      </c>
      <c r="O1836">
        <v>-2.1918190000000001E-2</v>
      </c>
      <c r="P1836">
        <v>-0.93775520000000001</v>
      </c>
      <c r="Q1836">
        <v>0.33489289999999999</v>
      </c>
      <c r="R1836">
        <v>-9.1990959999999997E-2</v>
      </c>
      <c r="S1836">
        <v>-3.3397830000000002</v>
      </c>
      <c r="T1836">
        <v>-0.4221065</v>
      </c>
      <c r="U1836">
        <v>-0.1204224</v>
      </c>
      <c r="V1836">
        <v>-7.1402370000000007E-2</v>
      </c>
      <c r="W1836">
        <v>0.34009289999999998</v>
      </c>
      <c r="X1836">
        <v>0.93767719999999999</v>
      </c>
      <c r="Y1836">
        <v>-1.4162279999999999E-2</v>
      </c>
      <c r="Z1836">
        <v>1.7064679999999901E-3</v>
      </c>
      <c r="AA1836">
        <v>0.99989830000000002</v>
      </c>
      <c r="AB1836">
        <v>28</v>
      </c>
      <c r="AC1836">
        <v>-0.59620000000001006</v>
      </c>
      <c r="AD1836">
        <v>-0.112370499999999</v>
      </c>
      <c r="AE1836">
        <v>-2.5500000000022199E-2</v>
      </c>
      <c r="AF1836">
        <v>-1.2000522572358299E-2</v>
      </c>
      <c r="AG1836">
        <v>-0.112370499999999</v>
      </c>
      <c r="AH1836">
        <v>0.57618473576790996</v>
      </c>
      <c r="AI1836">
        <v>101.03326175737099</v>
      </c>
      <c r="AJ1836">
        <v>91.193158821272505</v>
      </c>
      <c r="AK1836">
        <v>0.58716266191251998</v>
      </c>
      <c r="AL1836">
        <v>70.117465969283003</v>
      </c>
      <c r="AM1836">
        <v>94.354563027326193</v>
      </c>
      <c r="AN1836">
        <v>1.0000000052359299</v>
      </c>
    </row>
    <row r="1837" spans="1:40" x14ac:dyDescent="0.25">
      <c r="A1837" t="str">
        <f>"20190304164405843"</f>
        <v>20190304164405843</v>
      </c>
      <c r="B1837" t="str">
        <f>"1551689045831407"</f>
        <v>1551689045831407</v>
      </c>
      <c r="C1837" t="s">
        <v>40</v>
      </c>
      <c r="D1837">
        <v>5.4617750000000003</v>
      </c>
      <c r="E1837">
        <v>0.53520500000000004</v>
      </c>
      <c r="F1837" t="s">
        <v>41</v>
      </c>
      <c r="G1837">
        <v>-224.01329999999999</v>
      </c>
      <c r="H1837">
        <v>1.0015879999999999</v>
      </c>
      <c r="I1837">
        <v>283.90039999999999</v>
      </c>
      <c r="J1837">
        <v>-223.4171</v>
      </c>
      <c r="K1837">
        <v>1.1097779999999999</v>
      </c>
      <c r="L1837">
        <v>283.92340000000002</v>
      </c>
      <c r="M1837">
        <v>-0.99974470000000004</v>
      </c>
      <c r="N1837">
        <v>-5.5082319999999897E-3</v>
      </c>
      <c r="O1837">
        <v>-2.191858E-2</v>
      </c>
      <c r="P1837">
        <v>-0.93848989999999999</v>
      </c>
      <c r="Q1837">
        <v>0.33349590000000001</v>
      </c>
      <c r="R1837">
        <v>-8.9540439999999999E-2</v>
      </c>
      <c r="S1837">
        <v>-3.3395079999999999</v>
      </c>
      <c r="T1837">
        <v>-0.42409750000000002</v>
      </c>
      <c r="U1837">
        <v>-0.1129761</v>
      </c>
      <c r="V1837">
        <v>-6.893581E-2</v>
      </c>
      <c r="W1837">
        <v>0.33867199999999997</v>
      </c>
      <c r="X1837">
        <v>0.93837579999999998</v>
      </c>
      <c r="Y1837">
        <v>-1.195706E-2</v>
      </c>
      <c r="Z1837">
        <v>1.861868E-3</v>
      </c>
      <c r="AA1837">
        <v>0.9999268</v>
      </c>
      <c r="AB1837">
        <v>28</v>
      </c>
      <c r="AC1837">
        <v>-0.59619999999998097</v>
      </c>
      <c r="AD1837">
        <v>-0.10818999999999999</v>
      </c>
      <c r="AE1837">
        <v>-2.3000000000024501E-2</v>
      </c>
      <c r="AF1837">
        <v>-9.6104203352005996E-3</v>
      </c>
      <c r="AG1837">
        <v>-0.10818999999999999</v>
      </c>
      <c r="AH1837">
        <v>0.57756984971484204</v>
      </c>
      <c r="AI1837">
        <v>100.60822003571</v>
      </c>
      <c r="AJ1837">
        <v>90.953279876087805</v>
      </c>
      <c r="AK1837">
        <v>0.58769411055296805</v>
      </c>
      <c r="AL1837">
        <v>70.204014340608893</v>
      </c>
      <c r="AM1837">
        <v>94.201566780998903</v>
      </c>
      <c r="AN1837">
        <v>1.00000000575499</v>
      </c>
    </row>
    <row r="1838" spans="1:40" x14ac:dyDescent="0.25">
      <c r="A1838" t="str">
        <f>"20190304164405864"</f>
        <v>20190304164405864</v>
      </c>
      <c r="B1838" t="str">
        <f>"1551689045851903"</f>
        <v>1551689045851903</v>
      </c>
      <c r="C1838" t="s">
        <v>40</v>
      </c>
      <c r="D1838">
        <v>5.4386400000000004</v>
      </c>
      <c r="E1838">
        <v>0.5353928</v>
      </c>
      <c r="F1838" t="s">
        <v>41</v>
      </c>
      <c r="G1838">
        <v>-224.26830000000001</v>
      </c>
      <c r="H1838">
        <v>1.0009969999999999</v>
      </c>
      <c r="I1838">
        <v>283.8974</v>
      </c>
      <c r="J1838">
        <v>-223.6944</v>
      </c>
      <c r="K1838">
        <v>1.1097629999999901</v>
      </c>
      <c r="L1838">
        <v>283.91730000000001</v>
      </c>
      <c r="M1838">
        <v>-0.99974499999999999</v>
      </c>
      <c r="N1838">
        <v>-5.4661930000000003E-3</v>
      </c>
      <c r="O1838">
        <v>-2.191943E-2</v>
      </c>
      <c r="P1838">
        <v>-0.93881380000000003</v>
      </c>
      <c r="Q1838">
        <v>0.3328895</v>
      </c>
      <c r="R1838">
        <v>-8.8394249999999994E-2</v>
      </c>
      <c r="S1838">
        <v>-3.3385159999999998</v>
      </c>
      <c r="T1838">
        <v>-0.42660759999999998</v>
      </c>
      <c r="U1838">
        <v>-0.1018372</v>
      </c>
      <c r="V1838">
        <v>-6.7782350000000005E-2</v>
      </c>
      <c r="W1838">
        <v>0.3380281</v>
      </c>
      <c r="X1838">
        <v>0.93869199999999997</v>
      </c>
      <c r="Y1838">
        <v>-8.6623610000000004E-3</v>
      </c>
      <c r="Z1838">
        <v>2.0943509999999999E-3</v>
      </c>
      <c r="AA1838">
        <v>0.99996030000000002</v>
      </c>
      <c r="AB1838">
        <v>28</v>
      </c>
      <c r="AC1838">
        <v>-0.57390000000000896</v>
      </c>
      <c r="AD1838">
        <v>-0.108765999999999</v>
      </c>
      <c r="AE1838">
        <v>-1.9900000000006898E-2</v>
      </c>
      <c r="AF1838">
        <v>-7.0621188628237899E-3</v>
      </c>
      <c r="AG1838">
        <v>-0.108765999999999</v>
      </c>
      <c r="AH1838">
        <v>0.55431235416579405</v>
      </c>
      <c r="AI1838">
        <v>101.100538832284</v>
      </c>
      <c r="AJ1838">
        <v>90.729927290545206</v>
      </c>
      <c r="AK1838">
        <v>0.56492663440455504</v>
      </c>
      <c r="AL1838">
        <v>70.243220452243307</v>
      </c>
      <c r="AM1838">
        <v>94.130123193190698</v>
      </c>
      <c r="AN1838">
        <v>1.00000005711256</v>
      </c>
    </row>
    <row r="1839" spans="1:40" x14ac:dyDescent="0.25">
      <c r="A1839" t="str">
        <f>"20190304164405888"</f>
        <v>20190304164405888</v>
      </c>
      <c r="B1839" t="str">
        <f>"1551689045882160"</f>
        <v>1551689045882160</v>
      </c>
      <c r="C1839" t="s">
        <v>40</v>
      </c>
      <c r="D1839">
        <v>5.4507000000000003</v>
      </c>
      <c r="E1839">
        <v>0.53550549999999997</v>
      </c>
      <c r="F1839" t="s">
        <v>41</v>
      </c>
      <c r="G1839">
        <v>-224.52610000000001</v>
      </c>
      <c r="H1839">
        <v>1.003852</v>
      </c>
      <c r="I1839">
        <v>283.89400000000001</v>
      </c>
      <c r="J1839">
        <v>-224.00470000000001</v>
      </c>
      <c r="K1839">
        <v>1.1097549999999901</v>
      </c>
      <c r="L1839">
        <v>283.91050000000001</v>
      </c>
      <c r="M1839">
        <v>-0.99974510000000005</v>
      </c>
      <c r="N1839">
        <v>-5.4111350000000001E-3</v>
      </c>
      <c r="O1839">
        <v>-2.1919879999999999E-2</v>
      </c>
      <c r="P1839">
        <v>-0.93893340000000003</v>
      </c>
      <c r="Q1839">
        <v>0.33254020000000001</v>
      </c>
      <c r="R1839">
        <v>-8.8437269999999998E-2</v>
      </c>
      <c r="S1839">
        <v>-3.3373569999999999</v>
      </c>
      <c r="T1839">
        <v>-0.42509459999999999</v>
      </c>
      <c r="U1839">
        <v>-9.4543459999999996E-2</v>
      </c>
      <c r="V1839">
        <v>-6.7822229999999997E-2</v>
      </c>
      <c r="W1839">
        <v>0.33762819999999999</v>
      </c>
      <c r="X1839">
        <v>0.93883300000000003</v>
      </c>
      <c r="Y1839">
        <v>-6.5066969999999997E-3</v>
      </c>
      <c r="Z1839">
        <v>2.2313939999999998E-3</v>
      </c>
      <c r="AA1839">
        <v>0.99997630000000004</v>
      </c>
      <c r="AB1839">
        <v>29</v>
      </c>
      <c r="AC1839">
        <v>-0.52139999999999898</v>
      </c>
      <c r="AD1839">
        <v>-0.105902999999999</v>
      </c>
      <c r="AE1839">
        <v>-1.6500000000007699E-2</v>
      </c>
      <c r="AF1839">
        <v>-4.86628602665308E-3</v>
      </c>
      <c r="AG1839">
        <v>-0.105902999999999</v>
      </c>
      <c r="AH1839">
        <v>0.50098888486996196</v>
      </c>
      <c r="AI1839">
        <v>101.935374282197</v>
      </c>
      <c r="AJ1839">
        <v>90.556517103251196</v>
      </c>
      <c r="AK1839">
        <v>0.51208299025835802</v>
      </c>
      <c r="AL1839">
        <v>70.267563683315203</v>
      </c>
      <c r="AM1839">
        <v>94.131926247922095</v>
      </c>
      <c r="AN1839">
        <v>1.0000000291032001</v>
      </c>
    </row>
    <row r="1840" spans="1:40" x14ac:dyDescent="0.25">
      <c r="A1840" t="str">
        <f>"20190304164405911"</f>
        <v>20190304164405911</v>
      </c>
      <c r="B1840" t="str">
        <f>"1551689045901679"</f>
        <v>1551689045901679</v>
      </c>
      <c r="C1840" t="s">
        <v>40</v>
      </c>
      <c r="D1840">
        <v>5.4287979999999996</v>
      </c>
      <c r="E1840">
        <v>0.535493</v>
      </c>
      <c r="F1840" t="s">
        <v>41</v>
      </c>
      <c r="G1840">
        <v>-224.7868</v>
      </c>
      <c r="H1840">
        <v>1.0106580000000001</v>
      </c>
      <c r="I1840">
        <v>283.88959999999997</v>
      </c>
      <c r="J1840">
        <v>-224.29910000000001</v>
      </c>
      <c r="K1840">
        <v>1.109729</v>
      </c>
      <c r="L1840">
        <v>283.90410000000003</v>
      </c>
      <c r="M1840">
        <v>-0.99974549999999995</v>
      </c>
      <c r="N1840">
        <v>-5.3559499999999999E-3</v>
      </c>
      <c r="O1840">
        <v>-2.192057E-2</v>
      </c>
      <c r="P1840">
        <v>-0.93942510000000001</v>
      </c>
      <c r="Q1840">
        <v>0.33094319999999999</v>
      </c>
      <c r="R1840">
        <v>-8.9204859999999997E-2</v>
      </c>
      <c r="S1840">
        <v>-3.336411</v>
      </c>
      <c r="T1840">
        <v>-0.42289189999999999</v>
      </c>
      <c r="U1840">
        <v>-8.9935299999999996E-2</v>
      </c>
      <c r="V1840">
        <v>-6.8578239999999999E-2</v>
      </c>
      <c r="W1840">
        <v>0.3359818</v>
      </c>
      <c r="X1840">
        <v>0.93936850000000005</v>
      </c>
      <c r="Y1840">
        <v>-5.1443579999999999E-3</v>
      </c>
      <c r="Z1840">
        <v>2.3110489999999999E-3</v>
      </c>
      <c r="AA1840">
        <v>0.99998410000000004</v>
      </c>
      <c r="AB1840">
        <v>29</v>
      </c>
      <c r="AC1840">
        <v>-0.48769999999998898</v>
      </c>
      <c r="AD1840">
        <v>-9.9071000000000103E-2</v>
      </c>
      <c r="AE1840">
        <v>-1.4500000000055E-2</v>
      </c>
      <c r="AF1840">
        <v>-3.6550091115753499E-3</v>
      </c>
      <c r="AG1840">
        <v>-9.9071000000000103E-2</v>
      </c>
      <c r="AH1840">
        <v>0.468581470365454</v>
      </c>
      <c r="AI1840">
        <v>101.937737964348</v>
      </c>
      <c r="AJ1840">
        <v>90.446907021370507</v>
      </c>
      <c r="AK1840">
        <v>0.47895408600664102</v>
      </c>
      <c r="AL1840">
        <v>70.367747469883298</v>
      </c>
      <c r="AM1840">
        <v>94.1754491726997</v>
      </c>
      <c r="AN1840">
        <v>0.99999996186249296</v>
      </c>
    </row>
    <row r="1841" spans="1:40" x14ac:dyDescent="0.25">
      <c r="A1841" t="str">
        <f>"20190304164405931"</f>
        <v>20190304164405931</v>
      </c>
      <c r="B1841" t="str">
        <f>"1551689045921199"</f>
        <v>1551689045921199</v>
      </c>
      <c r="C1841" t="s">
        <v>40</v>
      </c>
      <c r="D1841">
        <v>5.4329080000000003</v>
      </c>
      <c r="E1841">
        <v>0.53550140000000002</v>
      </c>
      <c r="F1841" t="s">
        <v>41</v>
      </c>
      <c r="G1841">
        <v>-225.0471</v>
      </c>
      <c r="H1841">
        <v>1.01421299999999</v>
      </c>
      <c r="I1841">
        <v>283.88400000000001</v>
      </c>
      <c r="J1841">
        <v>-224.56979999999999</v>
      </c>
      <c r="K1841">
        <v>1.109701</v>
      </c>
      <c r="L1841">
        <v>283.8981</v>
      </c>
      <c r="M1841">
        <v>-0.99974569999999996</v>
      </c>
      <c r="N1841">
        <v>-5.3051849999999996E-3</v>
      </c>
      <c r="O1841">
        <v>-2.1916250000000002E-2</v>
      </c>
      <c r="P1841">
        <v>-0.94018829999999998</v>
      </c>
      <c r="Q1841">
        <v>0.32846360000000002</v>
      </c>
      <c r="R1841">
        <v>-9.0319949999999996E-2</v>
      </c>
      <c r="S1841">
        <v>-3.3349609999999998</v>
      </c>
      <c r="T1841">
        <v>-0.426089</v>
      </c>
      <c r="U1841">
        <v>-9.036255E-2</v>
      </c>
      <c r="V1841">
        <v>-6.9679160000000004E-2</v>
      </c>
      <c r="W1841">
        <v>0.3334588</v>
      </c>
      <c r="X1841">
        <v>0.94018619999999997</v>
      </c>
      <c r="Y1841">
        <v>-5.2893069999999896E-3</v>
      </c>
      <c r="Z1841">
        <v>2.3215309999999999E-3</v>
      </c>
      <c r="AA1841">
        <v>0.99998330000000002</v>
      </c>
      <c r="AB1841">
        <v>29</v>
      </c>
      <c r="AC1841">
        <v>-0.47730000000001299</v>
      </c>
      <c r="AD1841">
        <v>-9.5488000000000198E-2</v>
      </c>
      <c r="AE1841">
        <v>-1.4099999999984901E-2</v>
      </c>
      <c r="AF1841">
        <v>-3.4960379704958001E-3</v>
      </c>
      <c r="AG1841">
        <v>-9.5488000000000198E-2</v>
      </c>
      <c r="AH1841">
        <v>0.45913425465601498</v>
      </c>
      <c r="AI1841">
        <v>101.748226043589</v>
      </c>
      <c r="AJ1841">
        <v>90.436265313658296</v>
      </c>
      <c r="AK1841">
        <v>0.46897168808364698</v>
      </c>
      <c r="AL1841">
        <v>70.521154886570201</v>
      </c>
      <c r="AM1841">
        <v>94.238560800001906</v>
      </c>
      <c r="AN1841">
        <v>1.0000000236530899</v>
      </c>
    </row>
    <row r="1842" spans="1:40" x14ac:dyDescent="0.25">
      <c r="A1842" t="str">
        <f>"20190304164405955"</f>
        <v>20190304164405955</v>
      </c>
      <c r="B1842" t="str">
        <f>"1551689045941695"</f>
        <v>1551689045941695</v>
      </c>
      <c r="C1842" t="s">
        <v>40</v>
      </c>
      <c r="D1842">
        <v>5.4610200000000004</v>
      </c>
      <c r="E1842">
        <v>0.53544950000000002</v>
      </c>
      <c r="F1842" t="s">
        <v>41</v>
      </c>
      <c r="G1842">
        <v>-225.3066</v>
      </c>
      <c r="H1842">
        <v>1.014059</v>
      </c>
      <c r="I1842">
        <v>283.87740000000002</v>
      </c>
      <c r="J1842">
        <v>-224.85409999999999</v>
      </c>
      <c r="K1842">
        <v>1.1096790000000001</v>
      </c>
      <c r="L1842">
        <v>283.89190000000002</v>
      </c>
      <c r="M1842">
        <v>-0.99974649999999998</v>
      </c>
      <c r="N1842">
        <v>-5.2548539999999998E-3</v>
      </c>
      <c r="O1842">
        <v>-2.1893650000000001E-2</v>
      </c>
      <c r="P1842">
        <v>-0.9402682</v>
      </c>
      <c r="Q1842">
        <v>0.32783020000000002</v>
      </c>
      <c r="R1842">
        <v>-9.1778509999999994E-2</v>
      </c>
      <c r="S1842">
        <v>-3.3330380000000002</v>
      </c>
      <c r="T1842">
        <v>-0.43274659999999898</v>
      </c>
      <c r="U1842">
        <v>-9.3780520000000006E-2</v>
      </c>
      <c r="V1842">
        <v>-7.1148790000000003E-2</v>
      </c>
      <c r="W1842">
        <v>0.33278029999999997</v>
      </c>
      <c r="X1842">
        <v>0.9403165</v>
      </c>
      <c r="Y1842">
        <v>-6.3470899999999997E-3</v>
      </c>
      <c r="Z1842">
        <v>2.2881830000000001E-3</v>
      </c>
      <c r="AA1842">
        <v>0.99997720000000001</v>
      </c>
      <c r="AB1842">
        <v>29</v>
      </c>
      <c r="AC1842">
        <v>-0.452500000000014</v>
      </c>
      <c r="AD1842">
        <v>-9.5619999999999997E-2</v>
      </c>
      <c r="AE1842">
        <v>-1.4499999999998099E-2</v>
      </c>
      <c r="AF1842">
        <v>-4.3935238275646599E-3</v>
      </c>
      <c r="AG1842">
        <v>-9.5619999999999997E-2</v>
      </c>
      <c r="AH1842">
        <v>0.43337684135906901</v>
      </c>
      <c r="AI1842">
        <v>102.441737263211</v>
      </c>
      <c r="AJ1842">
        <v>90.580838025973506</v>
      </c>
      <c r="AK1842">
        <v>0.44382200720332399</v>
      </c>
      <c r="AL1842">
        <v>70.562384451591299</v>
      </c>
      <c r="AM1842">
        <v>94.327024385023805</v>
      </c>
      <c r="AN1842">
        <v>0.99999999927940197</v>
      </c>
    </row>
    <row r="1843" spans="1:40" x14ac:dyDescent="0.25">
      <c r="A1843" t="str">
        <f>"20190304164405978"</f>
        <v>20190304164405978</v>
      </c>
      <c r="B1843" t="str">
        <f>"1551689045971951"</f>
        <v>1551689045971951</v>
      </c>
      <c r="C1843" t="s">
        <v>40</v>
      </c>
      <c r="D1843">
        <v>5.4294159999999998</v>
      </c>
      <c r="E1843">
        <v>0.53536779999999995</v>
      </c>
      <c r="F1843" t="s">
        <v>41</v>
      </c>
      <c r="G1843">
        <v>-225.81530000000001</v>
      </c>
      <c r="H1843">
        <v>0.98472859999999995</v>
      </c>
      <c r="I1843">
        <v>283.86329999999998</v>
      </c>
      <c r="J1843">
        <v>-225.16739999999999</v>
      </c>
      <c r="K1843">
        <v>1.109642</v>
      </c>
      <c r="L1843">
        <v>283.88510000000002</v>
      </c>
      <c r="M1843">
        <v>-0.99974819999999998</v>
      </c>
      <c r="N1843">
        <v>-5.2058269999999997E-3</v>
      </c>
      <c r="O1843">
        <v>-2.1828529999999999E-2</v>
      </c>
      <c r="P1843">
        <v>-0.94039119999999998</v>
      </c>
      <c r="Q1843">
        <v>0.32705719999999999</v>
      </c>
      <c r="R1843">
        <v>-9.3261659999999996E-2</v>
      </c>
      <c r="S1843">
        <v>-3.3319239999999999</v>
      </c>
      <c r="T1843">
        <v>-0.43316789999999999</v>
      </c>
      <c r="U1843">
        <v>-9.9273680000000003E-2</v>
      </c>
      <c r="V1843">
        <v>-7.2671949999999999E-2</v>
      </c>
      <c r="W1843">
        <v>0.33196679999999901</v>
      </c>
      <c r="X1843">
        <v>0.94048759999999998</v>
      </c>
      <c r="Y1843">
        <v>-8.0538759999999997E-3</v>
      </c>
      <c r="Z1843">
        <v>2.169472E-3</v>
      </c>
      <c r="AA1843">
        <v>0.9999652</v>
      </c>
      <c r="AB1843">
        <v>29</v>
      </c>
      <c r="AC1843">
        <v>-0.64790000000002101</v>
      </c>
      <c r="AD1843">
        <v>-0.12491339999999999</v>
      </c>
      <c r="AE1843">
        <v>-2.1800000000041501E-2</v>
      </c>
      <c r="AF1843">
        <v>-7.37797446977551E-3</v>
      </c>
      <c r="AG1843">
        <v>-0.12491339999999999</v>
      </c>
      <c r="AH1843">
        <v>0.62501542726070003</v>
      </c>
      <c r="AI1843">
        <v>101.30125981907</v>
      </c>
      <c r="AJ1843">
        <v>90.676314770256894</v>
      </c>
      <c r="AK1843">
        <v>0.637418289916999</v>
      </c>
      <c r="AL1843">
        <v>70.611805155743497</v>
      </c>
      <c r="AM1843">
        <v>94.418493786983802</v>
      </c>
      <c r="AN1843">
        <v>1.0000000471863999</v>
      </c>
    </row>
    <row r="1844" spans="1:40" x14ac:dyDescent="0.25">
      <c r="A1844" t="str">
        <f>"20190304164406001"</f>
        <v>20190304164406001</v>
      </c>
      <c r="B1844" t="str">
        <f>"1551689045991471"</f>
        <v>1551689045991471</v>
      </c>
      <c r="C1844" t="s">
        <v>40</v>
      </c>
      <c r="D1844">
        <v>5.4335300000000002</v>
      </c>
      <c r="E1844">
        <v>0.53539060000000005</v>
      </c>
      <c r="F1844" t="s">
        <v>41</v>
      </c>
      <c r="G1844">
        <v>-226.08099999999999</v>
      </c>
      <c r="H1844">
        <v>0.99077389999999999</v>
      </c>
      <c r="I1844">
        <v>283.85660000000001</v>
      </c>
      <c r="J1844">
        <v>-225.46770000000001</v>
      </c>
      <c r="K1844">
        <v>1.109605</v>
      </c>
      <c r="L1844">
        <v>283.87860000000001</v>
      </c>
      <c r="M1844">
        <v>-0.99975060000000004</v>
      </c>
      <c r="N1844">
        <v>-5.1647250000000002E-3</v>
      </c>
      <c r="O1844">
        <v>-2.1730619999999999E-2</v>
      </c>
      <c r="P1844">
        <v>-0.94026350000000003</v>
      </c>
      <c r="Q1844">
        <v>0.3268432</v>
      </c>
      <c r="R1844">
        <v>-9.5280050000000005E-2</v>
      </c>
      <c r="S1844">
        <v>-3.3305210000000001</v>
      </c>
      <c r="T1844">
        <v>-0.43341479999999999</v>
      </c>
      <c r="U1844">
        <v>-0.10461429999999999</v>
      </c>
      <c r="V1844">
        <v>-7.4760880000000002E-2</v>
      </c>
      <c r="W1844">
        <v>0.33171889999999998</v>
      </c>
      <c r="X1844">
        <v>0.94041129999999995</v>
      </c>
      <c r="Y1844">
        <v>-9.7510310000000003E-3</v>
      </c>
      <c r="Z1844">
        <v>2.0462140000000002E-3</v>
      </c>
      <c r="AA1844">
        <v>0.99995029999999996</v>
      </c>
      <c r="AB1844">
        <v>29</v>
      </c>
      <c r="AC1844">
        <v>-0.61329999999998097</v>
      </c>
      <c r="AD1844">
        <v>-0.118831099999999</v>
      </c>
      <c r="AE1844">
        <v>-2.1999999999991301E-2</v>
      </c>
      <c r="AF1844">
        <v>-8.3540176248319102E-3</v>
      </c>
      <c r="AG1844">
        <v>-0.118831099999999</v>
      </c>
      <c r="AH1844">
        <v>0.59145745076391698</v>
      </c>
      <c r="AI1844">
        <v>101.35908277119999</v>
      </c>
      <c r="AJ1844">
        <v>90.809218186003505</v>
      </c>
      <c r="AK1844">
        <v>0.60333451418084505</v>
      </c>
      <c r="AL1844">
        <v>70.626861339677305</v>
      </c>
      <c r="AM1844">
        <v>94.545344332035</v>
      </c>
      <c r="AN1844">
        <v>1.00000001548163</v>
      </c>
    </row>
    <row r="1845" spans="1:40" x14ac:dyDescent="0.25">
      <c r="A1845" t="str">
        <f>"20190304164406024"</f>
        <v>20190304164406024</v>
      </c>
      <c r="B1845" t="str">
        <f>"1551689046011967"</f>
        <v>1551689046011967</v>
      </c>
      <c r="C1845" t="s">
        <v>40</v>
      </c>
      <c r="D1845">
        <v>5.4630409999999996</v>
      </c>
      <c r="E1845">
        <v>0.53538350000000001</v>
      </c>
      <c r="F1845" t="s">
        <v>41</v>
      </c>
      <c r="G1845">
        <v>-226.34719999999999</v>
      </c>
      <c r="H1845">
        <v>0.99555990000000005</v>
      </c>
      <c r="I1845">
        <v>283.84949999999998</v>
      </c>
      <c r="J1845">
        <v>-225.77760000000001</v>
      </c>
      <c r="K1845">
        <v>1.109569</v>
      </c>
      <c r="L1845">
        <v>283.87200000000001</v>
      </c>
      <c r="M1845">
        <v>-0.99975400000000003</v>
      </c>
      <c r="N1845">
        <v>-5.1284920000000001E-3</v>
      </c>
      <c r="O1845">
        <v>-2.1576169999999999E-2</v>
      </c>
      <c r="P1845">
        <v>-0.9400792</v>
      </c>
      <c r="Q1845">
        <v>0.32691569999999998</v>
      </c>
      <c r="R1845">
        <v>-9.6836630000000007E-2</v>
      </c>
      <c r="S1845">
        <v>-3.3295140000000001</v>
      </c>
      <c r="T1845">
        <v>-0.43182130000000002</v>
      </c>
      <c r="U1845">
        <v>-0.110321</v>
      </c>
      <c r="V1845">
        <v>-7.6436550000000006E-2</v>
      </c>
      <c r="W1845">
        <v>0.33176430000000001</v>
      </c>
      <c r="X1845">
        <v>0.94026050000000005</v>
      </c>
      <c r="Y1845">
        <v>-1.160926E-2</v>
      </c>
      <c r="Z1845">
        <v>1.8958950000000001E-3</v>
      </c>
      <c r="AA1845">
        <v>0.99993080000000001</v>
      </c>
      <c r="AB1845">
        <v>29</v>
      </c>
      <c r="AC1845">
        <v>-0.56959999999997901</v>
      </c>
      <c r="AD1845">
        <v>-0.114009099999999</v>
      </c>
      <c r="AE1845">
        <v>-2.25000000000363E-2</v>
      </c>
      <c r="AF1845">
        <v>-9.8123187973195494E-3</v>
      </c>
      <c r="AG1845">
        <v>-0.114009099999999</v>
      </c>
      <c r="AH1845">
        <v>0.54803150904485498</v>
      </c>
      <c r="AI1845">
        <v>101.75001124738399</v>
      </c>
      <c r="AJ1845">
        <v>91.025751950406104</v>
      </c>
      <c r="AK1845">
        <v>0.55985077600104405</v>
      </c>
      <c r="AL1845">
        <v>70.624102690648996</v>
      </c>
      <c r="AM1845">
        <v>94.647523143498802</v>
      </c>
      <c r="AN1845">
        <v>0.99999995239532002</v>
      </c>
    </row>
    <row r="1846" spans="1:40" x14ac:dyDescent="0.25">
      <c r="A1846" t="str">
        <f>"20190304164406044"</f>
        <v>20190304164406044</v>
      </c>
      <c r="B1846" t="str">
        <f>"1551689046031487"</f>
        <v>1551689046031487</v>
      </c>
      <c r="C1846" t="s">
        <v>40</v>
      </c>
      <c r="D1846">
        <v>5.410196</v>
      </c>
      <c r="E1846">
        <v>0.5353308</v>
      </c>
      <c r="F1846" t="s">
        <v>41</v>
      </c>
      <c r="G1846">
        <v>-226.61510000000001</v>
      </c>
      <c r="H1846">
        <v>1.001512</v>
      </c>
      <c r="I1846">
        <v>283.84300000000002</v>
      </c>
      <c r="J1846">
        <v>-226.03149999999999</v>
      </c>
      <c r="K1846">
        <v>1.109537</v>
      </c>
      <c r="L1846">
        <v>283.86669999999998</v>
      </c>
      <c r="M1846">
        <v>-0.99975809999999998</v>
      </c>
      <c r="N1846">
        <v>-5.1034499999999998E-3</v>
      </c>
      <c r="O1846">
        <v>-2.1399230000000002E-2</v>
      </c>
      <c r="P1846">
        <v>-0.93983349999999999</v>
      </c>
      <c r="Q1846">
        <v>0.32714330000000003</v>
      </c>
      <c r="R1846">
        <v>-9.844E-2</v>
      </c>
      <c r="S1846">
        <v>-3.3287049999999998</v>
      </c>
      <c r="T1846">
        <v>-0.42955159999999998</v>
      </c>
      <c r="U1846">
        <v>-0.1155701</v>
      </c>
      <c r="V1846">
        <v>-7.8180659999999999E-2</v>
      </c>
      <c r="W1846">
        <v>0.33197490000000002</v>
      </c>
      <c r="X1846">
        <v>0.94004279999999996</v>
      </c>
      <c r="Y1846">
        <v>-1.335222E-2</v>
      </c>
      <c r="Z1846">
        <v>1.748131E-3</v>
      </c>
      <c r="AA1846">
        <v>0.9999093</v>
      </c>
      <c r="AB1846">
        <v>30</v>
      </c>
      <c r="AC1846">
        <v>-0.58360000000001799</v>
      </c>
      <c r="AD1846">
        <v>-0.108024999999999</v>
      </c>
      <c r="AE1846">
        <v>-2.3699999999962501E-2</v>
      </c>
      <c r="AF1846">
        <v>-1.08351923422729E-2</v>
      </c>
      <c r="AG1846">
        <v>-0.108024999999999</v>
      </c>
      <c r="AH1846">
        <v>0.56465880488643005</v>
      </c>
      <c r="AI1846">
        <v>100.82845782414699</v>
      </c>
      <c r="AJ1846">
        <v>91.099309185790105</v>
      </c>
      <c r="AK1846">
        <v>0.57500118952387003</v>
      </c>
      <c r="AL1846">
        <v>70.611312365026805</v>
      </c>
      <c r="AM1846">
        <v>94.754184379202599</v>
      </c>
      <c r="AN1846">
        <v>1.00000000782994</v>
      </c>
    </row>
    <row r="1847" spans="1:40" x14ac:dyDescent="0.25">
      <c r="A1847" t="str">
        <f>"20190304164406066"</f>
        <v>20190304164406066</v>
      </c>
      <c r="B1847" t="str">
        <f>"1551689046061743"</f>
        <v>1551689046061743</v>
      </c>
      <c r="C1847" t="s">
        <v>40</v>
      </c>
      <c r="D1847">
        <v>5.4280809999999997</v>
      </c>
      <c r="E1847">
        <v>0.53908929999999999</v>
      </c>
      <c r="F1847" t="s">
        <v>41</v>
      </c>
      <c r="G1847">
        <v>-226.88079999999999</v>
      </c>
      <c r="H1847">
        <v>1.0005850000000001</v>
      </c>
      <c r="I1847">
        <v>283.83569999999997</v>
      </c>
      <c r="J1847">
        <v>-226.34229999999999</v>
      </c>
      <c r="K1847">
        <v>1.1094850000000001</v>
      </c>
      <c r="L1847">
        <v>283.8603</v>
      </c>
      <c r="M1847">
        <v>-0.99976430000000005</v>
      </c>
      <c r="N1847">
        <v>-5.0780399999999998E-3</v>
      </c>
      <c r="O1847">
        <v>-2.1114919999999999E-2</v>
      </c>
      <c r="P1847">
        <v>-0.93968079999999998</v>
      </c>
      <c r="Q1847">
        <v>0.32717099999999999</v>
      </c>
      <c r="R1847">
        <v>-9.979768E-2</v>
      </c>
      <c r="S1847">
        <v>-3.3279570000000001</v>
      </c>
      <c r="T1847">
        <v>-0.42699310000000001</v>
      </c>
      <c r="U1847">
        <v>-0.12167360000000001</v>
      </c>
      <c r="V1847">
        <v>-7.9767379999999999E-2</v>
      </c>
      <c r="W1847">
        <v>0.33198840000000002</v>
      </c>
      <c r="X1847">
        <v>0.93990469999999904</v>
      </c>
      <c r="Y1847">
        <v>-1.545523E-2</v>
      </c>
      <c r="Z1847">
        <v>1.563465E-3</v>
      </c>
      <c r="AA1847">
        <v>0.99987939999999997</v>
      </c>
      <c r="AB1847">
        <v>30</v>
      </c>
      <c r="AC1847">
        <v>-0.53849999999999898</v>
      </c>
      <c r="AD1847">
        <v>-0.1089</v>
      </c>
      <c r="AE1847">
        <v>-2.46000000000208E-2</v>
      </c>
      <c r="AF1847">
        <v>-1.270546134997E-2</v>
      </c>
      <c r="AG1847">
        <v>-0.1089</v>
      </c>
      <c r="AH1847">
        <v>0.51776863495137104</v>
      </c>
      <c r="AI1847">
        <v>101.87417262504501</v>
      </c>
      <c r="AJ1847">
        <v>91.405692038101094</v>
      </c>
      <c r="AK1847">
        <v>0.52924946678057305</v>
      </c>
      <c r="AL1847">
        <v>70.610491984039697</v>
      </c>
      <c r="AM1847">
        <v>94.850926682246097</v>
      </c>
      <c r="AN1847">
        <v>0.99999998886435604</v>
      </c>
    </row>
    <row r="1848" spans="1:40" x14ac:dyDescent="0.25">
      <c r="A1848" t="str">
        <f>"20190304164406089"</f>
        <v>20190304164406089</v>
      </c>
      <c r="B1848" t="str">
        <f>"1551689046081264"</f>
        <v>1551689046081264</v>
      </c>
      <c r="C1848" t="s">
        <v>40</v>
      </c>
      <c r="D1848">
        <v>5.40306</v>
      </c>
      <c r="E1848">
        <v>0.54039479999999995</v>
      </c>
      <c r="F1848" t="s">
        <v>41</v>
      </c>
      <c r="G1848">
        <v>-227.1541</v>
      </c>
      <c r="H1848">
        <v>1.0134920000000001</v>
      </c>
      <c r="I1848">
        <v>283.8374</v>
      </c>
      <c r="J1848">
        <v>-226.6446</v>
      </c>
      <c r="K1848">
        <v>1.1094299999999999</v>
      </c>
      <c r="L1848">
        <v>283.85419999999999</v>
      </c>
      <c r="M1848">
        <v>-0.99977169999999904</v>
      </c>
      <c r="N1848">
        <v>-5.0584439999999996E-3</v>
      </c>
      <c r="O1848">
        <v>-2.0768289999999998E-2</v>
      </c>
      <c r="P1848">
        <v>-0.93939760000000005</v>
      </c>
      <c r="Q1848">
        <v>0.32766919999999999</v>
      </c>
      <c r="R1848">
        <v>-0.10082430000000001</v>
      </c>
      <c r="S1848">
        <v>-3.3192439999999999</v>
      </c>
      <c r="T1848">
        <v>-0.39262710000000001</v>
      </c>
      <c r="U1848">
        <v>-9.4635010000000006E-2</v>
      </c>
      <c r="V1848">
        <v>-8.1083150000000007E-2</v>
      </c>
      <c r="W1848">
        <v>0.33247769999999999</v>
      </c>
      <c r="X1848">
        <v>0.93961910000000004</v>
      </c>
      <c r="Y1848">
        <v>-7.8089609999999997E-3</v>
      </c>
      <c r="Z1848">
        <v>1.8626210000000001E-3</v>
      </c>
      <c r="AA1848">
        <v>0.99996779999999996</v>
      </c>
      <c r="AB1848">
        <v>30</v>
      </c>
      <c r="AC1848">
        <v>-0.50950000000000195</v>
      </c>
      <c r="AD1848">
        <v>-9.5937999999999801E-2</v>
      </c>
      <c r="AE1848">
        <v>-1.6799999999989199E-2</v>
      </c>
      <c r="AF1848">
        <v>-6.0022142469284504E-3</v>
      </c>
      <c r="AG1848">
        <v>-9.5937999999999801E-2</v>
      </c>
      <c r="AH1848">
        <v>0.49230275990742001</v>
      </c>
      <c r="AI1848">
        <v>101.026565832098</v>
      </c>
      <c r="AJ1848">
        <v>90.698522400318893</v>
      </c>
      <c r="AK1848">
        <v>0.50159957519153597</v>
      </c>
      <c r="AL1848">
        <v>70.5807685352558</v>
      </c>
      <c r="AM1848">
        <v>94.932043139134194</v>
      </c>
      <c r="AN1848">
        <v>0.99999997564801102</v>
      </c>
    </row>
    <row r="1849" spans="1:40" x14ac:dyDescent="0.25">
      <c r="A1849" t="str">
        <f>"20190304164406111"</f>
        <v>20190304164406111</v>
      </c>
      <c r="B1849" t="str">
        <f>"1551689046101759"</f>
        <v>1551689046101759</v>
      </c>
      <c r="C1849" t="s">
        <v>40</v>
      </c>
      <c r="D1849">
        <v>5.4051330000000002</v>
      </c>
      <c r="E1849">
        <v>0.54079149999999998</v>
      </c>
      <c r="F1849" t="s">
        <v>41</v>
      </c>
      <c r="G1849">
        <v>-227.42490000000001</v>
      </c>
      <c r="H1849">
        <v>1.018691</v>
      </c>
      <c r="I1849">
        <v>283.8338</v>
      </c>
      <c r="J1849">
        <v>-226.94390000000001</v>
      </c>
      <c r="K1849">
        <v>1.1093789999999999</v>
      </c>
      <c r="L1849">
        <v>283.84840000000003</v>
      </c>
      <c r="M1849">
        <v>-0.99977990000000005</v>
      </c>
      <c r="N1849">
        <v>-5.0434909999999998E-3</v>
      </c>
      <c r="O1849">
        <v>-2.0365669999999999E-2</v>
      </c>
      <c r="P1849">
        <v>-0.93916370000000005</v>
      </c>
      <c r="Q1849">
        <v>0.32803500000000002</v>
      </c>
      <c r="R1849">
        <v>-0.1018067</v>
      </c>
      <c r="S1849">
        <v>-3.3188170000000001</v>
      </c>
      <c r="T1849">
        <v>-0.38609830000000001</v>
      </c>
      <c r="U1849">
        <v>-8.7524409999999997E-2</v>
      </c>
      <c r="V1849">
        <v>-8.2409339999999998E-2</v>
      </c>
      <c r="W1849">
        <v>0.33283879999999999</v>
      </c>
      <c r="X1849">
        <v>0.93937590000000004</v>
      </c>
      <c r="Y1849">
        <v>-6.0814959999999996E-3</v>
      </c>
      <c r="Z1849">
        <v>1.8903419999999999E-3</v>
      </c>
      <c r="AA1849">
        <v>0.99997970000000003</v>
      </c>
      <c r="AB1849">
        <v>30</v>
      </c>
      <c r="AC1849">
        <v>-0.48099999999999399</v>
      </c>
      <c r="AD1849">
        <v>-9.0688000000000102E-2</v>
      </c>
      <c r="AE1849">
        <v>-1.46000000000299E-2</v>
      </c>
      <c r="AF1849">
        <v>-4.6363027874716904E-3</v>
      </c>
      <c r="AG1849">
        <v>-9.0688000000000102E-2</v>
      </c>
      <c r="AH1849">
        <v>0.46469405654007401</v>
      </c>
      <c r="AI1849">
        <v>101.042303201943</v>
      </c>
      <c r="AJ1849">
        <v>90.571627213351604</v>
      </c>
      <c r="AK1849">
        <v>0.473483236061433</v>
      </c>
      <c r="AL1849">
        <v>70.558830521016503</v>
      </c>
      <c r="AM1849">
        <v>95.013594663278695</v>
      </c>
      <c r="AN1849">
        <v>1.00000002380274</v>
      </c>
    </row>
    <row r="1850" spans="1:40" x14ac:dyDescent="0.25">
      <c r="A1850" t="str">
        <f>"20190304164406132"</f>
        <v>20190304164406132</v>
      </c>
      <c r="B1850" t="str">
        <f>"1551689046121283"</f>
        <v>1551689046121283</v>
      </c>
      <c r="C1850" t="s">
        <v>40</v>
      </c>
      <c r="D1850">
        <v>5.3898149999999996</v>
      </c>
      <c r="E1850">
        <v>0.5410064</v>
      </c>
      <c r="F1850" t="s">
        <v>41</v>
      </c>
      <c r="G1850">
        <v>-227.696</v>
      </c>
      <c r="H1850">
        <v>1.022418</v>
      </c>
      <c r="I1850">
        <v>283.82850000000002</v>
      </c>
      <c r="J1850">
        <v>-227.23320000000001</v>
      </c>
      <c r="K1850">
        <v>1.1093379999999999</v>
      </c>
      <c r="L1850">
        <v>283.84289999999999</v>
      </c>
      <c r="M1850">
        <v>-0.99978860000000003</v>
      </c>
      <c r="N1850">
        <v>-5.0328229999999996E-3</v>
      </c>
      <c r="O1850">
        <v>-1.9933670000000001E-2</v>
      </c>
      <c r="P1850">
        <v>-0.93908760000000002</v>
      </c>
      <c r="Q1850">
        <v>0.32811760000000001</v>
      </c>
      <c r="R1850">
        <v>-0.1022414</v>
      </c>
      <c r="S1850">
        <v>-3.3188170000000001</v>
      </c>
      <c r="T1850">
        <v>-0.38372659999999997</v>
      </c>
      <c r="U1850">
        <v>-8.7921139999999995E-2</v>
      </c>
      <c r="V1850">
        <v>-8.322069E-2</v>
      </c>
      <c r="W1850">
        <v>0.33291969999999999</v>
      </c>
      <c r="X1850">
        <v>0.93927570000000005</v>
      </c>
      <c r="Y1850">
        <v>-6.625555E-3</v>
      </c>
      <c r="Z1850">
        <v>1.7980229999999999E-3</v>
      </c>
      <c r="AA1850">
        <v>0.99997650000000005</v>
      </c>
      <c r="AB1850">
        <v>30</v>
      </c>
      <c r="AC1850">
        <v>-0.462799999999987</v>
      </c>
      <c r="AD1850">
        <v>-8.6919999999999803E-2</v>
      </c>
      <c r="AE1850">
        <v>-1.43999999999664E-2</v>
      </c>
      <c r="AF1850">
        <v>-4.9956729280306797E-3</v>
      </c>
      <c r="AG1850">
        <v>-8.6919999999999803E-2</v>
      </c>
      <c r="AH1850">
        <v>0.44723466447446403</v>
      </c>
      <c r="AI1850">
        <v>100.997650240292</v>
      </c>
      <c r="AJ1850">
        <v>90.639975148831297</v>
      </c>
      <c r="AK1850">
        <v>0.45563020999006498</v>
      </c>
      <c r="AL1850">
        <v>70.553914984513199</v>
      </c>
      <c r="AM1850">
        <v>95.063237316588101</v>
      </c>
      <c r="AN1850">
        <v>1.0000000252513199</v>
      </c>
    </row>
    <row r="1851" spans="1:40" x14ac:dyDescent="0.25">
      <c r="A1851" t="str">
        <f>"20190304164406155"</f>
        <v>20190304164406155</v>
      </c>
      <c r="B1851" t="str">
        <f>"1551689046151536"</f>
        <v>1551689046151536</v>
      </c>
      <c r="C1851" t="s">
        <v>40</v>
      </c>
      <c r="D1851">
        <v>5.4633459999999996</v>
      </c>
      <c r="E1851">
        <v>0.54180469999999903</v>
      </c>
      <c r="F1851" t="s">
        <v>41</v>
      </c>
      <c r="G1851">
        <v>-227.96770000000001</v>
      </c>
      <c r="H1851">
        <v>1.02489599999999</v>
      </c>
      <c r="I1851">
        <v>283.82339999999999</v>
      </c>
      <c r="J1851">
        <v>-227.52979999999999</v>
      </c>
      <c r="K1851">
        <v>1.1093090000000001</v>
      </c>
      <c r="L1851">
        <v>283.8374</v>
      </c>
      <c r="M1851">
        <v>-0.99979810000000002</v>
      </c>
      <c r="N1851">
        <v>-5.0252450000000002E-3</v>
      </c>
      <c r="O1851">
        <v>-1.945966E-2</v>
      </c>
      <c r="P1851">
        <v>-0.93909390000000004</v>
      </c>
      <c r="Q1851">
        <v>0.32812560000000002</v>
      </c>
      <c r="R1851">
        <v>-0.1021584</v>
      </c>
      <c r="S1851">
        <v>-3.3182830000000001</v>
      </c>
      <c r="T1851">
        <v>-0.38153959999999998</v>
      </c>
      <c r="U1851">
        <v>-8.8165279999999999E-2</v>
      </c>
      <c r="V1851">
        <v>-8.3560860000000001E-2</v>
      </c>
      <c r="W1851">
        <v>0.332926</v>
      </c>
      <c r="X1851">
        <v>0.9392433</v>
      </c>
      <c r="Y1851">
        <v>-7.1699590000000001E-3</v>
      </c>
      <c r="Z1851">
        <v>1.703169E-3</v>
      </c>
      <c r="AA1851">
        <v>0.9999728</v>
      </c>
      <c r="AB1851">
        <v>30</v>
      </c>
      <c r="AC1851">
        <v>-0.437900000000013</v>
      </c>
      <c r="AD1851">
        <v>-8.4413000000000293E-2</v>
      </c>
      <c r="AE1851">
        <v>-1.4000000000009999E-2</v>
      </c>
      <c r="AF1851">
        <v>-5.2798607912621399E-3</v>
      </c>
      <c r="AG1851">
        <v>-8.4413000000000293E-2</v>
      </c>
      <c r="AH1851">
        <v>0.422409073674403</v>
      </c>
      <c r="AI1851">
        <v>101.300097143922</v>
      </c>
      <c r="AJ1851">
        <v>90.716125684008105</v>
      </c>
      <c r="AK1851">
        <v>0.43079328804130901</v>
      </c>
      <c r="AL1851">
        <v>70.5535328402555</v>
      </c>
      <c r="AM1851">
        <v>95.0839998441609</v>
      </c>
      <c r="AN1851">
        <v>1.00000005769741</v>
      </c>
    </row>
    <row r="1852" spans="1:40" x14ac:dyDescent="0.25">
      <c r="A1852" t="str">
        <f>"20190304164406178"</f>
        <v>20190304164406178</v>
      </c>
      <c r="B1852" t="str">
        <f>"1551689046172032"</f>
        <v>1551689046172032</v>
      </c>
      <c r="C1852" t="s">
        <v>40</v>
      </c>
      <c r="D1852">
        <v>5.3974409999999997</v>
      </c>
      <c r="E1852">
        <v>0.54185819999999996</v>
      </c>
      <c r="F1852" t="s">
        <v>41</v>
      </c>
      <c r="G1852">
        <v>-228.49950000000001</v>
      </c>
      <c r="H1852">
        <v>0.999027</v>
      </c>
      <c r="I1852">
        <v>283.81369999999998</v>
      </c>
      <c r="J1852">
        <v>-227.8597</v>
      </c>
      <c r="K1852">
        <v>1.1092839999999999</v>
      </c>
      <c r="L1852">
        <v>283.83150000000001</v>
      </c>
      <c r="M1852">
        <v>-0.99980849999999999</v>
      </c>
      <c r="N1852">
        <v>-5.0203699999999997E-3</v>
      </c>
      <c r="O1852">
        <v>-1.8911790000000001E-2</v>
      </c>
      <c r="P1852">
        <v>-0.93906000000000001</v>
      </c>
      <c r="Q1852">
        <v>0.32842539999999998</v>
      </c>
      <c r="R1852">
        <v>-0.1015031</v>
      </c>
      <c r="S1852">
        <v>-3.3175659999999998</v>
      </c>
      <c r="T1852">
        <v>-0.37737799999999999</v>
      </c>
      <c r="U1852">
        <v>-8.1634520000000002E-2</v>
      </c>
      <c r="V1852">
        <v>-8.3405069999999998E-2</v>
      </c>
      <c r="W1852">
        <v>0.33322499999999999</v>
      </c>
      <c r="X1852">
        <v>0.93915099999999996</v>
      </c>
      <c r="Y1852">
        <v>-5.761164E-3</v>
      </c>
      <c r="Z1852">
        <v>1.7080579999999999E-3</v>
      </c>
      <c r="AA1852">
        <v>0.99998189999999998</v>
      </c>
      <c r="AB1852">
        <v>30</v>
      </c>
      <c r="AC1852">
        <v>-0.63980000000000803</v>
      </c>
      <c r="AD1852">
        <v>-0.11025699999999899</v>
      </c>
      <c r="AE1852">
        <v>-1.7800000000022399E-2</v>
      </c>
      <c r="AF1852">
        <v>-5.5327178321157803E-3</v>
      </c>
      <c r="AG1852">
        <v>-0.11025699999999899</v>
      </c>
      <c r="AH1852">
        <v>0.62157703075611503</v>
      </c>
      <c r="AI1852">
        <v>100.058262324251</v>
      </c>
      <c r="AJ1852">
        <v>90.509981858678998</v>
      </c>
      <c r="AK1852">
        <v>0.63130438156185698</v>
      </c>
      <c r="AL1852">
        <v>70.535361854543794</v>
      </c>
      <c r="AM1852">
        <v>95.075066949787598</v>
      </c>
      <c r="AN1852">
        <v>0.99999995356385096</v>
      </c>
    </row>
    <row r="1853" spans="1:40" x14ac:dyDescent="0.25">
      <c r="A1853" t="str">
        <f>"20190304164406202"</f>
        <v>20190304164406202</v>
      </c>
      <c r="B1853" t="str">
        <f>"1551689046191551"</f>
        <v>1551689046191551</v>
      </c>
      <c r="C1853" t="s">
        <v>40</v>
      </c>
      <c r="D1853">
        <v>5.4063040000000004</v>
      </c>
      <c r="E1853">
        <v>0.54204619999999903</v>
      </c>
      <c r="F1853" t="s">
        <v>41</v>
      </c>
      <c r="G1853">
        <v>-228.77590000000001</v>
      </c>
      <c r="H1853">
        <v>1.004872</v>
      </c>
      <c r="I1853">
        <v>283.80959999999999</v>
      </c>
      <c r="J1853">
        <v>-228.1771</v>
      </c>
      <c r="K1853">
        <v>1.1092679999999999</v>
      </c>
      <c r="L1853">
        <v>283.8261</v>
      </c>
      <c r="M1853">
        <v>-0.9998186</v>
      </c>
      <c r="N1853">
        <v>-5.0186249999999996E-3</v>
      </c>
      <c r="O1853">
        <v>-1.837517E-2</v>
      </c>
      <c r="P1853">
        <v>-0.93904010000000004</v>
      </c>
      <c r="Q1853">
        <v>0.32861439999999997</v>
      </c>
      <c r="R1853">
        <v>-0.10107729999999999</v>
      </c>
      <c r="S1853">
        <v>-3.3183289999999999</v>
      </c>
      <c r="T1853">
        <v>-0.3783299</v>
      </c>
      <c r="U1853">
        <v>-8.0352779999999999E-2</v>
      </c>
      <c r="V1853">
        <v>-8.3474370000000006E-2</v>
      </c>
      <c r="W1853">
        <v>0.33341470000000001</v>
      </c>
      <c r="X1853">
        <v>0.93907759999999996</v>
      </c>
      <c r="Y1853">
        <v>-5.902437E-3</v>
      </c>
      <c r="Z1853">
        <v>1.645589E-3</v>
      </c>
      <c r="AA1853">
        <v>0.99998120000000001</v>
      </c>
      <c r="AB1853">
        <v>30</v>
      </c>
      <c r="AC1853">
        <v>-0.59880000000001099</v>
      </c>
      <c r="AD1853">
        <v>-0.104395999999999</v>
      </c>
      <c r="AE1853">
        <v>-1.6500000000007699E-2</v>
      </c>
      <c r="AF1853">
        <v>-5.3320778264306003E-3</v>
      </c>
      <c r="AG1853">
        <v>-0.104395999999999</v>
      </c>
      <c r="AH1853">
        <v>0.581345423040589</v>
      </c>
      <c r="AI1853">
        <v>100.18005175400801</v>
      </c>
      <c r="AJ1853">
        <v>90.525499947091404</v>
      </c>
      <c r="AK1853">
        <v>0.59066865225792098</v>
      </c>
      <c r="AL1853">
        <v>70.523835251605902</v>
      </c>
      <c r="AM1853">
        <v>95.079656623937694</v>
      </c>
      <c r="AN1853">
        <v>1.00000003572237</v>
      </c>
    </row>
    <row r="1854" spans="1:40" x14ac:dyDescent="0.25">
      <c r="A1854" t="str">
        <f>"20190304164406224"</f>
        <v>20190304164406224</v>
      </c>
      <c r="B1854" t="str">
        <f>"1551689046212048"</f>
        <v>1551689046212048</v>
      </c>
      <c r="C1854" t="s">
        <v>40</v>
      </c>
      <c r="D1854">
        <v>5.4090290000000003</v>
      </c>
      <c r="E1854">
        <v>0.54229209999999906</v>
      </c>
      <c r="F1854" t="s">
        <v>41</v>
      </c>
      <c r="G1854">
        <v>-229.05269999999999</v>
      </c>
      <c r="H1854">
        <v>1.0094529999999999</v>
      </c>
      <c r="I1854">
        <v>283.80590000000001</v>
      </c>
      <c r="J1854">
        <v>-228.48220000000001</v>
      </c>
      <c r="K1854">
        <v>1.109264</v>
      </c>
      <c r="L1854">
        <v>283.82100000000003</v>
      </c>
      <c r="M1854">
        <v>-0.99982800000000005</v>
      </c>
      <c r="N1854">
        <v>-5.0193240000000004E-3</v>
      </c>
      <c r="O1854">
        <v>-1.7857520000000002E-2</v>
      </c>
      <c r="P1854">
        <v>-0.93904500000000002</v>
      </c>
      <c r="Q1854">
        <v>0.32866200000000001</v>
      </c>
      <c r="R1854">
        <v>-0.1008759</v>
      </c>
      <c r="S1854">
        <v>-3.3188930000000001</v>
      </c>
      <c r="T1854">
        <v>-0.37831880000000001</v>
      </c>
      <c r="U1854">
        <v>-7.6568600000000001E-2</v>
      </c>
      <c r="V1854">
        <v>-8.3753560000000005E-2</v>
      </c>
      <c r="W1854">
        <v>0.3334646</v>
      </c>
      <c r="X1854">
        <v>0.93903499999999995</v>
      </c>
      <c r="Y1854">
        <v>-5.2776430000000003E-3</v>
      </c>
      <c r="Z1854">
        <v>1.6261139999999999E-3</v>
      </c>
      <c r="AA1854">
        <v>0.99998469999999995</v>
      </c>
      <c r="AB1854">
        <v>31</v>
      </c>
      <c r="AC1854">
        <v>-0.57049999999998102</v>
      </c>
      <c r="AD1854">
        <v>-9.9810999999999803E-2</v>
      </c>
      <c r="AE1854">
        <v>-1.50999999999612E-2</v>
      </c>
      <c r="AF1854">
        <v>-4.76403030496642E-3</v>
      </c>
      <c r="AG1854">
        <v>-9.9810999999999803E-2</v>
      </c>
      <c r="AH1854">
        <v>0.553741220824433</v>
      </c>
      <c r="AI1854">
        <v>100.21739168127699</v>
      </c>
      <c r="AJ1854">
        <v>90.492923563192207</v>
      </c>
      <c r="AK1854">
        <v>0.56268487748106399</v>
      </c>
      <c r="AL1854">
        <v>70.520802215246306</v>
      </c>
      <c r="AM1854">
        <v>95.096786804371106</v>
      </c>
      <c r="AN1854">
        <v>1.00000001474541</v>
      </c>
    </row>
    <row r="1855" spans="1:40" x14ac:dyDescent="0.25">
      <c r="A1855" t="str">
        <f>"20190304164406245"</f>
        <v>20190304164406245</v>
      </c>
      <c r="B1855" t="str">
        <f>"1551689046231567"</f>
        <v>1551689046231567</v>
      </c>
      <c r="C1855" t="s">
        <v>40</v>
      </c>
      <c r="D1855">
        <v>5.403956</v>
      </c>
      <c r="E1855">
        <v>0.54247559999999995</v>
      </c>
      <c r="F1855" t="s">
        <v>41</v>
      </c>
      <c r="G1855">
        <v>-229.33009999999999</v>
      </c>
      <c r="H1855">
        <v>1.0129440000000001</v>
      </c>
      <c r="I1855">
        <v>283.80259999999998</v>
      </c>
      <c r="J1855">
        <v>-228.7603</v>
      </c>
      <c r="K1855">
        <v>1.109259</v>
      </c>
      <c r="L1855">
        <v>283.81650000000002</v>
      </c>
      <c r="M1855">
        <v>-0.99983630000000001</v>
      </c>
      <c r="N1855">
        <v>-5.0216669999999996E-3</v>
      </c>
      <c r="O1855">
        <v>-1.7386619999999998E-2</v>
      </c>
      <c r="P1855">
        <v>-0.93892810000000004</v>
      </c>
      <c r="Q1855">
        <v>0.32921529999999999</v>
      </c>
      <c r="R1855">
        <v>-0.10015739999999999</v>
      </c>
      <c r="S1855">
        <v>-3.3189540000000002</v>
      </c>
      <c r="T1855">
        <v>-0.37722410000000001</v>
      </c>
      <c r="U1855">
        <v>-7.2723389999999999E-2</v>
      </c>
      <c r="V1855">
        <v>-8.3473729999999996E-2</v>
      </c>
      <c r="W1855">
        <v>0.33402019999999999</v>
      </c>
      <c r="X1855">
        <v>0.93886239999999999</v>
      </c>
      <c r="Y1855">
        <v>-4.5916339999999998E-3</v>
      </c>
      <c r="Z1855">
        <v>1.6106999999999901E-3</v>
      </c>
      <c r="AA1855">
        <v>0.99998810000000005</v>
      </c>
      <c r="AB1855">
        <v>31</v>
      </c>
      <c r="AC1855">
        <v>-0.56979999999998598</v>
      </c>
      <c r="AD1855">
        <v>-9.6314999999999901E-2</v>
      </c>
      <c r="AE1855">
        <v>-1.39000000000351E-2</v>
      </c>
      <c r="AF1855">
        <v>-3.88008216970571E-3</v>
      </c>
      <c r="AG1855">
        <v>-9.6314999999999901E-2</v>
      </c>
      <c r="AH1855">
        <v>0.55413221066711305</v>
      </c>
      <c r="AI1855">
        <v>99.859967761992195</v>
      </c>
      <c r="AJ1855">
        <v>90.401183499259105</v>
      </c>
      <c r="AK1855">
        <v>0.56245367912519295</v>
      </c>
      <c r="AL1855">
        <v>70.487031800987495</v>
      </c>
      <c r="AM1855">
        <v>95.080776105737399</v>
      </c>
      <c r="AN1855">
        <v>0.99999998187095596</v>
      </c>
    </row>
    <row r="1856" spans="1:40" x14ac:dyDescent="0.25">
      <c r="A1856" t="str">
        <f>"20190304164406259"</f>
        <v>20190304164406259</v>
      </c>
      <c r="B1856" t="str">
        <f>"1551689046252064"</f>
        <v>1551689046252064</v>
      </c>
      <c r="C1856" t="s">
        <v>40</v>
      </c>
      <c r="D1856">
        <v>5.4241950000000001</v>
      </c>
      <c r="E1856">
        <v>0.54261789999999999</v>
      </c>
      <c r="F1856" t="s">
        <v>41</v>
      </c>
      <c r="G1856">
        <v>-229.60720000000001</v>
      </c>
      <c r="H1856">
        <v>1.0137080000000001</v>
      </c>
      <c r="I1856">
        <v>283.7989</v>
      </c>
      <c r="J1856">
        <v>-228.9708</v>
      </c>
      <c r="K1856">
        <v>1.1092580000000001</v>
      </c>
      <c r="L1856">
        <v>283.81310000000002</v>
      </c>
      <c r="M1856">
        <v>-0.99984240000000002</v>
      </c>
      <c r="N1856">
        <v>-5.0244110000000003E-3</v>
      </c>
      <c r="O1856">
        <v>-1.703089E-2</v>
      </c>
      <c r="P1856">
        <v>-0.93894860000000002</v>
      </c>
      <c r="Q1856">
        <v>0.329260099999999</v>
      </c>
      <c r="R1856">
        <v>-9.9817710000000004E-2</v>
      </c>
      <c r="S1856">
        <v>-3.3190460000000002</v>
      </c>
      <c r="T1856">
        <v>-0.37442589999999998</v>
      </c>
      <c r="U1856">
        <v>-6.9091799999999995E-2</v>
      </c>
      <c r="V1856">
        <v>-8.3464179999999999E-2</v>
      </c>
      <c r="W1856">
        <v>0.33406829999999998</v>
      </c>
      <c r="X1856">
        <v>0.93884619999999996</v>
      </c>
      <c r="Y1856">
        <v>-3.8548469999999998E-3</v>
      </c>
      <c r="Z1856">
        <v>1.6030910000000001E-3</v>
      </c>
      <c r="AA1856">
        <v>0.99999130000000003</v>
      </c>
      <c r="AB1856">
        <v>31</v>
      </c>
      <c r="AC1856">
        <v>-0.63640000000000896</v>
      </c>
      <c r="AD1856">
        <v>-9.5549999999999996E-2</v>
      </c>
      <c r="AE1856">
        <v>-1.42000000000166E-2</v>
      </c>
      <c r="AF1856">
        <v>-3.2853235095608E-3</v>
      </c>
      <c r="AG1856">
        <v>-9.5549999999999996E-2</v>
      </c>
      <c r="AH1856">
        <v>0.62252332311849401</v>
      </c>
      <c r="AI1856">
        <v>98.726007908627494</v>
      </c>
      <c r="AJ1856">
        <v>90.302371681416801</v>
      </c>
      <c r="AK1856">
        <v>0.62982210478599099</v>
      </c>
      <c r="AL1856">
        <v>70.484109156446905</v>
      </c>
      <c r="AM1856">
        <v>95.080285071262495</v>
      </c>
      <c r="AN1856">
        <v>1.0000000428311999</v>
      </c>
    </row>
    <row r="1857" spans="1:40" x14ac:dyDescent="0.25">
      <c r="A1857" t="str">
        <f>"20190304164406280"</f>
        <v>20190304164406280</v>
      </c>
      <c r="B1857" t="str">
        <f>"1551689046271584"</f>
        <v>1551689046271584</v>
      </c>
      <c r="C1857" t="s">
        <v>40</v>
      </c>
      <c r="D1857">
        <v>5.4291029999999996</v>
      </c>
      <c r="E1857">
        <v>0.54273839999999995</v>
      </c>
      <c r="F1857" t="s">
        <v>41</v>
      </c>
      <c r="G1857">
        <v>-229.8817</v>
      </c>
      <c r="H1857">
        <v>1.006721</v>
      </c>
      <c r="I1857">
        <v>283.79500000000002</v>
      </c>
      <c r="J1857">
        <v>-229.25550000000001</v>
      </c>
      <c r="K1857">
        <v>1.1092519999999999</v>
      </c>
      <c r="L1857">
        <v>283.80869999999999</v>
      </c>
      <c r="M1857">
        <v>-0.99985049999999998</v>
      </c>
      <c r="N1857">
        <v>-5.0296250000000002E-3</v>
      </c>
      <c r="O1857">
        <v>-1.6549620000000001E-2</v>
      </c>
      <c r="P1857">
        <v>-0.9388109</v>
      </c>
      <c r="Q1857">
        <v>0.32978089999999999</v>
      </c>
      <c r="R1857">
        <v>-9.9392190000000005E-2</v>
      </c>
      <c r="S1857">
        <v>-3.319016</v>
      </c>
      <c r="T1857">
        <v>-0.37374269999999998</v>
      </c>
      <c r="U1857">
        <v>-6.6894529999999994E-2</v>
      </c>
      <c r="V1857">
        <v>-8.3487919999999993E-2</v>
      </c>
      <c r="W1857">
        <v>0.33459499999999998</v>
      </c>
      <c r="X1857">
        <v>0.93865639999999995</v>
      </c>
      <c r="Y1857">
        <v>-3.6727779999999998E-3</v>
      </c>
      <c r="Z1857">
        <v>1.559024E-3</v>
      </c>
      <c r="AA1857">
        <v>0.99999199999999999</v>
      </c>
      <c r="AB1857">
        <v>31</v>
      </c>
      <c r="AC1857">
        <v>-0.62619999999998299</v>
      </c>
      <c r="AD1857">
        <v>-0.102531</v>
      </c>
      <c r="AE1857">
        <v>-1.3699999999971599E-2</v>
      </c>
      <c r="AF1857">
        <v>-3.2475977112112701E-3</v>
      </c>
      <c r="AG1857">
        <v>-0.102531</v>
      </c>
      <c r="AH1857">
        <v>0.60999529243459405</v>
      </c>
      <c r="AI1857">
        <v>99.541234052815994</v>
      </c>
      <c r="AJ1857">
        <v>90.305038230099001</v>
      </c>
      <c r="AK1857">
        <v>0.61856075663127896</v>
      </c>
      <c r="AL1857">
        <v>70.452086828550094</v>
      </c>
      <c r="AM1857">
        <v>95.082744671296894</v>
      </c>
      <c r="AN1857">
        <v>0.999999942035941</v>
      </c>
    </row>
    <row r="1858" spans="1:40" x14ac:dyDescent="0.25">
      <c r="A1858" t="str">
        <f>"20190304164406301"</f>
        <v>20190304164406301</v>
      </c>
      <c r="B1858" t="str">
        <f>"1551689046292080"</f>
        <v>1551689046292080</v>
      </c>
      <c r="C1858" t="s">
        <v>40</v>
      </c>
      <c r="D1858">
        <v>5.3986539999999996</v>
      </c>
      <c r="E1858">
        <v>0.54285190000000005</v>
      </c>
      <c r="F1858" t="s">
        <v>41</v>
      </c>
      <c r="G1858">
        <v>-230.1611</v>
      </c>
      <c r="H1858">
        <v>1.007773</v>
      </c>
      <c r="I1858">
        <v>283.79090000000002</v>
      </c>
      <c r="J1858">
        <v>-229.55420000000001</v>
      </c>
      <c r="K1858">
        <v>1.1092420000000001</v>
      </c>
      <c r="L1858">
        <v>283.80430000000001</v>
      </c>
      <c r="M1858">
        <v>-0.99985880000000005</v>
      </c>
      <c r="N1858">
        <v>-5.0366380000000004E-3</v>
      </c>
      <c r="O1858">
        <v>-1.60413999999999E-2</v>
      </c>
      <c r="P1858">
        <v>-0.93857630000000003</v>
      </c>
      <c r="Q1858">
        <v>0.33054729999999999</v>
      </c>
      <c r="R1858">
        <v>-9.9063139999999994E-2</v>
      </c>
      <c r="S1858">
        <v>-3.3192750000000002</v>
      </c>
      <c r="T1858">
        <v>-0.37196580000000001</v>
      </c>
      <c r="U1858">
        <v>-6.5460210000000005E-2</v>
      </c>
      <c r="V1858">
        <v>-8.3631789999999998E-2</v>
      </c>
      <c r="W1858">
        <v>0.33536870000000002</v>
      </c>
      <c r="X1858">
        <v>0.93836750000000002</v>
      </c>
      <c r="Y1858">
        <v>-3.743438E-3</v>
      </c>
      <c r="Z1858">
        <v>1.4926410000000001E-3</v>
      </c>
      <c r="AA1858">
        <v>0.99999190000000004</v>
      </c>
      <c r="AB1858">
        <v>31</v>
      </c>
      <c r="AC1858">
        <v>-0.606899999999996</v>
      </c>
      <c r="AD1858">
        <v>-0.101469</v>
      </c>
      <c r="AE1858">
        <v>-1.339999999999E-2</v>
      </c>
      <c r="AF1858">
        <v>-3.56307704833042E-3</v>
      </c>
      <c r="AG1858">
        <v>-0.101469</v>
      </c>
      <c r="AH1858">
        <v>0.59053746022541997</v>
      </c>
      <c r="AI1858">
        <v>99.749458935549498</v>
      </c>
      <c r="AJ1858">
        <v>90.345696612718498</v>
      </c>
      <c r="AK1858">
        <v>0.59920209062430796</v>
      </c>
      <c r="AL1858">
        <v>70.405040109861005</v>
      </c>
      <c r="AM1858">
        <v>95.093016769560606</v>
      </c>
      <c r="AN1858">
        <v>1.00000000314727</v>
      </c>
    </row>
    <row r="1859" spans="1:40" x14ac:dyDescent="0.25">
      <c r="A1859" t="str">
        <f>"20190304164406323"</f>
        <v>20190304164406323</v>
      </c>
      <c r="B1859" t="str">
        <f>"1551689046311600"</f>
        <v>1551689046311600</v>
      </c>
      <c r="C1859" t="s">
        <v>40</v>
      </c>
      <c r="D1859">
        <v>5.3803130000000001</v>
      </c>
      <c r="E1859">
        <v>0.54295749999999998</v>
      </c>
      <c r="F1859" t="s">
        <v>41</v>
      </c>
      <c r="G1859">
        <v>-230.44220000000001</v>
      </c>
      <c r="H1859">
        <v>1.010421</v>
      </c>
      <c r="I1859">
        <v>283.7869</v>
      </c>
      <c r="J1859">
        <v>-229.85210000000001</v>
      </c>
      <c r="K1859">
        <v>1.1092280000000001</v>
      </c>
      <c r="L1859">
        <v>283.8</v>
      </c>
      <c r="M1859">
        <v>-0.9998667</v>
      </c>
      <c r="N1859">
        <v>-5.0448899999999998E-3</v>
      </c>
      <c r="O1859">
        <v>-1.5527340000000001E-2</v>
      </c>
      <c r="P1859">
        <v>-0.93818440000000003</v>
      </c>
      <c r="Q1859">
        <v>0.33172239999999997</v>
      </c>
      <c r="R1859">
        <v>-9.884424E-2</v>
      </c>
      <c r="S1859">
        <v>-3.3195339999999902</v>
      </c>
      <c r="T1859">
        <v>-0.36948629999999999</v>
      </c>
      <c r="U1859">
        <v>-6.5643309999999996E-2</v>
      </c>
      <c r="V1859">
        <v>-8.3892659999999994E-2</v>
      </c>
      <c r="W1859">
        <v>0.33655119999999999</v>
      </c>
      <c r="X1859">
        <v>0.93792070000000005</v>
      </c>
      <c r="Y1859">
        <v>-4.3036749999999999E-3</v>
      </c>
      <c r="Z1859">
        <v>1.394944E-3</v>
      </c>
      <c r="AA1859">
        <v>0.99998969999999998</v>
      </c>
      <c r="AB1859">
        <v>31</v>
      </c>
      <c r="AC1859">
        <v>-0.59010000000000595</v>
      </c>
      <c r="AD1859">
        <v>-9.8807000000000006E-2</v>
      </c>
      <c r="AE1859">
        <v>-1.3100000000008501E-2</v>
      </c>
      <c r="AF1859">
        <v>-3.82834009800102E-3</v>
      </c>
      <c r="AG1859">
        <v>-9.8807000000000006E-2</v>
      </c>
      <c r="AH1859">
        <v>0.574143216508891</v>
      </c>
      <c r="AI1859">
        <v>99.764437852919002</v>
      </c>
      <c r="AJ1859">
        <v>90.3820379186228</v>
      </c>
      <c r="AK1859">
        <v>0.58259583975521301</v>
      </c>
      <c r="AL1859">
        <v>70.333106012832204</v>
      </c>
      <c r="AM1859">
        <v>95.111240130228197</v>
      </c>
      <c r="AN1859">
        <v>0.99999996405590197</v>
      </c>
    </row>
    <row r="1860" spans="1:40" x14ac:dyDescent="0.25">
      <c r="A1860" t="str">
        <f>"20190304164406345"</f>
        <v>20190304164406345</v>
      </c>
      <c r="B1860" t="str">
        <f>"1551689046332096"</f>
        <v>1551689046332096</v>
      </c>
      <c r="C1860" t="s">
        <v>40</v>
      </c>
      <c r="D1860">
        <v>5.3805269999999998</v>
      </c>
      <c r="E1860">
        <v>0.54305959999999998</v>
      </c>
      <c r="F1860" t="s">
        <v>41</v>
      </c>
      <c r="G1860">
        <v>-230.7244</v>
      </c>
      <c r="H1860">
        <v>1.013042</v>
      </c>
      <c r="I1860">
        <v>283.78280000000001</v>
      </c>
      <c r="J1860">
        <v>-230.16309999999999</v>
      </c>
      <c r="K1860">
        <v>1.1092139999999999</v>
      </c>
      <c r="L1860">
        <v>283.79570000000001</v>
      </c>
      <c r="M1860">
        <v>-0.99987510000000002</v>
      </c>
      <c r="N1860">
        <v>-5.0547070000000003E-3</v>
      </c>
      <c r="O1860">
        <v>-1.4977620000000001E-2</v>
      </c>
      <c r="P1860">
        <v>-0.93782580000000004</v>
      </c>
      <c r="Q1860">
        <v>0.33291120000000002</v>
      </c>
      <c r="R1860">
        <v>-9.8249669999999997E-2</v>
      </c>
      <c r="S1860">
        <v>-3.3202060000000002</v>
      </c>
      <c r="T1860">
        <v>-0.36616110000000002</v>
      </c>
      <c r="U1860">
        <v>-6.5673830000000002E-2</v>
      </c>
      <c r="V1860">
        <v>-8.3807010000000001E-2</v>
      </c>
      <c r="W1860">
        <v>0.337750299999999</v>
      </c>
      <c r="X1860">
        <v>0.93749729999999998</v>
      </c>
      <c r="Y1860">
        <v>-4.8509570000000004E-3</v>
      </c>
      <c r="Z1860">
        <v>1.292072E-3</v>
      </c>
      <c r="AA1860">
        <v>0.99998739999999997</v>
      </c>
      <c r="AB1860">
        <v>31</v>
      </c>
      <c r="AC1860">
        <v>-0.56130000000001701</v>
      </c>
      <c r="AD1860">
        <v>-9.6171999999999896E-2</v>
      </c>
      <c r="AE1860">
        <v>-1.29000000000019E-2</v>
      </c>
      <c r="AF1860">
        <v>-4.3634781621906303E-3</v>
      </c>
      <c r="AG1860">
        <v>-9.6171999999999896E-2</v>
      </c>
      <c r="AH1860">
        <v>0.54542677421096697</v>
      </c>
      <c r="AI1860">
        <v>99.999538101670495</v>
      </c>
      <c r="AJ1860">
        <v>90.458363177308698</v>
      </c>
      <c r="AK1860">
        <v>0.55385779722944495</v>
      </c>
      <c r="AL1860">
        <v>70.260131367938897</v>
      </c>
      <c r="AM1860">
        <v>95.108343257837404</v>
      </c>
      <c r="AN1860">
        <v>1.00000003379125</v>
      </c>
    </row>
    <row r="1861" spans="1:40" x14ac:dyDescent="0.25">
      <c r="A1861" t="str">
        <f>"20190304164406369"</f>
        <v>20190304164406369</v>
      </c>
      <c r="B1861" t="str">
        <f>"1551689046361376"</f>
        <v>1551689046361376</v>
      </c>
      <c r="C1861" t="s">
        <v>40</v>
      </c>
      <c r="D1861">
        <v>5.3867229999999999</v>
      </c>
      <c r="E1861">
        <v>0.54316600000000004</v>
      </c>
      <c r="F1861" t="s">
        <v>41</v>
      </c>
      <c r="G1861">
        <v>-231.00819999999999</v>
      </c>
      <c r="H1861">
        <v>1.016923</v>
      </c>
      <c r="I1861">
        <v>283.77940000000001</v>
      </c>
      <c r="J1861">
        <v>-230.5026</v>
      </c>
      <c r="K1861">
        <v>1.109197</v>
      </c>
      <c r="L1861">
        <v>283.79129999999998</v>
      </c>
      <c r="M1861">
        <v>-0.9998842</v>
      </c>
      <c r="N1861">
        <v>-5.0665340000000001E-3</v>
      </c>
      <c r="O1861">
        <v>-1.4355039999999999E-2</v>
      </c>
      <c r="P1861">
        <v>-0.93752190000000002</v>
      </c>
      <c r="Q1861">
        <v>0.33397450000000001</v>
      </c>
      <c r="R1861">
        <v>-9.7539819999999999E-2</v>
      </c>
      <c r="S1861">
        <v>-3.3208769999999999</v>
      </c>
      <c r="T1861">
        <v>-0.36280560000000001</v>
      </c>
      <c r="U1861">
        <v>-6.5032960000000001E-2</v>
      </c>
      <c r="V1861">
        <v>-8.3668899999999893E-2</v>
      </c>
      <c r="W1861">
        <v>0.33882630000000002</v>
      </c>
      <c r="X1861">
        <v>0.93712130000000005</v>
      </c>
      <c r="Y1861">
        <v>-5.2696560000000002E-3</v>
      </c>
      <c r="Z1861">
        <v>1.1905030000000001E-3</v>
      </c>
      <c r="AA1861">
        <v>0.99998540000000002</v>
      </c>
      <c r="AB1861">
        <v>31</v>
      </c>
      <c r="AC1861">
        <v>-0.50559999999998695</v>
      </c>
      <c r="AD1861">
        <v>-9.2273999999999898E-2</v>
      </c>
      <c r="AE1861">
        <v>-1.18999999999687E-2</v>
      </c>
      <c r="AF1861">
        <v>-4.4912622079061404E-3</v>
      </c>
      <c r="AG1861">
        <v>-9.2273999999999898E-2</v>
      </c>
      <c r="AH1861">
        <v>0.48942610015092403</v>
      </c>
      <c r="AI1861">
        <v>100.676498137436</v>
      </c>
      <c r="AJ1861">
        <v>90.525765066963103</v>
      </c>
      <c r="AK1861">
        <v>0.49806884064470702</v>
      </c>
      <c r="AL1861">
        <v>70.194618742068201</v>
      </c>
      <c r="AM1861">
        <v>95.1020048371565</v>
      </c>
      <c r="AN1861">
        <v>1.0000000386562899</v>
      </c>
    </row>
    <row r="1862" spans="1:40" x14ac:dyDescent="0.25">
      <c r="A1862" t="str">
        <f>"20190304164406382"</f>
        <v>20190304164406382</v>
      </c>
      <c r="B1862" t="str">
        <f>"1551689046372112"</f>
        <v>1551689046372112</v>
      </c>
      <c r="C1862" t="s">
        <v>40</v>
      </c>
      <c r="D1862">
        <v>5.3694860000000002</v>
      </c>
      <c r="E1862">
        <v>0.54323250000000001</v>
      </c>
      <c r="F1862" t="s">
        <v>41</v>
      </c>
      <c r="G1862">
        <v>-231.29429999999999</v>
      </c>
      <c r="H1862">
        <v>1.0232509999999999</v>
      </c>
      <c r="I1862">
        <v>283.77620000000002</v>
      </c>
      <c r="J1862">
        <v>-230.7038</v>
      </c>
      <c r="K1862">
        <v>1.1091879999999901</v>
      </c>
      <c r="L1862">
        <v>283.78879999999998</v>
      </c>
      <c r="M1862">
        <v>-0.99988949999999999</v>
      </c>
      <c r="N1862">
        <v>-5.0741739999999999E-3</v>
      </c>
      <c r="O1862">
        <v>-1.396875E-2</v>
      </c>
      <c r="P1862">
        <v>-0.93727479999999996</v>
      </c>
      <c r="Q1862">
        <v>0.33477649999999998</v>
      </c>
      <c r="R1862">
        <v>-9.716255E-2</v>
      </c>
      <c r="S1862">
        <v>-3.3217469999999998</v>
      </c>
      <c r="T1862">
        <v>-0.3607032</v>
      </c>
      <c r="U1862">
        <v>-6.4208979999999999E-2</v>
      </c>
      <c r="V1862">
        <v>-8.364423E-2</v>
      </c>
      <c r="W1862">
        <v>0.33963719999999997</v>
      </c>
      <c r="X1862">
        <v>0.93682989999999999</v>
      </c>
      <c r="Y1862">
        <v>-5.3994330000000004E-3</v>
      </c>
      <c r="Z1862">
        <v>1.135477E-3</v>
      </c>
      <c r="AA1862">
        <v>0.99998480000000001</v>
      </c>
      <c r="AB1862">
        <v>32</v>
      </c>
      <c r="AC1862">
        <v>-0.59049999999999103</v>
      </c>
      <c r="AD1862">
        <v>-8.5936999999999694E-2</v>
      </c>
      <c r="AE1862">
        <v>-1.25999999999635E-2</v>
      </c>
      <c r="AF1862">
        <v>-4.2599338561449002E-3</v>
      </c>
      <c r="AG1862">
        <v>-8.5936999999999694E-2</v>
      </c>
      <c r="AH1862">
        <v>0.57837415533349901</v>
      </c>
      <c r="AI1862">
        <v>98.451163606180998</v>
      </c>
      <c r="AJ1862">
        <v>90.421996410563693</v>
      </c>
      <c r="AK1862">
        <v>0.58473923980112497</v>
      </c>
      <c r="AL1862">
        <v>70.145228597734999</v>
      </c>
      <c r="AM1862">
        <v>95.102086569211806</v>
      </c>
      <c r="AN1862">
        <v>1.0000000231850701</v>
      </c>
    </row>
    <row r="1863" spans="1:40" x14ac:dyDescent="0.25">
      <c r="A1863" t="str">
        <f>"20190304164406402"</f>
        <v>20190304164406402</v>
      </c>
      <c r="B1863" t="str">
        <f>"1551689046391632"</f>
        <v>1551689046391632</v>
      </c>
      <c r="C1863" t="s">
        <v>40</v>
      </c>
      <c r="D1863">
        <v>5.3623690000000002</v>
      </c>
      <c r="E1863">
        <v>0.54318100000000002</v>
      </c>
      <c r="F1863" t="s">
        <v>41</v>
      </c>
      <c r="G1863">
        <v>-231.5745</v>
      </c>
      <c r="H1863">
        <v>1.0152939999999999</v>
      </c>
      <c r="I1863">
        <v>283.7722</v>
      </c>
      <c r="J1863">
        <v>-230.9701</v>
      </c>
      <c r="K1863">
        <v>1.1091719999999901</v>
      </c>
      <c r="L1863">
        <v>283.78559999999999</v>
      </c>
      <c r="M1863">
        <v>-0.99989689999999998</v>
      </c>
      <c r="N1863">
        <v>-5.0848279999999996E-3</v>
      </c>
      <c r="O1863">
        <v>-1.343651E-2</v>
      </c>
      <c r="P1863">
        <v>-0.93687370000000003</v>
      </c>
      <c r="Q1863">
        <v>0.33601409999999998</v>
      </c>
      <c r="R1863">
        <v>-9.6759999999999999E-2</v>
      </c>
      <c r="S1863">
        <v>-3.3221440000000002</v>
      </c>
      <c r="T1863">
        <v>-0.35830840000000003</v>
      </c>
      <c r="U1863">
        <v>-6.3476560000000001E-2</v>
      </c>
      <c r="V1863">
        <v>-8.3724999999999994E-2</v>
      </c>
      <c r="W1863">
        <v>0.34088780000000002</v>
      </c>
      <c r="X1863">
        <v>0.93636830000000004</v>
      </c>
      <c r="Y1863">
        <v>-5.703751E-3</v>
      </c>
      <c r="Z1863">
        <v>1.0554399999999999E-3</v>
      </c>
      <c r="AA1863">
        <v>0.99998319999999996</v>
      </c>
      <c r="AB1863">
        <v>32</v>
      </c>
      <c r="AC1863">
        <v>-0.60439999999999805</v>
      </c>
      <c r="AD1863">
        <v>-9.3877999999999601E-2</v>
      </c>
      <c r="AE1863">
        <v>-1.339999999999E-2</v>
      </c>
      <c r="AF1863">
        <v>-5.1533917380105496E-3</v>
      </c>
      <c r="AG1863">
        <v>-9.3877999999999601E-2</v>
      </c>
      <c r="AH1863">
        <v>0.59029133224212804</v>
      </c>
      <c r="AI1863">
        <v>99.036116201819098</v>
      </c>
      <c r="AJ1863">
        <v>90.500193852565005</v>
      </c>
      <c r="AK1863">
        <v>0.59773195769558096</v>
      </c>
      <c r="AL1863">
        <v>70.069026728926005</v>
      </c>
      <c r="AM1863">
        <v>95.109491554384803</v>
      </c>
      <c r="AN1863">
        <v>0.99999998052936401</v>
      </c>
    </row>
    <row r="1864" spans="1:40" x14ac:dyDescent="0.25">
      <c r="A1864" t="str">
        <f>"20190304164406425"</f>
        <v>20190304164406425</v>
      </c>
      <c r="B1864" t="str">
        <f>"1551689046412128"</f>
        <v>1551689046412128</v>
      </c>
      <c r="C1864" t="s">
        <v>40</v>
      </c>
      <c r="D1864">
        <v>5.1997049999999998</v>
      </c>
      <c r="E1864">
        <v>0.52647639999999996</v>
      </c>
      <c r="F1864" t="s">
        <v>41</v>
      </c>
      <c r="G1864">
        <v>-231.85919999999999</v>
      </c>
      <c r="H1864">
        <v>1.0143120000000001</v>
      </c>
      <c r="I1864">
        <v>283.76850000000002</v>
      </c>
      <c r="J1864">
        <v>-231.30109999999999</v>
      </c>
      <c r="K1864">
        <v>1.1091310000000001</v>
      </c>
      <c r="L1864">
        <v>283.78179999999998</v>
      </c>
      <c r="M1864">
        <v>-0.99990599999999996</v>
      </c>
      <c r="N1864">
        <v>-5.0986870000000002E-3</v>
      </c>
      <c r="O1864">
        <v>-1.2734000000000001E-2</v>
      </c>
      <c r="P1864">
        <v>-0.9365059</v>
      </c>
      <c r="Q1864">
        <v>0.33710590000000001</v>
      </c>
      <c r="R1864">
        <v>-9.6522109999999994E-2</v>
      </c>
      <c r="S1864">
        <v>-3.3226619999999998</v>
      </c>
      <c r="T1864">
        <v>-0.35455740000000002</v>
      </c>
      <c r="U1864">
        <v>-6.4300540000000003E-2</v>
      </c>
      <c r="V1864">
        <v>-8.4119749999999993E-2</v>
      </c>
      <c r="W1864">
        <v>0.34199800000000002</v>
      </c>
      <c r="X1864">
        <v>0.93592799999999998</v>
      </c>
      <c r="Y1864">
        <v>-6.6411630000000003E-3</v>
      </c>
      <c r="Z1864">
        <v>9.1975710000000003E-4</v>
      </c>
      <c r="AA1864">
        <v>0.99997749999999996</v>
      </c>
      <c r="AB1864">
        <v>32</v>
      </c>
      <c r="AC1864">
        <v>-0.55809999999999504</v>
      </c>
      <c r="AD1864">
        <v>-9.4818999999999695E-2</v>
      </c>
      <c r="AE1864">
        <v>-1.32999999999583E-2</v>
      </c>
      <c r="AF1864">
        <v>-6.0183648351969203E-3</v>
      </c>
      <c r="AG1864">
        <v>-9.4818999999999695E-2</v>
      </c>
      <c r="AH1864">
        <v>0.54257184045184403</v>
      </c>
      <c r="AI1864">
        <v>99.912217310180594</v>
      </c>
      <c r="AJ1864">
        <v>90.635515405676898</v>
      </c>
      <c r="AK1864">
        <v>0.55082761870442798</v>
      </c>
      <c r="AL1864">
        <v>70.001349985993997</v>
      </c>
      <c r="AM1864">
        <v>95.135855655658702</v>
      </c>
      <c r="AN1864">
        <v>0.99999999276403095</v>
      </c>
    </row>
    <row r="1865" spans="1:40" x14ac:dyDescent="0.25">
      <c r="A1865" t="str">
        <f>"20190304164406448"</f>
        <v>20190304164406448</v>
      </c>
      <c r="B1865" t="str">
        <f>"1551689046442384"</f>
        <v>1551689046442384</v>
      </c>
      <c r="C1865" t="s">
        <v>40</v>
      </c>
      <c r="D1865">
        <v>5.3503959999999999</v>
      </c>
      <c r="E1865">
        <v>0.52647639999999996</v>
      </c>
      <c r="F1865" t="s">
        <v>45</v>
      </c>
      <c r="G1865">
        <v>-255.45650000000001</v>
      </c>
      <c r="H1865" s="1">
        <v>1.3669110000000001E-6</v>
      </c>
      <c r="I1865">
        <v>282.43579999999997</v>
      </c>
      <c r="J1865">
        <v>-231.62559999999999</v>
      </c>
      <c r="K1865">
        <v>1.1090979999999999</v>
      </c>
      <c r="L1865">
        <v>283.77839999999998</v>
      </c>
      <c r="M1865">
        <v>-0.99991490000000005</v>
      </c>
      <c r="N1865">
        <v>-5.1129290000000004E-3</v>
      </c>
      <c r="O1865">
        <v>-1.2000479999999999E-2</v>
      </c>
      <c r="P1865">
        <v>-0.93589900000000004</v>
      </c>
      <c r="Q1865">
        <v>0.3389508</v>
      </c>
      <c r="R1865">
        <v>-9.5945550000000004E-2</v>
      </c>
      <c r="S1865">
        <v>-3.2383579999999998</v>
      </c>
      <c r="T1865">
        <v>-0.14869370000000001</v>
      </c>
      <c r="U1865">
        <v>-0.18045040000000001</v>
      </c>
      <c r="V1865">
        <v>-8.4203790000000001E-2</v>
      </c>
      <c r="W1865">
        <v>0.34386090000000002</v>
      </c>
      <c r="X1865">
        <v>0.9352376</v>
      </c>
      <c r="Y1865">
        <v>-4.3609500000000002E-2</v>
      </c>
      <c r="Z1865">
        <v>-6.2257369999999999E-4</v>
      </c>
      <c r="AA1865">
        <v>0.99904850000000001</v>
      </c>
      <c r="AB1865">
        <v>32</v>
      </c>
      <c r="AC1865">
        <v>-23.8309</v>
      </c>
      <c r="AD1865">
        <v>-1.109096633089</v>
      </c>
      <c r="AE1865">
        <v>-1.3426</v>
      </c>
      <c r="AF1865">
        <v>-1.05424107820506</v>
      </c>
      <c r="AG1865">
        <v>-1.109096633089</v>
      </c>
      <c r="AH1865">
        <v>23.79392148466</v>
      </c>
      <c r="AI1865">
        <v>92.666161797309201</v>
      </c>
      <c r="AJ1865">
        <v>92.536954000257893</v>
      </c>
      <c r="AK1865">
        <v>23.8430748690405</v>
      </c>
      <c r="AL1865">
        <v>69.887723260561799</v>
      </c>
      <c r="AM1865">
        <v>95.144733899883207</v>
      </c>
      <c r="AN1865">
        <v>0.99999998262646606</v>
      </c>
    </row>
    <row r="1866" spans="1:40" x14ac:dyDescent="0.25">
      <c r="A1866" t="str">
        <f>"20190304164406481"</f>
        <v>20190304164406481</v>
      </c>
      <c r="B1866" t="str">
        <f>"1551689046471665"</f>
        <v>1551689046471665</v>
      </c>
      <c r="C1866" t="s">
        <v>40</v>
      </c>
      <c r="D1866">
        <v>5.2388379999999897</v>
      </c>
      <c r="E1866">
        <v>0.52950299999999995</v>
      </c>
      <c r="F1866" t="s">
        <v>45</v>
      </c>
      <c r="G1866">
        <v>-256.78969999999998</v>
      </c>
      <c r="H1866" s="1">
        <v>2.0763310000000001E-6</v>
      </c>
      <c r="I1866">
        <v>282.36200000000002</v>
      </c>
      <c r="J1866">
        <v>-232.1123</v>
      </c>
      <c r="K1866">
        <v>1.1090530000000001</v>
      </c>
      <c r="L1866">
        <v>283.77379999999999</v>
      </c>
      <c r="M1866">
        <v>-0.99992829999999999</v>
      </c>
      <c r="N1866">
        <v>-5.1353730000000004E-3</v>
      </c>
      <c r="O1866">
        <v>-1.081581E-2</v>
      </c>
      <c r="P1866">
        <v>-0.93535349999999995</v>
      </c>
      <c r="Q1866">
        <v>0.34059220000000001</v>
      </c>
      <c r="R1866">
        <v>-9.5450359999999998E-2</v>
      </c>
      <c r="S1866">
        <v>-3.23848</v>
      </c>
      <c r="T1866">
        <v>-0.14273459999999999</v>
      </c>
      <c r="U1866">
        <v>-0.18228150000000001</v>
      </c>
      <c r="V1866">
        <v>-8.4773559999999998E-2</v>
      </c>
      <c r="W1866">
        <v>0.34553230000000001</v>
      </c>
      <c r="X1866">
        <v>0.93456989999999995</v>
      </c>
      <c r="Y1866">
        <v>-4.5354190000000003E-2</v>
      </c>
      <c r="Z1866">
        <v>-6.9424999999999999E-4</v>
      </c>
      <c r="AA1866">
        <v>0.99897069999999999</v>
      </c>
      <c r="AB1866">
        <v>32</v>
      </c>
      <c r="AC1866">
        <v>-24.677399999999899</v>
      </c>
      <c r="AD1866">
        <v>-1.109050923669</v>
      </c>
      <c r="AE1866">
        <v>-1.41179999999997</v>
      </c>
      <c r="AF1866">
        <v>-1.1425077366812799</v>
      </c>
      <c r="AG1866">
        <v>-1.109050923669</v>
      </c>
      <c r="AH1866">
        <v>24.641618187896899</v>
      </c>
      <c r="AI1866">
        <v>92.574223411556702</v>
      </c>
      <c r="AJ1866">
        <v>92.654615617762701</v>
      </c>
      <c r="AK1866">
        <v>24.6930084193433</v>
      </c>
      <c r="AL1866">
        <v>69.785707544772805</v>
      </c>
      <c r="AM1866">
        <v>95.183037569631395</v>
      </c>
      <c r="AN1866">
        <v>1.0000000124021799</v>
      </c>
    </row>
    <row r="1867" spans="1:40" x14ac:dyDescent="0.25">
      <c r="A1867" t="str">
        <f>"20190304164406502"</f>
        <v>20190304164406502</v>
      </c>
      <c r="B1867" t="str">
        <f>"1551689046491691"</f>
        <v>1551689046491691</v>
      </c>
      <c r="C1867" t="s">
        <v>40</v>
      </c>
      <c r="D1867">
        <v>5.300135</v>
      </c>
      <c r="E1867">
        <v>0.53130010000000005</v>
      </c>
      <c r="F1867" t="s">
        <v>45</v>
      </c>
      <c r="G1867">
        <v>-249.14830000000001</v>
      </c>
      <c r="H1867" s="1">
        <v>3.331471E-6</v>
      </c>
      <c r="I1867">
        <v>282.91370000000001</v>
      </c>
      <c r="J1867">
        <v>-232.41210000000001</v>
      </c>
      <c r="K1867">
        <v>1.1090199999999999</v>
      </c>
      <c r="L1867">
        <v>283.77120000000002</v>
      </c>
      <c r="M1867">
        <v>-0.99993650000000001</v>
      </c>
      <c r="N1867">
        <v>-5.1495639999999997E-3</v>
      </c>
      <c r="O1867">
        <v>-1.0046090000000001E-2</v>
      </c>
      <c r="P1867">
        <v>-0.93503440000000004</v>
      </c>
      <c r="Q1867">
        <v>0.34154950000000001</v>
      </c>
      <c r="R1867">
        <v>-9.5159170000000001E-2</v>
      </c>
      <c r="S1867">
        <v>-3.26796</v>
      </c>
      <c r="T1867">
        <v>-0.21274589999999999</v>
      </c>
      <c r="U1867">
        <v>-0.16497800000000001</v>
      </c>
      <c r="V1867">
        <v>-8.5178039999999997E-2</v>
      </c>
      <c r="W1867">
        <v>0.34650839999999999</v>
      </c>
      <c r="X1867">
        <v>0.93417159999999999</v>
      </c>
      <c r="Y1867">
        <v>-4.0309419999999999E-2</v>
      </c>
      <c r="Z1867">
        <v>-8.1264039999999905E-4</v>
      </c>
      <c r="AA1867">
        <v>0.99918689999999999</v>
      </c>
      <c r="AB1867">
        <v>32</v>
      </c>
      <c r="AC1867">
        <v>-16.736199999999901</v>
      </c>
      <c r="AD1867">
        <v>-1.1090166685289999</v>
      </c>
      <c r="AE1867">
        <v>-0.85750000000001503</v>
      </c>
      <c r="AF1867">
        <v>-0.68631544964076396</v>
      </c>
      <c r="AG1867">
        <v>-1.1090166685289999</v>
      </c>
      <c r="AH1867">
        <v>16.670959698159599</v>
      </c>
      <c r="AI1867">
        <v>93.802717360296498</v>
      </c>
      <c r="AJ1867">
        <v>92.357439924805703</v>
      </c>
      <c r="AK1867">
        <v>16.721897144915999</v>
      </c>
      <c r="AL1867">
        <v>69.726098116439999</v>
      </c>
      <c r="AM1867">
        <v>95.209839886863307</v>
      </c>
      <c r="AN1867">
        <v>0.99999997400768004</v>
      </c>
    </row>
    <row r="1868" spans="1:40" x14ac:dyDescent="0.25">
      <c r="A1868" t="str">
        <f>"20190304164406523"</f>
        <v>20190304164406523</v>
      </c>
      <c r="B1868" t="str">
        <f>"1551689046511211"</f>
        <v>1551689046511211</v>
      </c>
      <c r="C1868" t="s">
        <v>40</v>
      </c>
      <c r="D1868">
        <v>5.3252499999999996</v>
      </c>
      <c r="E1868">
        <v>0.53267030000000004</v>
      </c>
      <c r="F1868" t="s">
        <v>45</v>
      </c>
      <c r="G1868">
        <v>-246.98699999999999</v>
      </c>
      <c r="H1868" s="1">
        <v>2.1813530000000002E-6</v>
      </c>
      <c r="I1868">
        <v>283.08999999999997</v>
      </c>
      <c r="J1868">
        <v>-232.72380000000001</v>
      </c>
      <c r="K1868">
        <v>1.1089850000000001</v>
      </c>
      <c r="L1868">
        <v>283.7688</v>
      </c>
      <c r="M1868">
        <v>-0.99994430000000001</v>
      </c>
      <c r="N1868">
        <v>-5.1645240000000002E-3</v>
      </c>
      <c r="O1868">
        <v>-9.2229900000000004E-3</v>
      </c>
      <c r="P1868">
        <v>-0.93505110000000002</v>
      </c>
      <c r="Q1868">
        <v>0.34163640000000001</v>
      </c>
      <c r="R1868">
        <v>-9.4677929999999993E-2</v>
      </c>
      <c r="S1868">
        <v>-3.2840729999999998</v>
      </c>
      <c r="T1868">
        <v>-0.2498882</v>
      </c>
      <c r="U1868">
        <v>-0.15350339999999901</v>
      </c>
      <c r="V1868">
        <v>-8.5444829999999999E-2</v>
      </c>
      <c r="W1868">
        <v>0.34661530000000002</v>
      </c>
      <c r="X1868">
        <v>0.93410760000000004</v>
      </c>
      <c r="Y1868">
        <v>-3.7383710000000001E-2</v>
      </c>
      <c r="Z1868">
        <v>-8.6339139999999995E-4</v>
      </c>
      <c r="AA1868">
        <v>0.99930059999999998</v>
      </c>
      <c r="AB1868">
        <v>32</v>
      </c>
      <c r="AC1868">
        <v>-14.2631999999999</v>
      </c>
      <c r="AD1868">
        <v>-1.1089828186470001</v>
      </c>
      <c r="AE1868">
        <v>-0.67880000000002305</v>
      </c>
      <c r="AF1868">
        <v>-0.54393921640596399</v>
      </c>
      <c r="AG1868">
        <v>-1.1089828186470001</v>
      </c>
      <c r="AH1868">
        <v>14.1833058272709</v>
      </c>
      <c r="AI1868">
        <v>94.467550210094601</v>
      </c>
      <c r="AJ1868">
        <v>92.196254961135097</v>
      </c>
      <c r="AK1868">
        <v>14.236989743379601</v>
      </c>
      <c r="AL1868">
        <v>69.719569022826605</v>
      </c>
      <c r="AM1868">
        <v>95.226423725330093</v>
      </c>
      <c r="AN1868">
        <v>0.99999999677278895</v>
      </c>
    </row>
    <row r="1869" spans="1:40" x14ac:dyDescent="0.25">
      <c r="A1869" t="str">
        <f>"20190304164406547"</f>
        <v>20190304164406547</v>
      </c>
      <c r="B1869" t="str">
        <f>"1551689046541466"</f>
        <v>1551689046541466</v>
      </c>
      <c r="C1869" t="s">
        <v>40</v>
      </c>
      <c r="D1869">
        <v>5.32165</v>
      </c>
      <c r="E1869">
        <v>0.53371290000000005</v>
      </c>
      <c r="F1869" t="s">
        <v>45</v>
      </c>
      <c r="G1869">
        <v>-246.16560000000001</v>
      </c>
      <c r="H1869" s="1">
        <v>1.744231E-6</v>
      </c>
      <c r="I1869">
        <v>283.18279999999999</v>
      </c>
      <c r="J1869">
        <v>-233.06290000000001</v>
      </c>
      <c r="K1869">
        <v>1.1089580000000001</v>
      </c>
      <c r="L1869">
        <v>283.76650000000001</v>
      </c>
      <c r="M1869">
        <v>-0.99995210000000001</v>
      </c>
      <c r="N1869">
        <v>-5.1809309999999997E-3</v>
      </c>
      <c r="O1869">
        <v>-8.3100259999999999E-3</v>
      </c>
      <c r="P1869">
        <v>-0.93540109999999999</v>
      </c>
      <c r="Q1869">
        <v>0.3404759</v>
      </c>
      <c r="R1869">
        <v>-9.5398990000000003E-2</v>
      </c>
      <c r="S1869">
        <v>-3.2931210000000002</v>
      </c>
      <c r="T1869">
        <v>-0.27169080000000001</v>
      </c>
      <c r="U1869">
        <v>-0.14355470000000001</v>
      </c>
      <c r="V1869">
        <v>-8.7000209999999994E-2</v>
      </c>
      <c r="W1869">
        <v>0.34547899999999998</v>
      </c>
      <c r="X1869">
        <v>0.93438489999999996</v>
      </c>
      <c r="Y1869">
        <v>-3.514523E-2</v>
      </c>
      <c r="Z1869">
        <v>-8.9678529999999998E-4</v>
      </c>
      <c r="AA1869">
        <v>0.99938179999999999</v>
      </c>
      <c r="AB1869">
        <v>32</v>
      </c>
      <c r="AC1869">
        <v>-13.1027</v>
      </c>
      <c r="AD1869">
        <v>-1.10895625576899</v>
      </c>
      <c r="AE1869">
        <v>-0.58370000000002098</v>
      </c>
      <c r="AF1869">
        <v>-0.47142439129909602</v>
      </c>
      <c r="AG1869">
        <v>-1.10895625576899</v>
      </c>
      <c r="AH1869">
        <v>13.014060477809901</v>
      </c>
      <c r="AI1869">
        <v>94.867354546074594</v>
      </c>
      <c r="AJ1869">
        <v>92.0745887045926</v>
      </c>
      <c r="AK1869">
        <v>13.0697281935783</v>
      </c>
      <c r="AL1869">
        <v>69.788960685308396</v>
      </c>
      <c r="AM1869">
        <v>95.319450693645905</v>
      </c>
      <c r="AN1869">
        <v>0.99999995866452596</v>
      </c>
    </row>
    <row r="1870" spans="1:40" x14ac:dyDescent="0.25">
      <c r="A1870" t="str">
        <f>"20190304164406569"</f>
        <v>20190304164406569</v>
      </c>
      <c r="B1870" t="str">
        <f>"1551689046561963"</f>
        <v>1551689046561963</v>
      </c>
      <c r="C1870" t="s">
        <v>40</v>
      </c>
      <c r="D1870">
        <v>5.2950629999999999</v>
      </c>
      <c r="E1870">
        <v>0.53421169999999996</v>
      </c>
      <c r="F1870" t="s">
        <v>41</v>
      </c>
      <c r="G1870">
        <v>-233.90549999999999</v>
      </c>
      <c r="H1870">
        <v>1.033325</v>
      </c>
      <c r="I1870">
        <v>283.7319</v>
      </c>
      <c r="J1870">
        <v>-233.3955</v>
      </c>
      <c r="K1870">
        <v>1.108938</v>
      </c>
      <c r="L1870">
        <v>283.76459999999997</v>
      </c>
      <c r="M1870">
        <v>-0.99995909999999999</v>
      </c>
      <c r="N1870">
        <v>-5.1972850000000003E-3</v>
      </c>
      <c r="O1870">
        <v>-7.40663E-3</v>
      </c>
      <c r="P1870">
        <v>-0.9357666</v>
      </c>
      <c r="Q1870">
        <v>0.33895429999999999</v>
      </c>
      <c r="R1870">
        <v>-9.7217200000000004E-2</v>
      </c>
      <c r="S1870">
        <v>-3.3011629999999998</v>
      </c>
      <c r="T1870">
        <v>-0.29643639999999999</v>
      </c>
      <c r="U1870">
        <v>-0.1361694</v>
      </c>
      <c r="V1870">
        <v>-8.965215E-2</v>
      </c>
      <c r="W1870">
        <v>0.3439817</v>
      </c>
      <c r="X1870">
        <v>0.93468660000000003</v>
      </c>
      <c r="Y1870">
        <v>-3.3695509999999998E-2</v>
      </c>
      <c r="Z1870">
        <v>-9.7195370000000003E-4</v>
      </c>
      <c r="AA1870">
        <v>0.99943170000000003</v>
      </c>
      <c r="AB1870">
        <v>33</v>
      </c>
      <c r="AC1870">
        <v>-0.50999999999999002</v>
      </c>
      <c r="AD1870">
        <v>-7.5612999999999903E-2</v>
      </c>
      <c r="AE1870">
        <v>-3.2699999999976997E-2</v>
      </c>
      <c r="AF1870">
        <v>-2.8302102073175298E-2</v>
      </c>
      <c r="AG1870">
        <v>-7.5612999999999903E-2</v>
      </c>
      <c r="AH1870">
        <v>0.49929794767931102</v>
      </c>
      <c r="AI1870">
        <v>98.597767767131202</v>
      </c>
      <c r="AJ1870">
        <v>93.244270471816193</v>
      </c>
      <c r="AK1870">
        <v>0.50578332841992002</v>
      </c>
      <c r="AL1870">
        <v>69.880352215309102</v>
      </c>
      <c r="AM1870">
        <v>95.478867071032397</v>
      </c>
      <c r="AN1870">
        <v>0.99999997907703597</v>
      </c>
    </row>
    <row r="1871" spans="1:40" x14ac:dyDescent="0.25">
      <c r="A1871" t="str">
        <f>"20190304164406590"</f>
        <v>20190304164406590</v>
      </c>
      <c r="B1871" t="str">
        <f>"1551689046581989"</f>
        <v>1551689046581989</v>
      </c>
      <c r="C1871" t="s">
        <v>40</v>
      </c>
      <c r="D1871">
        <v>5.358619</v>
      </c>
      <c r="E1871">
        <v>0.53467980000000004</v>
      </c>
      <c r="F1871" t="s">
        <v>41</v>
      </c>
      <c r="G1871">
        <v>-234.19820000000001</v>
      </c>
      <c r="H1871">
        <v>1.0338020000000001</v>
      </c>
      <c r="I1871">
        <v>283.73230000000001</v>
      </c>
      <c r="J1871">
        <v>-233.7139</v>
      </c>
      <c r="K1871">
        <v>1.1089230000000001</v>
      </c>
      <c r="L1871">
        <v>283.76299999999998</v>
      </c>
      <c r="M1871">
        <v>-0.99996510000000005</v>
      </c>
      <c r="N1871">
        <v>-5.2131119999999998E-3</v>
      </c>
      <c r="O1871">
        <v>-6.5466559999999997E-3</v>
      </c>
      <c r="P1871">
        <v>-0.93616310000000003</v>
      </c>
      <c r="Q1871">
        <v>0.33728780000000003</v>
      </c>
      <c r="R1871">
        <v>-9.9175139999999995E-2</v>
      </c>
      <c r="S1871">
        <v>-3.3041529999999999</v>
      </c>
      <c r="T1871">
        <v>-0.30941750000000001</v>
      </c>
      <c r="U1871">
        <v>-0.13342290000000001</v>
      </c>
      <c r="V1871">
        <v>-9.2409489999999997E-2</v>
      </c>
      <c r="W1871">
        <v>0.3423389</v>
      </c>
      <c r="X1871">
        <v>0.9350212</v>
      </c>
      <c r="Y1871">
        <v>-3.3675360000000001E-2</v>
      </c>
      <c r="Z1871">
        <v>-1.083295E-3</v>
      </c>
      <c r="AA1871">
        <v>0.99943230000000005</v>
      </c>
      <c r="AB1871">
        <v>33</v>
      </c>
      <c r="AC1871">
        <v>-0.48430000000001799</v>
      </c>
      <c r="AD1871">
        <v>-7.5120999999999702E-2</v>
      </c>
      <c r="AE1871">
        <v>-3.06999999999675E-2</v>
      </c>
      <c r="AF1871">
        <v>-2.68845042734191E-2</v>
      </c>
      <c r="AG1871">
        <v>-7.5120999999999702E-2</v>
      </c>
      <c r="AH1871">
        <v>0.47315217510867402</v>
      </c>
      <c r="AI1871">
        <v>99.007097829045804</v>
      </c>
      <c r="AJ1871">
        <v>93.252049159692405</v>
      </c>
      <c r="AK1871">
        <v>0.47983218110199399</v>
      </c>
      <c r="AL1871">
        <v>69.980564125261296</v>
      </c>
      <c r="AM1871">
        <v>95.644294748122107</v>
      </c>
      <c r="AN1871">
        <v>1.0000000403723499</v>
      </c>
    </row>
    <row r="1872" spans="1:40" x14ac:dyDescent="0.25">
      <c r="A1872" t="str">
        <f>"20190304164406614"</f>
        <v>20190304164406614</v>
      </c>
      <c r="B1872" t="str">
        <f>"1551689046601509"</f>
        <v>1551689046601509</v>
      </c>
      <c r="C1872" t="s">
        <v>40</v>
      </c>
      <c r="D1872">
        <v>5.3291149999999998</v>
      </c>
      <c r="E1872">
        <v>0.53510269999999904</v>
      </c>
      <c r="F1872" t="s">
        <v>41</v>
      </c>
      <c r="G1872">
        <v>-234.4888</v>
      </c>
      <c r="H1872">
        <v>1.0335749999999999</v>
      </c>
      <c r="I1872">
        <v>283.73180000000002</v>
      </c>
      <c r="J1872">
        <v>-234.04929999999999</v>
      </c>
      <c r="K1872">
        <v>1.108911</v>
      </c>
      <c r="L1872">
        <v>283.76159999999999</v>
      </c>
      <c r="M1872">
        <v>-0.99997029999999998</v>
      </c>
      <c r="N1872">
        <v>-5.229895E-3</v>
      </c>
      <c r="O1872">
        <v>-5.6569109999999997E-3</v>
      </c>
      <c r="P1872">
        <v>-0.93648149999999997</v>
      </c>
      <c r="Q1872">
        <v>0.33605059999999998</v>
      </c>
      <c r="R1872">
        <v>-0.1003628</v>
      </c>
      <c r="S1872">
        <v>-3.3062740000000002</v>
      </c>
      <c r="T1872">
        <v>-0.32146760000000002</v>
      </c>
      <c r="U1872">
        <v>-0.1332092</v>
      </c>
      <c r="V1872">
        <v>-9.4430630000000002E-2</v>
      </c>
      <c r="W1872">
        <v>0.34112229999999999</v>
      </c>
      <c r="X1872">
        <v>0.93526390000000004</v>
      </c>
      <c r="Y1872">
        <v>-3.4456979999999998E-2</v>
      </c>
      <c r="Z1872">
        <v>-1.241891E-3</v>
      </c>
      <c r="AA1872">
        <v>0.9994054</v>
      </c>
      <c r="AB1872">
        <v>33</v>
      </c>
      <c r="AC1872">
        <v>-0.43950000000000899</v>
      </c>
      <c r="AD1872">
        <v>-7.5336E-2</v>
      </c>
      <c r="AE1872">
        <v>-2.9799999999966E-2</v>
      </c>
      <c r="AF1872">
        <v>-2.6537120597185701E-2</v>
      </c>
      <c r="AG1872">
        <v>-7.5336E-2</v>
      </c>
      <c r="AH1872">
        <v>0.42716776827401898</v>
      </c>
      <c r="AI1872">
        <v>99.983067751869697</v>
      </c>
      <c r="AJ1872">
        <v>93.554841104345499</v>
      </c>
      <c r="AK1872">
        <v>0.434571091903035</v>
      </c>
      <c r="AL1872">
        <v>70.054735951879593</v>
      </c>
      <c r="AM1872">
        <v>95.765434608849105</v>
      </c>
      <c r="AN1872">
        <v>1.0000000650413401</v>
      </c>
    </row>
    <row r="1873" spans="1:40" x14ac:dyDescent="0.25">
      <c r="A1873" t="str">
        <f>"20190304164406637"</f>
        <v>20190304164406637</v>
      </c>
      <c r="B1873" t="str">
        <f>"1551689046631765"</f>
        <v>1551689046631765</v>
      </c>
      <c r="C1873" t="s">
        <v>40</v>
      </c>
      <c r="D1873">
        <v>5.2751950000000001</v>
      </c>
      <c r="E1873">
        <v>0.53546050000000001</v>
      </c>
      <c r="F1873" t="s">
        <v>45</v>
      </c>
      <c r="G1873">
        <v>-245.13239999999999</v>
      </c>
      <c r="H1873" s="1">
        <v>1.1944270000000001E-6</v>
      </c>
      <c r="I1873">
        <v>283.31779999999998</v>
      </c>
      <c r="J1873">
        <v>-234.3826</v>
      </c>
      <c r="K1873">
        <v>1.1089169999999999</v>
      </c>
      <c r="L1873">
        <v>283.7604</v>
      </c>
      <c r="M1873">
        <v>-0.99997480000000005</v>
      </c>
      <c r="N1873">
        <v>-5.2467379999999999E-3</v>
      </c>
      <c r="O1873">
        <v>-4.8018890000000002E-3</v>
      </c>
      <c r="P1873">
        <v>-0.93653299999999995</v>
      </c>
      <c r="Q1873">
        <v>0.33565719999999999</v>
      </c>
      <c r="R1873">
        <v>-0.10119599999999999</v>
      </c>
      <c r="S1873">
        <v>-3.3080599999999998</v>
      </c>
      <c r="T1873">
        <v>-0.330984</v>
      </c>
      <c r="U1873">
        <v>-0.13244629999999999</v>
      </c>
      <c r="V1873">
        <v>-9.6072669999999999E-2</v>
      </c>
      <c r="W1873">
        <v>0.34074569999999998</v>
      </c>
      <c r="X1873">
        <v>0.93523389999999995</v>
      </c>
      <c r="Y1873">
        <v>-3.504442E-2</v>
      </c>
      <c r="Z1873">
        <v>-1.386394E-3</v>
      </c>
      <c r="AA1873">
        <v>0.99938479999999996</v>
      </c>
      <c r="AB1873">
        <v>33</v>
      </c>
      <c r="AC1873">
        <v>-10.749799999999899</v>
      </c>
      <c r="AD1873">
        <v>-1.108915805573</v>
      </c>
      <c r="AE1873">
        <v>-0.44260000000002703</v>
      </c>
      <c r="AF1873">
        <v>-0.38686504887478601</v>
      </c>
      <c r="AG1873">
        <v>-1.108915805573</v>
      </c>
      <c r="AH1873">
        <v>10.638782083924401</v>
      </c>
      <c r="AI1873">
        <v>95.946739963782903</v>
      </c>
      <c r="AJ1873">
        <v>92.082566601876593</v>
      </c>
      <c r="AK1873">
        <v>10.7034126828373</v>
      </c>
      <c r="AL1873">
        <v>70.077687744693193</v>
      </c>
      <c r="AM1873">
        <v>95.865182750511096</v>
      </c>
      <c r="AN1873">
        <v>1.0000000188493099</v>
      </c>
    </row>
    <row r="1874" spans="1:40" x14ac:dyDescent="0.25">
      <c r="A1874" t="str">
        <f>"20190304164406659"</f>
        <v>20190304164406659</v>
      </c>
      <c r="B1874" t="str">
        <f>"1551689046651287"</f>
        <v>1551689046651287</v>
      </c>
      <c r="C1874" t="s">
        <v>40</v>
      </c>
      <c r="D1874">
        <v>5.2715230000000002</v>
      </c>
      <c r="E1874">
        <v>0.53563590000000005</v>
      </c>
      <c r="F1874" t="s">
        <v>41</v>
      </c>
      <c r="G1874">
        <v>-235.35929999999999</v>
      </c>
      <c r="H1874">
        <v>1.0096039999999999</v>
      </c>
      <c r="I1874">
        <v>283.72179999999997</v>
      </c>
      <c r="J1874">
        <v>-234.71700000000001</v>
      </c>
      <c r="K1874">
        <v>1.1089290000000001</v>
      </c>
      <c r="L1874">
        <v>283.75959999999998</v>
      </c>
      <c r="M1874">
        <v>-0.99997820000000004</v>
      </c>
      <c r="N1874">
        <v>-5.2637229999999997E-3</v>
      </c>
      <c r="O1874">
        <v>-3.9756219999999998E-3</v>
      </c>
      <c r="P1874">
        <v>-0.93673899999999999</v>
      </c>
      <c r="Q1874">
        <v>0.33485579999999998</v>
      </c>
      <c r="R1874">
        <v>-0.1019386</v>
      </c>
      <c r="S1874">
        <v>-3.3097840000000001</v>
      </c>
      <c r="T1874">
        <v>-0.33665410000000001</v>
      </c>
      <c r="U1874">
        <v>-0.13125609999999999</v>
      </c>
      <c r="V1874">
        <v>-9.7601350000000003E-2</v>
      </c>
      <c r="W1874">
        <v>0.33996019999999999</v>
      </c>
      <c r="X1874">
        <v>0.93536140000000001</v>
      </c>
      <c r="Y1874">
        <v>-3.5479120000000003E-2</v>
      </c>
      <c r="Z1874">
        <v>-1.5103919999999999E-3</v>
      </c>
      <c r="AA1874">
        <v>0.99936930000000002</v>
      </c>
      <c r="AB1874">
        <v>33</v>
      </c>
      <c r="AC1874">
        <v>-0.642299999999977</v>
      </c>
      <c r="AD1874">
        <v>-9.9324999999999802E-2</v>
      </c>
      <c r="AE1874">
        <v>-3.7800000000004198E-2</v>
      </c>
      <c r="AF1874">
        <v>-3.44257289760692E-2</v>
      </c>
      <c r="AG1874">
        <v>-9.9324999999999802E-2</v>
      </c>
      <c r="AH1874">
        <v>0.62749154027166398</v>
      </c>
      <c r="AI1874">
        <v>98.981378993999996</v>
      </c>
      <c r="AJ1874">
        <v>93.140239295055395</v>
      </c>
      <c r="AK1874">
        <v>0.63623597788323705</v>
      </c>
      <c r="AL1874">
        <v>70.125549806622402</v>
      </c>
      <c r="AM1874">
        <v>95.957035452933198</v>
      </c>
      <c r="AN1874">
        <v>0.99999995485791005</v>
      </c>
    </row>
    <row r="1875" spans="1:40" x14ac:dyDescent="0.25">
      <c r="A1875" t="str">
        <f>"20190304164406681"</f>
        <v>20190304164406681</v>
      </c>
      <c r="B1875" t="str">
        <f>"1551689046671781"</f>
        <v>1551689046671781</v>
      </c>
      <c r="C1875" t="s">
        <v>40</v>
      </c>
      <c r="D1875">
        <v>5.2640960000000003</v>
      </c>
      <c r="E1875">
        <v>0.53583409999999998</v>
      </c>
      <c r="F1875" t="s">
        <v>41</v>
      </c>
      <c r="G1875">
        <v>-235.65870000000001</v>
      </c>
      <c r="H1875">
        <v>1.0119830000000001</v>
      </c>
      <c r="I1875">
        <v>283.7226</v>
      </c>
      <c r="J1875">
        <v>-235.05520000000001</v>
      </c>
      <c r="K1875">
        <v>1.108943</v>
      </c>
      <c r="L1875">
        <v>283.75889999999998</v>
      </c>
      <c r="M1875">
        <v>-0.99998109999999996</v>
      </c>
      <c r="N1875">
        <v>-5.2812129999999999E-3</v>
      </c>
      <c r="O1875">
        <v>-3.169271E-3</v>
      </c>
      <c r="P1875">
        <v>-0.93656059999999997</v>
      </c>
      <c r="Q1875">
        <v>0.33518429999999999</v>
      </c>
      <c r="R1875">
        <v>-0.1024993</v>
      </c>
      <c r="S1875">
        <v>-3.3102420000000001</v>
      </c>
      <c r="T1875">
        <v>-0.34092250000000002</v>
      </c>
      <c r="U1875">
        <v>-0.13070680000000001</v>
      </c>
      <c r="V1875">
        <v>-9.8930279999999995E-2</v>
      </c>
      <c r="W1875">
        <v>0.34030280000000002</v>
      </c>
      <c r="X1875">
        <v>0.93509719999999996</v>
      </c>
      <c r="Y1875">
        <v>-3.6102349999999998E-2</v>
      </c>
      <c r="Z1875">
        <v>-1.640386E-3</v>
      </c>
      <c r="AA1875">
        <v>0.99934670000000003</v>
      </c>
      <c r="AB1875">
        <v>33</v>
      </c>
      <c r="AC1875">
        <v>-0.60349999999999604</v>
      </c>
      <c r="AD1875">
        <v>-9.6959999999999893E-2</v>
      </c>
      <c r="AE1875">
        <v>-3.6299999999982901E-2</v>
      </c>
      <c r="AF1875">
        <v>-3.3524893131667101E-2</v>
      </c>
      <c r="AG1875">
        <v>-9.6959999999999893E-2</v>
      </c>
      <c r="AH1875">
        <v>0.58847669791252799</v>
      </c>
      <c r="AI1875">
        <v>99.341363912557895</v>
      </c>
      <c r="AJ1875">
        <v>93.260555483931</v>
      </c>
      <c r="AK1875">
        <v>0.59735247889794696</v>
      </c>
      <c r="AL1875">
        <v>70.104676332971806</v>
      </c>
      <c r="AM1875">
        <v>96.039243948049105</v>
      </c>
      <c r="AN1875">
        <v>0.999999984718279</v>
      </c>
    </row>
    <row r="1876" spans="1:40" x14ac:dyDescent="0.25">
      <c r="A1876" t="str">
        <f>"20190304164406703"</f>
        <v>20190304164406703</v>
      </c>
      <c r="B1876" t="str">
        <f>"1551689046691304"</f>
        <v>1551689046691304</v>
      </c>
      <c r="C1876" t="s">
        <v>40</v>
      </c>
      <c r="D1876">
        <v>5.2745259999999998</v>
      </c>
      <c r="E1876">
        <v>0.53607559999999999</v>
      </c>
      <c r="F1876" t="s">
        <v>41</v>
      </c>
      <c r="G1876">
        <v>-235.9598</v>
      </c>
      <c r="H1876">
        <v>1.0157419999999999</v>
      </c>
      <c r="I1876">
        <v>283.72340000000003</v>
      </c>
      <c r="J1876">
        <v>-235.37370000000001</v>
      </c>
      <c r="K1876">
        <v>1.1089560000000001</v>
      </c>
      <c r="L1876">
        <v>283.7586</v>
      </c>
      <c r="M1876">
        <v>-0.99998299999999996</v>
      </c>
      <c r="N1876">
        <v>-5.2977969999999999E-3</v>
      </c>
      <c r="O1876">
        <v>-2.440167E-3</v>
      </c>
      <c r="P1876">
        <v>-0.93636900000000001</v>
      </c>
      <c r="Q1876">
        <v>0.335642</v>
      </c>
      <c r="R1876">
        <v>-0.1027523</v>
      </c>
      <c r="S1876">
        <v>-3.3110659999999998</v>
      </c>
      <c r="T1876">
        <v>-0.34117449999999999</v>
      </c>
      <c r="U1876">
        <v>-0.13027949999999999</v>
      </c>
      <c r="V1876">
        <v>-9.9878410000000001E-2</v>
      </c>
      <c r="W1876">
        <v>0.34077220000000003</v>
      </c>
      <c r="X1876">
        <v>0.93482549999999998</v>
      </c>
      <c r="Y1876">
        <v>-3.6685490000000001E-2</v>
      </c>
      <c r="Z1876">
        <v>-1.7440369999999999E-3</v>
      </c>
      <c r="AA1876">
        <v>0.99932529999999997</v>
      </c>
      <c r="AB1876">
        <v>33</v>
      </c>
      <c r="AC1876">
        <v>-0.58609999999998696</v>
      </c>
      <c r="AD1876">
        <v>-9.3214000000000102E-2</v>
      </c>
      <c r="AE1876">
        <v>-3.51999999999748E-2</v>
      </c>
      <c r="AF1876">
        <v>-3.2939513094766101E-2</v>
      </c>
      <c r="AG1876">
        <v>-9.3214000000000102E-2</v>
      </c>
      <c r="AH1876">
        <v>0.57177364142006903</v>
      </c>
      <c r="AI1876">
        <v>99.244186970385499</v>
      </c>
      <c r="AJ1876">
        <v>93.2971288199208</v>
      </c>
      <c r="AK1876">
        <v>0.58025766547430102</v>
      </c>
      <c r="AL1876">
        <v>70.076073444225898</v>
      </c>
      <c r="AM1876">
        <v>96.098447723112002</v>
      </c>
      <c r="AN1876">
        <v>1.0000000522635999</v>
      </c>
    </row>
    <row r="1877" spans="1:40" x14ac:dyDescent="0.25">
      <c r="A1877" t="str">
        <f>"20190304164406724"</f>
        <v>20190304164406724</v>
      </c>
      <c r="B1877" t="str">
        <f>"1551689046711797"</f>
        <v>1551689046711797</v>
      </c>
      <c r="C1877" t="s">
        <v>40</v>
      </c>
      <c r="D1877">
        <v>5.3800429999999997</v>
      </c>
      <c r="E1877">
        <v>0.5361863</v>
      </c>
      <c r="F1877" t="s">
        <v>41</v>
      </c>
      <c r="G1877">
        <v>-236.26130000000001</v>
      </c>
      <c r="H1877">
        <v>1.017487</v>
      </c>
      <c r="I1877">
        <v>283.72390000000001</v>
      </c>
      <c r="J1877">
        <v>-235.69380000000001</v>
      </c>
      <c r="K1877">
        <v>1.1089709999999999</v>
      </c>
      <c r="L1877">
        <v>283.75839999999999</v>
      </c>
      <c r="M1877">
        <v>-0.9999844</v>
      </c>
      <c r="N1877">
        <v>-5.314526E-3</v>
      </c>
      <c r="O1877">
        <v>-1.7436260000000001E-3</v>
      </c>
      <c r="P1877">
        <v>-0.93630349999999996</v>
      </c>
      <c r="Q1877">
        <v>0.335682599999999</v>
      </c>
      <c r="R1877">
        <v>-0.1032131</v>
      </c>
      <c r="S1877">
        <v>-3.3120120000000002</v>
      </c>
      <c r="T1877">
        <v>-0.34140399999999999</v>
      </c>
      <c r="U1877">
        <v>-0.1295471</v>
      </c>
      <c r="V1877">
        <v>-0.1010076</v>
      </c>
      <c r="W1877">
        <v>0.34082509999999999</v>
      </c>
      <c r="X1877">
        <v>0.93468479999999998</v>
      </c>
      <c r="Y1877">
        <v>-3.714365E-2</v>
      </c>
      <c r="Z1877">
        <v>-1.8376740000000001E-3</v>
      </c>
      <c r="AA1877">
        <v>0.99930819999999998</v>
      </c>
      <c r="AB1877">
        <v>33</v>
      </c>
      <c r="AC1877">
        <v>-0.56749999999999501</v>
      </c>
      <c r="AD1877">
        <v>-9.1483999999999899E-2</v>
      </c>
      <c r="AE1877">
        <v>-3.4499999999979901E-2</v>
      </c>
      <c r="AF1877">
        <v>-3.2664689523469299E-2</v>
      </c>
      <c r="AG1877">
        <v>-9.1483999999999899E-2</v>
      </c>
      <c r="AH1877">
        <v>0.55323522815801496</v>
      </c>
      <c r="AI1877">
        <v>99.373533066008207</v>
      </c>
      <c r="AJ1877">
        <v>93.378994144353996</v>
      </c>
      <c r="AK1877">
        <v>0.56169878215349101</v>
      </c>
      <c r="AL1877">
        <v>70.072847993231207</v>
      </c>
      <c r="AM1877">
        <v>96.167787454825202</v>
      </c>
      <c r="AN1877">
        <v>0.99999997969940402</v>
      </c>
    </row>
    <row r="1878" spans="1:40" x14ac:dyDescent="0.25">
      <c r="A1878" t="str">
        <f>"20190304164406747"</f>
        <v>20190304164406747</v>
      </c>
      <c r="B1878" t="str">
        <f>"1551689046742054"</f>
        <v>1551689046742054</v>
      </c>
      <c r="C1878" t="s">
        <v>40</v>
      </c>
      <c r="D1878">
        <v>5.284033</v>
      </c>
      <c r="E1878">
        <v>0.53992519999999999</v>
      </c>
      <c r="F1878" t="s">
        <v>41</v>
      </c>
      <c r="G1878">
        <v>-236.56379999999999</v>
      </c>
      <c r="H1878">
        <v>1.01915</v>
      </c>
      <c r="I1878">
        <v>283.72430000000003</v>
      </c>
      <c r="J1878">
        <v>-236.05510000000001</v>
      </c>
      <c r="K1878">
        <v>1.1089910000000001</v>
      </c>
      <c r="L1878">
        <v>283.75850000000003</v>
      </c>
      <c r="M1878">
        <v>-0.99998549999999997</v>
      </c>
      <c r="N1878">
        <v>-5.3334250000000001E-3</v>
      </c>
      <c r="O1878">
        <v>-1.0073199999999999E-3</v>
      </c>
      <c r="P1878">
        <v>-0.93627139999999998</v>
      </c>
      <c r="Q1878">
        <v>0.33545429999999998</v>
      </c>
      <c r="R1878">
        <v>-0.10424269999999999</v>
      </c>
      <c r="S1878">
        <v>-3.3123930000000001</v>
      </c>
      <c r="T1878">
        <v>-0.34193829999999997</v>
      </c>
      <c r="U1878">
        <v>-0.1296997</v>
      </c>
      <c r="V1878">
        <v>-0.102751</v>
      </c>
      <c r="W1878">
        <v>0.34060990000000002</v>
      </c>
      <c r="X1878">
        <v>0.93457319999999999</v>
      </c>
      <c r="Y1878">
        <v>-3.7912510000000003E-2</v>
      </c>
      <c r="Z1878">
        <v>-1.9540360000000001E-3</v>
      </c>
      <c r="AA1878">
        <v>0.99927909999999998</v>
      </c>
      <c r="AB1878">
        <v>34</v>
      </c>
      <c r="AC1878">
        <v>-0.50869999999997595</v>
      </c>
      <c r="AD1878">
        <v>-8.9841000000000004E-2</v>
      </c>
      <c r="AE1878">
        <v>-3.4199999999998398E-2</v>
      </c>
      <c r="AF1878">
        <v>-3.2673040953201199E-2</v>
      </c>
      <c r="AG1878">
        <v>-8.9841000000000004E-2</v>
      </c>
      <c r="AH1878">
        <v>0.49341350820204</v>
      </c>
      <c r="AI1878">
        <v>100.29732949311401</v>
      </c>
      <c r="AJ1878">
        <v>93.7885025334418</v>
      </c>
      <c r="AK1878">
        <v>0.50258911942298701</v>
      </c>
      <c r="AL1878">
        <v>70.085962537108202</v>
      </c>
      <c r="AM1878">
        <v>96.274145475342706</v>
      </c>
      <c r="AN1878">
        <v>0.99999996906862398</v>
      </c>
    </row>
    <row r="1879" spans="1:40" x14ac:dyDescent="0.25">
      <c r="A1879" t="str">
        <f>"20190304164406770"</f>
        <v>20190304164406770</v>
      </c>
      <c r="B1879" t="str">
        <f>"1551689046761573"</f>
        <v>1551689046761573</v>
      </c>
      <c r="C1879" t="s">
        <v>40</v>
      </c>
      <c r="D1879">
        <v>5.275398</v>
      </c>
      <c r="E1879">
        <v>0.53957719999999998</v>
      </c>
      <c r="F1879" t="s">
        <v>41</v>
      </c>
      <c r="G1879">
        <v>-236.86580000000001</v>
      </c>
      <c r="H1879">
        <v>1.0208699999999999</v>
      </c>
      <c r="I1879">
        <v>283.73340000000002</v>
      </c>
      <c r="J1879">
        <v>-236.39840000000001</v>
      </c>
      <c r="K1879">
        <v>1.1090279999999999</v>
      </c>
      <c r="L1879">
        <v>283.75869999999998</v>
      </c>
      <c r="M1879">
        <v>-0.99998580000000004</v>
      </c>
      <c r="N1879">
        <v>-5.3514529999999999E-3</v>
      </c>
      <c r="O1879">
        <v>-3.6665550000000003E-4</v>
      </c>
      <c r="P1879">
        <v>-0.93613820000000003</v>
      </c>
      <c r="Q1879">
        <v>0.33578449999999999</v>
      </c>
      <c r="R1879">
        <v>-0.1043774</v>
      </c>
      <c r="S1879">
        <v>-3.3220830000000001</v>
      </c>
      <c r="T1879">
        <v>-0.3611953</v>
      </c>
      <c r="U1879">
        <v>-0.1034241</v>
      </c>
      <c r="V1879">
        <v>-0.1035156</v>
      </c>
      <c r="W1879">
        <v>0.34094750000000001</v>
      </c>
      <c r="X1879">
        <v>0.93436569999999997</v>
      </c>
      <c r="Y1879">
        <v>-3.056383E-2</v>
      </c>
      <c r="Z1879">
        <v>-1.7005270000000001E-3</v>
      </c>
      <c r="AA1879">
        <v>0.99953139999999996</v>
      </c>
      <c r="AB1879">
        <v>34</v>
      </c>
      <c r="AC1879">
        <v>-0.46739999999999698</v>
      </c>
      <c r="AD1879">
        <v>-8.8157999999999903E-2</v>
      </c>
      <c r="AE1879">
        <v>-2.52999999999588E-2</v>
      </c>
      <c r="AF1879">
        <v>-2.4267813521084199E-2</v>
      </c>
      <c r="AG1879">
        <v>-8.8157999999999903E-2</v>
      </c>
      <c r="AH1879">
        <v>0.45139764551545702</v>
      </c>
      <c r="AI1879">
        <v>101.035227978542</v>
      </c>
      <c r="AJ1879">
        <v>93.077344390472703</v>
      </c>
      <c r="AK1879">
        <v>0.460565515550168</v>
      </c>
      <c r="AL1879">
        <v>70.065387963921793</v>
      </c>
      <c r="AM1879">
        <v>96.321849008384305</v>
      </c>
      <c r="AN1879">
        <v>0.99999996926804902</v>
      </c>
    </row>
    <row r="1880" spans="1:40" x14ac:dyDescent="0.25">
      <c r="A1880" t="str">
        <f>"20190304164406791"</f>
        <v>20190304164406791</v>
      </c>
      <c r="B1880" t="str">
        <f>"1551689046782069"</f>
        <v>1551689046782069</v>
      </c>
      <c r="C1880" t="s">
        <v>40</v>
      </c>
      <c r="D1880">
        <v>5.2857949999999896</v>
      </c>
      <c r="E1880">
        <v>0.53941490000000003</v>
      </c>
      <c r="F1880" t="s">
        <v>41</v>
      </c>
      <c r="G1880">
        <v>-237.17169999999999</v>
      </c>
      <c r="H1880">
        <v>1.0247919999999999</v>
      </c>
      <c r="I1880">
        <v>283.73399999999998</v>
      </c>
      <c r="J1880">
        <v>-236.7182</v>
      </c>
      <c r="K1880">
        <v>1.109076</v>
      </c>
      <c r="L1880">
        <v>283.75909999999999</v>
      </c>
      <c r="M1880">
        <v>-0.99998569999999998</v>
      </c>
      <c r="N1880">
        <v>-5.3683130000000004E-3</v>
      </c>
      <c r="O1880">
        <v>1.68590999999999E-4</v>
      </c>
      <c r="P1880">
        <v>-0.93614600000000003</v>
      </c>
      <c r="Q1880">
        <v>0.33583190000000002</v>
      </c>
      <c r="R1880">
        <v>-0.1041522</v>
      </c>
      <c r="S1880">
        <v>-3.3226010000000001</v>
      </c>
      <c r="T1880">
        <v>-0.36204639999999999</v>
      </c>
      <c r="U1880">
        <v>-0.10668950000000001</v>
      </c>
      <c r="V1880">
        <v>-0.10382669999999999</v>
      </c>
      <c r="W1880">
        <v>0.34099990000000002</v>
      </c>
      <c r="X1880">
        <v>0.93431209999999998</v>
      </c>
      <c r="Y1880">
        <v>-3.206229E-2</v>
      </c>
      <c r="Z1880">
        <v>-1.8449880000000001E-3</v>
      </c>
      <c r="AA1880">
        <v>0.99948419999999905</v>
      </c>
      <c r="AB1880">
        <v>34</v>
      </c>
      <c r="AC1880">
        <v>-0.45349999999999102</v>
      </c>
      <c r="AD1880">
        <v>-8.4283999999999998E-2</v>
      </c>
      <c r="AE1880">
        <v>-2.5099999999952102E-2</v>
      </c>
      <c r="AF1880">
        <v>-2.4338351613954499E-2</v>
      </c>
      <c r="AG1880">
        <v>-8.4283999999999998E-2</v>
      </c>
      <c r="AH1880">
        <v>0.43839923208609499</v>
      </c>
      <c r="AI1880">
        <v>100.866226514738</v>
      </c>
      <c r="AJ1880">
        <v>93.177594154312601</v>
      </c>
      <c r="AK1880">
        <v>0.44709063366275298</v>
      </c>
      <c r="AL1880">
        <v>70.062195077567594</v>
      </c>
      <c r="AM1880">
        <v>96.341054618382998</v>
      </c>
      <c r="AN1880">
        <v>1.00000000781965</v>
      </c>
    </row>
    <row r="1881" spans="1:40" x14ac:dyDescent="0.25">
      <c r="A1881" t="str">
        <f>"20190304164406816"</f>
        <v>20190304164406816</v>
      </c>
      <c r="B1881" t="str">
        <f>"1551689046812326"</f>
        <v>1551689046812326</v>
      </c>
      <c r="C1881" t="s">
        <v>40</v>
      </c>
      <c r="D1881">
        <v>5.2882179999999996</v>
      </c>
      <c r="E1881">
        <v>0.5392169</v>
      </c>
      <c r="F1881" t="s">
        <v>41</v>
      </c>
      <c r="G1881">
        <v>-237.47710000000001</v>
      </c>
      <c r="H1881">
        <v>1.026232</v>
      </c>
      <c r="I1881">
        <v>283.73469999999998</v>
      </c>
      <c r="J1881">
        <v>-237.0744</v>
      </c>
      <c r="K1881">
        <v>1.1091329999999999</v>
      </c>
      <c r="L1881">
        <v>283.75959999999998</v>
      </c>
      <c r="M1881">
        <v>-0.99998529999999997</v>
      </c>
      <c r="N1881">
        <v>-5.3871980000000002E-3</v>
      </c>
      <c r="O1881">
        <v>6.8587179999999995E-4</v>
      </c>
      <c r="P1881">
        <v>-0.93625599999999998</v>
      </c>
      <c r="Q1881">
        <v>0.33563789999999999</v>
      </c>
      <c r="R1881">
        <v>-0.10378999999999999</v>
      </c>
      <c r="S1881">
        <v>-3.3228300000000002</v>
      </c>
      <c r="T1881">
        <v>-0.36284450000000001</v>
      </c>
      <c r="U1881">
        <v>-0.1074219</v>
      </c>
      <c r="V1881">
        <v>-0.1039974</v>
      </c>
      <c r="W1881">
        <v>0.34080939999999998</v>
      </c>
      <c r="X1881">
        <v>0.93436260000000004</v>
      </c>
      <c r="Y1881">
        <v>-3.278901E-2</v>
      </c>
      <c r="Z1881">
        <v>-1.9440600000000001E-3</v>
      </c>
      <c r="AA1881">
        <v>0.99946040000000003</v>
      </c>
      <c r="AB1881">
        <v>34</v>
      </c>
      <c r="AC1881">
        <v>-0.40270000000000999</v>
      </c>
      <c r="AD1881">
        <v>-8.2900999999999794E-2</v>
      </c>
      <c r="AE1881">
        <v>-2.4900000000002299E-2</v>
      </c>
      <c r="AF1881">
        <v>-2.41563622115928E-2</v>
      </c>
      <c r="AG1881">
        <v>-8.2900999999999794E-2</v>
      </c>
      <c r="AH1881">
        <v>0.38637096617836802</v>
      </c>
      <c r="AI1881">
        <v>102.087053754395</v>
      </c>
      <c r="AJ1881">
        <v>93.577542214265506</v>
      </c>
      <c r="AK1881">
        <v>0.39590229746984701</v>
      </c>
      <c r="AL1881">
        <v>70.073804980802294</v>
      </c>
      <c r="AM1881">
        <v>96.351054256667894</v>
      </c>
      <c r="AN1881">
        <v>0.99999998730693995</v>
      </c>
    </row>
    <row r="1882" spans="1:40" x14ac:dyDescent="0.25">
      <c r="A1882" t="str">
        <f>"20190304164406838"</f>
        <v>20190304164406838</v>
      </c>
      <c r="B1882" t="str">
        <f>"1551689046831845"</f>
        <v>1551689046831845</v>
      </c>
      <c r="C1882" t="s">
        <v>40</v>
      </c>
      <c r="D1882">
        <v>5.2644979999999997</v>
      </c>
      <c r="E1882">
        <v>0.53906889999999996</v>
      </c>
      <c r="F1882" t="s">
        <v>41</v>
      </c>
      <c r="G1882">
        <v>-238.07470000000001</v>
      </c>
      <c r="H1882">
        <v>0.9992453</v>
      </c>
      <c r="I1882">
        <v>283.72739999999999</v>
      </c>
      <c r="J1882">
        <v>-237.4238</v>
      </c>
      <c r="K1882">
        <v>1.1091899999999999</v>
      </c>
      <c r="L1882">
        <v>283.76029999999997</v>
      </c>
      <c r="M1882">
        <v>-0.99998469999999995</v>
      </c>
      <c r="N1882">
        <v>-5.4058200000000004E-3</v>
      </c>
      <c r="O1882">
        <v>1.1030969999999999E-3</v>
      </c>
      <c r="P1882">
        <v>-0.93640460000000003</v>
      </c>
      <c r="Q1882">
        <v>0.33538059999999997</v>
      </c>
      <c r="R1882">
        <v>-0.1032773</v>
      </c>
      <c r="S1882">
        <v>-3.3232569999999999</v>
      </c>
      <c r="T1882">
        <v>-0.36511959999999999</v>
      </c>
      <c r="U1882">
        <v>-0.1072388</v>
      </c>
      <c r="V1882">
        <v>-0.1039283</v>
      </c>
      <c r="W1882">
        <v>0.34055380000000002</v>
      </c>
      <c r="X1882">
        <v>0.9344635</v>
      </c>
      <c r="Y1882">
        <v>-3.3139830000000002E-2</v>
      </c>
      <c r="Z1882">
        <v>-2.0193099999999999E-3</v>
      </c>
      <c r="AA1882">
        <v>0.99944869999999997</v>
      </c>
      <c r="AB1882">
        <v>34</v>
      </c>
      <c r="AC1882">
        <v>-0.65090000000000703</v>
      </c>
      <c r="AD1882">
        <v>-0.10994469999999899</v>
      </c>
      <c r="AE1882">
        <v>-3.2899999999983699E-2</v>
      </c>
      <c r="AF1882">
        <v>-3.2687752162623103E-2</v>
      </c>
      <c r="AG1882">
        <v>-0.10994469999999899</v>
      </c>
      <c r="AH1882">
        <v>0.63285326068473802</v>
      </c>
      <c r="AI1882">
        <v>99.842684454065903</v>
      </c>
      <c r="AJ1882">
        <v>92.956779233676201</v>
      </c>
      <c r="AK1882">
        <v>0.64316372391393395</v>
      </c>
      <c r="AL1882">
        <v>70.089382014909404</v>
      </c>
      <c r="AM1882">
        <v>96.346189091456097</v>
      </c>
      <c r="AN1882">
        <v>1.00000000753379</v>
      </c>
    </row>
    <row r="1883" spans="1:40" x14ac:dyDescent="0.25">
      <c r="A1883" t="str">
        <f>"20190304164406861"</f>
        <v>20190304164406861</v>
      </c>
      <c r="B1883" t="str">
        <f>"1551689046851365"</f>
        <v>1551689046851365</v>
      </c>
      <c r="C1883" t="s">
        <v>40</v>
      </c>
      <c r="D1883">
        <v>5.331188</v>
      </c>
      <c r="E1883">
        <v>0.53912850000000001</v>
      </c>
      <c r="F1883" t="s">
        <v>41</v>
      </c>
      <c r="G1883">
        <v>-238.3837</v>
      </c>
      <c r="H1883">
        <v>1.003493</v>
      </c>
      <c r="I1883">
        <v>283.72969999999998</v>
      </c>
      <c r="J1883">
        <v>-237.77590000000001</v>
      </c>
      <c r="K1883">
        <v>1.1092519999999999</v>
      </c>
      <c r="L1883">
        <v>283.76100000000002</v>
      </c>
      <c r="M1883">
        <v>-0.99998419999999999</v>
      </c>
      <c r="N1883">
        <v>-5.4246619999999898E-3</v>
      </c>
      <c r="O1883">
        <v>1.4506429999999999E-3</v>
      </c>
      <c r="P1883">
        <v>-0.93678930000000005</v>
      </c>
      <c r="Q1883">
        <v>0.33469660000000001</v>
      </c>
      <c r="R1883">
        <v>-0.1019994</v>
      </c>
      <c r="S1883">
        <v>-3.3231510000000002</v>
      </c>
      <c r="T1883">
        <v>-0.36597410000000002</v>
      </c>
      <c r="U1883">
        <v>-0.105896</v>
      </c>
      <c r="V1883">
        <v>-0.1030276</v>
      </c>
      <c r="W1883">
        <v>0.33987319999999999</v>
      </c>
      <c r="X1883">
        <v>0.93481099999999995</v>
      </c>
      <c r="Y1883">
        <v>-3.3082229999999997E-2</v>
      </c>
      <c r="Z1883">
        <v>-2.0571320000000001E-3</v>
      </c>
      <c r="AA1883">
        <v>0.99945050000000002</v>
      </c>
      <c r="AB1883">
        <v>34</v>
      </c>
      <c r="AC1883">
        <v>-0.60779999999999701</v>
      </c>
      <c r="AD1883">
        <v>-0.10575900000000001</v>
      </c>
      <c r="AE1883">
        <v>-3.12999999999874E-2</v>
      </c>
      <c r="AF1883">
        <v>-3.1238377187563601E-2</v>
      </c>
      <c r="AG1883">
        <v>-0.10575900000000001</v>
      </c>
      <c r="AH1883">
        <v>0.58993957902188898</v>
      </c>
      <c r="AI1883">
        <v>100.149582296189</v>
      </c>
      <c r="AJ1883">
        <v>93.031085240448704</v>
      </c>
      <c r="AK1883">
        <v>0.600157903544422</v>
      </c>
      <c r="AL1883">
        <v>70.1308519514929</v>
      </c>
      <c r="AM1883">
        <v>96.2893124209848</v>
      </c>
      <c r="AN1883">
        <v>1.00000004208049</v>
      </c>
    </row>
    <row r="1884" spans="1:40" x14ac:dyDescent="0.25">
      <c r="A1884" t="str">
        <f>"20190304164406881"</f>
        <v>20190304164406881</v>
      </c>
      <c r="B1884" t="str">
        <f>"1551689046871861"</f>
        <v>1551689046871861</v>
      </c>
      <c r="C1884" t="s">
        <v>40</v>
      </c>
      <c r="D1884">
        <v>5.3171900000000001</v>
      </c>
      <c r="E1884">
        <v>0.53906290000000001</v>
      </c>
      <c r="F1884" t="s">
        <v>41</v>
      </c>
      <c r="G1884">
        <v>-238.6935</v>
      </c>
      <c r="H1884">
        <v>1.0075160000000001</v>
      </c>
      <c r="I1884">
        <v>283.73329999999999</v>
      </c>
      <c r="J1884">
        <v>-238.10230000000001</v>
      </c>
      <c r="K1884">
        <v>1.1092949999999999</v>
      </c>
      <c r="L1884">
        <v>283.76170000000002</v>
      </c>
      <c r="M1884">
        <v>-0.99998379999999998</v>
      </c>
      <c r="N1884">
        <v>-5.4435859999999898E-3</v>
      </c>
      <c r="O1884">
        <v>1.7073779999999901E-3</v>
      </c>
      <c r="P1884">
        <v>-0.93702980000000002</v>
      </c>
      <c r="Q1884">
        <v>0.33426609999999901</v>
      </c>
      <c r="R1884">
        <v>-0.1012023</v>
      </c>
      <c r="S1884">
        <v>-3.3231350000000002</v>
      </c>
      <c r="T1884">
        <v>-0.36859350000000002</v>
      </c>
      <c r="U1884">
        <v>-0.1009521</v>
      </c>
      <c r="V1884">
        <v>-0.1025156</v>
      </c>
      <c r="W1884">
        <v>0.33944800000000003</v>
      </c>
      <c r="X1884">
        <v>0.93502169999999896</v>
      </c>
      <c r="Y1884">
        <v>-3.1856860000000001E-2</v>
      </c>
      <c r="Z1884">
        <v>-2.0274350000000002E-3</v>
      </c>
      <c r="AA1884">
        <v>0.9994904</v>
      </c>
      <c r="AB1884">
        <v>34</v>
      </c>
      <c r="AC1884">
        <v>-0.59119999999998596</v>
      </c>
      <c r="AD1884">
        <v>-0.10177899999999999</v>
      </c>
      <c r="AE1884">
        <v>-2.8400000000033201E-2</v>
      </c>
      <c r="AF1884">
        <v>-2.8564725860228801E-2</v>
      </c>
      <c r="AG1884">
        <v>-0.10177899999999999</v>
      </c>
      <c r="AH1884">
        <v>0.57417255540266998</v>
      </c>
      <c r="AI1884">
        <v>100.039787797866</v>
      </c>
      <c r="AJ1884">
        <v>92.848081111119896</v>
      </c>
      <c r="AK1884">
        <v>0.58382277429208096</v>
      </c>
      <c r="AL1884">
        <v>70.156752890253102</v>
      </c>
      <c r="AM1884">
        <v>96.256906959236801</v>
      </c>
      <c r="AN1884">
        <v>0.999999986209124</v>
      </c>
    </row>
    <row r="1885" spans="1:40" x14ac:dyDescent="0.25">
      <c r="A1885" t="str">
        <f>"20190304164406902"</f>
        <v>20190304164406902</v>
      </c>
      <c r="B1885" t="str">
        <f>"1551689046891385"</f>
        <v>1551689046891385</v>
      </c>
      <c r="C1885" t="s">
        <v>40</v>
      </c>
      <c r="D1885">
        <v>5.3343720000000001</v>
      </c>
      <c r="E1885">
        <v>0.53899439999999998</v>
      </c>
      <c r="F1885" t="s">
        <v>41</v>
      </c>
      <c r="G1885">
        <v>-239.00309999999999</v>
      </c>
      <c r="H1885">
        <v>1.0090460000000001</v>
      </c>
      <c r="I1885">
        <v>283.73520000000002</v>
      </c>
      <c r="J1885">
        <v>-238.41079999999999</v>
      </c>
      <c r="K1885">
        <v>1.1093459999999999</v>
      </c>
      <c r="L1885">
        <v>283.76240000000001</v>
      </c>
      <c r="M1885">
        <v>-0.99998339999999997</v>
      </c>
      <c r="N1885">
        <v>-5.4648359999999998E-3</v>
      </c>
      <c r="O1885">
        <v>1.8936739999999999E-3</v>
      </c>
      <c r="P1885">
        <v>-0.93705950000000005</v>
      </c>
      <c r="Q1885">
        <v>0.33443060000000002</v>
      </c>
      <c r="R1885">
        <v>-0.10038030000000001</v>
      </c>
      <c r="S1885">
        <v>-3.322937</v>
      </c>
      <c r="T1885">
        <v>-0.36987720000000002</v>
      </c>
      <c r="U1885">
        <v>-9.8388669999999998E-2</v>
      </c>
      <c r="V1885">
        <v>-0.1019074</v>
      </c>
      <c r="W1885">
        <v>0.33961980000000003</v>
      </c>
      <c r="X1885">
        <v>0.93502580000000002</v>
      </c>
      <c r="Y1885">
        <v>-3.1275699999999997E-2</v>
      </c>
      <c r="Z1885">
        <v>-2.0204490000000001E-3</v>
      </c>
      <c r="AA1885">
        <v>0.99950870000000003</v>
      </c>
      <c r="AB1885">
        <v>34</v>
      </c>
      <c r="AC1885">
        <v>-0.59229999999999405</v>
      </c>
      <c r="AD1885">
        <v>-0.1003</v>
      </c>
      <c r="AE1885">
        <v>-2.71999999999934E-2</v>
      </c>
      <c r="AF1885">
        <v>-2.7533696559615999E-2</v>
      </c>
      <c r="AG1885">
        <v>-0.1003</v>
      </c>
      <c r="AH1885">
        <v>0.57577136243381899</v>
      </c>
      <c r="AI1885">
        <v>99.870768026855004</v>
      </c>
      <c r="AJ1885">
        <v>92.737829337168407</v>
      </c>
      <c r="AK1885">
        <v>0.58509046842786006</v>
      </c>
      <c r="AL1885">
        <v>70.146287793179098</v>
      </c>
      <c r="AM1885">
        <v>96.220051025684995</v>
      </c>
      <c r="AN1885">
        <v>0.99999998669621903</v>
      </c>
    </row>
    <row r="1886" spans="1:40" x14ac:dyDescent="0.25">
      <c r="A1886" t="str">
        <f>"20190304164406927"</f>
        <v>20190304164406927</v>
      </c>
      <c r="B1886" t="str">
        <f>"1551689046922614"</f>
        <v>1551689046922614</v>
      </c>
      <c r="C1886" t="s">
        <v>40</v>
      </c>
      <c r="D1886">
        <v>5.2669610000000002</v>
      </c>
      <c r="E1886">
        <v>0.5387052</v>
      </c>
      <c r="F1886" t="s">
        <v>41</v>
      </c>
      <c r="G1886">
        <v>-239.31299999999999</v>
      </c>
      <c r="H1886">
        <v>1.0090790000000001</v>
      </c>
      <c r="I1886">
        <v>283.73660000000001</v>
      </c>
      <c r="J1886">
        <v>-238.81020000000001</v>
      </c>
      <c r="K1886">
        <v>1.109413</v>
      </c>
      <c r="L1886">
        <v>283.76339999999999</v>
      </c>
      <c r="M1886">
        <v>-0.99998299999999996</v>
      </c>
      <c r="N1886">
        <v>-5.4954469999999997E-3</v>
      </c>
      <c r="O1886">
        <v>2.0628270000000002E-3</v>
      </c>
      <c r="P1886">
        <v>-0.93696100000000004</v>
      </c>
      <c r="Q1886">
        <v>0.33486090000000002</v>
      </c>
      <c r="R1886">
        <v>-9.9864289999999994E-2</v>
      </c>
      <c r="S1886">
        <v>-3.323105</v>
      </c>
      <c r="T1886">
        <v>-0.36946010000000001</v>
      </c>
      <c r="U1886">
        <v>-9.5703129999999997E-2</v>
      </c>
      <c r="V1886">
        <v>-0.10159899999999999</v>
      </c>
      <c r="W1886">
        <v>0.3400629</v>
      </c>
      <c r="X1886">
        <v>0.93489829999999996</v>
      </c>
      <c r="Y1886">
        <v>-3.0639820000000002E-2</v>
      </c>
      <c r="Z1886">
        <v>-1.9994470000000001E-3</v>
      </c>
      <c r="AA1886">
        <v>0.99952850000000004</v>
      </c>
      <c r="AB1886">
        <v>35</v>
      </c>
      <c r="AC1886">
        <v>-0.50279999999997904</v>
      </c>
      <c r="AD1886">
        <v>-0.10033399999999899</v>
      </c>
      <c r="AE1886">
        <v>-2.67999999999801E-2</v>
      </c>
      <c r="AF1886">
        <v>-2.67740159679043E-2</v>
      </c>
      <c r="AG1886">
        <v>-0.10033399999999899</v>
      </c>
      <c r="AH1886">
        <v>0.48354330274120599</v>
      </c>
      <c r="AI1886">
        <v>101.704947137848</v>
      </c>
      <c r="AJ1886">
        <v>93.169257551031706</v>
      </c>
      <c r="AK1886">
        <v>0.49456838264584102</v>
      </c>
      <c r="AL1886">
        <v>70.119293305112606</v>
      </c>
      <c r="AM1886">
        <v>96.202213456762394</v>
      </c>
      <c r="AN1886">
        <v>0.99999998205014895</v>
      </c>
    </row>
    <row r="1887" spans="1:40" x14ac:dyDescent="0.25">
      <c r="A1887" t="str">
        <f>"20190304164406947"</f>
        <v>20190304164406947</v>
      </c>
      <c r="B1887" t="str">
        <f>"1551689046942134"</f>
        <v>1551689046942134</v>
      </c>
      <c r="C1887" t="s">
        <v>40</v>
      </c>
      <c r="D1887">
        <v>5.3041729999999996</v>
      </c>
      <c r="E1887">
        <v>0.5385451</v>
      </c>
      <c r="F1887" t="s">
        <v>41</v>
      </c>
      <c r="G1887">
        <v>-239.6284</v>
      </c>
      <c r="H1887">
        <v>1.018902</v>
      </c>
      <c r="I1887">
        <v>283.73989999999998</v>
      </c>
      <c r="J1887">
        <v>-239.13339999999999</v>
      </c>
      <c r="K1887">
        <v>1.109464</v>
      </c>
      <c r="L1887">
        <v>283.76409999999998</v>
      </c>
      <c r="M1887">
        <v>-0.9999825</v>
      </c>
      <c r="N1887">
        <v>-5.520868E-3</v>
      </c>
      <c r="O1887">
        <v>2.1514329999999999E-3</v>
      </c>
      <c r="P1887">
        <v>-0.93686400000000003</v>
      </c>
      <c r="Q1887">
        <v>0.3351925</v>
      </c>
      <c r="R1887">
        <v>-9.9660579999999999E-2</v>
      </c>
      <c r="S1887">
        <v>-3.3230439999999999</v>
      </c>
      <c r="T1887">
        <v>-0.36770239999999998</v>
      </c>
      <c r="U1887">
        <v>-9.5764160000000001E-2</v>
      </c>
      <c r="V1887">
        <v>-0.1015133</v>
      </c>
      <c r="W1887">
        <v>0.34040720000000002</v>
      </c>
      <c r="X1887">
        <v>0.93478229999999995</v>
      </c>
      <c r="Y1887">
        <v>-3.0747980000000001E-2</v>
      </c>
      <c r="Z1887">
        <v>-2.0062579999999999E-3</v>
      </c>
      <c r="AA1887">
        <v>0.99952510000000006</v>
      </c>
      <c r="AB1887">
        <v>35</v>
      </c>
      <c r="AC1887">
        <v>-0.49500000000000399</v>
      </c>
      <c r="AD1887">
        <v>-9.0562000000000004E-2</v>
      </c>
      <c r="AE1887">
        <v>-2.42000000000075E-2</v>
      </c>
      <c r="AF1887">
        <v>-2.4448529681089098E-2</v>
      </c>
      <c r="AG1887">
        <v>-9.0562000000000004E-2</v>
      </c>
      <c r="AH1887">
        <v>0.47895348566601398</v>
      </c>
      <c r="AI1887">
        <v>100.693652072009</v>
      </c>
      <c r="AJ1887">
        <v>92.922168511412394</v>
      </c>
      <c r="AK1887">
        <v>0.48805291504015402</v>
      </c>
      <c r="AL1887">
        <v>70.098314759258301</v>
      </c>
      <c r="AM1887">
        <v>96.197785559193804</v>
      </c>
      <c r="AN1887">
        <v>0.99999998014100899</v>
      </c>
    </row>
    <row r="1888" spans="1:40" x14ac:dyDescent="0.25">
      <c r="A1888" t="str">
        <f>"20190304164406971"</f>
        <v>20190304164406971</v>
      </c>
      <c r="B1888" t="str">
        <f>"1551689046961653"</f>
        <v>1551689046961653</v>
      </c>
      <c r="C1888" t="s">
        <v>40</v>
      </c>
      <c r="D1888">
        <v>5.2974480000000002</v>
      </c>
      <c r="E1888">
        <v>0.53853249999999997</v>
      </c>
      <c r="F1888" t="s">
        <v>41</v>
      </c>
      <c r="G1888">
        <v>-239.9409</v>
      </c>
      <c r="H1888">
        <v>1.020364</v>
      </c>
      <c r="I1888">
        <v>283.74079999999998</v>
      </c>
      <c r="J1888">
        <v>-239.48990000000001</v>
      </c>
      <c r="K1888">
        <v>1.109504</v>
      </c>
      <c r="L1888">
        <v>283.76499999999999</v>
      </c>
      <c r="M1888">
        <v>-0.99998209999999998</v>
      </c>
      <c r="N1888">
        <v>-5.5490979999999997E-3</v>
      </c>
      <c r="O1888">
        <v>2.214766E-3</v>
      </c>
      <c r="P1888">
        <v>-0.93683430000000001</v>
      </c>
      <c r="Q1888">
        <v>0.33500839999999998</v>
      </c>
      <c r="R1888">
        <v>-0.1005545</v>
      </c>
      <c r="S1888">
        <v>-3.3231510000000002</v>
      </c>
      <c r="T1888">
        <v>-0.3669268</v>
      </c>
      <c r="U1888">
        <v>-9.6832280000000007E-2</v>
      </c>
      <c r="V1888">
        <v>-0.10249999999999999</v>
      </c>
      <c r="W1888">
        <v>0.34023999999999999</v>
      </c>
      <c r="X1888">
        <v>0.93473550000000005</v>
      </c>
      <c r="Y1888">
        <v>-3.1129400000000002E-2</v>
      </c>
      <c r="Z1888">
        <v>-2.031181E-3</v>
      </c>
      <c r="AA1888">
        <v>0.99951330000000005</v>
      </c>
      <c r="AB1888">
        <v>35</v>
      </c>
      <c r="AC1888">
        <v>-0.45099999999999302</v>
      </c>
      <c r="AD1888">
        <v>-8.9139999999999997E-2</v>
      </c>
      <c r="AE1888">
        <v>-2.42000000000075E-2</v>
      </c>
      <c r="AF1888">
        <v>-2.42540421295885E-2</v>
      </c>
      <c r="AG1888">
        <v>-8.9139999999999997E-2</v>
      </c>
      <c r="AH1888">
        <v>0.43403810713315599</v>
      </c>
      <c r="AI1888">
        <v>101.588082971801</v>
      </c>
      <c r="AJ1888">
        <v>93.198360925478099</v>
      </c>
      <c r="AK1888">
        <v>0.44376038196684098</v>
      </c>
      <c r="AL1888">
        <v>70.1085027752206</v>
      </c>
      <c r="AM1888">
        <v>96.257862657310895</v>
      </c>
      <c r="AN1888">
        <v>0.99999998128012402</v>
      </c>
    </row>
    <row r="1889" spans="1:40" x14ac:dyDescent="0.25">
      <c r="A1889" t="str">
        <f>"20190304164406992"</f>
        <v>20190304164406992</v>
      </c>
      <c r="B1889" t="str">
        <f>"1551689046982149"</f>
        <v>1551689046982149</v>
      </c>
      <c r="C1889" t="s">
        <v>40</v>
      </c>
      <c r="D1889">
        <v>5.2974290000000002</v>
      </c>
      <c r="E1889">
        <v>0.54268939999999999</v>
      </c>
      <c r="F1889" t="s">
        <v>41</v>
      </c>
      <c r="G1889">
        <v>-240.25640000000001</v>
      </c>
      <c r="H1889">
        <v>1.0247029999999999</v>
      </c>
      <c r="I1889">
        <v>283.74189999999999</v>
      </c>
      <c r="J1889">
        <v>-239.82300000000001</v>
      </c>
      <c r="K1889">
        <v>1.109534</v>
      </c>
      <c r="L1889">
        <v>283.76569999999998</v>
      </c>
      <c r="M1889">
        <v>-0.99998200000000004</v>
      </c>
      <c r="N1889">
        <v>-5.5751819999999997E-3</v>
      </c>
      <c r="O1889">
        <v>2.24902E-3</v>
      </c>
      <c r="P1889">
        <v>-0.93665549999999997</v>
      </c>
      <c r="Q1889">
        <v>0.33523649999999999</v>
      </c>
      <c r="R1889">
        <v>-0.1014549</v>
      </c>
      <c r="S1889">
        <v>-3.3229829999999998</v>
      </c>
      <c r="T1889">
        <v>-0.3676528</v>
      </c>
      <c r="U1889">
        <v>-0.10018920000000001</v>
      </c>
      <c r="V1889">
        <v>-0.10345699999999999</v>
      </c>
      <c r="W1889">
        <v>0.34048390000000001</v>
      </c>
      <c r="X1889">
        <v>0.93454130000000002</v>
      </c>
      <c r="Y1889">
        <v>-3.2166229999999997E-2</v>
      </c>
      <c r="Z1889">
        <v>-2.0991080000000001E-3</v>
      </c>
      <c r="AA1889">
        <v>0.99948029999999999</v>
      </c>
      <c r="AB1889">
        <v>35</v>
      </c>
      <c r="AC1889">
        <v>-0.43340000000003398</v>
      </c>
      <c r="AD1889">
        <v>-8.4830999999999795E-2</v>
      </c>
      <c r="AE1889">
        <v>-2.3799999999994201E-2</v>
      </c>
      <c r="AF1889">
        <v>-2.3863189633456999E-2</v>
      </c>
      <c r="AG1889">
        <v>-8.4830999999999795E-2</v>
      </c>
      <c r="AH1889">
        <v>0.41740207455758299</v>
      </c>
      <c r="AI1889">
        <v>101.469850452012</v>
      </c>
      <c r="AJ1889">
        <v>93.272080859390996</v>
      </c>
      <c r="AK1889">
        <v>0.42660314371258001</v>
      </c>
      <c r="AL1889">
        <v>70.093642206646706</v>
      </c>
      <c r="AM1889">
        <v>96.317121564195006</v>
      </c>
      <c r="AN1889">
        <v>1.0000000392069399</v>
      </c>
    </row>
    <row r="1890" spans="1:40" x14ac:dyDescent="0.25">
      <c r="A1890" t="str">
        <f>"20190304164407016"</f>
        <v>20190304164407016</v>
      </c>
      <c r="B1890" t="str">
        <f>"1551689047011429"</f>
        <v>1551689047011429</v>
      </c>
      <c r="C1890" t="s">
        <v>40</v>
      </c>
      <c r="D1890">
        <v>5.2952219999999999</v>
      </c>
      <c r="E1890">
        <v>0.54263139999999999</v>
      </c>
      <c r="F1890" t="s">
        <v>41</v>
      </c>
      <c r="G1890">
        <v>-240.56610000000001</v>
      </c>
      <c r="H1890">
        <v>1.018327</v>
      </c>
      <c r="I1890">
        <v>283.74959999999999</v>
      </c>
      <c r="J1890">
        <v>-240.1823</v>
      </c>
      <c r="K1890">
        <v>1.1095520000000001</v>
      </c>
      <c r="L1890">
        <v>283.76659999999998</v>
      </c>
      <c r="M1890">
        <v>-0.99998180000000003</v>
      </c>
      <c r="N1890">
        <v>-5.6027119999999897E-3</v>
      </c>
      <c r="O1890">
        <v>2.2708419999999999E-3</v>
      </c>
      <c r="P1890">
        <v>-0.93629560000000001</v>
      </c>
      <c r="Q1890">
        <v>0.3360281</v>
      </c>
      <c r="R1890">
        <v>-0.1021561</v>
      </c>
      <c r="S1890">
        <v>-3.341812</v>
      </c>
      <c r="T1890">
        <v>-0.41036689999999998</v>
      </c>
      <c r="U1890">
        <v>-7.3486330000000002E-2</v>
      </c>
      <c r="V1890">
        <v>-0.1041976</v>
      </c>
      <c r="W1890">
        <v>0.34129350000000003</v>
      </c>
      <c r="X1890">
        <v>0.93416359999999998</v>
      </c>
      <c r="Y1890">
        <v>-2.4050519999999999E-2</v>
      </c>
      <c r="Z1890">
        <v>-1.8037229999999999E-3</v>
      </c>
      <c r="AA1890">
        <v>0.99970910000000002</v>
      </c>
      <c r="AB1890">
        <v>35</v>
      </c>
      <c r="AC1890">
        <v>-0.38380000000000702</v>
      </c>
      <c r="AD1890">
        <v>-9.1225000000000098E-2</v>
      </c>
      <c r="AE1890">
        <v>-1.69999999999959E-2</v>
      </c>
      <c r="AF1890">
        <v>-1.6917612778915399E-2</v>
      </c>
      <c r="AG1890">
        <v>-9.1225000000000098E-2</v>
      </c>
      <c r="AH1890">
        <v>0.36327689666823199</v>
      </c>
      <c r="AI1890">
        <v>104.081808359265</v>
      </c>
      <c r="AJ1890">
        <v>92.666307748386302</v>
      </c>
      <c r="AK1890">
        <v>0.37493774136520203</v>
      </c>
      <c r="AL1890">
        <v>70.044299573874</v>
      </c>
      <c r="AM1890">
        <v>96.364524546797597</v>
      </c>
      <c r="AN1890">
        <v>1.0000000122764801</v>
      </c>
    </row>
    <row r="1891" spans="1:40" x14ac:dyDescent="0.25">
      <c r="A1891" t="str">
        <f>"20190304164407039"</f>
        <v>20190304164407039</v>
      </c>
      <c r="B1891" t="str">
        <f>"1551689047031926"</f>
        <v>1551689047031926</v>
      </c>
      <c r="C1891" t="s">
        <v>40</v>
      </c>
      <c r="D1891">
        <v>5.2951439999999996</v>
      </c>
      <c r="E1891">
        <v>0.54268059999999996</v>
      </c>
      <c r="F1891" t="s">
        <v>41</v>
      </c>
      <c r="G1891">
        <v>-241.18209999999999</v>
      </c>
      <c r="H1891">
        <v>0.98779419999999996</v>
      </c>
      <c r="I1891">
        <v>283.74349999999998</v>
      </c>
      <c r="J1891">
        <v>-240.55879999999999</v>
      </c>
      <c r="K1891">
        <v>1.1095729999999999</v>
      </c>
      <c r="L1891">
        <v>283.76749999999998</v>
      </c>
      <c r="M1891">
        <v>-0.99998160000000003</v>
      </c>
      <c r="N1891">
        <v>-5.6307190000000002E-3</v>
      </c>
      <c r="O1891">
        <v>2.2829249999999999E-3</v>
      </c>
      <c r="P1891">
        <v>-0.93603519999999896</v>
      </c>
      <c r="Q1891">
        <v>0.33670630000000001</v>
      </c>
      <c r="R1891">
        <v>-0.102311</v>
      </c>
      <c r="S1891">
        <v>-3.3417210000000002</v>
      </c>
      <c r="T1891">
        <v>-0.40715440000000003</v>
      </c>
      <c r="U1891">
        <v>-7.8277589999999994E-2</v>
      </c>
      <c r="V1891">
        <v>-0.1043779</v>
      </c>
      <c r="W1891">
        <v>0.34199170000000001</v>
      </c>
      <c r="X1891">
        <v>0.9338881</v>
      </c>
      <c r="Y1891">
        <v>-2.5487679999999999E-2</v>
      </c>
      <c r="Z1891">
        <v>-1.8831029999999999E-3</v>
      </c>
      <c r="AA1891">
        <v>0.99967340000000005</v>
      </c>
      <c r="AB1891">
        <v>35</v>
      </c>
      <c r="AC1891">
        <v>-0.62329999999999997</v>
      </c>
      <c r="AD1891">
        <v>-0.12177879999999899</v>
      </c>
      <c r="AE1891">
        <v>-2.4000000000000899E-2</v>
      </c>
      <c r="AF1891">
        <v>-2.44894699010961E-2</v>
      </c>
      <c r="AG1891">
        <v>-0.12177879999999899</v>
      </c>
      <c r="AH1891">
        <v>0.600360334743825</v>
      </c>
      <c r="AI1891">
        <v>101.457189211604</v>
      </c>
      <c r="AJ1891">
        <v>92.335873506537993</v>
      </c>
      <c r="AK1891">
        <v>0.61307613050843301</v>
      </c>
      <c r="AL1891">
        <v>70.001734806582704</v>
      </c>
      <c r="AM1891">
        <v>96.377312185914803</v>
      </c>
      <c r="AN1891">
        <v>1.0000000260994499</v>
      </c>
    </row>
    <row r="1892" spans="1:40" x14ac:dyDescent="0.25">
      <c r="A1892" t="str">
        <f>"20190304164407063"</f>
        <v>20190304164407063</v>
      </c>
      <c r="B1892" t="str">
        <f>"1551689047051445"</f>
        <v>1551689047051445</v>
      </c>
      <c r="C1892" t="s">
        <v>40</v>
      </c>
      <c r="D1892">
        <v>5.3032539999999999</v>
      </c>
      <c r="E1892">
        <v>0.54273640000000001</v>
      </c>
      <c r="F1892" t="s">
        <v>41</v>
      </c>
      <c r="G1892">
        <v>-241.50219999999999</v>
      </c>
      <c r="H1892">
        <v>0.9954404</v>
      </c>
      <c r="I1892">
        <v>283.74509999999998</v>
      </c>
      <c r="J1892">
        <v>-240.9239</v>
      </c>
      <c r="K1892">
        <v>1.1095889999999999</v>
      </c>
      <c r="L1892">
        <v>283.76830000000001</v>
      </c>
      <c r="M1892">
        <v>-0.99998140000000002</v>
      </c>
      <c r="N1892">
        <v>-5.6571049999999999E-3</v>
      </c>
      <c r="O1892">
        <v>2.2902140000000001E-3</v>
      </c>
      <c r="P1892">
        <v>-0.93593150000000003</v>
      </c>
      <c r="Q1892">
        <v>0.33711629999999998</v>
      </c>
      <c r="R1892">
        <v>-0.1019051</v>
      </c>
      <c r="S1892">
        <v>-3.3417509999999999</v>
      </c>
      <c r="T1892">
        <v>-0.40446759999999998</v>
      </c>
      <c r="U1892">
        <v>-7.9956050000000001E-2</v>
      </c>
      <c r="V1892">
        <v>-0.10399</v>
      </c>
      <c r="W1892">
        <v>0.34242220000000001</v>
      </c>
      <c r="X1892">
        <v>0.93377359999999998</v>
      </c>
      <c r="Y1892">
        <v>-2.5995359999999999E-2</v>
      </c>
      <c r="Z1892">
        <v>-1.904289E-3</v>
      </c>
      <c r="AA1892">
        <v>0.99966029999999995</v>
      </c>
      <c r="AB1892">
        <v>35</v>
      </c>
      <c r="AC1892">
        <v>-0.57829999999998405</v>
      </c>
      <c r="AD1892">
        <v>-0.114148599999999</v>
      </c>
      <c r="AE1892">
        <v>-2.3200000000031199E-2</v>
      </c>
      <c r="AF1892">
        <v>-2.36061401473871E-2</v>
      </c>
      <c r="AG1892">
        <v>-0.114148599999999</v>
      </c>
      <c r="AH1892">
        <v>0.55659448260952005</v>
      </c>
      <c r="AI1892">
        <v>101.579614383681</v>
      </c>
      <c r="AJ1892">
        <v>92.428558239566101</v>
      </c>
      <c r="AK1892">
        <v>0.56866912243058998</v>
      </c>
      <c r="AL1892">
        <v>69.975483731323095</v>
      </c>
      <c r="AM1892">
        <v>96.354579073791399</v>
      </c>
      <c r="AN1892">
        <v>1.0000000096049</v>
      </c>
    </row>
    <row r="1893" spans="1:40" x14ac:dyDescent="0.25">
      <c r="A1893" t="str">
        <f>"20190304164407082"</f>
        <v>20190304164407082</v>
      </c>
      <c r="B1893" t="str">
        <f>"1551689047071941"</f>
        <v>1551689047071941</v>
      </c>
      <c r="C1893" t="s">
        <v>40</v>
      </c>
      <c r="D1893">
        <v>5.2771439999999998</v>
      </c>
      <c r="E1893">
        <v>0.54271550000000002</v>
      </c>
      <c r="F1893" t="s">
        <v>41</v>
      </c>
      <c r="G1893">
        <v>-241.82230000000001</v>
      </c>
      <c r="H1893">
        <v>1.001207</v>
      </c>
      <c r="I1893">
        <v>283.74709999999999</v>
      </c>
      <c r="J1893">
        <v>-241.25309999999999</v>
      </c>
      <c r="K1893">
        <v>1.1096060000000001</v>
      </c>
      <c r="L1893">
        <v>283.76920000000001</v>
      </c>
      <c r="M1893">
        <v>-0.99998140000000002</v>
      </c>
      <c r="N1893">
        <v>-5.6802650000000003E-3</v>
      </c>
      <c r="O1893">
        <v>2.2956299999999999E-3</v>
      </c>
      <c r="P1893">
        <v>-0.93596109999999999</v>
      </c>
      <c r="Q1893">
        <v>0.33725070000000001</v>
      </c>
      <c r="R1893">
        <v>-0.1011895</v>
      </c>
      <c r="S1893">
        <v>-3.3419490000000001</v>
      </c>
      <c r="T1893">
        <v>-0.40335929999999998</v>
      </c>
      <c r="U1893">
        <v>-7.9742430000000003E-2</v>
      </c>
      <c r="V1893">
        <v>-0.1032875</v>
      </c>
      <c r="W1893">
        <v>0.34257549999999998</v>
      </c>
      <c r="X1893">
        <v>0.93379529999999999</v>
      </c>
      <c r="Y1893">
        <v>-2.5937040000000001E-2</v>
      </c>
      <c r="Z1893">
        <v>-1.896362E-3</v>
      </c>
      <c r="AA1893">
        <v>0.99966180000000004</v>
      </c>
      <c r="AB1893">
        <v>35</v>
      </c>
      <c r="AC1893">
        <v>-0.56920000000002302</v>
      </c>
      <c r="AD1893">
        <v>-0.108398999999999</v>
      </c>
      <c r="AE1893">
        <v>-2.2100000000023101E-2</v>
      </c>
      <c r="AF1893">
        <v>-2.2588629305997698E-2</v>
      </c>
      <c r="AG1893">
        <v>-0.108398999999999</v>
      </c>
      <c r="AH1893">
        <v>0.54925741277280804</v>
      </c>
      <c r="AI1893">
        <v>101.154977880237</v>
      </c>
      <c r="AJ1893">
        <v>92.355005460132304</v>
      </c>
      <c r="AK1893">
        <v>0.56030732179831699</v>
      </c>
      <c r="AL1893">
        <v>69.966134057346295</v>
      </c>
      <c r="AM1893">
        <v>96.3118531371139</v>
      </c>
      <c r="AN1893">
        <v>0.99999997157929399</v>
      </c>
    </row>
    <row r="1894" spans="1:40" x14ac:dyDescent="0.25">
      <c r="A1894" t="str">
        <f>"20190304164407104"</f>
        <v>20190304164407104</v>
      </c>
      <c r="B1894" t="str">
        <f>"1551689047091461"</f>
        <v>1551689047091461</v>
      </c>
      <c r="C1894" t="s">
        <v>40</v>
      </c>
      <c r="D1894">
        <v>5.321002</v>
      </c>
      <c r="E1894">
        <v>0.54276169999999901</v>
      </c>
      <c r="F1894" t="s">
        <v>41</v>
      </c>
      <c r="G1894">
        <v>-242.1412</v>
      </c>
      <c r="H1894">
        <v>1.002453</v>
      </c>
      <c r="I1894">
        <v>283.74869999999999</v>
      </c>
      <c r="J1894">
        <v>-241.58789999999999</v>
      </c>
      <c r="K1894">
        <v>1.1096189999999999</v>
      </c>
      <c r="L1894">
        <v>283.76990000000001</v>
      </c>
      <c r="M1894">
        <v>-0.99998120000000001</v>
      </c>
      <c r="N1894">
        <v>-5.7032009999999998E-3</v>
      </c>
      <c r="O1894">
        <v>2.3017110000000001E-3</v>
      </c>
      <c r="P1894">
        <v>-0.93586009999999997</v>
      </c>
      <c r="Q1894">
        <v>0.3377928</v>
      </c>
      <c r="R1894">
        <v>-0.10031030000000001</v>
      </c>
      <c r="S1894">
        <v>-3.3422089999999902</v>
      </c>
      <c r="T1894">
        <v>-0.40328449999999999</v>
      </c>
      <c r="U1894">
        <v>-7.7545169999999997E-2</v>
      </c>
      <c r="V1894">
        <v>-0.10242039999999999</v>
      </c>
      <c r="W1894">
        <v>0.34313680000000002</v>
      </c>
      <c r="X1894">
        <v>0.93368479999999998</v>
      </c>
      <c r="Y1894">
        <v>-2.528938E-2</v>
      </c>
      <c r="Z1894">
        <v>-1.8560569999999999E-3</v>
      </c>
      <c r="AA1894">
        <v>0.99967839999999997</v>
      </c>
      <c r="AB1894">
        <v>36</v>
      </c>
      <c r="AC1894">
        <v>-0.55330000000000701</v>
      </c>
      <c r="AD1894">
        <v>-0.107166</v>
      </c>
      <c r="AE1894">
        <v>-2.1200000000021601E-2</v>
      </c>
      <c r="AF1894">
        <v>-2.1662062991911899E-2</v>
      </c>
      <c r="AG1894">
        <v>-0.107166</v>
      </c>
      <c r="AH1894">
        <v>0.53327385891274603</v>
      </c>
      <c r="AI1894">
        <v>101.35361758413499</v>
      </c>
      <c r="AJ1894">
        <v>92.326127159522102</v>
      </c>
      <c r="AK1894">
        <v>0.54436642542386604</v>
      </c>
      <c r="AL1894">
        <v>69.931900589512694</v>
      </c>
      <c r="AM1894">
        <v>96.260022280979101</v>
      </c>
      <c r="AN1894">
        <v>1.0000000538007101</v>
      </c>
    </row>
    <row r="1895" spans="1:40" x14ac:dyDescent="0.25">
      <c r="A1895" t="str">
        <f>"20190304164407128"</f>
        <v>20190304164407128</v>
      </c>
      <c r="B1895" t="str">
        <f>"1551689047121718"</f>
        <v>1551689047121718</v>
      </c>
      <c r="C1895" t="s">
        <v>40</v>
      </c>
      <c r="D1895">
        <v>5.2971629999999896</v>
      </c>
      <c r="E1895">
        <v>0.54274180000000005</v>
      </c>
      <c r="F1895" t="s">
        <v>41</v>
      </c>
      <c r="G1895">
        <v>-242.4614</v>
      </c>
      <c r="H1895">
        <v>1.0044010000000001</v>
      </c>
      <c r="I1895">
        <v>283.7509</v>
      </c>
      <c r="J1895">
        <v>-241.9562</v>
      </c>
      <c r="K1895">
        <v>1.109626</v>
      </c>
      <c r="L1895">
        <v>283.77080000000001</v>
      </c>
      <c r="M1895">
        <v>-0.99998100000000001</v>
      </c>
      <c r="N1895">
        <v>-5.727869E-3</v>
      </c>
      <c r="O1895">
        <v>2.3093409999999999E-3</v>
      </c>
      <c r="P1895">
        <v>-0.93585870000000004</v>
      </c>
      <c r="Q1895">
        <v>0.3380647</v>
      </c>
      <c r="R1895">
        <v>-9.9404980000000004E-2</v>
      </c>
      <c r="S1895">
        <v>-3.34314</v>
      </c>
      <c r="T1895">
        <v>-0.40284750000000003</v>
      </c>
      <c r="U1895">
        <v>-7.3791499999999996E-2</v>
      </c>
      <c r="V1895">
        <v>-0.1015277</v>
      </c>
      <c r="W1895">
        <v>0.34342919999999999</v>
      </c>
      <c r="X1895">
        <v>0.93367480000000003</v>
      </c>
      <c r="Y1895">
        <v>-2.4177560000000001E-2</v>
      </c>
      <c r="Z1895">
        <v>-1.7848439999999901E-3</v>
      </c>
      <c r="AA1895">
        <v>0.99970610000000004</v>
      </c>
      <c r="AB1895">
        <v>36</v>
      </c>
      <c r="AC1895">
        <v>-0.50520000000000198</v>
      </c>
      <c r="AD1895">
        <v>-0.105224999999999</v>
      </c>
      <c r="AE1895">
        <v>-1.9900000000006898E-2</v>
      </c>
      <c r="AF1895">
        <v>-2.0192028289295599E-2</v>
      </c>
      <c r="AG1895">
        <v>-0.105224999999999</v>
      </c>
      <c r="AH1895">
        <v>0.48418044263848498</v>
      </c>
      <c r="AI1895">
        <v>102.250874366064</v>
      </c>
      <c r="AJ1895">
        <v>92.3880518509404</v>
      </c>
      <c r="AK1895">
        <v>0.49589385927336799</v>
      </c>
      <c r="AL1895">
        <v>69.914063517746897</v>
      </c>
      <c r="AM1895">
        <v>96.205953234402799</v>
      </c>
      <c r="AN1895">
        <v>1.0000000607174799</v>
      </c>
    </row>
    <row r="1896" spans="1:40" x14ac:dyDescent="0.25">
      <c r="A1896" t="str">
        <f>"20190304164407150"</f>
        <v>20190304164407150</v>
      </c>
      <c r="B1896" t="str">
        <f>"1551689047142214"</f>
        <v>1551689047142214</v>
      </c>
      <c r="C1896" t="s">
        <v>40</v>
      </c>
      <c r="D1896">
        <v>5.2918000000000003</v>
      </c>
      <c r="E1896">
        <v>0.54272909999999996</v>
      </c>
      <c r="F1896" t="s">
        <v>41</v>
      </c>
      <c r="G1896">
        <v>-242.7843</v>
      </c>
      <c r="H1896">
        <v>1.0100789999999999</v>
      </c>
      <c r="I1896">
        <v>283.75360000000001</v>
      </c>
      <c r="J1896">
        <v>-242.32660000000001</v>
      </c>
      <c r="K1896">
        <v>1.1096250000000001</v>
      </c>
      <c r="L1896">
        <v>283.77170000000001</v>
      </c>
      <c r="M1896">
        <v>-0.99998089999999995</v>
      </c>
      <c r="N1896">
        <v>-5.7495089999999999E-3</v>
      </c>
      <c r="O1896">
        <v>2.31818E-3</v>
      </c>
      <c r="P1896">
        <v>-0.93598709999999996</v>
      </c>
      <c r="Q1896">
        <v>0.33800669999999999</v>
      </c>
      <c r="R1896">
        <v>-9.8386109999999999E-2</v>
      </c>
      <c r="S1896">
        <v>-3.3434300000000001</v>
      </c>
      <c r="T1896">
        <v>-0.40213670000000001</v>
      </c>
      <c r="U1896">
        <v>-7.012939E-2</v>
      </c>
      <c r="V1896">
        <v>-0.100523</v>
      </c>
      <c r="W1896">
        <v>0.34339109999999901</v>
      </c>
      <c r="X1896">
        <v>0.9337974</v>
      </c>
      <c r="Y1896">
        <v>-2.3098759999999999E-2</v>
      </c>
      <c r="Z1896">
        <v>-1.7151550000000001E-3</v>
      </c>
      <c r="AA1896">
        <v>0.9997317</v>
      </c>
      <c r="AB1896">
        <v>36</v>
      </c>
      <c r="AC1896">
        <v>-0.45769999999998801</v>
      </c>
      <c r="AD1896">
        <v>-9.9545999999999898E-2</v>
      </c>
      <c r="AE1896">
        <v>-1.8100000000003998E-2</v>
      </c>
      <c r="AF1896">
        <v>-1.8296860501835498E-2</v>
      </c>
      <c r="AG1896">
        <v>-9.9545999999999898E-2</v>
      </c>
      <c r="AH1896">
        <v>0.43701700954872802</v>
      </c>
      <c r="AI1896">
        <v>102.821321857968</v>
      </c>
      <c r="AJ1896">
        <v>92.397437549722795</v>
      </c>
      <c r="AK1896">
        <v>0.44858449355181301</v>
      </c>
      <c r="AL1896">
        <v>69.916385575652995</v>
      </c>
      <c r="AM1896">
        <v>96.144211791002803</v>
      </c>
      <c r="AN1896">
        <v>0.99999995266748298</v>
      </c>
    </row>
    <row r="1897" spans="1:40" x14ac:dyDescent="0.25">
      <c r="A1897" t="str">
        <f>"20190304164407172"</f>
        <v>20190304164407172</v>
      </c>
      <c r="B1897" t="str">
        <f>"1551689047161733"</f>
        <v>1551689047161733</v>
      </c>
      <c r="C1897" t="s">
        <v>40</v>
      </c>
      <c r="D1897">
        <v>5.3120710000000004</v>
      </c>
      <c r="E1897">
        <v>0.54269659999999997</v>
      </c>
      <c r="F1897" t="s">
        <v>41</v>
      </c>
      <c r="G1897">
        <v>-243.108</v>
      </c>
      <c r="H1897">
        <v>1.015558</v>
      </c>
      <c r="I1897">
        <v>283.75650000000002</v>
      </c>
      <c r="J1897">
        <v>-242.6814</v>
      </c>
      <c r="K1897">
        <v>1.109623</v>
      </c>
      <c r="L1897">
        <v>283.77249999999998</v>
      </c>
      <c r="M1897">
        <v>-0.99998069999999895</v>
      </c>
      <c r="N1897">
        <v>-5.7629880000000001E-3</v>
      </c>
      <c r="O1897">
        <v>2.327052E-3</v>
      </c>
      <c r="P1897">
        <v>-0.93607340000000006</v>
      </c>
      <c r="Q1897">
        <v>0.33790799999999999</v>
      </c>
      <c r="R1897">
        <v>-9.7903009999999999E-2</v>
      </c>
      <c r="S1897">
        <v>-3.3436430000000001</v>
      </c>
      <c r="T1897">
        <v>-0.40266000000000002</v>
      </c>
      <c r="U1897">
        <v>-6.588745E-2</v>
      </c>
      <c r="V1897">
        <v>-0.10005169999999999</v>
      </c>
      <c r="W1897">
        <v>0.3433042</v>
      </c>
      <c r="X1897">
        <v>0.93388000000000004</v>
      </c>
      <c r="Y1897">
        <v>-2.1847410000000001E-2</v>
      </c>
      <c r="Z1897">
        <v>-1.6396679999999999E-3</v>
      </c>
      <c r="AA1897">
        <v>0.99975999999999998</v>
      </c>
      <c r="AB1897">
        <v>36</v>
      </c>
      <c r="AC1897">
        <v>-0.42660000000000697</v>
      </c>
      <c r="AD1897">
        <v>-9.4064999999999996E-2</v>
      </c>
      <c r="AE1897">
        <v>-1.59999999999627E-2</v>
      </c>
      <c r="AF1897">
        <v>-1.6205871831946099E-2</v>
      </c>
      <c r="AG1897">
        <v>-9.4064999999999996E-2</v>
      </c>
      <c r="AH1897">
        <v>0.40681030294449699</v>
      </c>
      <c r="AI1897">
        <v>103.009478943289</v>
      </c>
      <c r="AJ1897">
        <v>92.281253317577907</v>
      </c>
      <c r="AK1897">
        <v>0.41785820213156799</v>
      </c>
      <c r="AL1897">
        <v>69.921687537948202</v>
      </c>
      <c r="AM1897">
        <v>96.115086771949905</v>
      </c>
      <c r="AN1897">
        <v>0.99999998540526402</v>
      </c>
    </row>
    <row r="1898" spans="1:40" x14ac:dyDescent="0.25">
      <c r="A1898" t="str">
        <f>"20190304164407192"</f>
        <v>20190304164407192</v>
      </c>
      <c r="B1898" t="str">
        <f>"1551689047182230"</f>
        <v>1551689047182230</v>
      </c>
      <c r="C1898" t="s">
        <v>40</v>
      </c>
      <c r="D1898">
        <v>5.3084989999999896</v>
      </c>
      <c r="E1898">
        <v>0.54268959999999999</v>
      </c>
      <c r="F1898" t="s">
        <v>41</v>
      </c>
      <c r="G1898">
        <v>-243.43180000000001</v>
      </c>
      <c r="H1898">
        <v>1.0189649999999999</v>
      </c>
      <c r="I1898">
        <v>283.75839999999999</v>
      </c>
      <c r="J1898">
        <v>-243.017</v>
      </c>
      <c r="K1898">
        <v>1.109613</v>
      </c>
      <c r="L1898">
        <v>283.77330000000001</v>
      </c>
      <c r="M1898">
        <v>-0.99998069999999895</v>
      </c>
      <c r="N1898">
        <v>-5.7701180000000003E-3</v>
      </c>
      <c r="O1898">
        <v>2.3350580000000001E-3</v>
      </c>
      <c r="P1898">
        <v>-0.93607119999999999</v>
      </c>
      <c r="Q1898">
        <v>0.33807199999999998</v>
      </c>
      <c r="R1898">
        <v>-9.7357250000000006E-2</v>
      </c>
      <c r="S1898">
        <v>-3.3441010000000002</v>
      </c>
      <c r="T1898">
        <v>-0.40411839999999999</v>
      </c>
      <c r="U1898">
        <v>-6.3659670000000002E-2</v>
      </c>
      <c r="V1898">
        <v>-9.9515590000000001E-2</v>
      </c>
      <c r="W1898">
        <v>0.34347440000000001</v>
      </c>
      <c r="X1898">
        <v>0.93387469999999995</v>
      </c>
      <c r="Y1898">
        <v>-2.119066E-2</v>
      </c>
      <c r="Z1898">
        <v>-1.604722E-3</v>
      </c>
      <c r="AA1898">
        <v>0.99977419999999995</v>
      </c>
      <c r="AB1898">
        <v>36</v>
      </c>
      <c r="AC1898">
        <v>-0.41480000000001299</v>
      </c>
      <c r="AD1898">
        <v>-9.0648000000000006E-2</v>
      </c>
      <c r="AE1898">
        <v>-1.4900000000011401E-2</v>
      </c>
      <c r="AF1898">
        <v>-1.51461516559598E-2</v>
      </c>
      <c r="AG1898">
        <v>-9.0648000000000006E-2</v>
      </c>
      <c r="AH1898">
        <v>0.39588220942192998</v>
      </c>
      <c r="AI1898">
        <v>102.88798040771</v>
      </c>
      <c r="AJ1898">
        <v>92.191024228365904</v>
      </c>
      <c r="AK1898">
        <v>0.40641012481331501</v>
      </c>
      <c r="AL1898">
        <v>69.911304438494497</v>
      </c>
      <c r="AM1898">
        <v>96.0826006708009</v>
      </c>
      <c r="AN1898">
        <v>0.99999998570424797</v>
      </c>
    </row>
    <row r="1899" spans="1:40" x14ac:dyDescent="0.25">
      <c r="A1899" t="str">
        <f>"20190304164407217"</f>
        <v>20190304164407217</v>
      </c>
      <c r="B1899" t="str">
        <f>"1551689047211510"</f>
        <v>1551689047211510</v>
      </c>
      <c r="C1899" t="s">
        <v>40</v>
      </c>
      <c r="D1899">
        <v>5.3293850000000003</v>
      </c>
      <c r="E1899">
        <v>0.54271789999999998</v>
      </c>
      <c r="F1899" t="s">
        <v>41</v>
      </c>
      <c r="G1899">
        <v>-243.75550000000001</v>
      </c>
      <c r="H1899">
        <v>1.020332</v>
      </c>
      <c r="I1899">
        <v>283.75990000000002</v>
      </c>
      <c r="J1899">
        <v>-243.4023</v>
      </c>
      <c r="K1899">
        <v>1.1096090000000001</v>
      </c>
      <c r="L1899">
        <v>283.77420000000001</v>
      </c>
      <c r="M1899">
        <v>-0.9999806</v>
      </c>
      <c r="N1899">
        <v>-5.7757859999999998E-3</v>
      </c>
      <c r="O1899">
        <v>2.3441450000000002E-3</v>
      </c>
      <c r="P1899">
        <v>-0.93599589999999999</v>
      </c>
      <c r="Q1899">
        <v>0.33823340000000002</v>
      </c>
      <c r="R1899">
        <v>-9.7519110000000006E-2</v>
      </c>
      <c r="S1899">
        <v>-3.3445589999999998</v>
      </c>
      <c r="T1899">
        <v>-0.40444980000000003</v>
      </c>
      <c r="U1899">
        <v>-6.1431880000000001E-2</v>
      </c>
      <c r="V1899">
        <v>-9.968776E-2</v>
      </c>
      <c r="W1899">
        <v>0.34363969999999999</v>
      </c>
      <c r="X1899">
        <v>0.93379559999999995</v>
      </c>
      <c r="Y1899">
        <v>-2.053611E-2</v>
      </c>
      <c r="Z1899">
        <v>-1.5655489999999901E-3</v>
      </c>
      <c r="AA1899">
        <v>0.99978789999999995</v>
      </c>
      <c r="AB1899">
        <v>36</v>
      </c>
      <c r="AC1899">
        <v>-0.353200000000015</v>
      </c>
      <c r="AD1899">
        <v>-8.9276999999999995E-2</v>
      </c>
      <c r="AE1899">
        <v>-1.42999999999915E-2</v>
      </c>
      <c r="AF1899">
        <v>-1.42208340758424E-2</v>
      </c>
      <c r="AG1899">
        <v>-8.9276999999999995E-2</v>
      </c>
      <c r="AH1899">
        <v>0.33198919117557402</v>
      </c>
      <c r="AI1899">
        <v>105.03847284700601</v>
      </c>
      <c r="AJ1899">
        <v>92.452778583994203</v>
      </c>
      <c r="AK1899">
        <v>0.34407766261154499</v>
      </c>
      <c r="AL1899">
        <v>69.901221110484499</v>
      </c>
      <c r="AM1899">
        <v>96.093557215270295</v>
      </c>
      <c r="AN1899">
        <v>1.00000005774463</v>
      </c>
    </row>
    <row r="1900" spans="1:40" x14ac:dyDescent="0.25">
      <c r="A1900" t="str">
        <f>"20190304164407240"</f>
        <v>20190304164407240</v>
      </c>
      <c r="B1900" t="str">
        <f>"1551689047232007"</f>
        <v>1551689047232007</v>
      </c>
      <c r="C1900" t="s">
        <v>40</v>
      </c>
      <c r="D1900">
        <v>5.2854479999999997</v>
      </c>
      <c r="E1900">
        <v>0.54303259999999998</v>
      </c>
      <c r="F1900" t="s">
        <v>41</v>
      </c>
      <c r="G1900">
        <v>-244.3904</v>
      </c>
      <c r="H1900">
        <v>0.98998330000000001</v>
      </c>
      <c r="I1900">
        <v>283.7561</v>
      </c>
      <c r="J1900">
        <v>-243.7826</v>
      </c>
      <c r="K1900">
        <v>1.1096060000000001</v>
      </c>
      <c r="L1900">
        <v>283.77510000000001</v>
      </c>
      <c r="M1900">
        <v>-0.9999806</v>
      </c>
      <c r="N1900">
        <v>-5.7811900000000003E-3</v>
      </c>
      <c r="O1900">
        <v>2.352523E-3</v>
      </c>
      <c r="P1900">
        <v>-0.93580289999999999</v>
      </c>
      <c r="Q1900">
        <v>0.33857769999999998</v>
      </c>
      <c r="R1900">
        <v>-9.8175999999999999E-2</v>
      </c>
      <c r="S1900">
        <v>-3.3450470000000001</v>
      </c>
      <c r="T1900">
        <v>-0.40510990000000002</v>
      </c>
      <c r="U1900">
        <v>-6.2286380000000002E-2</v>
      </c>
      <c r="V1900">
        <v>-0.1003536</v>
      </c>
      <c r="W1900">
        <v>0.34398759999999901</v>
      </c>
      <c r="X1900">
        <v>0.93359610000000004</v>
      </c>
      <c r="Y1900">
        <v>-2.079458E-2</v>
      </c>
      <c r="Z1900">
        <v>-1.5851369999999999E-3</v>
      </c>
      <c r="AA1900">
        <v>0.99978250000000002</v>
      </c>
      <c r="AB1900">
        <v>36</v>
      </c>
      <c r="AC1900">
        <v>-0.60779999999999701</v>
      </c>
      <c r="AD1900">
        <v>-0.119622699999999</v>
      </c>
      <c r="AE1900">
        <v>-1.9000000000005401E-2</v>
      </c>
      <c r="AF1900">
        <v>-1.9668707144535301E-2</v>
      </c>
      <c r="AG1900">
        <v>-0.119622699999999</v>
      </c>
      <c r="AH1900">
        <v>0.58511134036142298</v>
      </c>
      <c r="AI1900">
        <v>101.548222259244</v>
      </c>
      <c r="AJ1900">
        <v>91.925291210464195</v>
      </c>
      <c r="AK1900">
        <v>0.59753805654164704</v>
      </c>
      <c r="AL1900">
        <v>69.879992554782405</v>
      </c>
      <c r="AM1900">
        <v>96.135249148122796</v>
      </c>
      <c r="AN1900">
        <v>0.999999995960965</v>
      </c>
    </row>
    <row r="1901" spans="1:40" x14ac:dyDescent="0.25">
      <c r="A1901" t="str">
        <f>"20190304164407262"</f>
        <v>20190304164407262</v>
      </c>
      <c r="B1901" t="str">
        <f>"1551689047251525"</f>
        <v>1551689047251525</v>
      </c>
      <c r="C1901" t="s">
        <v>40</v>
      </c>
      <c r="D1901">
        <v>5.3082330000000004</v>
      </c>
      <c r="E1901">
        <v>0.54275039999999997</v>
      </c>
      <c r="F1901" t="s">
        <v>41</v>
      </c>
      <c r="G1901">
        <v>-244.71680000000001</v>
      </c>
      <c r="H1901">
        <v>0.99095440000000001</v>
      </c>
      <c r="I1901">
        <v>283.75729999999999</v>
      </c>
      <c r="J1901">
        <v>-244.14519999999999</v>
      </c>
      <c r="K1901">
        <v>1.1096079999999999</v>
      </c>
      <c r="L1901">
        <v>283.77589999999998</v>
      </c>
      <c r="M1901">
        <v>-0.99998050000000005</v>
      </c>
      <c r="N1901">
        <v>-5.785653E-3</v>
      </c>
      <c r="O1901">
        <v>2.3604300000000002E-3</v>
      </c>
      <c r="P1901">
        <v>-0.93579909999999999</v>
      </c>
      <c r="Q1901">
        <v>0.33851629999999999</v>
      </c>
      <c r="R1901">
        <v>-9.8424200000000003E-2</v>
      </c>
      <c r="S1901">
        <v>-3.3531650000000002</v>
      </c>
      <c r="T1901">
        <v>-0.4258767</v>
      </c>
      <c r="U1901">
        <v>-6.3842769999999993E-2</v>
      </c>
      <c r="V1901">
        <v>-0.10061009999999999</v>
      </c>
      <c r="W1901">
        <v>0.34392979999999901</v>
      </c>
      <c r="X1901">
        <v>0.93358980000000003</v>
      </c>
      <c r="Y1901">
        <v>-2.1200759999999999E-2</v>
      </c>
      <c r="Z1901">
        <v>-1.6873770000000001E-3</v>
      </c>
      <c r="AA1901">
        <v>0.99977380000000005</v>
      </c>
      <c r="AB1901">
        <v>36</v>
      </c>
      <c r="AC1901">
        <v>-0.57160000000001698</v>
      </c>
      <c r="AD1901">
        <v>-0.118653599999999</v>
      </c>
      <c r="AE1901">
        <v>-1.8599999999992099E-2</v>
      </c>
      <c r="AF1901">
        <v>-1.91259263672648E-2</v>
      </c>
      <c r="AG1901">
        <v>-0.118653599999999</v>
      </c>
      <c r="AH1901">
        <v>0.54796750918328696</v>
      </c>
      <c r="AI1901">
        <v>102.210650178693</v>
      </c>
      <c r="AJ1901">
        <v>91.999005721297806</v>
      </c>
      <c r="AK1901">
        <v>0.56099275304846996</v>
      </c>
      <c r="AL1901">
        <v>69.883519678746097</v>
      </c>
      <c r="AM1901">
        <v>96.150851749720999</v>
      </c>
      <c r="AN1901">
        <v>1.0000000071070401</v>
      </c>
    </row>
    <row r="1902" spans="1:40" x14ac:dyDescent="0.25">
      <c r="A1902" t="str">
        <f>"20190304164407282"</f>
        <v>20190304164407282</v>
      </c>
      <c r="B1902" t="str">
        <f>"1551689047272022"</f>
        <v>1551689047272022</v>
      </c>
      <c r="C1902" t="s">
        <v>40</v>
      </c>
      <c r="D1902">
        <v>5.3106849999999897</v>
      </c>
      <c r="E1902">
        <v>0.54250200000000004</v>
      </c>
      <c r="F1902" t="s">
        <v>41</v>
      </c>
      <c r="G1902">
        <v>-245.04560000000001</v>
      </c>
      <c r="H1902">
        <v>0.99485460000000003</v>
      </c>
      <c r="I1902">
        <v>283.75810000000001</v>
      </c>
      <c r="J1902">
        <v>-244.4872</v>
      </c>
      <c r="K1902">
        <v>1.109612</v>
      </c>
      <c r="L1902">
        <v>283.77679999999998</v>
      </c>
      <c r="M1902">
        <v>-0.99998050000000005</v>
      </c>
      <c r="N1902">
        <v>-5.7872380000000001E-3</v>
      </c>
      <c r="O1902">
        <v>2.3690059999999999E-3</v>
      </c>
      <c r="P1902">
        <v>-0.93567</v>
      </c>
      <c r="Q1902">
        <v>0.33891359999999998</v>
      </c>
      <c r="R1902">
        <v>-9.8282800000000003E-2</v>
      </c>
      <c r="S1902">
        <v>-3.353424</v>
      </c>
      <c r="T1902">
        <v>-0.42752289999999998</v>
      </c>
      <c r="U1902">
        <v>-6.7016599999999996E-2</v>
      </c>
      <c r="V1902">
        <v>-0.1004765</v>
      </c>
      <c r="W1902">
        <v>0.34432790000000002</v>
      </c>
      <c r="X1902">
        <v>0.93345739999999999</v>
      </c>
      <c r="Y1902">
        <v>-2.2144230000000001E-2</v>
      </c>
      <c r="Z1902">
        <v>-1.757212E-3</v>
      </c>
      <c r="AA1902">
        <v>0.99975320000000001</v>
      </c>
      <c r="AB1902">
        <v>36</v>
      </c>
      <c r="AC1902">
        <v>-0.558400000000006</v>
      </c>
      <c r="AD1902">
        <v>-0.114757399999999</v>
      </c>
      <c r="AE1902">
        <v>-1.8699999999967E-2</v>
      </c>
      <c r="AF1902">
        <v>-1.9212303486181199E-2</v>
      </c>
      <c r="AG1902">
        <v>-0.114757399999999</v>
      </c>
      <c r="AH1902">
        <v>0.53575209004332702</v>
      </c>
      <c r="AI1902">
        <v>102.08245226838601</v>
      </c>
      <c r="AJ1902">
        <v>92.053771567109493</v>
      </c>
      <c r="AK1902">
        <v>0.54824143900821498</v>
      </c>
      <c r="AL1902">
        <v>69.859225755890407</v>
      </c>
      <c r="AM1902">
        <v>96.143611142064699</v>
      </c>
      <c r="AN1902">
        <v>0.99999997369270899</v>
      </c>
    </row>
    <row r="1903" spans="1:40" x14ac:dyDescent="0.25">
      <c r="A1903" t="str">
        <f>"20190304164407306"</f>
        <v>20190304164407306</v>
      </c>
      <c r="B1903" t="str">
        <f>"1551689047302278"</f>
        <v>1551689047302278</v>
      </c>
      <c r="C1903" t="s">
        <v>40</v>
      </c>
      <c r="D1903">
        <v>5.3057540000000003</v>
      </c>
      <c r="E1903">
        <v>0.54231739999999995</v>
      </c>
      <c r="F1903" t="s">
        <v>41</v>
      </c>
      <c r="G1903">
        <v>-245.3742</v>
      </c>
      <c r="H1903">
        <v>0.99625209999999997</v>
      </c>
      <c r="I1903">
        <v>283.75880000000001</v>
      </c>
      <c r="J1903">
        <v>-244.85769999999999</v>
      </c>
      <c r="K1903">
        <v>1.1096079999999999</v>
      </c>
      <c r="L1903">
        <v>283.77760000000001</v>
      </c>
      <c r="M1903">
        <v>-0.99998039999999999</v>
      </c>
      <c r="N1903">
        <v>-5.7873789999999996E-3</v>
      </c>
      <c r="O1903">
        <v>2.3823099999999999E-3</v>
      </c>
      <c r="P1903">
        <v>-0.93552659999999999</v>
      </c>
      <c r="Q1903">
        <v>0.33933049999999998</v>
      </c>
      <c r="R1903">
        <v>-9.8206849999999998E-2</v>
      </c>
      <c r="S1903">
        <v>-3.354355</v>
      </c>
      <c r="T1903">
        <v>-0.42871619999999999</v>
      </c>
      <c r="U1903">
        <v>-6.8420410000000001E-2</v>
      </c>
      <c r="V1903">
        <v>-0.1004116</v>
      </c>
      <c r="W1903">
        <v>0.34474460000000001</v>
      </c>
      <c r="X1903">
        <v>0.93331059999999999</v>
      </c>
      <c r="Y1903">
        <v>-2.2565519999999999E-2</v>
      </c>
      <c r="Z1903">
        <v>-1.7911139999999999E-3</v>
      </c>
      <c r="AA1903">
        <v>0.99974379999999996</v>
      </c>
      <c r="AB1903">
        <v>37</v>
      </c>
      <c r="AC1903">
        <v>-0.51650000000000695</v>
      </c>
      <c r="AD1903">
        <v>-0.113355899999999</v>
      </c>
      <c r="AE1903">
        <v>-1.87999999999988E-2</v>
      </c>
      <c r="AF1903">
        <v>-1.9111126921746199E-2</v>
      </c>
      <c r="AG1903">
        <v>-0.113355899999999</v>
      </c>
      <c r="AH1903">
        <v>0.49275092440317803</v>
      </c>
      <c r="AI1903">
        <v>102.94592021710299</v>
      </c>
      <c r="AJ1903">
        <v>92.221078263689805</v>
      </c>
      <c r="AK1903">
        <v>0.505982478685987</v>
      </c>
      <c r="AL1903">
        <v>69.833794064000003</v>
      </c>
      <c r="AM1903">
        <v>96.140631494259196</v>
      </c>
      <c r="AN1903">
        <v>1.00000000235804</v>
      </c>
    </row>
    <row r="1904" spans="1:40" x14ac:dyDescent="0.25">
      <c r="A1904" t="str">
        <f>"20190304164407328"</f>
        <v>20190304164407328</v>
      </c>
      <c r="B1904" t="str">
        <f>"1551689047321798"</f>
        <v>1551689047321798</v>
      </c>
      <c r="C1904" t="s">
        <v>40</v>
      </c>
      <c r="D1904">
        <v>5.3166539999999998</v>
      </c>
      <c r="E1904">
        <v>0.5421781</v>
      </c>
      <c r="F1904" t="s">
        <v>41</v>
      </c>
      <c r="G1904">
        <v>-245.7054</v>
      </c>
      <c r="H1904">
        <v>1.001339</v>
      </c>
      <c r="I1904">
        <v>283.76069999999999</v>
      </c>
      <c r="J1904">
        <v>-245.2285</v>
      </c>
      <c r="K1904">
        <v>1.1095999999999999</v>
      </c>
      <c r="L1904">
        <v>283.77859999999998</v>
      </c>
      <c r="M1904">
        <v>-0.99998039999999999</v>
      </c>
      <c r="N1904">
        <v>-5.7879089999999999E-3</v>
      </c>
      <c r="O1904">
        <v>2.4032630000000001E-3</v>
      </c>
      <c r="P1904">
        <v>-0.93540849999999998</v>
      </c>
      <c r="Q1904">
        <v>0.33980850000000001</v>
      </c>
      <c r="R1904">
        <v>-9.767866E-2</v>
      </c>
      <c r="S1904">
        <v>-3.3550110000000002</v>
      </c>
      <c r="T1904">
        <v>-0.42859550000000002</v>
      </c>
      <c r="U1904">
        <v>-6.8450929999999993E-2</v>
      </c>
      <c r="V1904">
        <v>-9.9898849999999997E-2</v>
      </c>
      <c r="W1904">
        <v>0.34522350000000002</v>
      </c>
      <c r="X1904">
        <v>0.93318860000000003</v>
      </c>
      <c r="Y1904">
        <v>-2.2591389999999999E-2</v>
      </c>
      <c r="Z1904">
        <v>-1.7945610000000001E-3</v>
      </c>
      <c r="AA1904">
        <v>0.99974320000000005</v>
      </c>
      <c r="AB1904">
        <v>37</v>
      </c>
      <c r="AC1904">
        <v>-0.47689999999999999</v>
      </c>
      <c r="AD1904">
        <v>-0.108260999999999</v>
      </c>
      <c r="AE1904">
        <v>-1.78999999999973E-2</v>
      </c>
      <c r="AF1904">
        <v>-1.8113923409968001E-2</v>
      </c>
      <c r="AG1904">
        <v>-0.108260999999999</v>
      </c>
      <c r="AH1904">
        <v>0.453517167610062</v>
      </c>
      <c r="AI1904">
        <v>103.415746315672</v>
      </c>
      <c r="AJ1904">
        <v>92.287234254523199</v>
      </c>
      <c r="AK1904">
        <v>0.46661159400442997</v>
      </c>
      <c r="AL1904">
        <v>69.804560457240001</v>
      </c>
      <c r="AM1904">
        <v>96.1103049058501</v>
      </c>
      <c r="AN1904">
        <v>1.00000000417676</v>
      </c>
    </row>
    <row r="1905" spans="1:40" x14ac:dyDescent="0.25">
      <c r="A1905" t="str">
        <f>"20190304164407351"</f>
        <v>20190304164407351</v>
      </c>
      <c r="B1905" t="str">
        <f>"1551689047341317"</f>
        <v>1551689047341317</v>
      </c>
      <c r="C1905" t="s">
        <v>40</v>
      </c>
      <c r="D1905">
        <v>5.3002929999999999</v>
      </c>
      <c r="E1905">
        <v>0.54213690000000003</v>
      </c>
      <c r="F1905" t="s">
        <v>41</v>
      </c>
      <c r="G1905">
        <v>-246.0378</v>
      </c>
      <c r="H1905">
        <v>1.0068360000000001</v>
      </c>
      <c r="I1905">
        <v>283.76209999999998</v>
      </c>
      <c r="J1905">
        <v>-245.6122</v>
      </c>
      <c r="K1905">
        <v>1.1095900000000001</v>
      </c>
      <c r="L1905">
        <v>283.77949999999998</v>
      </c>
      <c r="M1905">
        <v>-0.99998030000000004</v>
      </c>
      <c r="N1905">
        <v>-5.7898929999999999E-3</v>
      </c>
      <c r="O1905">
        <v>2.4388410000000002E-3</v>
      </c>
      <c r="P1905">
        <v>-0.93534300000000004</v>
      </c>
      <c r="Q1905">
        <v>0.3400359</v>
      </c>
      <c r="R1905">
        <v>-9.7516660000000005E-2</v>
      </c>
      <c r="S1905">
        <v>-3.3547359999999999</v>
      </c>
      <c r="T1905">
        <v>-0.42594359999999998</v>
      </c>
      <c r="U1905">
        <v>-6.8420410000000001E-2</v>
      </c>
      <c r="V1905">
        <v>-9.9762110000000001E-2</v>
      </c>
      <c r="W1905">
        <v>0.34545439999999999</v>
      </c>
      <c r="X1905">
        <v>0.93311770000000005</v>
      </c>
      <c r="Y1905">
        <v>-2.2621530000000001E-2</v>
      </c>
      <c r="Z1905">
        <v>-1.7903050000000001E-3</v>
      </c>
      <c r="AA1905">
        <v>0.99974249999999998</v>
      </c>
      <c r="AB1905">
        <v>37</v>
      </c>
      <c r="AC1905">
        <v>-0.42560000000000198</v>
      </c>
      <c r="AD1905">
        <v>-0.102753999999999</v>
      </c>
      <c r="AE1905">
        <v>-1.7400000000009099E-2</v>
      </c>
      <c r="AF1905">
        <v>-1.7423986520025699E-2</v>
      </c>
      <c r="AG1905">
        <v>-0.102753999999999</v>
      </c>
      <c r="AH1905">
        <v>0.402153855882117</v>
      </c>
      <c r="AI1905">
        <v>104.32005965378799</v>
      </c>
      <c r="AJ1905">
        <v>92.480883610196301</v>
      </c>
      <c r="AK1905">
        <v>0.41543916958214799</v>
      </c>
      <c r="AL1905">
        <v>69.790462063450605</v>
      </c>
      <c r="AM1905">
        <v>96.102464499830603</v>
      </c>
      <c r="AN1905">
        <v>0.99999993156214795</v>
      </c>
    </row>
    <row r="1906" spans="1:40" x14ac:dyDescent="0.25">
      <c r="A1906" t="str">
        <f>"20190304164407372"</f>
        <v>20190304164407372</v>
      </c>
      <c r="B1906" t="str">
        <f>"1551689047361814"</f>
        <v>1551689047361814</v>
      </c>
      <c r="C1906" t="s">
        <v>40</v>
      </c>
      <c r="D1906">
        <v>5.2950249999999999</v>
      </c>
      <c r="E1906">
        <v>0.54222230000000005</v>
      </c>
      <c r="F1906" t="s">
        <v>41</v>
      </c>
      <c r="G1906">
        <v>-246.37190000000001</v>
      </c>
      <c r="H1906">
        <v>1.0137989999999999</v>
      </c>
      <c r="I1906">
        <v>283.76409999999998</v>
      </c>
      <c r="J1906">
        <v>-245.96010000000001</v>
      </c>
      <c r="K1906">
        <v>1.109575</v>
      </c>
      <c r="L1906">
        <v>283.78050000000002</v>
      </c>
      <c r="M1906">
        <v>-0.99998019999999999</v>
      </c>
      <c r="N1906">
        <v>-5.7904119999999896E-3</v>
      </c>
      <c r="O1906">
        <v>2.489949E-3</v>
      </c>
      <c r="P1906">
        <v>-0.93504330000000002</v>
      </c>
      <c r="Q1906">
        <v>0.34088639999999998</v>
      </c>
      <c r="R1906">
        <v>-9.7419459999999999E-2</v>
      </c>
      <c r="S1906">
        <v>-3.353958</v>
      </c>
      <c r="T1906">
        <v>-0.4229348</v>
      </c>
      <c r="U1906">
        <v>-6.8817139999999999E-2</v>
      </c>
      <c r="V1906">
        <v>-9.9701109999999996E-2</v>
      </c>
      <c r="W1906">
        <v>0.34630719999999998</v>
      </c>
      <c r="X1906">
        <v>0.93280819999999998</v>
      </c>
      <c r="Y1906">
        <v>-2.2796509999999999E-2</v>
      </c>
      <c r="Z1906">
        <v>-1.796137E-3</v>
      </c>
      <c r="AA1906">
        <v>0.99973849999999997</v>
      </c>
      <c r="AB1906">
        <v>37</v>
      </c>
      <c r="AC1906">
        <v>-0.411799999999999</v>
      </c>
      <c r="AD1906">
        <v>-9.5776E-2</v>
      </c>
      <c r="AE1906">
        <v>-1.6400000000032802E-2</v>
      </c>
      <c r="AF1906">
        <v>-1.6532454122249601E-2</v>
      </c>
      <c r="AG1906">
        <v>-9.5776E-2</v>
      </c>
      <c r="AH1906">
        <v>0.39065942783131702</v>
      </c>
      <c r="AI1906">
        <v>103.76336622398399</v>
      </c>
      <c r="AJ1906">
        <v>92.423274356859196</v>
      </c>
      <c r="AK1906">
        <v>0.40256819641993102</v>
      </c>
      <c r="AL1906">
        <v>69.738388782905403</v>
      </c>
      <c r="AM1906">
        <v>96.100769523190607</v>
      </c>
      <c r="AN1906">
        <v>1.0000000630471499</v>
      </c>
    </row>
    <row r="1907" spans="1:40" x14ac:dyDescent="0.25">
      <c r="A1907" t="str">
        <f>"20190304164407394"</f>
        <v>20190304164407394</v>
      </c>
      <c r="B1907" t="str">
        <f>"1551689047381334"</f>
        <v>1551689047381334</v>
      </c>
      <c r="C1907" t="s">
        <v>40</v>
      </c>
      <c r="D1907">
        <v>5.285577</v>
      </c>
      <c r="E1907">
        <v>0.54228880000000002</v>
      </c>
      <c r="F1907" t="s">
        <v>41</v>
      </c>
      <c r="G1907">
        <v>-246.70509999999999</v>
      </c>
      <c r="H1907">
        <v>1.016815</v>
      </c>
      <c r="I1907">
        <v>283.76549999999997</v>
      </c>
      <c r="J1907">
        <v>-246.322</v>
      </c>
      <c r="K1907">
        <v>1.109548</v>
      </c>
      <c r="L1907">
        <v>283.78129999999999</v>
      </c>
      <c r="M1907">
        <v>-0.99998010000000004</v>
      </c>
      <c r="N1907">
        <v>-5.7891619999999996E-3</v>
      </c>
      <c r="O1907">
        <v>2.5695340000000001E-3</v>
      </c>
      <c r="P1907">
        <v>-0.93487109999999995</v>
      </c>
      <c r="Q1907">
        <v>0.34130909999999998</v>
      </c>
      <c r="R1907">
        <v>-9.759313E-2</v>
      </c>
      <c r="S1907">
        <v>-3.3536069999999998</v>
      </c>
      <c r="T1907">
        <v>-0.41769309999999998</v>
      </c>
      <c r="U1907">
        <v>-6.7779539999999999E-2</v>
      </c>
      <c r="V1907">
        <v>-9.9933019999999997E-2</v>
      </c>
      <c r="W1907">
        <v>0.34673209999999999</v>
      </c>
      <c r="X1907">
        <v>0.9326255</v>
      </c>
      <c r="Y1907">
        <v>-2.257522E-2</v>
      </c>
      <c r="Z1907">
        <v>-1.769896E-3</v>
      </c>
      <c r="AA1907">
        <v>0.99974359999999995</v>
      </c>
      <c r="AB1907">
        <v>37</v>
      </c>
      <c r="AC1907">
        <v>-0.38309999999998401</v>
      </c>
      <c r="AD1907">
        <v>-9.2732999999999899E-2</v>
      </c>
      <c r="AE1907">
        <v>-1.5800000000012901E-2</v>
      </c>
      <c r="AF1907">
        <v>-1.5856833878866501E-2</v>
      </c>
      <c r="AG1907">
        <v>-9.2732999999999899E-2</v>
      </c>
      <c r="AH1907">
        <v>0.361889990803692</v>
      </c>
      <c r="AI1907">
        <v>104.3593768172</v>
      </c>
      <c r="AJ1907">
        <v>92.508908561509202</v>
      </c>
      <c r="AK1907">
        <v>0.37391872634779599</v>
      </c>
      <c r="AL1907">
        <v>69.7124353547661</v>
      </c>
      <c r="AM1907">
        <v>96.116041658232902</v>
      </c>
      <c r="AN1907">
        <v>1.0000000404534799</v>
      </c>
    </row>
    <row r="1908" spans="1:40" x14ac:dyDescent="0.25">
      <c r="A1908" t="str">
        <f>"20190304164407418"</f>
        <v>20190304164407418</v>
      </c>
      <c r="B1908" t="str">
        <f>"1551689047411591"</f>
        <v>1551689047411591</v>
      </c>
      <c r="C1908" t="s">
        <v>40</v>
      </c>
      <c r="D1908">
        <v>5.2992949999999999</v>
      </c>
      <c r="E1908">
        <v>0.54233869999999995</v>
      </c>
      <c r="F1908" t="s">
        <v>41</v>
      </c>
      <c r="G1908">
        <v>-247.3553</v>
      </c>
      <c r="H1908">
        <v>0.98173880000000002</v>
      </c>
      <c r="I1908">
        <v>283.76100000000002</v>
      </c>
      <c r="J1908">
        <v>-246.7191</v>
      </c>
      <c r="K1908">
        <v>1.1095170000000001</v>
      </c>
      <c r="L1908">
        <v>283.78250000000003</v>
      </c>
      <c r="M1908">
        <v>-0.99997970000000003</v>
      </c>
      <c r="N1908">
        <v>-5.7879400000000001E-3</v>
      </c>
      <c r="O1908">
        <v>2.6969799999999999E-3</v>
      </c>
      <c r="P1908">
        <v>-0.93481760000000003</v>
      </c>
      <c r="Q1908">
        <v>0.34153519999999998</v>
      </c>
      <c r="R1908">
        <v>-9.7315490000000004E-2</v>
      </c>
      <c r="S1908">
        <v>-3.3535460000000001</v>
      </c>
      <c r="T1908">
        <v>-0.41486669999999998</v>
      </c>
      <c r="U1908">
        <v>-6.6528320000000002E-2</v>
      </c>
      <c r="V1908">
        <v>-9.975096E-2</v>
      </c>
      <c r="W1908">
        <v>0.34696290000000002</v>
      </c>
      <c r="X1908">
        <v>0.93255909999999997</v>
      </c>
      <c r="Y1908">
        <v>-2.2333840000000001E-2</v>
      </c>
      <c r="Z1908">
        <v>-1.757769E-3</v>
      </c>
      <c r="AA1908">
        <v>0.999749</v>
      </c>
      <c r="AB1908">
        <v>37</v>
      </c>
      <c r="AC1908">
        <v>-0.63620000000000199</v>
      </c>
      <c r="AD1908">
        <v>-0.12777819999999901</v>
      </c>
      <c r="AE1908">
        <v>-2.1500000000059999E-2</v>
      </c>
      <c r="AF1908">
        <v>-2.2316565841183699E-2</v>
      </c>
      <c r="AG1908">
        <v>-0.12777819999999901</v>
      </c>
      <c r="AH1908">
        <v>0.61150046150303905</v>
      </c>
      <c r="AI1908">
        <v>101.79498045654501</v>
      </c>
      <c r="AJ1908">
        <v>92.090068458643799</v>
      </c>
      <c r="AK1908">
        <v>0.62510648046921902</v>
      </c>
      <c r="AL1908">
        <v>69.698335200194407</v>
      </c>
      <c r="AM1908">
        <v>96.1054149529201</v>
      </c>
      <c r="AN1908">
        <v>0.99999999149507002</v>
      </c>
    </row>
    <row r="1909" spans="1:40" x14ac:dyDescent="0.25">
      <c r="A1909" t="str">
        <f>"20190304164407442"</f>
        <v>20190304164407442</v>
      </c>
      <c r="B1909" t="str">
        <f>"1551689047432086"</f>
        <v>1551689047432086</v>
      </c>
      <c r="C1909" t="s">
        <v>40</v>
      </c>
      <c r="D1909">
        <v>5.267881</v>
      </c>
      <c r="E1909">
        <v>0.54228559999999904</v>
      </c>
      <c r="F1909" t="s">
        <v>41</v>
      </c>
      <c r="G1909">
        <v>-247.6936</v>
      </c>
      <c r="H1909">
        <v>0.98975670000000004</v>
      </c>
      <c r="I1909">
        <v>283.76389999999998</v>
      </c>
      <c r="J1909">
        <v>-247.1208</v>
      </c>
      <c r="K1909">
        <v>1.1094809999999999</v>
      </c>
      <c r="L1909">
        <v>283.78370000000001</v>
      </c>
      <c r="M1909">
        <v>-0.99997919999999996</v>
      </c>
      <c r="N1909">
        <v>-5.7884570000000003E-3</v>
      </c>
      <c r="O1909">
        <v>2.8623419999999999E-3</v>
      </c>
      <c r="P1909">
        <v>-0.93477849999999996</v>
      </c>
      <c r="Q1909">
        <v>0.34156579999999997</v>
      </c>
      <c r="R1909">
        <v>-9.7582150000000006E-2</v>
      </c>
      <c r="S1909">
        <v>-3.353043</v>
      </c>
      <c r="T1909">
        <v>-0.41228179999999998</v>
      </c>
      <c r="U1909">
        <v>-6.4910889999999999E-2</v>
      </c>
      <c r="V1909">
        <v>-0.1001465</v>
      </c>
      <c r="W1909">
        <v>0.34700130000000001</v>
      </c>
      <c r="X1909">
        <v>0.93250239999999995</v>
      </c>
      <c r="Y1909">
        <v>-2.202372E-2</v>
      </c>
      <c r="Z1909">
        <v>-1.7468729999999999E-3</v>
      </c>
      <c r="AA1909">
        <v>0.99975590000000003</v>
      </c>
      <c r="AB1909">
        <v>37</v>
      </c>
      <c r="AC1909">
        <v>-0.57279999999999998</v>
      </c>
      <c r="AD1909">
        <v>-0.11972429999999901</v>
      </c>
      <c r="AE1909">
        <v>-1.9800000000032E-2</v>
      </c>
      <c r="AF1909">
        <v>-2.05430878254577E-2</v>
      </c>
      <c r="AG1909">
        <v>-0.11972429999999901</v>
      </c>
      <c r="AH1909">
        <v>0.54879407336432096</v>
      </c>
      <c r="AI1909">
        <v>102.298410141996</v>
      </c>
      <c r="AJ1909">
        <v>92.143760257416602</v>
      </c>
      <c r="AK1909">
        <v>0.56207727353781001</v>
      </c>
      <c r="AL1909">
        <v>69.695988942097301</v>
      </c>
      <c r="AM1909">
        <v>96.129810531432696</v>
      </c>
      <c r="AN1909">
        <v>0.99999997483484904</v>
      </c>
    </row>
    <row r="1910" spans="1:40" x14ac:dyDescent="0.25">
      <c r="A1910" t="str">
        <f>"20190304164407465"</f>
        <v>20190304164407465</v>
      </c>
      <c r="B1910" t="str">
        <f>"1551689047451607"</f>
        <v>1551689047451607</v>
      </c>
      <c r="C1910" t="s">
        <v>40</v>
      </c>
      <c r="D1910">
        <v>5.2530289999999997</v>
      </c>
      <c r="E1910">
        <v>0.54222999999999999</v>
      </c>
      <c r="F1910" t="s">
        <v>41</v>
      </c>
      <c r="G1910">
        <v>-248.03299999999999</v>
      </c>
      <c r="H1910">
        <v>0.99752689999999999</v>
      </c>
      <c r="I1910">
        <v>283.76589999999999</v>
      </c>
      <c r="J1910">
        <v>-247.499</v>
      </c>
      <c r="K1910">
        <v>1.1094459999999999</v>
      </c>
      <c r="L1910">
        <v>283.78500000000003</v>
      </c>
      <c r="M1910">
        <v>-0.9999787</v>
      </c>
      <c r="N1910">
        <v>-5.7909179999999999E-3</v>
      </c>
      <c r="O1910">
        <v>3.060016E-3</v>
      </c>
      <c r="P1910">
        <v>-0.93481139999999996</v>
      </c>
      <c r="Q1910">
        <v>0.34146110000000002</v>
      </c>
      <c r="R1910">
        <v>-9.7634020000000002E-2</v>
      </c>
      <c r="S1910">
        <v>-3.3528440000000002</v>
      </c>
      <c r="T1910">
        <v>-0.41155409999999998</v>
      </c>
      <c r="U1910">
        <v>-6.5765379999999998E-2</v>
      </c>
      <c r="V1910">
        <v>-0.1003561</v>
      </c>
      <c r="W1910">
        <v>0.34690700000000002</v>
      </c>
      <c r="X1910">
        <v>0.93251499999999998</v>
      </c>
      <c r="Y1910">
        <v>-2.2472949999999998E-2</v>
      </c>
      <c r="Z1910">
        <v>-1.7958129999999901E-3</v>
      </c>
      <c r="AA1910">
        <v>0.99974580000000002</v>
      </c>
      <c r="AB1910">
        <v>37</v>
      </c>
      <c r="AC1910">
        <v>-0.53399999999996295</v>
      </c>
      <c r="AD1910">
        <v>-0.11191909999999899</v>
      </c>
      <c r="AE1910">
        <v>-1.9100000000037198E-2</v>
      </c>
      <c r="AF1910">
        <v>-1.9862607623311601E-2</v>
      </c>
      <c r="AG1910">
        <v>-0.11191909999999899</v>
      </c>
      <c r="AH1910">
        <v>0.51149941721819803</v>
      </c>
      <c r="AI1910">
        <v>102.333134363607</v>
      </c>
      <c r="AJ1910">
        <v>92.223799351921201</v>
      </c>
      <c r="AK1910">
        <v>0.52397715784274801</v>
      </c>
      <c r="AL1910">
        <v>69.701750729008197</v>
      </c>
      <c r="AM1910">
        <v>96.142459481698396</v>
      </c>
      <c r="AN1910">
        <v>1.0000000193406</v>
      </c>
    </row>
    <row r="1911" spans="1:40" x14ac:dyDescent="0.25">
      <c r="A1911" t="str">
        <f>"20190304164407486"</f>
        <v>20190304164407486</v>
      </c>
      <c r="B1911" t="str">
        <f>"1551689047481863"</f>
        <v>1551689047481863</v>
      </c>
      <c r="C1911" t="s">
        <v>40</v>
      </c>
      <c r="D1911">
        <v>5.2855860000000003</v>
      </c>
      <c r="E1911">
        <v>0.54215150000000001</v>
      </c>
      <c r="F1911" t="s">
        <v>41</v>
      </c>
      <c r="G1911">
        <v>-248.37180000000001</v>
      </c>
      <c r="H1911">
        <v>1.0022310000000001</v>
      </c>
      <c r="I1911">
        <v>283.7681</v>
      </c>
      <c r="J1911">
        <v>-247.85079999999999</v>
      </c>
      <c r="K1911">
        <v>1.1094059999999999</v>
      </c>
      <c r="L1911">
        <v>283.78629999999998</v>
      </c>
      <c r="M1911">
        <v>-0.99997780000000003</v>
      </c>
      <c r="N1911">
        <v>-5.7950099999999997E-3</v>
      </c>
      <c r="O1911">
        <v>3.2916849999999999E-3</v>
      </c>
      <c r="P1911">
        <v>-0.93470109999999995</v>
      </c>
      <c r="Q1911">
        <v>0.34182620000000002</v>
      </c>
      <c r="R1911">
        <v>-9.7409739999999995E-2</v>
      </c>
      <c r="S1911">
        <v>-3.3527979999999999</v>
      </c>
      <c r="T1911">
        <v>-0.41205049999999999</v>
      </c>
      <c r="U1911">
        <v>-6.6284179999999998E-2</v>
      </c>
      <c r="V1911">
        <v>-0.1003172</v>
      </c>
      <c r="W1911">
        <v>0.34728399999999998</v>
      </c>
      <c r="X1911">
        <v>0.93237879999999995</v>
      </c>
      <c r="Y1911">
        <v>-2.2854409999999999E-2</v>
      </c>
      <c r="Z1911">
        <v>-1.849446E-3</v>
      </c>
      <c r="AA1911">
        <v>0.99973710000000005</v>
      </c>
      <c r="AB1911">
        <v>38</v>
      </c>
      <c r="AC1911">
        <v>-0.52100000000001501</v>
      </c>
      <c r="AD1911">
        <v>-0.10717500000000001</v>
      </c>
      <c r="AE1911">
        <v>-1.81999999999789E-2</v>
      </c>
      <c r="AF1911">
        <v>-1.91073250770381E-2</v>
      </c>
      <c r="AG1911">
        <v>-0.10717500000000001</v>
      </c>
      <c r="AH1911">
        <v>0.499812637078071</v>
      </c>
      <c r="AI1911">
        <v>102.094106270422</v>
      </c>
      <c r="AJ1911">
        <v>92.189292851483103</v>
      </c>
      <c r="AK1911">
        <v>0.51153127243555196</v>
      </c>
      <c r="AL1911">
        <v>69.678717283829499</v>
      </c>
      <c r="AM1911">
        <v>96.140986814117795</v>
      </c>
      <c r="AN1911">
        <v>0.99999997198063895</v>
      </c>
    </row>
    <row r="1912" spans="1:40" x14ac:dyDescent="0.25">
      <c r="A1912" t="str">
        <f>"20190304164407519"</f>
        <v>20190304164407519</v>
      </c>
      <c r="B1912" t="str">
        <f>"1551689047511389"</f>
        <v>1551689047511389</v>
      </c>
      <c r="C1912" t="s">
        <v>40</v>
      </c>
      <c r="D1912">
        <v>5.2911109999999999</v>
      </c>
      <c r="E1912">
        <v>0.54213369999999905</v>
      </c>
      <c r="F1912" t="s">
        <v>41</v>
      </c>
      <c r="G1912">
        <v>-248.71029999999999</v>
      </c>
      <c r="H1912">
        <v>1.0039739999999999</v>
      </c>
      <c r="I1912">
        <v>283.76909999999998</v>
      </c>
      <c r="J1912">
        <v>-248.4135</v>
      </c>
      <c r="K1912">
        <v>1.109337</v>
      </c>
      <c r="L1912">
        <v>283.78859999999997</v>
      </c>
      <c r="M1912">
        <v>-0.99997610000000003</v>
      </c>
      <c r="N1912">
        <v>-5.8051029999999998E-3</v>
      </c>
      <c r="O1912">
        <v>3.7771340000000001E-3</v>
      </c>
      <c r="P1912">
        <v>-0.93501080000000003</v>
      </c>
      <c r="Q1912">
        <v>0.34128550000000002</v>
      </c>
      <c r="R1912">
        <v>-9.6329929999999994E-2</v>
      </c>
      <c r="S1912">
        <v>-3.3530120000000001</v>
      </c>
      <c r="T1912">
        <v>-0.41135690000000003</v>
      </c>
      <c r="U1912">
        <v>-6.7230219999999993E-2</v>
      </c>
      <c r="V1912">
        <v>-9.9629040000000002E-2</v>
      </c>
      <c r="W1912">
        <v>0.34677239999999998</v>
      </c>
      <c r="X1912">
        <v>0.932643</v>
      </c>
      <c r="Y1912">
        <v>-2.3611879999999998E-2</v>
      </c>
      <c r="Z1912">
        <v>-1.9514129999999999E-3</v>
      </c>
      <c r="AA1912">
        <v>0.99971929999999998</v>
      </c>
      <c r="AB1912">
        <v>38</v>
      </c>
      <c r="AC1912">
        <v>-0.29679999999999002</v>
      </c>
      <c r="AD1912">
        <v>-0.105363</v>
      </c>
      <c r="AE1912">
        <v>-1.9499999999993599E-2</v>
      </c>
      <c r="AF1912">
        <v>-1.8321885350310398E-2</v>
      </c>
      <c r="AG1912">
        <v>-0.105363</v>
      </c>
      <c r="AH1912">
        <v>0.26364215715186301</v>
      </c>
      <c r="AI1912">
        <v>111.736299773182</v>
      </c>
      <c r="AJ1912">
        <v>93.9753945752595</v>
      </c>
      <c r="AK1912">
        <v>0.28450701270702899</v>
      </c>
      <c r="AL1912">
        <v>69.709972832387294</v>
      </c>
      <c r="AM1912">
        <v>96.097464465263499</v>
      </c>
      <c r="AN1912">
        <v>1.00000000423104</v>
      </c>
    </row>
    <row r="1913" spans="1:40" x14ac:dyDescent="0.25">
      <c r="A1913" t="str">
        <f>"20190304164407540"</f>
        <v>20190304164407540</v>
      </c>
      <c r="B1913" t="str">
        <f>"1551689047531885"</f>
        <v>1551689047531885</v>
      </c>
      <c r="C1913" t="s">
        <v>40</v>
      </c>
      <c r="D1913">
        <v>5.2716589999999997</v>
      </c>
      <c r="E1913">
        <v>0.54216769999999903</v>
      </c>
      <c r="F1913" t="s">
        <v>41</v>
      </c>
      <c r="G1913">
        <v>-249.3819</v>
      </c>
      <c r="H1913">
        <v>0.98986289999999999</v>
      </c>
      <c r="I1913">
        <v>283.77019999999999</v>
      </c>
      <c r="J1913">
        <v>-248.7912</v>
      </c>
      <c r="K1913">
        <v>1.109275</v>
      </c>
      <c r="L1913">
        <v>283.7903</v>
      </c>
      <c r="M1913">
        <v>-0.99997440000000004</v>
      </c>
      <c r="N1913">
        <v>-5.8142139999999998E-3</v>
      </c>
      <c r="O1913">
        <v>4.1927450000000003E-3</v>
      </c>
      <c r="P1913">
        <v>-0.93495539999999999</v>
      </c>
      <c r="Q1913">
        <v>0.34174749999999998</v>
      </c>
      <c r="R1913">
        <v>-9.5222580000000001E-2</v>
      </c>
      <c r="S1913">
        <v>-3.352951</v>
      </c>
      <c r="T1913">
        <v>-0.41372360000000002</v>
      </c>
      <c r="U1913">
        <v>-6.4056399999999999E-2</v>
      </c>
      <c r="V1913">
        <v>-9.8858550000000003E-2</v>
      </c>
      <c r="W1913">
        <v>0.34725620000000001</v>
      </c>
      <c r="X1913">
        <v>0.93254490000000001</v>
      </c>
      <c r="Y1913">
        <v>-2.3080730000000001E-2</v>
      </c>
      <c r="Z1913">
        <v>-1.9769010000000001E-3</v>
      </c>
      <c r="AA1913">
        <v>0.9997317</v>
      </c>
      <c r="AB1913">
        <v>38</v>
      </c>
      <c r="AC1913">
        <v>-0.590699999999998</v>
      </c>
      <c r="AD1913">
        <v>-0.11941209999999899</v>
      </c>
      <c r="AE1913">
        <v>-2.0100000000013499E-2</v>
      </c>
      <c r="AF1913">
        <v>-2.1691114307729801E-2</v>
      </c>
      <c r="AG1913">
        <v>-0.11941209999999899</v>
      </c>
      <c r="AH1913">
        <v>0.56744798976883803</v>
      </c>
      <c r="AI1913">
        <v>101.87533582702</v>
      </c>
      <c r="AJ1913">
        <v>92.1891072338546</v>
      </c>
      <c r="AK1913">
        <v>0.58028180667587403</v>
      </c>
      <c r="AL1913">
        <v>69.680415049495707</v>
      </c>
      <c r="AM1913">
        <v>96.051292122538896</v>
      </c>
      <c r="AN1913">
        <v>0.99999993593127401</v>
      </c>
    </row>
    <row r="1914" spans="1:40" x14ac:dyDescent="0.25">
      <c r="A1914" t="str">
        <f>"20190304164407562"</f>
        <v>20190304164407562</v>
      </c>
      <c r="B1914" t="str">
        <f>"1551689047551409"</f>
        <v>1551689047551409</v>
      </c>
      <c r="C1914" t="s">
        <v>40</v>
      </c>
      <c r="D1914">
        <v>5.2785729999999997</v>
      </c>
      <c r="E1914">
        <v>0.54216009999999903</v>
      </c>
      <c r="F1914" t="s">
        <v>41</v>
      </c>
      <c r="G1914">
        <v>-249.72470000000001</v>
      </c>
      <c r="H1914">
        <v>0.99485040000000002</v>
      </c>
      <c r="I1914">
        <v>283.77390000000003</v>
      </c>
      <c r="J1914">
        <v>-249.15129999999999</v>
      </c>
      <c r="K1914">
        <v>1.1092150000000001</v>
      </c>
      <c r="L1914">
        <v>283.79219999999998</v>
      </c>
      <c r="M1914">
        <v>-0.99997230000000004</v>
      </c>
      <c r="N1914">
        <v>-5.8243359999999899E-3</v>
      </c>
      <c r="O1914">
        <v>4.6504210000000001E-3</v>
      </c>
      <c r="P1914">
        <v>-0.93479540000000005</v>
      </c>
      <c r="Q1914">
        <v>0.3424199</v>
      </c>
      <c r="R1914">
        <v>-9.4375020000000004E-2</v>
      </c>
      <c r="S1914">
        <v>-3.352875</v>
      </c>
      <c r="T1914">
        <v>-0.41102339999999998</v>
      </c>
      <c r="U1914">
        <v>-5.9814449999999998E-2</v>
      </c>
      <c r="V1914">
        <v>-9.8387290000000002E-2</v>
      </c>
      <c r="W1914">
        <v>0.34795100000000001</v>
      </c>
      <c r="X1914">
        <v>0.93233580000000005</v>
      </c>
      <c r="Y1914">
        <v>-2.228018E-2</v>
      </c>
      <c r="Z1914">
        <v>-1.966523E-3</v>
      </c>
      <c r="AA1914">
        <v>0.99974980000000002</v>
      </c>
      <c r="AB1914">
        <v>38</v>
      </c>
      <c r="AC1914">
        <v>-0.57340000000002</v>
      </c>
      <c r="AD1914">
        <v>-0.114364599999999</v>
      </c>
      <c r="AE1914">
        <v>-1.8299999999953801E-2</v>
      </c>
      <c r="AF1914">
        <v>-2.0165043654255799E-2</v>
      </c>
      <c r="AG1914">
        <v>-0.114364599999999</v>
      </c>
      <c r="AH1914">
        <v>0.55139631375640796</v>
      </c>
      <c r="AI1914">
        <v>101.709914775274</v>
      </c>
      <c r="AJ1914">
        <v>92.094423200497602</v>
      </c>
      <c r="AK1914">
        <v>0.56349248934026896</v>
      </c>
      <c r="AL1914">
        <v>69.637959783910006</v>
      </c>
      <c r="AM1914">
        <v>96.023998857680297</v>
      </c>
      <c r="AN1914">
        <v>1.00000000059809</v>
      </c>
    </row>
    <row r="1915" spans="1:40" x14ac:dyDescent="0.25">
      <c r="A1915" t="str">
        <f>"20190304164407584"</f>
        <v>20190304164407584</v>
      </c>
      <c r="B1915" t="str">
        <f>"1551689047571902"</f>
        <v>1551689047571902</v>
      </c>
      <c r="C1915" t="s">
        <v>40</v>
      </c>
      <c r="D1915">
        <v>5.2821730000000002</v>
      </c>
      <c r="E1915">
        <v>0.54210449999999999</v>
      </c>
      <c r="F1915" t="s">
        <v>41</v>
      </c>
      <c r="G1915">
        <v>-250.0676</v>
      </c>
      <c r="H1915">
        <v>0.9976505</v>
      </c>
      <c r="I1915">
        <v>283.7765</v>
      </c>
      <c r="J1915">
        <v>-249.52760000000001</v>
      </c>
      <c r="K1915">
        <v>1.1091489999999999</v>
      </c>
      <c r="L1915">
        <v>283.7944</v>
      </c>
      <c r="M1915">
        <v>-0.99996940000000001</v>
      </c>
      <c r="N1915">
        <v>-5.8365810000000004E-3</v>
      </c>
      <c r="O1915">
        <v>5.204569E-3</v>
      </c>
      <c r="P1915">
        <v>-0.93463810000000003</v>
      </c>
      <c r="Q1915">
        <v>0.34311320000000001</v>
      </c>
      <c r="R1915">
        <v>-9.3407290000000004E-2</v>
      </c>
      <c r="S1915">
        <v>-3.3529969999999998</v>
      </c>
      <c r="T1915">
        <v>-0.40825440000000002</v>
      </c>
      <c r="U1915">
        <v>-5.7434079999999998E-2</v>
      </c>
      <c r="V1915">
        <v>-9.7877919999999993E-2</v>
      </c>
      <c r="W1915">
        <v>0.34866979999999997</v>
      </c>
      <c r="X1915">
        <v>0.93212090000000003</v>
      </c>
      <c r="Y1915">
        <v>-2.212426E-2</v>
      </c>
      <c r="Z1915">
        <v>-2.0077269999999999E-3</v>
      </c>
      <c r="AA1915">
        <v>0.99975320000000001</v>
      </c>
      <c r="AB1915">
        <v>38</v>
      </c>
      <c r="AC1915">
        <v>-0.53999999999999204</v>
      </c>
      <c r="AD1915">
        <v>-0.1114985</v>
      </c>
      <c r="AE1915">
        <v>-1.78999999999973E-2</v>
      </c>
      <c r="AF1915">
        <v>-1.98643177874397E-2</v>
      </c>
      <c r="AG1915">
        <v>-0.1114985</v>
      </c>
      <c r="AH1915">
        <v>0.51784618291586204</v>
      </c>
      <c r="AI1915">
        <v>102.142300969093</v>
      </c>
      <c r="AJ1915">
        <v>92.196760084772507</v>
      </c>
      <c r="AK1915">
        <v>0.530086007911866</v>
      </c>
      <c r="AL1915">
        <v>69.594025238037702</v>
      </c>
      <c r="AM1915">
        <v>95.994410648286404</v>
      </c>
      <c r="AN1915">
        <v>1.0000000444361801</v>
      </c>
    </row>
    <row r="1916" spans="1:40" x14ac:dyDescent="0.25">
      <c r="A1916" t="str">
        <f>"20190304164407607"</f>
        <v>20190304164407607</v>
      </c>
      <c r="B1916" t="str">
        <f>"1551689047602157"</f>
        <v>1551689047602157</v>
      </c>
      <c r="C1916" t="s">
        <v>40</v>
      </c>
      <c r="D1916">
        <v>5.2559809999999896</v>
      </c>
      <c r="E1916">
        <v>0.5420469</v>
      </c>
      <c r="F1916" t="s">
        <v>41</v>
      </c>
      <c r="G1916">
        <v>-250.41210000000001</v>
      </c>
      <c r="H1916">
        <v>1.0020469999999999</v>
      </c>
      <c r="I1916">
        <v>283.78030000000001</v>
      </c>
      <c r="J1916">
        <v>-249.92740000000001</v>
      </c>
      <c r="K1916">
        <v>1.109062</v>
      </c>
      <c r="L1916">
        <v>283.7971</v>
      </c>
      <c r="M1916">
        <v>-0.99996549999999995</v>
      </c>
      <c r="N1916">
        <v>-5.8513130000000003E-3</v>
      </c>
      <c r="O1916">
        <v>5.8835090000000003E-3</v>
      </c>
      <c r="P1916">
        <v>-0.93467199999999995</v>
      </c>
      <c r="Q1916">
        <v>0.34309319999999999</v>
      </c>
      <c r="R1916">
        <v>-9.3142989999999995E-2</v>
      </c>
      <c r="S1916">
        <v>-3.353485</v>
      </c>
      <c r="T1916">
        <v>-0.40618310000000002</v>
      </c>
      <c r="U1916">
        <v>-5.4199219999999999E-2</v>
      </c>
      <c r="V1916">
        <v>-9.8181870000000004E-2</v>
      </c>
      <c r="W1916">
        <v>0.3486823</v>
      </c>
      <c r="X1916">
        <v>0.93208420000000003</v>
      </c>
      <c r="Y1916">
        <v>-2.1836250000000001E-2</v>
      </c>
      <c r="Z1916">
        <v>-2.057353E-3</v>
      </c>
      <c r="AA1916">
        <v>0.99975939999999996</v>
      </c>
      <c r="AB1916">
        <v>38</v>
      </c>
      <c r="AC1916">
        <v>-0.48470000000000302</v>
      </c>
      <c r="AD1916">
        <v>-0.107015</v>
      </c>
      <c r="AE1916">
        <v>-1.6799999999989199E-2</v>
      </c>
      <c r="AF1916">
        <v>-1.8739124744778599E-2</v>
      </c>
      <c r="AG1916">
        <v>-0.107015</v>
      </c>
      <c r="AH1916">
        <v>0.46209432232662401</v>
      </c>
      <c r="AI1916">
        <v>103.028747238043</v>
      </c>
      <c r="AJ1916">
        <v>92.322220229810796</v>
      </c>
      <c r="AK1916">
        <v>0.47469414126119303</v>
      </c>
      <c r="AL1916">
        <v>69.593259944161602</v>
      </c>
      <c r="AM1916">
        <v>96.013124536000106</v>
      </c>
      <c r="AN1916">
        <v>0.99999999090981295</v>
      </c>
    </row>
    <row r="1917" spans="1:40" x14ac:dyDescent="0.25">
      <c r="A1917" t="str">
        <f>"20190304164407629"</f>
        <v>20190304164407629</v>
      </c>
      <c r="B1917" t="str">
        <f>"1551689047621677"</f>
        <v>1551689047621677</v>
      </c>
      <c r="C1917" t="s">
        <v>40</v>
      </c>
      <c r="D1917">
        <v>5.2654969999999999</v>
      </c>
      <c r="E1917">
        <v>0.54204090000000005</v>
      </c>
      <c r="F1917" t="s">
        <v>41</v>
      </c>
      <c r="G1917">
        <v>-250.7586</v>
      </c>
      <c r="H1917">
        <v>1.008405</v>
      </c>
      <c r="I1917">
        <v>283.78379999999999</v>
      </c>
      <c r="J1917">
        <v>-250.31039999999999</v>
      </c>
      <c r="K1917">
        <v>1.1089800000000001</v>
      </c>
      <c r="L1917">
        <v>283.79989999999998</v>
      </c>
      <c r="M1917">
        <v>-0.99996110000000005</v>
      </c>
      <c r="N1917">
        <v>-5.8667900000000002E-3</v>
      </c>
      <c r="O1917">
        <v>6.6204890000000002E-3</v>
      </c>
      <c r="P1917">
        <v>-0.93459049999999999</v>
      </c>
      <c r="Q1917">
        <v>0.34341579999999999</v>
      </c>
      <c r="R1917">
        <v>-9.2771590000000001E-2</v>
      </c>
      <c r="S1917">
        <v>-3.353424</v>
      </c>
      <c r="T1917">
        <v>-0.40615610000000002</v>
      </c>
      <c r="U1917">
        <v>-5.3833010000000001E-2</v>
      </c>
      <c r="V1917">
        <v>-9.8431099999999994E-2</v>
      </c>
      <c r="W1917">
        <v>0.3490375</v>
      </c>
      <c r="X1917">
        <v>0.93192489999999994</v>
      </c>
      <c r="Y1917">
        <v>-2.245461E-2</v>
      </c>
      <c r="Z1917">
        <v>-2.1810879999999999E-3</v>
      </c>
      <c r="AA1917">
        <v>0.99974549999999995</v>
      </c>
      <c r="AB1917">
        <v>38</v>
      </c>
      <c r="AC1917">
        <v>-0.44820000000001398</v>
      </c>
      <c r="AD1917">
        <v>-0.100574999999999</v>
      </c>
      <c r="AE1917">
        <v>-1.60999999999944E-2</v>
      </c>
      <c r="AF1917">
        <v>-1.8154044912218299E-2</v>
      </c>
      <c r="AG1917">
        <v>-0.100574999999999</v>
      </c>
      <c r="AH1917">
        <v>0.426628689844058</v>
      </c>
      <c r="AI1917">
        <v>103.253352360736</v>
      </c>
      <c r="AJ1917">
        <v>92.436598991671801</v>
      </c>
      <c r="AK1917">
        <v>0.43869914402666998</v>
      </c>
      <c r="AL1917">
        <v>69.571543070626703</v>
      </c>
      <c r="AM1917">
        <v>96.0292991719637</v>
      </c>
      <c r="AN1917">
        <v>0.99999993854673297</v>
      </c>
    </row>
    <row r="1918" spans="1:40" x14ac:dyDescent="0.25">
      <c r="A1918" t="str">
        <f>"20190304164407653"</f>
        <v>20190304164407653</v>
      </c>
      <c r="B1918" t="str">
        <f>"1551689047642174"</f>
        <v>1551689047642174</v>
      </c>
      <c r="C1918" t="s">
        <v>40</v>
      </c>
      <c r="D1918">
        <v>5.252586</v>
      </c>
      <c r="E1918">
        <v>0.54203429999999997</v>
      </c>
      <c r="F1918" t="s">
        <v>41</v>
      </c>
      <c r="G1918">
        <v>-251.1052</v>
      </c>
      <c r="H1918">
        <v>1.0130459999999999</v>
      </c>
      <c r="I1918">
        <v>283.7876</v>
      </c>
      <c r="J1918">
        <v>-250.72120000000001</v>
      </c>
      <c r="K1918">
        <v>1.1089020000000001</v>
      </c>
      <c r="L1918">
        <v>283.80329999999998</v>
      </c>
      <c r="M1918">
        <v>-0.99995469999999997</v>
      </c>
      <c r="N1918">
        <v>-5.8846289999999997E-3</v>
      </c>
      <c r="O1918">
        <v>7.4974940000000004E-3</v>
      </c>
      <c r="P1918">
        <v>-0.93448569999999997</v>
      </c>
      <c r="Q1918">
        <v>0.34389789999999998</v>
      </c>
      <c r="R1918">
        <v>-9.2037839999999996E-2</v>
      </c>
      <c r="S1918">
        <v>-3.353485</v>
      </c>
      <c r="T1918">
        <v>-0.40487889999999999</v>
      </c>
      <c r="U1918">
        <v>-5.2978520000000001E-2</v>
      </c>
      <c r="V1918">
        <v>-9.8442790000000002E-2</v>
      </c>
      <c r="W1918">
        <v>0.34955629999999999</v>
      </c>
      <c r="X1918">
        <v>0.93172929999999998</v>
      </c>
      <c r="Y1918">
        <v>-2.3067359999999999E-2</v>
      </c>
      <c r="Z1918">
        <v>-2.3134259999999999E-3</v>
      </c>
      <c r="AA1918">
        <v>0.99973120000000004</v>
      </c>
      <c r="AB1918">
        <v>38</v>
      </c>
      <c r="AC1918">
        <v>-0.38399999999998602</v>
      </c>
      <c r="AD1918">
        <v>-9.5856000000000094E-2</v>
      </c>
      <c r="AE1918">
        <v>-1.5699999999981101E-2</v>
      </c>
      <c r="AF1918">
        <v>-1.7490580480234202E-2</v>
      </c>
      <c r="AG1918">
        <v>-9.5856000000000094E-2</v>
      </c>
      <c r="AH1918">
        <v>0.36138991472842202</v>
      </c>
      <c r="AI1918">
        <v>104.838612995544</v>
      </c>
      <c r="AJ1918">
        <v>92.770844011060504</v>
      </c>
      <c r="AK1918">
        <v>0.37429528932241701</v>
      </c>
      <c r="AL1918">
        <v>69.539821987818101</v>
      </c>
      <c r="AM1918">
        <v>96.031266519446802</v>
      </c>
      <c r="AN1918">
        <v>1.0000000391255801</v>
      </c>
    </row>
    <row r="1919" spans="1:40" x14ac:dyDescent="0.25">
      <c r="A1919" t="str">
        <f>"20190304164407674"</f>
        <v>20190304164407674</v>
      </c>
      <c r="B1919" t="str">
        <f>"1551689047661694"</f>
        <v>1551689047661694</v>
      </c>
      <c r="C1919" t="s">
        <v>40</v>
      </c>
      <c r="D1919">
        <v>5.2269649999999999</v>
      </c>
      <c r="E1919">
        <v>0.5420026</v>
      </c>
      <c r="F1919" t="s">
        <v>41</v>
      </c>
      <c r="G1919">
        <v>-251.45419999999999</v>
      </c>
      <c r="H1919">
        <v>1.0207790000000001</v>
      </c>
      <c r="I1919">
        <v>283.7921</v>
      </c>
      <c r="J1919">
        <v>-251.08080000000001</v>
      </c>
      <c r="K1919">
        <v>1.108832</v>
      </c>
      <c r="L1919">
        <v>283.8066</v>
      </c>
      <c r="M1919">
        <v>-0.99994799999999995</v>
      </c>
      <c r="N1919">
        <v>-5.9009049999999997E-3</v>
      </c>
      <c r="O1919">
        <v>8.3329849999999994E-3</v>
      </c>
      <c r="P1919">
        <v>-0.93431370000000002</v>
      </c>
      <c r="Q1919">
        <v>0.34446969999999999</v>
      </c>
      <c r="R1919">
        <v>-9.1643820000000001E-2</v>
      </c>
      <c r="S1919">
        <v>-3.353653</v>
      </c>
      <c r="T1919">
        <v>-0.40335500000000002</v>
      </c>
      <c r="U1919">
        <v>-5.1879880000000003E-2</v>
      </c>
      <c r="V1919">
        <v>-9.8766900000000005E-2</v>
      </c>
      <c r="W1919">
        <v>0.35015930000000001</v>
      </c>
      <c r="X1919">
        <v>0.93146850000000003</v>
      </c>
      <c r="Y1919">
        <v>-2.356691E-2</v>
      </c>
      <c r="Z1919">
        <v>-2.4314480000000001E-3</v>
      </c>
      <c r="AA1919">
        <v>0.99971929999999998</v>
      </c>
      <c r="AB1919">
        <v>38</v>
      </c>
      <c r="AC1919">
        <v>-0.37339999999997497</v>
      </c>
      <c r="AD1919">
        <v>-8.8052999999999895E-2</v>
      </c>
      <c r="AE1919">
        <v>-1.4499999999998099E-2</v>
      </c>
      <c r="AF1919">
        <v>-1.6684677208195699E-2</v>
      </c>
      <c r="AG1919">
        <v>-8.8052999999999895E-2</v>
      </c>
      <c r="AH1919">
        <v>0.353630992296883</v>
      </c>
      <c r="AI1919">
        <v>103.967206949684</v>
      </c>
      <c r="AJ1919">
        <v>92.701271137862804</v>
      </c>
      <c r="AK1919">
        <v>0.36481034521435901</v>
      </c>
      <c r="AL1919">
        <v>69.502941104643497</v>
      </c>
      <c r="AM1919">
        <v>96.052658219829397</v>
      </c>
      <c r="AN1919">
        <v>1.0000000012021699</v>
      </c>
    </row>
    <row r="1920" spans="1:40" x14ac:dyDescent="0.25">
      <c r="A1920" t="str">
        <f>"20190304164407696"</f>
        <v>20190304164407696</v>
      </c>
      <c r="B1920" t="str">
        <f>"1551689047691950"</f>
        <v>1551689047691950</v>
      </c>
      <c r="C1920" t="s">
        <v>40</v>
      </c>
      <c r="D1920">
        <v>5.2309710000000003</v>
      </c>
      <c r="E1920">
        <v>0.54197479999999998</v>
      </c>
      <c r="F1920" t="s">
        <v>41</v>
      </c>
      <c r="G1920">
        <v>-252.13050000000001</v>
      </c>
      <c r="H1920">
        <v>0.98324889999999998</v>
      </c>
      <c r="I1920">
        <v>283.79050000000001</v>
      </c>
      <c r="J1920">
        <v>-251.4659</v>
      </c>
      <c r="K1920">
        <v>1.108762</v>
      </c>
      <c r="L1920">
        <v>283.81060000000002</v>
      </c>
      <c r="M1920">
        <v>-0.99993940000000003</v>
      </c>
      <c r="N1920">
        <v>-5.9190299999999996E-3</v>
      </c>
      <c r="O1920">
        <v>9.2798959999999993E-3</v>
      </c>
      <c r="P1920">
        <v>-0.93435800000000002</v>
      </c>
      <c r="Q1920">
        <v>0.34476020000000002</v>
      </c>
      <c r="R1920">
        <v>-9.008555E-2</v>
      </c>
      <c r="S1920">
        <v>-3.3537449999999902</v>
      </c>
      <c r="T1920">
        <v>-0.40125569999999999</v>
      </c>
      <c r="U1920">
        <v>-5.1879880000000003E-2</v>
      </c>
      <c r="V1920">
        <v>-9.8036509999999993E-2</v>
      </c>
      <c r="W1920">
        <v>0.35048089999999998</v>
      </c>
      <c r="X1920">
        <v>0.93142469999999999</v>
      </c>
      <c r="Y1920">
        <v>-2.4502469999999998E-2</v>
      </c>
      <c r="Z1920">
        <v>-2.584827E-3</v>
      </c>
      <c r="AA1920">
        <v>0.99969640000000004</v>
      </c>
      <c r="AB1920">
        <v>39</v>
      </c>
      <c r="AC1920">
        <v>-0.66460000000000696</v>
      </c>
      <c r="AD1920">
        <v>-0.12551309999999999</v>
      </c>
      <c r="AE1920">
        <v>-2.0100000000013499E-2</v>
      </c>
      <c r="AF1920">
        <v>-2.5362889087743399E-2</v>
      </c>
      <c r="AG1920">
        <v>-0.12551309999999999</v>
      </c>
      <c r="AH1920">
        <v>0.64152497279396004</v>
      </c>
      <c r="AI1920">
        <v>101.06154607370399</v>
      </c>
      <c r="AJ1920">
        <v>92.264027344094103</v>
      </c>
      <c r="AK1920">
        <v>0.65417971929186103</v>
      </c>
      <c r="AL1920">
        <v>69.483267975110095</v>
      </c>
      <c r="AM1920">
        <v>96.0085073572113</v>
      </c>
      <c r="AN1920">
        <v>0.99999999516394</v>
      </c>
    </row>
    <row r="1921" spans="1:40" x14ac:dyDescent="0.25">
      <c r="A1921" t="str">
        <f>"20190304164407719"</f>
        <v>20190304164407719</v>
      </c>
      <c r="B1921" t="str">
        <f>"1551689047711469"</f>
        <v>1551689047711469</v>
      </c>
      <c r="C1921" t="s">
        <v>40</v>
      </c>
      <c r="D1921">
        <v>5.205705</v>
      </c>
      <c r="E1921">
        <v>0.54195369999999998</v>
      </c>
      <c r="F1921" t="s">
        <v>41</v>
      </c>
      <c r="G1921">
        <v>-252.48070000000001</v>
      </c>
      <c r="H1921">
        <v>0.98757910000000004</v>
      </c>
      <c r="I1921">
        <v>283.79629999999997</v>
      </c>
      <c r="J1921">
        <v>-251.8716</v>
      </c>
      <c r="K1921">
        <v>1.1087089999999999</v>
      </c>
      <c r="L1921">
        <v>283.8152</v>
      </c>
      <c r="M1921">
        <v>-0.99992930000000002</v>
      </c>
      <c r="N1921">
        <v>-5.9382769999999996E-3</v>
      </c>
      <c r="O1921">
        <v>1.0315680000000001E-2</v>
      </c>
      <c r="P1921">
        <v>-0.93448189999999998</v>
      </c>
      <c r="Q1921">
        <v>0.34476849999999998</v>
      </c>
      <c r="R1921">
        <v>-8.8761119999999999E-2</v>
      </c>
      <c r="S1921">
        <v>-3.3539119999999998</v>
      </c>
      <c r="T1921">
        <v>-0.40062500000000001</v>
      </c>
      <c r="U1921">
        <v>-4.840088E-2</v>
      </c>
      <c r="V1921">
        <v>-9.7632150000000001E-2</v>
      </c>
      <c r="W1921">
        <v>0.35051969999999999</v>
      </c>
      <c r="X1921">
        <v>0.93145259999999996</v>
      </c>
      <c r="Y1921">
        <v>-2.4494660000000001E-2</v>
      </c>
      <c r="Z1921">
        <v>-2.6974299999999998E-3</v>
      </c>
      <c r="AA1921">
        <v>0.99969629999999998</v>
      </c>
      <c r="AB1921">
        <v>39</v>
      </c>
      <c r="AC1921">
        <v>-0.60910000000001197</v>
      </c>
      <c r="AD1921">
        <v>-0.1211299</v>
      </c>
      <c r="AE1921">
        <v>-1.89000000000305E-2</v>
      </c>
      <c r="AF1921">
        <v>-2.4225244327689702E-2</v>
      </c>
      <c r="AG1921">
        <v>-0.1211299</v>
      </c>
      <c r="AH1921">
        <v>0.58573038378374997</v>
      </c>
      <c r="AI1921">
        <v>101.674438106403</v>
      </c>
      <c r="AJ1921">
        <v>92.368348443646298</v>
      </c>
      <c r="AK1921">
        <v>0.59861456516209599</v>
      </c>
      <c r="AL1921">
        <v>69.480894883536195</v>
      </c>
      <c r="AM1921">
        <v>95.983727001859805</v>
      </c>
      <c r="AN1921">
        <v>1.0000000214242299</v>
      </c>
    </row>
    <row r="1922" spans="1:40" x14ac:dyDescent="0.25">
      <c r="A1922" t="str">
        <f>"20190304164407741"</f>
        <v>20190304164407741</v>
      </c>
      <c r="B1922" t="str">
        <f>"1551689047731966"</f>
        <v>1551689047731966</v>
      </c>
      <c r="C1922" t="s">
        <v>40</v>
      </c>
      <c r="D1922">
        <v>5.1971509999999999</v>
      </c>
      <c r="E1922">
        <v>0.54198369999999996</v>
      </c>
      <c r="F1922" t="s">
        <v>41</v>
      </c>
      <c r="G1922">
        <v>-252.83269999999999</v>
      </c>
      <c r="H1922">
        <v>0.99385509999999999</v>
      </c>
      <c r="I1922">
        <v>283.80250000000001</v>
      </c>
      <c r="J1922">
        <v>-252.25659999999999</v>
      </c>
      <c r="K1922">
        <v>1.1086720000000001</v>
      </c>
      <c r="L1922">
        <v>283.81990000000002</v>
      </c>
      <c r="M1922">
        <v>-0.99991830000000004</v>
      </c>
      <c r="N1922">
        <v>-5.9570129999999997E-3</v>
      </c>
      <c r="O1922">
        <v>1.132321E-2</v>
      </c>
      <c r="P1922">
        <v>-0.93466139999999998</v>
      </c>
      <c r="Q1922">
        <v>0.34478409999999998</v>
      </c>
      <c r="R1922">
        <v>-8.678806E-2</v>
      </c>
      <c r="S1922">
        <v>-3.3539729999999999</v>
      </c>
      <c r="T1922">
        <v>-0.40084829999999999</v>
      </c>
      <c r="U1922">
        <v>-4.4677729999999999E-2</v>
      </c>
      <c r="V1922">
        <v>-9.6565860000000003E-2</v>
      </c>
      <c r="W1922">
        <v>0.35056130000000002</v>
      </c>
      <c r="X1922">
        <v>0.93154809999999999</v>
      </c>
      <c r="Y1922">
        <v>-2.438624E-2</v>
      </c>
      <c r="Z1922">
        <v>-2.8061430000000001E-3</v>
      </c>
      <c r="AA1922">
        <v>0.99969870000000005</v>
      </c>
      <c r="AB1922">
        <v>39</v>
      </c>
      <c r="AC1922">
        <v>-0.57609999999999595</v>
      </c>
      <c r="AD1922">
        <v>-0.114816899999999</v>
      </c>
      <c r="AE1922">
        <v>-1.7400000000009099E-2</v>
      </c>
      <c r="AF1922">
        <v>-2.3009194259841301E-2</v>
      </c>
      <c r="AG1922">
        <v>-0.114816899999999</v>
      </c>
      <c r="AH1922">
        <v>0.55388542356667003</v>
      </c>
      <c r="AI1922">
        <v>101.70136899070501</v>
      </c>
      <c r="AJ1922">
        <v>92.378781073055293</v>
      </c>
      <c r="AK1922">
        <v>0.56612843594517204</v>
      </c>
      <c r="AL1922">
        <v>69.478350002103895</v>
      </c>
      <c r="AM1922">
        <v>95.918239695118004</v>
      </c>
      <c r="AN1922">
        <v>1.00000002649441</v>
      </c>
    </row>
    <row r="1923" spans="1:40" x14ac:dyDescent="0.25">
      <c r="A1923" t="str">
        <f>"20190304164407763"</f>
        <v>20190304164407763</v>
      </c>
      <c r="B1923" t="str">
        <f>"1551689047751485"</f>
        <v>1551689047751485</v>
      </c>
      <c r="C1923" t="s">
        <v>40</v>
      </c>
      <c r="D1923">
        <v>5.2316379999999896</v>
      </c>
      <c r="E1923">
        <v>0.5419773</v>
      </c>
      <c r="F1923" t="s">
        <v>41</v>
      </c>
      <c r="G1923">
        <v>-253.18459999999999</v>
      </c>
      <c r="H1923">
        <v>0.99784450000000002</v>
      </c>
      <c r="I1923">
        <v>283.81</v>
      </c>
      <c r="J1923">
        <v>-252.636</v>
      </c>
      <c r="K1923">
        <v>1.108644</v>
      </c>
      <c r="L1923">
        <v>283.82499999999999</v>
      </c>
      <c r="M1923">
        <v>-0.99990619999999997</v>
      </c>
      <c r="N1923">
        <v>-5.9759369999999997E-3</v>
      </c>
      <c r="O1923">
        <v>1.2326999999999999E-2</v>
      </c>
      <c r="P1923">
        <v>-0.93462160000000005</v>
      </c>
      <c r="Q1923">
        <v>0.34522920000000001</v>
      </c>
      <c r="R1923">
        <v>-8.5437170000000007E-2</v>
      </c>
      <c r="S1923">
        <v>-3.3541259999999999</v>
      </c>
      <c r="T1923">
        <v>-0.40066889999999999</v>
      </c>
      <c r="U1923">
        <v>-3.6743159999999997E-2</v>
      </c>
      <c r="V1923">
        <v>-9.6122719999999995E-2</v>
      </c>
      <c r="W1923">
        <v>0.35103010000000001</v>
      </c>
      <c r="X1923">
        <v>0.9314173</v>
      </c>
      <c r="Y1923">
        <v>-2.3028570000000002E-2</v>
      </c>
      <c r="Z1923">
        <v>-2.833449E-3</v>
      </c>
      <c r="AA1923">
        <v>0.99973080000000003</v>
      </c>
      <c r="AB1923">
        <v>39</v>
      </c>
      <c r="AC1923">
        <v>-0.54859999999999298</v>
      </c>
      <c r="AD1923">
        <v>-0.110799499999999</v>
      </c>
      <c r="AE1923">
        <v>-1.49999999999863E-2</v>
      </c>
      <c r="AF1923">
        <v>-2.09092995793221E-2</v>
      </c>
      <c r="AG1923">
        <v>-0.110799499999999</v>
      </c>
      <c r="AH1923">
        <v>0.52689683235766005</v>
      </c>
      <c r="AI1923">
        <v>101.866447002412</v>
      </c>
      <c r="AJ1923">
        <v>92.272525202702397</v>
      </c>
      <c r="AK1923">
        <v>0.53882650264967902</v>
      </c>
      <c r="AL1923">
        <v>69.449665298509998</v>
      </c>
      <c r="AM1923">
        <v>95.892093888953298</v>
      </c>
      <c r="AN1923">
        <v>0.99999994757274702</v>
      </c>
    </row>
    <row r="1924" spans="1:40" x14ac:dyDescent="0.25">
      <c r="A1924" t="str">
        <f>"20190304164407786"</f>
        <v>20190304164407786</v>
      </c>
      <c r="B1924" t="str">
        <f>"1551689047781742"</f>
        <v>1551689047781742</v>
      </c>
      <c r="C1924" t="s">
        <v>40</v>
      </c>
      <c r="D1924">
        <v>5.201333</v>
      </c>
      <c r="E1924">
        <v>0.5178701</v>
      </c>
      <c r="F1924" t="s">
        <v>41</v>
      </c>
      <c r="G1924">
        <v>-253.53720000000001</v>
      </c>
      <c r="H1924">
        <v>1.0013700000000001</v>
      </c>
      <c r="I1924">
        <v>283.81659999999999</v>
      </c>
      <c r="J1924">
        <v>-253.02029999999999</v>
      </c>
      <c r="K1924">
        <v>1.108616</v>
      </c>
      <c r="L1924">
        <v>283.83049999999997</v>
      </c>
      <c r="M1924">
        <v>-0.99989320000000004</v>
      </c>
      <c r="N1924">
        <v>-5.9954580000000004E-3</v>
      </c>
      <c r="O1924">
        <v>1.3339139999999999E-2</v>
      </c>
      <c r="P1924">
        <v>-0.93466470000000001</v>
      </c>
      <c r="Q1924">
        <v>0.34535749999999998</v>
      </c>
      <c r="R1924">
        <v>-8.4443599999999994E-2</v>
      </c>
      <c r="S1924">
        <v>-3.3545069999999999</v>
      </c>
      <c r="T1924">
        <v>-0.39930369999999998</v>
      </c>
      <c r="U1924">
        <v>-3.100586E-2</v>
      </c>
      <c r="V1924">
        <v>-9.6054299999999995E-2</v>
      </c>
      <c r="W1924">
        <v>0.35118110000000002</v>
      </c>
      <c r="X1924">
        <v>0.93136750000000001</v>
      </c>
      <c r="Y1924">
        <v>-2.233009E-2</v>
      </c>
      <c r="Z1924">
        <v>-2.8940060000000002E-3</v>
      </c>
      <c r="AA1924">
        <v>0.99974640000000004</v>
      </c>
      <c r="AB1924">
        <v>39</v>
      </c>
      <c r="AC1924">
        <v>-0.51690000000002101</v>
      </c>
      <c r="AD1924">
        <v>-0.10724599999999899</v>
      </c>
      <c r="AE1924">
        <v>-1.3899999999978201E-2</v>
      </c>
      <c r="AF1924">
        <v>-1.9936297652713202E-2</v>
      </c>
      <c r="AG1924">
        <v>-0.10724599999999899</v>
      </c>
      <c r="AH1924">
        <v>0.49535993512405202</v>
      </c>
      <c r="AI1924">
        <v>102.20647961589501</v>
      </c>
      <c r="AJ1924">
        <v>92.304686966130504</v>
      </c>
      <c r="AK1924">
        <v>0.50722837638109497</v>
      </c>
      <c r="AL1924">
        <v>69.440426656955907</v>
      </c>
      <c r="AM1924">
        <v>95.888241994885604</v>
      </c>
      <c r="AN1924">
        <v>1.00000000680097</v>
      </c>
    </row>
    <row r="1925" spans="1:40" x14ac:dyDescent="0.25">
      <c r="A1925" t="str">
        <f>"20190304164407809"</f>
        <v>20190304164407809</v>
      </c>
      <c r="B1925" t="str">
        <f>"1551689047802239"</f>
        <v>1551689047802239</v>
      </c>
      <c r="C1925" t="s">
        <v>40</v>
      </c>
      <c r="D1925">
        <v>5.1494410000000004</v>
      </c>
      <c r="E1925">
        <v>0.50942710000000002</v>
      </c>
      <c r="F1925" t="s">
        <v>45</v>
      </c>
      <c r="G1925">
        <v>-263.79770000000002</v>
      </c>
      <c r="H1925" s="1">
        <v>4.8413770000000001E-7</v>
      </c>
      <c r="I1925">
        <v>283.13499999999999</v>
      </c>
      <c r="J1925">
        <v>-253.44810000000001</v>
      </c>
      <c r="K1925">
        <v>1.1085929999999999</v>
      </c>
      <c r="L1925">
        <v>283.83699999999999</v>
      </c>
      <c r="M1925">
        <v>-0.99987760000000003</v>
      </c>
      <c r="N1925">
        <v>-6.0173509999999998E-3</v>
      </c>
      <c r="O1925">
        <v>1.4444220000000001E-2</v>
      </c>
      <c r="P1925">
        <v>-0.93488150000000003</v>
      </c>
      <c r="Q1925">
        <v>0.34501330000000002</v>
      </c>
      <c r="R1925">
        <v>-8.3441000000000001E-2</v>
      </c>
      <c r="S1925">
        <v>-3.3164220000000002</v>
      </c>
      <c r="T1925">
        <v>-0.34114559999999999</v>
      </c>
      <c r="U1925">
        <v>-0.21401980000000001</v>
      </c>
      <c r="V1925">
        <v>-9.6075919999999995E-2</v>
      </c>
      <c r="W1925">
        <v>0.35086129999999999</v>
      </c>
      <c r="X1925">
        <v>0.93148580000000003</v>
      </c>
      <c r="Y1925">
        <v>-7.8304020000000002E-2</v>
      </c>
      <c r="Z1925">
        <v>-5.6430530000000003E-3</v>
      </c>
      <c r="AA1925">
        <v>0.99691359999999996</v>
      </c>
      <c r="AB1925">
        <v>39</v>
      </c>
      <c r="AC1925">
        <v>-10.349600000000001</v>
      </c>
      <c r="AD1925">
        <v>-1.1085925158623</v>
      </c>
      <c r="AE1925">
        <v>-0.70199999999999796</v>
      </c>
      <c r="AF1925">
        <v>-0.84180710417278704</v>
      </c>
      <c r="AG1925">
        <v>-1.1085925158623</v>
      </c>
      <c r="AH1925">
        <v>10.2216391249036</v>
      </c>
      <c r="AI1925">
        <v>96.169122379546707</v>
      </c>
      <c r="AJ1925">
        <v>94.707991760119398</v>
      </c>
      <c r="AK1925">
        <v>10.3159838583928</v>
      </c>
      <c r="AL1925">
        <v>69.459995205927498</v>
      </c>
      <c r="AM1925">
        <v>95.888815285992905</v>
      </c>
      <c r="AN1925">
        <v>1.00000001492158</v>
      </c>
    </row>
    <row r="1926" spans="1:40" x14ac:dyDescent="0.25">
      <c r="A1926" t="str">
        <f>"20190304164407831"</f>
        <v>20190304164407831</v>
      </c>
      <c r="B1926" t="str">
        <f>"1551689047821758"</f>
        <v>1551689047821758</v>
      </c>
      <c r="C1926" t="s">
        <v>40</v>
      </c>
      <c r="D1926">
        <v>5.1344560000000001</v>
      </c>
      <c r="E1926">
        <v>0.50610140000000003</v>
      </c>
      <c r="F1926" t="s">
        <v>45</v>
      </c>
      <c r="G1926">
        <v>-265.09930000000003</v>
      </c>
      <c r="H1926" s="1">
        <v>1.176811E-6</v>
      </c>
      <c r="I1926">
        <v>282.86660000000001</v>
      </c>
      <c r="J1926">
        <v>-253.84270000000001</v>
      </c>
      <c r="K1926">
        <v>1.108589</v>
      </c>
      <c r="L1926">
        <v>283.84350000000001</v>
      </c>
      <c r="M1926">
        <v>-0.99986280000000005</v>
      </c>
      <c r="N1926">
        <v>-6.037827E-3</v>
      </c>
      <c r="O1926">
        <v>1.5429679999999999E-2</v>
      </c>
      <c r="P1926">
        <v>-0.93496230000000002</v>
      </c>
      <c r="Q1926">
        <v>0.34481099999999998</v>
      </c>
      <c r="R1926">
        <v>-8.3374630000000005E-2</v>
      </c>
      <c r="S1926">
        <v>-3.3003230000000001</v>
      </c>
      <c r="T1926">
        <v>-0.31401869999999998</v>
      </c>
      <c r="U1926">
        <v>-0.2748718</v>
      </c>
      <c r="V1926">
        <v>-9.6932169999999998E-2</v>
      </c>
      <c r="W1926">
        <v>0.35068009999999999</v>
      </c>
      <c r="X1926">
        <v>0.93146530000000005</v>
      </c>
      <c r="Y1926">
        <v>-9.7837980000000005E-2</v>
      </c>
      <c r="Z1926">
        <v>-6.3023330000000002E-3</v>
      </c>
      <c r="AA1926">
        <v>0.99518240000000002</v>
      </c>
      <c r="AB1926">
        <v>39</v>
      </c>
      <c r="AC1926">
        <v>-11.256600000000001</v>
      </c>
      <c r="AD1926">
        <v>-1.1085878231890001</v>
      </c>
      <c r="AE1926">
        <v>-0.97689999999999999</v>
      </c>
      <c r="AF1926">
        <v>-1.1395031963366899</v>
      </c>
      <c r="AG1926">
        <v>-1.1085878231890001</v>
      </c>
      <c r="AH1926">
        <v>11.1330147500477</v>
      </c>
      <c r="AI1926">
        <v>95.657210891329598</v>
      </c>
      <c r="AJ1926">
        <v>95.844073176164699</v>
      </c>
      <c r="AK1926">
        <v>11.2459526906779</v>
      </c>
      <c r="AL1926">
        <v>69.471081116095604</v>
      </c>
      <c r="AM1926">
        <v>95.941053810274198</v>
      </c>
      <c r="AN1926">
        <v>0.99999999161050401</v>
      </c>
    </row>
    <row r="1927" spans="1:40" x14ac:dyDescent="0.25">
      <c r="A1927" t="str">
        <f>"20190304164407853"</f>
        <v>20190304164407853</v>
      </c>
      <c r="B1927" t="str">
        <f>"1551689047842253"</f>
        <v>1551689047842253</v>
      </c>
      <c r="C1927" t="s">
        <v>40</v>
      </c>
      <c r="D1927">
        <v>5.1092339999999998</v>
      </c>
      <c r="E1927">
        <v>0.50418869999999905</v>
      </c>
      <c r="F1927" t="s">
        <v>45</v>
      </c>
      <c r="G1927">
        <v>-265.95269999999999</v>
      </c>
      <c r="H1927" s="1">
        <v>1.630917E-6</v>
      </c>
      <c r="I1927">
        <v>282.74290000000002</v>
      </c>
      <c r="J1927">
        <v>-254.23179999999999</v>
      </c>
      <c r="K1927">
        <v>1.1085989999999999</v>
      </c>
      <c r="L1927">
        <v>283.8501</v>
      </c>
      <c r="M1927">
        <v>-0.99984790000000001</v>
      </c>
      <c r="N1927">
        <v>-6.0581230000000003E-3</v>
      </c>
      <c r="O1927">
        <v>1.6357150000000001E-2</v>
      </c>
      <c r="P1927">
        <v>-0.93504989999999999</v>
      </c>
      <c r="Q1927">
        <v>0.34431830000000002</v>
      </c>
      <c r="R1927">
        <v>-8.4420339999999996E-2</v>
      </c>
      <c r="S1927">
        <v>-3.2932130000000002</v>
      </c>
      <c r="T1927">
        <v>-0.30147239999999997</v>
      </c>
      <c r="U1927">
        <v>-0.29928589999999999</v>
      </c>
      <c r="V1927">
        <v>-9.8856029999999998E-2</v>
      </c>
      <c r="W1927">
        <v>0.35020800000000002</v>
      </c>
      <c r="X1927">
        <v>0.93144070000000001</v>
      </c>
      <c r="Y1927">
        <v>-0.1062554</v>
      </c>
      <c r="Z1927">
        <v>-6.5594169999999997E-3</v>
      </c>
      <c r="AA1927">
        <v>0.99431720000000001</v>
      </c>
      <c r="AB1927">
        <v>39</v>
      </c>
      <c r="AC1927">
        <v>-11.7209</v>
      </c>
      <c r="AD1927">
        <v>-1.108597369083</v>
      </c>
      <c r="AE1927">
        <v>-1.10719999999997</v>
      </c>
      <c r="AF1927">
        <v>-1.2873611046698701</v>
      </c>
      <c r="AG1927">
        <v>-1.108597369083</v>
      </c>
      <c r="AH1927">
        <v>11.598380195211201</v>
      </c>
      <c r="AI1927">
        <v>95.426738184179001</v>
      </c>
      <c r="AJ1927">
        <v>96.333614723048299</v>
      </c>
      <c r="AK1927">
        <v>11.722146130006299</v>
      </c>
      <c r="AL1927">
        <v>69.4999614615908</v>
      </c>
      <c r="AM1927">
        <v>96.058259173206807</v>
      </c>
      <c r="AN1927">
        <v>0.99999996777392497</v>
      </c>
    </row>
    <row r="1928" spans="1:40" x14ac:dyDescent="0.25">
      <c r="A1928" t="str">
        <f>"20190304164407878"</f>
        <v>20190304164407878</v>
      </c>
      <c r="B1928" t="str">
        <f>"1551689047871534"</f>
        <v>1551689047871534</v>
      </c>
      <c r="C1928" t="s">
        <v>40</v>
      </c>
      <c r="D1928">
        <v>5.1130259999999996</v>
      </c>
      <c r="E1928">
        <v>0.50253779999999904</v>
      </c>
      <c r="F1928" t="s">
        <v>45</v>
      </c>
      <c r="G1928">
        <v>-266.47399999999999</v>
      </c>
      <c r="H1928" s="1">
        <v>1.9083520000000002E-6</v>
      </c>
      <c r="I1928">
        <v>282.66989999999998</v>
      </c>
      <c r="J1928">
        <v>-254.62860000000001</v>
      </c>
      <c r="K1928">
        <v>1.1086210000000001</v>
      </c>
      <c r="L1928">
        <v>283.85730000000001</v>
      </c>
      <c r="M1928">
        <v>-0.99983299999999997</v>
      </c>
      <c r="N1928">
        <v>-6.0789140000000004E-3</v>
      </c>
      <c r="O1928">
        <v>1.7241099999999999E-2</v>
      </c>
      <c r="P1928">
        <v>-0.93487430000000005</v>
      </c>
      <c r="Q1928">
        <v>0.3446457</v>
      </c>
      <c r="R1928">
        <v>-8.5027309999999995E-2</v>
      </c>
      <c r="S1928">
        <v>-3.289444</v>
      </c>
      <c r="T1928">
        <v>-0.29787740000000001</v>
      </c>
      <c r="U1928">
        <v>-0.3171387</v>
      </c>
      <c r="V1928">
        <v>-0.10030699999999999</v>
      </c>
      <c r="W1928">
        <v>0.35055009999999998</v>
      </c>
      <c r="X1928">
        <v>0.93115689999999995</v>
      </c>
      <c r="Y1928">
        <v>-0.1125652</v>
      </c>
      <c r="Z1928">
        <v>-6.8686969999999896E-3</v>
      </c>
      <c r="AA1928">
        <v>0.99362059999999996</v>
      </c>
      <c r="AB1928">
        <v>40</v>
      </c>
      <c r="AC1928">
        <v>-11.8453999999999</v>
      </c>
      <c r="AD1928">
        <v>-1.1086190916480001</v>
      </c>
      <c r="AE1928">
        <v>-1.18740000000002</v>
      </c>
      <c r="AF1928">
        <v>-1.3794919161588</v>
      </c>
      <c r="AG1928">
        <v>-1.1086190916480001</v>
      </c>
      <c r="AH1928">
        <v>11.7215169039549</v>
      </c>
      <c r="AI1928">
        <v>95.366136912901993</v>
      </c>
      <c r="AJ1928">
        <v>96.712198910099602</v>
      </c>
      <c r="AK1928">
        <v>11.854365979115601</v>
      </c>
      <c r="AL1928">
        <v>69.479035048888093</v>
      </c>
      <c r="AM1928">
        <v>96.148363136086999</v>
      </c>
      <c r="AN1928">
        <v>1.0000000196383001</v>
      </c>
    </row>
    <row r="1929" spans="1:40" x14ac:dyDescent="0.25">
      <c r="A1929" t="str">
        <f>"20190304164407897"</f>
        <v>20190304164407897</v>
      </c>
      <c r="B1929" t="str">
        <f>"1551689047892030"</f>
        <v>1551689047892030</v>
      </c>
      <c r="C1929" t="s">
        <v>40</v>
      </c>
      <c r="D1929">
        <v>5.0788679999999999</v>
      </c>
      <c r="E1929">
        <v>0.50181969999999998</v>
      </c>
      <c r="F1929" t="s">
        <v>45</v>
      </c>
      <c r="G1929">
        <v>-267.10730000000001</v>
      </c>
      <c r="H1929" s="1">
        <v>2.2453619999999999E-6</v>
      </c>
      <c r="I1929">
        <v>282.59989999999999</v>
      </c>
      <c r="J1929">
        <v>-255.0223</v>
      </c>
      <c r="K1929">
        <v>1.1086609999999999</v>
      </c>
      <c r="L1929">
        <v>283.86470000000003</v>
      </c>
      <c r="M1929">
        <v>-0.99981850000000005</v>
      </c>
      <c r="N1929">
        <v>-6.0997719999999998E-3</v>
      </c>
      <c r="O1929">
        <v>1.8051270000000001E-2</v>
      </c>
      <c r="P1929">
        <v>-0.93489129999999998</v>
      </c>
      <c r="Q1929">
        <v>0.344412099999999</v>
      </c>
      <c r="R1929">
        <v>-8.5782780000000003E-2</v>
      </c>
      <c r="S1929">
        <v>-3.28653</v>
      </c>
      <c r="T1929">
        <v>-0.29197879999999998</v>
      </c>
      <c r="U1929">
        <v>-0.33117679999999999</v>
      </c>
      <c r="V1929">
        <v>-0.1018503</v>
      </c>
      <c r="W1929">
        <v>0.35032990000000003</v>
      </c>
      <c r="X1929">
        <v>0.93107220000000002</v>
      </c>
      <c r="Y1929">
        <v>-0.1176526</v>
      </c>
      <c r="Z1929">
        <v>-7.0505139999999999E-3</v>
      </c>
      <c r="AA1929">
        <v>0.99302979999999996</v>
      </c>
      <c r="AB1929">
        <v>40</v>
      </c>
      <c r="AC1929">
        <v>-12.085000000000001</v>
      </c>
      <c r="AD1929">
        <v>-1.108658754638</v>
      </c>
      <c r="AE1929">
        <v>-1.2648000000000299</v>
      </c>
      <c r="AF1929">
        <v>-1.4705059580142701</v>
      </c>
      <c r="AG1929">
        <v>-1.108658754638</v>
      </c>
      <c r="AH1929">
        <v>11.960629876938601</v>
      </c>
      <c r="AI1929">
        <v>95.256394006438896</v>
      </c>
      <c r="AJ1929">
        <v>97.009085593180004</v>
      </c>
      <c r="AK1929">
        <v>12.101577544267</v>
      </c>
      <c r="AL1929">
        <v>69.492505020161602</v>
      </c>
      <c r="AM1929">
        <v>96.242782598122204</v>
      </c>
      <c r="AN1929">
        <v>0.99999998202846996</v>
      </c>
    </row>
    <row r="1930" spans="1:40" x14ac:dyDescent="0.25">
      <c r="A1930" t="str">
        <f>"20190304164407920"</f>
        <v>20190304164407920</v>
      </c>
      <c r="B1930" t="str">
        <f>"1551689047911550"</f>
        <v>1551689047911550</v>
      </c>
      <c r="C1930" t="s">
        <v>40</v>
      </c>
      <c r="D1930">
        <v>5.0855629999999996</v>
      </c>
      <c r="E1930">
        <v>0.50163239999999998</v>
      </c>
      <c r="F1930" t="s">
        <v>45</v>
      </c>
      <c r="G1930">
        <v>-267.50850000000003</v>
      </c>
      <c r="H1930" s="1">
        <v>2.458835E-6</v>
      </c>
      <c r="I1930">
        <v>282.57319999999999</v>
      </c>
      <c r="J1930">
        <v>-255.4256</v>
      </c>
      <c r="K1930">
        <v>1.108703</v>
      </c>
      <c r="L1930">
        <v>283.8725</v>
      </c>
      <c r="M1930">
        <v>-0.99980420000000003</v>
      </c>
      <c r="N1930">
        <v>-6.1214390000000002E-3</v>
      </c>
      <c r="O1930">
        <v>1.881938E-2</v>
      </c>
      <c r="P1930">
        <v>-0.93473569999999995</v>
      </c>
      <c r="Q1930">
        <v>0.34481840000000002</v>
      </c>
      <c r="R1930">
        <v>-8.5844760000000006E-2</v>
      </c>
      <c r="S1930">
        <v>-3.2852329999999998</v>
      </c>
      <c r="T1930">
        <v>-0.29169919999999999</v>
      </c>
      <c r="U1930">
        <v>-0.33981319999999998</v>
      </c>
      <c r="V1930">
        <v>-0.10266069999999999</v>
      </c>
      <c r="W1930">
        <v>0.35074660000000002</v>
      </c>
      <c r="X1930">
        <v>0.9308263</v>
      </c>
      <c r="Y1930">
        <v>-0.12102159999999999</v>
      </c>
      <c r="Z1930">
        <v>-7.2692199999999998E-3</v>
      </c>
      <c r="AA1930">
        <v>0.99262329999999999</v>
      </c>
      <c r="AB1930">
        <v>40</v>
      </c>
      <c r="AC1930">
        <v>-12.0829</v>
      </c>
      <c r="AD1930">
        <v>-1.1087005411649999</v>
      </c>
      <c r="AE1930">
        <v>-1.2993000000000099</v>
      </c>
      <c r="AF1930">
        <v>-1.5138665274565</v>
      </c>
      <c r="AG1930">
        <v>-1.1087005411649999</v>
      </c>
      <c r="AH1930">
        <v>11.956788172236299</v>
      </c>
      <c r="AI1930">
        <v>95.255915873863401</v>
      </c>
      <c r="AJ1930">
        <v>97.215908209603299</v>
      </c>
      <c r="AK1930">
        <v>12.103131501750401</v>
      </c>
      <c r="AL1930">
        <v>69.467012674501206</v>
      </c>
      <c r="AM1930">
        <v>96.293707034948895</v>
      </c>
      <c r="AN1930">
        <v>0.99999999875387002</v>
      </c>
    </row>
    <row r="1931" spans="1:40" x14ac:dyDescent="0.25">
      <c r="A1931" t="str">
        <f>"20190304164407941"</f>
        <v>20190304164407941</v>
      </c>
      <c r="B1931" t="str">
        <f>"1551689047932046"</f>
        <v>1551689047932046</v>
      </c>
      <c r="C1931" t="s">
        <v>40</v>
      </c>
      <c r="D1931">
        <v>4.9853269999999998</v>
      </c>
      <c r="E1931">
        <v>0.50127429999999995</v>
      </c>
      <c r="F1931" t="s">
        <v>45</v>
      </c>
      <c r="G1931">
        <v>-267.96109999999999</v>
      </c>
      <c r="H1931" s="1">
        <v>2.6997269999999999E-6</v>
      </c>
      <c r="I1931">
        <v>282.57029999999997</v>
      </c>
      <c r="J1931">
        <v>-255.8135</v>
      </c>
      <c r="K1931">
        <v>1.108749</v>
      </c>
      <c r="L1931">
        <v>283.88029999999998</v>
      </c>
      <c r="M1931">
        <v>-0.99979130000000005</v>
      </c>
      <c r="N1931">
        <v>-6.1425459999999996E-3</v>
      </c>
      <c r="O1931">
        <v>1.949277E-2</v>
      </c>
      <c r="P1931">
        <v>-0.93492889999999995</v>
      </c>
      <c r="Q1931">
        <v>0.34440090000000001</v>
      </c>
      <c r="R1931">
        <v>-8.5418969999999997E-2</v>
      </c>
      <c r="S1931">
        <v>-3.285339</v>
      </c>
      <c r="T1931">
        <v>-0.29057119999999997</v>
      </c>
      <c r="U1931">
        <v>-0.34127809999999997</v>
      </c>
      <c r="V1931">
        <v>-0.1029061</v>
      </c>
      <c r="W1931">
        <v>0.35033839999999999</v>
      </c>
      <c r="X1931">
        <v>0.93095289999999997</v>
      </c>
      <c r="Y1931">
        <v>-0.12212199999999999</v>
      </c>
      <c r="Z1931">
        <v>-7.3497450000000004E-3</v>
      </c>
      <c r="AA1931">
        <v>0.99248789999999998</v>
      </c>
      <c r="AB1931">
        <v>40</v>
      </c>
      <c r="AC1931">
        <v>-12.147599999999899</v>
      </c>
      <c r="AD1931">
        <v>-1.108746300273</v>
      </c>
      <c r="AE1931">
        <v>-1.31</v>
      </c>
      <c r="AF1931">
        <v>-1.5339141537440699</v>
      </c>
      <c r="AG1931">
        <v>-1.108746300273</v>
      </c>
      <c r="AH1931">
        <v>12.020765222703799</v>
      </c>
      <c r="AI1931">
        <v>95.227666423392094</v>
      </c>
      <c r="AJ1931">
        <v>97.271948863043804</v>
      </c>
      <c r="AK1931">
        <v>12.168853994061701</v>
      </c>
      <c r="AL1931">
        <v>69.491985030418306</v>
      </c>
      <c r="AM1931">
        <v>96.307779354502799</v>
      </c>
      <c r="AN1931">
        <v>0.99999998097508902</v>
      </c>
    </row>
    <row r="1932" spans="1:40" x14ac:dyDescent="0.25">
      <c r="A1932" t="str">
        <f>"20190304164407964"</f>
        <v>20190304164407964</v>
      </c>
      <c r="B1932" t="str">
        <f>"1551689047951566"</f>
        <v>1551689047951566</v>
      </c>
      <c r="C1932" t="s">
        <v>40</v>
      </c>
      <c r="D1932">
        <v>5.0560700000000001</v>
      </c>
      <c r="E1932">
        <v>0.47821089999999999</v>
      </c>
      <c r="F1932" t="s">
        <v>45</v>
      </c>
      <c r="G1932">
        <v>-268.37790000000001</v>
      </c>
      <c r="H1932" s="1">
        <v>2.9215159999999999E-6</v>
      </c>
      <c r="I1932">
        <v>282.57420000000002</v>
      </c>
      <c r="J1932">
        <v>-256.20409999999998</v>
      </c>
      <c r="K1932">
        <v>1.1088039999999999</v>
      </c>
      <c r="L1932">
        <v>283.88830000000002</v>
      </c>
      <c r="M1932">
        <v>-0.99977910000000003</v>
      </c>
      <c r="N1932">
        <v>-6.1639299999999998E-3</v>
      </c>
      <c r="O1932">
        <v>2.0099349999999998E-2</v>
      </c>
      <c r="P1932">
        <v>-0.93492540000000002</v>
      </c>
      <c r="Q1932">
        <v>0.34465210000000002</v>
      </c>
      <c r="R1932">
        <v>-8.4439120000000006E-2</v>
      </c>
      <c r="S1932">
        <v>-3.2843629999999999</v>
      </c>
      <c r="T1932">
        <v>-0.2898288</v>
      </c>
      <c r="U1932">
        <v>-0.34143069999999998</v>
      </c>
      <c r="V1932">
        <v>-0.1025355</v>
      </c>
      <c r="W1932">
        <v>0.35059570000000001</v>
      </c>
      <c r="X1932">
        <v>0.93089690000000003</v>
      </c>
      <c r="Y1932">
        <v>-0.122797699999999</v>
      </c>
      <c r="Z1932">
        <v>-7.4160049999999998E-3</v>
      </c>
      <c r="AA1932">
        <v>0.99240399999999995</v>
      </c>
      <c r="AB1932">
        <v>40</v>
      </c>
      <c r="AC1932">
        <v>-12.1738</v>
      </c>
      <c r="AD1932">
        <v>-1.1088010784839999</v>
      </c>
      <c r="AE1932">
        <v>-1.3140999999999901</v>
      </c>
      <c r="AF1932">
        <v>-1.5458483673842001</v>
      </c>
      <c r="AG1932">
        <v>-1.1088010784839999</v>
      </c>
      <c r="AH1932">
        <v>12.046146935562399</v>
      </c>
      <c r="AI1932">
        <v>95.216497176339601</v>
      </c>
      <c r="AJ1932">
        <v>97.312640806861907</v>
      </c>
      <c r="AK1932">
        <v>12.1954394344669</v>
      </c>
      <c r="AL1932">
        <v>69.476243947527294</v>
      </c>
      <c r="AM1932">
        <v>96.285620091221801</v>
      </c>
      <c r="AN1932">
        <v>0.99999995602417402</v>
      </c>
    </row>
    <row r="1933" spans="1:40" x14ac:dyDescent="0.25">
      <c r="A1933" t="str">
        <f>"20190304164407987"</f>
        <v>20190304164407987</v>
      </c>
      <c r="B1933" t="str">
        <f>"1551689047981821"</f>
        <v>1551689047981821</v>
      </c>
      <c r="C1933" t="s">
        <v>40</v>
      </c>
      <c r="D1933">
        <v>4.9833259999999999</v>
      </c>
      <c r="E1933">
        <v>0.47617399999999999</v>
      </c>
      <c r="F1933" t="s">
        <v>45</v>
      </c>
      <c r="G1933">
        <v>-269.61169999999998</v>
      </c>
      <c r="H1933" s="1">
        <v>3.5780669999999998E-6</v>
      </c>
      <c r="I1933">
        <v>281.7527</v>
      </c>
      <c r="J1933">
        <v>-256.61930000000001</v>
      </c>
      <c r="K1933">
        <v>1.108867</v>
      </c>
      <c r="L1933">
        <v>283.89710000000002</v>
      </c>
      <c r="M1933">
        <v>-0.99976739999999997</v>
      </c>
      <c r="N1933">
        <v>-6.1867919999999896E-3</v>
      </c>
      <c r="O1933">
        <v>2.066378E-2</v>
      </c>
      <c r="P1933">
        <v>-0.93507700000000005</v>
      </c>
      <c r="Q1933">
        <v>0.34455370000000002</v>
      </c>
      <c r="R1933">
        <v>-8.3151020000000006E-2</v>
      </c>
      <c r="S1933">
        <v>-3.2613219999999998</v>
      </c>
      <c r="T1933">
        <v>-0.2697098</v>
      </c>
      <c r="U1933">
        <v>-0.51947019999999999</v>
      </c>
      <c r="V1933">
        <v>-0.10183</v>
      </c>
      <c r="W1933">
        <v>0.3505028</v>
      </c>
      <c r="X1933">
        <v>0.93100939999999999</v>
      </c>
      <c r="Y1933">
        <v>-0.17697879999999999</v>
      </c>
      <c r="Z1933">
        <v>-9.3810560000000005E-3</v>
      </c>
      <c r="AA1933">
        <v>0.98416999999999999</v>
      </c>
      <c r="AB1933">
        <v>40</v>
      </c>
      <c r="AC1933">
        <v>-12.9923999999999</v>
      </c>
      <c r="AD1933">
        <v>-1.108863421933</v>
      </c>
      <c r="AE1933">
        <v>-2.1444000000000099</v>
      </c>
      <c r="AF1933">
        <v>-2.3954334189069399</v>
      </c>
      <c r="AG1933">
        <v>-1.108863421933</v>
      </c>
      <c r="AH1933">
        <v>12.854165208245799</v>
      </c>
      <c r="AI1933">
        <v>94.847365867246793</v>
      </c>
      <c r="AJ1933">
        <v>100.556246986261</v>
      </c>
      <c r="AK1933">
        <v>13.1223946958547</v>
      </c>
      <c r="AL1933">
        <v>69.481929006871795</v>
      </c>
      <c r="AM1933">
        <v>96.241965849314795</v>
      </c>
      <c r="AN1933">
        <v>1.00000003229809</v>
      </c>
    </row>
    <row r="1934" spans="1:40" x14ac:dyDescent="0.25">
      <c r="A1934" t="str">
        <f>"20190304164408010"</f>
        <v>20190304164408010</v>
      </c>
      <c r="B1934" t="str">
        <f>"1551689048002224"</f>
        <v>1551689048002224</v>
      </c>
      <c r="C1934" t="s">
        <v>40</v>
      </c>
      <c r="D1934">
        <v>5.0179799999999997</v>
      </c>
      <c r="E1934">
        <v>0.47575079999999997</v>
      </c>
      <c r="F1934" t="s">
        <v>45</v>
      </c>
      <c r="G1934">
        <v>-270.38600000000002</v>
      </c>
      <c r="H1934" s="1">
        <v>-1.2017939999999999E-6</v>
      </c>
      <c r="I1934">
        <v>281.65230000000003</v>
      </c>
      <c r="J1934">
        <v>-257.02749999999997</v>
      </c>
      <c r="K1934">
        <v>1.1089209999999901</v>
      </c>
      <c r="L1934">
        <v>283.90589999999997</v>
      </c>
      <c r="M1934">
        <v>-0.99975729999999996</v>
      </c>
      <c r="N1934">
        <v>-6.2094409999999996E-3</v>
      </c>
      <c r="O1934">
        <v>2.1141460000000001E-2</v>
      </c>
      <c r="P1934">
        <v>-0.93516250000000001</v>
      </c>
      <c r="Q1934">
        <v>0.34460150000000001</v>
      </c>
      <c r="R1934">
        <v>-8.1983100000000003E-2</v>
      </c>
      <c r="S1934">
        <v>-3.2577509999999998</v>
      </c>
      <c r="T1934">
        <v>-0.262401</v>
      </c>
      <c r="U1934">
        <v>-0.53121949999999996</v>
      </c>
      <c r="V1934">
        <v>-0.101165</v>
      </c>
      <c r="W1934">
        <v>0.35055459999999999</v>
      </c>
      <c r="X1934">
        <v>0.93106230000000001</v>
      </c>
      <c r="Y1934">
        <v>-0.18109420000000001</v>
      </c>
      <c r="Z1934">
        <v>-9.3602990000000007E-3</v>
      </c>
      <c r="AA1934">
        <v>0.9834212</v>
      </c>
      <c r="AB1934">
        <v>40</v>
      </c>
      <c r="AC1934">
        <v>-13.3584999999999</v>
      </c>
      <c r="AD1934">
        <v>-1.1089222017939999</v>
      </c>
      <c r="AE1934">
        <v>-2.2535999999999401</v>
      </c>
      <c r="AF1934">
        <v>-2.5186440357712998</v>
      </c>
      <c r="AG1934">
        <v>-1.1089222017939999</v>
      </c>
      <c r="AH1934">
        <v>13.219294613087699</v>
      </c>
      <c r="AI1934">
        <v>94.710774959002705</v>
      </c>
      <c r="AJ1934">
        <v>100.78715515013999</v>
      </c>
      <c r="AK1934">
        <v>13.502704406753701</v>
      </c>
      <c r="AL1934">
        <v>69.478758161261496</v>
      </c>
      <c r="AM1934">
        <v>96.2011717879695</v>
      </c>
      <c r="AN1934">
        <v>0.99999994564372297</v>
      </c>
    </row>
    <row r="1935" spans="1:40" x14ac:dyDescent="0.25">
      <c r="A1935" t="str">
        <f>"20190304164408031"</f>
        <v>20190304164408031</v>
      </c>
      <c r="B1935" t="str">
        <f>"1551689048021743"</f>
        <v>1551689048021743</v>
      </c>
      <c r="C1935" t="s">
        <v>40</v>
      </c>
      <c r="D1935">
        <v>5.0329259999999998</v>
      </c>
      <c r="E1935">
        <v>0.4748251</v>
      </c>
      <c r="F1935" t="s">
        <v>45</v>
      </c>
      <c r="G1935">
        <v>-271.00459999999998</v>
      </c>
      <c r="H1935" s="1">
        <v>-8.7171339999999996E-7</v>
      </c>
      <c r="I1935">
        <v>281.63099999999997</v>
      </c>
      <c r="J1935">
        <v>-257.42059999999998</v>
      </c>
      <c r="K1935">
        <v>1.108981</v>
      </c>
      <c r="L1935">
        <v>283.91449999999998</v>
      </c>
      <c r="M1935">
        <v>-0.99974879999999999</v>
      </c>
      <c r="N1935">
        <v>-6.2313799999999999E-3</v>
      </c>
      <c r="O1935">
        <v>2.1535809999999999E-2</v>
      </c>
      <c r="P1935">
        <v>-0.93543200000000004</v>
      </c>
      <c r="Q1935">
        <v>0.34407720000000003</v>
      </c>
      <c r="R1935">
        <v>-8.1105499999999997E-2</v>
      </c>
      <c r="S1935">
        <v>-3.2567439999999999</v>
      </c>
      <c r="T1935">
        <v>-0.25838509999999998</v>
      </c>
      <c r="U1935">
        <v>-0.53005979999999997</v>
      </c>
      <c r="V1935">
        <v>-0.10071479999999999</v>
      </c>
      <c r="W1935">
        <v>0.35003699999999999</v>
      </c>
      <c r="X1935">
        <v>0.93130590000000002</v>
      </c>
      <c r="Y1935">
        <v>-0.18120720000000001</v>
      </c>
      <c r="Z1935">
        <v>-9.2619839999999991E-3</v>
      </c>
      <c r="AA1935">
        <v>0.98340139999999998</v>
      </c>
      <c r="AB1935">
        <v>40</v>
      </c>
      <c r="AC1935">
        <v>-13.584</v>
      </c>
      <c r="AD1935">
        <v>-1.1089818717133999</v>
      </c>
      <c r="AE1935">
        <v>-2.2835000000000001</v>
      </c>
      <c r="AF1935">
        <v>-2.5589321446331699</v>
      </c>
      <c r="AG1935">
        <v>-1.1089818717133999</v>
      </c>
      <c r="AH1935">
        <v>13.444527601917899</v>
      </c>
      <c r="AI1935">
        <v>94.632616468332699</v>
      </c>
      <c r="AJ1935">
        <v>100.77635959907001</v>
      </c>
      <c r="AK1935">
        <v>13.730742767649501</v>
      </c>
      <c r="AL1935">
        <v>69.510422337221897</v>
      </c>
      <c r="AM1935">
        <v>96.172186789387695</v>
      </c>
      <c r="AN1935">
        <v>1.0000000258414199</v>
      </c>
    </row>
    <row r="1936" spans="1:40" x14ac:dyDescent="0.25">
      <c r="A1936" t="str">
        <f>"20190304164408045"</f>
        <v>20190304164408045</v>
      </c>
      <c r="B1936" t="str">
        <f>"1551689048042241"</f>
        <v>1551689048042241</v>
      </c>
      <c r="C1936" t="s">
        <v>40</v>
      </c>
      <c r="D1936">
        <v>5.0034900000000002</v>
      </c>
      <c r="E1936">
        <v>0.47401399999999999</v>
      </c>
      <c r="F1936" t="s">
        <v>45</v>
      </c>
      <c r="G1936">
        <v>-271.37180000000001</v>
      </c>
      <c r="H1936" s="1">
        <v>-6.7614890000000001E-7</v>
      </c>
      <c r="I1936">
        <v>281.62759999999997</v>
      </c>
      <c r="J1936">
        <v>-257.66430000000003</v>
      </c>
      <c r="K1936">
        <v>1.1090100000000001</v>
      </c>
      <c r="L1936">
        <v>283.91989999999998</v>
      </c>
      <c r="M1936">
        <v>-0.99974410000000002</v>
      </c>
      <c r="N1936">
        <v>-6.2450040000000002E-3</v>
      </c>
      <c r="O1936">
        <v>2.1749540000000001E-2</v>
      </c>
      <c r="P1936">
        <v>-0.93560239999999995</v>
      </c>
      <c r="Q1936">
        <v>0.34368189999999998</v>
      </c>
      <c r="R1936">
        <v>-8.0819139999999998E-2</v>
      </c>
      <c r="S1936">
        <v>-3.2560120000000001</v>
      </c>
      <c r="T1936">
        <v>-0.25882070000000001</v>
      </c>
      <c r="U1936">
        <v>-0.53372189999999997</v>
      </c>
      <c r="V1936">
        <v>-0.1006625</v>
      </c>
      <c r="W1936">
        <v>0.34964610000000002</v>
      </c>
      <c r="X1936">
        <v>0.93145840000000002</v>
      </c>
      <c r="Y1936">
        <v>-0.1825223</v>
      </c>
      <c r="Z1936">
        <v>-9.3505380000000003E-3</v>
      </c>
      <c r="AA1936">
        <v>0.98315719999999995</v>
      </c>
      <c r="AB1936">
        <v>40</v>
      </c>
      <c r="AC1936">
        <v>-13.7074999999999</v>
      </c>
      <c r="AD1936">
        <v>-1.1090106761489</v>
      </c>
      <c r="AE1936">
        <v>-2.2923000000000102</v>
      </c>
      <c r="AF1936">
        <v>-2.5735082336681798</v>
      </c>
      <c r="AG1936">
        <v>-1.1090106761489</v>
      </c>
      <c r="AH1936">
        <v>13.5680042123366</v>
      </c>
      <c r="AI1936">
        <v>94.591308227590602</v>
      </c>
      <c r="AJ1936">
        <v>100.739981603248</v>
      </c>
      <c r="AK1936">
        <v>13.8543707043862</v>
      </c>
      <c r="AL1936">
        <v>69.534330366517196</v>
      </c>
      <c r="AM1936">
        <v>96.168004151179801</v>
      </c>
      <c r="AN1936">
        <v>1.0000000425410001</v>
      </c>
    </row>
    <row r="1937" spans="1:40" x14ac:dyDescent="0.25">
      <c r="A1937" t="str">
        <f>"20190304164408067"</f>
        <v>20190304164408067</v>
      </c>
      <c r="B1937" t="str">
        <f>"1551689048061760"</f>
        <v>1551689048061760</v>
      </c>
      <c r="C1937" t="s">
        <v>40</v>
      </c>
      <c r="D1937">
        <v>4.9797500000000001</v>
      </c>
      <c r="E1937">
        <v>0.47358899999999998</v>
      </c>
      <c r="F1937" t="s">
        <v>45</v>
      </c>
      <c r="G1937">
        <v>-271.5942</v>
      </c>
      <c r="H1937" s="1">
        <v>-5.5708730000000002E-7</v>
      </c>
      <c r="I1937">
        <v>281.61189999999999</v>
      </c>
      <c r="J1937">
        <v>-258.0643</v>
      </c>
      <c r="K1937">
        <v>1.109059</v>
      </c>
      <c r="L1937">
        <v>283.92880000000002</v>
      </c>
      <c r="M1937">
        <v>-0.99973679999999998</v>
      </c>
      <c r="N1937">
        <v>-6.267374E-3</v>
      </c>
      <c r="O1937">
        <v>2.2068279999999999E-2</v>
      </c>
      <c r="P1937">
        <v>-0.93566859999999996</v>
      </c>
      <c r="Q1937">
        <v>0.3436844</v>
      </c>
      <c r="R1937">
        <v>-8.0035300000000004E-2</v>
      </c>
      <c r="S1937">
        <v>-3.255096</v>
      </c>
      <c r="T1937">
        <v>-0.259150299999999</v>
      </c>
      <c r="U1937">
        <v>-0.53933719999999996</v>
      </c>
      <c r="V1937">
        <v>-0.1002242</v>
      </c>
      <c r="W1937">
        <v>0.34965590000000002</v>
      </c>
      <c r="X1937">
        <v>0.93150189999999999</v>
      </c>
      <c r="Y1937">
        <v>-0.1845212</v>
      </c>
      <c r="Z1937">
        <v>-9.4731959999999997E-3</v>
      </c>
      <c r="AA1937">
        <v>0.98278290000000001</v>
      </c>
      <c r="AB1937">
        <v>41</v>
      </c>
      <c r="AC1937">
        <v>-13.5298999999999</v>
      </c>
      <c r="AD1937">
        <v>-1.1090595570873001</v>
      </c>
      <c r="AE1937">
        <v>-2.3169000000000302</v>
      </c>
      <c r="AF1937">
        <v>-2.5979641741250301</v>
      </c>
      <c r="AG1937">
        <v>-1.1090595570873001</v>
      </c>
      <c r="AH1937">
        <v>13.3880788589946</v>
      </c>
      <c r="AI1937">
        <v>94.649197264612198</v>
      </c>
      <c r="AJ1937">
        <v>100.981793402113</v>
      </c>
      <c r="AK1937">
        <v>13.682839123729501</v>
      </c>
      <c r="AL1937">
        <v>69.533729362835203</v>
      </c>
      <c r="AM1937">
        <v>96.141068784496795</v>
      </c>
      <c r="AN1937">
        <v>0.99999996418702897</v>
      </c>
    </row>
    <row r="1938" spans="1:40" x14ac:dyDescent="0.25">
      <c r="A1938" t="str">
        <f>"20190304164408089"</f>
        <v>20190304164408089</v>
      </c>
      <c r="B1938" t="str">
        <f>"1551689048082256"</f>
        <v>1551689048082256</v>
      </c>
      <c r="C1938" t="s">
        <v>40</v>
      </c>
      <c r="D1938">
        <v>4.928515</v>
      </c>
      <c r="E1938">
        <v>0.47341129999999998</v>
      </c>
      <c r="F1938" t="s">
        <v>45</v>
      </c>
      <c r="G1938">
        <v>-271.97190000000001</v>
      </c>
      <c r="H1938" s="1">
        <v>-3.5657109999999898E-7</v>
      </c>
      <c r="I1938">
        <v>281.62240000000003</v>
      </c>
      <c r="J1938">
        <v>-258.46440000000001</v>
      </c>
      <c r="K1938">
        <v>1.1091040000000001</v>
      </c>
      <c r="L1938">
        <v>283.93790000000001</v>
      </c>
      <c r="M1938">
        <v>-0.99973040000000002</v>
      </c>
      <c r="N1938">
        <v>-6.2897659999999996E-3</v>
      </c>
      <c r="O1938">
        <v>2.235214E-2</v>
      </c>
      <c r="P1938">
        <v>-0.93576689999999996</v>
      </c>
      <c r="Q1938">
        <v>0.34337820000000002</v>
      </c>
      <c r="R1938">
        <v>-8.0198899999999906E-2</v>
      </c>
      <c r="S1938">
        <v>-3.2554319999999999</v>
      </c>
      <c r="T1938">
        <v>-0.25960429999999901</v>
      </c>
      <c r="U1938">
        <v>-0.53988649999999905</v>
      </c>
      <c r="V1938">
        <v>-0.10069309999999999</v>
      </c>
      <c r="W1938">
        <v>0.34936060000000002</v>
      </c>
      <c r="X1938">
        <v>0.93156220000000001</v>
      </c>
      <c r="Y1938">
        <v>-0.18494079999999999</v>
      </c>
      <c r="Z1938">
        <v>-9.5281489999999996E-3</v>
      </c>
      <c r="AA1938">
        <v>0.9827034</v>
      </c>
      <c r="AB1938">
        <v>41</v>
      </c>
      <c r="AC1938">
        <v>-13.507499999999901</v>
      </c>
      <c r="AD1938">
        <v>-1.1091043565711001</v>
      </c>
      <c r="AE1938">
        <v>-2.3154999999999801</v>
      </c>
      <c r="AF1938">
        <v>-2.5998211062732799</v>
      </c>
      <c r="AG1938">
        <v>-1.1091043565711001</v>
      </c>
      <c r="AH1938">
        <v>13.364833060846401</v>
      </c>
      <c r="AI1938">
        <v>94.657021876811697</v>
      </c>
      <c r="AJ1938">
        <v>101.00809947461499</v>
      </c>
      <c r="AK1938">
        <v>13.6604518593889</v>
      </c>
      <c r="AL1938">
        <v>69.551789110439401</v>
      </c>
      <c r="AM1938">
        <v>96.169182499364297</v>
      </c>
      <c r="AN1938">
        <v>1.0000000308443999</v>
      </c>
    </row>
    <row r="1939" spans="1:40" x14ac:dyDescent="0.25">
      <c r="A1939" t="str">
        <f>"20190304164408110"</f>
        <v>20190304164408110</v>
      </c>
      <c r="B1939" t="str">
        <f>"1551689048101775"</f>
        <v>1551689048101775</v>
      </c>
      <c r="C1939" t="s">
        <v>40</v>
      </c>
      <c r="D1939">
        <v>4.8912550000000001</v>
      </c>
      <c r="E1939">
        <v>0.47299360000000001</v>
      </c>
      <c r="F1939" t="s">
        <v>45</v>
      </c>
      <c r="G1939">
        <v>-272.42669999999998</v>
      </c>
      <c r="H1939" s="1">
        <v>-1.141882E-7</v>
      </c>
      <c r="I1939">
        <v>281.61410000000001</v>
      </c>
      <c r="J1939">
        <v>-258.8578</v>
      </c>
      <c r="K1939">
        <v>1.1091359999999999</v>
      </c>
      <c r="L1939">
        <v>283.94690000000003</v>
      </c>
      <c r="M1939">
        <v>-0.99972450000000002</v>
      </c>
      <c r="N1939">
        <v>-6.3117449999999997E-3</v>
      </c>
      <c r="O1939">
        <v>2.2607370000000002E-2</v>
      </c>
      <c r="P1939">
        <v>-0.93586829999999999</v>
      </c>
      <c r="Q1939">
        <v>0.343055</v>
      </c>
      <c r="R1939">
        <v>-8.0399540000000005E-2</v>
      </c>
      <c r="S1939">
        <v>-3.2543639999999998</v>
      </c>
      <c r="T1939">
        <v>-0.25851259999999998</v>
      </c>
      <c r="U1939">
        <v>-0.54162600000000005</v>
      </c>
      <c r="V1939">
        <v>-0.1011657</v>
      </c>
      <c r="W1939">
        <v>0.34905009999999997</v>
      </c>
      <c r="X1939">
        <v>0.93162730000000005</v>
      </c>
      <c r="Y1939">
        <v>-0.18575649999999999</v>
      </c>
      <c r="Z1939">
        <v>-9.5474440000000004E-3</v>
      </c>
      <c r="AA1939">
        <v>0.98254940000000002</v>
      </c>
      <c r="AB1939">
        <v>41</v>
      </c>
      <c r="AC1939">
        <v>-13.5688999999999</v>
      </c>
      <c r="AD1939">
        <v>-1.1091361141881999</v>
      </c>
      <c r="AE1939">
        <v>-2.33280000000001</v>
      </c>
      <c r="AF1939">
        <v>-2.62195113167432</v>
      </c>
      <c r="AG1939">
        <v>-1.1091361141881999</v>
      </c>
      <c r="AH1939">
        <v>13.4255634793242</v>
      </c>
      <c r="AI1939">
        <v>94.635514091870803</v>
      </c>
      <c r="AJ1939">
        <v>101.05051467215699</v>
      </c>
      <c r="AK1939">
        <v>13.724087051387</v>
      </c>
      <c r="AL1939">
        <v>69.570772907186196</v>
      </c>
      <c r="AM1939">
        <v>96.197482812793893</v>
      </c>
      <c r="AN1939">
        <v>0.99999994863589303</v>
      </c>
    </row>
    <row r="1940" spans="1:40" x14ac:dyDescent="0.25">
      <c r="A1940" t="str">
        <f>"20190304164408133"</f>
        <v>20190304164408133</v>
      </c>
      <c r="B1940" t="str">
        <f>"1551689048122271"</f>
        <v>1551689048122271</v>
      </c>
      <c r="C1940" t="s">
        <v>40</v>
      </c>
      <c r="D1940">
        <v>4.8790889999999996</v>
      </c>
      <c r="E1940">
        <v>0.47263060000000001</v>
      </c>
      <c r="F1940" t="s">
        <v>45</v>
      </c>
      <c r="G1940">
        <v>-272.88659999999999</v>
      </c>
      <c r="H1940" s="1">
        <v>1.3153780000000001E-7</v>
      </c>
      <c r="I1940">
        <v>281.59120000000001</v>
      </c>
      <c r="J1940">
        <v>-259.27199999999999</v>
      </c>
      <c r="K1940">
        <v>1.109165</v>
      </c>
      <c r="L1940">
        <v>283.95650000000001</v>
      </c>
      <c r="M1940">
        <v>-0.99971869999999996</v>
      </c>
      <c r="N1940">
        <v>-6.3348270000000003E-3</v>
      </c>
      <c r="O1940">
        <v>2.2859600000000001E-2</v>
      </c>
      <c r="P1940">
        <v>-0.93590070000000003</v>
      </c>
      <c r="Q1940">
        <v>0.34297339999999998</v>
      </c>
      <c r="R1940">
        <v>-8.0370990000000003E-2</v>
      </c>
      <c r="S1940">
        <v>-3.2529599999999999</v>
      </c>
      <c r="T1940">
        <v>-0.25718400000000002</v>
      </c>
      <c r="U1940">
        <v>-0.54623409999999994</v>
      </c>
      <c r="V1940">
        <v>-0.101399</v>
      </c>
      <c r="W1940">
        <v>0.34898299999999999</v>
      </c>
      <c r="X1940">
        <v>0.93162719999999999</v>
      </c>
      <c r="Y1940">
        <v>-0.18742690000000001</v>
      </c>
      <c r="Z1940">
        <v>-9.5943669999999995E-3</v>
      </c>
      <c r="AA1940">
        <v>0.98223170000000004</v>
      </c>
      <c r="AB1940">
        <v>41</v>
      </c>
      <c r="AC1940">
        <v>-13.6145999999999</v>
      </c>
      <c r="AD1940">
        <v>-1.1091648684622</v>
      </c>
      <c r="AE1940">
        <v>-2.3652999999999902</v>
      </c>
      <c r="AF1940">
        <v>-2.6587826712351799</v>
      </c>
      <c r="AG1940">
        <v>-1.1091648684622</v>
      </c>
      <c r="AH1940">
        <v>13.470186867873201</v>
      </c>
      <c r="AI1940">
        <v>94.618528635626703</v>
      </c>
      <c r="AJ1940">
        <v>101.16567097220199</v>
      </c>
      <c r="AK1940">
        <v>13.774806940705799</v>
      </c>
      <c r="AL1940">
        <v>69.5748779316705</v>
      </c>
      <c r="AM1940">
        <v>96.211663999155107</v>
      </c>
      <c r="AN1940">
        <v>1.00000006563491</v>
      </c>
    </row>
    <row r="1941" spans="1:40" x14ac:dyDescent="0.25">
      <c r="A1941" t="str">
        <f>"20190304164408153"</f>
        <v>20190304164408153</v>
      </c>
      <c r="B1941" t="str">
        <f>"1551689048141792"</f>
        <v>1551689048141792</v>
      </c>
      <c r="C1941" t="s">
        <v>40</v>
      </c>
      <c r="D1941">
        <v>4.8521179999999999</v>
      </c>
      <c r="E1941">
        <v>0.47233579999999997</v>
      </c>
      <c r="F1941" t="s">
        <v>45</v>
      </c>
      <c r="G1941">
        <v>-273.45670000000001</v>
      </c>
      <c r="H1941" s="1">
        <v>4.3658260000000002E-7</v>
      </c>
      <c r="I1941">
        <v>281.55360000000002</v>
      </c>
      <c r="J1941">
        <v>-259.65440000000001</v>
      </c>
      <c r="K1941">
        <v>1.1091949999999999</v>
      </c>
      <c r="L1941">
        <v>283.96539999999999</v>
      </c>
      <c r="M1941">
        <v>-0.99971339999999997</v>
      </c>
      <c r="N1941">
        <v>-6.3563550000000002E-3</v>
      </c>
      <c r="O1941">
        <v>2.3082729999999999E-2</v>
      </c>
      <c r="P1941">
        <v>-0.93586499999999995</v>
      </c>
      <c r="Q1941">
        <v>0.3431631</v>
      </c>
      <c r="R1941">
        <v>-7.9975879999999999E-2</v>
      </c>
      <c r="S1941">
        <v>-3.2513429999999999</v>
      </c>
      <c r="T1941">
        <v>-0.25423669999999998</v>
      </c>
      <c r="U1941">
        <v>-0.55078130000000003</v>
      </c>
      <c r="V1941">
        <v>-0.1012313</v>
      </c>
      <c r="W1941">
        <v>0.34918630000000001</v>
      </c>
      <c r="X1941">
        <v>0.93156919999999999</v>
      </c>
      <c r="Y1941">
        <v>-0.18906990000000001</v>
      </c>
      <c r="Z1941">
        <v>-9.5798059999999997E-3</v>
      </c>
      <c r="AA1941">
        <v>0.98191689999999998</v>
      </c>
      <c r="AB1941">
        <v>41</v>
      </c>
      <c r="AC1941">
        <v>-13.802300000000001</v>
      </c>
      <c r="AD1941">
        <v>-1.1091945634174001</v>
      </c>
      <c r="AE1941">
        <v>-2.4117999999999702</v>
      </c>
      <c r="AF1941">
        <v>-2.7127580666347502</v>
      </c>
      <c r="AG1941">
        <v>-1.1091945634174001</v>
      </c>
      <c r="AH1941">
        <v>13.657361453760499</v>
      </c>
      <c r="AI1941">
        <v>94.554543556146896</v>
      </c>
      <c r="AJ1941">
        <v>101.234421769628</v>
      </c>
      <c r="AK1941">
        <v>13.968281597471799</v>
      </c>
      <c r="AL1941">
        <v>69.562446571350407</v>
      </c>
      <c r="AM1941">
        <v>96.201853971441906</v>
      </c>
      <c r="AN1941">
        <v>1.0000000112980001</v>
      </c>
    </row>
    <row r="1942" spans="1:40" x14ac:dyDescent="0.25">
      <c r="A1942" t="str">
        <f>"20190304164408176"</f>
        <v>20190304164408176</v>
      </c>
      <c r="B1942" t="str">
        <f>"1551689048172047"</f>
        <v>1551689048172047</v>
      </c>
      <c r="C1942" t="s">
        <v>40</v>
      </c>
      <c r="D1942">
        <v>4.949084</v>
      </c>
      <c r="E1942">
        <v>0.51981080000000002</v>
      </c>
      <c r="F1942" t="s">
        <v>45</v>
      </c>
      <c r="G1942">
        <v>-273.98899999999998</v>
      </c>
      <c r="H1942" s="1">
        <v>7.2112080000000003E-7</v>
      </c>
      <c r="I1942">
        <v>281.52449999999999</v>
      </c>
      <c r="J1942">
        <v>-260.0727</v>
      </c>
      <c r="K1942">
        <v>1.109218</v>
      </c>
      <c r="L1942">
        <v>283.9753</v>
      </c>
      <c r="M1942">
        <v>-0.99970769999999998</v>
      </c>
      <c r="N1942">
        <v>-6.3801229999999997E-3</v>
      </c>
      <c r="O1942">
        <v>2.332159E-2</v>
      </c>
      <c r="P1942">
        <v>-0.9356835</v>
      </c>
      <c r="Q1942">
        <v>0.34370729999999999</v>
      </c>
      <c r="R1942">
        <v>-7.9761609999999997E-2</v>
      </c>
      <c r="S1942">
        <v>-3.2505190000000002</v>
      </c>
      <c r="T1942">
        <v>-0.25152020000000003</v>
      </c>
      <c r="U1942">
        <v>-0.55349729999999997</v>
      </c>
      <c r="V1942">
        <v>-0.1012532</v>
      </c>
      <c r="W1942">
        <v>0.34974660000000002</v>
      </c>
      <c r="X1942">
        <v>0.93135659999999998</v>
      </c>
      <c r="Y1942">
        <v>-0.19015219999999999</v>
      </c>
      <c r="Z1942">
        <v>-9.5478609999999995E-3</v>
      </c>
      <c r="AA1942">
        <v>0.98170820000000003</v>
      </c>
      <c r="AB1942">
        <v>41</v>
      </c>
      <c r="AC1942">
        <v>-13.9163</v>
      </c>
      <c r="AD1942">
        <v>-1.1092172788791901</v>
      </c>
      <c r="AE1942">
        <v>-2.4508000000000099</v>
      </c>
      <c r="AF1942">
        <v>-2.7576973293918501</v>
      </c>
      <c r="AG1942">
        <v>-1.1092172788791901</v>
      </c>
      <c r="AH1942">
        <v>13.7705034341691</v>
      </c>
      <c r="AI1942">
        <v>94.515962321546695</v>
      </c>
      <c r="AJ1942">
        <v>101.324320954497</v>
      </c>
      <c r="AK1942">
        <v>14.087654963220899</v>
      </c>
      <c r="AL1942">
        <v>69.528183292299104</v>
      </c>
      <c r="AM1942">
        <v>96.204590151571793</v>
      </c>
      <c r="AN1942">
        <v>1.0000000055426701</v>
      </c>
    </row>
    <row r="1943" spans="1:40" x14ac:dyDescent="0.25">
      <c r="A1943" t="str">
        <f>"20190304164408199"</f>
        <v>20190304164408199</v>
      </c>
      <c r="B1943" t="str">
        <f>"1551689048192075"</f>
        <v>1551689048192075</v>
      </c>
      <c r="C1943" t="s">
        <v>40</v>
      </c>
      <c r="D1943">
        <v>4.8731359999999997</v>
      </c>
      <c r="E1943">
        <v>0.53219349999999999</v>
      </c>
      <c r="F1943" t="s">
        <v>45</v>
      </c>
      <c r="G1943">
        <v>-270.73110000000003</v>
      </c>
      <c r="H1943" s="1">
        <v>-1.0939729999999999E-6</v>
      </c>
      <c r="I1943">
        <v>283.38600000000002</v>
      </c>
      <c r="J1943">
        <v>-260.50139999999999</v>
      </c>
      <c r="K1943">
        <v>1.1092420000000001</v>
      </c>
      <c r="L1943">
        <v>283.9855</v>
      </c>
      <c r="M1943">
        <v>-0.99970199999999998</v>
      </c>
      <c r="N1943">
        <v>-6.4045009999999999E-3</v>
      </c>
      <c r="O1943">
        <v>2.3562610000000001E-2</v>
      </c>
      <c r="P1943">
        <v>-0.93568150000000005</v>
      </c>
      <c r="Q1943">
        <v>0.34388489999999999</v>
      </c>
      <c r="R1943">
        <v>-7.9017180000000006E-2</v>
      </c>
      <c r="S1943">
        <v>-3.317383</v>
      </c>
      <c r="T1943">
        <v>-0.34524169999999998</v>
      </c>
      <c r="U1943">
        <v>-0.18341060000000001</v>
      </c>
      <c r="V1943">
        <v>-0.1007497</v>
      </c>
      <c r="W1943">
        <v>0.34994130000000001</v>
      </c>
      <c r="X1943">
        <v>0.931338</v>
      </c>
      <c r="Y1943">
        <v>-7.8156470000000006E-2</v>
      </c>
      <c r="Z1943">
        <v>-6.5975969999999898E-3</v>
      </c>
      <c r="AA1943">
        <v>0.99691929999999995</v>
      </c>
      <c r="AB1943">
        <v>41</v>
      </c>
      <c r="AC1943">
        <v>-10.229699999999999</v>
      </c>
      <c r="AD1943">
        <v>-1.109243093973</v>
      </c>
      <c r="AE1943">
        <v>-0.59950000000003401</v>
      </c>
      <c r="AF1943">
        <v>-0.83064373717686302</v>
      </c>
      <c r="AG1943">
        <v>-1.109243093973</v>
      </c>
      <c r="AH1943">
        <v>10.094450929089399</v>
      </c>
      <c r="AI1943">
        <v>96.249912738862406</v>
      </c>
      <c r="AJ1943">
        <v>94.704108846380805</v>
      </c>
      <c r="AK1943">
        <v>10.189127971491599</v>
      </c>
      <c r="AL1943">
        <v>69.516273973641105</v>
      </c>
      <c r="AM1943">
        <v>96.174097914020606</v>
      </c>
      <c r="AN1943">
        <v>0.99999994286988803</v>
      </c>
    </row>
    <row r="1944" spans="1:40" x14ac:dyDescent="0.25">
      <c r="A1944" t="str">
        <f>"20190304164408211"</f>
        <v>20190304164408211</v>
      </c>
      <c r="B1944" t="str">
        <f>"1551689048201834"</f>
        <v>1551689048201834</v>
      </c>
      <c r="C1944" t="s">
        <v>40</v>
      </c>
      <c r="D1944">
        <v>4.8880850000000002</v>
      </c>
      <c r="E1944">
        <v>0.53545200000000004</v>
      </c>
      <c r="F1944" t="s">
        <v>41</v>
      </c>
      <c r="G1944">
        <v>-261.49059999999997</v>
      </c>
      <c r="H1944">
        <v>1.0144280000000001</v>
      </c>
      <c r="I1944">
        <v>283.96170000000001</v>
      </c>
      <c r="J1944">
        <v>-260.73349999999999</v>
      </c>
      <c r="K1944">
        <v>1.109251</v>
      </c>
      <c r="L1944">
        <v>283.99110000000002</v>
      </c>
      <c r="M1944">
        <v>-0.9996988</v>
      </c>
      <c r="N1944">
        <v>-6.4176939999999998E-3</v>
      </c>
      <c r="O1944">
        <v>2.369197E-2</v>
      </c>
      <c r="P1944">
        <v>-0.93560770000000004</v>
      </c>
      <c r="Q1944">
        <v>0.34416619999999998</v>
      </c>
      <c r="R1944">
        <v>-7.8663289999999997E-2</v>
      </c>
      <c r="S1944">
        <v>-3.316284</v>
      </c>
      <c r="T1944">
        <v>-0.31792409999999999</v>
      </c>
      <c r="U1944">
        <v>-8.0261230000000003E-2</v>
      </c>
      <c r="V1944">
        <v>-0.10052270000000001</v>
      </c>
      <c r="W1944">
        <v>0.35023169999999998</v>
      </c>
      <c r="X1944">
        <v>0.93125340000000001</v>
      </c>
      <c r="Y1944">
        <v>-4.7546739999999997E-2</v>
      </c>
      <c r="Z1944">
        <v>-4.5405860000000001E-3</v>
      </c>
      <c r="AA1944">
        <v>0.99885869999999999</v>
      </c>
      <c r="AB1944">
        <v>41</v>
      </c>
      <c r="AC1944">
        <v>-0.75709999999997901</v>
      </c>
      <c r="AD1944">
        <v>-9.4822999999999796E-2</v>
      </c>
      <c r="AE1944">
        <v>-2.9400000000009599E-2</v>
      </c>
      <c r="AF1944">
        <v>-4.6599432767218202E-2</v>
      </c>
      <c r="AG1944">
        <v>-9.4822999999999796E-2</v>
      </c>
      <c r="AH1944">
        <v>0.74452957993933699</v>
      </c>
      <c r="AI1944">
        <v>97.244069399558796</v>
      </c>
      <c r="AJ1944">
        <v>93.581419263464596</v>
      </c>
      <c r="AK1944">
        <v>0.75198883227603297</v>
      </c>
      <c r="AL1944">
        <v>69.498511912205799</v>
      </c>
      <c r="AM1944">
        <v>96.160849410538503</v>
      </c>
      <c r="AN1944">
        <v>0.99999997595586898</v>
      </c>
    </row>
    <row r="1945" spans="1:40" x14ac:dyDescent="0.25">
      <c r="A1945" t="str">
        <f>"20190304164408232"</f>
        <v>20190304164408232</v>
      </c>
      <c r="B1945" t="str">
        <f>"1551689048221358"</f>
        <v>1551689048221358</v>
      </c>
      <c r="C1945" t="s">
        <v>40</v>
      </c>
      <c r="D1945">
        <v>4.8763420000000002</v>
      </c>
      <c r="E1945">
        <v>0.53922950000000003</v>
      </c>
      <c r="F1945" t="s">
        <v>45</v>
      </c>
      <c r="G1945">
        <v>-272.60509999999999</v>
      </c>
      <c r="H1945" s="1">
        <v>-1.14922899999999E-7</v>
      </c>
      <c r="I1945">
        <v>283.80329999999998</v>
      </c>
      <c r="J1945">
        <v>-261.10500000000002</v>
      </c>
      <c r="K1945">
        <v>1.109264</v>
      </c>
      <c r="L1945">
        <v>284</v>
      </c>
      <c r="M1945">
        <v>-0.99969379999999997</v>
      </c>
      <c r="N1945">
        <v>-6.4388429999999997E-3</v>
      </c>
      <c r="O1945">
        <v>2.3896009999999999E-2</v>
      </c>
      <c r="P1945">
        <v>-0.93541790000000002</v>
      </c>
      <c r="Q1945">
        <v>0.344808</v>
      </c>
      <c r="R1945">
        <v>-7.8106120000000001E-2</v>
      </c>
      <c r="S1945">
        <v>-3.316071</v>
      </c>
      <c r="T1945">
        <v>-0.30984289999999998</v>
      </c>
      <c r="U1945">
        <v>-5.2459720000000001E-2</v>
      </c>
      <c r="V1945">
        <v>-0.1001643</v>
      </c>
      <c r="W1945">
        <v>0.35088819999999998</v>
      </c>
      <c r="X1945">
        <v>0.93104489999999995</v>
      </c>
      <c r="Y1945">
        <v>-3.9433040000000003E-2</v>
      </c>
      <c r="Z1945">
        <v>-4.0395600000000002E-3</v>
      </c>
      <c r="AA1945">
        <v>0.99921409999999999</v>
      </c>
      <c r="AB1945">
        <v>41</v>
      </c>
      <c r="AC1945">
        <v>-11.5000999999999</v>
      </c>
      <c r="AD1945">
        <v>-1.1092641149228999</v>
      </c>
      <c r="AE1945">
        <v>-0.196700000000021</v>
      </c>
      <c r="AF1945">
        <v>-0.46711130522755201</v>
      </c>
      <c r="AG1945">
        <v>-1.1092641149228999</v>
      </c>
      <c r="AH1945">
        <v>11.386209982981701</v>
      </c>
      <c r="AI1945">
        <v>95.559646815767806</v>
      </c>
      <c r="AJ1945">
        <v>92.349201996844002</v>
      </c>
      <c r="AK1945">
        <v>11.4496479257957</v>
      </c>
      <c r="AL1945">
        <v>69.458349219881597</v>
      </c>
      <c r="AM1945">
        <v>96.140416057881694</v>
      </c>
      <c r="AN1945">
        <v>1.0000000108548699</v>
      </c>
    </row>
    <row r="1946" spans="1:40" x14ac:dyDescent="0.25">
      <c r="A1946" t="str">
        <f>"20190304164408255"</f>
        <v>20190304164408255</v>
      </c>
      <c r="B1946" t="str">
        <f>"1551689048251611"</f>
        <v>1551689048251611</v>
      </c>
      <c r="C1946" t="s">
        <v>40</v>
      </c>
      <c r="D1946">
        <v>4.8174510000000001</v>
      </c>
      <c r="E1946">
        <v>0.54156230000000005</v>
      </c>
      <c r="F1946" t="s">
        <v>45</v>
      </c>
      <c r="G1946">
        <v>-273.61399999999998</v>
      </c>
      <c r="H1946" s="1">
        <v>4.165163E-7</v>
      </c>
      <c r="I1946">
        <v>283.92779999999999</v>
      </c>
      <c r="J1946">
        <v>-261.52109999999999</v>
      </c>
      <c r="K1946">
        <v>1.109286</v>
      </c>
      <c r="L1946">
        <v>284.0102</v>
      </c>
      <c r="M1946">
        <v>-0.99968840000000003</v>
      </c>
      <c r="N1946">
        <v>-6.462298E-3</v>
      </c>
      <c r="O1946">
        <v>2.4110860000000001E-2</v>
      </c>
      <c r="P1946">
        <v>-0.93533849999999996</v>
      </c>
      <c r="Q1946">
        <v>0.34516520000000001</v>
      </c>
      <c r="R1946">
        <v>-7.74783E-2</v>
      </c>
      <c r="S1946">
        <v>-3.3138429999999999</v>
      </c>
      <c r="T1946">
        <v>-0.29386119999999999</v>
      </c>
      <c r="U1946">
        <v>-1.9134519999999999E-2</v>
      </c>
      <c r="V1946">
        <v>-9.9751080000000006E-2</v>
      </c>
      <c r="W1946">
        <v>0.35126180000000001</v>
      </c>
      <c r="X1946">
        <v>0.93094840000000001</v>
      </c>
      <c r="Y1946">
        <v>-2.9677019999999998E-2</v>
      </c>
      <c r="Z1946">
        <v>-3.3875540000000001E-3</v>
      </c>
      <c r="AA1946">
        <v>0.99955380000000005</v>
      </c>
      <c r="AB1946">
        <v>41</v>
      </c>
      <c r="AC1946">
        <v>-12.0929</v>
      </c>
      <c r="AD1946">
        <v>-1.1092855834837001</v>
      </c>
      <c r="AE1946">
        <v>-8.2400000000006898E-2</v>
      </c>
      <c r="AF1946">
        <v>-0.37083214872394799</v>
      </c>
      <c r="AG1946">
        <v>-1.1092855834837001</v>
      </c>
      <c r="AH1946">
        <v>11.9865420665113</v>
      </c>
      <c r="AI1946">
        <v>95.284820915901904</v>
      </c>
      <c r="AJ1946">
        <v>91.772015825194799</v>
      </c>
      <c r="AK1946">
        <v>12.043472161320301</v>
      </c>
      <c r="AL1946">
        <v>69.435488704719404</v>
      </c>
      <c r="AM1946">
        <v>96.1159056784021</v>
      </c>
      <c r="AN1946">
        <v>1.0000000267814799</v>
      </c>
    </row>
    <row r="1947" spans="1:40" x14ac:dyDescent="0.25">
      <c r="A1947" t="str">
        <f>"20190304164408279"</f>
        <v>20190304164408279</v>
      </c>
      <c r="B1947" t="str">
        <f>"1551689048272106"</f>
        <v>1551689048272106</v>
      </c>
      <c r="C1947" t="s">
        <v>40</v>
      </c>
      <c r="D1947">
        <v>4.7973990000000004</v>
      </c>
      <c r="E1947">
        <v>0.542494699999999</v>
      </c>
      <c r="F1947" t="s">
        <v>41</v>
      </c>
      <c r="G1947">
        <v>-262.60419999999999</v>
      </c>
      <c r="H1947">
        <v>1.0192429999999999</v>
      </c>
      <c r="I1947">
        <v>284.01119999999997</v>
      </c>
      <c r="J1947">
        <v>-261.97789999999998</v>
      </c>
      <c r="K1947">
        <v>1.1093090000000001</v>
      </c>
      <c r="L1947">
        <v>284.02140000000003</v>
      </c>
      <c r="M1947">
        <v>-0.99968330000000005</v>
      </c>
      <c r="N1947">
        <v>-6.4881879999999998E-3</v>
      </c>
      <c r="O1947">
        <v>2.4317060000000001E-2</v>
      </c>
      <c r="P1947">
        <v>-0.93530880000000005</v>
      </c>
      <c r="Q1947">
        <v>0.34529389999999999</v>
      </c>
      <c r="R1947">
        <v>-7.72621E-2</v>
      </c>
      <c r="S1947">
        <v>-3.3091740000000001</v>
      </c>
      <c r="T1947">
        <v>-0.27530480000000002</v>
      </c>
      <c r="U1947">
        <v>2.319336E-3</v>
      </c>
      <c r="V1947">
        <v>-9.974922E-2</v>
      </c>
      <c r="W1947">
        <v>0.3514079</v>
      </c>
      <c r="X1947">
        <v>0.93089350000000004</v>
      </c>
      <c r="Y1947">
        <v>-2.3458110000000001E-2</v>
      </c>
      <c r="Z1947">
        <v>-2.9122169999999999E-3</v>
      </c>
      <c r="AA1947">
        <v>0.99972059999999996</v>
      </c>
      <c r="AB1947">
        <v>42</v>
      </c>
      <c r="AC1947">
        <v>-0.62630000000001396</v>
      </c>
      <c r="AD1947">
        <v>-9.0065999999999896E-2</v>
      </c>
      <c r="AE1947">
        <v>-1.0200000000054299E-2</v>
      </c>
      <c r="AF1947">
        <v>-2.4912026383790101E-2</v>
      </c>
      <c r="AG1947">
        <v>-9.0065999999999896E-2</v>
      </c>
      <c r="AH1947">
        <v>0.61318917766696301</v>
      </c>
      <c r="AI1947">
        <v>98.349137382759096</v>
      </c>
      <c r="AJ1947">
        <v>92.326475242001607</v>
      </c>
      <c r="AK1947">
        <v>0.62026886188364605</v>
      </c>
      <c r="AL1947">
        <v>69.426548602411202</v>
      </c>
      <c r="AM1947">
        <v>96.116150451806405</v>
      </c>
      <c r="AN1947">
        <v>1.0000000637076301</v>
      </c>
    </row>
    <row r="1948" spans="1:40" x14ac:dyDescent="0.25">
      <c r="A1948" t="str">
        <f>"20190304164408299"</f>
        <v>20190304164408299</v>
      </c>
      <c r="B1948" t="str">
        <f>"1551689048292133"</f>
        <v>1551689048292133</v>
      </c>
      <c r="C1948" t="s">
        <v>40</v>
      </c>
      <c r="D1948">
        <v>4.7703920000000002</v>
      </c>
      <c r="E1948">
        <v>0.54321660000000005</v>
      </c>
      <c r="F1948" t="s">
        <v>41</v>
      </c>
      <c r="G1948">
        <v>-262.98250000000002</v>
      </c>
      <c r="H1948">
        <v>1.0271570000000001</v>
      </c>
      <c r="I1948">
        <v>284.0247</v>
      </c>
      <c r="J1948">
        <v>-262.37720000000002</v>
      </c>
      <c r="K1948">
        <v>1.109335</v>
      </c>
      <c r="L1948">
        <v>284.03120000000001</v>
      </c>
      <c r="M1948">
        <v>-0.99967930000000005</v>
      </c>
      <c r="N1948">
        <v>-6.5107749999999999E-3</v>
      </c>
      <c r="O1948">
        <v>2.4473160000000001E-2</v>
      </c>
      <c r="P1948">
        <v>-0.93537320000000002</v>
      </c>
      <c r="Q1948">
        <v>0.34517429999999999</v>
      </c>
      <c r="R1948">
        <v>-7.7016799999999996E-2</v>
      </c>
      <c r="S1948">
        <v>-3.3082579999999999</v>
      </c>
      <c r="T1948">
        <v>-0.27063949999999998</v>
      </c>
      <c r="U1948">
        <v>1.0467529999999999E-2</v>
      </c>
      <c r="V1948">
        <v>-9.9673070000000002E-2</v>
      </c>
      <c r="W1948">
        <v>0.35130339999999999</v>
      </c>
      <c r="X1948">
        <v>0.93094100000000002</v>
      </c>
      <c r="Y1948">
        <v>-2.1164860000000001E-2</v>
      </c>
      <c r="Z1948">
        <v>-2.7727580000000002E-3</v>
      </c>
      <c r="AA1948">
        <v>0.99977210000000005</v>
      </c>
      <c r="AB1948">
        <v>42</v>
      </c>
      <c r="AC1948">
        <v>-0.60529999999999895</v>
      </c>
      <c r="AD1948">
        <v>-8.2178000000000001E-2</v>
      </c>
      <c r="AE1948">
        <v>-6.5000000000168196E-3</v>
      </c>
      <c r="AF1948">
        <v>-2.0926303823798498E-2</v>
      </c>
      <c r="AG1948">
        <v>-8.2178000000000001E-2</v>
      </c>
      <c r="AH1948">
        <v>0.59401211691246503</v>
      </c>
      <c r="AI1948">
        <v>97.871708406908994</v>
      </c>
      <c r="AJ1948">
        <v>92.017624249047998</v>
      </c>
      <c r="AK1948">
        <v>0.60003460643079098</v>
      </c>
      <c r="AL1948">
        <v>69.432941793986998</v>
      </c>
      <c r="AM1948">
        <v>96.111207170683699</v>
      </c>
      <c r="AN1948">
        <v>0.99999997260789197</v>
      </c>
    </row>
    <row r="1949" spans="1:40" x14ac:dyDescent="0.25">
      <c r="A1949" t="str">
        <f>"20190304164408321"</f>
        <v>20190304164408321</v>
      </c>
      <c r="B1949" t="str">
        <f>"1551689048311652"</f>
        <v>1551689048311652</v>
      </c>
      <c r="C1949" t="s">
        <v>40</v>
      </c>
      <c r="D1949">
        <v>4.7514390000000004</v>
      </c>
      <c r="E1949">
        <v>0.54381619999999997</v>
      </c>
      <c r="F1949" t="s">
        <v>41</v>
      </c>
      <c r="G1949">
        <v>-263.3569</v>
      </c>
      <c r="H1949">
        <v>1.027841</v>
      </c>
      <c r="I1949">
        <v>284.03609999999998</v>
      </c>
      <c r="J1949">
        <v>-262.77780000000001</v>
      </c>
      <c r="K1949">
        <v>1.109364</v>
      </c>
      <c r="L1949">
        <v>284.04109999999997</v>
      </c>
      <c r="M1949">
        <v>-0.99967609999999996</v>
      </c>
      <c r="N1949">
        <v>-6.5334769999999898E-3</v>
      </c>
      <c r="O1949">
        <v>2.459942E-2</v>
      </c>
      <c r="P1949">
        <v>-0.93532159999999998</v>
      </c>
      <c r="Q1949">
        <v>0.34533439999999999</v>
      </c>
      <c r="R1949">
        <v>-7.692794E-2</v>
      </c>
      <c r="S1949">
        <v>-3.3102420000000001</v>
      </c>
      <c r="T1949">
        <v>-0.27547850000000002</v>
      </c>
      <c r="U1949">
        <v>1.5838620000000001E-2</v>
      </c>
      <c r="V1949">
        <v>-9.9725129999999995E-2</v>
      </c>
      <c r="W1949">
        <v>0.3514775</v>
      </c>
      <c r="X1949">
        <v>0.93086979999999997</v>
      </c>
      <c r="Y1949">
        <v>-1.967089E-2</v>
      </c>
      <c r="Z1949">
        <v>-2.7644259999999999E-3</v>
      </c>
      <c r="AA1949">
        <v>0.99980270000000004</v>
      </c>
      <c r="AB1949">
        <v>42</v>
      </c>
      <c r="AC1949">
        <v>-0.57909999999998196</v>
      </c>
      <c r="AD1949">
        <v>-8.1522999999999998E-2</v>
      </c>
      <c r="AE1949">
        <v>-4.9999999999954499E-3</v>
      </c>
      <c r="AF1949">
        <v>-1.8870374695155501E-2</v>
      </c>
      <c r="AG1949">
        <v>-8.1522999999999998E-2</v>
      </c>
      <c r="AH1949">
        <v>0.56755495694410096</v>
      </c>
      <c r="AI1949">
        <v>98.169542756295201</v>
      </c>
      <c r="AJ1949">
        <v>91.904299612842294</v>
      </c>
      <c r="AK1949">
        <v>0.57369043893197003</v>
      </c>
      <c r="AL1949">
        <v>69.4222890109113</v>
      </c>
      <c r="AM1949">
        <v>96.114839059002705</v>
      </c>
      <c r="AN1949">
        <v>1.0000000595559</v>
      </c>
    </row>
    <row r="1950" spans="1:40" x14ac:dyDescent="0.25">
      <c r="A1950" t="str">
        <f>"20190304164408343"</f>
        <v>20190304164408343</v>
      </c>
      <c r="B1950" t="str">
        <f>"1551689048332149"</f>
        <v>1551689048332149</v>
      </c>
      <c r="C1950" t="s">
        <v>40</v>
      </c>
      <c r="D1950">
        <v>4.7232419999999999</v>
      </c>
      <c r="E1950">
        <v>0.54434130000000003</v>
      </c>
      <c r="F1950" t="s">
        <v>41</v>
      </c>
      <c r="G1950">
        <v>-263.73149999999998</v>
      </c>
      <c r="H1950">
        <v>1.027463</v>
      </c>
      <c r="I1950">
        <v>284.04649999999998</v>
      </c>
      <c r="J1950">
        <v>-263.18549999999999</v>
      </c>
      <c r="K1950">
        <v>1.109397</v>
      </c>
      <c r="L1950">
        <v>284.05119999999999</v>
      </c>
      <c r="M1950">
        <v>-0.9996737</v>
      </c>
      <c r="N1950">
        <v>-6.5565519999999898E-3</v>
      </c>
      <c r="O1950">
        <v>2.469472E-2</v>
      </c>
      <c r="P1950">
        <v>-0.93517519999999998</v>
      </c>
      <c r="Q1950">
        <v>0.34574129999999997</v>
      </c>
      <c r="R1950">
        <v>-7.6881649999999996E-2</v>
      </c>
      <c r="S1950">
        <v>-3.3140559999999999</v>
      </c>
      <c r="T1950">
        <v>-0.28453089999999998</v>
      </c>
      <c r="U1950">
        <v>1.8829350000000002E-2</v>
      </c>
      <c r="V1950">
        <v>-9.9790439999999994E-2</v>
      </c>
      <c r="W1950">
        <v>0.35189700000000002</v>
      </c>
      <c r="X1950">
        <v>0.93070419999999998</v>
      </c>
      <c r="Y1950">
        <v>-1.8862830000000001E-2</v>
      </c>
      <c r="Z1950">
        <v>-2.8246320000000001E-3</v>
      </c>
      <c r="AA1950">
        <v>0.99981810000000004</v>
      </c>
      <c r="AB1950">
        <v>42</v>
      </c>
      <c r="AC1950">
        <v>-0.54599999999999205</v>
      </c>
      <c r="AD1950">
        <v>-8.1933999999999896E-2</v>
      </c>
      <c r="AE1950">
        <v>-4.7000000000139101E-3</v>
      </c>
      <c r="AF1950">
        <v>-1.7781778769472598E-2</v>
      </c>
      <c r="AG1950">
        <v>-8.1933999999999896E-2</v>
      </c>
      <c r="AH1950">
        <v>0.53370008278965997</v>
      </c>
      <c r="AI1950">
        <v>98.723178433266696</v>
      </c>
      <c r="AJ1950">
        <v>91.9082705197075</v>
      </c>
      <c r="AK1950">
        <v>0.54024545382806999</v>
      </c>
      <c r="AL1950">
        <v>69.396611253115907</v>
      </c>
      <c r="AM1950">
        <v>96.119893757157399</v>
      </c>
      <c r="AN1950">
        <v>0.99999996921101597</v>
      </c>
    </row>
    <row r="1951" spans="1:40" x14ac:dyDescent="0.25">
      <c r="A1951" t="str">
        <f>"20190304164408366"</f>
        <v>20190304164408366</v>
      </c>
      <c r="B1951" t="str">
        <f>"1551689048361429"</f>
        <v>1551689048361429</v>
      </c>
      <c r="C1951" t="s">
        <v>40</v>
      </c>
      <c r="D1951">
        <v>4.6626209999999997</v>
      </c>
      <c r="E1951">
        <v>0.54485169999999905</v>
      </c>
      <c r="F1951" t="s">
        <v>41</v>
      </c>
      <c r="G1951">
        <v>-264.1078</v>
      </c>
      <c r="H1951">
        <v>1.0283799999999901</v>
      </c>
      <c r="I1951">
        <v>284.05790000000002</v>
      </c>
      <c r="J1951">
        <v>-263.61219999999997</v>
      </c>
      <c r="K1951">
        <v>1.109429</v>
      </c>
      <c r="L1951">
        <v>284.06180000000001</v>
      </c>
      <c r="M1951">
        <v>-0.9996718</v>
      </c>
      <c r="N1951">
        <v>-6.5806190000000002E-3</v>
      </c>
      <c r="O1951">
        <v>2.4761999999999999E-2</v>
      </c>
      <c r="P1951">
        <v>-0.93510689999999996</v>
      </c>
      <c r="Q1951">
        <v>0.34591919999999998</v>
      </c>
      <c r="R1951">
        <v>-7.6911019999999997E-2</v>
      </c>
      <c r="S1951">
        <v>-3.3176879999999902</v>
      </c>
      <c r="T1951">
        <v>-0.29163309999999998</v>
      </c>
      <c r="U1951">
        <v>2.3315430000000002E-2</v>
      </c>
      <c r="V1951">
        <v>-9.9907899999999994E-2</v>
      </c>
      <c r="W1951">
        <v>0.35208899999999999</v>
      </c>
      <c r="X1951">
        <v>0.93061899999999997</v>
      </c>
      <c r="Y1951">
        <v>-1.758206E-2</v>
      </c>
      <c r="Z1951">
        <v>-2.8387669999999999E-3</v>
      </c>
      <c r="AA1951">
        <v>0.99984139999999999</v>
      </c>
      <c r="AB1951">
        <v>42</v>
      </c>
      <c r="AC1951">
        <v>-0.49560000000002402</v>
      </c>
      <c r="AD1951">
        <v>-8.1049000000000093E-2</v>
      </c>
      <c r="AE1951">
        <v>-3.8999999999873498E-3</v>
      </c>
      <c r="AF1951">
        <v>-1.5749920049230499E-2</v>
      </c>
      <c r="AG1951">
        <v>-8.1049000000000093E-2</v>
      </c>
      <c r="AH1951">
        <v>0.48244943819927799</v>
      </c>
      <c r="AI1951">
        <v>99.531361946230305</v>
      </c>
      <c r="AJ1951">
        <v>91.869799200818207</v>
      </c>
      <c r="AK1951">
        <v>0.48946344174141998</v>
      </c>
      <c r="AL1951">
        <v>69.384858705586396</v>
      </c>
      <c r="AM1951">
        <v>96.127599195450401</v>
      </c>
      <c r="AN1951">
        <v>0.999999987782204</v>
      </c>
    </row>
    <row r="1952" spans="1:40" x14ac:dyDescent="0.25">
      <c r="A1952" t="str">
        <f>"20190304164408389"</f>
        <v>20190304164408389</v>
      </c>
      <c r="B1952" t="str">
        <f>"1551689048381925"</f>
        <v>1551689048381925</v>
      </c>
      <c r="C1952" t="s">
        <v>40</v>
      </c>
      <c r="D1952">
        <v>4.6467359999999998</v>
      </c>
      <c r="E1952">
        <v>0.54511730000000003</v>
      </c>
      <c r="F1952" t="s">
        <v>41</v>
      </c>
      <c r="G1952">
        <v>-264.4862</v>
      </c>
      <c r="H1952">
        <v>1.0308550000000001</v>
      </c>
      <c r="I1952">
        <v>284.06909999999999</v>
      </c>
      <c r="J1952">
        <v>-264.04829999999998</v>
      </c>
      <c r="K1952">
        <v>1.1094569999999999</v>
      </c>
      <c r="L1952">
        <v>284.07260000000002</v>
      </c>
      <c r="M1952">
        <v>-0.99967090000000003</v>
      </c>
      <c r="N1952">
        <v>-6.6050909999999996E-3</v>
      </c>
      <c r="O1952">
        <v>2.4791649999999998E-2</v>
      </c>
      <c r="P1952">
        <v>-0.93507600000000002</v>
      </c>
      <c r="Q1952">
        <v>0.34613860000000002</v>
      </c>
      <c r="R1952">
        <v>-7.6297690000000001E-2</v>
      </c>
      <c r="S1952">
        <v>-3.3208920000000002</v>
      </c>
      <c r="T1952">
        <v>-0.29862820000000001</v>
      </c>
      <c r="U1952">
        <v>2.7374269999999999E-2</v>
      </c>
      <c r="V1952">
        <v>-9.9350499999999994E-2</v>
      </c>
      <c r="W1952">
        <v>0.35232279999999999</v>
      </c>
      <c r="X1952">
        <v>0.93059020000000003</v>
      </c>
      <c r="Y1952">
        <v>-1.6394240000000001E-2</v>
      </c>
      <c r="Z1952">
        <v>-2.8510340000000001E-3</v>
      </c>
      <c r="AA1952">
        <v>0.99986149999999996</v>
      </c>
      <c r="AB1952">
        <v>42</v>
      </c>
      <c r="AC1952">
        <v>-0.437900000000013</v>
      </c>
      <c r="AD1952">
        <v>-7.8602000000000005E-2</v>
      </c>
      <c r="AE1952">
        <v>-3.5000000000309198E-3</v>
      </c>
      <c r="AF1952">
        <v>-1.3907365475741699E-2</v>
      </c>
      <c r="AG1952">
        <v>-7.8602000000000005E-2</v>
      </c>
      <c r="AH1952">
        <v>0.42401790329941902</v>
      </c>
      <c r="AI1952">
        <v>100.496431157728</v>
      </c>
      <c r="AJ1952">
        <v>91.878571131709904</v>
      </c>
      <c r="AK1952">
        <v>0.43146595640549801</v>
      </c>
      <c r="AL1952">
        <v>69.370546056186598</v>
      </c>
      <c r="AM1952">
        <v>96.093857567983306</v>
      </c>
      <c r="AN1952">
        <v>0.999999998793065</v>
      </c>
    </row>
    <row r="1953" spans="1:40" x14ac:dyDescent="0.25">
      <c r="A1953" t="str">
        <f>"20190304164408402"</f>
        <v>20190304164408402</v>
      </c>
      <c r="B1953" t="str">
        <f>"1551689048392192"</f>
        <v>1551689048392192</v>
      </c>
      <c r="C1953" t="s">
        <v>40</v>
      </c>
      <c r="D1953">
        <v>4.6232240000000004</v>
      </c>
      <c r="E1953">
        <v>0.5447668</v>
      </c>
      <c r="F1953" t="s">
        <v>41</v>
      </c>
      <c r="G1953">
        <v>-264.86700000000002</v>
      </c>
      <c r="H1953">
        <v>1.0351669999999999</v>
      </c>
      <c r="I1953">
        <v>284.0804</v>
      </c>
      <c r="J1953">
        <v>-264.29930000000002</v>
      </c>
      <c r="K1953">
        <v>1.1094790000000001</v>
      </c>
      <c r="L1953">
        <v>284.0788</v>
      </c>
      <c r="M1953">
        <v>-0.99967099999999998</v>
      </c>
      <c r="N1953">
        <v>-6.61913E-3</v>
      </c>
      <c r="O1953">
        <v>2.4783920000000001E-2</v>
      </c>
      <c r="P1953">
        <v>-0.93509520000000002</v>
      </c>
      <c r="Q1953">
        <v>0.34618009999999999</v>
      </c>
      <c r="R1953">
        <v>-7.5871659999999994E-2</v>
      </c>
      <c r="S1953">
        <v>-3.322479</v>
      </c>
      <c r="T1953">
        <v>-0.30172719999999997</v>
      </c>
      <c r="U1953">
        <v>3.0548100000000002E-2</v>
      </c>
      <c r="V1953">
        <v>-9.8936730000000001E-2</v>
      </c>
      <c r="W1953">
        <v>0.35237239999999997</v>
      </c>
      <c r="X1953">
        <v>0.93061550000000004</v>
      </c>
      <c r="Y1953">
        <v>-1.5436460000000001E-2</v>
      </c>
      <c r="Z1953">
        <v>-2.8327370000000001E-3</v>
      </c>
      <c r="AA1953">
        <v>0.99987689999999996</v>
      </c>
      <c r="AB1953">
        <v>42</v>
      </c>
      <c r="AC1953">
        <v>-0.56770000000000198</v>
      </c>
      <c r="AD1953">
        <v>-7.43120000000001E-2</v>
      </c>
      <c r="AE1953">
        <v>1.59999999999627E-3</v>
      </c>
      <c r="AF1953">
        <v>-1.2260549047200101E-2</v>
      </c>
      <c r="AG1953">
        <v>-7.43120000000001E-2</v>
      </c>
      <c r="AH1953">
        <v>0.55800403280833899</v>
      </c>
      <c r="AI1953">
        <v>97.583901811251295</v>
      </c>
      <c r="AJ1953">
        <v>91.258709005720405</v>
      </c>
      <c r="AK1953">
        <v>0.56306402392384103</v>
      </c>
      <c r="AL1953">
        <v>69.367509402950006</v>
      </c>
      <c r="AM1953">
        <v>96.068504202069605</v>
      </c>
      <c r="AN1953">
        <v>0.99999999683255103</v>
      </c>
    </row>
    <row r="1954" spans="1:40" x14ac:dyDescent="0.25">
      <c r="A1954" t="str">
        <f>"20190304164408421"</f>
        <v>20190304164408421</v>
      </c>
      <c r="B1954" t="str">
        <f>"1551689048411711"</f>
        <v>1551689048411711</v>
      </c>
      <c r="C1954" t="s">
        <v>40</v>
      </c>
      <c r="D1954">
        <v>5.1131640000000003</v>
      </c>
      <c r="E1954">
        <v>0.54430409999999996</v>
      </c>
      <c r="F1954" t="s">
        <v>41</v>
      </c>
      <c r="G1954">
        <v>-265.23779999999999</v>
      </c>
      <c r="H1954">
        <v>1.0238659999999999</v>
      </c>
      <c r="I1954">
        <v>284.08679999999998</v>
      </c>
      <c r="J1954">
        <v>-264.66379999999998</v>
      </c>
      <c r="K1954">
        <v>1.1095109999999999</v>
      </c>
      <c r="L1954">
        <v>284.08780000000002</v>
      </c>
      <c r="M1954">
        <v>-0.99967189999999995</v>
      </c>
      <c r="N1954">
        <v>-6.6394940000000001E-3</v>
      </c>
      <c r="O1954">
        <v>2.4740410000000001E-2</v>
      </c>
      <c r="P1954">
        <v>-0.93532409999999999</v>
      </c>
      <c r="Q1954">
        <v>0.34560419999999997</v>
      </c>
      <c r="R1954">
        <v>-7.5675129999999993E-2</v>
      </c>
      <c r="S1954">
        <v>-3.3227839999999902</v>
      </c>
      <c r="T1954">
        <v>-0.30326579999999997</v>
      </c>
      <c r="U1954">
        <v>2.8015140000000001E-2</v>
      </c>
      <c r="V1954">
        <v>-9.8736829999999998E-2</v>
      </c>
      <c r="W1954">
        <v>0.35180790000000001</v>
      </c>
      <c r="X1954">
        <v>0.93085030000000002</v>
      </c>
      <c r="Y1954">
        <v>-1.6151329999999998E-2</v>
      </c>
      <c r="Z1954">
        <v>-2.8783559999999999E-3</v>
      </c>
      <c r="AA1954">
        <v>0.99986540000000002</v>
      </c>
      <c r="AB1954">
        <v>42</v>
      </c>
      <c r="AC1954">
        <v>-0.57400000000001195</v>
      </c>
      <c r="AD1954">
        <v>-8.5645000000000193E-2</v>
      </c>
      <c r="AE1954">
        <v>-1.0000000000331901E-3</v>
      </c>
      <c r="AF1954">
        <v>-1.48699555099428E-2</v>
      </c>
      <c r="AG1954">
        <v>-8.5645000000000193E-2</v>
      </c>
      <c r="AH1954">
        <v>0.56130339473791202</v>
      </c>
      <c r="AI1954">
        <v>98.672416955444206</v>
      </c>
      <c r="AJ1954">
        <v>91.517515253612302</v>
      </c>
      <c r="AK1954">
        <v>0.56799443883384204</v>
      </c>
      <c r="AL1954">
        <v>69.402066153180101</v>
      </c>
      <c r="AM1954">
        <v>96.054817794703595</v>
      </c>
      <c r="AN1954">
        <v>1.00000002055547</v>
      </c>
    </row>
    <row r="1955" spans="1:40" x14ac:dyDescent="0.25">
      <c r="A1955" t="str">
        <f>"20190304164408445"</f>
        <v>20190304164408445</v>
      </c>
      <c r="B1955" t="str">
        <f>"1551689048441968"</f>
        <v>1551689048441968</v>
      </c>
      <c r="C1955" t="s">
        <v>40</v>
      </c>
      <c r="D1955">
        <v>4.5425180000000003</v>
      </c>
      <c r="E1955">
        <v>0.53053739999999905</v>
      </c>
      <c r="F1955" t="s">
        <v>41</v>
      </c>
      <c r="G1955">
        <v>-265.61610000000002</v>
      </c>
      <c r="H1955">
        <v>1.0218149999999999</v>
      </c>
      <c r="I1955">
        <v>284.09480000000002</v>
      </c>
      <c r="J1955">
        <v>-265.11349999999999</v>
      </c>
      <c r="K1955">
        <v>1.1095660000000001</v>
      </c>
      <c r="L1955">
        <v>284.09879999999998</v>
      </c>
      <c r="M1955">
        <v>-0.99967459999999997</v>
      </c>
      <c r="N1955">
        <v>-6.6646269999999898E-3</v>
      </c>
      <c r="O1955">
        <v>2.462773E-2</v>
      </c>
      <c r="P1955">
        <v>-0.93550949999999999</v>
      </c>
      <c r="Q1955">
        <v>0.34508179999999999</v>
      </c>
      <c r="R1955">
        <v>-7.5767840000000003E-2</v>
      </c>
      <c r="S1955">
        <v>-3.3224490000000002</v>
      </c>
      <c r="T1955">
        <v>-0.30593870000000001</v>
      </c>
      <c r="U1955">
        <v>2.4047849999999999E-2</v>
      </c>
      <c r="V1955">
        <v>-9.8774340000000002E-2</v>
      </c>
      <c r="W1955">
        <v>0.35129759999999999</v>
      </c>
      <c r="X1955">
        <v>0.93103899999999995</v>
      </c>
      <c r="Y1955">
        <v>-1.7224239999999998E-2</v>
      </c>
      <c r="Z1955">
        <v>-2.9477779999999999E-3</v>
      </c>
      <c r="AA1955">
        <v>0.99984729999999999</v>
      </c>
      <c r="AB1955">
        <v>42</v>
      </c>
      <c r="AC1955">
        <v>-0.50260000000002902</v>
      </c>
      <c r="AD1955">
        <v>-8.7751000000000107E-2</v>
      </c>
      <c r="AE1955">
        <v>-3.9999999999622499E-3</v>
      </c>
      <c r="AF1955">
        <v>-1.5892534100937501E-2</v>
      </c>
      <c r="AG1955">
        <v>-8.7751000000000107E-2</v>
      </c>
      <c r="AH1955">
        <v>0.48748977716104203</v>
      </c>
      <c r="AI1955">
        <v>100.198992521287</v>
      </c>
      <c r="AJ1955">
        <v>91.867224275795806</v>
      </c>
      <c r="AK1955">
        <v>0.49557955312711599</v>
      </c>
      <c r="AL1955">
        <v>69.433297251629597</v>
      </c>
      <c r="AM1955">
        <v>96.055882405596293</v>
      </c>
      <c r="AN1955">
        <v>0.99999999676459705</v>
      </c>
    </row>
    <row r="1956" spans="1:40" x14ac:dyDescent="0.25">
      <c r="A1956" t="str">
        <f>"20190304164408468"</f>
        <v>20190304164408468</v>
      </c>
      <c r="B1956" t="str">
        <f>"1551689048461489"</f>
        <v>1551689048461489</v>
      </c>
      <c r="C1956" t="s">
        <v>40</v>
      </c>
      <c r="D1956">
        <v>4.4944709999999999</v>
      </c>
      <c r="E1956">
        <v>0.5308794</v>
      </c>
      <c r="F1956" t="s">
        <v>45</v>
      </c>
      <c r="G1956">
        <v>-279.77969999999999</v>
      </c>
      <c r="H1956" s="1">
        <v>3.705626E-6</v>
      </c>
      <c r="I1956">
        <v>283.7432</v>
      </c>
      <c r="J1956">
        <v>-265.53969999999998</v>
      </c>
      <c r="K1956">
        <v>1.109618</v>
      </c>
      <c r="L1956">
        <v>284.10930000000002</v>
      </c>
      <c r="M1956">
        <v>-0.99967839999999997</v>
      </c>
      <c r="N1956">
        <v>-6.6886180000000003E-3</v>
      </c>
      <c r="O1956">
        <v>2.446371E-2</v>
      </c>
      <c r="P1956">
        <v>-0.93564760000000002</v>
      </c>
      <c r="Q1956">
        <v>0.34457450000000001</v>
      </c>
      <c r="R1956">
        <v>-7.6368279999999997E-2</v>
      </c>
      <c r="S1956">
        <v>-3.2922060000000002</v>
      </c>
      <c r="T1956">
        <v>-0.24906980000000001</v>
      </c>
      <c r="U1956">
        <v>-7.9833979999999999E-2</v>
      </c>
      <c r="V1956">
        <v>-9.9271769999999995E-2</v>
      </c>
      <c r="W1956">
        <v>0.35080060000000002</v>
      </c>
      <c r="X1956">
        <v>0.93117340000000004</v>
      </c>
      <c r="Y1956">
        <v>-4.8483249999999999E-2</v>
      </c>
      <c r="Z1956">
        <v>-3.6780010000000002E-3</v>
      </c>
      <c r="AA1956">
        <v>0.99881719999999896</v>
      </c>
      <c r="AB1956">
        <v>42</v>
      </c>
      <c r="AC1956">
        <v>-14.24</v>
      </c>
      <c r="AD1956">
        <v>-1.1096142943739999</v>
      </c>
      <c r="AE1956">
        <v>-0.36610000000001702</v>
      </c>
      <c r="AF1956">
        <v>-0.71005291395461501</v>
      </c>
      <c r="AG1956">
        <v>-1.1096142943739999</v>
      </c>
      <c r="AH1956">
        <v>14.1409759021609</v>
      </c>
      <c r="AI1956">
        <v>94.481070121521498</v>
      </c>
      <c r="AJ1956">
        <v>92.874546698897504</v>
      </c>
      <c r="AK1956">
        <v>14.202204705199399</v>
      </c>
      <c r="AL1956">
        <v>69.463707149144199</v>
      </c>
      <c r="AM1956">
        <v>96.085279803560098</v>
      </c>
      <c r="AN1956">
        <v>0.999999923073423</v>
      </c>
    </row>
    <row r="1957" spans="1:40" x14ac:dyDescent="0.25">
      <c r="A1957" t="str">
        <f>"20190304164408493"</f>
        <v>20190304164408493</v>
      </c>
      <c r="B1957" t="str">
        <f>"1551689048481984"</f>
        <v>1551689048481984</v>
      </c>
      <c r="C1957" t="s">
        <v>40</v>
      </c>
      <c r="D1957">
        <v>4.4606769999999996</v>
      </c>
      <c r="E1957">
        <v>0.53105290000000005</v>
      </c>
      <c r="F1957" t="s">
        <v>46</v>
      </c>
      <c r="G1957">
        <v>-280.10559999999998</v>
      </c>
      <c r="H1957" s="1">
        <v>8.5320579999999993E-6</v>
      </c>
      <c r="I1957">
        <v>283.76139999999998</v>
      </c>
      <c r="J1957">
        <v>-266.01170000000002</v>
      </c>
      <c r="K1957">
        <v>1.1096760000000001</v>
      </c>
      <c r="L1957">
        <v>284.12060000000002</v>
      </c>
      <c r="M1957">
        <v>-0.99968409999999996</v>
      </c>
      <c r="N1957">
        <v>-6.7150980000000001E-3</v>
      </c>
      <c r="O1957">
        <v>2.4221099999999999E-2</v>
      </c>
      <c r="P1957">
        <v>-0.93568220000000002</v>
      </c>
      <c r="Q1957">
        <v>0.34432069999999998</v>
      </c>
      <c r="R1957">
        <v>-7.7083700000000005E-2</v>
      </c>
      <c r="S1957">
        <v>-3.2922669999999998</v>
      </c>
      <c r="T1957">
        <v>-0.25080029999999998</v>
      </c>
      <c r="U1957">
        <v>-7.8613279999999994E-2</v>
      </c>
      <c r="V1957">
        <v>-9.9814299999999995E-2</v>
      </c>
      <c r="W1957">
        <v>0.3505568</v>
      </c>
      <c r="X1957">
        <v>0.93120729999999996</v>
      </c>
      <c r="Y1957">
        <v>-4.7869879999999997E-2</v>
      </c>
      <c r="Z1957">
        <v>-3.661222E-3</v>
      </c>
      <c r="AA1957">
        <v>0.99884689999999998</v>
      </c>
      <c r="AB1957">
        <v>43</v>
      </c>
      <c r="AC1957">
        <v>-14.0938999999999</v>
      </c>
      <c r="AD1957">
        <v>-1.109667467942</v>
      </c>
      <c r="AE1957">
        <v>-0.35920000000004298</v>
      </c>
      <c r="AF1957">
        <v>-0.69615935685698704</v>
      </c>
      <c r="AG1957">
        <v>-1.109667467942</v>
      </c>
      <c r="AH1957">
        <v>13.994369493013499</v>
      </c>
      <c r="AI1957">
        <v>94.528141069876398</v>
      </c>
      <c r="AJ1957">
        <v>92.847869632377694</v>
      </c>
      <c r="AK1957">
        <v>14.055546138323299</v>
      </c>
      <c r="AL1957">
        <v>69.4786247362523</v>
      </c>
      <c r="AM1957">
        <v>96.118063853054096</v>
      </c>
      <c r="AN1957">
        <v>1.000000000042</v>
      </c>
    </row>
    <row r="1958" spans="1:40" x14ac:dyDescent="0.25">
      <c r="A1958" t="str">
        <f>"20190304164408513"</f>
        <v>20190304164408513</v>
      </c>
      <c r="B1958" t="str">
        <f>"1551689048502010"</f>
        <v>1551689048502010</v>
      </c>
      <c r="C1958" t="s">
        <v>40</v>
      </c>
      <c r="D1958">
        <v>4.4588299999999998</v>
      </c>
      <c r="E1958">
        <v>0.53265180000000001</v>
      </c>
      <c r="F1958" t="s">
        <v>46</v>
      </c>
      <c r="G1958">
        <v>-280.51940000000002</v>
      </c>
      <c r="H1958" s="1">
        <v>8.3459349999999999E-6</v>
      </c>
      <c r="I1958">
        <v>283.77420000000001</v>
      </c>
      <c r="J1958">
        <v>-266.40550000000002</v>
      </c>
      <c r="K1958">
        <v>1.109726</v>
      </c>
      <c r="L1958">
        <v>284.13</v>
      </c>
      <c r="M1958">
        <v>-0.99969010000000003</v>
      </c>
      <c r="N1958">
        <v>-6.7372389999999999E-3</v>
      </c>
      <c r="O1958">
        <v>2.396763E-2</v>
      </c>
      <c r="P1958">
        <v>-0.93570830000000005</v>
      </c>
      <c r="Q1958">
        <v>0.3439046</v>
      </c>
      <c r="R1958">
        <v>-7.8613310000000006E-2</v>
      </c>
      <c r="S1958">
        <v>-3.2924190000000002</v>
      </c>
      <c r="T1958">
        <v>-0.251832</v>
      </c>
      <c r="U1958">
        <v>-7.8613279999999994E-2</v>
      </c>
      <c r="V1958">
        <v>-0.1011504</v>
      </c>
      <c r="W1958">
        <v>0.35014820000000002</v>
      </c>
      <c r="X1958">
        <v>0.93121690000000001</v>
      </c>
      <c r="Y1958">
        <v>-4.7615240000000003E-2</v>
      </c>
      <c r="Z1958">
        <v>-3.647843E-3</v>
      </c>
      <c r="AA1958">
        <v>0.9988591</v>
      </c>
      <c r="AB1958">
        <v>43</v>
      </c>
      <c r="AC1958">
        <v>-14.113899999999999</v>
      </c>
      <c r="AD1958">
        <v>-1.109717654065</v>
      </c>
      <c r="AE1958">
        <v>-0.35579999999998702</v>
      </c>
      <c r="AF1958">
        <v>-0.689721008363677</v>
      </c>
      <c r="AG1958">
        <v>-1.109717654065</v>
      </c>
      <c r="AH1958">
        <v>14.014733074926101</v>
      </c>
      <c r="AI1958">
        <v>94.521910749430802</v>
      </c>
      <c r="AJ1958">
        <v>92.817481031103597</v>
      </c>
      <c r="AK1958">
        <v>14.0755082147164</v>
      </c>
      <c r="AL1958">
        <v>69.503620905097605</v>
      </c>
      <c r="AM1958">
        <v>96.199262462630998</v>
      </c>
      <c r="AN1958">
        <v>1.0000000401144999</v>
      </c>
    </row>
    <row r="1959" spans="1:40" x14ac:dyDescent="0.25">
      <c r="A1959" t="str">
        <f>"20190304164408545"</f>
        <v>20190304164408545</v>
      </c>
      <c r="B1959" t="str">
        <f>"1551689048542027"</f>
        <v>1551689048542027</v>
      </c>
      <c r="C1959" t="s">
        <v>40</v>
      </c>
      <c r="D1959">
        <v>4.4195140000000004</v>
      </c>
      <c r="E1959">
        <v>0.53247109999999997</v>
      </c>
      <c r="F1959" t="s">
        <v>45</v>
      </c>
      <c r="G1959">
        <v>-278.03539999999998</v>
      </c>
      <c r="H1959" s="1">
        <v>2.7719500000000002E-6</v>
      </c>
      <c r="I1959">
        <v>283.86779999999999</v>
      </c>
      <c r="J1959">
        <v>-267.02379999999999</v>
      </c>
      <c r="K1959">
        <v>1.109785</v>
      </c>
      <c r="L1959">
        <v>284.14440000000002</v>
      </c>
      <c r="M1959">
        <v>-0.99970119999999896</v>
      </c>
      <c r="N1959">
        <v>-6.7717119999999896E-3</v>
      </c>
      <c r="O1959">
        <v>2.348913E-2</v>
      </c>
      <c r="P1959">
        <v>-0.93564689999999995</v>
      </c>
      <c r="Q1959">
        <v>0.3434624</v>
      </c>
      <c r="R1959">
        <v>-8.1231979999999995E-2</v>
      </c>
      <c r="S1959">
        <v>-3.3161320000000001</v>
      </c>
      <c r="T1959">
        <v>-0.3164264</v>
      </c>
      <c r="U1959">
        <v>-7.4768070000000006E-2</v>
      </c>
      <c r="V1959">
        <v>-0.10338219999999999</v>
      </c>
      <c r="W1959">
        <v>0.34971849999999999</v>
      </c>
      <c r="X1959">
        <v>0.93113330000000005</v>
      </c>
      <c r="Y1959">
        <v>-4.5704170000000002E-2</v>
      </c>
      <c r="Z1959">
        <v>-4.4077470000000001E-3</v>
      </c>
      <c r="AA1959">
        <v>0.99894530000000004</v>
      </c>
      <c r="AB1959">
        <v>43</v>
      </c>
      <c r="AC1959">
        <v>-11.0115999999999</v>
      </c>
      <c r="AD1959">
        <v>-1.10978222805</v>
      </c>
      <c r="AE1959">
        <v>-0.27660000000002999</v>
      </c>
      <c r="AF1959">
        <v>-0.52980455809963301</v>
      </c>
      <c r="AG1959">
        <v>-1.10978222805</v>
      </c>
      <c r="AH1959">
        <v>10.891506807136301</v>
      </c>
      <c r="AI1959">
        <v>95.811208296752</v>
      </c>
      <c r="AJ1959">
        <v>92.784890736558395</v>
      </c>
      <c r="AK1959">
        <v>10.9607130239495</v>
      </c>
      <c r="AL1959">
        <v>69.529903111233395</v>
      </c>
      <c r="AM1959">
        <v>96.335508037604598</v>
      </c>
      <c r="AN1959">
        <v>1.00000006544398</v>
      </c>
    </row>
    <row r="1960" spans="1:40" x14ac:dyDescent="0.25">
      <c r="A1960" t="str">
        <f>"20190304164408568"</f>
        <v>20190304164408568</v>
      </c>
      <c r="B1960" t="str">
        <f>"1551689048561547"</f>
        <v>1551689048561547</v>
      </c>
      <c r="C1960" t="s">
        <v>40</v>
      </c>
      <c r="D1960">
        <v>4.3973879999999896</v>
      </c>
      <c r="E1960">
        <v>0.53154299999999999</v>
      </c>
      <c r="F1960" t="s">
        <v>45</v>
      </c>
      <c r="G1960">
        <v>-278.90899999999999</v>
      </c>
      <c r="H1960" s="1">
        <v>3.2381380000000002E-6</v>
      </c>
      <c r="I1960">
        <v>283.8381</v>
      </c>
      <c r="J1960">
        <v>-267.45330000000001</v>
      </c>
      <c r="K1960">
        <v>1.109829</v>
      </c>
      <c r="L1960">
        <v>284.1542</v>
      </c>
      <c r="M1960">
        <v>-0.99970979999999998</v>
      </c>
      <c r="N1960">
        <v>-6.7955669999999998E-3</v>
      </c>
      <c r="O1960">
        <v>2.3114079999999999E-2</v>
      </c>
      <c r="P1960">
        <v>-0.93556700000000004</v>
      </c>
      <c r="Q1960">
        <v>0.34298319999999999</v>
      </c>
      <c r="R1960">
        <v>-8.4124969999999993E-2</v>
      </c>
      <c r="S1960">
        <v>-3.3124690000000001</v>
      </c>
      <c r="T1960">
        <v>-0.30930299999999999</v>
      </c>
      <c r="U1960">
        <v>-8.5357669999999997E-2</v>
      </c>
      <c r="V1960">
        <v>-0.1059609</v>
      </c>
      <c r="W1960">
        <v>0.34924749999999999</v>
      </c>
      <c r="X1960">
        <v>0.93102010000000002</v>
      </c>
      <c r="Y1960">
        <v>-4.854721E-2</v>
      </c>
      <c r="Z1960">
        <v>-4.4231610000000001E-3</v>
      </c>
      <c r="AA1960">
        <v>0.99881109999999995</v>
      </c>
      <c r="AB1960">
        <v>43</v>
      </c>
      <c r="AC1960">
        <v>-11.455699999999901</v>
      </c>
      <c r="AD1960">
        <v>-1.109825761862</v>
      </c>
      <c r="AE1960">
        <v>-0.31610000000000499</v>
      </c>
      <c r="AF1960">
        <v>-0.575413067332881</v>
      </c>
      <c r="AG1960">
        <v>-1.109825761862</v>
      </c>
      <c r="AH1960">
        <v>11.3389894518887</v>
      </c>
      <c r="AI1960">
        <v>95.582992294375501</v>
      </c>
      <c r="AJ1960">
        <v>92.9050634247304</v>
      </c>
      <c r="AK1960">
        <v>11.407694561557699</v>
      </c>
      <c r="AL1960">
        <v>69.558703754703998</v>
      </c>
      <c r="AM1960">
        <v>96.492986579039993</v>
      </c>
      <c r="AN1960">
        <v>0.99999997759453396</v>
      </c>
    </row>
    <row r="1961" spans="1:40" x14ac:dyDescent="0.25">
      <c r="A1961" t="str">
        <f>"20190304164408589"</f>
        <v>20190304164408589</v>
      </c>
      <c r="B1961" t="str">
        <f>"1551689048582043"</f>
        <v>1551689048582043</v>
      </c>
      <c r="C1961" t="s">
        <v>40</v>
      </c>
      <c r="D1961">
        <v>4.4055470000000003</v>
      </c>
      <c r="E1961">
        <v>0.53199849999999904</v>
      </c>
      <c r="F1961" t="s">
        <v>46</v>
      </c>
      <c r="G1961">
        <v>-282.26339999999999</v>
      </c>
      <c r="H1961" s="1">
        <v>7.5847959999999997E-6</v>
      </c>
      <c r="I1961">
        <v>283.71480000000003</v>
      </c>
      <c r="J1961">
        <v>-267.87909999999999</v>
      </c>
      <c r="K1961">
        <v>1.1098779999999999</v>
      </c>
      <c r="L1961">
        <v>284.16379999999998</v>
      </c>
      <c r="M1961">
        <v>-0.99971880000000002</v>
      </c>
      <c r="N1961">
        <v>-6.8190330000000004E-3</v>
      </c>
      <c r="O1961">
        <v>2.2710689999999999E-2</v>
      </c>
      <c r="P1961">
        <v>-0.935311</v>
      </c>
      <c r="Q1961">
        <v>0.34304590000000001</v>
      </c>
      <c r="R1961">
        <v>-8.6677299999999999E-2</v>
      </c>
      <c r="S1961">
        <v>-3.2881770000000001</v>
      </c>
      <c r="T1961">
        <v>-0.24640490000000001</v>
      </c>
      <c r="U1961">
        <v>-9.7564700000000004E-2</v>
      </c>
      <c r="V1961">
        <v>-0.10816530000000001</v>
      </c>
      <c r="W1961">
        <v>0.34931770000000001</v>
      </c>
      <c r="X1961">
        <v>0.93074020000000002</v>
      </c>
      <c r="Y1961">
        <v>-5.2139900000000003E-2</v>
      </c>
      <c r="Z1961">
        <v>-3.673024E-3</v>
      </c>
      <c r="AA1961">
        <v>0.99863299999999999</v>
      </c>
      <c r="AB1961">
        <v>43</v>
      </c>
      <c r="AC1961">
        <v>-14.3842999999999</v>
      </c>
      <c r="AD1961">
        <v>-1.109870415204</v>
      </c>
      <c r="AE1961">
        <v>-0.44899999999995499</v>
      </c>
      <c r="AF1961">
        <v>-0.77098364172228895</v>
      </c>
      <c r="AG1961">
        <v>-1.109870415204</v>
      </c>
      <c r="AH1961">
        <v>14.2854279994481</v>
      </c>
      <c r="AI1961">
        <v>94.436097238323299</v>
      </c>
      <c r="AJ1961">
        <v>93.0892524962007</v>
      </c>
      <c r="AK1961">
        <v>14.3492048992885</v>
      </c>
      <c r="AL1961">
        <v>69.554410728340599</v>
      </c>
      <c r="AM1961">
        <v>96.628851795599402</v>
      </c>
      <c r="AN1961">
        <v>0.99999995377670803</v>
      </c>
    </row>
    <row r="1962" spans="1:40" x14ac:dyDescent="0.25">
      <c r="A1962" t="str">
        <f>"20190304164408610"</f>
        <v>20190304164408610</v>
      </c>
      <c r="B1962" t="str">
        <f>"1551689048602070"</f>
        <v>1551689048602070</v>
      </c>
      <c r="C1962" t="s">
        <v>40</v>
      </c>
      <c r="D1962">
        <v>4.4209589999999999</v>
      </c>
      <c r="E1962">
        <v>0.53247800000000001</v>
      </c>
      <c r="F1962" t="s">
        <v>45</v>
      </c>
      <c r="G1962">
        <v>-279.68099999999998</v>
      </c>
      <c r="H1962" s="1">
        <v>3.6514220000000001E-6</v>
      </c>
      <c r="I1962">
        <v>283.78160000000003</v>
      </c>
      <c r="J1962">
        <v>-268.29379999999998</v>
      </c>
      <c r="K1962">
        <v>1.109923</v>
      </c>
      <c r="L1962">
        <v>284.17290000000003</v>
      </c>
      <c r="M1962">
        <v>-0.99972830000000001</v>
      </c>
      <c r="N1962">
        <v>-6.8419830000000003E-3</v>
      </c>
      <c r="O1962">
        <v>2.2286380000000001E-2</v>
      </c>
      <c r="P1962">
        <v>-0.93489169999999999</v>
      </c>
      <c r="Q1962">
        <v>0.34381279999999997</v>
      </c>
      <c r="R1962">
        <v>-8.8149829999999998E-2</v>
      </c>
      <c r="S1962">
        <v>-3.3117679999999998</v>
      </c>
      <c r="T1962">
        <v>-0.311446</v>
      </c>
      <c r="U1962">
        <v>-0.1072388</v>
      </c>
      <c r="V1962">
        <v>-0.1092673</v>
      </c>
      <c r="W1962">
        <v>0.35009190000000001</v>
      </c>
      <c r="X1962">
        <v>0.93032060000000005</v>
      </c>
      <c r="Y1962">
        <v>-5.4290070000000003E-2</v>
      </c>
      <c r="Z1962">
        <v>-4.671344E-3</v>
      </c>
      <c r="AA1962">
        <v>0.99851429999999997</v>
      </c>
      <c r="AB1962">
        <v>43</v>
      </c>
      <c r="AC1962">
        <v>-11.3872</v>
      </c>
      <c r="AD1962">
        <v>-1.1099193485779999</v>
      </c>
      <c r="AE1962">
        <v>-0.39130000000000098</v>
      </c>
      <c r="AF1962">
        <v>-0.63892520818804499</v>
      </c>
      <c r="AG1962">
        <v>-1.1099193485779999</v>
      </c>
      <c r="AH1962">
        <v>11.2687179416764</v>
      </c>
      <c r="AI1962">
        <v>95.6162767247353</v>
      </c>
      <c r="AJ1962">
        <v>93.2451397728274</v>
      </c>
      <c r="AK1962">
        <v>11.3412587674854</v>
      </c>
      <c r="AL1962">
        <v>69.507064840901094</v>
      </c>
      <c r="AM1962">
        <v>96.698769642686202</v>
      </c>
      <c r="AN1962">
        <v>1.00000005003962</v>
      </c>
    </row>
    <row r="1963" spans="1:40" x14ac:dyDescent="0.25">
      <c r="A1963" t="str">
        <f>"20190304164408634"</f>
        <v>20190304164408634</v>
      </c>
      <c r="B1963" t="str">
        <f>"1551689048621590"</f>
        <v>1551689048621590</v>
      </c>
      <c r="C1963" t="s">
        <v>40</v>
      </c>
      <c r="D1963">
        <v>4.4352229999999997</v>
      </c>
      <c r="E1963">
        <v>0.53287569999999995</v>
      </c>
      <c r="F1963" t="s">
        <v>46</v>
      </c>
      <c r="G1963">
        <v>-280.2801</v>
      </c>
      <c r="H1963" s="1">
        <v>8.4518329999999996E-6</v>
      </c>
      <c r="I1963">
        <v>283.77519999999998</v>
      </c>
      <c r="J1963">
        <v>-268.72359999999998</v>
      </c>
      <c r="K1963">
        <v>1.109972</v>
      </c>
      <c r="L1963">
        <v>284.1823</v>
      </c>
      <c r="M1963">
        <v>-0.99973880000000004</v>
      </c>
      <c r="N1963">
        <v>-6.8658570000000004E-3</v>
      </c>
      <c r="O1963">
        <v>2.1807710000000001E-2</v>
      </c>
      <c r="P1963">
        <v>-0.93465129999999996</v>
      </c>
      <c r="Q1963">
        <v>0.34440359999999998</v>
      </c>
      <c r="R1963">
        <v>-8.8394109999999998E-2</v>
      </c>
      <c r="S1963">
        <v>-3.31134</v>
      </c>
      <c r="T1963">
        <v>-0.30662499999999998</v>
      </c>
      <c r="U1963">
        <v>-0.1098633</v>
      </c>
      <c r="V1963">
        <v>-0.10910010000000001</v>
      </c>
      <c r="W1963">
        <v>0.35069119999999998</v>
      </c>
      <c r="X1963">
        <v>0.93011440000000001</v>
      </c>
      <c r="Y1963">
        <v>-5.4617249999999999E-2</v>
      </c>
      <c r="Z1963">
        <v>-4.5758020000000003E-3</v>
      </c>
      <c r="AA1963">
        <v>0.99849690000000002</v>
      </c>
      <c r="AB1963">
        <v>43</v>
      </c>
      <c r="AC1963">
        <v>-11.5565</v>
      </c>
      <c r="AD1963">
        <v>-1.109963548167</v>
      </c>
      <c r="AE1963">
        <v>-0.40710000000001401</v>
      </c>
      <c r="AF1963">
        <v>-0.65301331332405799</v>
      </c>
      <c r="AG1963">
        <v>-1.109963548167</v>
      </c>
      <c r="AH1963">
        <v>11.4394754375235</v>
      </c>
      <c r="AI1963">
        <v>95.533065328089705</v>
      </c>
      <c r="AJ1963">
        <v>93.267138091310997</v>
      </c>
      <c r="AK1963">
        <v>11.5117350452197</v>
      </c>
      <c r="AL1963">
        <v>69.470401612601705</v>
      </c>
      <c r="AM1963">
        <v>96.690081559728995</v>
      </c>
      <c r="AN1963">
        <v>0.99999997333240398</v>
      </c>
    </row>
    <row r="1964" spans="1:40" x14ac:dyDescent="0.25">
      <c r="A1964" t="str">
        <f>"20190304164408656"</f>
        <v>20190304164408656</v>
      </c>
      <c r="B1964" t="str">
        <f>"1551689048651846"</f>
        <v>1551689048651846</v>
      </c>
      <c r="C1964" t="s">
        <v>40</v>
      </c>
      <c r="D1964">
        <v>4.4070070000000001</v>
      </c>
      <c r="E1964">
        <v>0.53317389999999998</v>
      </c>
      <c r="F1964" t="s">
        <v>46</v>
      </c>
      <c r="G1964">
        <v>-280.96010000000001</v>
      </c>
      <c r="H1964" s="1">
        <v>8.1498760000000007E-6</v>
      </c>
      <c r="I1964">
        <v>283.77730000000003</v>
      </c>
      <c r="J1964">
        <v>-269.16500000000002</v>
      </c>
      <c r="K1964">
        <v>1.1100300000000001</v>
      </c>
      <c r="L1964">
        <v>284.19150000000002</v>
      </c>
      <c r="M1964">
        <v>-0.99975029999999998</v>
      </c>
      <c r="N1964">
        <v>-6.8902269999999996E-3</v>
      </c>
      <c r="O1964">
        <v>2.125637E-2</v>
      </c>
      <c r="P1964">
        <v>-0.9345926</v>
      </c>
      <c r="Q1964">
        <v>0.34447309999999998</v>
      </c>
      <c r="R1964">
        <v>-8.8740830000000007E-2</v>
      </c>
      <c r="S1964">
        <v>-3.310028</v>
      </c>
      <c r="T1964">
        <v>-0.30025089999999999</v>
      </c>
      <c r="U1964">
        <v>-0.1095276</v>
      </c>
      <c r="V1964">
        <v>-0.10898049999999999</v>
      </c>
      <c r="W1964">
        <v>0.35076800000000002</v>
      </c>
      <c r="X1964">
        <v>0.93009949999999997</v>
      </c>
      <c r="Y1964">
        <v>-5.3996469999999998E-2</v>
      </c>
      <c r="Z1964">
        <v>-4.4073999999999997E-3</v>
      </c>
      <c r="AA1964">
        <v>0.99853139999999996</v>
      </c>
      <c r="AB1964">
        <v>43</v>
      </c>
      <c r="AC1964">
        <v>-11.7950999999999</v>
      </c>
      <c r="AD1964">
        <v>-1.11002185012399</v>
      </c>
      <c r="AE1964">
        <v>-0.41419999999999302</v>
      </c>
      <c r="AF1964">
        <v>-0.65900412506735695</v>
      </c>
      <c r="AG1964">
        <v>-1.11002185012399</v>
      </c>
      <c r="AH1964">
        <v>11.680311548047399</v>
      </c>
      <c r="AI1964">
        <v>95.420150942550507</v>
      </c>
      <c r="AJ1964">
        <v>93.229208998247302</v>
      </c>
      <c r="AK1964">
        <v>11.7514302450407</v>
      </c>
      <c r="AL1964">
        <v>69.465703591054094</v>
      </c>
      <c r="AM1964">
        <v>96.682920077286198</v>
      </c>
      <c r="AN1964">
        <v>1.0000000095522401</v>
      </c>
    </row>
    <row r="1965" spans="1:40" x14ac:dyDescent="0.25">
      <c r="A1965" t="str">
        <f>"20190304164408670"</f>
        <v>20190304164408670</v>
      </c>
      <c r="B1965" t="str">
        <f>"1551689048661607"</f>
        <v>1551689048661607</v>
      </c>
      <c r="C1965" t="s">
        <v>40</v>
      </c>
      <c r="D1965">
        <v>4.3985300000000001</v>
      </c>
      <c r="E1965">
        <v>0.53333790000000003</v>
      </c>
      <c r="F1965" t="s">
        <v>46</v>
      </c>
      <c r="G1965">
        <v>-281.46339999999998</v>
      </c>
      <c r="H1965" s="1">
        <v>7.924188E-6</v>
      </c>
      <c r="I1965">
        <v>283.78930000000003</v>
      </c>
      <c r="J1965">
        <v>-269.43729999999999</v>
      </c>
      <c r="K1965">
        <v>1.11007099999999</v>
      </c>
      <c r="L1965">
        <v>284.19709999999998</v>
      </c>
      <c r="M1965">
        <v>-0.99975820000000004</v>
      </c>
      <c r="N1965">
        <v>-6.9054569999999899E-3</v>
      </c>
      <c r="O1965">
        <v>2.0879129999999999E-2</v>
      </c>
      <c r="P1965">
        <v>-0.93464060000000004</v>
      </c>
      <c r="Q1965">
        <v>0.34439999999999998</v>
      </c>
      <c r="R1965">
        <v>-8.8518760000000002E-2</v>
      </c>
      <c r="S1965">
        <v>-3.3098139999999998</v>
      </c>
      <c r="T1965">
        <v>-0.29873470000000002</v>
      </c>
      <c r="U1965">
        <v>-0.1082458</v>
      </c>
      <c r="V1965">
        <v>-0.1084446</v>
      </c>
      <c r="W1965">
        <v>0.35069879999999998</v>
      </c>
      <c r="X1965">
        <v>0.93018820000000002</v>
      </c>
      <c r="Y1965">
        <v>-5.3243199999999997E-2</v>
      </c>
      <c r="Z1965">
        <v>-4.3179259999999997E-3</v>
      </c>
      <c r="AA1965">
        <v>0.99857220000000002</v>
      </c>
      <c r="AB1965">
        <v>43</v>
      </c>
      <c r="AC1965">
        <v>-12.0260999999999</v>
      </c>
      <c r="AD1965">
        <v>-1.11006307581199</v>
      </c>
      <c r="AE1965">
        <v>-0.40779999999995198</v>
      </c>
      <c r="AF1965">
        <v>-0.65325218605136304</v>
      </c>
      <c r="AG1965">
        <v>-1.11006307581199</v>
      </c>
      <c r="AH1965">
        <v>11.913575058087901</v>
      </c>
      <c r="AI1965">
        <v>95.315301515904594</v>
      </c>
      <c r="AJ1965">
        <v>93.138533098711093</v>
      </c>
      <c r="AK1965">
        <v>11.9829983357904</v>
      </c>
      <c r="AL1965">
        <v>69.469936851995598</v>
      </c>
      <c r="AM1965">
        <v>96.6497241315585</v>
      </c>
      <c r="AN1965">
        <v>0.99999998350491903</v>
      </c>
    </row>
    <row r="1966" spans="1:40" x14ac:dyDescent="0.25">
      <c r="A1966" t="str">
        <f>"20190304164408692"</f>
        <v>20190304164408692</v>
      </c>
      <c r="B1966" t="str">
        <f>"1551689048682101"</f>
        <v>1551689048682101</v>
      </c>
      <c r="C1966" t="s">
        <v>40</v>
      </c>
      <c r="D1966">
        <v>4.4074410000000004</v>
      </c>
      <c r="E1966">
        <v>0.53373990000000004</v>
      </c>
      <c r="F1966" t="s">
        <v>46</v>
      </c>
      <c r="G1966">
        <v>-281.7201</v>
      </c>
      <c r="H1966" s="1">
        <v>7.8076880000000003E-6</v>
      </c>
      <c r="I1966">
        <v>283.80220000000003</v>
      </c>
      <c r="J1966">
        <v>-269.85849999999999</v>
      </c>
      <c r="K1966">
        <v>1.110134</v>
      </c>
      <c r="L1966">
        <v>284.20549999999997</v>
      </c>
      <c r="M1966">
        <v>-0.99977110000000002</v>
      </c>
      <c r="N1966">
        <v>-6.9292540000000001E-3</v>
      </c>
      <c r="O1966">
        <v>2.0247109999999999E-2</v>
      </c>
      <c r="P1966">
        <v>-0.93490229999999996</v>
      </c>
      <c r="Q1966">
        <v>0.34380870000000002</v>
      </c>
      <c r="R1966">
        <v>-8.8053480000000003E-2</v>
      </c>
      <c r="S1966">
        <v>-3.3099370000000001</v>
      </c>
      <c r="T1966">
        <v>-0.29913719999999999</v>
      </c>
      <c r="U1966">
        <v>-0.1064148</v>
      </c>
      <c r="V1966">
        <v>-0.1074553</v>
      </c>
      <c r="W1966">
        <v>0.3501147</v>
      </c>
      <c r="X1966">
        <v>0.93052299999999999</v>
      </c>
      <c r="Y1966">
        <v>-5.2065420000000001E-2</v>
      </c>
      <c r="Z1966">
        <v>-4.2138749999999997E-3</v>
      </c>
      <c r="AA1966">
        <v>0.99863480000000004</v>
      </c>
      <c r="AB1966">
        <v>43</v>
      </c>
      <c r="AC1966">
        <v>-11.861599999999999</v>
      </c>
      <c r="AD1966">
        <v>-1.110126192312</v>
      </c>
      <c r="AE1966">
        <v>-0.40329999999994398</v>
      </c>
      <c r="AF1966">
        <v>-0.63780604348108305</v>
      </c>
      <c r="AG1966">
        <v>-1.110126192312</v>
      </c>
      <c r="AH1966">
        <v>11.748217799426399</v>
      </c>
      <c r="AI1966">
        <v>95.390140273283507</v>
      </c>
      <c r="AJ1966">
        <v>93.107514351160603</v>
      </c>
      <c r="AK1966">
        <v>11.8177746710079</v>
      </c>
      <c r="AL1966">
        <v>69.505669142985695</v>
      </c>
      <c r="AM1966">
        <v>96.587247023247997</v>
      </c>
      <c r="AN1966">
        <v>0.99999999909158999</v>
      </c>
    </row>
    <row r="1967" spans="1:40" x14ac:dyDescent="0.25">
      <c r="A1967" t="str">
        <f>"20190304164408711"</f>
        <v>20190304164408711</v>
      </c>
      <c r="B1967" t="str">
        <f>"1551689048702129"</f>
        <v>1551689048702129</v>
      </c>
      <c r="C1967" t="s">
        <v>40</v>
      </c>
      <c r="D1967">
        <v>4.4182870000000003</v>
      </c>
      <c r="E1967">
        <v>0.53386489999999998</v>
      </c>
      <c r="F1967" t="s">
        <v>46</v>
      </c>
      <c r="G1967">
        <v>-282.06869999999998</v>
      </c>
      <c r="H1967" s="1">
        <v>7.6473929999999998E-6</v>
      </c>
      <c r="I1967">
        <v>283.8297</v>
      </c>
      <c r="J1967">
        <v>-270.255</v>
      </c>
      <c r="K1967">
        <v>1.1102129999999999</v>
      </c>
      <c r="L1967">
        <v>284.2131</v>
      </c>
      <c r="M1967">
        <v>-0.99978440000000002</v>
      </c>
      <c r="N1967">
        <v>-6.9519309999999997E-3</v>
      </c>
      <c r="O1967">
        <v>1.9572329999999999E-2</v>
      </c>
      <c r="P1967">
        <v>-0.93515219999999999</v>
      </c>
      <c r="Q1967">
        <v>0.34344200000000003</v>
      </c>
      <c r="R1967">
        <v>-8.6822479999999994E-2</v>
      </c>
      <c r="S1967">
        <v>-3.3099980000000002</v>
      </c>
      <c r="T1967">
        <v>-0.3009365</v>
      </c>
      <c r="U1967">
        <v>-0.10186770000000001</v>
      </c>
      <c r="V1967">
        <v>-0.1056661</v>
      </c>
      <c r="W1967">
        <v>0.3497538</v>
      </c>
      <c r="X1967">
        <v>0.93086360000000001</v>
      </c>
      <c r="Y1967">
        <v>-5.0028030000000001E-2</v>
      </c>
      <c r="Z1967">
        <v>-4.0829809999999899E-3</v>
      </c>
      <c r="AA1967">
        <v>0.9987395</v>
      </c>
      <c r="AB1967">
        <v>44</v>
      </c>
      <c r="AC1967">
        <v>-11.8136999999999</v>
      </c>
      <c r="AD1967">
        <v>-1.1102053526069999</v>
      </c>
      <c r="AE1967">
        <v>-0.38339999999999402</v>
      </c>
      <c r="AF1967">
        <v>-0.60917943593100399</v>
      </c>
      <c r="AG1967">
        <v>-1.1102053526069999</v>
      </c>
      <c r="AH1967">
        <v>11.7007065552163</v>
      </c>
      <c r="AI1967">
        <v>95.412916237370197</v>
      </c>
      <c r="AJ1967">
        <v>92.980326462654901</v>
      </c>
      <c r="AK1967">
        <v>11.769035194161001</v>
      </c>
      <c r="AL1967">
        <v>69.527743765206296</v>
      </c>
      <c r="AM1967">
        <v>96.476155053835498</v>
      </c>
      <c r="AN1967">
        <v>1.0000000435542999</v>
      </c>
    </row>
    <row r="1968" spans="1:40" x14ac:dyDescent="0.25">
      <c r="A1968" t="str">
        <f>"20190304164408733"</f>
        <v>20190304164408733</v>
      </c>
      <c r="B1968" t="str">
        <f>"1551689048721649"</f>
        <v>1551689048721649</v>
      </c>
      <c r="C1968" t="s">
        <v>40</v>
      </c>
      <c r="D1968">
        <v>4.4414499999999997</v>
      </c>
      <c r="E1968">
        <v>0.53398630000000002</v>
      </c>
      <c r="F1968" t="s">
        <v>46</v>
      </c>
      <c r="G1968">
        <v>-282.39580000000001</v>
      </c>
      <c r="H1968" s="1">
        <v>7.4976360000000002E-6</v>
      </c>
      <c r="I1968">
        <v>283.8526</v>
      </c>
      <c r="J1968">
        <v>-270.67399999999998</v>
      </c>
      <c r="K1968">
        <v>1.1103099999999999</v>
      </c>
      <c r="L1968">
        <v>284.2208</v>
      </c>
      <c r="M1968">
        <v>-0.99979989999999996</v>
      </c>
      <c r="N1968">
        <v>-6.9760530000000003E-3</v>
      </c>
      <c r="O1968">
        <v>1.8755379999999999E-2</v>
      </c>
      <c r="P1968">
        <v>-0.93533069999999896</v>
      </c>
      <c r="Q1968">
        <v>0.34320980000000001</v>
      </c>
      <c r="R1968">
        <v>-8.5813390000000003E-2</v>
      </c>
      <c r="S1968">
        <v>-3.3100589999999999</v>
      </c>
      <c r="T1968">
        <v>-0.30268539999999999</v>
      </c>
      <c r="U1968">
        <v>-9.8297120000000002E-2</v>
      </c>
      <c r="V1968">
        <v>-0.1039817</v>
      </c>
      <c r="W1968">
        <v>0.34952369999999999</v>
      </c>
      <c r="X1968">
        <v>0.93113959999999996</v>
      </c>
      <c r="Y1968">
        <v>-4.8142940000000002E-2</v>
      </c>
      <c r="Z1968">
        <v>-3.9450809999999996E-3</v>
      </c>
      <c r="AA1968">
        <v>0.99883259999999996</v>
      </c>
      <c r="AB1968">
        <v>44</v>
      </c>
      <c r="AC1968">
        <v>-11.721799999999901</v>
      </c>
      <c r="AD1968">
        <v>-1.1103025023639901</v>
      </c>
      <c r="AE1968">
        <v>-0.36820000000000103</v>
      </c>
      <c r="AF1968">
        <v>-0.58276390354901997</v>
      </c>
      <c r="AG1968">
        <v>-1.1103025023639901</v>
      </c>
      <c r="AH1968">
        <v>11.608779719894899</v>
      </c>
      <c r="AI1968">
        <v>95.456511919744699</v>
      </c>
      <c r="AJ1968">
        <v>92.8738512564735</v>
      </c>
      <c r="AK1968">
        <v>11.676307292936301</v>
      </c>
      <c r="AL1968">
        <v>69.541814378118303</v>
      </c>
      <c r="AM1968">
        <v>96.371902756517699</v>
      </c>
      <c r="AN1968">
        <v>0.99999998274236901</v>
      </c>
    </row>
    <row r="1969" spans="1:40" x14ac:dyDescent="0.25">
      <c r="A1969" t="str">
        <f>"20190304164408757"</f>
        <v>20190304164408757</v>
      </c>
      <c r="B1969" t="str">
        <f>"1551689048751905"</f>
        <v>1551689048751905</v>
      </c>
      <c r="C1969" t="s">
        <v>40</v>
      </c>
      <c r="D1969">
        <v>4.4418860000000002</v>
      </c>
      <c r="E1969">
        <v>0.53393299999999999</v>
      </c>
      <c r="F1969" t="s">
        <v>46</v>
      </c>
      <c r="G1969">
        <v>-282.71980000000002</v>
      </c>
      <c r="H1969" s="1">
        <v>7.3493820000000002E-6</v>
      </c>
      <c r="I1969">
        <v>283.87470000000002</v>
      </c>
      <c r="J1969">
        <v>-271.1345</v>
      </c>
      <c r="K1969">
        <v>1.1104309999999999</v>
      </c>
      <c r="L1969">
        <v>284.2287</v>
      </c>
      <c r="M1969">
        <v>-0.99981880000000001</v>
      </c>
      <c r="N1969">
        <v>-7.0032799999999997E-3</v>
      </c>
      <c r="O1969">
        <v>1.770706E-2</v>
      </c>
      <c r="P1969">
        <v>-0.93552089999999999</v>
      </c>
      <c r="Q1969">
        <v>0.34289770000000003</v>
      </c>
      <c r="R1969">
        <v>-8.4985699999999997E-2</v>
      </c>
      <c r="S1969">
        <v>-3.3106689999999999</v>
      </c>
      <c r="T1969">
        <v>-0.30515520000000002</v>
      </c>
      <c r="U1969">
        <v>-9.5123289999999999E-2</v>
      </c>
      <c r="V1969">
        <v>-0.10228569999999999</v>
      </c>
      <c r="W1969">
        <v>0.34921140000000001</v>
      </c>
      <c r="X1969">
        <v>0.93144459999999996</v>
      </c>
      <c r="Y1969">
        <v>-4.6141750000000002E-2</v>
      </c>
      <c r="Z1969">
        <v>-3.7881920000000001E-3</v>
      </c>
      <c r="AA1969">
        <v>0.99892769999999997</v>
      </c>
      <c r="AB1969">
        <v>44</v>
      </c>
      <c r="AC1969">
        <v>-11.5853</v>
      </c>
      <c r="AD1969">
        <v>-1.1104236506180001</v>
      </c>
      <c r="AE1969">
        <v>-0.35399999999998399</v>
      </c>
      <c r="AF1969">
        <v>-0.55400632587463305</v>
      </c>
      <c r="AG1969">
        <v>-1.1104236506180001</v>
      </c>
      <c r="AH1969">
        <v>11.4719234755798</v>
      </c>
      <c r="AI1969">
        <v>95.522319516609599</v>
      </c>
      <c r="AJ1969">
        <v>92.764800770453405</v>
      </c>
      <c r="AK1969">
        <v>11.5388470794322</v>
      </c>
      <c r="AL1969">
        <v>69.560911690279298</v>
      </c>
      <c r="AM1969">
        <v>96.266771265136597</v>
      </c>
      <c r="AN1969">
        <v>1.0000000045918001</v>
      </c>
    </row>
    <row r="1970" spans="1:40" x14ac:dyDescent="0.25">
      <c r="A1970" t="str">
        <f>"20190304164408780"</f>
        <v>20190304164408780</v>
      </c>
      <c r="B1970" t="str">
        <f>"1551689048771428"</f>
        <v>1551689048771428</v>
      </c>
      <c r="C1970" t="s">
        <v>40</v>
      </c>
      <c r="D1970">
        <v>4.4521699999999997</v>
      </c>
      <c r="E1970">
        <v>0.53380380000000005</v>
      </c>
      <c r="F1970" t="s">
        <v>41</v>
      </c>
      <c r="G1970">
        <v>-272.18450000000001</v>
      </c>
      <c r="H1970">
        <v>1.013234</v>
      </c>
      <c r="I1970">
        <v>284.19940000000003</v>
      </c>
      <c r="J1970">
        <v>-271.57990000000001</v>
      </c>
      <c r="K1970">
        <v>1.1105640000000001</v>
      </c>
      <c r="L1970">
        <v>284.23570000000001</v>
      </c>
      <c r="M1970">
        <v>-0.99983840000000002</v>
      </c>
      <c r="N1970">
        <v>-7.0298840000000001E-3</v>
      </c>
      <c r="O1970">
        <v>1.6553709999999999E-2</v>
      </c>
      <c r="P1970">
        <v>-0.93562820000000002</v>
      </c>
      <c r="Q1970">
        <v>0.34279090000000001</v>
      </c>
      <c r="R1970">
        <v>-8.4230239999999998E-2</v>
      </c>
      <c r="S1970">
        <v>-3.31073</v>
      </c>
      <c r="T1970">
        <v>-0.30658039999999998</v>
      </c>
      <c r="U1970">
        <v>-9.2529299999999995E-2</v>
      </c>
      <c r="V1970">
        <v>-0.10056660000000001</v>
      </c>
      <c r="W1970">
        <v>0.34910279999999999</v>
      </c>
      <c r="X1970">
        <v>0.93167250000000001</v>
      </c>
      <c r="Y1970">
        <v>-4.4217319999999997E-2</v>
      </c>
      <c r="Z1970">
        <v>-3.6116080000000001E-3</v>
      </c>
      <c r="AA1970">
        <v>0.9990154</v>
      </c>
      <c r="AB1970">
        <v>44</v>
      </c>
      <c r="AC1970">
        <v>-0.60460000000000402</v>
      </c>
      <c r="AD1970">
        <v>-9.7329999999999903E-2</v>
      </c>
      <c r="AE1970">
        <v>-3.6299999999982901E-2</v>
      </c>
      <c r="AF1970">
        <v>-4.5138077185867702E-2</v>
      </c>
      <c r="AG1970">
        <v>-9.7329999999999903E-2</v>
      </c>
      <c r="AH1970">
        <v>0.58871429741810799</v>
      </c>
      <c r="AI1970">
        <v>99.360603232180594</v>
      </c>
      <c r="AJ1970">
        <v>94.384420945033597</v>
      </c>
      <c r="AK1970">
        <v>0.59841047692744598</v>
      </c>
      <c r="AL1970">
        <v>69.567552390466901</v>
      </c>
      <c r="AM1970">
        <v>96.160768007495193</v>
      </c>
      <c r="AN1970">
        <v>1.0000000266298199</v>
      </c>
    </row>
    <row r="1971" spans="1:40" x14ac:dyDescent="0.25">
      <c r="A1971" t="str">
        <f>"20190304164408801"</f>
        <v>20190304164408801</v>
      </c>
      <c r="B1971" t="str">
        <f>"1551689048791921"</f>
        <v>1551689048791921</v>
      </c>
      <c r="C1971" t="s">
        <v>40</v>
      </c>
      <c r="D1971">
        <v>4.462853</v>
      </c>
      <c r="E1971">
        <v>0.53148139999999999</v>
      </c>
      <c r="F1971" t="s">
        <v>41</v>
      </c>
      <c r="G1971">
        <v>-272.5804</v>
      </c>
      <c r="H1971">
        <v>1.0178039999999999</v>
      </c>
      <c r="I1971">
        <v>284.20819999999998</v>
      </c>
      <c r="J1971">
        <v>-272.00850000000003</v>
      </c>
      <c r="K1971">
        <v>1.1106849999999999</v>
      </c>
      <c r="L1971">
        <v>284.24200000000002</v>
      </c>
      <c r="M1971">
        <v>-0.99985769999999996</v>
      </c>
      <c r="N1971">
        <v>-7.0553739999999997E-3</v>
      </c>
      <c r="O1971">
        <v>1.5329819999999999E-2</v>
      </c>
      <c r="P1971">
        <v>-0.9358786</v>
      </c>
      <c r="Q1971">
        <v>0.342366</v>
      </c>
      <c r="R1971">
        <v>-8.3168569999999997E-2</v>
      </c>
      <c r="S1971">
        <v>-3.3106990000000001</v>
      </c>
      <c r="T1971">
        <v>-0.30713370000000001</v>
      </c>
      <c r="U1971">
        <v>-9.1705320000000007E-2</v>
      </c>
      <c r="V1971">
        <v>-9.8470870000000002E-2</v>
      </c>
      <c r="W1971">
        <v>0.34868009999999999</v>
      </c>
      <c r="X1971">
        <v>0.93205459999999996</v>
      </c>
      <c r="Y1971">
        <v>-4.2756490000000001E-2</v>
      </c>
      <c r="Z1971">
        <v>-3.4407869999999998E-3</v>
      </c>
      <c r="AA1971">
        <v>0.99907959999999996</v>
      </c>
      <c r="AB1971">
        <v>44</v>
      </c>
      <c r="AC1971">
        <v>-0.57189999999997099</v>
      </c>
      <c r="AD1971">
        <v>-9.2881000000000005E-2</v>
      </c>
      <c r="AE1971">
        <v>-3.3800000000041998E-2</v>
      </c>
      <c r="AF1971">
        <v>-4.1473266522170003E-2</v>
      </c>
      <c r="AG1971">
        <v>-9.2881000000000005E-2</v>
      </c>
      <c r="AH1971">
        <v>0.55668252692072895</v>
      </c>
      <c r="AI1971">
        <v>99.446687877620207</v>
      </c>
      <c r="AJ1971">
        <v>94.260707433962196</v>
      </c>
      <c r="AK1971">
        <v>0.56589959160249204</v>
      </c>
      <c r="AL1971">
        <v>69.593395713615195</v>
      </c>
      <c r="AM1971">
        <v>96.030884131820201</v>
      </c>
      <c r="AN1971">
        <v>1.0000000508778599</v>
      </c>
    </row>
    <row r="1972" spans="1:40" x14ac:dyDescent="0.25">
      <c r="A1972" t="str">
        <f>"20190304164408824"</f>
        <v>20190304164408824</v>
      </c>
      <c r="B1972" t="str">
        <f>"1551689048811441"</f>
        <v>1551689048811441</v>
      </c>
      <c r="C1972" t="s">
        <v>40</v>
      </c>
      <c r="D1972">
        <v>4.4706169999999998</v>
      </c>
      <c r="E1972">
        <v>0.53158019999999995</v>
      </c>
      <c r="F1972" t="s">
        <v>46</v>
      </c>
      <c r="G1972">
        <v>-286.25740000000002</v>
      </c>
      <c r="H1972" s="1">
        <v>5.796481E-6</v>
      </c>
      <c r="I1972">
        <v>283.7978</v>
      </c>
      <c r="J1972">
        <v>-272.44229999999999</v>
      </c>
      <c r="K1972">
        <v>1.1108049999999901</v>
      </c>
      <c r="L1972">
        <v>284.24770000000001</v>
      </c>
      <c r="M1972">
        <v>-0.99987740000000003</v>
      </c>
      <c r="N1972">
        <v>-7.0810029999999998E-3</v>
      </c>
      <c r="O1972">
        <v>1.397703E-2</v>
      </c>
      <c r="P1972">
        <v>-0.93623460000000003</v>
      </c>
      <c r="Q1972">
        <v>0.3414818</v>
      </c>
      <c r="R1972">
        <v>-8.2797289999999996E-2</v>
      </c>
      <c r="S1972">
        <v>-3.2902529999999999</v>
      </c>
      <c r="T1972">
        <v>-0.25647059999999999</v>
      </c>
      <c r="U1972">
        <v>-0.1025696</v>
      </c>
      <c r="V1972">
        <v>-9.6942829999999994E-2</v>
      </c>
      <c r="W1972">
        <v>0.3477981</v>
      </c>
      <c r="X1972">
        <v>0.93254409999999999</v>
      </c>
      <c r="Y1972">
        <v>-4.4942530000000001E-2</v>
      </c>
      <c r="Z1972">
        <v>-2.89675E-3</v>
      </c>
      <c r="AA1972">
        <v>0.99898540000000002</v>
      </c>
      <c r="AB1972">
        <v>44</v>
      </c>
      <c r="AC1972">
        <v>-13.815099999999999</v>
      </c>
      <c r="AD1972">
        <v>-1.11079920351899</v>
      </c>
      <c r="AE1972">
        <v>-0.44990000000001301</v>
      </c>
      <c r="AF1972">
        <v>-0.63882932389290903</v>
      </c>
      <c r="AG1972">
        <v>-1.11079920351899</v>
      </c>
      <c r="AH1972">
        <v>13.718864622429599</v>
      </c>
      <c r="AI1972">
        <v>94.624079946217407</v>
      </c>
      <c r="AJ1972">
        <v>92.666095463606197</v>
      </c>
      <c r="AK1972">
        <v>13.7785784573067</v>
      </c>
      <c r="AL1972">
        <v>69.647303167816403</v>
      </c>
      <c r="AM1972">
        <v>95.934878014287094</v>
      </c>
      <c r="AN1972">
        <v>0.999999964548413</v>
      </c>
    </row>
    <row r="1973" spans="1:40" x14ac:dyDescent="0.25">
      <c r="A1973" t="str">
        <f>"20190304164408845"</f>
        <v>20190304164408845</v>
      </c>
      <c r="B1973" t="str">
        <f>"1551689048841697"</f>
        <v>1551689048841697</v>
      </c>
      <c r="C1973" t="s">
        <v>40</v>
      </c>
      <c r="D1973">
        <v>4.5056139999999996</v>
      </c>
      <c r="E1973">
        <v>0.54410669999999905</v>
      </c>
      <c r="F1973" t="s">
        <v>46</v>
      </c>
      <c r="G1973">
        <v>-286.68799999999999</v>
      </c>
      <c r="H1973" s="1">
        <v>5.6019700000000003E-6</v>
      </c>
      <c r="I1973">
        <v>283.81509999999997</v>
      </c>
      <c r="J1973">
        <v>-272.87970000000001</v>
      </c>
      <c r="K1973">
        <v>1.1109169999999999</v>
      </c>
      <c r="L1973">
        <v>284.25290000000001</v>
      </c>
      <c r="M1973">
        <v>-0.99989669999999997</v>
      </c>
      <c r="N1973">
        <v>-7.1066300000000001E-3</v>
      </c>
      <c r="O1973">
        <v>1.2501709999999999E-2</v>
      </c>
      <c r="P1973">
        <v>-0.93624640000000003</v>
      </c>
      <c r="Q1973">
        <v>0.34139770000000003</v>
      </c>
      <c r="R1973">
        <v>-8.3009490000000005E-2</v>
      </c>
      <c r="S1973">
        <v>-3.2890320000000002</v>
      </c>
      <c r="T1973">
        <v>-0.25645980000000002</v>
      </c>
      <c r="U1973">
        <v>-9.9884029999999999E-2</v>
      </c>
      <c r="V1973">
        <v>-9.5878749999999999E-2</v>
      </c>
      <c r="W1973">
        <v>0.34771410000000003</v>
      </c>
      <c r="X1973">
        <v>0.9326854</v>
      </c>
      <c r="Y1973">
        <v>-4.267613E-2</v>
      </c>
      <c r="Z1973">
        <v>-2.6972839999999999E-3</v>
      </c>
      <c r="AA1973">
        <v>0.99908529999999995</v>
      </c>
      <c r="AB1973">
        <v>44</v>
      </c>
      <c r="AC1973">
        <v>-13.8082999999999</v>
      </c>
      <c r="AD1973">
        <v>-1.1109113980299901</v>
      </c>
      <c r="AE1973">
        <v>-0.43780000000003799</v>
      </c>
      <c r="AF1973">
        <v>-0.60647595708702495</v>
      </c>
      <c r="AG1973">
        <v>-1.1109113980299901</v>
      </c>
      <c r="AH1973">
        <v>13.713077390735901</v>
      </c>
      <c r="AI1973">
        <v>94.626976430106794</v>
      </c>
      <c r="AJ1973">
        <v>92.532318811412296</v>
      </c>
      <c r="AK1973">
        <v>13.7713626321113</v>
      </c>
      <c r="AL1973">
        <v>69.652435940172694</v>
      </c>
      <c r="AM1973">
        <v>95.869308913564794</v>
      </c>
      <c r="AN1973">
        <v>0.99999994270676396</v>
      </c>
    </row>
    <row r="1974" spans="1:40" x14ac:dyDescent="0.25">
      <c r="A1974" t="str">
        <f>"20190304164408870"</f>
        <v>20190304164408870</v>
      </c>
      <c r="B1974" t="str">
        <f>"1551689048862193"</f>
        <v>1551689048862193</v>
      </c>
      <c r="C1974" t="s">
        <v>40</v>
      </c>
      <c r="D1974">
        <v>4.537795</v>
      </c>
      <c r="E1974">
        <v>0.54474899999999904</v>
      </c>
      <c r="F1974" t="s">
        <v>41</v>
      </c>
      <c r="G1974">
        <v>-273.76319999999998</v>
      </c>
      <c r="H1974">
        <v>1.022821</v>
      </c>
      <c r="I1974">
        <v>284.25099999999998</v>
      </c>
      <c r="J1974">
        <v>-273.3492</v>
      </c>
      <c r="K1974">
        <v>1.1110409999999999</v>
      </c>
      <c r="L1974">
        <v>284.25760000000002</v>
      </c>
      <c r="M1974">
        <v>-0.99991609999999997</v>
      </c>
      <c r="N1974">
        <v>-7.1339319999999999E-3</v>
      </c>
      <c r="O1974">
        <v>1.081323E-2</v>
      </c>
      <c r="P1974">
        <v>-0.93607390000000001</v>
      </c>
      <c r="Q1974">
        <v>0.34148410000000001</v>
      </c>
      <c r="R1974">
        <v>-8.4583560000000002E-2</v>
      </c>
      <c r="S1974">
        <v>-3.324554</v>
      </c>
      <c r="T1974">
        <v>-0.33139960000000002</v>
      </c>
      <c r="U1974">
        <v>-6.5612789999999997E-3</v>
      </c>
      <c r="V1974">
        <v>-9.5977889999999996E-2</v>
      </c>
      <c r="W1974">
        <v>0.34779680000000002</v>
      </c>
      <c r="X1974">
        <v>0.93264440000000004</v>
      </c>
      <c r="Y1974">
        <v>-1.2673419999999999E-2</v>
      </c>
      <c r="Z1974">
        <v>-1.673667E-3</v>
      </c>
      <c r="AA1974">
        <v>0.99991830000000004</v>
      </c>
      <c r="AB1974">
        <v>44</v>
      </c>
      <c r="AC1974">
        <v>-0.41399999999998699</v>
      </c>
      <c r="AD1974">
        <v>-8.8219999999999896E-2</v>
      </c>
      <c r="AE1974">
        <v>-6.6000000000485601E-3</v>
      </c>
      <c r="AF1974">
        <v>-1.0595409902591901E-2</v>
      </c>
      <c r="AG1974">
        <v>-8.8219999999999896E-2</v>
      </c>
      <c r="AH1974">
        <v>0.39593053600925499</v>
      </c>
      <c r="AI1974">
        <v>102.556917908904</v>
      </c>
      <c r="AJ1974">
        <v>91.532913884017105</v>
      </c>
      <c r="AK1974">
        <v>0.40577828977851899</v>
      </c>
      <c r="AL1974">
        <v>69.647382794991998</v>
      </c>
      <c r="AM1974">
        <v>95.875591908475101</v>
      </c>
      <c r="AN1974">
        <v>0.99999997315522504</v>
      </c>
    </row>
    <row r="1975" spans="1:40" x14ac:dyDescent="0.25">
      <c r="A1975" t="str">
        <f>"20190304164408892"</f>
        <v>20190304164408892</v>
      </c>
      <c r="B1975" t="str">
        <f>"1551689048881713"</f>
        <v>1551689048881713</v>
      </c>
      <c r="C1975" t="s">
        <v>40</v>
      </c>
      <c r="D1975">
        <v>4.5527699999999998</v>
      </c>
      <c r="E1975">
        <v>0.54480479999999998</v>
      </c>
      <c r="F1975" t="s">
        <v>41</v>
      </c>
      <c r="G1975">
        <v>-274.1628</v>
      </c>
      <c r="H1975">
        <v>1.0299959999999999</v>
      </c>
      <c r="I1975">
        <v>284.25630000000001</v>
      </c>
      <c r="J1975">
        <v>-273.79790000000003</v>
      </c>
      <c r="K1975">
        <v>1.1111500000000001</v>
      </c>
      <c r="L1975">
        <v>284.26139999999998</v>
      </c>
      <c r="M1975">
        <v>-0.99993279999999995</v>
      </c>
      <c r="N1975">
        <v>-7.1594319999999899E-3</v>
      </c>
      <c r="O1975">
        <v>9.1230119999999998E-3</v>
      </c>
      <c r="P1975">
        <v>-0.9358107</v>
      </c>
      <c r="Q1975">
        <v>0.34146989999999999</v>
      </c>
      <c r="R1975">
        <v>-8.7502819999999995E-2</v>
      </c>
      <c r="S1975">
        <v>-3.3252259999999998</v>
      </c>
      <c r="T1975">
        <v>-0.33137549999999999</v>
      </c>
      <c r="U1975">
        <v>-6.0119630000000004E-3</v>
      </c>
      <c r="V1975">
        <v>-9.7404820000000003E-2</v>
      </c>
      <c r="W1975">
        <v>0.34777529999999901</v>
      </c>
      <c r="X1975">
        <v>0.93250449999999996</v>
      </c>
      <c r="Y1975">
        <v>-1.0834669999999999E-2</v>
      </c>
      <c r="Z1975">
        <v>-1.419151E-3</v>
      </c>
      <c r="AA1975">
        <v>0.9999403</v>
      </c>
      <c r="AB1975">
        <v>44</v>
      </c>
      <c r="AC1975">
        <v>-0.36489999999997702</v>
      </c>
      <c r="AD1975">
        <v>-8.1154000000000101E-2</v>
      </c>
      <c r="AE1975">
        <v>-5.0999999999703496E-3</v>
      </c>
      <c r="AF1975">
        <v>-8.0316744789478804E-3</v>
      </c>
      <c r="AG1975">
        <v>-8.1154000000000101E-2</v>
      </c>
      <c r="AH1975">
        <v>0.34764634181779203</v>
      </c>
      <c r="AI1975">
        <v>103.13634663169201</v>
      </c>
      <c r="AJ1975">
        <v>91.323469132982794</v>
      </c>
      <c r="AK1975">
        <v>0.35708326548611702</v>
      </c>
      <c r="AL1975">
        <v>69.648697253341098</v>
      </c>
      <c r="AM1975">
        <v>95.963209314532605</v>
      </c>
      <c r="AN1975">
        <v>1.00000000038478</v>
      </c>
    </row>
    <row r="1976" spans="1:40" x14ac:dyDescent="0.25">
      <c r="A1976" t="str">
        <f>"20190304164408912"</f>
        <v>20190304164408912</v>
      </c>
      <c r="B1976" t="str">
        <f>"1551689048902208"</f>
        <v>1551689048902208</v>
      </c>
      <c r="C1976" t="s">
        <v>40</v>
      </c>
      <c r="D1976">
        <v>4.5673089999999998</v>
      </c>
      <c r="E1976">
        <v>0.5447845</v>
      </c>
      <c r="F1976" t="s">
        <v>41</v>
      </c>
      <c r="G1976">
        <v>-274.5641</v>
      </c>
      <c r="H1976">
        <v>1.0354030000000001</v>
      </c>
      <c r="I1976">
        <v>284.25810000000001</v>
      </c>
      <c r="J1976">
        <v>-274.21199999999999</v>
      </c>
      <c r="K1976">
        <v>1.111243</v>
      </c>
      <c r="L1976">
        <v>284.26420000000002</v>
      </c>
      <c r="M1976">
        <v>-0.99994609999999995</v>
      </c>
      <c r="N1976">
        <v>-7.1827139999999998E-3</v>
      </c>
      <c r="O1976">
        <v>7.5139439999999998E-3</v>
      </c>
      <c r="P1976">
        <v>-0.93561570000000005</v>
      </c>
      <c r="Q1976">
        <v>0.341124599999999</v>
      </c>
      <c r="R1976">
        <v>-9.0871080000000007E-2</v>
      </c>
      <c r="S1976">
        <v>-3.324341</v>
      </c>
      <c r="T1976">
        <v>-0.32886969999999999</v>
      </c>
      <c r="U1976">
        <v>-1.525879E-2</v>
      </c>
      <c r="V1976">
        <v>-9.9338480000000007E-2</v>
      </c>
      <c r="W1976">
        <v>0.34742250000000002</v>
      </c>
      <c r="X1976">
        <v>0.93243200000000004</v>
      </c>
      <c r="Y1976">
        <v>-1.200945E-2</v>
      </c>
      <c r="Z1976">
        <v>-1.3235009999999999E-3</v>
      </c>
      <c r="AA1976">
        <v>0.99992700000000001</v>
      </c>
      <c r="AB1976">
        <v>44</v>
      </c>
      <c r="AC1976">
        <v>-0.35210000000000702</v>
      </c>
      <c r="AD1976">
        <v>-7.5839999999999894E-2</v>
      </c>
      <c r="AE1976">
        <v>-6.1000000000035401E-3</v>
      </c>
      <c r="AF1976">
        <v>-8.3579122678255399E-3</v>
      </c>
      <c r="AG1976">
        <v>-7.5839999999999894E-2</v>
      </c>
      <c r="AH1976">
        <v>0.33644000921831801</v>
      </c>
      <c r="AI1976">
        <v>102.699445464824</v>
      </c>
      <c r="AJ1976">
        <v>91.423060908358494</v>
      </c>
      <c r="AK1976">
        <v>0.34498324611537101</v>
      </c>
      <c r="AL1976">
        <v>69.6702550911602</v>
      </c>
      <c r="AM1976">
        <v>96.081180579365594</v>
      </c>
      <c r="AN1976">
        <v>0.99999998086948005</v>
      </c>
    </row>
    <row r="1977" spans="1:40" x14ac:dyDescent="0.25">
      <c r="A1977" t="str">
        <f>"20190304164408936"</f>
        <v>20190304164408936</v>
      </c>
      <c r="B1977" t="str">
        <f>"1551689048931490"</f>
        <v>1551689048931490</v>
      </c>
      <c r="C1977" t="s">
        <v>40</v>
      </c>
      <c r="D1977">
        <v>4.5897540000000001</v>
      </c>
      <c r="E1977">
        <v>0.54473249999999995</v>
      </c>
      <c r="F1977" t="s">
        <v>41</v>
      </c>
      <c r="G1977">
        <v>-274.96359999999999</v>
      </c>
      <c r="H1977">
        <v>1.037167</v>
      </c>
      <c r="I1977">
        <v>284.25850000000003</v>
      </c>
      <c r="J1977">
        <v>-274.65809999999999</v>
      </c>
      <c r="K1977">
        <v>1.111321</v>
      </c>
      <c r="L1977">
        <v>284.26639999999998</v>
      </c>
      <c r="M1977">
        <v>-0.9999576</v>
      </c>
      <c r="N1977">
        <v>-7.2071180000000002E-3</v>
      </c>
      <c r="O1977">
        <v>5.7558490000000004E-3</v>
      </c>
      <c r="P1977">
        <v>-0.93522240000000001</v>
      </c>
      <c r="Q1977">
        <v>0.34142830000000002</v>
      </c>
      <c r="R1977">
        <v>-9.373252E-2</v>
      </c>
      <c r="S1977">
        <v>-3.3234560000000002</v>
      </c>
      <c r="T1977">
        <v>-0.32799640000000002</v>
      </c>
      <c r="U1977">
        <v>-2.658081E-2</v>
      </c>
      <c r="V1977">
        <v>-0.1006203</v>
      </c>
      <c r="W1977">
        <v>0.34772350000000002</v>
      </c>
      <c r="X1977">
        <v>0.93218239999999997</v>
      </c>
      <c r="Y1977">
        <v>-1.3658119999999999E-2</v>
      </c>
      <c r="Z1977">
        <v>-1.246951E-3</v>
      </c>
      <c r="AA1977">
        <v>0.99990590000000001</v>
      </c>
      <c r="AB1977">
        <v>44</v>
      </c>
      <c r="AC1977">
        <v>-0.305499999999995</v>
      </c>
      <c r="AD1977">
        <v>-7.4153999999999998E-2</v>
      </c>
      <c r="AE1977">
        <v>-7.8999999999496105E-3</v>
      </c>
      <c r="AF1977">
        <v>-9.1212795613839406E-3</v>
      </c>
      <c r="AG1977">
        <v>-7.4153999999999998E-2</v>
      </c>
      <c r="AH1977">
        <v>0.28846508748822502</v>
      </c>
      <c r="AI1977">
        <v>104.40963538838901</v>
      </c>
      <c r="AJ1977">
        <v>91.811091796425103</v>
      </c>
      <c r="AK1977">
        <v>0.29798342262016198</v>
      </c>
      <c r="AL1977">
        <v>69.651863838412595</v>
      </c>
      <c r="AM1977">
        <v>96.160686616637307</v>
      </c>
      <c r="AN1977">
        <v>1.00000005204704</v>
      </c>
    </row>
    <row r="1978" spans="1:40" x14ac:dyDescent="0.25">
      <c r="A1978" t="str">
        <f>"20190304164408958"</f>
        <v>20190304164408958</v>
      </c>
      <c r="B1978" t="str">
        <f>"1551689048951985"</f>
        <v>1551689048951985</v>
      </c>
      <c r="C1978" t="s">
        <v>40</v>
      </c>
      <c r="D1978">
        <v>4.6067239999999998</v>
      </c>
      <c r="E1978">
        <v>0.54478269999999995</v>
      </c>
      <c r="F1978" t="s">
        <v>41</v>
      </c>
      <c r="G1978">
        <v>-275.74349999999998</v>
      </c>
      <c r="H1978">
        <v>1.00424</v>
      </c>
      <c r="I1978">
        <v>284.25360000000001</v>
      </c>
      <c r="J1978">
        <v>-275.12920000000003</v>
      </c>
      <c r="K1978">
        <v>1.1113789999999999</v>
      </c>
      <c r="L1978">
        <v>284.2679</v>
      </c>
      <c r="M1978">
        <v>-0.99996640000000003</v>
      </c>
      <c r="N1978">
        <v>-7.2317450000000004E-3</v>
      </c>
      <c r="O1978">
        <v>3.897551E-3</v>
      </c>
      <c r="P1978">
        <v>-0.93502280000000004</v>
      </c>
      <c r="Q1978">
        <v>0.34133740000000001</v>
      </c>
      <c r="R1978">
        <v>-9.602948E-2</v>
      </c>
      <c r="S1978">
        <v>-3.323547</v>
      </c>
      <c r="T1978">
        <v>-0.32806780000000002</v>
      </c>
      <c r="U1978">
        <v>-3.9642330000000003E-2</v>
      </c>
      <c r="V1978">
        <v>-0.1012282</v>
      </c>
      <c r="W1978">
        <v>0.34763810000000001</v>
      </c>
      <c r="X1978">
        <v>0.93214839999999999</v>
      </c>
      <c r="Y1978">
        <v>-1.5725840000000001E-2</v>
      </c>
      <c r="Z1978">
        <v>-1.186915E-3</v>
      </c>
      <c r="AA1978">
        <v>0.99987570000000003</v>
      </c>
      <c r="AB1978">
        <v>45</v>
      </c>
      <c r="AC1978">
        <v>-0.61429999999995699</v>
      </c>
      <c r="AD1978">
        <v>-0.107139</v>
      </c>
      <c r="AE1978">
        <v>-1.42999999999915E-2</v>
      </c>
      <c r="AF1978">
        <v>-1.6201660076505801E-2</v>
      </c>
      <c r="AG1978">
        <v>-0.107139</v>
      </c>
      <c r="AH1978">
        <v>0.59611659767858705</v>
      </c>
      <c r="AI1978">
        <v>100.18520984648799</v>
      </c>
      <c r="AJ1978">
        <v>91.556840187413698</v>
      </c>
      <c r="AK1978">
        <v>0.60588468963832498</v>
      </c>
      <c r="AL1978">
        <v>69.657081756699</v>
      </c>
      <c r="AM1978">
        <v>96.1978420631105</v>
      </c>
      <c r="AN1978">
        <v>1.0000000183347</v>
      </c>
    </row>
    <row r="1979" spans="1:40" x14ac:dyDescent="0.25">
      <c r="A1979" t="str">
        <f>"20190304164408980"</f>
        <v>20190304164408980</v>
      </c>
      <c r="B1979" t="str">
        <f>"1551689048971508"</f>
        <v>1551689048971508</v>
      </c>
      <c r="C1979" t="s">
        <v>40</v>
      </c>
      <c r="D1979">
        <v>4.6273960000000001</v>
      </c>
      <c r="E1979">
        <v>0.54484149999999998</v>
      </c>
      <c r="F1979" t="s">
        <v>41</v>
      </c>
      <c r="G1979">
        <v>-276.14659999999998</v>
      </c>
      <c r="H1979">
        <v>1.010494</v>
      </c>
      <c r="I1979">
        <v>284.25279999999998</v>
      </c>
      <c r="J1979">
        <v>-275.56360000000001</v>
      </c>
      <c r="K1979">
        <v>1.1114109999999999</v>
      </c>
      <c r="L1979">
        <v>284.26859999999999</v>
      </c>
      <c r="M1979">
        <v>-0.99997130000000001</v>
      </c>
      <c r="N1979">
        <v>-7.2541530000000002E-3</v>
      </c>
      <c r="O1979">
        <v>2.1952809999999999E-3</v>
      </c>
      <c r="P1979">
        <v>-0.93476680000000001</v>
      </c>
      <c r="Q1979">
        <v>0.341636</v>
      </c>
      <c r="R1979">
        <v>-9.7446060000000001E-2</v>
      </c>
      <c r="S1979">
        <v>-3.3237000000000001</v>
      </c>
      <c r="T1979">
        <v>-0.32959769999999999</v>
      </c>
      <c r="U1979">
        <v>-4.9407960000000001E-2</v>
      </c>
      <c r="V1979">
        <v>-0.10108780000000001</v>
      </c>
      <c r="W1979">
        <v>0.34794839999999999</v>
      </c>
      <c r="X1979">
        <v>0.93204779999999998</v>
      </c>
      <c r="Y1979">
        <v>-1.696023E-2</v>
      </c>
      <c r="Z1979">
        <v>-1.1017819999999999E-3</v>
      </c>
      <c r="AA1979">
        <v>0.99985559999999996</v>
      </c>
      <c r="AB1979">
        <v>45</v>
      </c>
      <c r="AC1979">
        <v>-0.58299999999996999</v>
      </c>
      <c r="AD1979">
        <v>-0.10091700000000001</v>
      </c>
      <c r="AE1979">
        <v>-1.5800000000012901E-2</v>
      </c>
      <c r="AF1979">
        <v>-1.6583316025416E-2</v>
      </c>
      <c r="AG1979">
        <v>-0.10091700000000001</v>
      </c>
      <c r="AH1979">
        <v>0.56601655761424996</v>
      </c>
      <c r="AI1979">
        <v>100.104985035624</v>
      </c>
      <c r="AJ1979">
        <v>91.6781881700811</v>
      </c>
      <c r="AK1979">
        <v>0.57518170238011201</v>
      </c>
      <c r="AL1979">
        <v>69.638117965984307</v>
      </c>
      <c r="AM1979">
        <v>96.189975488618302</v>
      </c>
      <c r="AN1979">
        <v>0.99999996692811899</v>
      </c>
    </row>
    <row r="1980" spans="1:40" x14ac:dyDescent="0.25">
      <c r="A1980" t="str">
        <f>"20190304164409001"</f>
        <v>20190304164409001</v>
      </c>
      <c r="B1980" t="str">
        <f>"1551689048992001"</f>
        <v>1551689048992001</v>
      </c>
      <c r="C1980" t="s">
        <v>40</v>
      </c>
      <c r="D1980">
        <v>4.6338929999999996</v>
      </c>
      <c r="E1980">
        <v>0.5448807</v>
      </c>
      <c r="F1980" t="s">
        <v>41</v>
      </c>
      <c r="G1980">
        <v>-276.54899999999998</v>
      </c>
      <c r="H1980">
        <v>1.0138499999999999</v>
      </c>
      <c r="I1980">
        <v>284.2527</v>
      </c>
      <c r="J1980">
        <v>-275.99009999999998</v>
      </c>
      <c r="K1980">
        <v>1.1114299999999999</v>
      </c>
      <c r="L1980">
        <v>284.26859999999999</v>
      </c>
      <c r="M1980">
        <v>-0.99997349999999996</v>
      </c>
      <c r="N1980">
        <v>-7.2759180000000001E-3</v>
      </c>
      <c r="O1980">
        <v>5.5410059999999996E-4</v>
      </c>
      <c r="P1980">
        <v>-0.93459320000000001</v>
      </c>
      <c r="Q1980">
        <v>0.34186609999999901</v>
      </c>
      <c r="R1980">
        <v>-9.8302230000000004E-2</v>
      </c>
      <c r="S1980">
        <v>-3.3240660000000002</v>
      </c>
      <c r="T1980">
        <v>-0.32936470000000001</v>
      </c>
      <c r="U1980">
        <v>-5.4443360000000003E-2</v>
      </c>
      <c r="V1980">
        <v>-0.1004308</v>
      </c>
      <c r="W1980">
        <v>0.34819640000000002</v>
      </c>
      <c r="X1980">
        <v>0.93202629999999997</v>
      </c>
      <c r="Y1980">
        <v>-1.6839529999999998E-2</v>
      </c>
      <c r="Z1980">
        <v>-9.4434819999999998E-4</v>
      </c>
      <c r="AA1980">
        <v>0.99985780000000002</v>
      </c>
      <c r="AB1980">
        <v>45</v>
      </c>
      <c r="AC1980">
        <v>-0.55890000000005102</v>
      </c>
      <c r="AD1980">
        <v>-9.758E-2</v>
      </c>
      <c r="AE1980">
        <v>-1.5899999999987799E-2</v>
      </c>
      <c r="AF1980">
        <v>-1.5730570089432599E-2</v>
      </c>
      <c r="AG1980">
        <v>-9.758E-2</v>
      </c>
      <c r="AH1980">
        <v>0.54237152595167104</v>
      </c>
      <c r="AI1980">
        <v>100.194980149282</v>
      </c>
      <c r="AJ1980">
        <v>91.661301596808002</v>
      </c>
      <c r="AK1980">
        <v>0.55130407163241801</v>
      </c>
      <c r="AL1980">
        <v>69.622962592909204</v>
      </c>
      <c r="AM1980">
        <v>96.150195057338493</v>
      </c>
      <c r="AN1980">
        <v>1.00000005122664</v>
      </c>
    </row>
    <row r="1981" spans="1:40" x14ac:dyDescent="0.25">
      <c r="A1981" t="str">
        <f>"20190304164409025"</f>
        <v>20190304164409025</v>
      </c>
      <c r="B1981" t="str">
        <f>"1551689049022257"</f>
        <v>1551689049022257</v>
      </c>
      <c r="C1981" t="s">
        <v>40</v>
      </c>
      <c r="D1981">
        <v>4.6424329999999996</v>
      </c>
      <c r="E1981">
        <v>0.54497240000000002</v>
      </c>
      <c r="F1981" t="s">
        <v>41</v>
      </c>
      <c r="G1981">
        <v>-276.95179999999999</v>
      </c>
      <c r="H1981">
        <v>1.0164580000000001</v>
      </c>
      <c r="I1981">
        <v>284.25259999999997</v>
      </c>
      <c r="J1981">
        <v>-276.45240000000001</v>
      </c>
      <c r="K1981">
        <v>1.111434</v>
      </c>
      <c r="L1981">
        <v>284.26780000000002</v>
      </c>
      <c r="M1981">
        <v>-0.99997290000000005</v>
      </c>
      <c r="N1981">
        <v>-7.2990779999999996E-3</v>
      </c>
      <c r="O1981">
        <v>-1.1668710000000001E-3</v>
      </c>
      <c r="P1981">
        <v>-0.93452880000000005</v>
      </c>
      <c r="Q1981">
        <v>0.34190720000000002</v>
      </c>
      <c r="R1981">
        <v>-9.8772180000000001E-2</v>
      </c>
      <c r="S1981">
        <v>-3.3242189999999998</v>
      </c>
      <c r="T1981">
        <v>-0.32833410000000002</v>
      </c>
      <c r="U1981">
        <v>-5.5328370000000002E-2</v>
      </c>
      <c r="V1981">
        <v>-9.9295629999999996E-2</v>
      </c>
      <c r="W1981">
        <v>0.34826390000000002</v>
      </c>
      <c r="X1981">
        <v>0.93212260000000002</v>
      </c>
      <c r="Y1981">
        <v>-1.5399360000000001E-2</v>
      </c>
      <c r="Z1981">
        <v>-7.0848669999999995E-4</v>
      </c>
      <c r="AA1981">
        <v>0.99988109999999997</v>
      </c>
      <c r="AB1981">
        <v>45</v>
      </c>
      <c r="AC1981">
        <v>-0.49939999999998003</v>
      </c>
      <c r="AD1981">
        <v>-9.4975999999999894E-2</v>
      </c>
      <c r="AE1981">
        <v>-1.52000000000498E-2</v>
      </c>
      <c r="AF1981">
        <v>-1.41074650664803E-2</v>
      </c>
      <c r="AG1981">
        <v>-9.4975999999999894E-2</v>
      </c>
      <c r="AH1981">
        <v>0.482000296982873</v>
      </c>
      <c r="AI1981">
        <v>101.14241989909399</v>
      </c>
      <c r="AJ1981">
        <v>91.676487591475706</v>
      </c>
      <c r="AK1981">
        <v>0.491471003659605</v>
      </c>
      <c r="AL1981">
        <v>69.618834823088406</v>
      </c>
      <c r="AM1981">
        <v>96.080579636267302</v>
      </c>
      <c r="AN1981">
        <v>0.99999995380553197</v>
      </c>
    </row>
    <row r="1982" spans="1:40" x14ac:dyDescent="0.25">
      <c r="A1982" t="str">
        <f>"20190304164409048"</f>
        <v>20190304164409048</v>
      </c>
      <c r="B1982" t="str">
        <f>"1551689049041778"</f>
        <v>1551689049041778</v>
      </c>
      <c r="C1982" t="s">
        <v>40</v>
      </c>
      <c r="D1982">
        <v>4.6572870000000002</v>
      </c>
      <c r="E1982">
        <v>0.54506049999999995</v>
      </c>
      <c r="F1982" t="s">
        <v>41</v>
      </c>
      <c r="G1982">
        <v>-277.35669999999999</v>
      </c>
      <c r="H1982">
        <v>1.0216590000000001</v>
      </c>
      <c r="I1982">
        <v>284.2525</v>
      </c>
      <c r="J1982">
        <v>-276.92259999999999</v>
      </c>
      <c r="K1982">
        <v>1.1114189999999999</v>
      </c>
      <c r="L1982">
        <v>284.2663</v>
      </c>
      <c r="M1982">
        <v>-0.9999692</v>
      </c>
      <c r="N1982">
        <v>-7.32226699999999E-3</v>
      </c>
      <c r="O1982">
        <v>-2.836383E-3</v>
      </c>
      <c r="P1982">
        <v>-0.93450960000000005</v>
      </c>
      <c r="Q1982">
        <v>0.34201569999999998</v>
      </c>
      <c r="R1982">
        <v>-9.8575910000000003E-2</v>
      </c>
      <c r="S1982">
        <v>-3.3250120000000001</v>
      </c>
      <c r="T1982">
        <v>-0.33029439999999999</v>
      </c>
      <c r="U1982">
        <v>-5.6823730000000003E-2</v>
      </c>
      <c r="V1982">
        <v>-9.7524459999999993E-2</v>
      </c>
      <c r="W1982">
        <v>0.34840789999999999</v>
      </c>
      <c r="X1982">
        <v>0.93225590000000003</v>
      </c>
      <c r="Y1982">
        <v>-1.418816E-2</v>
      </c>
      <c r="Z1982">
        <v>-4.9468370000000002E-4</v>
      </c>
      <c r="AA1982">
        <v>0.99989919999999999</v>
      </c>
      <c r="AB1982">
        <v>45</v>
      </c>
      <c r="AC1982">
        <v>-0.43409999999999999</v>
      </c>
      <c r="AD1982">
        <v>-8.9760000000000006E-2</v>
      </c>
      <c r="AE1982">
        <v>-1.3800000000003299E-2</v>
      </c>
      <c r="AF1982">
        <v>-1.20537987282232E-2</v>
      </c>
      <c r="AG1982">
        <v>-8.9760000000000006E-2</v>
      </c>
      <c r="AH1982">
        <v>0.41635417822703003</v>
      </c>
      <c r="AI1982">
        <v>102.161007280098</v>
      </c>
      <c r="AJ1982">
        <v>91.658297133011303</v>
      </c>
      <c r="AK1982">
        <v>0.42609031130839697</v>
      </c>
      <c r="AL1982">
        <v>69.610035529778898</v>
      </c>
      <c r="AM1982">
        <v>95.972061519287607</v>
      </c>
      <c r="AN1982">
        <v>1.0000000740827499</v>
      </c>
    </row>
    <row r="1983" spans="1:40" x14ac:dyDescent="0.25">
      <c r="A1983" t="str">
        <f>"20190304164409070"</f>
        <v>20190304164409070</v>
      </c>
      <c r="B1983" t="str">
        <f>"1551689049062273"</f>
        <v>1551689049062273</v>
      </c>
      <c r="C1983" t="s">
        <v>40</v>
      </c>
      <c r="D1983">
        <v>4.6837479999999996</v>
      </c>
      <c r="E1983">
        <v>0.54513519999999904</v>
      </c>
      <c r="F1983" t="s">
        <v>41</v>
      </c>
      <c r="G1983">
        <v>-277.76260000000002</v>
      </c>
      <c r="H1983">
        <v>1.027692</v>
      </c>
      <c r="I1983">
        <v>284.25209999999998</v>
      </c>
      <c r="J1983">
        <v>-277.3639</v>
      </c>
      <c r="K1983">
        <v>1.1113789999999999</v>
      </c>
      <c r="L1983">
        <v>284.26420000000002</v>
      </c>
      <c r="M1983">
        <v>-0.99996390000000002</v>
      </c>
      <c r="N1983">
        <v>-7.3437679999999997E-3</v>
      </c>
      <c r="O1983">
        <v>-4.3115310000000004E-3</v>
      </c>
      <c r="P1983">
        <v>-0.93468439999999997</v>
      </c>
      <c r="Q1983">
        <v>0.34163680000000002</v>
      </c>
      <c r="R1983">
        <v>-9.8233940000000006E-2</v>
      </c>
      <c r="S1983">
        <v>-3.3255919999999999</v>
      </c>
      <c r="T1983">
        <v>-0.33165609999999901</v>
      </c>
      <c r="U1983">
        <v>-5.706787E-2</v>
      </c>
      <c r="V1983">
        <v>-9.5769290000000007E-2</v>
      </c>
      <c r="W1983">
        <v>0.34806769999999998</v>
      </c>
      <c r="X1983">
        <v>0.93256479999999997</v>
      </c>
      <c r="Y1983">
        <v>-1.2796709999999999E-2</v>
      </c>
      <c r="Z1983">
        <v>-2.8629620000000003E-4</v>
      </c>
      <c r="AA1983">
        <v>0.99991810000000003</v>
      </c>
      <c r="AB1983">
        <v>45</v>
      </c>
      <c r="AC1983">
        <v>-0.39870000000001898</v>
      </c>
      <c r="AD1983">
        <v>-8.3686999999999998E-2</v>
      </c>
      <c r="AE1983">
        <v>-1.2100000000032101E-2</v>
      </c>
      <c r="AF1983">
        <v>-9.9431625575498398E-3</v>
      </c>
      <c r="AG1983">
        <v>-8.3686999999999998E-2</v>
      </c>
      <c r="AH1983">
        <v>0.38193663355107699</v>
      </c>
      <c r="AI1983">
        <v>102.35483666306099</v>
      </c>
      <c r="AJ1983">
        <v>91.491275116715997</v>
      </c>
      <c r="AK1983">
        <v>0.39112398609517102</v>
      </c>
      <c r="AL1983">
        <v>69.630827385106699</v>
      </c>
      <c r="AM1983">
        <v>95.863407795740898</v>
      </c>
      <c r="AN1983">
        <v>0.99999999344471702</v>
      </c>
    </row>
    <row r="1984" spans="1:40" x14ac:dyDescent="0.25">
      <c r="A1984" t="str">
        <f>"20190304164409092"</f>
        <v>20190304164409092</v>
      </c>
      <c r="B1984" t="str">
        <f>"1551689049081793"</f>
        <v>1551689049081793</v>
      </c>
      <c r="C1984" t="s">
        <v>40</v>
      </c>
      <c r="D1984">
        <v>4.6914449999999999</v>
      </c>
      <c r="E1984">
        <v>0.54521350000000002</v>
      </c>
      <c r="F1984" t="s">
        <v>41</v>
      </c>
      <c r="G1984">
        <v>-278.16800000000001</v>
      </c>
      <c r="H1984">
        <v>1.0306109999999999</v>
      </c>
      <c r="I1984">
        <v>284.25080000000003</v>
      </c>
      <c r="J1984">
        <v>-277.82060000000001</v>
      </c>
      <c r="K1984">
        <v>1.1113090000000001</v>
      </c>
      <c r="L1984">
        <v>284.26139999999998</v>
      </c>
      <c r="M1984">
        <v>-0.99995650000000003</v>
      </c>
      <c r="N1984">
        <v>-7.3658859999999899E-3</v>
      </c>
      <c r="O1984">
        <v>-5.7304599999999997E-3</v>
      </c>
      <c r="P1984">
        <v>-0.93483059999999996</v>
      </c>
      <c r="Q1984">
        <v>0.3411032</v>
      </c>
      <c r="R1984">
        <v>-9.8693859999999994E-2</v>
      </c>
      <c r="S1984">
        <v>-3.3258969999999999</v>
      </c>
      <c r="T1984">
        <v>-0.33439619999999998</v>
      </c>
      <c r="U1984">
        <v>-5.673218E-2</v>
      </c>
      <c r="V1984">
        <v>-9.4849039999999996E-2</v>
      </c>
      <c r="W1984">
        <v>0.3475741</v>
      </c>
      <c r="X1984">
        <v>0.93284290000000003</v>
      </c>
      <c r="Y1984">
        <v>-1.1288879999999999E-2</v>
      </c>
      <c r="Z1984" s="1">
        <v>-7.5185000000000006E-5</v>
      </c>
      <c r="AA1984">
        <v>0.9999363</v>
      </c>
      <c r="AB1984">
        <v>45</v>
      </c>
      <c r="AC1984">
        <v>-0.34739999999999299</v>
      </c>
      <c r="AD1984">
        <v>-8.0697999999999895E-2</v>
      </c>
      <c r="AE1984">
        <v>-1.05999999999539E-2</v>
      </c>
      <c r="AF1984">
        <v>-8.1686461805157602E-3</v>
      </c>
      <c r="AG1984">
        <v>-8.0697999999999895E-2</v>
      </c>
      <c r="AH1984">
        <v>0.32968218305278402</v>
      </c>
      <c r="AI1984">
        <v>103.75008584533801</v>
      </c>
      <c r="AJ1984">
        <v>91.419346367254704</v>
      </c>
      <c r="AK1984">
        <v>0.33951323362554198</v>
      </c>
      <c r="AL1984">
        <v>69.660991869270703</v>
      </c>
      <c r="AM1984">
        <v>95.805733584604894</v>
      </c>
      <c r="AN1984">
        <v>0.99999998573006998</v>
      </c>
    </row>
    <row r="1985" spans="1:40" x14ac:dyDescent="0.25">
      <c r="A1985" t="str">
        <f>"20190304164409114"</f>
        <v>20190304164409114</v>
      </c>
      <c r="B1985" t="str">
        <f>"1551689049112048"</f>
        <v>1551689049112048</v>
      </c>
      <c r="C1985" t="s">
        <v>40</v>
      </c>
      <c r="D1985">
        <v>4.718102</v>
      </c>
      <c r="E1985">
        <v>0.5452939</v>
      </c>
      <c r="F1985" t="s">
        <v>41</v>
      </c>
      <c r="G1985">
        <v>-278.57549999999998</v>
      </c>
      <c r="H1985">
        <v>1.034832</v>
      </c>
      <c r="I1985">
        <v>284.24869999999999</v>
      </c>
      <c r="J1985">
        <v>-278.26389999999998</v>
      </c>
      <c r="K1985">
        <v>1.111235</v>
      </c>
      <c r="L1985">
        <v>284.25819999999999</v>
      </c>
      <c r="M1985">
        <v>-0.99994830000000001</v>
      </c>
      <c r="N1985">
        <v>-7.38734599999999E-3</v>
      </c>
      <c r="O1985">
        <v>-6.9869149999999998E-3</v>
      </c>
      <c r="P1985">
        <v>-0.93482209999999999</v>
      </c>
      <c r="Q1985">
        <v>0.3413465</v>
      </c>
      <c r="R1985">
        <v>-9.792911E-2</v>
      </c>
      <c r="S1985">
        <v>-3.3261409999999998</v>
      </c>
      <c r="T1985">
        <v>-0.33708329999999997</v>
      </c>
      <c r="U1985">
        <v>-5.6976319999999997E-2</v>
      </c>
      <c r="V1985">
        <v>-9.2845839999999999E-2</v>
      </c>
      <c r="W1985">
        <v>0.3478639</v>
      </c>
      <c r="X1985">
        <v>0.9329364</v>
      </c>
      <c r="Y1985">
        <v>-1.0116E-2</v>
      </c>
      <c r="Z1985">
        <v>1.059936E-4</v>
      </c>
      <c r="AA1985">
        <v>0.99994879999999997</v>
      </c>
      <c r="AB1985">
        <v>45</v>
      </c>
      <c r="AC1985">
        <v>-0.31159999999999799</v>
      </c>
      <c r="AD1985">
        <v>-7.6402999999999999E-2</v>
      </c>
      <c r="AE1985">
        <v>-9.5000000000027198E-3</v>
      </c>
      <c r="AF1985">
        <v>-6.90767553294534E-3</v>
      </c>
      <c r="AG1985">
        <v>-7.6402999999999999E-2</v>
      </c>
      <c r="AH1985">
        <v>0.29399964398344702</v>
      </c>
      <c r="AI1985">
        <v>104.56363043591899</v>
      </c>
      <c r="AJ1985">
        <v>91.345946696286703</v>
      </c>
      <c r="AK1985">
        <v>0.30384358649255999</v>
      </c>
      <c r="AL1985">
        <v>69.643282441547498</v>
      </c>
      <c r="AM1985">
        <v>95.683362744025104</v>
      </c>
      <c r="AN1985">
        <v>0.99999998468673701</v>
      </c>
    </row>
    <row r="1986" spans="1:40" x14ac:dyDescent="0.25">
      <c r="A1986" t="str">
        <f>"20190304164409126"</f>
        <v>20190304164409126</v>
      </c>
      <c r="B1986" t="str">
        <f>"1551689049121809"</f>
        <v>1551689049121809</v>
      </c>
      <c r="C1986" t="s">
        <v>40</v>
      </c>
      <c r="D1986">
        <v>4.6947130000000001</v>
      </c>
      <c r="E1986">
        <v>0.5453057</v>
      </c>
      <c r="F1986" t="s">
        <v>41</v>
      </c>
      <c r="G1986">
        <v>-279.36950000000002</v>
      </c>
      <c r="H1986">
        <v>0.99900049999999996</v>
      </c>
      <c r="I1986">
        <v>284.24029999999999</v>
      </c>
      <c r="J1986">
        <v>-278.52640000000002</v>
      </c>
      <c r="K1986">
        <v>1.1111789999999999</v>
      </c>
      <c r="L1986">
        <v>284.25599999999997</v>
      </c>
      <c r="M1986">
        <v>-0.99994340000000004</v>
      </c>
      <c r="N1986">
        <v>-7.4000480000000002E-3</v>
      </c>
      <c r="O1986">
        <v>-7.6597549999999999E-3</v>
      </c>
      <c r="P1986">
        <v>-0.93504529999999997</v>
      </c>
      <c r="Q1986">
        <v>0.34089829999999999</v>
      </c>
      <c r="R1986">
        <v>-9.7359310000000004E-2</v>
      </c>
      <c r="S1986">
        <v>-3.3268430000000002</v>
      </c>
      <c r="T1986">
        <v>-0.33779619999999999</v>
      </c>
      <c r="U1986">
        <v>-5.4046629999999998E-2</v>
      </c>
      <c r="V1986">
        <v>-9.1597479999999995E-2</v>
      </c>
      <c r="W1986">
        <v>0.34744720000000001</v>
      </c>
      <c r="X1986">
        <v>0.93321509999999996</v>
      </c>
      <c r="Y1986">
        <v>-8.5706069999999992E-3</v>
      </c>
      <c r="Z1986">
        <v>2.5336400000000001E-4</v>
      </c>
      <c r="AA1986">
        <v>0.99996320000000005</v>
      </c>
      <c r="AB1986">
        <v>45</v>
      </c>
      <c r="AC1986">
        <v>-0.84309999999999197</v>
      </c>
      <c r="AD1986">
        <v>-0.1121785</v>
      </c>
      <c r="AE1986">
        <v>-1.5699999999981101E-2</v>
      </c>
      <c r="AF1986">
        <v>-9.0807183973662907E-3</v>
      </c>
      <c r="AG1986">
        <v>-0.1121785</v>
      </c>
      <c r="AH1986">
        <v>0.82853261841785997</v>
      </c>
      <c r="AI1986">
        <v>97.710170099088302</v>
      </c>
      <c r="AJ1986">
        <v>90.627936663548695</v>
      </c>
      <c r="AK1986">
        <v>0.83614159990471604</v>
      </c>
      <c r="AL1986">
        <v>69.668747101015995</v>
      </c>
      <c r="AM1986">
        <v>95.605773348684096</v>
      </c>
      <c r="AN1986">
        <v>1.00000003899909</v>
      </c>
    </row>
    <row r="1987" spans="1:40" x14ac:dyDescent="0.25">
      <c r="A1987" t="str">
        <f>"20190304164409149"</f>
        <v>20190304164409149</v>
      </c>
      <c r="B1987" t="str">
        <f>"1551689049142305"</f>
        <v>1551689049142305</v>
      </c>
      <c r="C1987" t="s">
        <v>40</v>
      </c>
      <c r="D1987">
        <v>4.7230879999999997</v>
      </c>
      <c r="E1987">
        <v>0.54533259999999995</v>
      </c>
      <c r="F1987" t="s">
        <v>41</v>
      </c>
      <c r="G1987">
        <v>-279.38130000000001</v>
      </c>
      <c r="H1987">
        <v>1.023944</v>
      </c>
      <c r="I1987">
        <v>284.24279999999999</v>
      </c>
      <c r="J1987">
        <v>-278.96359999999999</v>
      </c>
      <c r="K1987">
        <v>1.111086</v>
      </c>
      <c r="L1987">
        <v>284.25209999999998</v>
      </c>
      <c r="M1987">
        <v>-0.99993460000000001</v>
      </c>
      <c r="N1987">
        <v>-7.4216400000000002E-3</v>
      </c>
      <c r="O1987">
        <v>-8.7119239999999994E-3</v>
      </c>
      <c r="P1987">
        <v>-0.93526969999999998</v>
      </c>
      <c r="Q1987">
        <v>0.3406151</v>
      </c>
      <c r="R1987">
        <v>-9.6186960000000002E-2</v>
      </c>
      <c r="S1987">
        <v>-3.326813</v>
      </c>
      <c r="T1987">
        <v>-0.33951130000000002</v>
      </c>
      <c r="U1987">
        <v>-5.181885E-2</v>
      </c>
      <c r="V1987">
        <v>-8.9359980000000006E-2</v>
      </c>
      <c r="W1987">
        <v>0.34721459999999998</v>
      </c>
      <c r="X1987">
        <v>0.93351850000000003</v>
      </c>
      <c r="Y1987">
        <v>-6.8631889999999996E-3</v>
      </c>
      <c r="Z1987">
        <v>4.4738109999999998E-4</v>
      </c>
      <c r="AA1987">
        <v>0.99997630000000004</v>
      </c>
      <c r="AB1987">
        <v>45</v>
      </c>
      <c r="AC1987">
        <v>-0.417700000000024</v>
      </c>
      <c r="AD1987">
        <v>-8.7141999999999997E-2</v>
      </c>
      <c r="AE1987">
        <v>-9.2999999999960892E-3</v>
      </c>
      <c r="AF1987">
        <v>-5.4245948887173502E-3</v>
      </c>
      <c r="AG1987">
        <v>-8.7141999999999997E-2</v>
      </c>
      <c r="AH1987">
        <v>0.40034911778003901</v>
      </c>
      <c r="AI1987">
        <v>102.278655206135</v>
      </c>
      <c r="AJ1987">
        <v>90.776290892936501</v>
      </c>
      <c r="AK1987">
        <v>0.40975916158270598</v>
      </c>
      <c r="AL1987">
        <v>69.682957787483403</v>
      </c>
      <c r="AM1987">
        <v>95.467911993629599</v>
      </c>
      <c r="AN1987">
        <v>0.99999998716050498</v>
      </c>
    </row>
    <row r="1988" spans="1:40" x14ac:dyDescent="0.25">
      <c r="A1988" t="str">
        <f>"20190304164409170"</f>
        <v>20190304164409170</v>
      </c>
      <c r="B1988" t="str">
        <f>"1551689049161826"</f>
        <v>1551689049161826</v>
      </c>
      <c r="C1988" t="s">
        <v>40</v>
      </c>
      <c r="D1988">
        <v>4.7539989999999896</v>
      </c>
      <c r="E1988">
        <v>0.54538880000000001</v>
      </c>
      <c r="F1988" t="s">
        <v>41</v>
      </c>
      <c r="G1988">
        <v>-279.78960000000001</v>
      </c>
      <c r="H1988">
        <v>1.026346</v>
      </c>
      <c r="I1988">
        <v>284.24040000000002</v>
      </c>
      <c r="J1988">
        <v>-279.40120000000002</v>
      </c>
      <c r="K1988">
        <v>1.1109800000000001</v>
      </c>
      <c r="L1988">
        <v>284.24779999999998</v>
      </c>
      <c r="M1988">
        <v>-0.99992599999999998</v>
      </c>
      <c r="N1988">
        <v>-7.4435150000000004E-3</v>
      </c>
      <c r="O1988">
        <v>-9.6435789999999993E-3</v>
      </c>
      <c r="P1988">
        <v>-0.93540409999999996</v>
      </c>
      <c r="Q1988">
        <v>0.34080339999999998</v>
      </c>
      <c r="R1988">
        <v>-9.4193399999999997E-2</v>
      </c>
      <c r="S1988">
        <v>-3.3270870000000001</v>
      </c>
      <c r="T1988">
        <v>-0.34160859999999998</v>
      </c>
      <c r="U1988">
        <v>-4.8461909999999997E-2</v>
      </c>
      <c r="V1988">
        <v>-8.6407120000000004E-2</v>
      </c>
      <c r="W1988">
        <v>0.34745740000000003</v>
      </c>
      <c r="X1988">
        <v>0.93370609999999998</v>
      </c>
      <c r="Y1988">
        <v>-4.9365879999999996E-3</v>
      </c>
      <c r="Z1988">
        <v>6.4469059999999897E-4</v>
      </c>
      <c r="AA1988">
        <v>0.99998759999999998</v>
      </c>
      <c r="AB1988">
        <v>45</v>
      </c>
      <c r="AC1988">
        <v>-0.38839999999998998</v>
      </c>
      <c r="AD1988">
        <v>-8.4633999999999807E-2</v>
      </c>
      <c r="AE1988">
        <v>-7.3999999999614296E-3</v>
      </c>
      <c r="AF1988">
        <v>-3.4884093727771599E-3</v>
      </c>
      <c r="AG1988">
        <v>-8.4633999999999807E-2</v>
      </c>
      <c r="AH1988">
        <v>0.37085085910096299</v>
      </c>
      <c r="AI1988">
        <v>102.85508217684</v>
      </c>
      <c r="AJ1988">
        <v>90.538936973352307</v>
      </c>
      <c r="AK1988">
        <v>0.38040168592144002</v>
      </c>
      <c r="AL1988">
        <v>69.668122138725593</v>
      </c>
      <c r="AM1988">
        <v>95.287212572336003</v>
      </c>
      <c r="AN1988">
        <v>0.99999995818933096</v>
      </c>
    </row>
    <row r="1989" spans="1:40" x14ac:dyDescent="0.25">
      <c r="A1989" t="str">
        <f>"20190304164409183"</f>
        <v>20190304164409183</v>
      </c>
      <c r="B1989" t="str">
        <f>"1551689049171585"</f>
        <v>1551689049171585</v>
      </c>
      <c r="C1989" t="s">
        <v>40</v>
      </c>
      <c r="D1989">
        <v>4.7486300000000004</v>
      </c>
      <c r="E1989">
        <v>0.54541479999999998</v>
      </c>
      <c r="F1989" t="s">
        <v>41</v>
      </c>
      <c r="G1989">
        <v>-280.19869999999997</v>
      </c>
      <c r="H1989">
        <v>1.029134</v>
      </c>
      <c r="I1989">
        <v>284.23809999999997</v>
      </c>
      <c r="J1989">
        <v>-279.65210000000002</v>
      </c>
      <c r="K1989">
        <v>1.1109089999999999</v>
      </c>
      <c r="L1989">
        <v>284.24520000000001</v>
      </c>
      <c r="M1989">
        <v>-0.99992110000000001</v>
      </c>
      <c r="N1989">
        <v>-7.4559659999999996E-3</v>
      </c>
      <c r="O1989">
        <v>-1.0107069999999999E-2</v>
      </c>
      <c r="P1989">
        <v>-0.93554159999999997</v>
      </c>
      <c r="Q1989">
        <v>0.34066639999999998</v>
      </c>
      <c r="R1989">
        <v>-9.3320860000000005E-2</v>
      </c>
      <c r="S1989">
        <v>-3.327515</v>
      </c>
      <c r="T1989">
        <v>-0.34156120000000001</v>
      </c>
      <c r="U1989">
        <v>-4.0893550000000001E-2</v>
      </c>
      <c r="V1989">
        <v>-8.5041969999999995E-2</v>
      </c>
      <c r="W1989">
        <v>0.34735139999999998</v>
      </c>
      <c r="X1989">
        <v>0.93387089999999995</v>
      </c>
      <c r="Y1989">
        <v>-2.2145480000000002E-3</v>
      </c>
      <c r="Z1989">
        <v>8.3786850000000003E-4</v>
      </c>
      <c r="AA1989">
        <v>0.99999720000000003</v>
      </c>
      <c r="AB1989">
        <v>46</v>
      </c>
      <c r="AC1989">
        <v>-0.54659999999995501</v>
      </c>
      <c r="AD1989">
        <v>-8.1774999999999903E-2</v>
      </c>
      <c r="AE1989">
        <v>-7.1000000000367401E-3</v>
      </c>
      <c r="AF1989">
        <v>-1.54048559765005E-3</v>
      </c>
      <c r="AG1989">
        <v>-8.1774999999999903E-2</v>
      </c>
      <c r="AH1989">
        <v>0.53467860234713005</v>
      </c>
      <c r="AI1989">
        <v>98.695532836940799</v>
      </c>
      <c r="AJ1989">
        <v>90.165076886442705</v>
      </c>
      <c r="AK1989">
        <v>0.54089807868835804</v>
      </c>
      <c r="AL1989">
        <v>69.674599670806202</v>
      </c>
      <c r="AM1989">
        <v>95.203228650340094</v>
      </c>
      <c r="AN1989">
        <v>0.99999999480512503</v>
      </c>
    </row>
    <row r="1990" spans="1:40" x14ac:dyDescent="0.25">
      <c r="A1990" t="str">
        <f>"20190304164409195"</f>
        <v>20190304164409195</v>
      </c>
      <c r="B1990" t="str">
        <f>"1551689049192082"</f>
        <v>1551689049192082</v>
      </c>
      <c r="C1990" t="s">
        <v>40</v>
      </c>
      <c r="D1990">
        <v>4.7509370000000004</v>
      </c>
      <c r="E1990">
        <v>0.54542119999999905</v>
      </c>
      <c r="F1990" t="s">
        <v>41</v>
      </c>
      <c r="G1990">
        <v>-280.59989999999999</v>
      </c>
      <c r="H1990">
        <v>1.0134270000000001</v>
      </c>
      <c r="I1990">
        <v>284.23489999999998</v>
      </c>
      <c r="J1990">
        <v>-279.90429999999998</v>
      </c>
      <c r="K1990">
        <v>1.110838</v>
      </c>
      <c r="L1990">
        <v>284.24250000000001</v>
      </c>
      <c r="M1990">
        <v>-0.99991660000000004</v>
      </c>
      <c r="N1990">
        <v>-7.468466E-3</v>
      </c>
      <c r="O1990">
        <v>-1.054359E-2</v>
      </c>
      <c r="P1990">
        <v>-0.93571389999999999</v>
      </c>
      <c r="Q1990">
        <v>0.34058119999999997</v>
      </c>
      <c r="R1990">
        <v>-9.1890340000000001E-2</v>
      </c>
      <c r="S1990">
        <v>-3.327728</v>
      </c>
      <c r="T1990">
        <v>-0.34245989999999998</v>
      </c>
      <c r="U1990">
        <v>-3.701782E-2</v>
      </c>
      <c r="V1990">
        <v>-8.3141590000000001E-2</v>
      </c>
      <c r="W1990">
        <v>0.3473001</v>
      </c>
      <c r="X1990">
        <v>0.93406109999999998</v>
      </c>
      <c r="Y1990">
        <v>-6.2386280000000004E-4</v>
      </c>
      <c r="Z1990">
        <v>9.6922510000000003E-4</v>
      </c>
      <c r="AA1990">
        <v>0.99999930000000004</v>
      </c>
      <c r="AB1990">
        <v>46</v>
      </c>
      <c r="AC1990">
        <v>-0.69560000000001299</v>
      </c>
      <c r="AD1990">
        <v>-9.74109999999999E-2</v>
      </c>
      <c r="AE1990">
        <v>-7.6000000000249202E-3</v>
      </c>
      <c r="AF1990">
        <v>-2.6015115212566799E-4</v>
      </c>
      <c r="AG1990">
        <v>-9.74109999999999E-2</v>
      </c>
      <c r="AH1990">
        <v>0.68226328680260595</v>
      </c>
      <c r="AI1990">
        <v>98.125560123522405</v>
      </c>
      <c r="AJ1990">
        <v>90.021847229094902</v>
      </c>
      <c r="AK1990">
        <v>0.68918224231208702</v>
      </c>
      <c r="AL1990">
        <v>69.677734421738805</v>
      </c>
      <c r="AM1990">
        <v>95.086541929749004</v>
      </c>
      <c r="AN1990">
        <v>1.0000000109904701</v>
      </c>
    </row>
    <row r="1991" spans="1:40" x14ac:dyDescent="0.25">
      <c r="A1991" t="str">
        <f>"20190304164409215"</f>
        <v>20190304164409215</v>
      </c>
      <c r="B1991" t="str">
        <f>"1551689049211602"</f>
        <v>1551689049211602</v>
      </c>
      <c r="C1991" t="s">
        <v>40</v>
      </c>
      <c r="D1991">
        <v>4.7691559999999997</v>
      </c>
      <c r="E1991">
        <v>0.54540409999999995</v>
      </c>
      <c r="F1991" t="s">
        <v>41</v>
      </c>
      <c r="G1991">
        <v>-281.0016</v>
      </c>
      <c r="H1991">
        <v>0.99748840000000005</v>
      </c>
      <c r="I1991">
        <v>284.23219999999998</v>
      </c>
      <c r="J1991">
        <v>-280.32339999999999</v>
      </c>
      <c r="K1991">
        <v>1.1106959999999999</v>
      </c>
      <c r="L1991">
        <v>284.23779999999999</v>
      </c>
      <c r="M1991">
        <v>-0.99990999999999997</v>
      </c>
      <c r="N1991">
        <v>-7.4890719999999899E-3</v>
      </c>
      <c r="O1991">
        <v>-1.113219E-2</v>
      </c>
      <c r="P1991">
        <v>-0.93606250000000002</v>
      </c>
      <c r="Q1991">
        <v>0.34043899999999999</v>
      </c>
      <c r="R1991">
        <v>-8.8816809999999996E-2</v>
      </c>
      <c r="S1991">
        <v>-3.3281860000000001</v>
      </c>
      <c r="T1991">
        <v>-0.34386519999999998</v>
      </c>
      <c r="U1991">
        <v>-3.1860350000000003E-2</v>
      </c>
      <c r="V1991">
        <v>-7.9400869999999998E-2</v>
      </c>
      <c r="W1991">
        <v>0.34721729999999901</v>
      </c>
      <c r="X1991">
        <v>0.93441719999999895</v>
      </c>
      <c r="Y1991">
        <v>1.500599E-3</v>
      </c>
      <c r="Z1991">
        <v>1.1468380000000001E-3</v>
      </c>
      <c r="AA1991">
        <v>0.99999819999999995</v>
      </c>
      <c r="AB1991">
        <v>46</v>
      </c>
      <c r="AC1991">
        <v>-0.67820000000000302</v>
      </c>
      <c r="AD1991">
        <v>-0.11320759999999901</v>
      </c>
      <c r="AE1991">
        <v>-5.6000000000153696E-3</v>
      </c>
      <c r="AF1991">
        <v>1.8975414033413501E-3</v>
      </c>
      <c r="AG1991">
        <v>-0.11320759999999901</v>
      </c>
      <c r="AH1991">
        <v>0.65983622500433903</v>
      </c>
      <c r="AI1991">
        <v>99.735368532335002</v>
      </c>
      <c r="AJ1991">
        <v>89.835230607182197</v>
      </c>
      <c r="AK1991">
        <v>0.66947995129735904</v>
      </c>
      <c r="AL1991">
        <v>69.682791562646301</v>
      </c>
      <c r="AM1991">
        <v>94.856965821392293</v>
      </c>
      <c r="AN1991">
        <v>0.99999992761594003</v>
      </c>
    </row>
    <row r="1992" spans="1:40" x14ac:dyDescent="0.25">
      <c r="A1992" t="str">
        <f>"20190304164409230"</f>
        <v>20190304164409230</v>
      </c>
      <c r="B1992" t="str">
        <f>"1551689049222338"</f>
        <v>1551689049222338</v>
      </c>
      <c r="C1992" t="s">
        <v>40</v>
      </c>
      <c r="D1992">
        <v>4.7670729999999999</v>
      </c>
      <c r="E1992">
        <v>0.54540290000000002</v>
      </c>
      <c r="F1992" t="s">
        <v>41</v>
      </c>
      <c r="G1992">
        <v>-281.4119</v>
      </c>
      <c r="H1992">
        <v>0.99768599999999996</v>
      </c>
      <c r="I1992">
        <v>284.23070000000001</v>
      </c>
      <c r="J1992">
        <v>-280.63940000000002</v>
      </c>
      <c r="K1992">
        <v>1.11059</v>
      </c>
      <c r="L1992">
        <v>284.23419999999999</v>
      </c>
      <c r="M1992">
        <v>-0.99990590000000001</v>
      </c>
      <c r="N1992">
        <v>-7.5046890000000002E-3</v>
      </c>
      <c r="O1992">
        <v>-1.1483190000000001E-2</v>
      </c>
      <c r="P1992">
        <v>-0.93642329999999996</v>
      </c>
      <c r="Q1992">
        <v>0.33974700000000002</v>
      </c>
      <c r="R1992">
        <v>-8.7656629999999999E-2</v>
      </c>
      <c r="S1992">
        <v>-3.328522</v>
      </c>
      <c r="T1992">
        <v>-0.34558879999999997</v>
      </c>
      <c r="U1992">
        <v>-2.1942139999999999E-2</v>
      </c>
      <c r="V1992">
        <v>-7.7815330000000002E-2</v>
      </c>
      <c r="W1992">
        <v>0.34656749999999997</v>
      </c>
      <c r="X1992">
        <v>0.93479179999999995</v>
      </c>
      <c r="Y1992">
        <v>4.8108250000000003E-3</v>
      </c>
      <c r="Z1992">
        <v>1.3702320000000001E-3</v>
      </c>
      <c r="AA1992">
        <v>0.99998750000000003</v>
      </c>
      <c r="AB1992">
        <v>46</v>
      </c>
      <c r="AC1992">
        <v>-0.77249999999997898</v>
      </c>
      <c r="AD1992">
        <v>-0.11290399999999901</v>
      </c>
      <c r="AE1992">
        <v>-3.4999999999740798E-3</v>
      </c>
      <c r="AF1992">
        <v>5.2589115713157003E-3</v>
      </c>
      <c r="AG1992">
        <v>-0.11290399999999901</v>
      </c>
      <c r="AH1992">
        <v>0.75633354249896501</v>
      </c>
      <c r="AI1992">
        <v>98.490104898035696</v>
      </c>
      <c r="AJ1992">
        <v>89.601619437374396</v>
      </c>
      <c r="AK1992">
        <v>0.76473223867962403</v>
      </c>
      <c r="AL1992">
        <v>69.722488454887795</v>
      </c>
      <c r="AM1992">
        <v>94.758529396965002</v>
      </c>
      <c r="AN1992">
        <v>0.99999998349324903</v>
      </c>
    </row>
    <row r="1993" spans="1:40" x14ac:dyDescent="0.25">
      <c r="A1993" t="str">
        <f>"20190304164409249"</f>
        <v>20190304164409249</v>
      </c>
      <c r="B1993" t="str">
        <f>"1551689049241858"</f>
        <v>1551689049241858</v>
      </c>
      <c r="C1993" t="s">
        <v>40</v>
      </c>
      <c r="D1993">
        <v>4.8011080000000002</v>
      </c>
      <c r="E1993">
        <v>0.54536819999999997</v>
      </c>
      <c r="F1993" t="s">
        <v>41</v>
      </c>
      <c r="G1993">
        <v>-281.42649999999998</v>
      </c>
      <c r="H1993">
        <v>1.028152</v>
      </c>
      <c r="I1993">
        <v>284.22989999999999</v>
      </c>
      <c r="J1993">
        <v>-281.01319999999998</v>
      </c>
      <c r="K1993">
        <v>1.110466</v>
      </c>
      <c r="L1993">
        <v>284.22969999999998</v>
      </c>
      <c r="M1993">
        <v>-0.99990199999999996</v>
      </c>
      <c r="N1993">
        <v>-7.5234239999999999E-3</v>
      </c>
      <c r="O1993">
        <v>-1.1812410000000001E-2</v>
      </c>
      <c r="P1993">
        <v>-0.93677359999999998</v>
      </c>
      <c r="Q1993">
        <v>0.3396305</v>
      </c>
      <c r="R1993">
        <v>-8.4299849999999996E-2</v>
      </c>
      <c r="S1993">
        <v>-3.3284609999999999</v>
      </c>
      <c r="T1993">
        <v>-0.34866019999999998</v>
      </c>
      <c r="U1993">
        <v>-1.8463130000000001E-2</v>
      </c>
      <c r="V1993">
        <v>-7.4038859999999998E-2</v>
      </c>
      <c r="W1993">
        <v>0.34650350000000002</v>
      </c>
      <c r="X1993">
        <v>0.93512220000000001</v>
      </c>
      <c r="Y1993">
        <v>6.1740950000000001E-3</v>
      </c>
      <c r="Z1993">
        <v>1.491081E-3</v>
      </c>
      <c r="AA1993">
        <v>0.99997990000000003</v>
      </c>
      <c r="AB1993">
        <v>46</v>
      </c>
      <c r="AC1993">
        <v>-0.41329999999999201</v>
      </c>
      <c r="AD1993">
        <v>-8.2313999999999998E-2</v>
      </c>
      <c r="AE1993">
        <v>2.0000000000663901E-4</v>
      </c>
      <c r="AF1993">
        <v>4.8882946734691299E-3</v>
      </c>
      <c r="AG1993">
        <v>-8.2313999999999998E-2</v>
      </c>
      <c r="AH1993">
        <v>0.39750157218304699</v>
      </c>
      <c r="AI1993">
        <v>101.698501535425</v>
      </c>
      <c r="AJ1993">
        <v>89.295437915344095</v>
      </c>
      <c r="AK1993">
        <v>0.40596427171465299</v>
      </c>
      <c r="AL1993">
        <v>69.726397505082105</v>
      </c>
      <c r="AM1993">
        <v>94.526983856499498</v>
      </c>
      <c r="AN1993">
        <v>0.99999997861759404</v>
      </c>
    </row>
    <row r="1994" spans="1:40" x14ac:dyDescent="0.25">
      <c r="A1994" t="str">
        <f>"20190304164409262"</f>
        <v>20190304164409262</v>
      </c>
      <c r="B1994" t="str">
        <f>"1551689049251617"</f>
        <v>1551689049251617</v>
      </c>
      <c r="C1994" t="s">
        <v>40</v>
      </c>
      <c r="D1994">
        <v>4.7995099999999997</v>
      </c>
      <c r="E1994">
        <v>0.54533399999999999</v>
      </c>
      <c r="F1994" t="s">
        <v>41</v>
      </c>
      <c r="G1994">
        <v>-281.83539999999999</v>
      </c>
      <c r="H1994">
        <v>1.02393</v>
      </c>
      <c r="I1994">
        <v>284.22770000000003</v>
      </c>
      <c r="J1994">
        <v>-281.28859999999997</v>
      </c>
      <c r="K1994">
        <v>1.1103730000000001</v>
      </c>
      <c r="L1994">
        <v>284.22640000000001</v>
      </c>
      <c r="M1994">
        <v>-0.99989989999999995</v>
      </c>
      <c r="N1994">
        <v>-7.5372679999999997E-3</v>
      </c>
      <c r="O1994">
        <v>-1.198477E-2</v>
      </c>
      <c r="P1994">
        <v>-0.93701920000000005</v>
      </c>
      <c r="Q1994">
        <v>0.33935279999999901</v>
      </c>
      <c r="R1994">
        <v>-8.2673389999999999E-2</v>
      </c>
      <c r="S1994">
        <v>-3.328735</v>
      </c>
      <c r="T1994">
        <v>-0.3503156</v>
      </c>
      <c r="U1994">
        <v>-8.2397459999999992E-3</v>
      </c>
      <c r="V1994">
        <v>-7.2165229999999997E-2</v>
      </c>
      <c r="W1994">
        <v>0.34626200000000001</v>
      </c>
      <c r="X1994">
        <v>0.93535809999999997</v>
      </c>
      <c r="Y1994">
        <v>9.3972480000000004E-3</v>
      </c>
      <c r="Z1994">
        <v>1.6963080000000001E-3</v>
      </c>
      <c r="AA1994">
        <v>0.99995440000000002</v>
      </c>
      <c r="AB1994">
        <v>46</v>
      </c>
      <c r="AC1994">
        <v>-0.54680000000001805</v>
      </c>
      <c r="AD1994">
        <v>-8.6443000000000006E-2</v>
      </c>
      <c r="AE1994">
        <v>1.3000000000147299E-3</v>
      </c>
      <c r="AF1994">
        <v>7.6618788674965403E-3</v>
      </c>
      <c r="AG1994">
        <v>-8.6443000000000006E-2</v>
      </c>
      <c r="AH1994">
        <v>0.53341408624682596</v>
      </c>
      <c r="AI1994">
        <v>99.204171353159495</v>
      </c>
      <c r="AJ1994">
        <v>89.177068723437003</v>
      </c>
      <c r="AK1994">
        <v>0.54042731615205797</v>
      </c>
      <c r="AL1994">
        <v>69.741147681090595</v>
      </c>
      <c r="AM1994">
        <v>94.411773640222705</v>
      </c>
      <c r="AN1994">
        <v>0.99999998415028102</v>
      </c>
    </row>
    <row r="1995" spans="1:40" x14ac:dyDescent="0.25">
      <c r="A1995" t="str">
        <f>"20190304164409275"</f>
        <v>20190304164409275</v>
      </c>
      <c r="B1995" t="str">
        <f>"1551689049272113"</f>
        <v>1551689049272113</v>
      </c>
      <c r="C1995" t="s">
        <v>40</v>
      </c>
      <c r="D1995">
        <v>4.783881</v>
      </c>
      <c r="E1995">
        <v>0.54525310000000005</v>
      </c>
      <c r="F1995" t="s">
        <v>41</v>
      </c>
      <c r="G1995">
        <v>-282.24040000000002</v>
      </c>
      <c r="H1995">
        <v>1.0097389999999999</v>
      </c>
      <c r="I1995">
        <v>284.22550000000001</v>
      </c>
      <c r="J1995">
        <v>-281.54919999999998</v>
      </c>
      <c r="K1995">
        <v>1.110277</v>
      </c>
      <c r="L1995">
        <v>284.22329999999999</v>
      </c>
      <c r="M1995">
        <v>-0.99989830000000002</v>
      </c>
      <c r="N1995">
        <v>-7.5503949999999997E-3</v>
      </c>
      <c r="O1995">
        <v>-1.2109139999999999E-2</v>
      </c>
      <c r="P1995">
        <v>-0.93706270000000003</v>
      </c>
      <c r="Q1995">
        <v>0.33961750000000002</v>
      </c>
      <c r="R1995">
        <v>-8.1080390000000002E-2</v>
      </c>
      <c r="S1995">
        <v>-3.3287960000000001</v>
      </c>
      <c r="T1995">
        <v>-0.35209269999999998</v>
      </c>
      <c r="U1995">
        <v>-3.9367680000000002E-3</v>
      </c>
      <c r="V1995">
        <v>-7.0375930000000003E-2</v>
      </c>
      <c r="W1995">
        <v>0.34655900000000001</v>
      </c>
      <c r="X1995">
        <v>0.93538449999999995</v>
      </c>
      <c r="Y1995">
        <v>1.0804080000000001E-2</v>
      </c>
      <c r="Z1995">
        <v>1.796724E-3</v>
      </c>
      <c r="AA1995">
        <v>0.99994000000000005</v>
      </c>
      <c r="AB1995">
        <v>46</v>
      </c>
      <c r="AC1995">
        <v>-0.69120000000003701</v>
      </c>
      <c r="AD1995">
        <v>-0.100538</v>
      </c>
      <c r="AE1995">
        <v>2.2000000000161799E-3</v>
      </c>
      <c r="AF1995">
        <v>1.0350922093147599E-2</v>
      </c>
      <c r="AG1995">
        <v>-0.100538</v>
      </c>
      <c r="AH1995">
        <v>0.67680372235144604</v>
      </c>
      <c r="AI1995">
        <v>98.448425098225798</v>
      </c>
      <c r="AJ1995">
        <v>89.123796312842998</v>
      </c>
      <c r="AK1995">
        <v>0.68430863623145299</v>
      </c>
      <c r="AL1995">
        <v>69.723008786576898</v>
      </c>
      <c r="AM1995">
        <v>94.302680986231195</v>
      </c>
      <c r="AN1995">
        <v>1.0000000374222999</v>
      </c>
    </row>
    <row r="1996" spans="1:40" x14ac:dyDescent="0.25">
      <c r="A1996" t="str">
        <f>"20190304164409292"</f>
        <v>20190304164409292</v>
      </c>
      <c r="B1996" t="str">
        <f>"1551689049281873"</f>
        <v>1551689049281873</v>
      </c>
      <c r="C1996" t="s">
        <v>40</v>
      </c>
      <c r="D1996">
        <v>4.7869739999999998</v>
      </c>
      <c r="E1996">
        <v>0.54520000000000002</v>
      </c>
      <c r="F1996" t="s">
        <v>41</v>
      </c>
      <c r="G1996">
        <v>-282.64550000000003</v>
      </c>
      <c r="H1996">
        <v>0.99433680000000002</v>
      </c>
      <c r="I1996">
        <v>284.2235</v>
      </c>
      <c r="J1996">
        <v>-281.92219999999998</v>
      </c>
      <c r="K1996">
        <v>1.1101379999999901</v>
      </c>
      <c r="L1996">
        <v>284.21879999999999</v>
      </c>
      <c r="M1996">
        <v>-0.99989740000000005</v>
      </c>
      <c r="N1996">
        <v>-7.5694389999999999E-3</v>
      </c>
      <c r="O1996">
        <v>-1.2165520000000001E-2</v>
      </c>
      <c r="P1996">
        <v>-0.9374981</v>
      </c>
      <c r="Q1996">
        <v>0.33912930000000002</v>
      </c>
      <c r="R1996">
        <v>-7.8031809999999993E-2</v>
      </c>
      <c r="S1996">
        <v>-3.329132</v>
      </c>
      <c r="T1996">
        <v>-0.35209159999999901</v>
      </c>
      <c r="U1996">
        <v>2.7465820000000001E-4</v>
      </c>
      <c r="V1996">
        <v>-6.7146269999999994E-2</v>
      </c>
      <c r="W1996">
        <v>0.34612110000000001</v>
      </c>
      <c r="X1996">
        <v>0.9357839</v>
      </c>
      <c r="Y1996">
        <v>1.211744E-2</v>
      </c>
      <c r="Z1996">
        <v>1.8761730000000001E-3</v>
      </c>
      <c r="AA1996">
        <v>0.99992479999999995</v>
      </c>
      <c r="AB1996">
        <v>46</v>
      </c>
      <c r="AC1996">
        <v>-0.72330000000005101</v>
      </c>
      <c r="AD1996">
        <v>-0.11580119999999899</v>
      </c>
      <c r="AE1996">
        <v>4.7000000000139101E-3</v>
      </c>
      <c r="AF1996">
        <v>1.3161868440912401E-2</v>
      </c>
      <c r="AG1996">
        <v>-0.11580119999999899</v>
      </c>
      <c r="AH1996">
        <v>0.70511623634633303</v>
      </c>
      <c r="AI1996">
        <v>99.324832351094102</v>
      </c>
      <c r="AJ1996">
        <v>88.930627453979795</v>
      </c>
      <c r="AK1996">
        <v>0.71468318817607102</v>
      </c>
      <c r="AL1996">
        <v>69.749752514722303</v>
      </c>
      <c r="AM1996">
        <v>94.104169337490305</v>
      </c>
      <c r="AN1996">
        <v>0.99999997246966599</v>
      </c>
    </row>
    <row r="1997" spans="1:40" x14ac:dyDescent="0.25">
      <c r="A1997" t="str">
        <f>"20190304164409317"</f>
        <v>20190304164409317</v>
      </c>
      <c r="B1997" t="str">
        <f>"1551689049312129"</f>
        <v>1551689049312129</v>
      </c>
      <c r="C1997" t="s">
        <v>40</v>
      </c>
      <c r="D1997">
        <v>4.8162320000000003</v>
      </c>
      <c r="E1997">
        <v>0.54510150000000002</v>
      </c>
      <c r="F1997" t="s">
        <v>41</v>
      </c>
      <c r="G1997">
        <v>-282.66320000000002</v>
      </c>
      <c r="H1997">
        <v>1.031215</v>
      </c>
      <c r="I1997">
        <v>284.2208</v>
      </c>
      <c r="J1997">
        <v>-282.4006</v>
      </c>
      <c r="K1997">
        <v>1.109937</v>
      </c>
      <c r="L1997">
        <v>284.2131</v>
      </c>
      <c r="M1997">
        <v>-0.99989859999999997</v>
      </c>
      <c r="N1997">
        <v>-7.5940749999999996E-3</v>
      </c>
      <c r="O1997">
        <v>-1.2057409999999999E-2</v>
      </c>
      <c r="P1997">
        <v>-0.93777219999999994</v>
      </c>
      <c r="Q1997">
        <v>0.3388314</v>
      </c>
      <c r="R1997">
        <v>-7.6006459999999998E-2</v>
      </c>
      <c r="S1997">
        <v>-3.3289789999999999</v>
      </c>
      <c r="T1997">
        <v>-0.35458519999999999</v>
      </c>
      <c r="U1997">
        <v>8.3618159999999993E-3</v>
      </c>
      <c r="V1997">
        <v>-6.505321E-2</v>
      </c>
      <c r="W1997">
        <v>0.34588219999999997</v>
      </c>
      <c r="X1997">
        <v>0.93602010000000002</v>
      </c>
      <c r="Y1997">
        <v>1.442309E-2</v>
      </c>
      <c r="Z1997">
        <v>2.0102200000000001E-3</v>
      </c>
      <c r="AA1997">
        <v>0.99989399999999995</v>
      </c>
      <c r="AB1997">
        <v>46</v>
      </c>
      <c r="AC1997">
        <v>-0.26260000000001998</v>
      </c>
      <c r="AD1997">
        <v>-7.8722000000000097E-2</v>
      </c>
      <c r="AE1997">
        <v>7.6999999999998103E-3</v>
      </c>
      <c r="AF1997">
        <v>9.9705482015665092E-3</v>
      </c>
      <c r="AG1997">
        <v>-7.8722000000000097E-2</v>
      </c>
      <c r="AH1997">
        <v>0.24086107063184201</v>
      </c>
      <c r="AI1997">
        <v>108.084762087332</v>
      </c>
      <c r="AJ1997">
        <v>87.629569781406602</v>
      </c>
      <c r="AK1997">
        <v>0.25359538730299702</v>
      </c>
      <c r="AL1997">
        <v>69.764342633238499</v>
      </c>
      <c r="AM1997">
        <v>93.975652361930102</v>
      </c>
      <c r="AN1997">
        <v>1.0000000220060701</v>
      </c>
    </row>
    <row r="1998" spans="1:40" x14ac:dyDescent="0.25">
      <c r="A1998" t="str">
        <f>"20190304164409338"</f>
        <v>20190304164409338</v>
      </c>
      <c r="B1998" t="str">
        <f>"1551689049331650"</f>
        <v>1551689049331650</v>
      </c>
      <c r="C1998" t="s">
        <v>40</v>
      </c>
      <c r="D1998">
        <v>4.8369309999999999</v>
      </c>
      <c r="E1998">
        <v>0.54148850000000004</v>
      </c>
      <c r="F1998" t="s">
        <v>41</v>
      </c>
      <c r="G1998">
        <v>-283.47320000000002</v>
      </c>
      <c r="H1998">
        <v>0.99513879999999999</v>
      </c>
      <c r="I1998">
        <v>284.21780000000001</v>
      </c>
      <c r="J1998">
        <v>-282.85469999999998</v>
      </c>
      <c r="K1998">
        <v>1.109737</v>
      </c>
      <c r="L1998">
        <v>284.2079</v>
      </c>
      <c r="M1998">
        <v>-0.99990190000000001</v>
      </c>
      <c r="N1998">
        <v>-7.6179450000000001E-3</v>
      </c>
      <c r="O1998">
        <v>-1.1755389999999999E-2</v>
      </c>
      <c r="P1998">
        <v>-0.93773439999999997</v>
      </c>
      <c r="Q1998">
        <v>0.33913219999999999</v>
      </c>
      <c r="R1998">
        <v>-7.5124949999999996E-2</v>
      </c>
      <c r="S1998">
        <v>-3.3290099999999998</v>
      </c>
      <c r="T1998">
        <v>-0.35640080000000002</v>
      </c>
      <c r="U1998">
        <v>1.4068600000000001E-2</v>
      </c>
      <c r="V1998">
        <v>-6.4285010000000004E-2</v>
      </c>
      <c r="W1998">
        <v>0.34623690000000001</v>
      </c>
      <c r="X1998">
        <v>0.93594200000000005</v>
      </c>
      <c r="Y1998">
        <v>1.5826489999999999E-2</v>
      </c>
      <c r="Z1998">
        <v>2.070835E-3</v>
      </c>
      <c r="AA1998">
        <v>0.9998726</v>
      </c>
      <c r="AB1998">
        <v>46</v>
      </c>
      <c r="AC1998">
        <v>-0.61850000000004002</v>
      </c>
      <c r="AD1998">
        <v>-0.114598199999999</v>
      </c>
      <c r="AE1998">
        <v>9.9000000000160002E-3</v>
      </c>
      <c r="AF1998">
        <v>1.6600483722909998E-2</v>
      </c>
      <c r="AG1998">
        <v>-0.114598199999999</v>
      </c>
      <c r="AH1998">
        <v>0.59782276803694701</v>
      </c>
      <c r="AI1998">
        <v>100.847455735796</v>
      </c>
      <c r="AJ1998">
        <v>88.409406009701897</v>
      </c>
      <c r="AK1998">
        <v>0.60893381043134098</v>
      </c>
      <c r="AL1998">
        <v>69.742680761685506</v>
      </c>
      <c r="AM1998">
        <v>93.929179419260805</v>
      </c>
      <c r="AN1998">
        <v>0.99999999039815501</v>
      </c>
    </row>
    <row r="1999" spans="1:40" x14ac:dyDescent="0.25">
      <c r="A1999" t="str">
        <f>"20190304164409351"</f>
        <v>20190304164409351</v>
      </c>
      <c r="B1999" t="str">
        <f>"1551689049342386"</f>
        <v>1551689049342386</v>
      </c>
      <c r="C1999" t="s">
        <v>40</v>
      </c>
      <c r="D1999">
        <v>4.8273529999999996</v>
      </c>
      <c r="E1999">
        <v>0.54140390000000005</v>
      </c>
      <c r="F1999" t="s">
        <v>41</v>
      </c>
      <c r="G1999">
        <v>-283.88740000000001</v>
      </c>
      <c r="H1999">
        <v>0.99346140000000005</v>
      </c>
      <c r="I1999">
        <v>284.20389999999998</v>
      </c>
      <c r="J1999">
        <v>-283.12580000000003</v>
      </c>
      <c r="K1999">
        <v>1.1096200000000001</v>
      </c>
      <c r="L1999">
        <v>284.20490000000001</v>
      </c>
      <c r="M1999">
        <v>-0.99990489999999999</v>
      </c>
      <c r="N1999">
        <v>-7.63228E-3</v>
      </c>
      <c r="O1999">
        <v>-1.149903E-2</v>
      </c>
      <c r="P1999">
        <v>-0.93773879999999998</v>
      </c>
      <c r="Q1999">
        <v>0.33924080000000001</v>
      </c>
      <c r="R1999">
        <v>-7.4579660000000006E-2</v>
      </c>
      <c r="S1999">
        <v>-3.3338930000000002</v>
      </c>
      <c r="T1999">
        <v>-0.37545079999999997</v>
      </c>
      <c r="U1999">
        <v>-1.351929E-2</v>
      </c>
      <c r="V1999">
        <v>-6.3877550000000005E-2</v>
      </c>
      <c r="W1999">
        <v>0.34637829999999997</v>
      </c>
      <c r="X1999">
        <v>0.93591760000000002</v>
      </c>
      <c r="Y1999">
        <v>7.3317950000000003E-3</v>
      </c>
      <c r="Z1999">
        <v>1.642967E-3</v>
      </c>
      <c r="AA1999">
        <v>0.99997170000000002</v>
      </c>
      <c r="AB1999">
        <v>46</v>
      </c>
      <c r="AC1999">
        <v>-0.76159999999998695</v>
      </c>
      <c r="AD1999">
        <v>-0.1161586</v>
      </c>
      <c r="AE1999">
        <v>-1.0000000000331901E-3</v>
      </c>
      <c r="AF1999">
        <v>7.5816171779936404E-3</v>
      </c>
      <c r="AG1999">
        <v>-0.1161586</v>
      </c>
      <c r="AH1999">
        <v>0.74424839379423402</v>
      </c>
      <c r="AI1999">
        <v>98.870420561087101</v>
      </c>
      <c r="AJ1999">
        <v>89.416351255208895</v>
      </c>
      <c r="AK1999">
        <v>0.75329673631198701</v>
      </c>
      <c r="AL1999">
        <v>69.734045187656506</v>
      </c>
      <c r="AM1999">
        <v>93.904453703799305</v>
      </c>
      <c r="AN1999">
        <v>1.0000000110473199</v>
      </c>
    </row>
    <row r="2000" spans="1:40" x14ac:dyDescent="0.25">
      <c r="A2000" t="str">
        <f>"20190304164409370"</f>
        <v>20190304164409370</v>
      </c>
      <c r="B2000" t="str">
        <f>"1551689049361905"</f>
        <v>1551689049361905</v>
      </c>
      <c r="C2000" t="s">
        <v>40</v>
      </c>
      <c r="D2000">
        <v>5.3489500000000003</v>
      </c>
      <c r="E2000">
        <v>0.54105249999999905</v>
      </c>
      <c r="F2000" t="s">
        <v>41</v>
      </c>
      <c r="G2000">
        <v>-283.90120000000002</v>
      </c>
      <c r="H2000">
        <v>1.0221750000000001</v>
      </c>
      <c r="I2000">
        <v>284.20209999999997</v>
      </c>
      <c r="J2000">
        <v>-283.5403</v>
      </c>
      <c r="K2000">
        <v>1.1094310000000001</v>
      </c>
      <c r="L2000">
        <v>284.20049999999998</v>
      </c>
      <c r="M2000">
        <v>-0.99991050000000004</v>
      </c>
      <c r="N2000">
        <v>-7.6543710000000001E-3</v>
      </c>
      <c r="O2000">
        <v>-1.098215E-2</v>
      </c>
      <c r="P2000">
        <v>-0.93762860000000003</v>
      </c>
      <c r="Q2000">
        <v>0.33952979999999999</v>
      </c>
      <c r="R2000">
        <v>-7.4648859999999997E-2</v>
      </c>
      <c r="S2000">
        <v>-3.3342290000000001</v>
      </c>
      <c r="T2000">
        <v>-0.37607299999999999</v>
      </c>
      <c r="U2000">
        <v>-1.281738E-2</v>
      </c>
      <c r="V2000">
        <v>-6.4274230000000002E-2</v>
      </c>
      <c r="W2000">
        <v>0.34671600000000002</v>
      </c>
      <c r="X2000">
        <v>0.93576539999999997</v>
      </c>
      <c r="Y2000">
        <v>7.0303409999999998E-3</v>
      </c>
      <c r="Z2000">
        <v>1.5731579999999901E-3</v>
      </c>
      <c r="AA2000">
        <v>0.99997409999999998</v>
      </c>
      <c r="AB2000">
        <v>46</v>
      </c>
      <c r="AC2000">
        <v>-0.36090000000001499</v>
      </c>
      <c r="AD2000">
        <v>-8.7256E-2</v>
      </c>
      <c r="AE2000">
        <v>1.59999999999627E-3</v>
      </c>
      <c r="AF2000">
        <v>5.2562334746257197E-3</v>
      </c>
      <c r="AG2000">
        <v>-8.7256E-2</v>
      </c>
      <c r="AH2000">
        <v>0.34093209040247302</v>
      </c>
      <c r="AI2000">
        <v>104.35413429952</v>
      </c>
      <c r="AJ2000">
        <v>89.116726922866306</v>
      </c>
      <c r="AK2000">
        <v>0.35196012244647801</v>
      </c>
      <c r="AL2000">
        <v>69.713418445345496</v>
      </c>
      <c r="AM2000">
        <v>93.929261674125598</v>
      </c>
      <c r="AN2000">
        <v>1.00000002256762</v>
      </c>
    </row>
    <row r="2001" spans="1:40" x14ac:dyDescent="0.25">
      <c r="A2001" t="str">
        <f>"20190304164409384"</f>
        <v>20190304164409384</v>
      </c>
      <c r="B2001" t="str">
        <f>"1551689049371665"</f>
        <v>1551689049371665</v>
      </c>
      <c r="C2001" t="s">
        <v>40</v>
      </c>
      <c r="D2001">
        <v>4.852614</v>
      </c>
      <c r="E2001">
        <v>0.53710740000000001</v>
      </c>
      <c r="F2001" t="s">
        <v>41</v>
      </c>
      <c r="G2001">
        <v>-284.31709999999998</v>
      </c>
      <c r="H2001">
        <v>1.02271</v>
      </c>
      <c r="I2001">
        <v>284.1968</v>
      </c>
      <c r="J2001">
        <v>-283.79919999999998</v>
      </c>
      <c r="K2001">
        <v>1.1093120000000001</v>
      </c>
      <c r="L2001">
        <v>284.1979</v>
      </c>
      <c r="M2001">
        <v>-0.99991459999999999</v>
      </c>
      <c r="N2001">
        <v>-7.6683109999999997E-3</v>
      </c>
      <c r="O2001">
        <v>-1.057261E-2</v>
      </c>
      <c r="P2001">
        <v>-0.93767889999999998</v>
      </c>
      <c r="Q2001">
        <v>0.33941070000000001</v>
      </c>
      <c r="R2001">
        <v>-7.4556250000000004E-2</v>
      </c>
      <c r="S2001">
        <v>-3.3329770000000001</v>
      </c>
      <c r="T2001">
        <v>-0.37209449999999999</v>
      </c>
      <c r="U2001">
        <v>-1.6693119999999999E-2</v>
      </c>
      <c r="V2001">
        <v>-6.4464729999999998E-2</v>
      </c>
      <c r="W2001">
        <v>0.34662920000000003</v>
      </c>
      <c r="X2001">
        <v>0.93578439999999996</v>
      </c>
      <c r="Y2001">
        <v>5.4713590000000003E-3</v>
      </c>
      <c r="Z2001">
        <v>1.4213120000000001E-3</v>
      </c>
      <c r="AA2001">
        <v>0.99998399999999998</v>
      </c>
      <c r="AB2001">
        <v>46</v>
      </c>
      <c r="AC2001">
        <v>-0.51789999999999703</v>
      </c>
      <c r="AD2001">
        <v>-8.6601999999999998E-2</v>
      </c>
      <c r="AE2001">
        <v>-1.1000000000080899E-3</v>
      </c>
      <c r="AF2001">
        <v>4.25675216077417E-3</v>
      </c>
      <c r="AG2001">
        <v>-8.6601999999999998E-2</v>
      </c>
      <c r="AH2001">
        <v>0.50379574570489105</v>
      </c>
      <c r="AI2001">
        <v>99.753420784624595</v>
      </c>
      <c r="AJ2001">
        <v>89.515898791181897</v>
      </c>
      <c r="AK2001">
        <v>0.511202679700826</v>
      </c>
      <c r="AL2001">
        <v>69.7187194817147</v>
      </c>
      <c r="AM2001">
        <v>93.940791063069796</v>
      </c>
      <c r="AN2001">
        <v>0.99999997349498604</v>
      </c>
    </row>
    <row r="2002" spans="1:40" x14ac:dyDescent="0.25">
      <c r="A2002" t="str">
        <f>"20190304164409397"</f>
        <v>20190304164409397</v>
      </c>
      <c r="B2002" t="str">
        <f>"1551689049392161"</f>
        <v>1551689049392161</v>
      </c>
      <c r="C2002" t="s">
        <v>40</v>
      </c>
      <c r="D2002">
        <v>4.8400840000000001</v>
      </c>
      <c r="E2002">
        <v>0.53758300000000003</v>
      </c>
      <c r="F2002" t="s">
        <v>41</v>
      </c>
      <c r="G2002">
        <v>-284.73599999999999</v>
      </c>
      <c r="H2002">
        <v>1.0278400000000001</v>
      </c>
      <c r="I2002">
        <v>284.18650000000002</v>
      </c>
      <c r="J2002">
        <v>-284.077</v>
      </c>
      <c r="K2002">
        <v>1.109183</v>
      </c>
      <c r="L2002">
        <v>284.1952</v>
      </c>
      <c r="M2002">
        <v>-0.99991969999999997</v>
      </c>
      <c r="N2002">
        <v>-7.6832790000000003E-3</v>
      </c>
      <c r="O2002">
        <v>-1.0089249999999999E-2</v>
      </c>
      <c r="P2002">
        <v>-0.93770500000000001</v>
      </c>
      <c r="Q2002">
        <v>0.33928909999999901</v>
      </c>
      <c r="R2002">
        <v>-7.4782899999999999E-2</v>
      </c>
      <c r="S2002">
        <v>-3.300049</v>
      </c>
      <c r="T2002">
        <v>-0.28712700000000002</v>
      </c>
      <c r="U2002">
        <v>-4.0985109999999998E-2</v>
      </c>
      <c r="V2002">
        <v>-6.5036300000000005E-2</v>
      </c>
      <c r="W2002">
        <v>0.34654239999999997</v>
      </c>
      <c r="X2002">
        <v>0.93577699999999997</v>
      </c>
      <c r="Y2002">
        <v>-2.3511949999999999E-3</v>
      </c>
      <c r="Z2002">
        <v>6.875955E-4</v>
      </c>
      <c r="AA2002">
        <v>0.99999700000000002</v>
      </c>
      <c r="AB2002">
        <v>46</v>
      </c>
      <c r="AC2002">
        <v>-0.65899999999999104</v>
      </c>
      <c r="AD2002">
        <v>-8.1343000000000096E-2</v>
      </c>
      <c r="AE2002">
        <v>-8.6999999999761695E-3</v>
      </c>
      <c r="AF2002">
        <v>-2.0197780523521398E-3</v>
      </c>
      <c r="AG2002">
        <v>-8.1343000000000096E-2</v>
      </c>
      <c r="AH2002">
        <v>0.64916530871395905</v>
      </c>
      <c r="AI2002">
        <v>97.142130587903097</v>
      </c>
      <c r="AJ2002">
        <v>90.178266433800601</v>
      </c>
      <c r="AK2002">
        <v>0.65424487861203096</v>
      </c>
      <c r="AL2002">
        <v>69.724021397834406</v>
      </c>
      <c r="AM2002">
        <v>93.975651472386105</v>
      </c>
      <c r="AN2002">
        <v>0.999999974522224</v>
      </c>
    </row>
    <row r="2003" spans="1:40" x14ac:dyDescent="0.25">
      <c r="A2003" t="str">
        <f>"20190304164409416"</f>
        <v>20190304164409416</v>
      </c>
      <c r="B2003" t="str">
        <f>"1551689049411681"</f>
        <v>1551689049411681</v>
      </c>
      <c r="C2003" t="s">
        <v>40</v>
      </c>
      <c r="D2003">
        <v>4.8662080000000003</v>
      </c>
      <c r="E2003">
        <v>0.53746359999999904</v>
      </c>
      <c r="F2003" t="s">
        <v>41</v>
      </c>
      <c r="G2003">
        <v>-285.14760000000001</v>
      </c>
      <c r="H2003">
        <v>1.0161480000000001</v>
      </c>
      <c r="I2003">
        <v>284.18299999999999</v>
      </c>
      <c r="J2003">
        <v>-284.47239999999999</v>
      </c>
      <c r="K2003">
        <v>1.109003</v>
      </c>
      <c r="L2003">
        <v>284.19170000000003</v>
      </c>
      <c r="M2003">
        <v>-0.99992729999999996</v>
      </c>
      <c r="N2003">
        <v>-7.7047249999999999E-3</v>
      </c>
      <c r="O2003">
        <v>-9.2863110000000002E-3</v>
      </c>
      <c r="P2003">
        <v>-0.93767520000000004</v>
      </c>
      <c r="Q2003">
        <v>0.3392907</v>
      </c>
      <c r="R2003">
        <v>-7.5149599999999997E-2</v>
      </c>
      <c r="S2003">
        <v>-3.300049</v>
      </c>
      <c r="T2003">
        <v>-0.28685429999999901</v>
      </c>
      <c r="U2003">
        <v>-3.805542E-2</v>
      </c>
      <c r="V2003">
        <v>-6.6005460000000002E-2</v>
      </c>
      <c r="W2003">
        <v>0.3465934</v>
      </c>
      <c r="X2003">
        <v>0.93569029999999997</v>
      </c>
      <c r="Y2003">
        <v>-2.2643239999999999E-3</v>
      </c>
      <c r="Z2003">
        <v>6.2724929999999996E-4</v>
      </c>
      <c r="AA2003">
        <v>0.99999729999999998</v>
      </c>
      <c r="AB2003">
        <v>47</v>
      </c>
      <c r="AC2003">
        <v>-0.67520000000001701</v>
      </c>
      <c r="AD2003">
        <v>-9.2854999999999896E-2</v>
      </c>
      <c r="AE2003">
        <v>-8.7000000000330095E-3</v>
      </c>
      <c r="AF2003">
        <v>-2.3842380985368101E-3</v>
      </c>
      <c r="AG2003">
        <v>-9.2854999999999896E-2</v>
      </c>
      <c r="AH2003">
        <v>0.66272015632344905</v>
      </c>
      <c r="AI2003">
        <v>97.975849168755204</v>
      </c>
      <c r="AJ2003">
        <v>90.206129525002396</v>
      </c>
      <c r="AK2003">
        <v>0.66919783413702605</v>
      </c>
      <c r="AL2003">
        <v>69.720907247979696</v>
      </c>
      <c r="AM2003">
        <v>94.035074346020593</v>
      </c>
      <c r="AN2003">
        <v>1.0000000215937299</v>
      </c>
    </row>
    <row r="2004" spans="1:40" x14ac:dyDescent="0.25">
      <c r="A2004" t="str">
        <f>"20190304164409429"</f>
        <v>20190304164409429</v>
      </c>
      <c r="B2004" t="str">
        <f>"1551689049422418"</f>
        <v>1551689049422418</v>
      </c>
      <c r="C2004" t="s">
        <v>40</v>
      </c>
      <c r="D2004">
        <v>4.8583429999999996</v>
      </c>
      <c r="E2004">
        <v>0.53743059999999998</v>
      </c>
      <c r="F2004" t="s">
        <v>41</v>
      </c>
      <c r="G2004">
        <v>-285.56439999999998</v>
      </c>
      <c r="H2004">
        <v>1.0138049999999901</v>
      </c>
      <c r="I2004">
        <v>284.17809999999997</v>
      </c>
      <c r="J2004">
        <v>-284.75839999999999</v>
      </c>
      <c r="K2004">
        <v>1.108878</v>
      </c>
      <c r="L2004">
        <v>284.18939999999998</v>
      </c>
      <c r="M2004">
        <v>-0.99993310000000002</v>
      </c>
      <c r="N2004">
        <v>-7.720083E-3</v>
      </c>
      <c r="O2004">
        <v>-8.6348999999999992E-3</v>
      </c>
      <c r="P2004">
        <v>-0.93767020000000001</v>
      </c>
      <c r="Q2004">
        <v>0.33935900000000002</v>
      </c>
      <c r="R2004">
        <v>-7.4901250000000003E-2</v>
      </c>
      <c r="S2004">
        <v>-3.3002319999999998</v>
      </c>
      <c r="T2004">
        <v>-0.28781370000000001</v>
      </c>
      <c r="U2004">
        <v>-4.1412350000000001E-2</v>
      </c>
      <c r="V2004">
        <v>-6.6264249999999997E-2</v>
      </c>
      <c r="W2004">
        <v>0.3466959</v>
      </c>
      <c r="X2004">
        <v>0.93563399999999997</v>
      </c>
      <c r="Y2004">
        <v>-3.9233949999999997E-3</v>
      </c>
      <c r="Z2004">
        <v>4.9910510000000005E-4</v>
      </c>
      <c r="AA2004">
        <v>0.9999922</v>
      </c>
      <c r="AB2004">
        <v>47</v>
      </c>
      <c r="AC2004">
        <v>-0.80599999999998295</v>
      </c>
      <c r="AD2004">
        <v>-9.5073000000000199E-2</v>
      </c>
      <c r="AE2004">
        <v>-1.1300000000005601E-2</v>
      </c>
      <c r="AF2004">
        <v>-4.2801025690944097E-3</v>
      </c>
      <c r="AG2004">
        <v>-9.5073000000000199E-2</v>
      </c>
      <c r="AH2004">
        <v>0.79500815276073</v>
      </c>
      <c r="AI2004">
        <v>96.819372714786496</v>
      </c>
      <c r="AJ2004">
        <v>90.308461545932602</v>
      </c>
      <c r="AK2004">
        <v>0.80068418091219395</v>
      </c>
      <c r="AL2004">
        <v>69.714645555037805</v>
      </c>
      <c r="AM2004">
        <v>94.051085183738905</v>
      </c>
      <c r="AN2004">
        <v>0.99999998993043604</v>
      </c>
    </row>
    <row r="2005" spans="1:40" x14ac:dyDescent="0.25">
      <c r="A2005" t="str">
        <f>"20190304164409450"</f>
        <v>20190304164409450</v>
      </c>
      <c r="B2005" t="str">
        <f>"1551689049441937"</f>
        <v>1551689049441937</v>
      </c>
      <c r="C2005" t="s">
        <v>40</v>
      </c>
      <c r="D2005">
        <v>4.8502409999999996</v>
      </c>
      <c r="E2005">
        <v>0.53749599999999997</v>
      </c>
      <c r="F2005" t="s">
        <v>41</v>
      </c>
      <c r="G2005">
        <v>-285.57810000000001</v>
      </c>
      <c r="H2005">
        <v>1.0377369999999999</v>
      </c>
      <c r="I2005">
        <v>284.17919999999998</v>
      </c>
      <c r="J2005">
        <v>-285.20499999999998</v>
      </c>
      <c r="K2005">
        <v>1.1087</v>
      </c>
      <c r="L2005">
        <v>284.18619999999999</v>
      </c>
      <c r="M2005">
        <v>-0.99994159999999999</v>
      </c>
      <c r="N2005">
        <v>-7.7439029999999999E-3</v>
      </c>
      <c r="O2005">
        <v>-7.5399619999999999E-3</v>
      </c>
      <c r="P2005">
        <v>-0.93777820000000001</v>
      </c>
      <c r="Q2005">
        <v>0.33918229999999999</v>
      </c>
      <c r="R2005">
        <v>-7.4348429999999993E-2</v>
      </c>
      <c r="S2005">
        <v>-3.2998050000000001</v>
      </c>
      <c r="T2005">
        <v>-0.28652749999999999</v>
      </c>
      <c r="U2005">
        <v>-4.1595460000000001E-2</v>
      </c>
      <c r="V2005">
        <v>-6.6589190000000006E-2</v>
      </c>
      <c r="W2005">
        <v>0.34657070000000001</v>
      </c>
      <c r="X2005">
        <v>0.93565730000000003</v>
      </c>
      <c r="Y2005">
        <v>-5.0672410000000001E-3</v>
      </c>
      <c r="Z2005">
        <v>3.5591319999999998E-4</v>
      </c>
      <c r="AA2005">
        <v>0.99998710000000002</v>
      </c>
      <c r="AB2005">
        <v>47</v>
      </c>
      <c r="AC2005">
        <v>-0.37310000000002203</v>
      </c>
      <c r="AD2005">
        <v>-7.0962999999999804E-2</v>
      </c>
      <c r="AE2005">
        <v>-7.0000000000049996E-3</v>
      </c>
      <c r="AF2005">
        <v>-4.04044359945853E-3</v>
      </c>
      <c r="AG2005">
        <v>-7.0962999999999804E-2</v>
      </c>
      <c r="AH2005">
        <v>0.36011929661672898</v>
      </c>
      <c r="AI2005">
        <v>101.146863571612</v>
      </c>
      <c r="AJ2005">
        <v>90.642816573760001</v>
      </c>
      <c r="AK2005">
        <v>0.367066724655353</v>
      </c>
      <c r="AL2005">
        <v>69.722292850472499</v>
      </c>
      <c r="AM2005">
        <v>94.070782830709604</v>
      </c>
      <c r="AN2005">
        <v>0.99999997668331697</v>
      </c>
    </row>
    <row r="2006" spans="1:40" x14ac:dyDescent="0.25">
      <c r="A2006" t="str">
        <f>"20190304164409473"</f>
        <v>20190304164409473</v>
      </c>
      <c r="B2006" t="str">
        <f>"1551689049461457"</f>
        <v>1551689049461457</v>
      </c>
      <c r="C2006" t="s">
        <v>40</v>
      </c>
      <c r="D2006">
        <v>4.8884489999999996</v>
      </c>
      <c r="E2006">
        <v>0.53750710000000002</v>
      </c>
      <c r="F2006" t="s">
        <v>41</v>
      </c>
      <c r="G2006">
        <v>-285.99860000000001</v>
      </c>
      <c r="H2006">
        <v>1.0397559999999999</v>
      </c>
      <c r="I2006">
        <v>284.17660000000001</v>
      </c>
      <c r="J2006">
        <v>-285.65929999999997</v>
      </c>
      <c r="K2006">
        <v>1.108538</v>
      </c>
      <c r="L2006">
        <v>284.18349999999998</v>
      </c>
      <c r="M2006">
        <v>-0.99994989999999995</v>
      </c>
      <c r="N2006">
        <v>-7.7673059999999999E-3</v>
      </c>
      <c r="O2006">
        <v>-6.3434340000000002E-3</v>
      </c>
      <c r="P2006">
        <v>-0.93803049999999999</v>
      </c>
      <c r="Q2006">
        <v>0.33874290000000001</v>
      </c>
      <c r="R2006">
        <v>-7.3159379999999996E-2</v>
      </c>
      <c r="S2006">
        <v>-3.2995000000000001</v>
      </c>
      <c r="T2006">
        <v>-0.28669820000000001</v>
      </c>
      <c r="U2006">
        <v>-4.0801999999999998E-2</v>
      </c>
      <c r="V2006">
        <v>-6.6390610000000003E-2</v>
      </c>
      <c r="W2006">
        <v>0.34617969999999998</v>
      </c>
      <c r="X2006">
        <v>0.93581619999999999</v>
      </c>
      <c r="Y2006">
        <v>-6.016899E-3</v>
      </c>
      <c r="Z2006">
        <v>2.1661409999999999E-4</v>
      </c>
      <c r="AA2006">
        <v>0.99998189999999998</v>
      </c>
      <c r="AB2006">
        <v>47</v>
      </c>
      <c r="AC2006">
        <v>-0.33930000000003602</v>
      </c>
      <c r="AD2006">
        <v>-6.8782000000000093E-2</v>
      </c>
      <c r="AE2006">
        <v>-6.89999999997326E-3</v>
      </c>
      <c r="AF2006">
        <v>-4.5601506229533701E-3</v>
      </c>
      <c r="AG2006">
        <v>-6.8782000000000093E-2</v>
      </c>
      <c r="AH2006">
        <v>0.325947872342714</v>
      </c>
      <c r="AI2006">
        <v>101.914689013667</v>
      </c>
      <c r="AJ2006">
        <v>90.801540252347493</v>
      </c>
      <c r="AK2006">
        <v>0.33315728114877902</v>
      </c>
      <c r="AL2006">
        <v>69.746174933385205</v>
      </c>
      <c r="AM2006">
        <v>94.057996857227707</v>
      </c>
      <c r="AN2006">
        <v>1.0000000289853499</v>
      </c>
    </row>
    <row r="2007" spans="1:40" x14ac:dyDescent="0.25">
      <c r="A2007" t="str">
        <f>"20190304164409496"</f>
        <v>20190304164409496</v>
      </c>
      <c r="B2007" t="str">
        <f>"1551689049491714"</f>
        <v>1551689049491714</v>
      </c>
      <c r="C2007" t="s">
        <v>40</v>
      </c>
      <c r="D2007">
        <v>4.9692319999999999</v>
      </c>
      <c r="E2007">
        <v>0.53735409999999995</v>
      </c>
      <c r="F2007" t="s">
        <v>41</v>
      </c>
      <c r="G2007">
        <v>-286.42079999999999</v>
      </c>
      <c r="H2007">
        <v>1.0415509999999999</v>
      </c>
      <c r="I2007">
        <v>284.17529999999999</v>
      </c>
      <c r="J2007">
        <v>-286.13659999999999</v>
      </c>
      <c r="K2007">
        <v>1.1084039999999999</v>
      </c>
      <c r="L2007">
        <v>284.18130000000002</v>
      </c>
      <c r="M2007">
        <v>-0.99995710000000004</v>
      </c>
      <c r="N2007">
        <v>-7.7909800000000003E-3</v>
      </c>
      <c r="O2007">
        <v>-5.0277780000000001E-3</v>
      </c>
      <c r="P2007">
        <v>-0.93795340000000005</v>
      </c>
      <c r="Q2007">
        <v>0.33917019999999998</v>
      </c>
      <c r="R2007">
        <v>-7.2159509999999996E-2</v>
      </c>
      <c r="S2007">
        <v>-3.3001710000000002</v>
      </c>
      <c r="T2007">
        <v>-0.29052099999999997</v>
      </c>
      <c r="U2007">
        <v>-3.7139890000000002E-2</v>
      </c>
      <c r="V2007">
        <v>-6.6511269999999997E-2</v>
      </c>
      <c r="W2007">
        <v>0.34665020000000002</v>
      </c>
      <c r="X2007">
        <v>0.93563339999999995</v>
      </c>
      <c r="Y2007">
        <v>-6.2154460000000003E-3</v>
      </c>
      <c r="Z2007">
        <v>1.053241E-4</v>
      </c>
      <c r="AA2007">
        <v>0.99998069999999895</v>
      </c>
      <c r="AB2007">
        <v>47</v>
      </c>
      <c r="AC2007">
        <v>-0.28419999999999801</v>
      </c>
      <c r="AD2007">
        <v>-6.6852999999999996E-2</v>
      </c>
      <c r="AE2007">
        <v>-6.0000000000286404E-3</v>
      </c>
      <c r="AF2007">
        <v>-4.3314176493844999E-3</v>
      </c>
      <c r="AG2007">
        <v>-6.6852999999999996E-2</v>
      </c>
      <c r="AH2007">
        <v>0.26933005124559301</v>
      </c>
      <c r="AI2007">
        <v>103.93846285570901</v>
      </c>
      <c r="AJ2007">
        <v>90.921362311093702</v>
      </c>
      <c r="AK2007">
        <v>0.277536954821889</v>
      </c>
      <c r="AL2007">
        <v>69.717436975279995</v>
      </c>
      <c r="AM2007">
        <v>94.066138865259404</v>
      </c>
      <c r="AN2007">
        <v>0.99999998469630602</v>
      </c>
    </row>
    <row r="2008" spans="1:40" x14ac:dyDescent="0.25">
      <c r="A2008" t="str">
        <f>"20190304164409518"</f>
        <v>20190304164409518</v>
      </c>
      <c r="B2008" t="str">
        <f>"1551689049512211"</f>
        <v>1551689049512211</v>
      </c>
      <c r="C2008" t="s">
        <v>40</v>
      </c>
      <c r="D2008">
        <v>4.9241789999999996</v>
      </c>
      <c r="E2008">
        <v>0.53730679999999997</v>
      </c>
      <c r="F2008" t="s">
        <v>41</v>
      </c>
      <c r="G2008">
        <v>-287.24189999999999</v>
      </c>
      <c r="H2008">
        <v>1.0111209999999999</v>
      </c>
      <c r="I2008">
        <v>284.1705</v>
      </c>
      <c r="J2008">
        <v>-286.5994</v>
      </c>
      <c r="K2008">
        <v>1.1083050000000001</v>
      </c>
      <c r="L2008">
        <v>284.17970000000003</v>
      </c>
      <c r="M2008">
        <v>-0.99996249999999998</v>
      </c>
      <c r="N2008">
        <v>-7.8132150000000001E-3</v>
      </c>
      <c r="O2008">
        <v>-3.7295240000000001E-3</v>
      </c>
      <c r="P2008">
        <v>-0.93778439999999996</v>
      </c>
      <c r="Q2008">
        <v>0.3398679</v>
      </c>
      <c r="R2008">
        <v>-7.1064950000000002E-2</v>
      </c>
      <c r="S2008">
        <v>-3.3010250000000001</v>
      </c>
      <c r="T2008">
        <v>-0.29071439999999998</v>
      </c>
      <c r="U2008">
        <v>-3.3416750000000002E-2</v>
      </c>
      <c r="V2008">
        <v>-6.6547770000000006E-2</v>
      </c>
      <c r="W2008">
        <v>0.34738360000000001</v>
      </c>
      <c r="X2008">
        <v>0.93535880000000005</v>
      </c>
      <c r="Y2008">
        <v>-6.3782090000000001E-3</v>
      </c>
      <c r="Z2008" s="1">
        <v>-6.5603819999999998E-6</v>
      </c>
      <c r="AA2008">
        <v>0.99997970000000003</v>
      </c>
      <c r="AB2008">
        <v>47</v>
      </c>
      <c r="AC2008">
        <v>-0.64249999999998397</v>
      </c>
      <c r="AD2008">
        <v>-9.7183999999999895E-2</v>
      </c>
      <c r="AE2008">
        <v>-9.2000000000211895E-3</v>
      </c>
      <c r="AF2008">
        <v>-6.6514931465890799E-3</v>
      </c>
      <c r="AG2008">
        <v>-9.7183999999999895E-2</v>
      </c>
      <c r="AH2008">
        <v>0.62816089069625702</v>
      </c>
      <c r="AI2008">
        <v>98.794130476570999</v>
      </c>
      <c r="AJ2008">
        <v>90.606672984345096</v>
      </c>
      <c r="AK2008">
        <v>0.63566899941510002</v>
      </c>
      <c r="AL2008">
        <v>69.672632936840401</v>
      </c>
      <c r="AM2008">
        <v>94.069553152976098</v>
      </c>
      <c r="AN2008">
        <v>1.0000000279891801</v>
      </c>
    </row>
    <row r="2009" spans="1:40" x14ac:dyDescent="0.25">
      <c r="A2009" t="str">
        <f>"20190304164409539"</f>
        <v>20190304164409539</v>
      </c>
      <c r="B2009" t="str">
        <f>"1551689049531729"</f>
        <v>1551689049531729</v>
      </c>
      <c r="C2009" t="s">
        <v>40</v>
      </c>
      <c r="D2009">
        <v>4.8911579999999999</v>
      </c>
      <c r="E2009">
        <v>0.5373348</v>
      </c>
      <c r="F2009" t="s">
        <v>41</v>
      </c>
      <c r="G2009">
        <v>-287.66520000000003</v>
      </c>
      <c r="H2009">
        <v>1.0150969999999999</v>
      </c>
      <c r="I2009">
        <v>284.17059999999998</v>
      </c>
      <c r="J2009">
        <v>-287.07060000000001</v>
      </c>
      <c r="K2009">
        <v>1.1082259999999999</v>
      </c>
      <c r="L2009">
        <v>284.17869999999999</v>
      </c>
      <c r="M2009">
        <v>-0.99996640000000003</v>
      </c>
      <c r="N2009">
        <v>-7.8353550000000004E-3</v>
      </c>
      <c r="O2009">
        <v>-2.4055449999999998E-3</v>
      </c>
      <c r="P2009">
        <v>-0.93757029999999997</v>
      </c>
      <c r="Q2009">
        <v>0.34075450000000002</v>
      </c>
      <c r="R2009">
        <v>-6.9631620000000005E-2</v>
      </c>
      <c r="S2009">
        <v>-3.3015750000000001</v>
      </c>
      <c r="T2009">
        <v>-0.28869499999999998</v>
      </c>
      <c r="U2009">
        <v>-2.8045649999999998E-2</v>
      </c>
      <c r="V2009">
        <v>-6.628597E-2</v>
      </c>
      <c r="W2009">
        <v>0.34830100000000003</v>
      </c>
      <c r="X2009">
        <v>0.93503610000000004</v>
      </c>
      <c r="Y2009">
        <v>-6.0711259999999996E-3</v>
      </c>
      <c r="Z2009" s="1">
        <v>-9.7635070000000001E-5</v>
      </c>
      <c r="AA2009">
        <v>0.99998160000000003</v>
      </c>
      <c r="AB2009">
        <v>47</v>
      </c>
      <c r="AC2009">
        <v>-0.59460000000001401</v>
      </c>
      <c r="AD2009">
        <v>-9.3129000000000003E-2</v>
      </c>
      <c r="AE2009">
        <v>-8.1000000000130898E-3</v>
      </c>
      <c r="AF2009">
        <v>-6.5099283891996498E-3</v>
      </c>
      <c r="AG2009">
        <v>-9.3129000000000003E-2</v>
      </c>
      <c r="AH2009">
        <v>0.580382876421078</v>
      </c>
      <c r="AI2009">
        <v>99.115482981367506</v>
      </c>
      <c r="AJ2009">
        <v>90.642637465126896</v>
      </c>
      <c r="AK2009">
        <v>0.587843238501079</v>
      </c>
      <c r="AL2009">
        <v>69.616567353193702</v>
      </c>
      <c r="AM2009">
        <v>94.0549912523947</v>
      </c>
      <c r="AN2009">
        <v>0.999999962361524</v>
      </c>
    </row>
    <row r="2010" spans="1:40" x14ac:dyDescent="0.25">
      <c r="A2010" t="str">
        <f>"20190304164409561"</f>
        <v>20190304164409561</v>
      </c>
      <c r="B2010" t="str">
        <f>"1551689049552225"</f>
        <v>1551689049552225</v>
      </c>
      <c r="C2010" t="s">
        <v>40</v>
      </c>
      <c r="D2010">
        <v>4.9103879999999904</v>
      </c>
      <c r="E2010">
        <v>0.54034469999999901</v>
      </c>
      <c r="F2010" t="s">
        <v>41</v>
      </c>
      <c r="G2010">
        <v>-288.08969999999999</v>
      </c>
      <c r="H2010">
        <v>1.0201260000000001</v>
      </c>
      <c r="I2010">
        <v>284.17270000000002</v>
      </c>
      <c r="J2010">
        <v>-287.51740000000001</v>
      </c>
      <c r="K2010">
        <v>1.1081719999999999</v>
      </c>
      <c r="L2010">
        <v>284.17829999999998</v>
      </c>
      <c r="M2010">
        <v>-0.99996850000000004</v>
      </c>
      <c r="N2010">
        <v>-7.8561310000000006E-3</v>
      </c>
      <c r="O2010">
        <v>-1.1711180000000001E-3</v>
      </c>
      <c r="P2010">
        <v>-0.93757170000000001</v>
      </c>
      <c r="Q2010">
        <v>0.34098099999999998</v>
      </c>
      <c r="R2010">
        <v>-6.8494319999999997E-2</v>
      </c>
      <c r="S2010">
        <v>-3.3020629999999902</v>
      </c>
      <c r="T2010">
        <v>-0.28555209999999998</v>
      </c>
      <c r="U2010">
        <v>-2.053833E-2</v>
      </c>
      <c r="V2010">
        <v>-6.625789E-2</v>
      </c>
      <c r="W2010">
        <v>0.3485549</v>
      </c>
      <c r="X2010">
        <v>0.93494350000000004</v>
      </c>
      <c r="Y2010">
        <v>-5.0317130000000002E-3</v>
      </c>
      <c r="Z2010">
        <v>-1.4506170000000001E-4</v>
      </c>
      <c r="AA2010">
        <v>0.99998730000000002</v>
      </c>
      <c r="AB2010">
        <v>47</v>
      </c>
      <c r="AC2010">
        <v>-0.57229999999998404</v>
      </c>
      <c r="AD2010">
        <v>-8.8045999999999805E-2</v>
      </c>
      <c r="AE2010">
        <v>-5.5999999999585201E-3</v>
      </c>
      <c r="AF2010">
        <v>-4.8157731882844E-3</v>
      </c>
      <c r="AG2010">
        <v>-8.8045999999999805E-2</v>
      </c>
      <c r="AH2010">
        <v>0.55907493621367099</v>
      </c>
      <c r="AI2010">
        <v>98.949401754768502</v>
      </c>
      <c r="AJ2010">
        <v>90.493523563465402</v>
      </c>
      <c r="AK2010">
        <v>0.56598593099980998</v>
      </c>
      <c r="AL2010">
        <v>69.601047935572197</v>
      </c>
      <c r="AM2010">
        <v>94.053679319830096</v>
      </c>
      <c r="AN2010">
        <v>0.99999998724675598</v>
      </c>
    </row>
    <row r="2011" spans="1:40" x14ac:dyDescent="0.25">
      <c r="A2011" t="str">
        <f>"20190304164409573"</f>
        <v>20190304164409573</v>
      </c>
      <c r="B2011" t="str">
        <f>"1551689049561986"</f>
        <v>1551689049561986</v>
      </c>
      <c r="C2011" t="s">
        <v>40</v>
      </c>
      <c r="D2011">
        <v>4.938205</v>
      </c>
      <c r="E2011">
        <v>0.53993230000000003</v>
      </c>
      <c r="F2011" t="s">
        <v>41</v>
      </c>
      <c r="G2011">
        <v>-288.49869999999999</v>
      </c>
      <c r="H2011">
        <v>0.99186940000000001</v>
      </c>
      <c r="I2011">
        <v>284.17790000000002</v>
      </c>
      <c r="J2011">
        <v>-287.78489999999999</v>
      </c>
      <c r="K2011">
        <v>1.1081490000000001</v>
      </c>
      <c r="L2011">
        <v>284.1782</v>
      </c>
      <c r="M2011">
        <v>-0.99996890000000005</v>
      </c>
      <c r="N2011">
        <v>-7.8685179999999997E-3</v>
      </c>
      <c r="O2011">
        <v>-4.4550409999999998E-4</v>
      </c>
      <c r="P2011">
        <v>-0.93774109999999999</v>
      </c>
      <c r="Q2011">
        <v>0.34064250000000001</v>
      </c>
      <c r="R2011">
        <v>-6.785542E-2</v>
      </c>
      <c r="S2011">
        <v>-3.3438110000000001</v>
      </c>
      <c r="T2011">
        <v>-0.39632230000000002</v>
      </c>
      <c r="U2011">
        <v>-1.190186E-3</v>
      </c>
      <c r="V2011">
        <v>-6.6278379999999998E-2</v>
      </c>
      <c r="W2011">
        <v>0.34823359999999998</v>
      </c>
      <c r="X2011">
        <v>0.93506180000000005</v>
      </c>
      <c r="Y2011" s="1">
        <v>8.6219239999999999E-5</v>
      </c>
      <c r="Z2011" s="1">
        <v>5.455691E-5</v>
      </c>
      <c r="AA2011">
        <v>1</v>
      </c>
      <c r="AB2011">
        <v>47</v>
      </c>
      <c r="AC2011">
        <v>-0.713799999999992</v>
      </c>
      <c r="AD2011">
        <v>-0.1162796</v>
      </c>
      <c r="AE2011">
        <v>-2.9999999998153699E-4</v>
      </c>
      <c r="AF2011" s="1">
        <v>1.75451179307216E-5</v>
      </c>
      <c r="AG2011">
        <v>-0.1162796</v>
      </c>
      <c r="AH2011">
        <v>0.69534753727328702</v>
      </c>
      <c r="AI2011">
        <v>99.493453592567306</v>
      </c>
      <c r="AJ2011">
        <v>89.998554303920798</v>
      </c>
      <c r="AK2011">
        <v>0.70500293848750395</v>
      </c>
      <c r="AL2011">
        <v>69.6206881573343</v>
      </c>
      <c r="AM2011">
        <v>94.054417422505097</v>
      </c>
      <c r="AN2011">
        <v>1.0000000168218099</v>
      </c>
    </row>
    <row r="2012" spans="1:40" x14ac:dyDescent="0.25">
      <c r="A2012" t="str">
        <f>"20190304164409588"</f>
        <v>20190304164409588</v>
      </c>
      <c r="B2012" t="str">
        <f>"1551689049581506"</f>
        <v>1551689049581506</v>
      </c>
      <c r="C2012" t="s">
        <v>40</v>
      </c>
      <c r="D2012">
        <v>4.918444</v>
      </c>
      <c r="E2012">
        <v>0.53993239999999998</v>
      </c>
      <c r="F2012" t="s">
        <v>41</v>
      </c>
      <c r="G2012">
        <v>-288.51260000000002</v>
      </c>
      <c r="H2012">
        <v>1.0207580000000001</v>
      </c>
      <c r="I2012">
        <v>284.17770000000002</v>
      </c>
      <c r="J2012">
        <v>-288.0899</v>
      </c>
      <c r="K2012">
        <v>1.1081399999999999</v>
      </c>
      <c r="L2012">
        <v>284.17840000000001</v>
      </c>
      <c r="M2012">
        <v>-0.99996870000000004</v>
      </c>
      <c r="N2012">
        <v>-7.92368699999999E-3</v>
      </c>
      <c r="O2012">
        <v>3.4499409999999998E-4</v>
      </c>
      <c r="P2012">
        <v>-0.93771099999999996</v>
      </c>
      <c r="Q2012">
        <v>0.34091719999999998</v>
      </c>
      <c r="R2012">
        <v>-6.6885810000000004E-2</v>
      </c>
      <c r="S2012">
        <v>-3.3449710000000001</v>
      </c>
      <c r="T2012">
        <v>-0.40176010000000001</v>
      </c>
      <c r="U2012">
        <v>-2.166748E-3</v>
      </c>
      <c r="V2012">
        <v>-6.6034389999999998E-2</v>
      </c>
      <c r="W2012">
        <v>0.34856110000000001</v>
      </c>
      <c r="X2012">
        <v>0.93495700000000004</v>
      </c>
      <c r="Y2012">
        <v>-9.8306929999999993E-4</v>
      </c>
      <c r="Z2012">
        <v>-1.012998E-4</v>
      </c>
      <c r="AA2012">
        <v>0.99999950000000004</v>
      </c>
      <c r="AB2012">
        <v>47</v>
      </c>
      <c r="AC2012">
        <v>-0.42270000000002</v>
      </c>
      <c r="AD2012">
        <v>-8.7381999999999793E-2</v>
      </c>
      <c r="AE2012">
        <v>-6.9999999999481501E-4</v>
      </c>
      <c r="AF2012">
        <v>-8.1116866129155702E-4</v>
      </c>
      <c r="AG2012">
        <v>-8.7381999999999793E-2</v>
      </c>
      <c r="AH2012">
        <v>0.40537619825397297</v>
      </c>
      <c r="AI2012">
        <v>102.16440036616</v>
      </c>
      <c r="AJ2012">
        <v>90.114650240771994</v>
      </c>
      <c r="AK2012">
        <v>0.414687996003552</v>
      </c>
      <c r="AL2012">
        <v>69.600668916956593</v>
      </c>
      <c r="AM2012">
        <v>94.039992730117106</v>
      </c>
      <c r="AN2012">
        <v>0.99999998647244104</v>
      </c>
    </row>
    <row r="2013" spans="1:40" x14ac:dyDescent="0.25">
      <c r="A2013" t="str">
        <f>"20190304164409605"</f>
        <v>20190304164409605</v>
      </c>
      <c r="B2013" t="str">
        <f>"1551689049602002"</f>
        <v>1551689049602002</v>
      </c>
      <c r="C2013" t="s">
        <v>40</v>
      </c>
      <c r="D2013">
        <v>4.9056860000000002</v>
      </c>
      <c r="E2013">
        <v>0.53984759999999998</v>
      </c>
      <c r="F2013" t="s">
        <v>41</v>
      </c>
      <c r="G2013">
        <v>-288.92899999999997</v>
      </c>
      <c r="H2013">
        <v>1.0065059999999999</v>
      </c>
      <c r="I2013">
        <v>284.17880000000002</v>
      </c>
      <c r="J2013">
        <v>-288.45030000000003</v>
      </c>
      <c r="K2013">
        <v>1.10816</v>
      </c>
      <c r="L2013">
        <v>284.17899999999997</v>
      </c>
      <c r="M2013">
        <v>-0.99996689999999999</v>
      </c>
      <c r="N2013">
        <v>-8.0599480000000008E-3</v>
      </c>
      <c r="O2013">
        <v>1.239864E-3</v>
      </c>
      <c r="P2013">
        <v>-0.93776729999999997</v>
      </c>
      <c r="Q2013">
        <v>0.34087580000000001</v>
      </c>
      <c r="R2013">
        <v>-6.6307340000000006E-2</v>
      </c>
      <c r="S2013">
        <v>-3.3467410000000002</v>
      </c>
      <c r="T2013">
        <v>-0.40545399999999998</v>
      </c>
      <c r="U2013">
        <v>7.6293949999999998E-4</v>
      </c>
      <c r="V2013">
        <v>-6.628618E-2</v>
      </c>
      <c r="W2013">
        <v>0.34864919999999999</v>
      </c>
      <c r="X2013">
        <v>0.93490640000000003</v>
      </c>
      <c r="Y2013">
        <v>-9.9626709999999993E-4</v>
      </c>
      <c r="Z2013">
        <v>-2.0386070000000001E-4</v>
      </c>
      <c r="AA2013">
        <v>0.99999950000000004</v>
      </c>
      <c r="AB2013">
        <v>47</v>
      </c>
      <c r="AC2013">
        <v>-0.47870000000000301</v>
      </c>
      <c r="AD2013">
        <v>-0.10165399999999999</v>
      </c>
      <c r="AE2013">
        <v>-2.0000000000663901E-4</v>
      </c>
      <c r="AF2013">
        <v>-7.5930172459827102E-4</v>
      </c>
      <c r="AG2013">
        <v>-0.10165399999999999</v>
      </c>
      <c r="AH2013">
        <v>0.45804418483849002</v>
      </c>
      <c r="AI2013">
        <v>102.512865169552</v>
      </c>
      <c r="AJ2013">
        <v>90.094979361787395</v>
      </c>
      <c r="AK2013">
        <v>0.46918928751567401</v>
      </c>
      <c r="AL2013">
        <v>69.595284662563103</v>
      </c>
      <c r="AM2013">
        <v>94.055564731722896</v>
      </c>
      <c r="AN2013">
        <v>1.0000000495402901</v>
      </c>
    </row>
    <row r="2014" spans="1:40" x14ac:dyDescent="0.25">
      <c r="A2014" t="str">
        <f>"20190304164409629"</f>
        <v>20190304164409629</v>
      </c>
      <c r="B2014" t="str">
        <f>"1551689049621521"</f>
        <v>1551689049621521</v>
      </c>
      <c r="C2014" t="s">
        <v>40</v>
      </c>
      <c r="D2014">
        <v>4.909675</v>
      </c>
      <c r="E2014">
        <v>0.53980600000000001</v>
      </c>
      <c r="F2014" t="s">
        <v>41</v>
      </c>
      <c r="G2014">
        <v>-289.34890000000001</v>
      </c>
      <c r="H2014">
        <v>0.99939860000000003</v>
      </c>
      <c r="I2014">
        <v>284.17950000000002</v>
      </c>
      <c r="J2014">
        <v>-288.95760000000001</v>
      </c>
      <c r="K2014">
        <v>1.1082559999999999</v>
      </c>
      <c r="L2014">
        <v>284.18020000000001</v>
      </c>
      <c r="M2014">
        <v>-0.99996149999999995</v>
      </c>
      <c r="N2014">
        <v>-8.4444489999999997E-3</v>
      </c>
      <c r="O2014">
        <v>2.4121899999999998E-3</v>
      </c>
      <c r="P2014">
        <v>-0.93787359999999997</v>
      </c>
      <c r="Q2014">
        <v>0.34073599999999998</v>
      </c>
      <c r="R2014">
        <v>-6.5516290000000005E-2</v>
      </c>
      <c r="S2014">
        <v>-3.3464659999999999</v>
      </c>
      <c r="T2014">
        <v>-0.40499010000000002</v>
      </c>
      <c r="U2014">
        <v>2.1057129999999999E-3</v>
      </c>
      <c r="V2014">
        <v>-6.6599560000000002E-2</v>
      </c>
      <c r="W2014">
        <v>0.3488695</v>
      </c>
      <c r="X2014">
        <v>0.93480189999999996</v>
      </c>
      <c r="Y2014">
        <v>-1.754116E-3</v>
      </c>
      <c r="Z2014">
        <v>-3.8375250000000002E-4</v>
      </c>
      <c r="AA2014">
        <v>0.99999839999999995</v>
      </c>
      <c r="AB2014">
        <v>47</v>
      </c>
      <c r="AC2014">
        <v>-0.39130000000000098</v>
      </c>
      <c r="AD2014">
        <v>-0.10885739999999899</v>
      </c>
      <c r="AE2014">
        <v>-6.9999999999481501E-4</v>
      </c>
      <c r="AF2014">
        <v>-1.52583446190855E-3</v>
      </c>
      <c r="AG2014">
        <v>-0.10885739999999899</v>
      </c>
      <c r="AH2014">
        <v>0.36318930643366698</v>
      </c>
      <c r="AI2014">
        <v>106.68471894777301</v>
      </c>
      <c r="AJ2014">
        <v>90.240710172384496</v>
      </c>
      <c r="AK2014">
        <v>0.379155290103321</v>
      </c>
      <c r="AL2014">
        <v>69.581815960592095</v>
      </c>
      <c r="AM2014">
        <v>94.075127689455101</v>
      </c>
      <c r="AN2014">
        <v>1.00000001083302</v>
      </c>
    </row>
    <row r="2015" spans="1:40" x14ac:dyDescent="0.25">
      <c r="A2015" t="str">
        <f>"20190304164409642"</f>
        <v>20190304164409642</v>
      </c>
      <c r="B2015" t="str">
        <f>"1551689049632258"</f>
        <v>1551689049632258</v>
      </c>
      <c r="C2015" t="s">
        <v>40</v>
      </c>
      <c r="D2015">
        <v>4.9239389999999998</v>
      </c>
      <c r="E2015">
        <v>0.53979509999999997</v>
      </c>
      <c r="F2015" t="s">
        <v>41</v>
      </c>
      <c r="G2015">
        <v>-289.77620000000002</v>
      </c>
      <c r="H2015">
        <v>1.008507</v>
      </c>
      <c r="I2015">
        <v>284.18119999999999</v>
      </c>
      <c r="J2015">
        <v>-289.21960000000001</v>
      </c>
      <c r="K2015">
        <v>1.10832</v>
      </c>
      <c r="L2015">
        <v>284.18110000000001</v>
      </c>
      <c r="M2015">
        <v>-0.99995789999999996</v>
      </c>
      <c r="N2015">
        <v>-8.6885759999999999E-3</v>
      </c>
      <c r="O2015">
        <v>2.9755150000000002E-3</v>
      </c>
      <c r="P2015">
        <v>-0.93786049999999999</v>
      </c>
      <c r="Q2015">
        <v>0.34077449999999998</v>
      </c>
      <c r="R2015">
        <v>-6.5501240000000002E-2</v>
      </c>
      <c r="S2015">
        <v>-3.347137</v>
      </c>
      <c r="T2015">
        <v>-0.40805019999999997</v>
      </c>
      <c r="U2015">
        <v>2.7770999999999998E-3</v>
      </c>
      <c r="V2015">
        <v>-6.7121109999999998E-2</v>
      </c>
      <c r="W2015">
        <v>0.34913539999999998</v>
      </c>
      <c r="X2015">
        <v>0.93466530000000003</v>
      </c>
      <c r="Y2015">
        <v>-2.1101900000000001E-3</v>
      </c>
      <c r="Z2015">
        <v>-4.7299830000000002E-4</v>
      </c>
      <c r="AA2015">
        <v>0.99999769999999999</v>
      </c>
      <c r="AB2015">
        <v>47</v>
      </c>
      <c r="AC2015">
        <v>-0.55660000000000298</v>
      </c>
      <c r="AD2015">
        <v>-9.9812999999999902E-2</v>
      </c>
      <c r="AE2015" s="1">
        <v>9.9999999974897906E-5</v>
      </c>
      <c r="AF2015">
        <v>-1.50774844977978E-3</v>
      </c>
      <c r="AG2015">
        <v>-9.9812999999999902E-2</v>
      </c>
      <c r="AH2015">
        <v>0.53925647288194101</v>
      </c>
      <c r="AI2015">
        <v>100.486371416582</v>
      </c>
      <c r="AJ2015">
        <v>90.160197238185802</v>
      </c>
      <c r="AK2015">
        <v>0.54841813593230004</v>
      </c>
      <c r="AL2015">
        <v>69.565558495928599</v>
      </c>
      <c r="AM2015">
        <v>94.107529946707203</v>
      </c>
      <c r="AN2015">
        <v>0.99999999698244102</v>
      </c>
    </row>
    <row r="2016" spans="1:40" x14ac:dyDescent="0.25">
      <c r="A2016" t="str">
        <f>"20190304164409654"</f>
        <v>20190304164409654</v>
      </c>
      <c r="B2016" t="str">
        <f>"1551689049642018"</f>
        <v>1551689049642018</v>
      </c>
      <c r="C2016" t="s">
        <v>40</v>
      </c>
      <c r="D2016">
        <v>4.9360249999999999</v>
      </c>
      <c r="E2016">
        <v>0.53974789999999995</v>
      </c>
      <c r="F2016" t="s">
        <v>41</v>
      </c>
      <c r="G2016">
        <v>-290.19049999999999</v>
      </c>
      <c r="H2016">
        <v>0.99025510000000005</v>
      </c>
      <c r="I2016">
        <v>284.18209999999999</v>
      </c>
      <c r="J2016">
        <v>-289.4905</v>
      </c>
      <c r="K2016">
        <v>1.1083860000000001</v>
      </c>
      <c r="L2016">
        <v>284.18209999999999</v>
      </c>
      <c r="M2016">
        <v>-0.99995389999999995</v>
      </c>
      <c r="N2016">
        <v>-8.9428219999999996E-3</v>
      </c>
      <c r="O2016">
        <v>3.5400620000000001E-3</v>
      </c>
      <c r="P2016">
        <v>-0.93786999999999998</v>
      </c>
      <c r="Q2016">
        <v>0.34073969999999998</v>
      </c>
      <c r="R2016">
        <v>-6.5547560000000005E-2</v>
      </c>
      <c r="S2016">
        <v>-3.346924</v>
      </c>
      <c r="T2016">
        <v>-0.40702579999999999</v>
      </c>
      <c r="U2016">
        <v>3.5705569999999998E-3</v>
      </c>
      <c r="V2016">
        <v>-6.7707939999999994E-2</v>
      </c>
      <c r="W2016">
        <v>0.34933779999999998</v>
      </c>
      <c r="X2016">
        <v>0.93454740000000003</v>
      </c>
      <c r="Y2016">
        <v>-2.4317610000000002E-3</v>
      </c>
      <c r="Z2016">
        <v>-5.556208E-4</v>
      </c>
      <c r="AA2016">
        <v>0.99999689999999997</v>
      </c>
      <c r="AB2016">
        <v>47</v>
      </c>
      <c r="AC2016">
        <v>-0.69999999999998797</v>
      </c>
      <c r="AD2016">
        <v>-0.1181309</v>
      </c>
      <c r="AE2016">
        <v>0</v>
      </c>
      <c r="AF2016">
        <v>-2.4095204009097E-3</v>
      </c>
      <c r="AG2016">
        <v>-0.1181309</v>
      </c>
      <c r="AH2016">
        <v>0.680612181938967</v>
      </c>
      <c r="AI2016">
        <v>99.846425824698002</v>
      </c>
      <c r="AJ2016">
        <v>90.202839115332395</v>
      </c>
      <c r="AK2016">
        <v>0.69079205085690898</v>
      </c>
      <c r="AL2016">
        <v>69.553183776874803</v>
      </c>
      <c r="AM2016">
        <v>94.143837839318905</v>
      </c>
      <c r="AN2016">
        <v>1.0000000532473201</v>
      </c>
    </row>
    <row r="2017" spans="1:40" x14ac:dyDescent="0.25">
      <c r="A2017" t="str">
        <f>"20190304164409671"</f>
        <v>20190304164409671</v>
      </c>
      <c r="B2017" t="str">
        <f>"1551689049661554"</f>
        <v>1551689049661554</v>
      </c>
      <c r="C2017" t="s">
        <v>40</v>
      </c>
      <c r="D2017">
        <v>4.9283599999999996</v>
      </c>
      <c r="E2017">
        <v>0.53968319999999903</v>
      </c>
      <c r="F2017" t="s">
        <v>41</v>
      </c>
      <c r="G2017">
        <v>-290.6053</v>
      </c>
      <c r="H2017">
        <v>0.97278089999999995</v>
      </c>
      <c r="I2017">
        <v>284.18369999999999</v>
      </c>
      <c r="J2017">
        <v>-289.8621</v>
      </c>
      <c r="K2017">
        <v>1.108474</v>
      </c>
      <c r="L2017">
        <v>284.18369999999999</v>
      </c>
      <c r="M2017">
        <v>-0.99994780000000005</v>
      </c>
      <c r="N2017">
        <v>-9.2830389999999999E-3</v>
      </c>
      <c r="O2017">
        <v>4.2490540000000004E-3</v>
      </c>
      <c r="P2017">
        <v>-0.93797269999999999</v>
      </c>
      <c r="Q2017">
        <v>0.34043079999999998</v>
      </c>
      <c r="R2017">
        <v>-6.5682169999999998E-2</v>
      </c>
      <c r="S2017">
        <v>-3.3469540000000002</v>
      </c>
      <c r="T2017">
        <v>-0.40719529999999998</v>
      </c>
      <c r="U2017">
        <v>4.272461E-3</v>
      </c>
      <c r="V2017">
        <v>-6.8529889999999996E-2</v>
      </c>
      <c r="W2017">
        <v>0.34934589999999999</v>
      </c>
      <c r="X2017">
        <v>0.93448439999999999</v>
      </c>
      <c r="Y2017">
        <v>-2.9227860000000001E-3</v>
      </c>
      <c r="Z2017">
        <v>-6.6649660000000002E-4</v>
      </c>
      <c r="AA2017">
        <v>0.99999550000000004</v>
      </c>
      <c r="AB2017">
        <v>47</v>
      </c>
      <c r="AC2017">
        <v>-0.74320000000000097</v>
      </c>
      <c r="AD2017">
        <v>-0.13569309999999901</v>
      </c>
      <c r="AE2017">
        <v>0</v>
      </c>
      <c r="AF2017">
        <v>-3.0561554696421798E-3</v>
      </c>
      <c r="AG2017">
        <v>-0.13569309999999901</v>
      </c>
      <c r="AH2017">
        <v>0.71921795729747395</v>
      </c>
      <c r="AI2017">
        <v>100.68417188128799</v>
      </c>
      <c r="AJ2017">
        <v>90.243464104675695</v>
      </c>
      <c r="AK2017">
        <v>0.73191285517677296</v>
      </c>
      <c r="AL2017">
        <v>69.552687310722305</v>
      </c>
      <c r="AM2017">
        <v>94.194245846624099</v>
      </c>
      <c r="AN2017">
        <v>0.99999999875679102</v>
      </c>
    </row>
    <row r="2018" spans="1:40" x14ac:dyDescent="0.25">
      <c r="A2018" t="str">
        <f>"20190304164409685"</f>
        <v>20190304164409685</v>
      </c>
      <c r="B2018" t="str">
        <f>"1551689049682034"</f>
        <v>1551689049682034</v>
      </c>
      <c r="C2018" t="s">
        <v>40</v>
      </c>
      <c r="D2018">
        <v>4.9453509999999996</v>
      </c>
      <c r="E2018">
        <v>0.53965260000000004</v>
      </c>
      <c r="F2018" t="s">
        <v>41</v>
      </c>
      <c r="G2018">
        <v>-290.62569999999999</v>
      </c>
      <c r="H2018">
        <v>1.0154179999999999</v>
      </c>
      <c r="I2018">
        <v>284.1848</v>
      </c>
      <c r="J2018">
        <v>-290.14109999999999</v>
      </c>
      <c r="K2018">
        <v>1.108538</v>
      </c>
      <c r="L2018">
        <v>284.18520000000001</v>
      </c>
      <c r="M2018">
        <v>-0.99994340000000004</v>
      </c>
      <c r="N2018">
        <v>-9.5383989999999995E-3</v>
      </c>
      <c r="O2018">
        <v>4.741589E-3</v>
      </c>
      <c r="P2018">
        <v>-0.93789100000000003</v>
      </c>
      <c r="Q2018">
        <v>0.34065420000000002</v>
      </c>
      <c r="R2018">
        <v>-6.5690659999999998E-2</v>
      </c>
      <c r="S2018">
        <v>-3.3467410000000002</v>
      </c>
      <c r="T2018">
        <v>-0.40795799999999999</v>
      </c>
      <c r="U2018">
        <v>3.8146970000000001E-3</v>
      </c>
      <c r="V2018">
        <v>-6.9019449999999996E-2</v>
      </c>
      <c r="W2018">
        <v>0.34980420000000001</v>
      </c>
      <c r="X2018">
        <v>0.93427689999999997</v>
      </c>
      <c r="Y2018">
        <v>-3.5438710000000001E-3</v>
      </c>
      <c r="Z2018">
        <v>-7.6294410000000003E-4</v>
      </c>
      <c r="AA2018">
        <v>0.99999340000000003</v>
      </c>
      <c r="AB2018">
        <v>47</v>
      </c>
      <c r="AC2018">
        <v>-0.48459999999999998</v>
      </c>
      <c r="AD2018">
        <v>-9.3119999999999994E-2</v>
      </c>
      <c r="AE2018">
        <v>-4.0000000001327803E-4</v>
      </c>
      <c r="AF2018">
        <v>-2.6018025725473102E-3</v>
      </c>
      <c r="AG2018">
        <v>-9.3119999999999994E-2</v>
      </c>
      <c r="AH2018">
        <v>0.467336328230614</v>
      </c>
      <c r="AI2018">
        <v>101.268818938706</v>
      </c>
      <c r="AJ2018">
        <v>90.318979624306394</v>
      </c>
      <c r="AK2018">
        <v>0.476530531509471</v>
      </c>
      <c r="AL2018">
        <v>69.524660295941601</v>
      </c>
      <c r="AM2018">
        <v>94.2250351584253</v>
      </c>
      <c r="AN2018">
        <v>0.99999999434477604</v>
      </c>
    </row>
    <row r="2019" spans="1:40" x14ac:dyDescent="0.25">
      <c r="A2019" t="str">
        <f>"20190304164409700"</f>
        <v>20190304164409700</v>
      </c>
      <c r="B2019" t="str">
        <f>"1551689049691793"</f>
        <v>1551689049691793</v>
      </c>
      <c r="C2019" t="s">
        <v>40</v>
      </c>
      <c r="D2019">
        <v>4.9477799999999998</v>
      </c>
      <c r="E2019">
        <v>0.53964319999999999</v>
      </c>
      <c r="F2019" t="s">
        <v>41</v>
      </c>
      <c r="G2019">
        <v>-291.04059999999998</v>
      </c>
      <c r="H2019">
        <v>0.9985117</v>
      </c>
      <c r="I2019">
        <v>284.18630000000002</v>
      </c>
      <c r="J2019">
        <v>-290.4676</v>
      </c>
      <c r="K2019">
        <v>1.108617</v>
      </c>
      <c r="L2019">
        <v>284.18709999999999</v>
      </c>
      <c r="M2019">
        <v>-0.99993770000000004</v>
      </c>
      <c r="N2019">
        <v>-9.8358520000000008E-3</v>
      </c>
      <c r="O2019">
        <v>5.2873829999999997E-3</v>
      </c>
      <c r="P2019">
        <v>-0.93802160000000001</v>
      </c>
      <c r="Q2019">
        <v>0.34039700000000001</v>
      </c>
      <c r="R2019">
        <v>-6.5156469999999994E-2</v>
      </c>
      <c r="S2019">
        <v>-3.347626</v>
      </c>
      <c r="T2019">
        <v>-0.40952670000000002</v>
      </c>
      <c r="U2019">
        <v>3.540039E-3</v>
      </c>
      <c r="V2019">
        <v>-6.9026160000000003E-2</v>
      </c>
      <c r="W2019">
        <v>0.34981990000000002</v>
      </c>
      <c r="X2019">
        <v>0.93427059999999995</v>
      </c>
      <c r="Y2019">
        <v>-4.16329E-3</v>
      </c>
      <c r="Z2019">
        <v>-8.6685590000000002E-4</v>
      </c>
      <c r="AA2019">
        <v>0.99999090000000002</v>
      </c>
      <c r="AB2019">
        <v>47</v>
      </c>
      <c r="AC2019">
        <v>-0.57299999999997897</v>
      </c>
      <c r="AD2019">
        <v>-0.110105299999999</v>
      </c>
      <c r="AE2019">
        <v>-7.9999999996971296E-4</v>
      </c>
      <c r="AF2019">
        <v>-3.6934302104942602E-3</v>
      </c>
      <c r="AG2019">
        <v>-0.110105299999999</v>
      </c>
      <c r="AH2019">
        <v>0.552584250660348</v>
      </c>
      <c r="AI2019">
        <v>101.268650199474</v>
      </c>
      <c r="AJ2019">
        <v>90.382954837181302</v>
      </c>
      <c r="AK2019">
        <v>0.56345911350573397</v>
      </c>
      <c r="AL2019">
        <v>69.523701568022503</v>
      </c>
      <c r="AM2019">
        <v>94.2254728143036</v>
      </c>
      <c r="AN2019">
        <v>1.0000000636123501</v>
      </c>
    </row>
    <row r="2020" spans="1:40" x14ac:dyDescent="0.25">
      <c r="A2020" t="str">
        <f>"20190304164409719"</f>
        <v>20190304164409719</v>
      </c>
      <c r="B2020" t="str">
        <f>"1551689049712290"</f>
        <v>1551689049712290</v>
      </c>
      <c r="C2020" t="s">
        <v>40</v>
      </c>
      <c r="D2020">
        <v>4.9953779999999997</v>
      </c>
      <c r="E2020">
        <v>0.53964469999999898</v>
      </c>
      <c r="F2020" t="s">
        <v>41</v>
      </c>
      <c r="G2020">
        <v>-291.45780000000002</v>
      </c>
      <c r="H2020">
        <v>0.98688699999999996</v>
      </c>
      <c r="I2020">
        <v>284.18889999999999</v>
      </c>
      <c r="J2020">
        <v>-290.8442</v>
      </c>
      <c r="K2020">
        <v>1.1087070000000001</v>
      </c>
      <c r="L2020">
        <v>284.18939999999998</v>
      </c>
      <c r="M2020">
        <v>-0.99993120000000002</v>
      </c>
      <c r="N2020">
        <v>-1.017348E-2</v>
      </c>
      <c r="O2020">
        <v>5.8713599999999999E-3</v>
      </c>
      <c r="P2020">
        <v>-0.93812689999999999</v>
      </c>
      <c r="Q2020">
        <v>0.34005859999999999</v>
      </c>
      <c r="R2020">
        <v>-6.5411159999999996E-2</v>
      </c>
      <c r="S2020">
        <v>-3.3479920000000001</v>
      </c>
      <c r="T2020">
        <v>-0.4117305</v>
      </c>
      <c r="U2020">
        <v>5.1574709999999899E-3</v>
      </c>
      <c r="V2020">
        <v>-6.9867990000000005E-2</v>
      </c>
      <c r="W2020">
        <v>0.3497922</v>
      </c>
      <c r="X2020">
        <v>0.93421829999999995</v>
      </c>
      <c r="Y2020">
        <v>-4.2592410000000004E-3</v>
      </c>
      <c r="Z2020">
        <v>-9.4247639999999995E-4</v>
      </c>
      <c r="AA2020">
        <v>0.9999905</v>
      </c>
      <c r="AB2020">
        <v>47</v>
      </c>
      <c r="AC2020">
        <v>-0.61360000000001902</v>
      </c>
      <c r="AD2020">
        <v>-0.121819999999999</v>
      </c>
      <c r="AE2020">
        <v>-4.9999999998817603E-4</v>
      </c>
      <c r="AF2020">
        <v>-3.9472606959584699E-3</v>
      </c>
      <c r="AG2020">
        <v>-0.121819999999999</v>
      </c>
      <c r="AH2020">
        <v>0.59031882025680205</v>
      </c>
      <c r="AI2020">
        <v>101.659800641252</v>
      </c>
      <c r="AJ2020">
        <v>90.383111634224406</v>
      </c>
      <c r="AK2020">
        <v>0.602770273666829</v>
      </c>
      <c r="AL2020">
        <v>69.525393809943196</v>
      </c>
      <c r="AM2020">
        <v>94.277054357944493</v>
      </c>
      <c r="AN2020">
        <v>0.99999997563118403</v>
      </c>
    </row>
    <row r="2021" spans="1:40" x14ac:dyDescent="0.25">
      <c r="A2021" t="str">
        <f>"20190304164409740"</f>
        <v>20190304164409740</v>
      </c>
      <c r="B2021" t="str">
        <f>"1551689049731809"</f>
        <v>1551689049731809</v>
      </c>
      <c r="C2021" t="s">
        <v>40</v>
      </c>
      <c r="D2021">
        <v>5.0329470000000001</v>
      </c>
      <c r="E2021">
        <v>0.53876809999999997</v>
      </c>
      <c r="F2021" t="s">
        <v>41</v>
      </c>
      <c r="G2021">
        <v>-291.8777</v>
      </c>
      <c r="H2021">
        <v>0.98092140000000005</v>
      </c>
      <c r="I2021">
        <v>284.1909</v>
      </c>
      <c r="J2021">
        <v>-291.3186</v>
      </c>
      <c r="K2021">
        <v>1.108814</v>
      </c>
      <c r="L2021">
        <v>284.1927</v>
      </c>
      <c r="M2021">
        <v>-0.99992270000000005</v>
      </c>
      <c r="N2021">
        <v>-1.057686E-2</v>
      </c>
      <c r="O2021">
        <v>6.5512419999999997E-3</v>
      </c>
      <c r="P2021">
        <v>-0.93821390000000005</v>
      </c>
      <c r="Q2021">
        <v>0.33971570000000001</v>
      </c>
      <c r="R2021">
        <v>-6.5940170000000006E-2</v>
      </c>
      <c r="S2021">
        <v>-3.348328</v>
      </c>
      <c r="T2021">
        <v>-0.4140953</v>
      </c>
      <c r="U2021">
        <v>4.6386719999999999E-3</v>
      </c>
      <c r="V2021">
        <v>-7.1089550000000001E-2</v>
      </c>
      <c r="W2021">
        <v>0.34981950000000001</v>
      </c>
      <c r="X2021">
        <v>0.9341159</v>
      </c>
      <c r="Y2021">
        <v>-5.0824700000000004E-3</v>
      </c>
      <c r="Z2021">
        <v>-1.0781510000000001E-3</v>
      </c>
      <c r="AA2021">
        <v>0.9999865</v>
      </c>
      <c r="AB2021">
        <v>47</v>
      </c>
      <c r="AC2021">
        <v>-0.55910000000000004</v>
      </c>
      <c r="AD2021">
        <v>-0.1278926</v>
      </c>
      <c r="AE2021">
        <v>-1.8000000000029099E-3</v>
      </c>
      <c r="AF2021">
        <v>-5.1913301421690101E-3</v>
      </c>
      <c r="AG2021">
        <v>-0.1278926</v>
      </c>
      <c r="AH2021">
        <v>0.53127724673653198</v>
      </c>
      <c r="AI2021">
        <v>103.53447173367201</v>
      </c>
      <c r="AJ2021">
        <v>90.559842987735294</v>
      </c>
      <c r="AK2021">
        <v>0.54647870950601096</v>
      </c>
      <c r="AL2021">
        <v>69.523723829509507</v>
      </c>
      <c r="AM2021">
        <v>94.352024061898803</v>
      </c>
      <c r="AN2021">
        <v>0.99999996066612995</v>
      </c>
    </row>
    <row r="2022" spans="1:40" x14ac:dyDescent="0.25">
      <c r="A2022" t="str">
        <f>"20190304164409753"</f>
        <v>20190304164409753</v>
      </c>
      <c r="B2022" t="str">
        <f>"1551689049741570"</f>
        <v>1551689049741570</v>
      </c>
      <c r="C2022" t="s">
        <v>40</v>
      </c>
      <c r="D2022">
        <v>4.9779309999999999</v>
      </c>
      <c r="E2022">
        <v>0.53871749999999996</v>
      </c>
      <c r="F2022" t="s">
        <v>41</v>
      </c>
      <c r="G2022">
        <v>-292.29969999999997</v>
      </c>
      <c r="H2022">
        <v>0.97961019999999999</v>
      </c>
      <c r="I2022">
        <v>284.1918</v>
      </c>
      <c r="J2022">
        <v>-291.58929999999998</v>
      </c>
      <c r="K2022">
        <v>1.108873</v>
      </c>
      <c r="L2022">
        <v>284.19470000000001</v>
      </c>
      <c r="M2022">
        <v>-0.99991790000000003</v>
      </c>
      <c r="N2022">
        <v>-1.079594E-2</v>
      </c>
      <c r="O2022">
        <v>6.9228279999999998E-3</v>
      </c>
      <c r="P2022">
        <v>-0.93809500000000001</v>
      </c>
      <c r="Q2022">
        <v>0.33990019999999999</v>
      </c>
      <c r="R2022">
        <v>-6.6677239999999999E-2</v>
      </c>
      <c r="S2022">
        <v>-3.3574220000000001</v>
      </c>
      <c r="T2022">
        <v>-0.44223869999999998</v>
      </c>
      <c r="U2022">
        <v>-4.0588380000000004E-3</v>
      </c>
      <c r="V2022">
        <v>-7.2204889999999994E-2</v>
      </c>
      <c r="W2022">
        <v>0.350203599999999</v>
      </c>
      <c r="X2022">
        <v>0.93388649999999995</v>
      </c>
      <c r="Y2022">
        <v>-8.0068350000000003E-3</v>
      </c>
      <c r="Z2022">
        <v>-1.4019849999999999E-3</v>
      </c>
      <c r="AA2022">
        <v>0.99996700000000005</v>
      </c>
      <c r="AB2022">
        <v>47</v>
      </c>
      <c r="AC2022">
        <v>-0.71039999999999204</v>
      </c>
      <c r="AD2022">
        <v>-0.12926280000000001</v>
      </c>
      <c r="AE2022">
        <v>-2.9000000000110001E-3</v>
      </c>
      <c r="AF2022">
        <v>-7.5676433079471502E-3</v>
      </c>
      <c r="AG2022">
        <v>-0.12926280000000001</v>
      </c>
      <c r="AH2022">
        <v>0.68759785362412895</v>
      </c>
      <c r="AI2022">
        <v>100.646247257685</v>
      </c>
      <c r="AJ2022">
        <v>90.630567001174697</v>
      </c>
      <c r="AK2022">
        <v>0.69968346343013299</v>
      </c>
      <c r="AL2022">
        <v>69.500232395215093</v>
      </c>
      <c r="AM2022">
        <v>94.421116883715996</v>
      </c>
      <c r="AN2022">
        <v>1.00000005123755</v>
      </c>
    </row>
    <row r="2023" spans="1:40" x14ac:dyDescent="0.25">
      <c r="A2023" t="str">
        <f>"20190304164409772"</f>
        <v>20190304164409772</v>
      </c>
      <c r="B2023" t="str">
        <f>"1551689049762066"</f>
        <v>1551689049762066</v>
      </c>
      <c r="C2023" t="s">
        <v>40</v>
      </c>
      <c r="D2023">
        <v>4.9771879999999999</v>
      </c>
      <c r="E2023">
        <v>0.53875030000000002</v>
      </c>
      <c r="F2023" t="s">
        <v>41</v>
      </c>
      <c r="G2023">
        <v>-292.3159</v>
      </c>
      <c r="H2023">
        <v>1.013444</v>
      </c>
      <c r="I2023">
        <v>284.19369999999998</v>
      </c>
      <c r="J2023">
        <v>-291.98570000000001</v>
      </c>
      <c r="K2023">
        <v>1.1089549999999999</v>
      </c>
      <c r="L2023">
        <v>284.19779999999997</v>
      </c>
      <c r="M2023">
        <v>-0.99991079999999999</v>
      </c>
      <c r="N2023">
        <v>-1.1089679999999999E-2</v>
      </c>
      <c r="O2023">
        <v>7.4437899999999996E-3</v>
      </c>
      <c r="P2023">
        <v>-0.93796959999999996</v>
      </c>
      <c r="Q2023">
        <v>0.33990720000000002</v>
      </c>
      <c r="R2023">
        <v>-6.8381670000000006E-2</v>
      </c>
      <c r="S2023">
        <v>-3.3573909999999998</v>
      </c>
      <c r="T2023">
        <v>-0.44109700000000002</v>
      </c>
      <c r="U2023">
        <v>-6.0424800000000002E-3</v>
      </c>
      <c r="V2023">
        <v>-7.4441320000000005E-2</v>
      </c>
      <c r="W2023">
        <v>0.35047859999999997</v>
      </c>
      <c r="X2023">
        <v>0.93360759999999998</v>
      </c>
      <c r="Y2023">
        <v>-9.1054050000000004E-3</v>
      </c>
      <c r="Z2023">
        <v>-1.5378550000000001E-3</v>
      </c>
      <c r="AA2023">
        <v>0.9999574</v>
      </c>
      <c r="AB2023">
        <v>47</v>
      </c>
      <c r="AC2023">
        <v>-0.33019999999999</v>
      </c>
      <c r="AD2023">
        <v>-9.5510999999999902E-2</v>
      </c>
      <c r="AE2023">
        <v>-4.0999999999939904E-3</v>
      </c>
      <c r="AF2023">
        <v>-6.0517270211626504E-3</v>
      </c>
      <c r="AG2023">
        <v>-9.5510999999999902E-2</v>
      </c>
      <c r="AH2023">
        <v>0.30467325259247502</v>
      </c>
      <c r="AI2023">
        <v>107.40228676450199</v>
      </c>
      <c r="AJ2023">
        <v>91.137916847979199</v>
      </c>
      <c r="AK2023">
        <v>0.31935053681842601</v>
      </c>
      <c r="AL2023">
        <v>69.483407818698694</v>
      </c>
      <c r="AM2023">
        <v>94.558841313350499</v>
      </c>
      <c r="AN2023">
        <v>0.99999995497952998</v>
      </c>
    </row>
    <row r="2024" spans="1:40" x14ac:dyDescent="0.25">
      <c r="A2024" t="str">
        <f>"20190304164409785"</f>
        <v>20190304164409785</v>
      </c>
      <c r="B2024" t="str">
        <f>"1551689049781586"</f>
        <v>1551689049781586</v>
      </c>
      <c r="C2024" t="s">
        <v>40</v>
      </c>
      <c r="D2024">
        <v>4.9787429999999997</v>
      </c>
      <c r="E2024">
        <v>0.53864540000000005</v>
      </c>
      <c r="F2024" t="s">
        <v>41</v>
      </c>
      <c r="G2024">
        <v>-292.73700000000002</v>
      </c>
      <c r="H2024">
        <v>1.010337</v>
      </c>
      <c r="I2024">
        <v>284.19589999999999</v>
      </c>
      <c r="J2024">
        <v>-292.26769999999999</v>
      </c>
      <c r="K2024">
        <v>1.1090040000000001</v>
      </c>
      <c r="L2024">
        <v>284.20030000000003</v>
      </c>
      <c r="M2024">
        <v>-0.99990599999999996</v>
      </c>
      <c r="N2024">
        <v>-1.1281009999999999E-2</v>
      </c>
      <c r="O2024">
        <v>7.8031289999999998E-3</v>
      </c>
      <c r="P2024">
        <v>-0.93797299999999995</v>
      </c>
      <c r="Q2024">
        <v>0.339754</v>
      </c>
      <c r="R2024">
        <v>-6.9093769999999999E-2</v>
      </c>
      <c r="S2024">
        <v>-3.3574519999999999</v>
      </c>
      <c r="T2024">
        <v>-0.44069239999999998</v>
      </c>
      <c r="U2024">
        <v>-9.3078610000000006E-3</v>
      </c>
      <c r="V2024">
        <v>-7.5520180000000006E-2</v>
      </c>
      <c r="W2024">
        <v>0.35050009999999998</v>
      </c>
      <c r="X2024">
        <v>0.93351289999999998</v>
      </c>
      <c r="Y2024">
        <v>-1.042273E-2</v>
      </c>
      <c r="Z2024">
        <v>-1.672331E-3</v>
      </c>
      <c r="AA2024">
        <v>0.99994430000000001</v>
      </c>
      <c r="AB2024">
        <v>47</v>
      </c>
      <c r="AC2024">
        <v>-0.46930000000003202</v>
      </c>
      <c r="AD2024">
        <v>-9.8667000000000005E-2</v>
      </c>
      <c r="AE2024">
        <v>-4.4000000000323702E-3</v>
      </c>
      <c r="AF2024">
        <v>-7.7208591498506996E-3</v>
      </c>
      <c r="AG2024">
        <v>-9.8667000000000005E-2</v>
      </c>
      <c r="AH2024">
        <v>0.44938918233168201</v>
      </c>
      <c r="AI2024">
        <v>102.381491013225</v>
      </c>
      <c r="AJ2024">
        <v>90.984289658430299</v>
      </c>
      <c r="AK2024">
        <v>0.46015804431928498</v>
      </c>
      <c r="AL2024">
        <v>69.482092978422102</v>
      </c>
      <c r="AM2024">
        <v>94.625094050053804</v>
      </c>
      <c r="AN2024">
        <v>0.999999976076825</v>
      </c>
    </row>
    <row r="2025" spans="1:40" x14ac:dyDescent="0.25">
      <c r="A2025" t="str">
        <f>"20190304164409799"</f>
        <v>20190304164409799</v>
      </c>
      <c r="B2025" t="str">
        <f>"1551689049792323"</f>
        <v>1551689049792323</v>
      </c>
      <c r="C2025" t="s">
        <v>40</v>
      </c>
      <c r="D2025">
        <v>4.95519</v>
      </c>
      <c r="E2025">
        <v>0.53835739999999999</v>
      </c>
      <c r="F2025" t="s">
        <v>41</v>
      </c>
      <c r="G2025">
        <v>-293.1508</v>
      </c>
      <c r="H2025">
        <v>0.9922185</v>
      </c>
      <c r="I2025">
        <v>284.19709999999998</v>
      </c>
      <c r="J2025">
        <v>-292.55119999999999</v>
      </c>
      <c r="K2025">
        <v>1.109048</v>
      </c>
      <c r="L2025">
        <v>284.20269999999999</v>
      </c>
      <c r="M2025">
        <v>-0.99990100000000004</v>
      </c>
      <c r="N2025">
        <v>-1.1463640000000001E-2</v>
      </c>
      <c r="O2025">
        <v>8.1599240000000007E-3</v>
      </c>
      <c r="P2025">
        <v>-0.93788269999999996</v>
      </c>
      <c r="Q2025">
        <v>0.3398467</v>
      </c>
      <c r="R2025">
        <v>-6.9858879999999998E-2</v>
      </c>
      <c r="S2025">
        <v>-3.3583370000000001</v>
      </c>
      <c r="T2025">
        <v>-0.44418220000000003</v>
      </c>
      <c r="U2025">
        <v>-1.2634279999999999E-2</v>
      </c>
      <c r="V2025">
        <v>-7.6646829999999999E-2</v>
      </c>
      <c r="W2025">
        <v>0.35075869999999998</v>
      </c>
      <c r="X2025">
        <v>0.93332400000000004</v>
      </c>
      <c r="Y2025">
        <v>-1.175175E-2</v>
      </c>
      <c r="Z2025">
        <v>-1.8228540000000001E-3</v>
      </c>
      <c r="AA2025">
        <v>0.99992930000000002</v>
      </c>
      <c r="AB2025">
        <v>47</v>
      </c>
      <c r="AC2025">
        <v>-0.59960000000000901</v>
      </c>
      <c r="AD2025">
        <v>-0.1168295</v>
      </c>
      <c r="AE2025">
        <v>-5.6000000000153696E-3</v>
      </c>
      <c r="AF2025">
        <v>-1.01090695397994E-2</v>
      </c>
      <c r="AG2025">
        <v>-0.1168295</v>
      </c>
      <c r="AH2025">
        <v>0.57760746337493996</v>
      </c>
      <c r="AI2025">
        <v>101.432930732348</v>
      </c>
      <c r="AJ2025">
        <v>91.002666912489005</v>
      </c>
      <c r="AK2025">
        <v>0.58939096286221004</v>
      </c>
      <c r="AL2025">
        <v>69.466273366958902</v>
      </c>
      <c r="AM2025">
        <v>94.694733352246899</v>
      </c>
      <c r="AN2025">
        <v>1.0000000455753599</v>
      </c>
    </row>
    <row r="2026" spans="1:40" x14ac:dyDescent="0.25">
      <c r="A2026" t="str">
        <f>"20190304164409810"</f>
        <v>20190304164409810</v>
      </c>
      <c r="B2026" t="str">
        <f>"1551689049802082"</f>
        <v>1551689049802082</v>
      </c>
      <c r="C2026" t="s">
        <v>40</v>
      </c>
      <c r="D2026">
        <v>4.9754259999999997</v>
      </c>
      <c r="E2026">
        <v>0.53835739999999999</v>
      </c>
      <c r="F2026" t="s">
        <v>41</v>
      </c>
      <c r="G2026">
        <v>-293.5652</v>
      </c>
      <c r="H2026">
        <v>0.97543820000000003</v>
      </c>
      <c r="I2026">
        <v>284.19729999999998</v>
      </c>
      <c r="J2026">
        <v>-292.81790000000001</v>
      </c>
      <c r="K2026">
        <v>1.109086</v>
      </c>
      <c r="L2026">
        <v>284.20510000000002</v>
      </c>
      <c r="M2026">
        <v>-0.99989640000000002</v>
      </c>
      <c r="N2026">
        <v>-1.162435E-2</v>
      </c>
      <c r="O2026">
        <v>8.4904260000000006E-3</v>
      </c>
      <c r="P2026">
        <v>-0.93784049999999997</v>
      </c>
      <c r="Q2026">
        <v>0.33975240000000001</v>
      </c>
      <c r="R2026">
        <v>-7.0877510000000005E-2</v>
      </c>
      <c r="S2026">
        <v>-3.3576969999999999</v>
      </c>
      <c r="T2026">
        <v>-0.44250250000000002</v>
      </c>
      <c r="U2026">
        <v>-1.8035889999999999E-2</v>
      </c>
      <c r="V2026">
        <v>-7.7999830000000006E-2</v>
      </c>
      <c r="W2026">
        <v>0.3508114</v>
      </c>
      <c r="X2026">
        <v>0.93319209999999997</v>
      </c>
      <c r="Y2026">
        <v>-1.367235E-2</v>
      </c>
      <c r="Z2026">
        <v>-1.992672E-3</v>
      </c>
      <c r="AA2026">
        <v>0.99990460000000003</v>
      </c>
      <c r="AB2026">
        <v>47</v>
      </c>
      <c r="AC2026">
        <v>-0.74729999999999497</v>
      </c>
      <c r="AD2026">
        <v>-0.13364780000000001</v>
      </c>
      <c r="AE2026">
        <v>-7.8000000000315499E-3</v>
      </c>
      <c r="AF2026">
        <v>-1.3706694748144999E-2</v>
      </c>
      <c r="AG2026">
        <v>-0.13364780000000001</v>
      </c>
      <c r="AH2026">
        <v>0.72405125077973498</v>
      </c>
      <c r="AI2026">
        <v>100.456301620671</v>
      </c>
      <c r="AJ2026">
        <v>91.084511582438594</v>
      </c>
      <c r="AK2026">
        <v>0.73641009069774299</v>
      </c>
      <c r="AL2026">
        <v>69.463049163600203</v>
      </c>
      <c r="AM2026">
        <v>94.777898482481902</v>
      </c>
      <c r="AN2026">
        <v>1.0000000536761899</v>
      </c>
    </row>
    <row r="2027" spans="1:40" x14ac:dyDescent="0.25">
      <c r="A2027" t="str">
        <f>"20190304164409830"</f>
        <v>20190304164409830</v>
      </c>
      <c r="B2027" t="str">
        <f>"1551689049821601"</f>
        <v>1551689049821601</v>
      </c>
      <c r="C2027" t="s">
        <v>40</v>
      </c>
      <c r="D2027">
        <v>4.9450399999999997</v>
      </c>
      <c r="E2027">
        <v>0.53503100000000003</v>
      </c>
      <c r="F2027" t="s">
        <v>41</v>
      </c>
      <c r="G2027">
        <v>-293.58089999999999</v>
      </c>
      <c r="H2027">
        <v>1.008446</v>
      </c>
      <c r="I2027">
        <v>284.20010000000002</v>
      </c>
      <c r="J2027">
        <v>-293.21120000000002</v>
      </c>
      <c r="K2027">
        <v>1.109132</v>
      </c>
      <c r="L2027">
        <v>284.20890000000003</v>
      </c>
      <c r="M2027">
        <v>-0.99988969999999999</v>
      </c>
      <c r="N2027">
        <v>-1.183943E-2</v>
      </c>
      <c r="O2027">
        <v>8.9710280000000007E-3</v>
      </c>
      <c r="P2027">
        <v>-0.9377451</v>
      </c>
      <c r="Q2027">
        <v>0.3396593</v>
      </c>
      <c r="R2027">
        <v>-7.2566409999999998E-2</v>
      </c>
      <c r="S2027">
        <v>-3.3575740000000001</v>
      </c>
      <c r="T2027">
        <v>-0.44291069999999999</v>
      </c>
      <c r="U2027">
        <v>-2.2216799999999998E-2</v>
      </c>
      <c r="V2027">
        <v>-8.0171359999999997E-2</v>
      </c>
      <c r="W2027">
        <v>0.35091499999999998</v>
      </c>
      <c r="X2027">
        <v>0.93296900000000005</v>
      </c>
      <c r="Y2027">
        <v>-1.5378299999999999E-2</v>
      </c>
      <c r="Z2027">
        <v>-2.1738730000000002E-3</v>
      </c>
      <c r="AA2027">
        <v>0.99987939999999997</v>
      </c>
      <c r="AB2027">
        <v>47</v>
      </c>
      <c r="AC2027">
        <v>-0.369699999999966</v>
      </c>
      <c r="AD2027">
        <v>-0.100686</v>
      </c>
      <c r="AE2027">
        <v>-8.8000000000079091E-3</v>
      </c>
      <c r="AF2027">
        <v>-1.1280262762043599E-2</v>
      </c>
      <c r="AG2027">
        <v>-0.100686</v>
      </c>
      <c r="AH2027">
        <v>0.34409821233113203</v>
      </c>
      <c r="AI2027">
        <v>106.301623302382</v>
      </c>
      <c r="AJ2027">
        <v>91.877603692940795</v>
      </c>
      <c r="AK2027">
        <v>0.35870390944825398</v>
      </c>
      <c r="AL2027">
        <v>69.456708535770304</v>
      </c>
      <c r="AM2027">
        <v>94.911442917355103</v>
      </c>
      <c r="AN2027">
        <v>0.99999996957512405</v>
      </c>
    </row>
    <row r="2028" spans="1:40" x14ac:dyDescent="0.25">
      <c r="A2028" t="str">
        <f>"20190304164409845"</f>
        <v>20190304164409845</v>
      </c>
      <c r="B2028" t="str">
        <f>"1551689049832337"</f>
        <v>1551689049832337</v>
      </c>
      <c r="C2028" t="s">
        <v>40</v>
      </c>
      <c r="D2028">
        <v>4.9530019999999997</v>
      </c>
      <c r="E2028">
        <v>0.53509359999999995</v>
      </c>
      <c r="F2028" t="s">
        <v>41</v>
      </c>
      <c r="G2028">
        <v>-294.00830000000002</v>
      </c>
      <c r="H2028">
        <v>1.0185470000000001</v>
      </c>
      <c r="I2028">
        <v>284.19709999999998</v>
      </c>
      <c r="J2028">
        <v>-293.50020000000001</v>
      </c>
      <c r="K2028">
        <v>1.109164</v>
      </c>
      <c r="L2028">
        <v>284.21179999999998</v>
      </c>
      <c r="M2028">
        <v>-0.99988480000000002</v>
      </c>
      <c r="N2028">
        <v>-1.198275E-2</v>
      </c>
      <c r="O2028">
        <v>9.3209109999999994E-3</v>
      </c>
      <c r="P2028">
        <v>-0.93773519999999999</v>
      </c>
      <c r="Q2028">
        <v>0.33956700000000001</v>
      </c>
      <c r="R2028">
        <v>-7.3124019999999998E-2</v>
      </c>
      <c r="S2028">
        <v>-3.3325200000000001</v>
      </c>
      <c r="T2028">
        <v>-0.37888189999999999</v>
      </c>
      <c r="U2028">
        <v>-5.0231930000000001E-2</v>
      </c>
      <c r="V2028">
        <v>-8.1078059999999993E-2</v>
      </c>
      <c r="W2028">
        <v>0.35095279999999901</v>
      </c>
      <c r="X2028">
        <v>0.9328765</v>
      </c>
      <c r="Y2028">
        <v>-2.4171160000000001E-2</v>
      </c>
      <c r="Z2028">
        <v>-2.4597899999999999E-3</v>
      </c>
      <c r="AA2028">
        <v>0.99970479999999995</v>
      </c>
      <c r="AB2028">
        <v>47</v>
      </c>
      <c r="AC2028">
        <v>-0.50810000000001299</v>
      </c>
      <c r="AD2028">
        <v>-9.06170000000001E-2</v>
      </c>
      <c r="AE2028">
        <v>-1.47000000000048E-2</v>
      </c>
      <c r="AF2028">
        <v>-1.88370107449474E-2</v>
      </c>
      <c r="AG2028">
        <v>-9.06170000000001E-2</v>
      </c>
      <c r="AH2028">
        <v>0.49229560909203202</v>
      </c>
      <c r="AI2028">
        <v>100.422244889212</v>
      </c>
      <c r="AJ2028">
        <v>92.1912747744218</v>
      </c>
      <c r="AK2028">
        <v>0.500920393270328</v>
      </c>
      <c r="AL2028">
        <v>69.454397210766899</v>
      </c>
      <c r="AM2028">
        <v>94.967202714265596</v>
      </c>
      <c r="AN2028">
        <v>1.0000000419467201</v>
      </c>
    </row>
    <row r="2029" spans="1:40" x14ac:dyDescent="0.25">
      <c r="A2029" t="str">
        <f>"20190304164409862"</f>
        <v>20190304164409862</v>
      </c>
      <c r="B2029" t="str">
        <f>"1551689049851858"</f>
        <v>1551689049851858</v>
      </c>
      <c r="C2029" t="s">
        <v>40</v>
      </c>
      <c r="D2029">
        <v>4.9403110000000003</v>
      </c>
      <c r="E2029">
        <v>0.5351553</v>
      </c>
      <c r="F2029" t="s">
        <v>41</v>
      </c>
      <c r="G2029">
        <v>-294.42340000000002</v>
      </c>
      <c r="H2029">
        <v>1.003422</v>
      </c>
      <c r="I2029">
        <v>284.19729999999998</v>
      </c>
      <c r="J2029">
        <v>-293.87909999999999</v>
      </c>
      <c r="K2029">
        <v>1.1092040000000001</v>
      </c>
      <c r="L2029">
        <v>284.21570000000003</v>
      </c>
      <c r="M2029">
        <v>-0.9998783</v>
      </c>
      <c r="N2029">
        <v>-1.2155610000000001E-2</v>
      </c>
      <c r="O2029">
        <v>9.7766520000000003E-3</v>
      </c>
      <c r="P2029">
        <v>-0.93755940000000004</v>
      </c>
      <c r="Q2029">
        <v>0.33962639999999999</v>
      </c>
      <c r="R2029">
        <v>-7.5073879999999996E-2</v>
      </c>
      <c r="S2029">
        <v>-3.3333740000000001</v>
      </c>
      <c r="T2029">
        <v>-0.38183840000000002</v>
      </c>
      <c r="U2029">
        <v>-5.2429199999999898E-2</v>
      </c>
      <c r="V2029">
        <v>-8.3479319999999996E-2</v>
      </c>
      <c r="W2029">
        <v>0.35116940000000002</v>
      </c>
      <c r="X2029">
        <v>0.9325831</v>
      </c>
      <c r="Y2029">
        <v>-2.5268100000000002E-2</v>
      </c>
      <c r="Z2029">
        <v>-2.5942859999999999E-3</v>
      </c>
      <c r="AA2029">
        <v>0.99967740000000005</v>
      </c>
      <c r="AB2029">
        <v>47</v>
      </c>
      <c r="AC2029">
        <v>-0.54430000000002099</v>
      </c>
      <c r="AD2029">
        <v>-0.105782</v>
      </c>
      <c r="AE2029">
        <v>-1.8400000000042299E-2</v>
      </c>
      <c r="AF2029">
        <v>-2.28585632540305E-2</v>
      </c>
      <c r="AG2029">
        <v>-0.105782</v>
      </c>
      <c r="AH2029">
        <v>0.52431337249369003</v>
      </c>
      <c r="AI2029">
        <v>101.395956285292</v>
      </c>
      <c r="AJ2029">
        <v>92.496351280567097</v>
      </c>
      <c r="AK2029">
        <v>0.53536609718373596</v>
      </c>
      <c r="AL2029">
        <v>69.441142285983901</v>
      </c>
      <c r="AM2029">
        <v>95.115146006648899</v>
      </c>
      <c r="AN2029">
        <v>0.99999999138481599</v>
      </c>
    </row>
    <row r="2030" spans="1:40" x14ac:dyDescent="0.25">
      <c r="A2030" t="str">
        <f>"20190304164409874"</f>
        <v>20190304164409874</v>
      </c>
      <c r="B2030" t="str">
        <f>"1551689049861618"</f>
        <v>1551689049861618</v>
      </c>
      <c r="C2030" t="s">
        <v>40</v>
      </c>
      <c r="D2030">
        <v>4.9355729999999998</v>
      </c>
      <c r="E2030">
        <v>0.5352114</v>
      </c>
      <c r="F2030" t="s">
        <v>41</v>
      </c>
      <c r="G2030">
        <v>-294.84359999999998</v>
      </c>
      <c r="H2030">
        <v>0.99931479999999995</v>
      </c>
      <c r="I2030">
        <v>284.19880000000001</v>
      </c>
      <c r="J2030">
        <v>-294.14</v>
      </c>
      <c r="K2030">
        <v>1.109235</v>
      </c>
      <c r="L2030">
        <v>284.21850000000001</v>
      </c>
      <c r="M2030">
        <v>-0.99987389999999998</v>
      </c>
      <c r="N2030">
        <v>-1.226644E-2</v>
      </c>
      <c r="O2030">
        <v>1.008905E-2</v>
      </c>
      <c r="P2030">
        <v>-0.93743100000000001</v>
      </c>
      <c r="Q2030">
        <v>0.33978639999999999</v>
      </c>
      <c r="R2030">
        <v>-7.5950290000000004E-2</v>
      </c>
      <c r="S2030">
        <v>-3.3326419999999999</v>
      </c>
      <c r="T2030">
        <v>-0.37978020000000001</v>
      </c>
      <c r="U2030">
        <v>-5.8959959999999999E-2</v>
      </c>
      <c r="V2030">
        <v>-8.4663089999999996E-2</v>
      </c>
      <c r="W2030">
        <v>0.351429299999999</v>
      </c>
      <c r="X2030">
        <v>0.9323785</v>
      </c>
      <c r="Y2030">
        <v>-2.7526829999999999E-2</v>
      </c>
      <c r="Z2030">
        <v>-2.7552620000000001E-3</v>
      </c>
      <c r="AA2030">
        <v>0.99961730000000004</v>
      </c>
      <c r="AB2030">
        <v>47</v>
      </c>
      <c r="AC2030">
        <v>-0.70359999999999401</v>
      </c>
      <c r="AD2030">
        <v>-0.109920199999999</v>
      </c>
      <c r="AE2030">
        <v>-1.97000000000002E-2</v>
      </c>
      <c r="AF2030">
        <v>-2.6160210748283601E-2</v>
      </c>
      <c r="AG2030">
        <v>-0.109920199999999</v>
      </c>
      <c r="AH2030">
        <v>0.68662061865118296</v>
      </c>
      <c r="AI2030">
        <v>99.088747884988905</v>
      </c>
      <c r="AJ2030">
        <v>92.181910943593493</v>
      </c>
      <c r="AK2030">
        <v>0.69585535921724995</v>
      </c>
      <c r="AL2030">
        <v>69.425238204496694</v>
      </c>
      <c r="AM2030">
        <v>95.188419925273706</v>
      </c>
      <c r="AN2030">
        <v>1.0000000294845399</v>
      </c>
    </row>
    <row r="2031" spans="1:40" x14ac:dyDescent="0.25">
      <c r="A2031" t="str">
        <f>"20190304164409888"</f>
        <v>20190304164409888</v>
      </c>
      <c r="B2031" t="str">
        <f>"1551689049882114"</f>
        <v>1551689049882114</v>
      </c>
      <c r="C2031" t="s">
        <v>40</v>
      </c>
      <c r="D2031">
        <v>4.9280200000000001</v>
      </c>
      <c r="E2031">
        <v>0.53554990000000002</v>
      </c>
      <c r="F2031" t="s">
        <v>41</v>
      </c>
      <c r="G2031">
        <v>-295.2577</v>
      </c>
      <c r="H2031">
        <v>0.98252059999999997</v>
      </c>
      <c r="I2031">
        <v>284.19810000000001</v>
      </c>
      <c r="J2031">
        <v>-294.44889999999998</v>
      </c>
      <c r="K2031">
        <v>1.1092630000000001</v>
      </c>
      <c r="L2031">
        <v>284.22190000000001</v>
      </c>
      <c r="M2031">
        <v>-0.99986870000000005</v>
      </c>
      <c r="N2031">
        <v>-1.2383129999999999E-2</v>
      </c>
      <c r="O2031">
        <v>1.045694E-2</v>
      </c>
      <c r="P2031">
        <v>-0.93740570000000001</v>
      </c>
      <c r="Q2031">
        <v>0.33970620000000001</v>
      </c>
      <c r="R2031">
        <v>-7.6618809999999996E-2</v>
      </c>
      <c r="S2031">
        <v>-3.3322449999999999</v>
      </c>
      <c r="T2031">
        <v>-0.37777880000000003</v>
      </c>
      <c r="U2031">
        <v>-6.1187739999999997E-2</v>
      </c>
      <c r="V2031">
        <v>-8.5694069999999997E-2</v>
      </c>
      <c r="W2031">
        <v>0.35145470000000001</v>
      </c>
      <c r="X2031">
        <v>0.93227470000000001</v>
      </c>
      <c r="Y2031">
        <v>-2.8558070000000001E-2</v>
      </c>
      <c r="Z2031">
        <v>-2.8435119999999999E-3</v>
      </c>
      <c r="AA2031">
        <v>0.99958809999999998</v>
      </c>
      <c r="AB2031">
        <v>47</v>
      </c>
      <c r="AC2031">
        <v>-0.80880000000001895</v>
      </c>
      <c r="AD2031">
        <v>-0.12674239999999901</v>
      </c>
      <c r="AE2031">
        <v>-2.3799999999994201E-2</v>
      </c>
      <c r="AF2031">
        <v>-3.1484449402120099E-2</v>
      </c>
      <c r="AG2031">
        <v>-0.12674239999999901</v>
      </c>
      <c r="AH2031">
        <v>0.78914521710478003</v>
      </c>
      <c r="AI2031">
        <v>99.117063787644994</v>
      </c>
      <c r="AJ2031">
        <v>92.284712375166094</v>
      </c>
      <c r="AK2031">
        <v>0.79987816584231397</v>
      </c>
      <c r="AL2031">
        <v>69.423683054656294</v>
      </c>
      <c r="AM2031">
        <v>95.251831905850096</v>
      </c>
      <c r="AN2031">
        <v>0.99999999802267203</v>
      </c>
    </row>
    <row r="2032" spans="1:40" x14ac:dyDescent="0.25">
      <c r="A2032" t="str">
        <f>"20190304164409903"</f>
        <v>20190304164409903</v>
      </c>
      <c r="B2032" t="str">
        <f>"1551689049891874"</f>
        <v>1551689049891874</v>
      </c>
      <c r="C2032" t="s">
        <v>40</v>
      </c>
      <c r="D2032">
        <v>4.9452949999999998</v>
      </c>
      <c r="E2032">
        <v>0.53567379999999998</v>
      </c>
      <c r="F2032" t="s">
        <v>41</v>
      </c>
      <c r="G2032">
        <v>-295.27339999999998</v>
      </c>
      <c r="H2032">
        <v>1.015992</v>
      </c>
      <c r="I2032">
        <v>284.20710000000003</v>
      </c>
      <c r="J2032">
        <v>-294.74029999999999</v>
      </c>
      <c r="K2032">
        <v>1.1092869999999999</v>
      </c>
      <c r="L2032">
        <v>284.2253</v>
      </c>
      <c r="M2032">
        <v>-0.99986370000000002</v>
      </c>
      <c r="N2032">
        <v>-1.248469E-2</v>
      </c>
      <c r="O2032">
        <v>1.080043E-2</v>
      </c>
      <c r="P2032">
        <v>-0.93722240000000001</v>
      </c>
      <c r="Q2032">
        <v>0.34007870000000001</v>
      </c>
      <c r="R2032">
        <v>-7.7207940000000003E-2</v>
      </c>
      <c r="S2032">
        <v>-3.3320310000000002</v>
      </c>
      <c r="T2032">
        <v>-0.37692930000000002</v>
      </c>
      <c r="U2032">
        <v>-6.0211180000000003E-2</v>
      </c>
      <c r="V2032">
        <v>-8.6618150000000005E-2</v>
      </c>
      <c r="W2032">
        <v>0.35191709999999998</v>
      </c>
      <c r="X2032">
        <v>0.93201480000000003</v>
      </c>
      <c r="Y2032">
        <v>-2.8608729999999999E-2</v>
      </c>
      <c r="Z2032">
        <v>-2.8754710000000001E-3</v>
      </c>
      <c r="AA2032">
        <v>0.99958650000000004</v>
      </c>
      <c r="AB2032">
        <v>47</v>
      </c>
      <c r="AC2032">
        <v>-0.53309999999999003</v>
      </c>
      <c r="AD2032">
        <v>-9.32950000000001E-2</v>
      </c>
      <c r="AE2032">
        <v>-1.81999999999789E-2</v>
      </c>
      <c r="AF2032">
        <v>-2.3245979055118202E-2</v>
      </c>
      <c r="AG2032">
        <v>-9.32950000000001E-2</v>
      </c>
      <c r="AH2032">
        <v>0.517055092861195</v>
      </c>
      <c r="AI2032">
        <v>100.21802735408799</v>
      </c>
      <c r="AJ2032">
        <v>92.574194174256505</v>
      </c>
      <c r="AK2032">
        <v>0.52591853135341204</v>
      </c>
      <c r="AL2032">
        <v>69.395380889261602</v>
      </c>
      <c r="AM2032">
        <v>95.309614884128905</v>
      </c>
      <c r="AN2032">
        <v>0.99999996830043503</v>
      </c>
    </row>
    <row r="2033" spans="1:40" x14ac:dyDescent="0.25">
      <c r="A2033" t="str">
        <f>"20190304164409921"</f>
        <v>20190304164409921</v>
      </c>
      <c r="B2033" t="str">
        <f>"1551689049912371"</f>
        <v>1551689049912371</v>
      </c>
      <c r="C2033" t="s">
        <v>40</v>
      </c>
      <c r="D2033">
        <v>4.9182160000000001</v>
      </c>
      <c r="E2033">
        <v>0.53587119999999999</v>
      </c>
      <c r="F2033" t="s">
        <v>41</v>
      </c>
      <c r="G2033">
        <v>-295.68880000000001</v>
      </c>
      <c r="H2033">
        <v>1.002216</v>
      </c>
      <c r="I2033">
        <v>284.2081</v>
      </c>
      <c r="J2033">
        <v>-295.11340000000001</v>
      </c>
      <c r="K2033">
        <v>1.1093120000000001</v>
      </c>
      <c r="L2033">
        <v>284.2296</v>
      </c>
      <c r="M2033">
        <v>-0.99985749999999995</v>
      </c>
      <c r="N2033">
        <v>-1.259768E-2</v>
      </c>
      <c r="O2033">
        <v>1.123205E-2</v>
      </c>
      <c r="P2033">
        <v>-0.93689319999999998</v>
      </c>
      <c r="Q2033">
        <v>0.34069559999999999</v>
      </c>
      <c r="R2033">
        <v>-7.8471200000000005E-2</v>
      </c>
      <c r="S2033">
        <v>-3.3324579999999999</v>
      </c>
      <c r="T2033">
        <v>-0.37627050000000001</v>
      </c>
      <c r="U2033">
        <v>-6.0791020000000001E-2</v>
      </c>
      <c r="V2033">
        <v>-8.8301409999999997E-2</v>
      </c>
      <c r="W2033">
        <v>0.35263260000000002</v>
      </c>
      <c r="X2033">
        <v>0.93158640000000004</v>
      </c>
      <c r="Y2033">
        <v>-2.9206289999999999E-2</v>
      </c>
      <c r="Z2033">
        <v>-2.95115E-3</v>
      </c>
      <c r="AA2033">
        <v>0.99956909999999999</v>
      </c>
      <c r="AB2033">
        <v>47</v>
      </c>
      <c r="AC2033">
        <v>-0.57540000000000102</v>
      </c>
      <c r="AD2033">
        <v>-0.107096</v>
      </c>
      <c r="AE2033">
        <v>-2.15000000000031E-2</v>
      </c>
      <c r="AF2033">
        <v>-2.7027102626624801E-2</v>
      </c>
      <c r="AG2033">
        <v>-0.107096</v>
      </c>
      <c r="AH2033">
        <v>0.55589166896481201</v>
      </c>
      <c r="AI2033">
        <v>100.89222616068599</v>
      </c>
      <c r="AJ2033">
        <v>92.783492826620105</v>
      </c>
      <c r="AK2033">
        <v>0.566758824471992</v>
      </c>
      <c r="AL2033">
        <v>69.3515797054839</v>
      </c>
      <c r="AM2033">
        <v>95.414664373695103</v>
      </c>
      <c r="AN2033">
        <v>1.0000000551278501</v>
      </c>
    </row>
    <row r="2034" spans="1:40" x14ac:dyDescent="0.25">
      <c r="A2034" t="str">
        <f>"20190304164409943"</f>
        <v>20190304164409943</v>
      </c>
      <c r="B2034" t="str">
        <f>"1551689049931889"</f>
        <v>1551689049931889</v>
      </c>
      <c r="C2034" t="s">
        <v>40</v>
      </c>
      <c r="D2034">
        <v>4.9409000000000001</v>
      </c>
      <c r="E2034">
        <v>0.53596250000000001</v>
      </c>
      <c r="F2034" t="s">
        <v>41</v>
      </c>
      <c r="G2034">
        <v>-296.10849999999999</v>
      </c>
      <c r="H2034">
        <v>0.99748619999999999</v>
      </c>
      <c r="I2034">
        <v>284.21120000000002</v>
      </c>
      <c r="J2034">
        <v>-295.58499999999998</v>
      </c>
      <c r="K2034">
        <v>1.1092379999999999</v>
      </c>
      <c r="L2034">
        <v>284.23540000000003</v>
      </c>
      <c r="M2034">
        <v>-0.99985579999999996</v>
      </c>
      <c r="N2034">
        <v>-1.2265440000000001E-2</v>
      </c>
      <c r="O2034">
        <v>1.1752520000000001E-2</v>
      </c>
      <c r="P2034">
        <v>-0.93672100000000003</v>
      </c>
      <c r="Q2034">
        <v>0.34119820000000001</v>
      </c>
      <c r="R2034">
        <v>-7.834584E-2</v>
      </c>
      <c r="S2034">
        <v>-3.3331300000000001</v>
      </c>
      <c r="T2034">
        <v>-0.37468699999999999</v>
      </c>
      <c r="U2034">
        <v>-6.216431E-2</v>
      </c>
      <c r="V2034">
        <v>-8.8697810000000002E-2</v>
      </c>
      <c r="W2034">
        <v>0.35281420000000002</v>
      </c>
      <c r="X2034">
        <v>0.93147990000000003</v>
      </c>
      <c r="Y2034">
        <v>-3.0127979999999999E-2</v>
      </c>
      <c r="Z2034">
        <v>-3.0465079999999999E-3</v>
      </c>
      <c r="AA2034">
        <v>0.99954140000000002</v>
      </c>
      <c r="AB2034">
        <v>47</v>
      </c>
      <c r="AC2034">
        <v>-0.52350000000001196</v>
      </c>
      <c r="AD2034">
        <v>-0.1117518</v>
      </c>
      <c r="AE2034">
        <v>-2.42000000000075E-2</v>
      </c>
      <c r="AF2034">
        <v>-2.9031118100796699E-2</v>
      </c>
      <c r="AG2034">
        <v>-0.1117518</v>
      </c>
      <c r="AH2034">
        <v>0.50042389419045896</v>
      </c>
      <c r="AI2034">
        <v>102.56796143507</v>
      </c>
      <c r="AJ2034">
        <v>93.320181747478998</v>
      </c>
      <c r="AK2034">
        <v>0.51357116789999602</v>
      </c>
      <c r="AL2034">
        <v>69.340458544271598</v>
      </c>
      <c r="AM2034">
        <v>95.439444400237093</v>
      </c>
      <c r="AN2034">
        <v>0.99999998266222201</v>
      </c>
    </row>
    <row r="2035" spans="1:40" x14ac:dyDescent="0.25">
      <c r="A2035" t="str">
        <f>"20190304164409962"</f>
        <v>20190304164409962</v>
      </c>
      <c r="B2035" t="str">
        <f>"1551689049952386"</f>
        <v>1551689049952386</v>
      </c>
      <c r="C2035" t="s">
        <v>40</v>
      </c>
      <c r="D2035">
        <v>4.9033170000000004</v>
      </c>
      <c r="E2035">
        <v>0.53481290000000004</v>
      </c>
      <c r="F2035" t="s">
        <v>41</v>
      </c>
      <c r="G2035">
        <v>-296.53590000000003</v>
      </c>
      <c r="H2035">
        <v>1.002373</v>
      </c>
      <c r="I2035">
        <v>284.2183</v>
      </c>
      <c r="J2035">
        <v>-296.0009</v>
      </c>
      <c r="K2035">
        <v>1.1090040000000001</v>
      </c>
      <c r="L2035">
        <v>284.24059999999997</v>
      </c>
      <c r="M2035">
        <v>-0.99986280000000005</v>
      </c>
      <c r="N2035">
        <v>-1.1225000000000001E-2</v>
      </c>
      <c r="O2035">
        <v>1.217938E-2</v>
      </c>
      <c r="P2035">
        <v>-0.93644249999999996</v>
      </c>
      <c r="Q2035">
        <v>0.3421112</v>
      </c>
      <c r="R2035">
        <v>-7.7689010000000003E-2</v>
      </c>
      <c r="S2035">
        <v>-3.3341059999999998</v>
      </c>
      <c r="T2035">
        <v>-0.37486449999999999</v>
      </c>
      <c r="U2035">
        <v>-6.1096190000000002E-2</v>
      </c>
      <c r="V2035">
        <v>-8.8485399999999895E-2</v>
      </c>
      <c r="W2035">
        <v>0.3527419</v>
      </c>
      <c r="X2035">
        <v>0.93152749999999995</v>
      </c>
      <c r="Y2035">
        <v>-3.0226579999999999E-2</v>
      </c>
      <c r="Z2035">
        <v>-3.0926600000000001E-3</v>
      </c>
      <c r="AA2035">
        <v>0.99953829999999999</v>
      </c>
      <c r="AB2035">
        <v>47</v>
      </c>
      <c r="AC2035">
        <v>-0.53500000000002501</v>
      </c>
      <c r="AD2035">
        <v>-0.106631</v>
      </c>
      <c r="AE2035">
        <v>-2.22999999999728E-2</v>
      </c>
      <c r="AF2035">
        <v>-2.7715641863587701E-2</v>
      </c>
      <c r="AG2035">
        <v>-0.106631</v>
      </c>
      <c r="AH2035">
        <v>0.514294012244776</v>
      </c>
      <c r="AI2035">
        <v>101.696937025351</v>
      </c>
      <c r="AJ2035">
        <v>93.084723251083702</v>
      </c>
      <c r="AK2035">
        <v>0.52596260132802297</v>
      </c>
      <c r="AL2035">
        <v>69.344886006899202</v>
      </c>
      <c r="AM2035">
        <v>95.426220451165605</v>
      </c>
      <c r="AN2035">
        <v>0.99999999864250999</v>
      </c>
    </row>
    <row r="2036" spans="1:40" x14ac:dyDescent="0.25">
      <c r="A2036" t="str">
        <f>"20190304164409985"</f>
        <v>20190304164409985</v>
      </c>
      <c r="B2036" t="str">
        <f>"1551689049981666"</f>
        <v>1551689049981666</v>
      </c>
      <c r="C2036" t="s">
        <v>40</v>
      </c>
      <c r="D2036">
        <v>4.9373570000000004</v>
      </c>
      <c r="E2036">
        <v>0.53454259999999998</v>
      </c>
      <c r="F2036" t="s">
        <v>41</v>
      </c>
      <c r="G2036">
        <v>-296.97859999999997</v>
      </c>
      <c r="H2036">
        <v>1.0258130000000001</v>
      </c>
      <c r="I2036">
        <v>284.22250000000003</v>
      </c>
      <c r="J2036">
        <v>-296.49799999999999</v>
      </c>
      <c r="K2036">
        <v>1.108733</v>
      </c>
      <c r="L2036">
        <v>284.24689999999998</v>
      </c>
      <c r="M2036">
        <v>-0.9998726</v>
      </c>
      <c r="N2036">
        <v>-9.7452679999999996E-3</v>
      </c>
      <c r="O2036">
        <v>1.264756E-2</v>
      </c>
      <c r="P2036">
        <v>-0.93607530000000005</v>
      </c>
      <c r="Q2036">
        <v>0.34338689999999999</v>
      </c>
      <c r="R2036">
        <v>-7.6475329999999994E-2</v>
      </c>
      <c r="S2036">
        <v>-3.3011469999999998</v>
      </c>
      <c r="T2036">
        <v>-0.28098400000000001</v>
      </c>
      <c r="U2036">
        <v>-6.1828609999999999E-2</v>
      </c>
      <c r="V2036">
        <v>-8.7770189999999998E-2</v>
      </c>
      <c r="W2036">
        <v>0.35261740000000003</v>
      </c>
      <c r="X2036">
        <v>0.93164230000000003</v>
      </c>
      <c r="Y2036">
        <v>-3.1208960000000001E-2</v>
      </c>
      <c r="Z2036">
        <v>-2.4295369999999998E-3</v>
      </c>
      <c r="AA2036">
        <v>0.99950989999999995</v>
      </c>
      <c r="AB2036">
        <v>48</v>
      </c>
      <c r="AC2036">
        <v>-0.48059999999998099</v>
      </c>
      <c r="AD2036">
        <v>-8.2920000000000105E-2</v>
      </c>
      <c r="AE2036">
        <v>-2.43999999999573E-2</v>
      </c>
      <c r="AF2036">
        <v>-2.9597944513489599E-2</v>
      </c>
      <c r="AG2036">
        <v>-8.2920000000000105E-2</v>
      </c>
      <c r="AH2036">
        <v>0.46640465769509099</v>
      </c>
      <c r="AI2036">
        <v>100.061204731393</v>
      </c>
      <c r="AJ2036">
        <v>93.631109377741197</v>
      </c>
      <c r="AK2036">
        <v>0.47464204348024103</v>
      </c>
      <c r="AL2036">
        <v>69.352509324960707</v>
      </c>
      <c r="AM2036">
        <v>95.381960652905093</v>
      </c>
      <c r="AN2036">
        <v>1.00000000609234</v>
      </c>
    </row>
    <row r="2037" spans="1:40" x14ac:dyDescent="0.25">
      <c r="A2037" t="str">
        <f>"20190304164409998"</f>
        <v>20190304164409998</v>
      </c>
      <c r="B2037" t="str">
        <f>"1551689049992402"</f>
        <v>1551689049992402</v>
      </c>
      <c r="C2037" t="s">
        <v>40</v>
      </c>
      <c r="D2037">
        <v>4.8849679999999998</v>
      </c>
      <c r="E2037">
        <v>0.53468190000000004</v>
      </c>
      <c r="F2037" t="s">
        <v>46</v>
      </c>
      <c r="G2037">
        <v>-309.65769999999998</v>
      </c>
      <c r="H2037" s="1">
        <v>2.3046299999999999E-6</v>
      </c>
      <c r="I2037">
        <v>284.00850000000003</v>
      </c>
      <c r="J2037">
        <v>-296.77719999999999</v>
      </c>
      <c r="K2037">
        <v>1.108614</v>
      </c>
      <c r="L2037">
        <v>284.25060000000002</v>
      </c>
      <c r="M2037">
        <v>-0.99987720000000002</v>
      </c>
      <c r="N2037">
        <v>-8.9426209999999996E-3</v>
      </c>
      <c r="O2037">
        <v>1.2889589999999999E-2</v>
      </c>
      <c r="P2037">
        <v>-0.9358957</v>
      </c>
      <c r="Q2037">
        <v>0.34401559999999998</v>
      </c>
      <c r="R2037">
        <v>-7.5848120000000005E-2</v>
      </c>
      <c r="S2037">
        <v>-3.3020320000000001</v>
      </c>
      <c r="T2037">
        <v>-0.27820279999999997</v>
      </c>
      <c r="U2037">
        <v>-5.9844969999999997E-2</v>
      </c>
      <c r="V2037">
        <v>-8.7404739999999995E-2</v>
      </c>
      <c r="W2037">
        <v>0.35248620000000003</v>
      </c>
      <c r="X2037">
        <v>0.93172630000000001</v>
      </c>
      <c r="Y2037">
        <v>-3.08498E-2</v>
      </c>
      <c r="Z2037">
        <v>-2.4042949999999999E-3</v>
      </c>
      <c r="AA2037">
        <v>0.99952110000000005</v>
      </c>
      <c r="AB2037">
        <v>48</v>
      </c>
      <c r="AC2037">
        <v>-12.8804999999999</v>
      </c>
      <c r="AD2037">
        <v>-1.10861169537</v>
      </c>
      <c r="AE2037">
        <v>-0.24209999999999299</v>
      </c>
      <c r="AF2037">
        <v>-0.40511089547845303</v>
      </c>
      <c r="AG2037">
        <v>-1.10861169537</v>
      </c>
      <c r="AH2037">
        <v>12.7816577385965</v>
      </c>
      <c r="AI2037">
        <v>94.954643917286404</v>
      </c>
      <c r="AJ2037">
        <v>91.815365222206594</v>
      </c>
      <c r="AK2037">
        <v>12.836039469998999</v>
      </c>
      <c r="AL2037">
        <v>69.360542264244899</v>
      </c>
      <c r="AM2037">
        <v>95.3592020842012</v>
      </c>
      <c r="AN2037">
        <v>1.0000000039382899</v>
      </c>
    </row>
    <row r="2038" spans="1:40" x14ac:dyDescent="0.25">
      <c r="A2038" t="str">
        <f>"20190304164410010"</f>
        <v>20190304164410010</v>
      </c>
      <c r="B2038" t="str">
        <f>"1551689050002163"</f>
        <v>1551689050002163</v>
      </c>
      <c r="C2038" t="s">
        <v>40</v>
      </c>
      <c r="D2038">
        <v>5.2452880000000004</v>
      </c>
      <c r="E2038">
        <v>0.53476319999999999</v>
      </c>
      <c r="F2038" t="s">
        <v>41</v>
      </c>
      <c r="G2038">
        <v>-297.83629999999999</v>
      </c>
      <c r="H2038">
        <v>1.0201100000000001</v>
      </c>
      <c r="I2038">
        <v>284.23259999999999</v>
      </c>
      <c r="J2038">
        <v>-297.06920000000002</v>
      </c>
      <c r="K2038">
        <v>1.108519</v>
      </c>
      <c r="L2038">
        <v>284.25439999999998</v>
      </c>
      <c r="M2038">
        <v>-0.99988069999999896</v>
      </c>
      <c r="N2038">
        <v>-8.1638779999999994E-3</v>
      </c>
      <c r="O2038">
        <v>1.3120990000000001E-2</v>
      </c>
      <c r="P2038">
        <v>-0.93582799999999999</v>
      </c>
      <c r="Q2038">
        <v>0.34434039999999999</v>
      </c>
      <c r="R2038">
        <v>-7.5206930000000005E-2</v>
      </c>
      <c r="S2038">
        <v>-3.3023380000000002</v>
      </c>
      <c r="T2038">
        <v>-0.27605150000000001</v>
      </c>
      <c r="U2038">
        <v>-5.6640629999999997E-2</v>
      </c>
      <c r="V2038">
        <v>-8.7017049999999999E-2</v>
      </c>
      <c r="W2038">
        <v>0.35207509999999997</v>
      </c>
      <c r="X2038">
        <v>0.93191800000000002</v>
      </c>
      <c r="Y2038">
        <v>-3.0114620000000002E-2</v>
      </c>
      <c r="Z2038">
        <v>-2.367465E-3</v>
      </c>
      <c r="AA2038">
        <v>0.99954370000000003</v>
      </c>
      <c r="AB2038">
        <v>48</v>
      </c>
      <c r="AC2038">
        <v>-0.76709999999997003</v>
      </c>
      <c r="AD2038">
        <v>-8.8408999999999904E-2</v>
      </c>
      <c r="AE2038">
        <v>-2.17999999999847E-2</v>
      </c>
      <c r="AF2038">
        <v>-3.1446212909238401E-2</v>
      </c>
      <c r="AG2038">
        <v>-8.8408999999999904E-2</v>
      </c>
      <c r="AH2038">
        <v>0.75670487985713197</v>
      </c>
      <c r="AI2038">
        <v>96.658199129259401</v>
      </c>
      <c r="AJ2038">
        <v>92.379658469938093</v>
      </c>
      <c r="AK2038">
        <v>0.76250068248292702</v>
      </c>
      <c r="AL2038">
        <v>69.385709882695593</v>
      </c>
      <c r="AM2038">
        <v>95.334477231318004</v>
      </c>
      <c r="AN2038">
        <v>1.00000000087735</v>
      </c>
    </row>
    <row r="2039" spans="1:40" x14ac:dyDescent="0.25">
      <c r="A2039" t="str">
        <f>"20190304164410025"</f>
        <v>20190304164410025</v>
      </c>
      <c r="B2039" t="str">
        <f>"1551689050021681"</f>
        <v>1551689050021681</v>
      </c>
      <c r="C2039" t="s">
        <v>40</v>
      </c>
      <c r="D2039">
        <v>4.9301219999999999</v>
      </c>
      <c r="E2039">
        <v>0.53477649999999999</v>
      </c>
      <c r="F2039" t="s">
        <v>46</v>
      </c>
      <c r="G2039">
        <v>-310.4402</v>
      </c>
      <c r="H2039" s="1">
        <v>2.4626470000000002E-6</v>
      </c>
      <c r="I2039">
        <v>284.03919999999999</v>
      </c>
      <c r="J2039">
        <v>-297.34809999999999</v>
      </c>
      <c r="K2039">
        <v>1.1084750000000001</v>
      </c>
      <c r="L2039">
        <v>284.25799999999998</v>
      </c>
      <c r="M2039">
        <v>-0.99988299999999997</v>
      </c>
      <c r="N2039">
        <v>-7.5547879999999998E-3</v>
      </c>
      <c r="O2039">
        <v>1.3300869999999999E-2</v>
      </c>
      <c r="P2039">
        <v>-0.93562290000000004</v>
      </c>
      <c r="Q2039">
        <v>0.3450204</v>
      </c>
      <c r="R2039">
        <v>-7.4637819999999994E-2</v>
      </c>
      <c r="S2039">
        <v>-3.3021850000000001</v>
      </c>
      <c r="T2039">
        <v>-0.27376529999999999</v>
      </c>
      <c r="U2039">
        <v>-5.3131100000000001E-2</v>
      </c>
      <c r="V2039">
        <v>-8.6646009999999996E-2</v>
      </c>
      <c r="W2039">
        <v>0.35217690000000001</v>
      </c>
      <c r="X2039">
        <v>0.93191409999999997</v>
      </c>
      <c r="Y2039">
        <v>-2.9238569999999998E-2</v>
      </c>
      <c r="Z2039">
        <v>-2.320931E-3</v>
      </c>
      <c r="AA2039">
        <v>0.99956979999999995</v>
      </c>
      <c r="AB2039">
        <v>48</v>
      </c>
      <c r="AC2039">
        <v>-13.0921</v>
      </c>
      <c r="AD2039">
        <v>-1.108472537353</v>
      </c>
      <c r="AE2039">
        <v>-0.218799999999987</v>
      </c>
      <c r="AF2039">
        <v>-0.39012607639976599</v>
      </c>
      <c r="AG2039">
        <v>-1.108472537353</v>
      </c>
      <c r="AH2039">
        <v>12.9949029020925</v>
      </c>
      <c r="AI2039">
        <v>94.873374880774406</v>
      </c>
      <c r="AJ2039">
        <v>91.7195869856575</v>
      </c>
      <c r="AK2039">
        <v>13.0479274659374</v>
      </c>
      <c r="AL2039">
        <v>69.379477909275394</v>
      </c>
      <c r="AM2039">
        <v>95.3118835544321</v>
      </c>
      <c r="AN2039">
        <v>0.99999999486066904</v>
      </c>
    </row>
    <row r="2040" spans="1:40" x14ac:dyDescent="0.25">
      <c r="A2040" t="str">
        <f>"20190304164410041"</f>
        <v>20190304164410041</v>
      </c>
      <c r="B2040" t="str">
        <f>"1551689050031442"</f>
        <v>1551689050031442</v>
      </c>
      <c r="C2040" t="s">
        <v>40</v>
      </c>
      <c r="D2040">
        <v>4.9220430000000004</v>
      </c>
      <c r="E2040">
        <v>0.53469100000000003</v>
      </c>
      <c r="F2040" t="s">
        <v>41</v>
      </c>
      <c r="G2040">
        <v>-298.28750000000002</v>
      </c>
      <c r="H2040">
        <v>1.030939</v>
      </c>
      <c r="I2040">
        <v>284.24369999999999</v>
      </c>
      <c r="J2040">
        <v>-297.702</v>
      </c>
      <c r="K2040">
        <v>1.108463</v>
      </c>
      <c r="L2040">
        <v>284.26280000000003</v>
      </c>
      <c r="M2040">
        <v>-0.99988500000000002</v>
      </c>
      <c r="N2040">
        <v>-6.9380830000000003E-3</v>
      </c>
      <c r="O2040">
        <v>1.349002E-2</v>
      </c>
      <c r="P2040">
        <v>-0.93553109999999995</v>
      </c>
      <c r="Q2040">
        <v>0.3455376</v>
      </c>
      <c r="R2040">
        <v>-7.3385909999999999E-2</v>
      </c>
      <c r="S2040">
        <v>-3.3029169999999999</v>
      </c>
      <c r="T2040">
        <v>-0.27265099999999998</v>
      </c>
      <c r="U2040">
        <v>-5.059814E-2</v>
      </c>
      <c r="V2040">
        <v>-8.5608039999999996E-2</v>
      </c>
      <c r="W2040">
        <v>0.35210819999999998</v>
      </c>
      <c r="X2040">
        <v>0.93203599999999998</v>
      </c>
      <c r="Y2040">
        <v>-2.8660629999999999E-2</v>
      </c>
      <c r="Z2040">
        <v>-2.2986679999999998E-3</v>
      </c>
      <c r="AA2040">
        <v>0.99958659999999999</v>
      </c>
      <c r="AB2040">
        <v>48</v>
      </c>
      <c r="AC2040">
        <v>-0.585500000000024</v>
      </c>
      <c r="AD2040">
        <v>-7.7523999999999899E-2</v>
      </c>
      <c r="AE2040">
        <v>-1.9100000000037198E-2</v>
      </c>
      <c r="AF2040">
        <v>-2.6532203932031099E-2</v>
      </c>
      <c r="AG2040">
        <v>-7.7523999999999899E-2</v>
      </c>
      <c r="AH2040">
        <v>0.57511711942229005</v>
      </c>
      <c r="AI2040">
        <v>97.668959116246199</v>
      </c>
      <c r="AJ2040">
        <v>92.641385830034196</v>
      </c>
      <c r="AK2040">
        <v>0.58092480535270996</v>
      </c>
      <c r="AL2040">
        <v>69.383683907925203</v>
      </c>
      <c r="AM2040">
        <v>95.247925105952007</v>
      </c>
      <c r="AN2040">
        <v>1.0000000131579401</v>
      </c>
    </row>
    <row r="2041" spans="1:40" x14ac:dyDescent="0.25">
      <c r="A2041" t="str">
        <f>"20190304164410057"</f>
        <v>20190304164410057</v>
      </c>
      <c r="B2041" t="str">
        <f>"1551689050052399"</f>
        <v>1551689050052399</v>
      </c>
      <c r="C2041" t="s">
        <v>40</v>
      </c>
      <c r="D2041">
        <v>4.941516</v>
      </c>
      <c r="E2041">
        <v>0.53441479999999997</v>
      </c>
      <c r="F2041" t="s">
        <v>41</v>
      </c>
      <c r="G2041">
        <v>-298.70870000000002</v>
      </c>
      <c r="H2041">
        <v>1.0259750000000001</v>
      </c>
      <c r="I2041">
        <v>284.24880000000002</v>
      </c>
      <c r="J2041">
        <v>-298.03890000000001</v>
      </c>
      <c r="K2041">
        <v>1.108506</v>
      </c>
      <c r="L2041">
        <v>284.26729999999998</v>
      </c>
      <c r="M2041">
        <v>-0.99988569999999999</v>
      </c>
      <c r="N2041">
        <v>-6.5442520000000004E-3</v>
      </c>
      <c r="O2041">
        <v>1.3626009999999999E-2</v>
      </c>
      <c r="P2041">
        <v>-0.93544470000000002</v>
      </c>
      <c r="Q2041">
        <v>0.34589510000000001</v>
      </c>
      <c r="R2041">
        <v>-7.2800379999999998E-2</v>
      </c>
      <c r="S2041">
        <v>-3.3031009999999998</v>
      </c>
      <c r="T2041">
        <v>-0.27074169999999997</v>
      </c>
      <c r="U2041">
        <v>-4.6203609999999999E-2</v>
      </c>
      <c r="V2041">
        <v>-8.5181580000000007E-2</v>
      </c>
      <c r="W2041">
        <v>0.3520895</v>
      </c>
      <c r="X2041">
        <v>0.93208210000000002</v>
      </c>
      <c r="Y2041">
        <v>-2.7472079999999999E-2</v>
      </c>
      <c r="Z2041">
        <v>-2.2399220000000001E-3</v>
      </c>
      <c r="AA2041">
        <v>0.99962010000000001</v>
      </c>
      <c r="AB2041">
        <v>49</v>
      </c>
      <c r="AC2041">
        <v>-0.66980000000000905</v>
      </c>
      <c r="AD2041">
        <v>-8.2530999999999896E-2</v>
      </c>
      <c r="AE2041">
        <v>-1.8499999999960399E-2</v>
      </c>
      <c r="AF2041">
        <v>-2.7212342716159198E-2</v>
      </c>
      <c r="AG2041">
        <v>-8.2530999999999896E-2</v>
      </c>
      <c r="AH2041">
        <v>0.65948077846958597</v>
      </c>
      <c r="AI2041">
        <v>97.127217478109202</v>
      </c>
      <c r="AJ2041">
        <v>92.362871581206306</v>
      </c>
      <c r="AK2041">
        <v>0.66518176066993295</v>
      </c>
      <c r="AL2041">
        <v>69.384827916262495</v>
      </c>
      <c r="AM2041">
        <v>95.221670392654005</v>
      </c>
      <c r="AN2041">
        <v>0.99999997936097795</v>
      </c>
    </row>
    <row r="2042" spans="1:40" x14ac:dyDescent="0.25">
      <c r="A2042" t="str">
        <f>"20190304164410074"</f>
        <v>20190304164410074</v>
      </c>
      <c r="B2042" t="str">
        <f>"1551689050062160"</f>
        <v>1551689050062160</v>
      </c>
      <c r="C2042" t="s">
        <v>40</v>
      </c>
      <c r="D2042">
        <v>5.4629519999999996</v>
      </c>
      <c r="E2042">
        <v>0.53427999999999998</v>
      </c>
      <c r="F2042" t="s">
        <v>41</v>
      </c>
      <c r="G2042">
        <v>-299.1388</v>
      </c>
      <c r="H2042">
        <v>1.0185519999999999</v>
      </c>
      <c r="I2042">
        <v>284.25200000000001</v>
      </c>
      <c r="J2042">
        <v>-298.42509999999999</v>
      </c>
      <c r="K2042">
        <v>1.108609</v>
      </c>
      <c r="L2042">
        <v>284.27249999999998</v>
      </c>
      <c r="M2042">
        <v>-0.99988580000000005</v>
      </c>
      <c r="N2042">
        <v>-6.3295959999999998E-3</v>
      </c>
      <c r="O2042">
        <v>1.3732319999999999E-2</v>
      </c>
      <c r="P2042">
        <v>-0.93545599999999995</v>
      </c>
      <c r="Q2042">
        <v>0.3460915</v>
      </c>
      <c r="R2042">
        <v>-7.1715020000000004E-2</v>
      </c>
      <c r="S2042">
        <v>-3.3033450000000002</v>
      </c>
      <c r="T2042">
        <v>-0.27019490000000002</v>
      </c>
      <c r="U2042">
        <v>-4.6325680000000001E-2</v>
      </c>
      <c r="V2042">
        <v>-8.4229509999999994E-2</v>
      </c>
      <c r="W2042">
        <v>0.35207650000000001</v>
      </c>
      <c r="X2042">
        <v>0.93217360000000005</v>
      </c>
      <c r="Y2042">
        <v>-2.761402E-2</v>
      </c>
      <c r="Z2042">
        <v>-2.249469E-3</v>
      </c>
      <c r="AA2042">
        <v>0.99961610000000001</v>
      </c>
      <c r="AB2042">
        <v>49</v>
      </c>
      <c r="AC2042">
        <v>-0.71370000000001699</v>
      </c>
      <c r="AD2042">
        <v>-9.0056999999999804E-2</v>
      </c>
      <c r="AE2042">
        <v>-2.04999999999699E-2</v>
      </c>
      <c r="AF2042">
        <v>-2.9824537485814599E-2</v>
      </c>
      <c r="AG2042">
        <v>-9.0056999999999804E-2</v>
      </c>
      <c r="AH2042">
        <v>0.70218013405153901</v>
      </c>
      <c r="AI2042">
        <v>97.301968929374496</v>
      </c>
      <c r="AJ2042">
        <v>92.432130373273694</v>
      </c>
      <c r="AK2042">
        <v>0.70855960013387798</v>
      </c>
      <c r="AL2042">
        <v>69.385625161792504</v>
      </c>
      <c r="AM2042">
        <v>95.163121217844406</v>
      </c>
      <c r="AN2042">
        <v>1.00000004637202</v>
      </c>
    </row>
    <row r="2043" spans="1:40" x14ac:dyDescent="0.25">
      <c r="A2043" t="str">
        <f>"20190304164410098"</f>
        <v>20190304164410098</v>
      </c>
      <c r="B2043" t="str">
        <f>"1551689050092416"</f>
        <v>1551689050092416</v>
      </c>
      <c r="C2043" t="s">
        <v>40</v>
      </c>
      <c r="D2043">
        <v>4.9279359999999999</v>
      </c>
      <c r="E2043">
        <v>0.53409899999999999</v>
      </c>
      <c r="F2043" t="s">
        <v>41</v>
      </c>
      <c r="G2043">
        <v>-299.57319999999999</v>
      </c>
      <c r="H2043">
        <v>1.01474</v>
      </c>
      <c r="I2043">
        <v>284.25720000000001</v>
      </c>
      <c r="J2043">
        <v>-298.94779999999997</v>
      </c>
      <c r="K2043">
        <v>1.1087720000000001</v>
      </c>
      <c r="L2043">
        <v>284.27960000000002</v>
      </c>
      <c r="M2043">
        <v>-0.99988500000000002</v>
      </c>
      <c r="N2043">
        <v>-6.2652300000000001E-3</v>
      </c>
      <c r="O2043">
        <v>1.3817070000000001E-2</v>
      </c>
      <c r="P2043">
        <v>-0.93566689999999997</v>
      </c>
      <c r="Q2043">
        <v>0.345549</v>
      </c>
      <c r="R2043">
        <v>-7.1578760000000005E-2</v>
      </c>
      <c r="S2043">
        <v>-3.303528</v>
      </c>
      <c r="T2043">
        <v>-0.2700632</v>
      </c>
      <c r="U2043">
        <v>-4.4189449999999998E-2</v>
      </c>
      <c r="V2043">
        <v>-8.4215470000000001E-2</v>
      </c>
      <c r="W2043">
        <v>0.35146640000000001</v>
      </c>
      <c r="X2043">
        <v>0.93240509999999999</v>
      </c>
      <c r="Y2043">
        <v>-2.7053600000000001E-2</v>
      </c>
      <c r="Z2043">
        <v>-2.2300110000000001E-3</v>
      </c>
      <c r="AA2043">
        <v>0.99963150000000001</v>
      </c>
      <c r="AB2043">
        <v>49</v>
      </c>
      <c r="AC2043">
        <v>-0.62540000000001295</v>
      </c>
      <c r="AD2043">
        <v>-9.4031999999999893E-2</v>
      </c>
      <c r="AE2043">
        <v>-2.24000000000046E-2</v>
      </c>
      <c r="AF2043">
        <v>-3.0353906035883699E-2</v>
      </c>
      <c r="AG2043">
        <v>-9.4031999999999893E-2</v>
      </c>
      <c r="AH2043">
        <v>0.61123063472880901</v>
      </c>
      <c r="AI2043">
        <v>98.735245154370503</v>
      </c>
      <c r="AJ2043">
        <v>92.842990932637505</v>
      </c>
      <c r="AK2043">
        <v>0.619165781892554</v>
      </c>
      <c r="AL2043">
        <v>69.4229686276135</v>
      </c>
      <c r="AM2043">
        <v>95.160990462556498</v>
      </c>
      <c r="AN2043">
        <v>1.00000007311114</v>
      </c>
    </row>
    <row r="2044" spans="1:40" x14ac:dyDescent="0.25">
      <c r="A2044" t="str">
        <f>"20190304164410112"</f>
        <v>20190304164410112</v>
      </c>
      <c r="B2044" t="str">
        <f>"1551689050102176"</f>
        <v>1551689050102176</v>
      </c>
      <c r="C2044" t="s">
        <v>40</v>
      </c>
      <c r="D2044">
        <v>4.9163220000000001</v>
      </c>
      <c r="E2044">
        <v>0.53403659999999997</v>
      </c>
      <c r="F2044" t="s">
        <v>41</v>
      </c>
      <c r="G2044">
        <v>-300.0138</v>
      </c>
      <c r="H2044">
        <v>1.020716</v>
      </c>
      <c r="I2044">
        <v>284.2654</v>
      </c>
      <c r="J2044">
        <v>-299.2713</v>
      </c>
      <c r="K2044">
        <v>1.1088530000000001</v>
      </c>
      <c r="L2044">
        <v>284.28399999999999</v>
      </c>
      <c r="M2044">
        <v>-0.99988449999999995</v>
      </c>
      <c r="N2044">
        <v>-6.2673779999999997E-3</v>
      </c>
      <c r="O2044">
        <v>1.3851520000000001E-2</v>
      </c>
      <c r="P2044">
        <v>-0.93565520000000002</v>
      </c>
      <c r="Q2044">
        <v>0.3455375</v>
      </c>
      <c r="R2044">
        <v>-7.178677E-2</v>
      </c>
      <c r="S2044">
        <v>-3.3037109999999998</v>
      </c>
      <c r="T2044">
        <v>-0.27295649999999999</v>
      </c>
      <c r="U2044">
        <v>-4.4586180000000003E-2</v>
      </c>
      <c r="V2044">
        <v>-8.4476949999999995E-2</v>
      </c>
      <c r="W2044">
        <v>0.35145159999999998</v>
      </c>
      <c r="X2044">
        <v>0.93238690000000002</v>
      </c>
      <c r="Y2044">
        <v>-2.7203769999999999E-2</v>
      </c>
      <c r="Z2044">
        <v>-2.2630079999999999E-3</v>
      </c>
      <c r="AA2044">
        <v>0.99962740000000005</v>
      </c>
      <c r="AB2044">
        <v>49</v>
      </c>
      <c r="AC2044">
        <v>-0.74250000000000604</v>
      </c>
      <c r="AD2044">
        <v>-8.8137000000000104E-2</v>
      </c>
      <c r="AE2044">
        <v>-1.8599999999992099E-2</v>
      </c>
      <c r="AF2044">
        <v>-2.8482097559007699E-2</v>
      </c>
      <c r="AG2044">
        <v>-8.8137000000000104E-2</v>
      </c>
      <c r="AH2044">
        <v>0.73186530614282996</v>
      </c>
      <c r="AI2044">
        <v>96.861796177048305</v>
      </c>
      <c r="AJ2044">
        <v>92.228662641935003</v>
      </c>
      <c r="AK2044">
        <v>0.737703319082881</v>
      </c>
      <c r="AL2044">
        <v>69.4238718871119</v>
      </c>
      <c r="AM2044">
        <v>95.177028349394305</v>
      </c>
      <c r="AN2044">
        <v>0.99999995675773501</v>
      </c>
    </row>
    <row r="2045" spans="1:40" x14ac:dyDescent="0.25">
      <c r="A2045" t="str">
        <f>"20190304164410132"</f>
        <v>20190304164410132</v>
      </c>
      <c r="B2045" t="str">
        <f>"1551689050121696"</f>
        <v>1551689050121696</v>
      </c>
      <c r="C2045" t="s">
        <v>40</v>
      </c>
      <c r="D2045">
        <v>4.9312360000000002</v>
      </c>
      <c r="E2045">
        <v>0.53395780000000004</v>
      </c>
      <c r="F2045" t="s">
        <v>46</v>
      </c>
      <c r="G2045">
        <v>-312.67939999999999</v>
      </c>
      <c r="H2045" s="1">
        <v>3.450476E-6</v>
      </c>
      <c r="I2045">
        <v>284.09859999999998</v>
      </c>
      <c r="J2045">
        <v>-299.68090000000001</v>
      </c>
      <c r="K2045">
        <v>1.108951</v>
      </c>
      <c r="L2045">
        <v>284.28969999999998</v>
      </c>
      <c r="M2045">
        <v>-0.999884</v>
      </c>
      <c r="N2045">
        <v>-6.2941259999999997E-3</v>
      </c>
      <c r="O2045">
        <v>1.3877540000000001E-2</v>
      </c>
      <c r="P2045">
        <v>-0.93568899999999999</v>
      </c>
      <c r="Q2045">
        <v>0.34530490000000003</v>
      </c>
      <c r="R2045">
        <v>-7.2463799999999995E-2</v>
      </c>
      <c r="S2045">
        <v>-3.3037109999999998</v>
      </c>
      <c r="T2045">
        <v>-0.27321580000000001</v>
      </c>
      <c r="U2045">
        <v>-4.5684809999999999E-2</v>
      </c>
      <c r="V2045">
        <v>-8.5203550000000003E-2</v>
      </c>
      <c r="W2045">
        <v>0.35123870000000001</v>
      </c>
      <c r="X2045">
        <v>0.93240109999999998</v>
      </c>
      <c r="Y2045">
        <v>-2.756049E-2</v>
      </c>
      <c r="Z2045">
        <v>-2.2829759999999999E-3</v>
      </c>
      <c r="AA2045">
        <v>0.99961750000000005</v>
      </c>
      <c r="AB2045">
        <v>49</v>
      </c>
      <c r="AC2045">
        <v>-12.9984999999999</v>
      </c>
      <c r="AD2045">
        <v>-1.108947549524</v>
      </c>
      <c r="AE2045">
        <v>-0.19110000000000499</v>
      </c>
      <c r="AF2045">
        <v>-0.36878874466446099</v>
      </c>
      <c r="AG2045">
        <v>-1.108947549524</v>
      </c>
      <c r="AH2045">
        <v>12.900719948587399</v>
      </c>
      <c r="AI2045">
        <v>94.911078770178193</v>
      </c>
      <c r="AJ2045">
        <v>91.637450134242698</v>
      </c>
      <c r="AK2045">
        <v>12.953545653513901</v>
      </c>
      <c r="AL2045">
        <v>69.436902600295497</v>
      </c>
      <c r="AM2045">
        <v>95.2212326592621</v>
      </c>
      <c r="AN2045">
        <v>1.0000000402957501</v>
      </c>
    </row>
    <row r="2046" spans="1:40" x14ac:dyDescent="0.25">
      <c r="A2046" t="str">
        <f>"20190304164410152"</f>
        <v>20190304164410152</v>
      </c>
      <c r="B2046" t="str">
        <f>"1551689050142192"</f>
        <v>1551689050142192</v>
      </c>
      <c r="C2046" t="s">
        <v>40</v>
      </c>
      <c r="D2046">
        <v>4.9278950000000004</v>
      </c>
      <c r="E2046">
        <v>0.5339334</v>
      </c>
      <c r="F2046" t="s">
        <v>46</v>
      </c>
      <c r="G2046">
        <v>-313.02510000000001</v>
      </c>
      <c r="H2046" s="1">
        <v>3.604263E-6</v>
      </c>
      <c r="I2046">
        <v>284.09309999999999</v>
      </c>
      <c r="J2046">
        <v>-300.13979999999998</v>
      </c>
      <c r="K2046">
        <v>1.109043</v>
      </c>
      <c r="L2046">
        <v>284.29610000000002</v>
      </c>
      <c r="M2046">
        <v>-0.99988339999999998</v>
      </c>
      <c r="N2046">
        <v>-6.3443429999999997E-3</v>
      </c>
      <c r="O2046">
        <v>1.389495E-2</v>
      </c>
      <c r="P2046">
        <v>-0.93542179999999997</v>
      </c>
      <c r="Q2046">
        <v>0.34582109999999999</v>
      </c>
      <c r="R2046">
        <v>-7.3444289999999995E-2</v>
      </c>
      <c r="S2046">
        <v>-3.3037719999999999</v>
      </c>
      <c r="T2046">
        <v>-0.27455350000000001</v>
      </c>
      <c r="U2046">
        <v>-4.8675540000000003E-2</v>
      </c>
      <c r="V2046">
        <v>-8.6221539999999999E-2</v>
      </c>
      <c r="W2046">
        <v>0.35179389999999999</v>
      </c>
      <c r="X2046">
        <v>0.93209810000000004</v>
      </c>
      <c r="Y2046">
        <v>-2.8477499999999999E-2</v>
      </c>
      <c r="Z2046">
        <v>-2.3363479999999998E-3</v>
      </c>
      <c r="AA2046">
        <v>0.99959169999999997</v>
      </c>
      <c r="AB2046">
        <v>49</v>
      </c>
      <c r="AC2046">
        <v>-12.885300000000001</v>
      </c>
      <c r="AD2046">
        <v>-1.1090393957369999</v>
      </c>
      <c r="AE2046">
        <v>-0.20300000000003099</v>
      </c>
      <c r="AF2046">
        <v>-0.37921603177346502</v>
      </c>
      <c r="AG2046">
        <v>-1.1090393957369999</v>
      </c>
      <c r="AH2046">
        <v>12.786535278143001</v>
      </c>
      <c r="AI2046">
        <v>94.954972403718301</v>
      </c>
      <c r="AJ2046">
        <v>91.698748784808998</v>
      </c>
      <c r="AK2046">
        <v>12.840142429087299</v>
      </c>
      <c r="AL2046">
        <v>69.402922307835993</v>
      </c>
      <c r="AM2046">
        <v>95.284971375496895</v>
      </c>
      <c r="AN2046">
        <v>0.999999985030395</v>
      </c>
    </row>
    <row r="2047" spans="1:40" x14ac:dyDescent="0.25">
      <c r="A2047" t="str">
        <f>"20190304164410174"</f>
        <v>20190304164410174</v>
      </c>
      <c r="B2047" t="str">
        <f>"1551689050161712"</f>
        <v>1551689050161712</v>
      </c>
      <c r="C2047" t="s">
        <v>40</v>
      </c>
      <c r="D2047">
        <v>4.9174749999999996</v>
      </c>
      <c r="E2047">
        <v>0.53388069999999999</v>
      </c>
      <c r="F2047" t="s">
        <v>46</v>
      </c>
      <c r="G2047">
        <v>-313.53930000000003</v>
      </c>
      <c r="H2047" s="1">
        <v>3.8331919999999998E-6</v>
      </c>
      <c r="I2047">
        <v>284.08269999999999</v>
      </c>
      <c r="J2047">
        <v>-300.61340000000001</v>
      </c>
      <c r="K2047">
        <v>1.109121</v>
      </c>
      <c r="L2047">
        <v>284.30270000000002</v>
      </c>
      <c r="M2047">
        <v>-0.99988270000000001</v>
      </c>
      <c r="N2047">
        <v>-6.417018E-3</v>
      </c>
      <c r="O2047">
        <v>1.3907269999999999E-2</v>
      </c>
      <c r="P2047">
        <v>-0.93531880000000001</v>
      </c>
      <c r="Q2047">
        <v>0.3459525</v>
      </c>
      <c r="R2047">
        <v>-7.4133229999999994E-2</v>
      </c>
      <c r="S2047">
        <v>-3.3041079999999998</v>
      </c>
      <c r="T2047">
        <v>-0.27347100000000002</v>
      </c>
      <c r="U2047">
        <v>-5.2612300000000001E-2</v>
      </c>
      <c r="V2047">
        <v>-8.6947259999999998E-2</v>
      </c>
      <c r="W2047">
        <v>0.35198629999999997</v>
      </c>
      <c r="X2047">
        <v>0.93195799999999995</v>
      </c>
      <c r="Y2047">
        <v>-2.9675739999999999E-2</v>
      </c>
      <c r="Z2047">
        <v>-2.3812410000000001E-3</v>
      </c>
      <c r="AA2047">
        <v>0.99955669999999996</v>
      </c>
      <c r="AB2047">
        <v>49</v>
      </c>
      <c r="AC2047">
        <v>-12.9259</v>
      </c>
      <c r="AD2047">
        <v>-1.109117166808</v>
      </c>
      <c r="AE2047">
        <v>-0.22000000000002701</v>
      </c>
      <c r="AF2047">
        <v>-0.396825569265008</v>
      </c>
      <c r="AG2047">
        <v>-1.109117166808</v>
      </c>
      <c r="AH2047">
        <v>12.827175749726001</v>
      </c>
      <c r="AI2047">
        <v>94.939505692250805</v>
      </c>
      <c r="AJ2047">
        <v>91.771955228823103</v>
      </c>
      <c r="AK2047">
        <v>12.8811509243735</v>
      </c>
      <c r="AL2047">
        <v>69.391144554974801</v>
      </c>
      <c r="AM2047">
        <v>95.329996032540194</v>
      </c>
      <c r="AN2047">
        <v>0.99999994758659705</v>
      </c>
    </row>
    <row r="2048" spans="1:40" x14ac:dyDescent="0.25">
      <c r="A2048" t="str">
        <f>"20190304164410188"</f>
        <v>20190304164410188</v>
      </c>
      <c r="B2048" t="str">
        <f>"1551689050182208"</f>
        <v>1551689050182208</v>
      </c>
      <c r="C2048" t="s">
        <v>40</v>
      </c>
      <c r="D2048">
        <v>4.9227019999999904</v>
      </c>
      <c r="E2048">
        <v>0.53387859999999998</v>
      </c>
      <c r="F2048" t="s">
        <v>41</v>
      </c>
      <c r="G2048">
        <v>-301.76729999999998</v>
      </c>
      <c r="H2048">
        <v>1.0136419999999999</v>
      </c>
      <c r="I2048">
        <v>284.28289999999998</v>
      </c>
      <c r="J2048">
        <v>-300.91430000000003</v>
      </c>
      <c r="K2048">
        <v>1.1091629999999999</v>
      </c>
      <c r="L2048">
        <v>284.30689999999998</v>
      </c>
      <c r="M2048">
        <v>-0.9998823</v>
      </c>
      <c r="N2048">
        <v>-6.4726699999999998E-3</v>
      </c>
      <c r="O2048">
        <v>1.3913460000000001E-2</v>
      </c>
      <c r="P2048">
        <v>-0.93524719999999995</v>
      </c>
      <c r="Q2048">
        <v>0.34610010000000002</v>
      </c>
      <c r="R2048">
        <v>-7.4349570000000004E-2</v>
      </c>
      <c r="S2048">
        <v>-3.3040769999999902</v>
      </c>
      <c r="T2048">
        <v>-0.27348840000000002</v>
      </c>
      <c r="U2048">
        <v>-5.7220460000000001E-2</v>
      </c>
      <c r="V2048">
        <v>-8.718397E-2</v>
      </c>
      <c r="W2048">
        <v>0.35218139999999998</v>
      </c>
      <c r="X2048">
        <v>0.93186219999999997</v>
      </c>
      <c r="Y2048">
        <v>-3.1070549999999999E-2</v>
      </c>
      <c r="Z2048">
        <v>-2.4440640000000001E-3</v>
      </c>
      <c r="AA2048">
        <v>0.99951420000000002</v>
      </c>
      <c r="AB2048">
        <v>49</v>
      </c>
      <c r="AC2048">
        <v>-0.85299999999995102</v>
      </c>
      <c r="AD2048">
        <v>-9.5520999999999898E-2</v>
      </c>
      <c r="AE2048">
        <v>-2.4000000000000899E-2</v>
      </c>
      <c r="AF2048">
        <v>-3.5422260270726098E-2</v>
      </c>
      <c r="AG2048">
        <v>-9.5520999999999898E-2</v>
      </c>
      <c r="AH2048">
        <v>0.84203270939472497</v>
      </c>
      <c r="AI2048">
        <v>96.466349801262496</v>
      </c>
      <c r="AJ2048">
        <v>92.408873249212803</v>
      </c>
      <c r="AK2048">
        <v>0.84817337947751403</v>
      </c>
      <c r="AL2048">
        <v>69.379201924444203</v>
      </c>
      <c r="AM2048">
        <v>95.344969047899596</v>
      </c>
      <c r="AN2048">
        <v>0.99999997145987995</v>
      </c>
    </row>
    <row r="2049" spans="1:40" x14ac:dyDescent="0.25">
      <c r="A2049" t="str">
        <f>"20190304164410199"</f>
        <v>20190304164410199</v>
      </c>
      <c r="B2049" t="str">
        <f>"1551689050191968"</f>
        <v>1551689050191968</v>
      </c>
      <c r="C2049" t="s">
        <v>40</v>
      </c>
      <c r="D2049">
        <v>4.9403750000000004</v>
      </c>
      <c r="E2049">
        <v>0.53386899999999904</v>
      </c>
      <c r="F2049" t="s">
        <v>46</v>
      </c>
      <c r="G2049">
        <v>-314.28199999999998</v>
      </c>
      <c r="H2049" s="1">
        <v>4.163751E-6</v>
      </c>
      <c r="I2049">
        <v>284.06849999999997</v>
      </c>
      <c r="J2049">
        <v>-301.18560000000002</v>
      </c>
      <c r="K2049">
        <v>1.1092010000000001</v>
      </c>
      <c r="L2049">
        <v>284.3107</v>
      </c>
      <c r="M2049">
        <v>-0.99988189999999999</v>
      </c>
      <c r="N2049">
        <v>-6.5249369999999998E-3</v>
      </c>
      <c r="O2049">
        <v>1.3919559999999999E-2</v>
      </c>
      <c r="P2049">
        <v>-0.93528129999999998</v>
      </c>
      <c r="Q2049">
        <v>0.34597050000000001</v>
      </c>
      <c r="R2049">
        <v>-7.4522930000000001E-2</v>
      </c>
      <c r="S2049">
        <v>-3.3044739999999999</v>
      </c>
      <c r="T2049">
        <v>-0.27418340000000002</v>
      </c>
      <c r="U2049">
        <v>-5.892944E-2</v>
      </c>
      <c r="V2049">
        <v>-8.7377979999999994E-2</v>
      </c>
      <c r="W2049">
        <v>0.35209750000000001</v>
      </c>
      <c r="X2049">
        <v>0.93187580000000003</v>
      </c>
      <c r="Y2049">
        <v>-3.1588629999999999E-2</v>
      </c>
      <c r="Z2049">
        <v>-2.4736279999999999E-3</v>
      </c>
      <c r="AA2049">
        <v>0.99949790000000005</v>
      </c>
      <c r="AB2049">
        <v>49</v>
      </c>
      <c r="AC2049">
        <v>-13.0963999999999</v>
      </c>
      <c r="AD2049">
        <v>-1.1091968362489999</v>
      </c>
      <c r="AE2049">
        <v>-0.24220000000002501</v>
      </c>
      <c r="AF2049">
        <v>-0.42145438150241399</v>
      </c>
      <c r="AG2049">
        <v>-1.1091968362489999</v>
      </c>
      <c r="AH2049">
        <v>12.998550337544399</v>
      </c>
      <c r="AI2049">
        <v>94.874818670001304</v>
      </c>
      <c r="AJ2049">
        <v>91.857060996352899</v>
      </c>
      <c r="AK2049">
        <v>13.0525956152372</v>
      </c>
      <c r="AL2049">
        <v>69.3843393628553</v>
      </c>
      <c r="AM2049">
        <v>95.356716339669902</v>
      </c>
      <c r="AN2049">
        <v>1.00000003376038</v>
      </c>
    </row>
    <row r="2050" spans="1:40" x14ac:dyDescent="0.25">
      <c r="A2050" t="str">
        <f>"20190304164410221"</f>
        <v>20190304164410221</v>
      </c>
      <c r="B2050" t="str">
        <f>"1551689050211491"</f>
        <v>1551689050211491</v>
      </c>
      <c r="C2050" t="s">
        <v>40</v>
      </c>
      <c r="D2050">
        <v>4.9505049999999997</v>
      </c>
      <c r="E2050">
        <v>0.53386820000000001</v>
      </c>
      <c r="F2050" t="s">
        <v>41</v>
      </c>
      <c r="G2050">
        <v>-302.21539999999999</v>
      </c>
      <c r="H2050">
        <v>1.023598</v>
      </c>
      <c r="I2050">
        <v>284.2921</v>
      </c>
      <c r="J2050">
        <v>-301.63810000000001</v>
      </c>
      <c r="K2050">
        <v>1.109253</v>
      </c>
      <c r="L2050">
        <v>284.31700000000001</v>
      </c>
      <c r="M2050">
        <v>-0.99988109999999997</v>
      </c>
      <c r="N2050">
        <v>-6.6160460000000004E-3</v>
      </c>
      <c r="O2050">
        <v>1.393046E-2</v>
      </c>
      <c r="P2050">
        <v>-0.9352741</v>
      </c>
      <c r="Q2050">
        <v>0.34593610000000002</v>
      </c>
      <c r="R2050">
        <v>-7.4771149999999995E-2</v>
      </c>
      <c r="S2050">
        <v>-3.304443</v>
      </c>
      <c r="T2050">
        <v>-0.27469470000000001</v>
      </c>
      <c r="U2050">
        <v>-5.9722900000000002E-2</v>
      </c>
      <c r="V2050">
        <v>-8.7659420000000002E-2</v>
      </c>
      <c r="W2050">
        <v>0.35214250000000002</v>
      </c>
      <c r="X2050">
        <v>0.93183229999999995</v>
      </c>
      <c r="Y2050">
        <v>-3.1838039999999998E-2</v>
      </c>
      <c r="Z2050">
        <v>-2.4904039999999999E-3</v>
      </c>
      <c r="AA2050">
        <v>0.99948999999999999</v>
      </c>
      <c r="AB2050">
        <v>49</v>
      </c>
      <c r="AC2050">
        <v>-0.57729999999997905</v>
      </c>
      <c r="AD2050">
        <v>-8.5654999999999995E-2</v>
      </c>
      <c r="AE2050">
        <v>-2.4900000000002299E-2</v>
      </c>
      <c r="AF2050">
        <v>-3.2231580220860298E-2</v>
      </c>
      <c r="AG2050">
        <v>-8.5654999999999995E-2</v>
      </c>
      <c r="AH2050">
        <v>0.564493327154727</v>
      </c>
      <c r="AI2050">
        <v>98.614300932570998</v>
      </c>
      <c r="AJ2050">
        <v>93.267940343318202</v>
      </c>
      <c r="AK2050">
        <v>0.57186394377574401</v>
      </c>
      <c r="AL2050">
        <v>69.381583353719506</v>
      </c>
      <c r="AM2050">
        <v>95.374118596738697</v>
      </c>
      <c r="AN2050">
        <v>0.99999997477213698</v>
      </c>
    </row>
    <row r="2051" spans="1:40" x14ac:dyDescent="0.25">
      <c r="A2051" t="str">
        <f>"20190304164410241"</f>
        <v>20190304164410241</v>
      </c>
      <c r="B2051" t="str">
        <f>"1551689050231984"</f>
        <v>1551689050231984</v>
      </c>
      <c r="C2051" t="s">
        <v>40</v>
      </c>
      <c r="D2051">
        <v>4.9445569999999996</v>
      </c>
      <c r="E2051">
        <v>0.5339178</v>
      </c>
      <c r="F2051" t="s">
        <v>41</v>
      </c>
      <c r="G2051">
        <v>-302.65780000000001</v>
      </c>
      <c r="H2051">
        <v>1.024241</v>
      </c>
      <c r="I2051">
        <v>284.29880000000003</v>
      </c>
      <c r="J2051">
        <v>-302.09910000000002</v>
      </c>
      <c r="K2051">
        <v>1.109291</v>
      </c>
      <c r="L2051">
        <v>284.32350000000002</v>
      </c>
      <c r="M2051">
        <v>-0.9998804</v>
      </c>
      <c r="N2051">
        <v>-6.7092519999999998E-3</v>
      </c>
      <c r="O2051">
        <v>1.3941530000000001E-2</v>
      </c>
      <c r="P2051">
        <v>-0.9351758</v>
      </c>
      <c r="Q2051">
        <v>0.34613729999999998</v>
      </c>
      <c r="R2051">
        <v>-7.5069280000000002E-2</v>
      </c>
      <c r="S2051">
        <v>-3.3048099999999998</v>
      </c>
      <c r="T2051">
        <v>-0.27574799999999999</v>
      </c>
      <c r="U2051">
        <v>-6.0089110000000001E-2</v>
      </c>
      <c r="V2051">
        <v>-8.7987590000000004E-2</v>
      </c>
      <c r="W2051">
        <v>0.35242459999999998</v>
      </c>
      <c r="X2051">
        <v>0.93169469999999999</v>
      </c>
      <c r="Y2051">
        <v>-3.1956159999999997E-2</v>
      </c>
      <c r="Z2051">
        <v>-2.5059489999999999E-3</v>
      </c>
      <c r="AA2051">
        <v>0.99948610000000004</v>
      </c>
      <c r="AB2051">
        <v>49</v>
      </c>
      <c r="AC2051">
        <v>-0.55869999999998698</v>
      </c>
      <c r="AD2051">
        <v>-8.5050000000000001E-2</v>
      </c>
      <c r="AE2051">
        <v>-2.4699999999995701E-2</v>
      </c>
      <c r="AF2051">
        <v>-3.1752525497468403E-2</v>
      </c>
      <c r="AG2051">
        <v>-8.5050000000000001E-2</v>
      </c>
      <c r="AH2051">
        <v>0.54568068093677602</v>
      </c>
      <c r="AI2051">
        <v>98.8441433453483</v>
      </c>
      <c r="AJ2051">
        <v>93.330219656695604</v>
      </c>
      <c r="AK2051">
        <v>0.55318092060653301</v>
      </c>
      <c r="AL2051">
        <v>69.364312848361095</v>
      </c>
      <c r="AM2051">
        <v>95.394911144395294</v>
      </c>
      <c r="AN2051">
        <v>0.99999996434362803</v>
      </c>
    </row>
    <row r="2052" spans="1:40" x14ac:dyDescent="0.25">
      <c r="A2052" t="str">
        <f>"20190304164410256"</f>
        <v>20190304164410256</v>
      </c>
      <c r="B2052" t="str">
        <f>"1551689050251504"</f>
        <v>1551689050251504</v>
      </c>
      <c r="C2052" t="s">
        <v>40</v>
      </c>
      <c r="D2052">
        <v>4.9433259999999999</v>
      </c>
      <c r="E2052">
        <v>0.533937199999999</v>
      </c>
      <c r="F2052" t="s">
        <v>41</v>
      </c>
      <c r="G2052">
        <v>-303.10169999999999</v>
      </c>
      <c r="H2052">
        <v>1.0255829999999999</v>
      </c>
      <c r="I2052">
        <v>284.30549999999999</v>
      </c>
      <c r="J2052">
        <v>-302.4171</v>
      </c>
      <c r="K2052">
        <v>1.1093139999999999</v>
      </c>
      <c r="L2052">
        <v>284.3279</v>
      </c>
      <c r="M2052">
        <v>-0.99987979999999999</v>
      </c>
      <c r="N2052">
        <v>-6.7727229999999996E-3</v>
      </c>
      <c r="O2052">
        <v>1.394955E-2</v>
      </c>
      <c r="P2052">
        <v>-0.93512779999999995</v>
      </c>
      <c r="Q2052">
        <v>0.34628599999999998</v>
      </c>
      <c r="R2052">
        <v>-7.4981530000000005E-2</v>
      </c>
      <c r="S2052">
        <v>-3.3053279999999998</v>
      </c>
      <c r="T2052">
        <v>-0.27611409999999997</v>
      </c>
      <c r="U2052">
        <v>-5.9906010000000003E-2</v>
      </c>
      <c r="V2052">
        <v>-8.7919940000000002E-2</v>
      </c>
      <c r="W2052">
        <v>0.35262850000000001</v>
      </c>
      <c r="X2052">
        <v>0.93162400000000001</v>
      </c>
      <c r="Y2052">
        <v>-3.1905759999999998E-2</v>
      </c>
      <c r="Z2052">
        <v>-2.507333E-3</v>
      </c>
      <c r="AA2052">
        <v>0.99948780000000004</v>
      </c>
      <c r="AB2052">
        <v>49</v>
      </c>
      <c r="AC2052">
        <v>-0.684599999999989</v>
      </c>
      <c r="AD2052">
        <v>-8.3731E-2</v>
      </c>
      <c r="AE2052">
        <v>-2.24000000000046E-2</v>
      </c>
      <c r="AF2052">
        <v>-3.1477536213083697E-2</v>
      </c>
      <c r="AG2052">
        <v>-8.3731E-2</v>
      </c>
      <c r="AH2052">
        <v>0.67414721324527904</v>
      </c>
      <c r="AI2052">
        <v>97.072413639931</v>
      </c>
      <c r="AJ2052">
        <v>92.673334516121898</v>
      </c>
      <c r="AK2052">
        <v>0.68005601296762497</v>
      </c>
      <c r="AL2052">
        <v>69.3518301179014</v>
      </c>
      <c r="AM2052">
        <v>95.391194357850495</v>
      </c>
      <c r="AN2052">
        <v>1.0000000261189199</v>
      </c>
    </row>
    <row r="2053" spans="1:40" x14ac:dyDescent="0.25">
      <c r="A2053" t="str">
        <f>"20190304164410269"</f>
        <v>20190304164410269</v>
      </c>
      <c r="B2053" t="str">
        <f>"1551689050262240"</f>
        <v>1551689050262240</v>
      </c>
      <c r="C2053" t="s">
        <v>40</v>
      </c>
      <c r="D2053">
        <v>4.9760039999999996</v>
      </c>
      <c r="E2053">
        <v>0.53395490000000001</v>
      </c>
      <c r="F2053" t="s">
        <v>41</v>
      </c>
      <c r="G2053">
        <v>-303.53829999999999</v>
      </c>
      <c r="H2053">
        <v>1.0155050000000001</v>
      </c>
      <c r="I2053">
        <v>284.30810000000002</v>
      </c>
      <c r="J2053">
        <v>-302.71510000000001</v>
      </c>
      <c r="K2053">
        <v>1.109329</v>
      </c>
      <c r="L2053">
        <v>284.33210000000003</v>
      </c>
      <c r="M2053">
        <v>-0.99987939999999997</v>
      </c>
      <c r="N2053">
        <v>-6.83206E-3</v>
      </c>
      <c r="O2053">
        <v>1.395646E-2</v>
      </c>
      <c r="P2053">
        <v>-0.9351043</v>
      </c>
      <c r="Q2053">
        <v>0.34636990000000001</v>
      </c>
      <c r="R2053">
        <v>-7.4888969999999999E-2</v>
      </c>
      <c r="S2053">
        <v>-3.305847</v>
      </c>
      <c r="T2053">
        <v>-0.27670409999999901</v>
      </c>
      <c r="U2053">
        <v>-5.8990479999999998E-2</v>
      </c>
      <c r="V2053">
        <v>-8.7844489999999997E-2</v>
      </c>
      <c r="W2053">
        <v>0.3527651</v>
      </c>
      <c r="X2053">
        <v>0.93157939999999995</v>
      </c>
      <c r="Y2053">
        <v>-3.1633469999999997E-2</v>
      </c>
      <c r="Z2053">
        <v>-2.5006030000000001E-3</v>
      </c>
      <c r="AA2053">
        <v>0.99949639999999995</v>
      </c>
      <c r="AB2053">
        <v>50</v>
      </c>
      <c r="AC2053">
        <v>-0.82319999999998505</v>
      </c>
      <c r="AD2053">
        <v>-9.3824000000000102E-2</v>
      </c>
      <c r="AE2053">
        <v>-2.4000000000000899E-2</v>
      </c>
      <c r="AF2053">
        <v>-3.5032196672938297E-2</v>
      </c>
      <c r="AG2053">
        <v>-9.3824000000000102E-2</v>
      </c>
      <c r="AH2053">
        <v>0.81224259178389602</v>
      </c>
      <c r="AI2053">
        <v>96.583097178485303</v>
      </c>
      <c r="AJ2053">
        <v>92.469648621963501</v>
      </c>
      <c r="AK2053">
        <v>0.81839368624614395</v>
      </c>
      <c r="AL2053">
        <v>69.343465979859403</v>
      </c>
      <c r="AM2053">
        <v>95.386851407017303</v>
      </c>
      <c r="AN2053">
        <v>1.00000002435286</v>
      </c>
    </row>
    <row r="2054" spans="1:40" x14ac:dyDescent="0.25">
      <c r="A2054" t="str">
        <f>"20190304164410286"</f>
        <v>20190304164410286</v>
      </c>
      <c r="B2054" t="str">
        <f>"1551689050281760"</f>
        <v>1551689050281760</v>
      </c>
      <c r="C2054" t="s">
        <v>40</v>
      </c>
      <c r="D2054">
        <v>4.9641669999999998</v>
      </c>
      <c r="E2054">
        <v>0.53391429999999995</v>
      </c>
      <c r="F2054" t="s">
        <v>46</v>
      </c>
      <c r="G2054">
        <v>-315.95139999999998</v>
      </c>
      <c r="H2054" s="1">
        <v>4.9016429999999999E-6</v>
      </c>
      <c r="I2054">
        <v>284.09660000000002</v>
      </c>
      <c r="J2054">
        <v>-303.09530000000001</v>
      </c>
      <c r="K2054">
        <v>1.1093420000000001</v>
      </c>
      <c r="L2054">
        <v>284.3374</v>
      </c>
      <c r="M2054">
        <v>-0.99987870000000001</v>
      </c>
      <c r="N2054">
        <v>-6.9065410000000004E-3</v>
      </c>
      <c r="O2054">
        <v>1.3964799999999999E-2</v>
      </c>
      <c r="P2054">
        <v>-0.93518299999999999</v>
      </c>
      <c r="Q2054">
        <v>0.34623490000000001</v>
      </c>
      <c r="R2054">
        <v>-7.4527969999999999E-2</v>
      </c>
      <c r="S2054">
        <v>-3.3061219999999998</v>
      </c>
      <c r="T2054">
        <v>-0.27708280000000002</v>
      </c>
      <c r="U2054">
        <v>-5.8807369999999998E-2</v>
      </c>
      <c r="V2054">
        <v>-8.7504399999999996E-2</v>
      </c>
      <c r="W2054">
        <v>0.35269669999999997</v>
      </c>
      <c r="X2054">
        <v>0.9316373</v>
      </c>
      <c r="Y2054">
        <v>-3.1584719999999997E-2</v>
      </c>
      <c r="Z2054">
        <v>-2.5023659999999998E-3</v>
      </c>
      <c r="AA2054">
        <v>0.999498</v>
      </c>
      <c r="AB2054">
        <v>50</v>
      </c>
      <c r="AC2054">
        <v>-12.8560999999999</v>
      </c>
      <c r="AD2054">
        <v>-1.1093370983569999</v>
      </c>
      <c r="AE2054">
        <v>-0.240799999999978</v>
      </c>
      <c r="AF2054">
        <v>-0.41720831308879902</v>
      </c>
      <c r="AG2054">
        <v>-1.1093370983569999</v>
      </c>
      <c r="AH2054">
        <v>12.756534816128999</v>
      </c>
      <c r="AI2054">
        <v>94.9674243576723</v>
      </c>
      <c r="AJ2054">
        <v>91.873217004667197</v>
      </c>
      <c r="AK2054">
        <v>12.811474235598901</v>
      </c>
      <c r="AL2054">
        <v>69.347654126780796</v>
      </c>
      <c r="AM2054">
        <v>95.365786633109394</v>
      </c>
      <c r="AN2054">
        <v>1.00000002048076</v>
      </c>
    </row>
    <row r="2055" spans="1:40" x14ac:dyDescent="0.25">
      <c r="A2055" t="str">
        <f>"20190304164410310"</f>
        <v>20190304164410310</v>
      </c>
      <c r="B2055" t="str">
        <f>"1551689050302256"</f>
        <v>1551689050302256</v>
      </c>
      <c r="C2055" t="s">
        <v>40</v>
      </c>
      <c r="D2055">
        <v>4.9408029999999998</v>
      </c>
      <c r="E2055">
        <v>0.53551959999999998</v>
      </c>
      <c r="F2055" t="s">
        <v>46</v>
      </c>
      <c r="G2055">
        <v>-316.28210000000001</v>
      </c>
      <c r="H2055" s="1">
        <v>5.0475320000000004E-6</v>
      </c>
      <c r="I2055">
        <v>284.10520000000002</v>
      </c>
      <c r="J2055">
        <v>-303.61610000000002</v>
      </c>
      <c r="K2055">
        <v>1.1093550000000001</v>
      </c>
      <c r="L2055">
        <v>284.34469999999999</v>
      </c>
      <c r="M2055">
        <v>-0.99987789999999999</v>
      </c>
      <c r="N2055">
        <v>-7.0045029999999996E-3</v>
      </c>
      <c r="O2055">
        <v>1.397434E-2</v>
      </c>
      <c r="P2055">
        <v>-0.93532380000000004</v>
      </c>
      <c r="Q2055">
        <v>0.34583160000000002</v>
      </c>
      <c r="R2055">
        <v>-7.46333E-2</v>
      </c>
      <c r="S2055">
        <v>-3.3062740000000002</v>
      </c>
      <c r="T2055">
        <v>-0.2781401</v>
      </c>
      <c r="U2055">
        <v>-5.8227540000000001E-2</v>
      </c>
      <c r="V2055">
        <v>-8.763456E-2</v>
      </c>
      <c r="W2055">
        <v>0.35238219999999998</v>
      </c>
      <c r="X2055">
        <v>0.93174400000000002</v>
      </c>
      <c r="Y2055">
        <v>-3.1417590000000002E-2</v>
      </c>
      <c r="Z2055">
        <v>-2.5050379999999998E-3</v>
      </c>
      <c r="AA2055">
        <v>0.99950320000000004</v>
      </c>
      <c r="AB2055">
        <v>50</v>
      </c>
      <c r="AC2055">
        <v>-12.665999999999899</v>
      </c>
      <c r="AD2055">
        <v>-1.1093499524679999</v>
      </c>
      <c r="AE2055">
        <v>-0.23949999999996399</v>
      </c>
      <c r="AF2055">
        <v>-0.41331051423797899</v>
      </c>
      <c r="AG2055">
        <v>-1.1093499524679999</v>
      </c>
      <c r="AH2055">
        <v>12.565062702281701</v>
      </c>
      <c r="AI2055">
        <v>95.042760027640796</v>
      </c>
      <c r="AJ2055">
        <v>91.883986840269202</v>
      </c>
      <c r="AK2055">
        <v>12.6207085225233</v>
      </c>
      <c r="AL2055">
        <v>69.366908544916598</v>
      </c>
      <c r="AM2055">
        <v>95.373109603091606</v>
      </c>
      <c r="AN2055">
        <v>0.99999995625961502</v>
      </c>
    </row>
    <row r="2056" spans="1:40" x14ac:dyDescent="0.25">
      <c r="A2056" t="str">
        <f>"20190304164410332"</f>
        <v>20190304164410332</v>
      </c>
      <c r="B2056" t="str">
        <f>"1551689050321776"</f>
        <v>1551689050321776</v>
      </c>
      <c r="C2056" t="s">
        <v>40</v>
      </c>
      <c r="D2056">
        <v>4.9497470000000003</v>
      </c>
      <c r="E2056">
        <v>0.53510740000000001</v>
      </c>
      <c r="F2056" t="s">
        <v>41</v>
      </c>
      <c r="G2056">
        <v>-304.43849999999998</v>
      </c>
      <c r="H2056">
        <v>1.0327740000000001</v>
      </c>
      <c r="I2056">
        <v>284.33300000000003</v>
      </c>
      <c r="J2056">
        <v>-304.1053</v>
      </c>
      <c r="K2056">
        <v>1.109362</v>
      </c>
      <c r="L2056">
        <v>284.35160000000002</v>
      </c>
      <c r="M2056">
        <v>-0.99987720000000002</v>
      </c>
      <c r="N2056">
        <v>-7.0897999999999899E-3</v>
      </c>
      <c r="O2056">
        <v>1.3980680000000001E-2</v>
      </c>
      <c r="P2056">
        <v>-0.93548410000000004</v>
      </c>
      <c r="Q2056">
        <v>0.34540690000000002</v>
      </c>
      <c r="R2056">
        <v>-7.4591619999999997E-2</v>
      </c>
      <c r="S2056">
        <v>-3.3179319999999999</v>
      </c>
      <c r="T2056">
        <v>-0.3090347</v>
      </c>
      <c r="U2056">
        <v>-4.7515870000000002E-2</v>
      </c>
      <c r="V2056">
        <v>-8.76112E-2</v>
      </c>
      <c r="W2056">
        <v>0.35203590000000001</v>
      </c>
      <c r="X2056">
        <v>0.93187710000000001</v>
      </c>
      <c r="Y2056">
        <v>-2.8115049999999999E-2</v>
      </c>
      <c r="Z2056">
        <v>-2.6067130000000001E-3</v>
      </c>
      <c r="AA2056">
        <v>0.99960130000000003</v>
      </c>
      <c r="AB2056">
        <v>50</v>
      </c>
      <c r="AC2056">
        <v>-0.33319999999997602</v>
      </c>
      <c r="AD2056">
        <v>-7.65880000000001E-2</v>
      </c>
      <c r="AE2056">
        <v>-1.8600000000049001E-2</v>
      </c>
      <c r="AF2056">
        <v>-2.2093029707566599E-2</v>
      </c>
      <c r="AG2056">
        <v>-7.65880000000001E-2</v>
      </c>
      <c r="AH2056">
        <v>0.31625058517221699</v>
      </c>
      <c r="AI2056">
        <v>103.581638102867</v>
      </c>
      <c r="AJ2056">
        <v>93.996147986962399</v>
      </c>
      <c r="AK2056">
        <v>0.32614146674016897</v>
      </c>
      <c r="AL2056">
        <v>69.388108694972601</v>
      </c>
      <c r="AM2056">
        <v>95.370922967296906</v>
      </c>
      <c r="AN2056">
        <v>0.99999996337932895</v>
      </c>
    </row>
    <row r="2057" spans="1:40" x14ac:dyDescent="0.25">
      <c r="A2057" t="str">
        <f>"20190304164410353"</f>
        <v>20190304164410353</v>
      </c>
      <c r="B2057" t="str">
        <f>"1551689050342273"</f>
        <v>1551689050342273</v>
      </c>
      <c r="C2057" t="s">
        <v>40</v>
      </c>
      <c r="D2057">
        <v>4.9609139999999998</v>
      </c>
      <c r="E2057">
        <v>0.53535459999999901</v>
      </c>
      <c r="F2057" t="s">
        <v>46</v>
      </c>
      <c r="G2057">
        <v>-315.83440000000002</v>
      </c>
      <c r="H2057" s="1">
        <v>4.8433059999999996E-6</v>
      </c>
      <c r="I2057">
        <v>284.17</v>
      </c>
      <c r="J2057">
        <v>-304.57220000000001</v>
      </c>
      <c r="K2057">
        <v>1.109364</v>
      </c>
      <c r="L2057">
        <v>284.35820000000001</v>
      </c>
      <c r="M2057">
        <v>-0.99987669999999995</v>
      </c>
      <c r="N2057">
        <v>-7.1677019999999998E-3</v>
      </c>
      <c r="O2057">
        <v>1.398516E-2</v>
      </c>
      <c r="P2057">
        <v>-0.93537090000000001</v>
      </c>
      <c r="Q2057">
        <v>0.34582269999999998</v>
      </c>
      <c r="R2057">
        <v>-7.4084919999999999E-2</v>
      </c>
      <c r="S2057">
        <v>-3.3186650000000002</v>
      </c>
      <c r="T2057">
        <v>-0.31388500000000003</v>
      </c>
      <c r="U2057">
        <v>-5.1361080000000003E-2</v>
      </c>
      <c r="V2057">
        <v>-8.7114730000000001E-2</v>
      </c>
      <c r="W2057">
        <v>0.35252149999999999</v>
      </c>
      <c r="X2057">
        <v>0.93174009999999996</v>
      </c>
      <c r="Y2057">
        <v>-2.9263089999999999E-2</v>
      </c>
      <c r="Z2057">
        <v>-2.705537E-3</v>
      </c>
      <c r="AA2057">
        <v>0.99956809999999996</v>
      </c>
      <c r="AB2057">
        <v>50</v>
      </c>
      <c r="AC2057">
        <v>-11.2622</v>
      </c>
      <c r="AD2057">
        <v>-1.109359156694</v>
      </c>
      <c r="AE2057">
        <v>-0.18819999999999401</v>
      </c>
      <c r="AF2057">
        <v>-0.342368269567359</v>
      </c>
      <c r="AG2057">
        <v>-1.109359156694</v>
      </c>
      <c r="AH2057">
        <v>11.150307262977201</v>
      </c>
      <c r="AI2057">
        <v>95.6790779712925</v>
      </c>
      <c r="AJ2057">
        <v>91.758704514635994</v>
      </c>
      <c r="AK2057">
        <v>11.2105863285267</v>
      </c>
      <c r="AL2057">
        <v>69.358380886373396</v>
      </c>
      <c r="AM2057">
        <v>95.341444552818501</v>
      </c>
      <c r="AN2057">
        <v>0.99999999904661596</v>
      </c>
    </row>
    <row r="2058" spans="1:40" x14ac:dyDescent="0.25">
      <c r="A2058" t="str">
        <f>"20190304164410367"</f>
        <v>20190304164410367</v>
      </c>
      <c r="B2058" t="str">
        <f>"1551689050361792"</f>
        <v>1551689050361792</v>
      </c>
      <c r="C2058" t="s">
        <v>40</v>
      </c>
      <c r="D2058">
        <v>4.9919370000000001</v>
      </c>
      <c r="E2058">
        <v>0.53517999999999999</v>
      </c>
      <c r="F2058" t="s">
        <v>46</v>
      </c>
      <c r="G2058">
        <v>-316.22160000000002</v>
      </c>
      <c r="H2058" s="1">
        <v>5.0138759999999997E-6</v>
      </c>
      <c r="I2058">
        <v>284.18299999999999</v>
      </c>
      <c r="J2058">
        <v>-304.90769999999998</v>
      </c>
      <c r="K2058">
        <v>1.109369</v>
      </c>
      <c r="L2058">
        <v>284.36279999999999</v>
      </c>
      <c r="M2058">
        <v>-0.99987619999999999</v>
      </c>
      <c r="N2058">
        <v>-7.2212559999999997E-3</v>
      </c>
      <c r="O2058">
        <v>1.3987609999999999E-2</v>
      </c>
      <c r="P2058">
        <v>-0.93548419999999999</v>
      </c>
      <c r="Q2058">
        <v>0.34557320000000002</v>
      </c>
      <c r="R2058">
        <v>-7.3817220000000003E-2</v>
      </c>
      <c r="S2058">
        <v>-3.3202820000000002</v>
      </c>
      <c r="T2058">
        <v>-0.31618790000000002</v>
      </c>
      <c r="U2058">
        <v>-4.9926760000000001E-2</v>
      </c>
      <c r="V2058">
        <v>-8.6855109999999999E-2</v>
      </c>
      <c r="W2058">
        <v>0.35232150000000001</v>
      </c>
      <c r="X2058">
        <v>0.93183990000000005</v>
      </c>
      <c r="Y2058">
        <v>-2.8825770000000001E-2</v>
      </c>
      <c r="Z2058">
        <v>-2.70185E-3</v>
      </c>
      <c r="AA2058">
        <v>0.99958080000000005</v>
      </c>
      <c r="AB2058">
        <v>50</v>
      </c>
      <c r="AC2058">
        <v>-11.3139</v>
      </c>
      <c r="AD2058">
        <v>-1.1093639861239999</v>
      </c>
      <c r="AE2058">
        <v>-0.17979999999999999</v>
      </c>
      <c r="AF2058">
        <v>-0.33482262389644701</v>
      </c>
      <c r="AG2058">
        <v>-1.1093639861239999</v>
      </c>
      <c r="AH2058">
        <v>11.202598666094699</v>
      </c>
      <c r="AI2058">
        <v>95.652904611584702</v>
      </c>
      <c r="AJ2058">
        <v>91.711943326978897</v>
      </c>
      <c r="AK2058">
        <v>11.2623714872477</v>
      </c>
      <c r="AL2058">
        <v>69.370624038553103</v>
      </c>
      <c r="AM2058">
        <v>95.325050508073701</v>
      </c>
      <c r="AN2058">
        <v>0.99999992436368301</v>
      </c>
    </row>
    <row r="2059" spans="1:40" x14ac:dyDescent="0.25">
      <c r="A2059" t="str">
        <f>"20190304164410380"</f>
        <v>20190304164410380</v>
      </c>
      <c r="B2059" t="str">
        <f>"1551689050371553"</f>
        <v>1551689050371553</v>
      </c>
      <c r="C2059" t="s">
        <v>40</v>
      </c>
      <c r="D2059">
        <v>4.9962589999999896</v>
      </c>
      <c r="E2059">
        <v>0.53495630000000005</v>
      </c>
      <c r="F2059" t="s">
        <v>41</v>
      </c>
      <c r="G2059">
        <v>-305.77319999999997</v>
      </c>
      <c r="H2059">
        <v>1.026408</v>
      </c>
      <c r="I2059">
        <v>284.34969999999998</v>
      </c>
      <c r="J2059">
        <v>-305.20139999999998</v>
      </c>
      <c r="K2059">
        <v>1.1093710000000001</v>
      </c>
      <c r="L2059">
        <v>284.36689999999999</v>
      </c>
      <c r="M2059">
        <v>-0.99987579999999998</v>
      </c>
      <c r="N2059">
        <v>-7.2663609999999998E-3</v>
      </c>
      <c r="O2059">
        <v>1.3989079999999999E-2</v>
      </c>
      <c r="P2059">
        <v>-0.93549729999999998</v>
      </c>
      <c r="Q2059">
        <v>0.34568749999999998</v>
      </c>
      <c r="R2059">
        <v>-7.3111850000000006E-2</v>
      </c>
      <c r="S2059">
        <v>-3.320465</v>
      </c>
      <c r="T2059">
        <v>-0.31829439999999998</v>
      </c>
      <c r="U2059">
        <v>-5.0872800000000003E-2</v>
      </c>
      <c r="V2059">
        <v>-8.6154789999999995E-2</v>
      </c>
      <c r="W2059">
        <v>0.35247689999999998</v>
      </c>
      <c r="X2059">
        <v>0.93184630000000002</v>
      </c>
      <c r="Y2059">
        <v>-2.910718E-2</v>
      </c>
      <c r="Z2059">
        <v>-2.7342299999999998E-3</v>
      </c>
      <c r="AA2059">
        <v>0.99957260000000003</v>
      </c>
      <c r="AB2059">
        <v>50</v>
      </c>
      <c r="AC2059">
        <v>-0.57179999999999598</v>
      </c>
      <c r="AD2059">
        <v>-8.2962999999999898E-2</v>
      </c>
      <c r="AE2059">
        <v>-1.7200000000002501E-2</v>
      </c>
      <c r="AF2059">
        <v>-2.4678437989130299E-2</v>
      </c>
      <c r="AG2059">
        <v>-8.2962999999999898E-2</v>
      </c>
      <c r="AH2059">
        <v>0.55973096893767404</v>
      </c>
      <c r="AI2059">
        <v>98.422899735585105</v>
      </c>
      <c r="AJ2059">
        <v>92.524525666567101</v>
      </c>
      <c r="AK2059">
        <v>0.566383829446508</v>
      </c>
      <c r="AL2059">
        <v>69.361113081857795</v>
      </c>
      <c r="AM2059">
        <v>95.282321972980697</v>
      </c>
      <c r="AN2059">
        <v>1.00000006984861</v>
      </c>
    </row>
    <row r="2060" spans="1:40" x14ac:dyDescent="0.25">
      <c r="A2060" t="str">
        <f>"20190304164410399"</f>
        <v>20190304164410399</v>
      </c>
      <c r="B2060" t="str">
        <f>"1551689050392048"</f>
        <v>1551689050392048</v>
      </c>
      <c r="C2060" t="s">
        <v>40</v>
      </c>
      <c r="D2060">
        <v>5.0707589999999998</v>
      </c>
      <c r="E2060">
        <v>0.53135849999999996</v>
      </c>
      <c r="F2060" t="s">
        <v>41</v>
      </c>
      <c r="G2060">
        <v>-306.21269999999998</v>
      </c>
      <c r="H2060">
        <v>1.0123719999999901</v>
      </c>
      <c r="I2060">
        <v>284.35169999999999</v>
      </c>
      <c r="J2060">
        <v>-305.60899999999998</v>
      </c>
      <c r="K2060">
        <v>1.109372</v>
      </c>
      <c r="L2060">
        <v>284.37259999999998</v>
      </c>
      <c r="M2060">
        <v>-0.99987539999999997</v>
      </c>
      <c r="N2060">
        <v>-7.3256830000000004E-3</v>
      </c>
      <c r="O2060">
        <v>1.398917E-2</v>
      </c>
      <c r="P2060">
        <v>-0.9356198</v>
      </c>
      <c r="Q2060">
        <v>0.34540799999999999</v>
      </c>
      <c r="R2060">
        <v>-7.2863189999999994E-2</v>
      </c>
      <c r="S2060">
        <v>-3.3206180000000001</v>
      </c>
      <c r="T2060">
        <v>-0.31867679999999998</v>
      </c>
      <c r="U2060">
        <v>-5.096436E-2</v>
      </c>
      <c r="V2060">
        <v>-8.5912810000000006E-2</v>
      </c>
      <c r="W2060">
        <v>0.35225279999999998</v>
      </c>
      <c r="X2060">
        <v>0.93195329999999998</v>
      </c>
      <c r="Y2060">
        <v>-2.913352E-2</v>
      </c>
      <c r="Z2060">
        <v>-2.7387739999999998E-3</v>
      </c>
      <c r="AA2060">
        <v>0.99957180000000001</v>
      </c>
      <c r="AB2060">
        <v>50</v>
      </c>
      <c r="AC2060">
        <v>-0.60369999999994595</v>
      </c>
      <c r="AD2060">
        <v>-9.7000000000000197E-2</v>
      </c>
      <c r="AE2060">
        <v>-2.0899999999983199E-2</v>
      </c>
      <c r="AF2060">
        <v>-2.8605818136195799E-2</v>
      </c>
      <c r="AG2060">
        <v>-9.7000000000000197E-2</v>
      </c>
      <c r="AH2060">
        <v>0.58818179275282001</v>
      </c>
      <c r="AI2060">
        <v>99.353783962281</v>
      </c>
      <c r="AJ2060">
        <v>92.784347059332205</v>
      </c>
      <c r="AK2060">
        <v>0.59681246146269695</v>
      </c>
      <c r="AL2060">
        <v>69.374831512413195</v>
      </c>
      <c r="AM2060">
        <v>95.266967890537799</v>
      </c>
      <c r="AN2060">
        <v>0.99999999970541298</v>
      </c>
    </row>
    <row r="2061" spans="1:40" x14ac:dyDescent="0.25">
      <c r="A2061" t="str">
        <f>"20190304164410411"</f>
        <v>20190304164410411</v>
      </c>
      <c r="B2061" t="str">
        <f>"1551689050402315"</f>
        <v>1551689050402315</v>
      </c>
      <c r="C2061" t="s">
        <v>40</v>
      </c>
      <c r="D2061">
        <v>5.013954</v>
      </c>
      <c r="E2061">
        <v>0.53135849999999996</v>
      </c>
      <c r="F2061" t="s">
        <v>41</v>
      </c>
      <c r="G2061">
        <v>-306.6558</v>
      </c>
      <c r="H2061">
        <v>0.99965570000000004</v>
      </c>
      <c r="I2061">
        <v>284.3476</v>
      </c>
      <c r="J2061">
        <v>-305.8938</v>
      </c>
      <c r="K2061">
        <v>1.1093740000000001</v>
      </c>
      <c r="L2061">
        <v>284.3766</v>
      </c>
      <c r="M2061">
        <v>-0.99987499999999996</v>
      </c>
      <c r="N2061">
        <v>-7.3648480000000002E-3</v>
      </c>
      <c r="O2061">
        <v>1.398834E-2</v>
      </c>
      <c r="P2061">
        <v>-0.93568569999999995</v>
      </c>
      <c r="Q2061">
        <v>0.34537109999999999</v>
      </c>
      <c r="R2061">
        <v>-7.2188479999999999E-2</v>
      </c>
      <c r="S2061">
        <v>-3.3290410000000001</v>
      </c>
      <c r="T2061">
        <v>-0.34892869999999998</v>
      </c>
      <c r="U2061">
        <v>-7.9833979999999999E-2</v>
      </c>
      <c r="V2061">
        <v>-8.5241339999999999E-2</v>
      </c>
      <c r="W2061">
        <v>0.35225190000000001</v>
      </c>
      <c r="X2061">
        <v>0.93201529999999999</v>
      </c>
      <c r="Y2061">
        <v>-3.7669510000000003E-2</v>
      </c>
      <c r="Z2061">
        <v>-3.4668419999999999E-3</v>
      </c>
      <c r="AA2061">
        <v>0.99928430000000001</v>
      </c>
      <c r="AB2061">
        <v>50</v>
      </c>
      <c r="AC2061">
        <v>-0.76200000000000001</v>
      </c>
      <c r="AD2061">
        <v>-0.1097183</v>
      </c>
      <c r="AE2061">
        <v>-2.89999999999963E-2</v>
      </c>
      <c r="AF2061">
        <v>-3.8852234469109202E-2</v>
      </c>
      <c r="AG2061">
        <v>-0.1097183</v>
      </c>
      <c r="AH2061">
        <v>0.74607427775435098</v>
      </c>
      <c r="AI2061">
        <v>98.354837660404201</v>
      </c>
      <c r="AJ2061">
        <v>92.981016942379995</v>
      </c>
      <c r="AK2061">
        <v>0.75509895338611699</v>
      </c>
      <c r="AL2061">
        <v>69.374886686888203</v>
      </c>
      <c r="AM2061">
        <v>95.225685875390596</v>
      </c>
      <c r="AN2061">
        <v>1.0000000032663401</v>
      </c>
    </row>
    <row r="2062" spans="1:40" x14ac:dyDescent="0.25">
      <c r="A2062" t="str">
        <f>"20190304164410443"</f>
        <v>20190304164410443</v>
      </c>
      <c r="B2062" t="str">
        <f>"1551689050431596"</f>
        <v>1551689050431596</v>
      </c>
      <c r="C2062" t="s">
        <v>40</v>
      </c>
      <c r="D2062">
        <v>4.9702929999999999</v>
      </c>
      <c r="E2062">
        <v>0.48294890000000001</v>
      </c>
      <c r="F2062" t="s">
        <v>41</v>
      </c>
      <c r="G2062">
        <v>-306.67180000000002</v>
      </c>
      <c r="H2062">
        <v>1.0278099999999999</v>
      </c>
      <c r="I2062">
        <v>284.35860000000002</v>
      </c>
      <c r="J2062">
        <v>-306.5838</v>
      </c>
      <c r="K2062">
        <v>1.1093770000000001</v>
      </c>
      <c r="L2062">
        <v>284.38630000000001</v>
      </c>
      <c r="M2062">
        <v>-0.99987459999999995</v>
      </c>
      <c r="N2062">
        <v>-7.45005699999999E-3</v>
      </c>
      <c r="O2062">
        <v>1.397618E-2</v>
      </c>
      <c r="P2062">
        <v>-0.93586429999999998</v>
      </c>
      <c r="Q2062">
        <v>0.3452074</v>
      </c>
      <c r="R2062">
        <v>-7.0640220000000004E-2</v>
      </c>
      <c r="S2062">
        <v>-3.3291019999999998</v>
      </c>
      <c r="T2062">
        <v>-0.34903620000000002</v>
      </c>
      <c r="U2062">
        <v>-7.7209470000000002E-2</v>
      </c>
      <c r="V2062">
        <v>-8.3693519999999993E-2</v>
      </c>
      <c r="W2062">
        <v>0.3521667</v>
      </c>
      <c r="X2062">
        <v>0.93218780000000001</v>
      </c>
      <c r="Y2062">
        <v>-3.6874079999999997E-2</v>
      </c>
      <c r="Z2062">
        <v>-3.422549E-3</v>
      </c>
      <c r="AA2062">
        <v>0.99931409999999998</v>
      </c>
      <c r="AB2062">
        <v>50</v>
      </c>
      <c r="AC2062">
        <v>-8.8000000000022199E-2</v>
      </c>
      <c r="AD2062">
        <v>-8.1566999999999903E-2</v>
      </c>
      <c r="AE2062">
        <v>-2.76999999999816E-2</v>
      </c>
      <c r="AF2062">
        <v>-1.6235855004678799E-2</v>
      </c>
      <c r="AG2062">
        <v>-8.1566999999999903E-2</v>
      </c>
      <c r="AH2062">
        <v>4.9169237607110901E-2</v>
      </c>
      <c r="AI2062">
        <v>147.59175010469099</v>
      </c>
      <c r="AJ2062">
        <v>108.273404639181</v>
      </c>
      <c r="AK2062">
        <v>9.6614659361804203E-2</v>
      </c>
      <c r="AL2062">
        <v>69.380103349491407</v>
      </c>
      <c r="AM2062">
        <v>95.130364132908099</v>
      </c>
      <c r="AN2062">
        <v>1.00000004217385</v>
      </c>
    </row>
    <row r="2063" spans="1:40" x14ac:dyDescent="0.25">
      <c r="A2063" t="str">
        <f>"20190304164410465"</f>
        <v>20190304164410465</v>
      </c>
      <c r="B2063" t="str">
        <f>"1551689050461851"</f>
        <v>1551689050461851</v>
      </c>
      <c r="C2063" t="s">
        <v>40</v>
      </c>
      <c r="D2063">
        <v>4.9784879999999996</v>
      </c>
      <c r="E2063">
        <v>0.48216330000000002</v>
      </c>
      <c r="F2063" t="s">
        <v>46</v>
      </c>
      <c r="G2063">
        <v>-312.00439999999998</v>
      </c>
      <c r="H2063" s="1">
        <v>3.1930249999999998E-6</v>
      </c>
      <c r="I2063">
        <v>283.6191</v>
      </c>
      <c r="J2063">
        <v>-307.08920000000001</v>
      </c>
      <c r="K2063">
        <v>1.1093770000000001</v>
      </c>
      <c r="L2063">
        <v>284.39339999999999</v>
      </c>
      <c r="M2063">
        <v>-0.9998745</v>
      </c>
      <c r="N2063">
        <v>-7.5056509999999899E-3</v>
      </c>
      <c r="O2063">
        <v>1.395645E-2</v>
      </c>
      <c r="P2063">
        <v>-0.93607289999999999</v>
      </c>
      <c r="Q2063">
        <v>0.34466000000000002</v>
      </c>
      <c r="R2063">
        <v>-7.0551399999999903E-2</v>
      </c>
      <c r="S2063">
        <v>-3.427765</v>
      </c>
      <c r="T2063">
        <v>-0.70152639999999999</v>
      </c>
      <c r="U2063">
        <v>-0.4851685</v>
      </c>
      <c r="V2063">
        <v>-8.3597679999999994E-2</v>
      </c>
      <c r="W2063">
        <v>0.3516707</v>
      </c>
      <c r="X2063">
        <v>0.93238350000000003</v>
      </c>
      <c r="Y2063">
        <v>-0.15050920000000001</v>
      </c>
      <c r="Z2063">
        <v>-1.8454689999999999E-2</v>
      </c>
      <c r="AA2063">
        <v>0.98843630000000005</v>
      </c>
      <c r="AB2063">
        <v>50</v>
      </c>
      <c r="AC2063">
        <v>-4.9151999999999596</v>
      </c>
      <c r="AD2063">
        <v>-1.1093738069750001</v>
      </c>
      <c r="AE2063">
        <v>-0.774299999999982</v>
      </c>
      <c r="AF2063">
        <v>-0.80291390418556596</v>
      </c>
      <c r="AG2063">
        <v>-1.1093738069750001</v>
      </c>
      <c r="AH2063">
        <v>4.6716933303735599</v>
      </c>
      <c r="AI2063">
        <v>103.17218592904101</v>
      </c>
      <c r="AJ2063">
        <v>99.752027217277501</v>
      </c>
      <c r="AK2063">
        <v>4.8682748026578704</v>
      </c>
      <c r="AL2063">
        <v>69.410461640795702</v>
      </c>
      <c r="AM2063">
        <v>95.123450623643706</v>
      </c>
      <c r="AN2063">
        <v>0.99999992220605805</v>
      </c>
    </row>
    <row r="2064" spans="1:40" x14ac:dyDescent="0.25">
      <c r="A2064" t="str">
        <f>"20190304164410488"</f>
        <v>20190304164410488</v>
      </c>
      <c r="B2064" t="str">
        <f>"1551689050482348"</f>
        <v>1551689050482348</v>
      </c>
      <c r="C2064" t="s">
        <v>40</v>
      </c>
      <c r="D2064">
        <v>4.9717479999999998</v>
      </c>
      <c r="E2064">
        <v>0.48205019999999998</v>
      </c>
      <c r="F2064" t="s">
        <v>46</v>
      </c>
      <c r="G2064">
        <v>-312.43700000000001</v>
      </c>
      <c r="H2064" s="1">
        <v>3.3843509999999999E-6</v>
      </c>
      <c r="I2064">
        <v>283.625</v>
      </c>
      <c r="J2064">
        <v>-307.60610000000003</v>
      </c>
      <c r="K2064">
        <v>1.10938</v>
      </c>
      <c r="L2064">
        <v>284.40050000000002</v>
      </c>
      <c r="M2064">
        <v>-0.9998745</v>
      </c>
      <c r="N2064">
        <v>-7.5571040000000003E-3</v>
      </c>
      <c r="O2064">
        <v>1.3923670000000001E-2</v>
      </c>
      <c r="P2064">
        <v>-0.93612410000000001</v>
      </c>
      <c r="Q2064">
        <v>0.34443879999999999</v>
      </c>
      <c r="R2064">
        <v>-7.0947560000000007E-2</v>
      </c>
      <c r="S2064">
        <v>-3.4297490000000002</v>
      </c>
      <c r="T2064">
        <v>-0.7114838</v>
      </c>
      <c r="U2064">
        <v>-0.49279790000000001</v>
      </c>
      <c r="V2064">
        <v>-8.3973939999999997E-2</v>
      </c>
      <c r="W2064">
        <v>0.35149580000000002</v>
      </c>
      <c r="X2064">
        <v>0.93241569999999996</v>
      </c>
      <c r="Y2064">
        <v>-0.1524199</v>
      </c>
      <c r="Z2064">
        <v>-1.8891270000000002E-2</v>
      </c>
      <c r="AA2064">
        <v>0.98813530000000005</v>
      </c>
      <c r="AB2064">
        <v>50</v>
      </c>
      <c r="AC2064">
        <v>-4.8308999999999802</v>
      </c>
      <c r="AD2064">
        <v>-1.1093766156489999</v>
      </c>
      <c r="AE2064">
        <v>-0.77550000000002195</v>
      </c>
      <c r="AF2064">
        <v>-0.80148578708243401</v>
      </c>
      <c r="AG2064">
        <v>-1.1093766156489999</v>
      </c>
      <c r="AH2064">
        <v>4.5839692573032202</v>
      </c>
      <c r="AI2064">
        <v>103.408786951249</v>
      </c>
      <c r="AJ2064">
        <v>99.917648731698904</v>
      </c>
      <c r="AK2064">
        <v>4.7839178603049897</v>
      </c>
      <c r="AL2064">
        <v>69.421167298886303</v>
      </c>
      <c r="AM2064">
        <v>95.146210143345499</v>
      </c>
      <c r="AN2064">
        <v>0.99999997881162594</v>
      </c>
    </row>
    <row r="2065" spans="1:40" x14ac:dyDescent="0.25">
      <c r="A2065" t="str">
        <f>"20190304164410510"</f>
        <v>20190304164410510</v>
      </c>
      <c r="B2065" t="str">
        <f>"1551689050502373"</f>
        <v>1551689050502373</v>
      </c>
      <c r="C2065" t="s">
        <v>40</v>
      </c>
      <c r="D2065">
        <v>4.8945809999999996</v>
      </c>
      <c r="E2065">
        <v>0.48180679999999998</v>
      </c>
      <c r="F2065" t="s">
        <v>46</v>
      </c>
      <c r="G2065">
        <v>-312.9504</v>
      </c>
      <c r="H2065" s="1">
        <v>3.6116019999999999E-6</v>
      </c>
      <c r="I2065">
        <v>283.62979999999999</v>
      </c>
      <c r="J2065">
        <v>-308.11369999999999</v>
      </c>
      <c r="K2065">
        <v>1.10938799999999</v>
      </c>
      <c r="L2065">
        <v>284.4076</v>
      </c>
      <c r="M2065">
        <v>-0.99987490000000001</v>
      </c>
      <c r="N2065">
        <v>-7.602864E-3</v>
      </c>
      <c r="O2065">
        <v>1.387448E-2</v>
      </c>
      <c r="P2065">
        <v>-0.93605700000000003</v>
      </c>
      <c r="Q2065">
        <v>0.34454059999999997</v>
      </c>
      <c r="R2065">
        <v>-7.134132E-2</v>
      </c>
      <c r="S2065">
        <v>-3.429138</v>
      </c>
      <c r="T2065">
        <v>-0.71182659999999998</v>
      </c>
      <c r="U2065">
        <v>-0.4945679</v>
      </c>
      <c r="V2065">
        <v>-8.4333320000000003E-2</v>
      </c>
      <c r="W2065">
        <v>0.35163640000000002</v>
      </c>
      <c r="X2065">
        <v>0.93233029999999995</v>
      </c>
      <c r="Y2065">
        <v>-0.15288170000000001</v>
      </c>
      <c r="Z2065">
        <v>-1.894473E-2</v>
      </c>
      <c r="AA2065">
        <v>0.98806289999999997</v>
      </c>
      <c r="AB2065">
        <v>50</v>
      </c>
      <c r="AC2065">
        <v>-4.8367000000000004</v>
      </c>
      <c r="AD2065">
        <v>-1.1093843883979999</v>
      </c>
      <c r="AE2065">
        <v>-0.77780000000001304</v>
      </c>
      <c r="AF2065">
        <v>-0.80362126744826601</v>
      </c>
      <c r="AG2065">
        <v>-1.1093843883979999</v>
      </c>
      <c r="AH2065">
        <v>4.5900488621801996</v>
      </c>
      <c r="AI2065">
        <v>103.391245336476</v>
      </c>
      <c r="AJ2065">
        <v>99.930638557342206</v>
      </c>
      <c r="AK2065">
        <v>4.7901032786275204</v>
      </c>
      <c r="AL2065">
        <v>69.412563235639297</v>
      </c>
      <c r="AM2065">
        <v>95.168585991381406</v>
      </c>
      <c r="AN2065">
        <v>1.0000000274826299</v>
      </c>
    </row>
    <row r="2066" spans="1:40" x14ac:dyDescent="0.25">
      <c r="A2066" t="str">
        <f>"20190304164410533"</f>
        <v>20190304164410533</v>
      </c>
      <c r="B2066" t="str">
        <f>"1551689050521893"</f>
        <v>1551689050521893</v>
      </c>
      <c r="C2066" t="s">
        <v>40</v>
      </c>
      <c r="D2066">
        <v>4.9670399999999999</v>
      </c>
      <c r="E2066">
        <v>0.482047</v>
      </c>
      <c r="F2066" t="s">
        <v>46</v>
      </c>
      <c r="G2066">
        <v>-313.45</v>
      </c>
      <c r="H2066" s="1">
        <v>3.8328939999999996E-6</v>
      </c>
      <c r="I2066">
        <v>283.63299999999998</v>
      </c>
      <c r="J2066">
        <v>-308.62560000000002</v>
      </c>
      <c r="K2066">
        <v>1.109399</v>
      </c>
      <c r="L2066">
        <v>284.41460000000001</v>
      </c>
      <c r="M2066">
        <v>-0.99987559999999998</v>
      </c>
      <c r="N2066">
        <v>-7.647559E-3</v>
      </c>
      <c r="O2066">
        <v>1.3804169999999999E-2</v>
      </c>
      <c r="P2066">
        <v>-0.93609600000000004</v>
      </c>
      <c r="Q2066">
        <v>0.34430690000000003</v>
      </c>
      <c r="R2066">
        <v>-7.1956279999999997E-2</v>
      </c>
      <c r="S2066">
        <v>-3.4294129999999998</v>
      </c>
      <c r="T2066">
        <v>-0.71295769999999903</v>
      </c>
      <c r="U2066">
        <v>-0.49780269999999999</v>
      </c>
      <c r="V2066">
        <v>-8.4897449999999999E-2</v>
      </c>
      <c r="W2066">
        <v>0.3514409</v>
      </c>
      <c r="X2066">
        <v>0.93235279999999998</v>
      </c>
      <c r="Y2066">
        <v>-0.1536872</v>
      </c>
      <c r="Z2066">
        <v>-1.9045429999999999E-2</v>
      </c>
      <c r="AA2066">
        <v>0.98793600000000004</v>
      </c>
      <c r="AB2066">
        <v>51</v>
      </c>
      <c r="AC2066">
        <v>-4.8243999999999598</v>
      </c>
      <c r="AD2066">
        <v>-1.1093951671060001</v>
      </c>
      <c r="AE2066">
        <v>-0.78160000000002505</v>
      </c>
      <c r="AF2066">
        <v>-0.80656453605728096</v>
      </c>
      <c r="AG2066">
        <v>-1.1093951671060001</v>
      </c>
      <c r="AH2066">
        <v>4.5772967639606401</v>
      </c>
      <c r="AI2066">
        <v>103.424835965623</v>
      </c>
      <c r="AJ2066">
        <v>99.993488223460503</v>
      </c>
      <c r="AK2066">
        <v>4.7783835816087397</v>
      </c>
      <c r="AL2066">
        <v>69.424527944482307</v>
      </c>
      <c r="AM2066">
        <v>95.202846154552802</v>
      </c>
      <c r="AN2066">
        <v>1.00000001343857</v>
      </c>
    </row>
    <row r="2067" spans="1:40" x14ac:dyDescent="0.25">
      <c r="A2067" t="str">
        <f>"20190304164410554"</f>
        <v>20190304164410554</v>
      </c>
      <c r="B2067" t="str">
        <f>"1551689050542390"</f>
        <v>1551689050542390</v>
      </c>
      <c r="C2067" t="s">
        <v>40</v>
      </c>
      <c r="D2067">
        <v>4.9746829999999997</v>
      </c>
      <c r="E2067">
        <v>0.48198609999999997</v>
      </c>
      <c r="F2067" t="s">
        <v>46</v>
      </c>
      <c r="G2067">
        <v>-313.9502</v>
      </c>
      <c r="H2067" s="1">
        <v>4.0538540000000003E-6</v>
      </c>
      <c r="I2067">
        <v>283.64280000000002</v>
      </c>
      <c r="J2067">
        <v>-309.09429999999998</v>
      </c>
      <c r="K2067">
        <v>1.109416</v>
      </c>
      <c r="L2067">
        <v>284.42110000000002</v>
      </c>
      <c r="M2067">
        <v>-0.99987630000000005</v>
      </c>
      <c r="N2067">
        <v>-7.6879319999999998E-3</v>
      </c>
      <c r="O2067">
        <v>1.372285E-2</v>
      </c>
      <c r="P2067">
        <v>-0.9359092</v>
      </c>
      <c r="Q2067">
        <v>0.34475020000000001</v>
      </c>
      <c r="R2067">
        <v>-7.2260080000000004E-2</v>
      </c>
      <c r="S2067">
        <v>-3.4294129999999998</v>
      </c>
      <c r="T2067">
        <v>-0.7145281</v>
      </c>
      <c r="U2067">
        <v>-0.4971313</v>
      </c>
      <c r="V2067">
        <v>-8.5137699999999997E-2</v>
      </c>
      <c r="W2067">
        <v>0.35191719999999999</v>
      </c>
      <c r="X2067">
        <v>0.93215119999999896</v>
      </c>
      <c r="Y2067">
        <v>-0.15340889999999999</v>
      </c>
      <c r="Z2067">
        <v>-1.9042630000000001E-2</v>
      </c>
      <c r="AA2067">
        <v>0.9879793</v>
      </c>
      <c r="AB2067">
        <v>51</v>
      </c>
      <c r="AC2067">
        <v>-4.8559000000000196</v>
      </c>
      <c r="AD2067">
        <v>-1.1094119461459999</v>
      </c>
      <c r="AE2067">
        <v>-0.77830000000000099</v>
      </c>
      <c r="AF2067">
        <v>-0.80395252084847402</v>
      </c>
      <c r="AG2067">
        <v>-1.1094119461459999</v>
      </c>
      <c r="AH2067">
        <v>4.61015241130566</v>
      </c>
      <c r="AI2067">
        <v>103.33676771816199</v>
      </c>
      <c r="AJ2067">
        <v>99.892185891579601</v>
      </c>
      <c r="AK2067">
        <v>4.8094323758108404</v>
      </c>
      <c r="AL2067">
        <v>69.395375486284905</v>
      </c>
      <c r="AM2067">
        <v>95.218610640362996</v>
      </c>
      <c r="AN2067">
        <v>1.00000000163928</v>
      </c>
    </row>
    <row r="2068" spans="1:40" x14ac:dyDescent="0.25">
      <c r="A2068" t="str">
        <f>"20190304164410578"</f>
        <v>20190304164410578</v>
      </c>
      <c r="B2068" t="str">
        <f>"1551689050571670"</f>
        <v>1551689050571670</v>
      </c>
      <c r="C2068" t="s">
        <v>40</v>
      </c>
      <c r="D2068">
        <v>4.9451650000000003</v>
      </c>
      <c r="E2068">
        <v>0.4818287</v>
      </c>
      <c r="F2068" t="s">
        <v>46</v>
      </c>
      <c r="G2068">
        <v>-314.42540000000002</v>
      </c>
      <c r="H2068" s="1">
        <v>4.2641219999999997E-6</v>
      </c>
      <c r="I2068">
        <v>283.6481</v>
      </c>
      <c r="J2068">
        <v>-309.6567</v>
      </c>
      <c r="K2068">
        <v>1.109434</v>
      </c>
      <c r="L2068">
        <v>284.42869999999999</v>
      </c>
      <c r="M2068">
        <v>-0.99987760000000003</v>
      </c>
      <c r="N2068">
        <v>-7.7338449999999996E-3</v>
      </c>
      <c r="O2068">
        <v>1.3607259999999999E-2</v>
      </c>
      <c r="P2068">
        <v>-0.93569939999999996</v>
      </c>
      <c r="Q2068">
        <v>0.3452964</v>
      </c>
      <c r="R2068">
        <v>-7.2369370000000002E-2</v>
      </c>
      <c r="S2068">
        <v>-3.4299620000000002</v>
      </c>
      <c r="T2068">
        <v>-0.71377899999999905</v>
      </c>
      <c r="U2068">
        <v>-0.49731449999999999</v>
      </c>
      <c r="V2068">
        <v>-8.5152829999999999E-2</v>
      </c>
      <c r="W2068">
        <v>0.35250039999999999</v>
      </c>
      <c r="X2068">
        <v>0.93192940000000002</v>
      </c>
      <c r="Y2068">
        <v>-0.15333579999999999</v>
      </c>
      <c r="Z2068">
        <v>-1.8992999999999999E-2</v>
      </c>
      <c r="AA2068">
        <v>0.98799159999999997</v>
      </c>
      <c r="AB2068">
        <v>51</v>
      </c>
      <c r="AC2068">
        <v>-4.7687000000000204</v>
      </c>
      <c r="AD2068">
        <v>-1.1094297358779901</v>
      </c>
      <c r="AE2068">
        <v>-0.78059999999999197</v>
      </c>
      <c r="AF2068">
        <v>-0.80308573402904304</v>
      </c>
      <c r="AG2068">
        <v>-1.1094297358779901</v>
      </c>
      <c r="AH2068">
        <v>4.5194059605092498</v>
      </c>
      <c r="AI2068">
        <v>103.587528187811</v>
      </c>
      <c r="AJ2068">
        <v>100.076121976642</v>
      </c>
      <c r="AK2068">
        <v>4.7223734785526901</v>
      </c>
      <c r="AL2068">
        <v>69.359672161314194</v>
      </c>
      <c r="AM2068">
        <v>95.220768318099601</v>
      </c>
      <c r="AN2068">
        <v>0.99999997152076403</v>
      </c>
    </row>
    <row r="2069" spans="1:40" x14ac:dyDescent="0.25">
      <c r="A2069" t="str">
        <f>"20190304164410599"</f>
        <v>20190304164410599</v>
      </c>
      <c r="B2069" t="str">
        <f>"1551689050592165"</f>
        <v>1551689050592165</v>
      </c>
      <c r="C2069" t="s">
        <v>40</v>
      </c>
      <c r="D2069">
        <v>4.9719340000000001</v>
      </c>
      <c r="E2069">
        <v>0.48170239999999998</v>
      </c>
      <c r="F2069" t="s">
        <v>46</v>
      </c>
      <c r="G2069">
        <v>-315.00040000000001</v>
      </c>
      <c r="H2069" s="1">
        <v>4.5188739999999998E-6</v>
      </c>
      <c r="I2069">
        <v>283.65050000000002</v>
      </c>
      <c r="J2069">
        <v>-310.14449999999999</v>
      </c>
      <c r="K2069">
        <v>1.1094459999999999</v>
      </c>
      <c r="L2069">
        <v>284.43529999999998</v>
      </c>
      <c r="M2069">
        <v>-0.99987879999999996</v>
      </c>
      <c r="N2069">
        <v>-7.7705550000000002E-3</v>
      </c>
      <c r="O2069">
        <v>1.3496289999999999E-2</v>
      </c>
      <c r="P2069">
        <v>-0.93555529999999998</v>
      </c>
      <c r="Q2069">
        <v>0.34567520000000002</v>
      </c>
      <c r="R2069">
        <v>-7.2421769999999996E-2</v>
      </c>
      <c r="S2069">
        <v>-3.4303590000000002</v>
      </c>
      <c r="T2069">
        <v>-0.71219409999999905</v>
      </c>
      <c r="U2069">
        <v>-0.49954219999999999</v>
      </c>
      <c r="V2069">
        <v>-8.5112590000000002E-2</v>
      </c>
      <c r="W2069">
        <v>0.35290919999999998</v>
      </c>
      <c r="X2069">
        <v>0.93177840000000001</v>
      </c>
      <c r="Y2069">
        <v>-0.1538457</v>
      </c>
      <c r="Z2069">
        <v>-1.8984529999999999E-2</v>
      </c>
      <c r="AA2069">
        <v>0.98791249999999997</v>
      </c>
      <c r="AB2069">
        <v>51</v>
      </c>
      <c r="AC2069">
        <v>-4.8559000000000196</v>
      </c>
      <c r="AD2069">
        <v>-1.1094414811259901</v>
      </c>
      <c r="AE2069">
        <v>-0.78479999999996097</v>
      </c>
      <c r="AF2069">
        <v>-0.809106971893229</v>
      </c>
      <c r="AG2069">
        <v>-1.1094414811259901</v>
      </c>
      <c r="AH2069">
        <v>4.6103328390203098</v>
      </c>
      <c r="AI2069">
        <v>103.33418127653999</v>
      </c>
      <c r="AJ2069">
        <v>99.953962103815996</v>
      </c>
      <c r="AK2069">
        <v>4.8104764190834999</v>
      </c>
      <c r="AL2069">
        <v>69.334642091222605</v>
      </c>
      <c r="AM2069">
        <v>95.219155792482596</v>
      </c>
      <c r="AN2069">
        <v>1.00000002156385</v>
      </c>
    </row>
    <row r="2070" spans="1:40" x14ac:dyDescent="0.25">
      <c r="A2070" t="str">
        <f>"20190304164410620"</f>
        <v>20190304164410620</v>
      </c>
      <c r="B2070" t="str">
        <f>"1551689050612192"</f>
        <v>1551689050612192</v>
      </c>
      <c r="C2070" t="s">
        <v>40</v>
      </c>
      <c r="D2070">
        <v>4.9691510000000001</v>
      </c>
      <c r="E2070">
        <v>0.48163509999999998</v>
      </c>
      <c r="F2070" t="s">
        <v>46</v>
      </c>
      <c r="G2070">
        <v>-315.50299999999999</v>
      </c>
      <c r="H2070" s="1">
        <v>4.7417690000000003E-6</v>
      </c>
      <c r="I2070">
        <v>283.65050000000002</v>
      </c>
      <c r="J2070">
        <v>-310.6198</v>
      </c>
      <c r="K2070">
        <v>1.1094630000000001</v>
      </c>
      <c r="L2070">
        <v>284.44170000000003</v>
      </c>
      <c r="M2070">
        <v>-0.99988010000000005</v>
      </c>
      <c r="N2070">
        <v>-7.8035079999999998E-3</v>
      </c>
      <c r="O2070">
        <v>1.338081E-2</v>
      </c>
      <c r="P2070">
        <v>-0.93543810000000005</v>
      </c>
      <c r="Q2070">
        <v>0.34583120000000001</v>
      </c>
      <c r="R2070">
        <v>-7.3188219999999998E-2</v>
      </c>
      <c r="S2070">
        <v>-3.4302060000000001</v>
      </c>
      <c r="T2070">
        <v>-0.71020660000000002</v>
      </c>
      <c r="U2070">
        <v>-0.50234990000000002</v>
      </c>
      <c r="V2070">
        <v>-8.5780679999999998E-2</v>
      </c>
      <c r="W2070">
        <v>0.35309249999999998</v>
      </c>
      <c r="X2070">
        <v>0.93164769999999997</v>
      </c>
      <c r="Y2070">
        <v>-0.15453629999999999</v>
      </c>
      <c r="Z2070">
        <v>-1.8986360000000001E-2</v>
      </c>
      <c r="AA2070">
        <v>0.98780469999999998</v>
      </c>
      <c r="AB2070">
        <v>51</v>
      </c>
      <c r="AC2070">
        <v>-4.88319999999998</v>
      </c>
      <c r="AD2070">
        <v>-1.109458258231</v>
      </c>
      <c r="AE2070">
        <v>-0.79120000000000301</v>
      </c>
      <c r="AF2070">
        <v>-0.81545575467515796</v>
      </c>
      <c r="AG2070">
        <v>-1.109458258231</v>
      </c>
      <c r="AH2070">
        <v>4.6388464976981298</v>
      </c>
      <c r="AI2070">
        <v>103.254683419155</v>
      </c>
      <c r="AJ2070">
        <v>99.9700735445102</v>
      </c>
      <c r="AK2070">
        <v>4.8388802985604</v>
      </c>
      <c r="AL2070">
        <v>69.323417497194598</v>
      </c>
      <c r="AM2070">
        <v>95.260628342773799</v>
      </c>
      <c r="AN2070">
        <v>1.0000000377664</v>
      </c>
    </row>
    <row r="2071" spans="1:40" x14ac:dyDescent="0.25">
      <c r="A2071" t="str">
        <f>"20190304164410643"</f>
        <v>20190304164410643</v>
      </c>
      <c r="B2071" t="str">
        <f>"1551689050631712"</f>
        <v>1551689050631712</v>
      </c>
      <c r="C2071" t="s">
        <v>40</v>
      </c>
      <c r="D2071">
        <v>4.9345980000000003</v>
      </c>
      <c r="E2071">
        <v>0.48155199999999998</v>
      </c>
      <c r="F2071" t="s">
        <v>46</v>
      </c>
      <c r="G2071">
        <v>-315.98680000000002</v>
      </c>
      <c r="H2071" s="1">
        <v>4.9563209999999901E-6</v>
      </c>
      <c r="I2071">
        <v>283.65050000000002</v>
      </c>
      <c r="J2071">
        <v>-311.12860000000001</v>
      </c>
      <c r="K2071">
        <v>1.1094740000000001</v>
      </c>
      <c r="L2071">
        <v>284.44839999999999</v>
      </c>
      <c r="M2071">
        <v>-0.99988160000000004</v>
      </c>
      <c r="N2071">
        <v>-7.835992E-3</v>
      </c>
      <c r="O2071">
        <v>1.3250990000000001E-2</v>
      </c>
      <c r="P2071">
        <v>-0.93532800000000005</v>
      </c>
      <c r="Q2071">
        <v>0.34606679999999901</v>
      </c>
      <c r="R2071">
        <v>-7.3483850000000003E-2</v>
      </c>
      <c r="S2071">
        <v>-3.4295960000000001</v>
      </c>
      <c r="T2071">
        <v>-0.70896610000000004</v>
      </c>
      <c r="U2071">
        <v>-0.50555419999999995</v>
      </c>
      <c r="V2071">
        <v>-8.5963960000000006E-2</v>
      </c>
      <c r="W2071">
        <v>0.35335440000000001</v>
      </c>
      <c r="X2071">
        <v>0.93153149999999996</v>
      </c>
      <c r="Y2071">
        <v>-0.1553331</v>
      </c>
      <c r="Z2071">
        <v>-1.901769E-2</v>
      </c>
      <c r="AA2071">
        <v>0.98767910000000003</v>
      </c>
      <c r="AB2071">
        <v>51</v>
      </c>
      <c r="AC2071">
        <v>-4.8582000000000098</v>
      </c>
      <c r="AD2071">
        <v>-1.109469043679</v>
      </c>
      <c r="AE2071">
        <v>-0.79789999999996997</v>
      </c>
      <c r="AF2071">
        <v>-0.82053830393881799</v>
      </c>
      <c r="AG2071">
        <v>-1.109469043679</v>
      </c>
      <c r="AH2071">
        <v>4.61294024181346</v>
      </c>
      <c r="AI2071">
        <v>103.321995195071</v>
      </c>
      <c r="AJ2071">
        <v>100.086136821163</v>
      </c>
      <c r="AK2071">
        <v>4.8149166495023401</v>
      </c>
      <c r="AL2071">
        <v>69.307377736994397</v>
      </c>
      <c r="AM2071">
        <v>95.272458902740297</v>
      </c>
      <c r="AN2071">
        <v>1.00000003495524</v>
      </c>
    </row>
    <row r="2072" spans="1:40" x14ac:dyDescent="0.25">
      <c r="A2072" t="str">
        <f>"20190304164410665"</f>
        <v>20190304164410665</v>
      </c>
      <c r="B2072" t="str">
        <f>"1551689050661969"</f>
        <v>1551689050661969</v>
      </c>
      <c r="C2072" t="s">
        <v>40</v>
      </c>
      <c r="D2072">
        <v>4.886342</v>
      </c>
      <c r="E2072">
        <v>0.48153099999999999</v>
      </c>
      <c r="F2072" t="s">
        <v>46</v>
      </c>
      <c r="G2072">
        <v>-316.49709999999999</v>
      </c>
      <c r="H2072" s="1">
        <v>5.1822750000000003E-6</v>
      </c>
      <c r="I2072">
        <v>283.65429999999998</v>
      </c>
      <c r="J2072">
        <v>-311.64769999999999</v>
      </c>
      <c r="K2072">
        <v>1.1094839999999999</v>
      </c>
      <c r="L2072">
        <v>284.45519999999999</v>
      </c>
      <c r="M2072">
        <v>-0.99988299999999997</v>
      </c>
      <c r="N2072">
        <v>-7.8664770000000002E-3</v>
      </c>
      <c r="O2072">
        <v>1.3114260000000001E-2</v>
      </c>
      <c r="P2072">
        <v>-0.93525179999999997</v>
      </c>
      <c r="Q2072">
        <v>0.3461571</v>
      </c>
      <c r="R2072">
        <v>-7.4023389999999994E-2</v>
      </c>
      <c r="S2072">
        <v>-3.42984</v>
      </c>
      <c r="T2072">
        <v>-0.70882270000000003</v>
      </c>
      <c r="U2072">
        <v>-0.50729369999999996</v>
      </c>
      <c r="V2072">
        <v>-8.6383639999999998E-2</v>
      </c>
      <c r="W2072">
        <v>0.35347079999999997</v>
      </c>
      <c r="X2072">
        <v>0.93144850000000001</v>
      </c>
      <c r="Y2072">
        <v>-0.15567529999999999</v>
      </c>
      <c r="Z2072">
        <v>-1.9023519999999999E-2</v>
      </c>
      <c r="AA2072">
        <v>0.98762510000000003</v>
      </c>
      <c r="AB2072">
        <v>51</v>
      </c>
      <c r="AC2072">
        <v>-4.8494000000000002</v>
      </c>
      <c r="AD2072">
        <v>-1.1094788177249999</v>
      </c>
      <c r="AE2072">
        <v>-0.80090000000001205</v>
      </c>
      <c r="AF2072">
        <v>-0.82251907772934096</v>
      </c>
      <c r="AG2072">
        <v>-1.1094788177249999</v>
      </c>
      <c r="AH2072">
        <v>4.6038944153222996</v>
      </c>
      <c r="AI2072">
        <v>103.34561431866</v>
      </c>
      <c r="AJ2072">
        <v>100.129436381158</v>
      </c>
      <c r="AK2072">
        <v>4.8065917933235198</v>
      </c>
      <c r="AL2072">
        <v>69.300248198687001</v>
      </c>
      <c r="AM2072">
        <v>95.298522579953797</v>
      </c>
      <c r="AN2072">
        <v>1.00000002393226</v>
      </c>
    </row>
    <row r="2073" spans="1:40" x14ac:dyDescent="0.25">
      <c r="A2073" t="str">
        <f>"20190304164410689"</f>
        <v>20190304164410689</v>
      </c>
      <c r="B2073" t="str">
        <f>"1551689050681491"</f>
        <v>1551689050681491</v>
      </c>
      <c r="C2073" t="s">
        <v>40</v>
      </c>
      <c r="D2073">
        <v>4.8493050000000002</v>
      </c>
      <c r="E2073">
        <v>0.48144029999999999</v>
      </c>
      <c r="F2073" t="s">
        <v>46</v>
      </c>
      <c r="G2073">
        <v>-317.0138</v>
      </c>
      <c r="H2073" s="1">
        <v>5.4112269999999996E-6</v>
      </c>
      <c r="I2073">
        <v>283.65629999999999</v>
      </c>
      <c r="J2073">
        <v>-312.18329999999997</v>
      </c>
      <c r="K2073">
        <v>1.109486</v>
      </c>
      <c r="L2073">
        <v>284.4622</v>
      </c>
      <c r="M2073">
        <v>-0.99988469999999996</v>
      </c>
      <c r="N2073">
        <v>-7.8956210000000002E-3</v>
      </c>
      <c r="O2073">
        <v>1.2970819999999999E-2</v>
      </c>
      <c r="P2073">
        <v>-0.93525659999999999</v>
      </c>
      <c r="Q2073">
        <v>0.34616730000000001</v>
      </c>
      <c r="R2073">
        <v>-7.3914099999999996E-2</v>
      </c>
      <c r="S2073">
        <v>-3.4297179999999998</v>
      </c>
      <c r="T2073">
        <v>-0.70912350000000002</v>
      </c>
      <c r="U2073">
        <v>-0.51058959999999998</v>
      </c>
      <c r="V2073">
        <v>-8.6148779999999994E-2</v>
      </c>
      <c r="W2073">
        <v>0.35350609999999999</v>
      </c>
      <c r="X2073">
        <v>0.93145690000000003</v>
      </c>
      <c r="Y2073">
        <v>-0.15645039999999999</v>
      </c>
      <c r="Z2073">
        <v>-1.9086470000000001E-2</v>
      </c>
      <c r="AA2073">
        <v>0.98750139999999997</v>
      </c>
      <c r="AB2073">
        <v>51</v>
      </c>
      <c r="AC2073">
        <v>-4.8305000000000202</v>
      </c>
      <c r="AD2073">
        <v>-1.1094805887729999</v>
      </c>
      <c r="AE2073">
        <v>-0.80590000000000805</v>
      </c>
      <c r="AF2073">
        <v>-0.82609029829213498</v>
      </c>
      <c r="AG2073">
        <v>-1.1094805887729999</v>
      </c>
      <c r="AH2073">
        <v>4.5843467498301997</v>
      </c>
      <c r="AI2073">
        <v>103.39703287147999</v>
      </c>
      <c r="AJ2073">
        <v>100.21496408924</v>
      </c>
      <c r="AK2073">
        <v>4.7884869719437599</v>
      </c>
      <c r="AL2073">
        <v>69.298086974612502</v>
      </c>
      <c r="AM2073">
        <v>95.284151221655307</v>
      </c>
      <c r="AN2073">
        <v>1.00000006579515</v>
      </c>
    </row>
    <row r="2074" spans="1:40" x14ac:dyDescent="0.25">
      <c r="A2074" t="str">
        <f>"20190304164410711"</f>
        <v>20190304164410711</v>
      </c>
      <c r="B2074" t="str">
        <f>"1551689050701985"</f>
        <v>1551689050701985</v>
      </c>
      <c r="C2074" t="s">
        <v>40</v>
      </c>
      <c r="D2074">
        <v>4.8369669999999996</v>
      </c>
      <c r="E2074">
        <v>0.48154000000000002</v>
      </c>
      <c r="F2074" t="s">
        <v>46</v>
      </c>
      <c r="G2074">
        <v>-317.54790000000003</v>
      </c>
      <c r="H2074" s="1">
        <v>5.647618E-6</v>
      </c>
      <c r="I2074">
        <v>283.66160000000002</v>
      </c>
      <c r="J2074">
        <v>-312.69209999999998</v>
      </c>
      <c r="K2074">
        <v>1.1094930000000001</v>
      </c>
      <c r="L2074">
        <v>284.46870000000001</v>
      </c>
      <c r="M2074">
        <v>-0.99988650000000001</v>
      </c>
      <c r="N2074">
        <v>-7.9214819999999901E-3</v>
      </c>
      <c r="O2074">
        <v>1.2832939999999999E-2</v>
      </c>
      <c r="P2074">
        <v>-0.93526430000000005</v>
      </c>
      <c r="Q2074">
        <v>0.346275</v>
      </c>
      <c r="R2074">
        <v>-7.3311580000000001E-2</v>
      </c>
      <c r="S2074">
        <v>-3.4298099999999998</v>
      </c>
      <c r="T2074">
        <v>-0.7093351</v>
      </c>
      <c r="U2074">
        <v>-0.51181030000000005</v>
      </c>
      <c r="V2074">
        <v>-8.5424719999999996E-2</v>
      </c>
      <c r="W2074">
        <v>0.35363670000000003</v>
      </c>
      <c r="X2074">
        <v>0.93147400000000002</v>
      </c>
      <c r="Y2074">
        <v>-0.1566506</v>
      </c>
      <c r="Z2074">
        <v>-1.9086869999999999E-2</v>
      </c>
      <c r="AA2074">
        <v>0.98746959999999995</v>
      </c>
      <c r="AB2074">
        <v>51</v>
      </c>
      <c r="AC2074">
        <v>-4.8558000000000403</v>
      </c>
      <c r="AD2074">
        <v>-1.1094873523819999</v>
      </c>
      <c r="AE2074">
        <v>-0.80709999999999105</v>
      </c>
      <c r="AF2074">
        <v>-0.82731951887677802</v>
      </c>
      <c r="AG2074">
        <v>-1.1094873523819999</v>
      </c>
      <c r="AH2074">
        <v>4.6108007494376801</v>
      </c>
      <c r="AI2074">
        <v>103.324712575623</v>
      </c>
      <c r="AJ2074">
        <v>100.172379539606</v>
      </c>
      <c r="AK2074">
        <v>4.8140319195478103</v>
      </c>
      <c r="AL2074">
        <v>69.290087214045897</v>
      </c>
      <c r="AM2074">
        <v>95.239891794207907</v>
      </c>
      <c r="AN2074">
        <v>1.0000000555249799</v>
      </c>
    </row>
    <row r="2075" spans="1:40" x14ac:dyDescent="0.25">
      <c r="A2075" t="str">
        <f>"20190304164410733"</f>
        <v>20190304164410733</v>
      </c>
      <c r="B2075" t="str">
        <f>"1551689050721504"</f>
        <v>1551689050721504</v>
      </c>
      <c r="C2075" t="s">
        <v>40</v>
      </c>
      <c r="D2075">
        <v>5.1482510000000001</v>
      </c>
      <c r="E2075">
        <v>0.52389379999999997</v>
      </c>
      <c r="F2075" t="s">
        <v>46</v>
      </c>
      <c r="G2075">
        <v>-318.06200000000001</v>
      </c>
      <c r="H2075" s="1">
        <v>5.8748149999999901E-6</v>
      </c>
      <c r="I2075">
        <v>283.67070000000001</v>
      </c>
      <c r="J2075">
        <v>-313.19110000000001</v>
      </c>
      <c r="K2075">
        <v>1.109497</v>
      </c>
      <c r="L2075">
        <v>284.4751</v>
      </c>
      <c r="M2075">
        <v>-0.99988790000000005</v>
      </c>
      <c r="N2075">
        <v>-7.9450200000000006E-3</v>
      </c>
      <c r="O2075">
        <v>1.269765E-2</v>
      </c>
      <c r="P2075">
        <v>-0.93531189999999997</v>
      </c>
      <c r="Q2075">
        <v>0.34629670000000001</v>
      </c>
      <c r="R2075">
        <v>-7.2600890000000001E-2</v>
      </c>
      <c r="S2075">
        <v>-3.4301149999999998</v>
      </c>
      <c r="T2075">
        <v>-0.70870239999999995</v>
      </c>
      <c r="U2075">
        <v>-0.5097351</v>
      </c>
      <c r="V2075">
        <v>-8.4594870000000003E-2</v>
      </c>
      <c r="W2075">
        <v>0.35367959999999998</v>
      </c>
      <c r="X2075">
        <v>0.93153339999999996</v>
      </c>
      <c r="Y2075">
        <v>-0.15594369999999999</v>
      </c>
      <c r="Z2075">
        <v>-1.8970190000000001E-2</v>
      </c>
      <c r="AA2075">
        <v>0.98758380000000001</v>
      </c>
      <c r="AB2075">
        <v>51</v>
      </c>
      <c r="AC2075">
        <v>-4.8708999999999998</v>
      </c>
      <c r="AD2075">
        <v>-1.1094911251849999</v>
      </c>
      <c r="AE2075">
        <v>-0.80439999999998602</v>
      </c>
      <c r="AF2075">
        <v>-0.82454171711520796</v>
      </c>
      <c r="AG2075">
        <v>-1.1094911251849999</v>
      </c>
      <c r="AH2075">
        <v>4.62662056843687</v>
      </c>
      <c r="AI2075">
        <v>103.28350691399601</v>
      </c>
      <c r="AJ2075">
        <v>100.104982079111</v>
      </c>
      <c r="AK2075">
        <v>4.8287117831167601</v>
      </c>
      <c r="AL2075">
        <v>69.287458489653304</v>
      </c>
      <c r="AM2075">
        <v>95.188939551070604</v>
      </c>
      <c r="AN2075">
        <v>1.0000000134010101</v>
      </c>
    </row>
    <row r="2076" spans="1:40" x14ac:dyDescent="0.25">
      <c r="A2076" t="str">
        <f>"20190304164410755"</f>
        <v>20190304164410755</v>
      </c>
      <c r="B2076" t="str">
        <f>"1551689050751761"</f>
        <v>1551689050751761</v>
      </c>
      <c r="C2076" t="s">
        <v>40</v>
      </c>
      <c r="D2076">
        <v>4.8512139999999997</v>
      </c>
      <c r="E2076">
        <v>0.5432728</v>
      </c>
      <c r="F2076" t="s">
        <v>41</v>
      </c>
      <c r="G2076">
        <v>-313.90530000000001</v>
      </c>
      <c r="H2076">
        <v>0.9463452</v>
      </c>
      <c r="I2076">
        <v>284.43880000000001</v>
      </c>
      <c r="J2076">
        <v>-313.69920000000002</v>
      </c>
      <c r="K2076">
        <v>1.109499</v>
      </c>
      <c r="L2076">
        <v>284.48149999999998</v>
      </c>
      <c r="M2076">
        <v>-0.99988940000000004</v>
      </c>
      <c r="N2076">
        <v>-7.967422E-3</v>
      </c>
      <c r="O2076">
        <v>1.255974E-2</v>
      </c>
      <c r="P2076">
        <v>-0.93534249999999997</v>
      </c>
      <c r="Q2076">
        <v>0.3463985</v>
      </c>
      <c r="R2076">
        <v>-7.1712300000000007E-2</v>
      </c>
      <c r="S2076">
        <v>-3.4887700000000001</v>
      </c>
      <c r="T2076">
        <v>-0.79697620000000002</v>
      </c>
      <c r="U2076">
        <v>-0.17764279999999999</v>
      </c>
      <c r="V2076">
        <v>-8.3584179999999994E-2</v>
      </c>
      <c r="W2076">
        <v>0.35380129999999999</v>
      </c>
      <c r="X2076">
        <v>0.93157840000000003</v>
      </c>
      <c r="Y2076">
        <v>-6.1455849999999999E-2</v>
      </c>
      <c r="Z2076">
        <v>-9.9064159999999995E-3</v>
      </c>
      <c r="AA2076">
        <v>0.99806059999999996</v>
      </c>
      <c r="AB2076">
        <v>51</v>
      </c>
      <c r="AC2076">
        <v>-0.20609999999999201</v>
      </c>
      <c r="AD2076">
        <v>-0.16315379999999999</v>
      </c>
      <c r="AE2076">
        <v>-4.2699999999967903E-2</v>
      </c>
      <c r="AF2076">
        <v>-2.8287788075682298E-2</v>
      </c>
      <c r="AG2076">
        <v>-0.16315379999999999</v>
      </c>
      <c r="AH2076">
        <v>0.128396743124986</v>
      </c>
      <c r="AI2076">
        <v>141.13672605344101</v>
      </c>
      <c r="AJ2076">
        <v>102.424657725958</v>
      </c>
      <c r="AK2076">
        <v>0.20953540286490599</v>
      </c>
      <c r="AL2076">
        <v>69.280003191602702</v>
      </c>
      <c r="AM2076">
        <v>95.127031206050006</v>
      </c>
      <c r="AN2076">
        <v>0.99999999518726101</v>
      </c>
    </row>
    <row r="2077" spans="1:40" x14ac:dyDescent="0.25">
      <c r="A2077" t="str">
        <f>"20190304164410778"</f>
        <v>20190304164410778</v>
      </c>
      <c r="B2077" t="str">
        <f>"1551689050772257"</f>
        <v>1551689050772257</v>
      </c>
      <c r="C2077" t="s">
        <v>40</v>
      </c>
      <c r="D2077">
        <v>4.7395370000000003</v>
      </c>
      <c r="E2077">
        <v>0.54814069999999904</v>
      </c>
      <c r="F2077" t="s">
        <v>41</v>
      </c>
      <c r="G2077">
        <v>-314.78620000000001</v>
      </c>
      <c r="H2077">
        <v>0.85451219999999894</v>
      </c>
      <c r="I2077">
        <v>284.47460000000001</v>
      </c>
      <c r="J2077">
        <v>-314.23379999999997</v>
      </c>
      <c r="K2077">
        <v>1.10951</v>
      </c>
      <c r="L2077">
        <v>284.48820000000001</v>
      </c>
      <c r="M2077">
        <v>-0.99989099999999997</v>
      </c>
      <c r="N2077">
        <v>-7.9894149999999997E-3</v>
      </c>
      <c r="O2077">
        <v>1.2414690000000001E-2</v>
      </c>
      <c r="P2077">
        <v>-0.93530389999999997</v>
      </c>
      <c r="Q2077">
        <v>0.34657510000000002</v>
      </c>
      <c r="R2077">
        <v>-7.1361530000000006E-2</v>
      </c>
      <c r="S2077">
        <v>-3.5105900000000001</v>
      </c>
      <c r="T2077">
        <v>-0.82357860000000005</v>
      </c>
      <c r="U2077">
        <v>-2.2949219999999999E-2</v>
      </c>
      <c r="V2077">
        <v>-8.3102720000000005E-2</v>
      </c>
      <c r="W2077">
        <v>0.35399709999999901</v>
      </c>
      <c r="X2077">
        <v>0.93154709999999996</v>
      </c>
      <c r="Y2077">
        <v>-1.812749E-2</v>
      </c>
      <c r="Z2077">
        <v>-4.9467570000000004E-3</v>
      </c>
      <c r="AA2077">
        <v>0.99982349999999998</v>
      </c>
      <c r="AB2077">
        <v>52</v>
      </c>
      <c r="AC2077">
        <v>-0.55240000000003397</v>
      </c>
      <c r="AD2077">
        <v>-0.2549978</v>
      </c>
      <c r="AE2077">
        <v>-1.35999999999967E-2</v>
      </c>
      <c r="AF2077">
        <v>-1.6865362262922401E-2</v>
      </c>
      <c r="AG2077">
        <v>-0.2549978</v>
      </c>
      <c r="AH2077">
        <v>0.45523975671794298</v>
      </c>
      <c r="AI2077">
        <v>119.23816370964801</v>
      </c>
      <c r="AJ2077">
        <v>92.121678389851994</v>
      </c>
      <c r="AK2077">
        <v>0.52206470340917699</v>
      </c>
      <c r="AL2077">
        <v>69.268008614460996</v>
      </c>
      <c r="AM2077">
        <v>95.097825007666799</v>
      </c>
      <c r="AN2077">
        <v>1.0000000041991</v>
      </c>
    </row>
    <row r="2078" spans="1:40" x14ac:dyDescent="0.25">
      <c r="A2078" t="str">
        <f>"20190304164410799"</f>
        <v>20190304164410799</v>
      </c>
      <c r="B2078" t="str">
        <f>"1551689050791776"</f>
        <v>1551689050791776</v>
      </c>
      <c r="C2078" t="s">
        <v>40</v>
      </c>
      <c r="D2078">
        <v>4.7122809999999999</v>
      </c>
      <c r="E2078">
        <v>0.55097549999999995</v>
      </c>
      <c r="F2078" t="s">
        <v>41</v>
      </c>
      <c r="G2078">
        <v>-315.2525</v>
      </c>
      <c r="H2078">
        <v>0.86692449999999999</v>
      </c>
      <c r="I2078">
        <v>284.49290000000002</v>
      </c>
      <c r="J2078">
        <v>-314.73340000000002</v>
      </c>
      <c r="K2078">
        <v>1.109515</v>
      </c>
      <c r="L2078">
        <v>284.49430000000001</v>
      </c>
      <c r="M2078">
        <v>-0.99989260000000002</v>
      </c>
      <c r="N2078">
        <v>-8.0087869999999999E-3</v>
      </c>
      <c r="O2078">
        <v>1.227902E-2</v>
      </c>
      <c r="P2078">
        <v>-0.93531050000000004</v>
      </c>
      <c r="Q2078">
        <v>0.34646290000000002</v>
      </c>
      <c r="R2078">
        <v>-7.1819659999999994E-2</v>
      </c>
      <c r="S2078">
        <v>-3.5192869999999998</v>
      </c>
      <c r="T2078">
        <v>-0.83812949999999997</v>
      </c>
      <c r="U2078">
        <v>1.5350340000000001E-2</v>
      </c>
      <c r="V2078">
        <v>-8.3438180000000001E-2</v>
      </c>
      <c r="W2078">
        <v>0.3539022</v>
      </c>
      <c r="X2078">
        <v>0.93155319999999997</v>
      </c>
      <c r="Y2078">
        <v>-7.3835790000000004E-3</v>
      </c>
      <c r="Z2078">
        <v>-3.6839099999999999E-3</v>
      </c>
      <c r="AA2078">
        <v>0.99996600000000002</v>
      </c>
      <c r="AB2078">
        <v>52</v>
      </c>
      <c r="AC2078">
        <v>-0.51909999999998002</v>
      </c>
      <c r="AD2078">
        <v>-0.24259049999999999</v>
      </c>
      <c r="AE2078">
        <v>-1.39999999998963E-3</v>
      </c>
      <c r="AF2078">
        <v>-6.3806391261128203E-3</v>
      </c>
      <c r="AG2078">
        <v>-0.24259049999999999</v>
      </c>
      <c r="AH2078">
        <v>0.42600613248054803</v>
      </c>
      <c r="AI2078">
        <v>119.65671926197</v>
      </c>
      <c r="AJ2078">
        <v>90.858101164781502</v>
      </c>
      <c r="AK2078">
        <v>0.49027756236334302</v>
      </c>
      <c r="AL2078">
        <v>69.273822913737703</v>
      </c>
      <c r="AM2078">
        <v>95.118260929341503</v>
      </c>
      <c r="AN2078">
        <v>1.0000000307383901</v>
      </c>
    </row>
    <row r="2079" spans="1:40" x14ac:dyDescent="0.25">
      <c r="A2079" t="str">
        <f>"20190304164410822"</f>
        <v>20190304164410822</v>
      </c>
      <c r="B2079" t="str">
        <f>"1551689050812273"</f>
        <v>1551689050812273</v>
      </c>
      <c r="C2079" t="s">
        <v>40</v>
      </c>
      <c r="D2079">
        <v>4.6765730000000003</v>
      </c>
      <c r="E2079">
        <v>0.55270079999999999</v>
      </c>
      <c r="F2079" t="s">
        <v>41</v>
      </c>
      <c r="G2079">
        <v>-315.71769999999998</v>
      </c>
      <c r="H2079">
        <v>0.87372459999999996</v>
      </c>
      <c r="I2079">
        <v>284.50479999999999</v>
      </c>
      <c r="J2079">
        <v>-315.25360000000001</v>
      </c>
      <c r="K2079">
        <v>1.1095189999999999</v>
      </c>
      <c r="L2079">
        <v>284.50069999999999</v>
      </c>
      <c r="M2079">
        <v>-0.99989430000000001</v>
      </c>
      <c r="N2079">
        <v>-8.0278150000000006E-3</v>
      </c>
      <c r="O2079">
        <v>1.213733E-2</v>
      </c>
      <c r="P2079">
        <v>-0.93531379999999997</v>
      </c>
      <c r="Q2079">
        <v>0.34626899999999999</v>
      </c>
      <c r="R2079">
        <v>-7.2707899999999895E-2</v>
      </c>
      <c r="S2079">
        <v>-3.5229490000000001</v>
      </c>
      <c r="T2079">
        <v>-0.84394219999999898</v>
      </c>
      <c r="U2079">
        <v>3.7139890000000002E-2</v>
      </c>
      <c r="V2079">
        <v>-8.4197560000000005E-2</v>
      </c>
      <c r="W2079">
        <v>0.353724599999999</v>
      </c>
      <c r="X2079">
        <v>0.9315523</v>
      </c>
      <c r="Y2079">
        <v>-1.2391639999999901E-3</v>
      </c>
      <c r="Z2079">
        <v>-2.9221030000000001E-3</v>
      </c>
      <c r="AA2079">
        <v>0.99999490000000002</v>
      </c>
      <c r="AB2079">
        <v>52</v>
      </c>
      <c r="AC2079">
        <v>-0.46409999999997298</v>
      </c>
      <c r="AD2079">
        <v>-0.23579439999999999</v>
      </c>
      <c r="AE2079">
        <v>4.0999999999939904E-3</v>
      </c>
      <c r="AF2079">
        <v>-1.21882319242506E-3</v>
      </c>
      <c r="AG2079">
        <v>-0.23579439999999999</v>
      </c>
      <c r="AH2079">
        <v>0.36889815352773198</v>
      </c>
      <c r="AI2079">
        <v>122.585987505247</v>
      </c>
      <c r="AJ2079">
        <v>90.189302033987005</v>
      </c>
      <c r="AK2079">
        <v>0.43781997701967001</v>
      </c>
      <c r="AL2079">
        <v>69.284701805974393</v>
      </c>
      <c r="AM2079">
        <v>95.164596960042005</v>
      </c>
      <c r="AN2079">
        <v>1.0000000046952</v>
      </c>
    </row>
    <row r="2080" spans="1:40" x14ac:dyDescent="0.25">
      <c r="A2080" t="str">
        <f>"20190304164410844"</f>
        <v>20190304164410844</v>
      </c>
      <c r="B2080" t="str">
        <f>"1551689050831792"</f>
        <v>1551689050831792</v>
      </c>
      <c r="C2080" t="s">
        <v>40</v>
      </c>
      <c r="D2080">
        <v>4.6678920000000002</v>
      </c>
      <c r="E2080">
        <v>0.55406719999999998</v>
      </c>
      <c r="F2080" t="s">
        <v>41</v>
      </c>
      <c r="G2080">
        <v>-316.18549999999999</v>
      </c>
      <c r="H2080">
        <v>0.88507389999999997</v>
      </c>
      <c r="I2080">
        <v>284.51350000000002</v>
      </c>
      <c r="J2080">
        <v>-315.76679999999999</v>
      </c>
      <c r="K2080">
        <v>1.1095120000000001</v>
      </c>
      <c r="L2080">
        <v>284.50689999999997</v>
      </c>
      <c r="M2080">
        <v>-0.9998958</v>
      </c>
      <c r="N2080">
        <v>-8.045778E-3</v>
      </c>
      <c r="O2080">
        <v>1.199745E-2</v>
      </c>
      <c r="P2080">
        <v>-0.93516500000000002</v>
      </c>
      <c r="Q2080">
        <v>0.34650140000000001</v>
      </c>
      <c r="R2080">
        <v>-7.3508690000000002E-2</v>
      </c>
      <c r="S2080">
        <v>-3.5255429999999999</v>
      </c>
      <c r="T2080">
        <v>-0.84910180000000002</v>
      </c>
      <c r="U2080">
        <v>4.7454830000000003E-2</v>
      </c>
      <c r="V2080">
        <v>-8.4868669999999993E-2</v>
      </c>
      <c r="W2080">
        <v>0.3539717</v>
      </c>
      <c r="X2080">
        <v>0.93139760000000005</v>
      </c>
      <c r="Y2080">
        <v>1.730604E-3</v>
      </c>
      <c r="Z2080">
        <v>-2.5408039999999998E-3</v>
      </c>
      <c r="AA2080">
        <v>0.99999530000000003</v>
      </c>
      <c r="AB2080">
        <v>52</v>
      </c>
      <c r="AC2080">
        <v>-0.41870000000000102</v>
      </c>
      <c r="AD2080">
        <v>-0.2244381</v>
      </c>
      <c r="AE2080">
        <v>6.6000000000485601E-3</v>
      </c>
      <c r="AF2080">
        <v>1.22432714407887E-3</v>
      </c>
      <c r="AG2080">
        <v>-0.2244381</v>
      </c>
      <c r="AH2080">
        <v>0.32530191823132898</v>
      </c>
      <c r="AI2080">
        <v>124.603072681432</v>
      </c>
      <c r="AJ2080">
        <v>89.784358951031706</v>
      </c>
      <c r="AK2080">
        <v>0.39521550793655302</v>
      </c>
      <c r="AL2080">
        <v>69.269566159773703</v>
      </c>
      <c r="AM2080">
        <v>95.206396788945199</v>
      </c>
      <c r="AN2080">
        <v>1.0000000724171001</v>
      </c>
    </row>
    <row r="2081" spans="1:40" x14ac:dyDescent="0.25">
      <c r="A2081" t="str">
        <f>"20190304164410866"</f>
        <v>20190304164410866</v>
      </c>
      <c r="B2081" t="str">
        <f>"1551689050862049"</f>
        <v>1551689050862049</v>
      </c>
      <c r="C2081" t="s">
        <v>40</v>
      </c>
      <c r="D2081">
        <v>4.5935110000000003</v>
      </c>
      <c r="E2081">
        <v>0.55541890000000005</v>
      </c>
      <c r="F2081" t="s">
        <v>41</v>
      </c>
      <c r="G2081">
        <v>-316.6542</v>
      </c>
      <c r="H2081">
        <v>0.89623989999999998</v>
      </c>
      <c r="I2081">
        <v>284.52089999999998</v>
      </c>
      <c r="J2081">
        <v>-316.28519999999997</v>
      </c>
      <c r="K2081">
        <v>1.1095120000000001</v>
      </c>
      <c r="L2081">
        <v>284.51299999999998</v>
      </c>
      <c r="M2081">
        <v>-0.99989740000000005</v>
      </c>
      <c r="N2081">
        <v>-8.0631219999999903E-3</v>
      </c>
      <c r="O2081">
        <v>1.185573E-2</v>
      </c>
      <c r="P2081">
        <v>-0.93503879999999995</v>
      </c>
      <c r="Q2081">
        <v>0.34655150000000001</v>
      </c>
      <c r="R2081">
        <v>-7.4866489999999994E-2</v>
      </c>
      <c r="S2081">
        <v>-3.5263979999999999</v>
      </c>
      <c r="T2081">
        <v>-0.84756989999999999</v>
      </c>
      <c r="U2081">
        <v>5.569458E-2</v>
      </c>
      <c r="V2081">
        <v>-8.6095240000000003E-2</v>
      </c>
      <c r="W2081">
        <v>0.35403590000000001</v>
      </c>
      <c r="X2081">
        <v>0.93126050000000005</v>
      </c>
      <c r="Y2081">
        <v>4.1295289999999998E-3</v>
      </c>
      <c r="Z2081">
        <v>-2.2087779999999998E-3</v>
      </c>
      <c r="AA2081">
        <v>0.99998900000000002</v>
      </c>
      <c r="AB2081">
        <v>52</v>
      </c>
      <c r="AC2081">
        <v>-0.36900000000002797</v>
      </c>
      <c r="AD2081">
        <v>-0.21327209999999999</v>
      </c>
      <c r="AE2081">
        <v>7.9000000000064505E-3</v>
      </c>
      <c r="AF2081">
        <v>2.6422813882157701E-3</v>
      </c>
      <c r="AG2081">
        <v>-0.21327209999999999</v>
      </c>
      <c r="AH2081">
        <v>0.276683217529336</v>
      </c>
      <c r="AI2081">
        <v>127.624379779177</v>
      </c>
      <c r="AJ2081">
        <v>89.452850913201701</v>
      </c>
      <c r="AK2081">
        <v>0.34935021561712298</v>
      </c>
      <c r="AL2081">
        <v>69.265630725711901</v>
      </c>
      <c r="AM2081">
        <v>95.281993208424794</v>
      </c>
      <c r="AN2081">
        <v>0.99999996384985801</v>
      </c>
    </row>
    <row r="2082" spans="1:40" x14ac:dyDescent="0.25">
      <c r="A2082" t="str">
        <f>"20190304164410889"</f>
        <v>20190304164410889</v>
      </c>
      <c r="B2082" t="str">
        <f>"1551689050881572"</f>
        <v>1551689050881572</v>
      </c>
      <c r="C2082" t="s">
        <v>40</v>
      </c>
      <c r="D2082">
        <v>4.590522</v>
      </c>
      <c r="E2082">
        <v>0.55607090000000003</v>
      </c>
      <c r="F2082" t="s">
        <v>41</v>
      </c>
      <c r="G2082">
        <v>-317.12380000000002</v>
      </c>
      <c r="H2082">
        <v>0.90820279999999998</v>
      </c>
      <c r="I2082">
        <v>284.5283</v>
      </c>
      <c r="J2082">
        <v>-316.80419999999998</v>
      </c>
      <c r="K2082">
        <v>1.1095189999999999</v>
      </c>
      <c r="L2082">
        <v>284.51909999999998</v>
      </c>
      <c r="M2082">
        <v>-0.99989879999999998</v>
      </c>
      <c r="N2082">
        <v>-8.0798050000000007E-3</v>
      </c>
      <c r="O2082">
        <v>1.171318E-2</v>
      </c>
      <c r="P2082">
        <v>-0.93514509999999995</v>
      </c>
      <c r="Q2082">
        <v>0.34613139999999998</v>
      </c>
      <c r="R2082">
        <v>-7.5475920000000002E-2</v>
      </c>
      <c r="S2082">
        <v>-3.5274049999999999</v>
      </c>
      <c r="T2082">
        <v>-0.84698240000000002</v>
      </c>
      <c r="U2082">
        <v>6.2927250000000004E-2</v>
      </c>
      <c r="V2082">
        <v>-8.657434E-2</v>
      </c>
      <c r="W2082">
        <v>0.35363139999999998</v>
      </c>
      <c r="X2082">
        <v>0.93136980000000003</v>
      </c>
      <c r="Y2082">
        <v>6.2507889999999997E-3</v>
      </c>
      <c r="Z2082">
        <v>-1.9139070000000001E-3</v>
      </c>
      <c r="AA2082">
        <v>0.9999787</v>
      </c>
      <c r="AB2082">
        <v>52</v>
      </c>
      <c r="AC2082">
        <v>-0.31960000000003602</v>
      </c>
      <c r="AD2082">
        <v>-0.2013162</v>
      </c>
      <c r="AE2082">
        <v>9.2000000000211895E-3</v>
      </c>
      <c r="AF2082">
        <v>3.9068563695028504E-3</v>
      </c>
      <c r="AG2082">
        <v>-0.2013162</v>
      </c>
      <c r="AH2082">
        <v>0.228928156146009</v>
      </c>
      <c r="AI2082">
        <v>131.32380589792101</v>
      </c>
      <c r="AJ2082">
        <v>89.022293031046004</v>
      </c>
      <c r="AK2082">
        <v>0.30487960998653801</v>
      </c>
      <c r="AL2082">
        <v>69.290410523702405</v>
      </c>
      <c r="AM2082">
        <v>95.3105989115477</v>
      </c>
      <c r="AN2082">
        <v>0.99999999388221705</v>
      </c>
    </row>
    <row r="2083" spans="1:40" x14ac:dyDescent="0.25">
      <c r="A2083" t="str">
        <f>"20190304164410910"</f>
        <v>20190304164410910</v>
      </c>
      <c r="B2083" t="str">
        <f>"1551689050902064"</f>
        <v>1551689050902064</v>
      </c>
      <c r="C2083" t="s">
        <v>40</v>
      </c>
      <c r="D2083">
        <v>4.5678939999999999</v>
      </c>
      <c r="E2083">
        <v>0.55660459999999901</v>
      </c>
      <c r="F2083" t="s">
        <v>41</v>
      </c>
      <c r="G2083">
        <v>-317.59399999999999</v>
      </c>
      <c r="H2083">
        <v>0.91964380000000001</v>
      </c>
      <c r="I2083">
        <v>284.53429999999997</v>
      </c>
      <c r="J2083">
        <v>-317.30829999999997</v>
      </c>
      <c r="K2083">
        <v>1.1095120000000001</v>
      </c>
      <c r="L2083">
        <v>284.52499999999998</v>
      </c>
      <c r="M2083">
        <v>-0.99990029999999996</v>
      </c>
      <c r="N2083">
        <v>-8.0954200000000007E-3</v>
      </c>
      <c r="O2083">
        <v>1.1574030000000001E-2</v>
      </c>
      <c r="P2083">
        <v>-0.93509529999999996</v>
      </c>
      <c r="Q2083">
        <v>0.34613129999999998</v>
      </c>
      <c r="R2083">
        <v>-7.6092839999999995E-2</v>
      </c>
      <c r="S2083">
        <v>-3.5274049999999999</v>
      </c>
      <c r="T2083">
        <v>-0.84808459999999997</v>
      </c>
      <c r="U2083">
        <v>6.7413329999999994E-2</v>
      </c>
      <c r="V2083">
        <v>-8.7062819999999999E-2</v>
      </c>
      <c r="W2083">
        <v>0.35364519999999999</v>
      </c>
      <c r="X2083">
        <v>0.93131909999999896</v>
      </c>
      <c r="Y2083">
        <v>7.6175779999999998E-3</v>
      </c>
      <c r="Z2083">
        <v>-1.716759E-3</v>
      </c>
      <c r="AA2083">
        <v>0.99996949999999996</v>
      </c>
      <c r="AB2083">
        <v>52</v>
      </c>
      <c r="AC2083">
        <v>-0.28570000000001899</v>
      </c>
      <c r="AD2083">
        <v>-0.18986819999999999</v>
      </c>
      <c r="AE2083">
        <v>9.2999999999960892E-3</v>
      </c>
      <c r="AF2083">
        <v>4.1580744303897597E-3</v>
      </c>
      <c r="AG2083">
        <v>-0.18986819999999999</v>
      </c>
      <c r="AH2083">
        <v>0.19830059126580399</v>
      </c>
      <c r="AI2083">
        <v>133.74923931044799</v>
      </c>
      <c r="AJ2083">
        <v>88.798767028398501</v>
      </c>
      <c r="AK2083">
        <v>0.27457302753653001</v>
      </c>
      <c r="AL2083">
        <v>69.289566740696301</v>
      </c>
      <c r="AM2083">
        <v>95.340679284488502</v>
      </c>
      <c r="AN2083">
        <v>1.0000000640670901</v>
      </c>
    </row>
    <row r="2084" spans="1:40" x14ac:dyDescent="0.25">
      <c r="A2084" t="str">
        <f>"20190304164410934"</f>
        <v>20190304164410934</v>
      </c>
      <c r="B2084" t="str">
        <f>"1551689050921585"</f>
        <v>1551689050921585</v>
      </c>
      <c r="C2084" t="s">
        <v>40</v>
      </c>
      <c r="D2084">
        <v>4.5411049999999999</v>
      </c>
      <c r="E2084">
        <v>0.55706109999999998</v>
      </c>
      <c r="F2084" t="s">
        <v>41</v>
      </c>
      <c r="G2084">
        <v>-318.06369999999998</v>
      </c>
      <c r="H2084">
        <v>0.92806010000000005</v>
      </c>
      <c r="I2084">
        <v>284.5403</v>
      </c>
      <c r="J2084">
        <v>-317.8433</v>
      </c>
      <c r="K2084">
        <v>1.1095139999999999</v>
      </c>
      <c r="L2084">
        <v>284.53109999999998</v>
      </c>
      <c r="M2084">
        <v>-0.99990199999999996</v>
      </c>
      <c r="N2084">
        <v>-8.1113550000000006E-3</v>
      </c>
      <c r="O2084">
        <v>1.142577E-2</v>
      </c>
      <c r="P2084">
        <v>-0.93507620000000002</v>
      </c>
      <c r="Q2084">
        <v>0.34620630000000002</v>
      </c>
      <c r="R2084">
        <v>-7.5988620000000007E-2</v>
      </c>
      <c r="S2084">
        <v>-3.527679</v>
      </c>
      <c r="T2084">
        <v>-0.84745959999999998</v>
      </c>
      <c r="U2084">
        <v>7.0220950000000004E-2</v>
      </c>
      <c r="V2084">
        <v>-8.6821659999999995E-2</v>
      </c>
      <c r="W2084">
        <v>0.35373399999999999</v>
      </c>
      <c r="X2084">
        <v>0.93130789999999997</v>
      </c>
      <c r="Y2084">
        <v>8.5289479999999997E-3</v>
      </c>
      <c r="Z2084">
        <v>-1.5694400000000001E-3</v>
      </c>
      <c r="AA2084">
        <v>0.99996240000000003</v>
      </c>
      <c r="AB2084">
        <v>52</v>
      </c>
      <c r="AC2084">
        <v>-0.220399999999983</v>
      </c>
      <c r="AD2084">
        <v>-0.181453899999999</v>
      </c>
      <c r="AE2084">
        <v>9.2000000000211895E-3</v>
      </c>
      <c r="AF2084">
        <v>3.9848172502625996E-3</v>
      </c>
      <c r="AG2084">
        <v>-0.181453899999999</v>
      </c>
      <c r="AH2084">
        <v>0.131508024037678</v>
      </c>
      <c r="AI2084">
        <v>144.05492761946601</v>
      </c>
      <c r="AJ2084">
        <v>88.264414847196704</v>
      </c>
      <c r="AK2084">
        <v>0.224133346425788</v>
      </c>
      <c r="AL2084">
        <v>69.284127500213302</v>
      </c>
      <c r="AM2084">
        <v>95.326034718928895</v>
      </c>
      <c r="AN2084">
        <v>1.00000007400178</v>
      </c>
    </row>
    <row r="2085" spans="1:40" x14ac:dyDescent="0.25">
      <c r="A2085" t="str">
        <f>"20190304164410956"</f>
        <v>20190304164410956</v>
      </c>
      <c r="B2085" t="str">
        <f>"1551689050951841"</f>
        <v>1551689050951841</v>
      </c>
      <c r="C2085" t="s">
        <v>40</v>
      </c>
      <c r="D2085">
        <v>4.5302230000000003</v>
      </c>
      <c r="E2085">
        <v>0.55790479999999998</v>
      </c>
      <c r="F2085" t="s">
        <v>41</v>
      </c>
      <c r="G2085">
        <v>-318.53710000000001</v>
      </c>
      <c r="H2085">
        <v>0.94299500000000003</v>
      </c>
      <c r="I2085">
        <v>284.54570000000001</v>
      </c>
      <c r="J2085">
        <v>-318.37349999999998</v>
      </c>
      <c r="K2085">
        <v>1.1095250000000001</v>
      </c>
      <c r="L2085">
        <v>284.53710000000001</v>
      </c>
      <c r="M2085">
        <v>-0.99990349999999995</v>
      </c>
      <c r="N2085">
        <v>-8.1265480000000008E-3</v>
      </c>
      <c r="O2085">
        <v>1.1278160000000001E-2</v>
      </c>
      <c r="P2085">
        <v>-0.93502039999999997</v>
      </c>
      <c r="Q2085">
        <v>0.34646159999999998</v>
      </c>
      <c r="R2085">
        <v>-7.5508270000000002E-2</v>
      </c>
      <c r="S2085">
        <v>-3.527771</v>
      </c>
      <c r="T2085">
        <v>-0.84676269999999998</v>
      </c>
      <c r="U2085">
        <v>7.3272710000000005E-2</v>
      </c>
      <c r="V2085">
        <v>-8.6204740000000002E-2</v>
      </c>
      <c r="W2085">
        <v>0.35400330000000002</v>
      </c>
      <c r="X2085">
        <v>0.93126279999999995</v>
      </c>
      <c r="Y2085">
        <v>9.5078790000000003E-3</v>
      </c>
      <c r="Z2085">
        <v>-1.414179E-3</v>
      </c>
      <c r="AA2085">
        <v>0.9999538</v>
      </c>
      <c r="AB2085">
        <v>52</v>
      </c>
      <c r="AC2085">
        <v>-0.16360000000003</v>
      </c>
      <c r="AD2085">
        <v>-0.16653000000000001</v>
      </c>
      <c r="AE2085">
        <v>8.6000000000012698E-3</v>
      </c>
      <c r="AF2085">
        <v>3.3218593931873602E-3</v>
      </c>
      <c r="AG2085">
        <v>-0.16653000000000001</v>
      </c>
      <c r="AH2085">
        <v>8.0503533590221193E-2</v>
      </c>
      <c r="AI2085">
        <v>154.18095732187501</v>
      </c>
      <c r="AJ2085">
        <v>87.637114765584897</v>
      </c>
      <c r="AK2085">
        <v>0.184997552876625</v>
      </c>
      <c r="AL2085">
        <v>69.267628653418697</v>
      </c>
      <c r="AM2085">
        <v>95.288660040185903</v>
      </c>
      <c r="AN2085">
        <v>0.99999999813659801</v>
      </c>
    </row>
    <row r="2086" spans="1:40" x14ac:dyDescent="0.25">
      <c r="A2086" t="str">
        <f>"20190304164410979"</f>
        <v>20190304164410979</v>
      </c>
      <c r="B2086" t="str">
        <f>"1551689050972336"</f>
        <v>1551689050972336</v>
      </c>
      <c r="C2086" t="s">
        <v>40</v>
      </c>
      <c r="D2086">
        <v>4.5308460000000004</v>
      </c>
      <c r="E2086">
        <v>0.55807910000000005</v>
      </c>
      <c r="F2086" t="s">
        <v>41</v>
      </c>
      <c r="G2086">
        <v>-319.4348</v>
      </c>
      <c r="H2086">
        <v>0.85664359999999995</v>
      </c>
      <c r="I2086">
        <v>284.5616</v>
      </c>
      <c r="J2086">
        <v>-318.90370000000001</v>
      </c>
      <c r="K2086">
        <v>1.109521</v>
      </c>
      <c r="L2086">
        <v>284.54300000000001</v>
      </c>
      <c r="M2086">
        <v>-0.99990500000000004</v>
      </c>
      <c r="N2086">
        <v>-8.1411709999999905E-3</v>
      </c>
      <c r="O2086">
        <v>1.113038E-2</v>
      </c>
      <c r="P2086">
        <v>-0.93498460000000005</v>
      </c>
      <c r="Q2086">
        <v>0.34649449999999998</v>
      </c>
      <c r="R2086">
        <v>-7.580054E-2</v>
      </c>
      <c r="S2086">
        <v>-3.5264280000000001</v>
      </c>
      <c r="T2086">
        <v>-0.84038539999999995</v>
      </c>
      <c r="U2086">
        <v>8.0627439999999995E-2</v>
      </c>
      <c r="V2086">
        <v>-8.6359889999999995E-2</v>
      </c>
      <c r="W2086">
        <v>0.35404970000000002</v>
      </c>
      <c r="X2086">
        <v>0.93123080000000003</v>
      </c>
      <c r="Y2086">
        <v>1.168071E-2</v>
      </c>
      <c r="Z2086">
        <v>-1.105349E-3</v>
      </c>
      <c r="AA2086">
        <v>0.99993120000000002</v>
      </c>
      <c r="AB2086">
        <v>52</v>
      </c>
      <c r="AC2086">
        <v>-0.53109999999998003</v>
      </c>
      <c r="AD2086">
        <v>-0.25287739999999997</v>
      </c>
      <c r="AE2086">
        <v>1.8599999999992099E-2</v>
      </c>
      <c r="AF2086">
        <v>1.0344904709860299E-2</v>
      </c>
      <c r="AG2086">
        <v>-0.25287739999999997</v>
      </c>
      <c r="AH2086">
        <v>0.43318728124471001</v>
      </c>
      <c r="AI2086">
        <v>120.267561912472</v>
      </c>
      <c r="AJ2086">
        <v>88.631984898809904</v>
      </c>
      <c r="AK2086">
        <v>0.501702319225654</v>
      </c>
      <c r="AL2086">
        <v>69.264786323411798</v>
      </c>
      <c r="AM2086">
        <v>95.298305396972907</v>
      </c>
      <c r="AN2086">
        <v>1.00000001176977</v>
      </c>
    </row>
    <row r="2087" spans="1:40" x14ac:dyDescent="0.25">
      <c r="A2087" t="str">
        <f>"20190304164411000"</f>
        <v>20190304164411000</v>
      </c>
      <c r="B2087" t="str">
        <f>"1551689050991856"</f>
        <v>1551689050991856</v>
      </c>
      <c r="C2087" t="s">
        <v>40</v>
      </c>
      <c r="D2087">
        <v>4.5233080000000001</v>
      </c>
      <c r="E2087">
        <v>0.54689129999999997</v>
      </c>
      <c r="F2087" t="s">
        <v>41</v>
      </c>
      <c r="G2087">
        <v>-319.90929999999997</v>
      </c>
      <c r="H2087">
        <v>0.870085199999999</v>
      </c>
      <c r="I2087">
        <v>284.56670000000003</v>
      </c>
      <c r="J2087">
        <v>-319.4135</v>
      </c>
      <c r="K2087">
        <v>1.1095200000000001</v>
      </c>
      <c r="L2087">
        <v>284.5487</v>
      </c>
      <c r="M2087">
        <v>-0.99990639999999997</v>
      </c>
      <c r="N2087">
        <v>-8.1545779999999991E-3</v>
      </c>
      <c r="O2087">
        <v>1.0987800000000001E-2</v>
      </c>
      <c r="P2087">
        <v>-0.93523679999999998</v>
      </c>
      <c r="Q2087">
        <v>0.34583439999999999</v>
      </c>
      <c r="R2087">
        <v>-7.5702800000000001E-2</v>
      </c>
      <c r="S2087">
        <v>-3.526459</v>
      </c>
      <c r="T2087">
        <v>-0.83974869999999902</v>
      </c>
      <c r="U2087">
        <v>8.2000729999999994E-2</v>
      </c>
      <c r="V2087">
        <v>-8.6132360000000005E-2</v>
      </c>
      <c r="W2087">
        <v>0.35340389999999999</v>
      </c>
      <c r="X2087">
        <v>0.93149720000000003</v>
      </c>
      <c r="Y2087">
        <v>1.219372E-2</v>
      </c>
      <c r="Z2087">
        <v>-1.009505E-3</v>
      </c>
      <c r="AA2087">
        <v>0.99992510000000001</v>
      </c>
      <c r="AB2087">
        <v>52</v>
      </c>
      <c r="AC2087">
        <v>-0.49579999999997398</v>
      </c>
      <c r="AD2087">
        <v>-0.2394348</v>
      </c>
      <c r="AE2087">
        <v>1.80000000000291E-2</v>
      </c>
      <c r="AF2087">
        <v>1.01799594725415E-2</v>
      </c>
      <c r="AG2087">
        <v>-0.2394348</v>
      </c>
      <c r="AH2087">
        <v>0.40227394552657603</v>
      </c>
      <c r="AI2087">
        <v>120.753189666757</v>
      </c>
      <c r="AJ2087">
        <v>88.550380256697196</v>
      </c>
      <c r="AK2087">
        <v>0.468248846528661</v>
      </c>
      <c r="AL2087">
        <v>69.304346677243103</v>
      </c>
      <c r="AM2087">
        <v>95.2829224842923</v>
      </c>
      <c r="AN2087">
        <v>1.0000000667911</v>
      </c>
    </row>
    <row r="2088" spans="1:40" x14ac:dyDescent="0.25">
      <c r="A2088" t="str">
        <f>"20190304164411012"</f>
        <v>20190304164411012</v>
      </c>
      <c r="B2088" t="str">
        <f>"1551689051001617"</f>
        <v>1551689051001617</v>
      </c>
      <c r="C2088" t="s">
        <v>40</v>
      </c>
      <c r="D2088">
        <v>4.5107749999999998</v>
      </c>
      <c r="E2088">
        <v>0.54544510000000002</v>
      </c>
      <c r="F2088" t="s">
        <v>41</v>
      </c>
      <c r="G2088">
        <v>-320.35829999999999</v>
      </c>
      <c r="H2088">
        <v>0.81745049999999997</v>
      </c>
      <c r="I2088">
        <v>284.54140000000001</v>
      </c>
      <c r="J2088">
        <v>-319.70549999999997</v>
      </c>
      <c r="K2088">
        <v>1.1095219999999999</v>
      </c>
      <c r="L2088">
        <v>284.55189999999999</v>
      </c>
      <c r="M2088">
        <v>-0.9999072</v>
      </c>
      <c r="N2088">
        <v>-8.1621760000000002E-3</v>
      </c>
      <c r="O2088">
        <v>1.090646E-2</v>
      </c>
      <c r="P2088">
        <v>-0.93511330000000004</v>
      </c>
      <c r="Q2088">
        <v>0.34622190000000003</v>
      </c>
      <c r="R2088">
        <v>-7.5456190000000006E-2</v>
      </c>
      <c r="S2088">
        <v>-3.6191710000000001</v>
      </c>
      <c r="T2088">
        <v>-1.11876</v>
      </c>
      <c r="U2088">
        <v>-2.8259280000000001E-2</v>
      </c>
      <c r="V2088">
        <v>-8.5809570000000002E-2</v>
      </c>
      <c r="W2088">
        <v>0.35379729999999998</v>
      </c>
      <c r="X2088">
        <v>0.93137760000000003</v>
      </c>
      <c r="Y2088">
        <v>-1.7396729999999999E-2</v>
      </c>
      <c r="Z2088">
        <v>-5.9075309999999997E-3</v>
      </c>
      <c r="AA2088">
        <v>0.99983120000000003</v>
      </c>
      <c r="AB2088">
        <v>52</v>
      </c>
      <c r="AC2088">
        <v>-0.65280000000001304</v>
      </c>
      <c r="AD2088">
        <v>-0.29207149999999898</v>
      </c>
      <c r="AE2088">
        <v>-1.0499999999979E-2</v>
      </c>
      <c r="AF2088">
        <v>-1.46812374790279E-2</v>
      </c>
      <c r="AG2088">
        <v>-0.29207149999999898</v>
      </c>
      <c r="AH2088">
        <v>0.54381464496206799</v>
      </c>
      <c r="AI2088">
        <v>118.230618395506</v>
      </c>
      <c r="AJ2088">
        <v>91.546425214183301</v>
      </c>
      <c r="AK2088">
        <v>0.61745904149294395</v>
      </c>
      <c r="AL2088">
        <v>69.280248821169707</v>
      </c>
      <c r="AM2088">
        <v>95.263907644082295</v>
      </c>
      <c r="AN2088">
        <v>1.00000002278631</v>
      </c>
    </row>
    <row r="2089" spans="1:40" x14ac:dyDescent="0.25">
      <c r="A2089" t="str">
        <f>"20190304164411026"</f>
        <v>20190304164411026</v>
      </c>
      <c r="B2089" t="str">
        <f>"1551689051022113"</f>
        <v>1551689051022113</v>
      </c>
      <c r="C2089" t="s">
        <v>40</v>
      </c>
      <c r="D2089">
        <v>4.5002630000000003</v>
      </c>
      <c r="E2089">
        <v>0.54405059999999905</v>
      </c>
      <c r="F2089" t="s">
        <v>41</v>
      </c>
      <c r="G2089">
        <v>-320.3904</v>
      </c>
      <c r="H2089">
        <v>0.89315929999999999</v>
      </c>
      <c r="I2089">
        <v>284.54390000000001</v>
      </c>
      <c r="J2089">
        <v>-320.01029999999997</v>
      </c>
      <c r="K2089">
        <v>1.1095250000000001</v>
      </c>
      <c r="L2089">
        <v>284.55509999999998</v>
      </c>
      <c r="M2089">
        <v>-0.99990820000000002</v>
      </c>
      <c r="N2089">
        <v>-8.1703899999999996E-3</v>
      </c>
      <c r="O2089">
        <v>1.082106E-2</v>
      </c>
      <c r="P2089">
        <v>-0.93512039999999996</v>
      </c>
      <c r="Q2089">
        <v>0.34627000000000002</v>
      </c>
      <c r="R2089">
        <v>-7.514991E-2</v>
      </c>
      <c r="S2089">
        <v>-3.6292420000000001</v>
      </c>
      <c r="T2089">
        <v>-1.1465160000000001</v>
      </c>
      <c r="U2089">
        <v>-4.2541500000000003E-2</v>
      </c>
      <c r="V2089">
        <v>-8.5424360000000005E-2</v>
      </c>
      <c r="W2089">
        <v>0.35385299999999997</v>
      </c>
      <c r="X2089">
        <v>0.93139179999999999</v>
      </c>
      <c r="Y2089">
        <v>-2.0990740000000001E-2</v>
      </c>
      <c r="Z2089">
        <v>-6.5752450000000004E-3</v>
      </c>
      <c r="AA2089">
        <v>0.99975809999999998</v>
      </c>
      <c r="AB2089">
        <v>52</v>
      </c>
      <c r="AC2089">
        <v>-0.38010000000002703</v>
      </c>
      <c r="AD2089">
        <v>-0.21636569999999999</v>
      </c>
      <c r="AE2089">
        <v>-1.1199999999973899E-2</v>
      </c>
      <c r="AF2089">
        <v>-1.15676027424767E-2</v>
      </c>
      <c r="AG2089">
        <v>-0.21636569999999999</v>
      </c>
      <c r="AH2089">
        <v>0.28703134393916702</v>
      </c>
      <c r="AI2089">
        <v>126.986829966272</v>
      </c>
      <c r="AJ2089">
        <v>92.3078188589093</v>
      </c>
      <c r="AK2089">
        <v>0.35963164206340598</v>
      </c>
      <c r="AL2089">
        <v>69.276835708922206</v>
      </c>
      <c r="AM2089">
        <v>95.240329705276096</v>
      </c>
      <c r="AN2089">
        <v>0.99999997599882395</v>
      </c>
    </row>
    <row r="2090" spans="1:40" x14ac:dyDescent="0.25">
      <c r="A2090" t="str">
        <f>"20190304164411038"</f>
        <v>20190304164411038</v>
      </c>
      <c r="B2090" t="str">
        <f>"1551689051031873"</f>
        <v>1551689051031873</v>
      </c>
      <c r="C2090" t="s">
        <v>40</v>
      </c>
      <c r="D2090">
        <v>4.4471129999999999</v>
      </c>
      <c r="E2090">
        <v>0.54390869999999902</v>
      </c>
      <c r="F2090" t="s">
        <v>41</v>
      </c>
      <c r="G2090">
        <v>-320.839</v>
      </c>
      <c r="H2090">
        <v>0.84207619999999905</v>
      </c>
      <c r="I2090">
        <v>284.5428</v>
      </c>
      <c r="J2090">
        <v>-320.31880000000001</v>
      </c>
      <c r="K2090">
        <v>1.1095269999999999</v>
      </c>
      <c r="L2090">
        <v>284.55849999999998</v>
      </c>
      <c r="M2090">
        <v>-0.9999091</v>
      </c>
      <c r="N2090">
        <v>-8.178668E-3</v>
      </c>
      <c r="O2090">
        <v>1.0734830000000001E-2</v>
      </c>
      <c r="P2090">
        <v>-0.93516940000000004</v>
      </c>
      <c r="Q2090">
        <v>0.346149599999999</v>
      </c>
      <c r="R2090">
        <v>-7.5094289999999994E-2</v>
      </c>
      <c r="S2090">
        <v>-3.638458</v>
      </c>
      <c r="T2090">
        <v>-1.1742319999999999</v>
      </c>
      <c r="U2090">
        <v>-5.6121829999999998E-2</v>
      </c>
      <c r="V2090">
        <v>-8.5289229999999994E-2</v>
      </c>
      <c r="W2090">
        <v>0.35374070000000002</v>
      </c>
      <c r="X2090">
        <v>0.93144689999999997</v>
      </c>
      <c r="Y2090">
        <v>-2.4367719999999999E-2</v>
      </c>
      <c r="Z2090">
        <v>-7.2294639999999997E-3</v>
      </c>
      <c r="AA2090">
        <v>0.99967689999999998</v>
      </c>
      <c r="AB2090">
        <v>53</v>
      </c>
      <c r="AC2090">
        <v>-0.52019999999998801</v>
      </c>
      <c r="AD2090">
        <v>-0.26745079999999999</v>
      </c>
      <c r="AE2090">
        <v>-1.5699999999981101E-2</v>
      </c>
      <c r="AF2090">
        <v>-1.6837046688622001E-2</v>
      </c>
      <c r="AG2090">
        <v>-0.26745079999999999</v>
      </c>
      <c r="AH2090">
        <v>0.41136433804136602</v>
      </c>
      <c r="AI2090">
        <v>123.008221923796</v>
      </c>
      <c r="AJ2090">
        <v>92.343794704073304</v>
      </c>
      <c r="AK2090">
        <v>0.49095217198220698</v>
      </c>
      <c r="AL2090">
        <v>69.283716163135196</v>
      </c>
      <c r="AM2090">
        <v>95.231778453704493</v>
      </c>
      <c r="AN2090">
        <v>1.0000000315550399</v>
      </c>
    </row>
    <row r="2091" spans="1:40" x14ac:dyDescent="0.25">
      <c r="A2091" t="str">
        <f>"20190304164411051"</f>
        <v>20190304164411051</v>
      </c>
      <c r="B2091" t="str">
        <f>"1551689051041633"</f>
        <v>1551689051041633</v>
      </c>
      <c r="C2091" t="s">
        <v>40</v>
      </c>
      <c r="D2091">
        <v>4.4442469999999998</v>
      </c>
      <c r="E2091">
        <v>0.54385039999999996</v>
      </c>
      <c r="F2091" t="s">
        <v>41</v>
      </c>
      <c r="G2091">
        <v>-321.29050000000001</v>
      </c>
      <c r="H2091">
        <v>0.79519030000000002</v>
      </c>
      <c r="I2091">
        <v>284.54289999999997</v>
      </c>
      <c r="J2091">
        <v>-320.62189999999998</v>
      </c>
      <c r="K2091">
        <v>1.1095269999999999</v>
      </c>
      <c r="L2091">
        <v>284.56169999999997</v>
      </c>
      <c r="M2091">
        <v>-0.99990990000000002</v>
      </c>
      <c r="N2091">
        <v>-8.1867250000000006E-3</v>
      </c>
      <c r="O2091">
        <v>1.064997E-2</v>
      </c>
      <c r="P2091">
        <v>-0.93518129999999999</v>
      </c>
      <c r="Q2091">
        <v>0.34616659999999999</v>
      </c>
      <c r="R2091">
        <v>-7.4867009999999998E-2</v>
      </c>
      <c r="S2091">
        <v>-3.6389469999999999</v>
      </c>
      <c r="T2091">
        <v>-1.177098</v>
      </c>
      <c r="U2091">
        <v>-5.8715820000000002E-2</v>
      </c>
      <c r="V2091">
        <v>-8.4983240000000002E-2</v>
      </c>
      <c r="W2091">
        <v>0.35376570000000002</v>
      </c>
      <c r="X2091">
        <v>0.93146530000000005</v>
      </c>
      <c r="Y2091">
        <v>-2.4958399999999999E-2</v>
      </c>
      <c r="Z2091">
        <v>-7.3148379999999997E-3</v>
      </c>
      <c r="AA2091">
        <v>0.99966169999999999</v>
      </c>
      <c r="AB2091">
        <v>53</v>
      </c>
      <c r="AC2091">
        <v>-0.66860000000002595</v>
      </c>
      <c r="AD2091">
        <v>-0.31433670000000002</v>
      </c>
      <c r="AE2091">
        <v>-1.87999999999988E-2</v>
      </c>
      <c r="AF2091">
        <v>-2.1230749153033201E-2</v>
      </c>
      <c r="AG2091">
        <v>-0.31433670000000002</v>
      </c>
      <c r="AH2091">
        <v>0.54745233097948798</v>
      </c>
      <c r="AI2091">
        <v>119.8450341172</v>
      </c>
      <c r="AJ2091">
        <v>92.220874730061894</v>
      </c>
      <c r="AK2091">
        <v>0.63163467318645805</v>
      </c>
      <c r="AL2091">
        <v>69.282183267145001</v>
      </c>
      <c r="AM2091">
        <v>95.213009727452899</v>
      </c>
      <c r="AN2091">
        <v>0.99999996334073804</v>
      </c>
    </row>
    <row r="2092" spans="1:40" x14ac:dyDescent="0.25">
      <c r="A2092" t="str">
        <f>"20190304164411067"</f>
        <v>20190304164411067</v>
      </c>
      <c r="B2092" t="str">
        <f>"1551689051062129"</f>
        <v>1551689051062129</v>
      </c>
      <c r="C2092" t="s">
        <v>40</v>
      </c>
      <c r="D2092">
        <v>4.4433089999999904</v>
      </c>
      <c r="E2092">
        <v>0.54379180000000005</v>
      </c>
      <c r="F2092" t="s">
        <v>41</v>
      </c>
      <c r="G2092">
        <v>-321.32650000000001</v>
      </c>
      <c r="H2092">
        <v>0.88147330000000002</v>
      </c>
      <c r="I2092">
        <v>284.55040000000002</v>
      </c>
      <c r="J2092">
        <v>-321.00490000000002</v>
      </c>
      <c r="K2092">
        <v>1.1095269999999999</v>
      </c>
      <c r="L2092">
        <v>284.56569999999999</v>
      </c>
      <c r="M2092">
        <v>-0.99991099999999999</v>
      </c>
      <c r="N2092">
        <v>-8.1967600000000009E-3</v>
      </c>
      <c r="O2092">
        <v>1.054275E-2</v>
      </c>
      <c r="P2092">
        <v>-0.93528560000000005</v>
      </c>
      <c r="Q2092">
        <v>0.34599730000000001</v>
      </c>
      <c r="R2092">
        <v>-7.4345499999999995E-2</v>
      </c>
      <c r="S2092">
        <v>-3.639221</v>
      </c>
      <c r="T2092">
        <v>-1.1779710000000001</v>
      </c>
      <c r="U2092">
        <v>-5.8990479999999998E-2</v>
      </c>
      <c r="V2092">
        <v>-8.4363270000000004E-2</v>
      </c>
      <c r="W2092">
        <v>0.35360639999999999</v>
      </c>
      <c r="X2092">
        <v>0.93158220000000003</v>
      </c>
      <c r="Y2092">
        <v>-2.4929739999999999E-2</v>
      </c>
      <c r="Z2092">
        <v>-7.2818650000000002E-3</v>
      </c>
      <c r="AA2092">
        <v>0.99966270000000002</v>
      </c>
      <c r="AB2092">
        <v>53</v>
      </c>
      <c r="AC2092">
        <v>-0.32159999999998901</v>
      </c>
      <c r="AD2092">
        <v>-0.2280537</v>
      </c>
      <c r="AE2092">
        <v>-1.5299999999967799E-2</v>
      </c>
      <c r="AF2092">
        <v>-1.2445613765159199E-2</v>
      </c>
      <c r="AG2092">
        <v>-0.2280537</v>
      </c>
      <c r="AH2092">
        <v>0.21403529749800901</v>
      </c>
      <c r="AI2092">
        <v>136.767954701739</v>
      </c>
      <c r="AJ2092">
        <v>93.327858085555206</v>
      </c>
      <c r="AK2092">
        <v>0.31300877297728102</v>
      </c>
      <c r="AL2092">
        <v>69.291942454422596</v>
      </c>
      <c r="AM2092">
        <v>95.174541135801505</v>
      </c>
      <c r="AN2092">
        <v>1.00000002140144</v>
      </c>
    </row>
    <row r="2093" spans="1:40" x14ac:dyDescent="0.25">
      <c r="A2093" t="str">
        <f>"20190304164411090"</f>
        <v>20190304164411090</v>
      </c>
      <c r="B2093" t="str">
        <f>"1551689051081650"</f>
        <v>1551689051081650</v>
      </c>
      <c r="C2093" t="s">
        <v>40</v>
      </c>
      <c r="D2093">
        <v>4.4347159999999999</v>
      </c>
      <c r="E2093">
        <v>0.54369919999999905</v>
      </c>
      <c r="F2093" t="s">
        <v>41</v>
      </c>
      <c r="G2093">
        <v>-321.78710000000001</v>
      </c>
      <c r="H2093">
        <v>0.85609290000000005</v>
      </c>
      <c r="I2093">
        <v>284.55399999999997</v>
      </c>
      <c r="J2093">
        <v>-321.52409999999998</v>
      </c>
      <c r="K2093">
        <v>1.1095280000000001</v>
      </c>
      <c r="L2093">
        <v>284.57119999999998</v>
      </c>
      <c r="M2093">
        <v>-0.99991229999999998</v>
      </c>
      <c r="N2093">
        <v>-8.2099210000000002E-3</v>
      </c>
      <c r="O2093">
        <v>1.039761E-2</v>
      </c>
      <c r="P2093">
        <v>-0.93527850000000001</v>
      </c>
      <c r="Q2093">
        <v>0.34599099999999999</v>
      </c>
      <c r="R2093">
        <v>-7.4460730000000003E-2</v>
      </c>
      <c r="S2093">
        <v>-3.6393430000000002</v>
      </c>
      <c r="T2093">
        <v>-1.1791320000000001</v>
      </c>
      <c r="U2093">
        <v>-5.6152340000000002E-2</v>
      </c>
      <c r="V2093">
        <v>-8.4343520000000005E-2</v>
      </c>
      <c r="W2093">
        <v>0.3536127</v>
      </c>
      <c r="X2093">
        <v>0.93158160000000001</v>
      </c>
      <c r="Y2093">
        <v>-2.4054329999999999E-2</v>
      </c>
      <c r="Z2093">
        <v>-7.1018770000000004E-3</v>
      </c>
      <c r="AA2093">
        <v>0.99968539999999995</v>
      </c>
      <c r="AB2093">
        <v>53</v>
      </c>
      <c r="AC2093">
        <v>-0.26300000000003299</v>
      </c>
      <c r="AD2093">
        <v>-0.25343510000000002</v>
      </c>
      <c r="AE2093">
        <v>-1.71999999999457E-2</v>
      </c>
      <c r="AF2093">
        <v>-1.03571712090842E-2</v>
      </c>
      <c r="AG2093">
        <v>-0.25343510000000002</v>
      </c>
      <c r="AH2093">
        <v>0.13654925362697301</v>
      </c>
      <c r="AI2093">
        <v>151.61581022979701</v>
      </c>
      <c r="AJ2093">
        <v>94.337541833195502</v>
      </c>
      <c r="AK2093">
        <v>0.28806651935542199</v>
      </c>
      <c r="AL2093">
        <v>69.291556620452994</v>
      </c>
      <c r="AM2093">
        <v>95.173339629400701</v>
      </c>
      <c r="AN2093">
        <v>1.0000000242129199</v>
      </c>
    </row>
    <row r="2094" spans="1:40" x14ac:dyDescent="0.25">
      <c r="A2094" t="str">
        <f>"20190304164411105"</f>
        <v>20190304164411105</v>
      </c>
      <c r="B2094" t="str">
        <f>"1551689051102145"</f>
        <v>1551689051102145</v>
      </c>
      <c r="C2094" t="s">
        <v>40</v>
      </c>
      <c r="D2094">
        <v>4.3412269999999999</v>
      </c>
      <c r="E2094">
        <v>0.54394600000000004</v>
      </c>
      <c r="F2094" t="s">
        <v>41</v>
      </c>
      <c r="G2094">
        <v>-322.26479999999998</v>
      </c>
      <c r="H2094">
        <v>0.86930640000000003</v>
      </c>
      <c r="I2094">
        <v>284.56009999999998</v>
      </c>
      <c r="J2094">
        <v>-321.8657</v>
      </c>
      <c r="K2094">
        <v>1.1095269999999999</v>
      </c>
      <c r="L2094">
        <v>284.57470000000001</v>
      </c>
      <c r="M2094">
        <v>-0.99991319999999995</v>
      </c>
      <c r="N2094">
        <v>-8.2184019999999997E-3</v>
      </c>
      <c r="O2094">
        <v>1.0301960000000001E-2</v>
      </c>
      <c r="P2094">
        <v>-0.93521520000000002</v>
      </c>
      <c r="Q2094">
        <v>0.34620570000000001</v>
      </c>
      <c r="R2094">
        <v>-7.4258989999999997E-2</v>
      </c>
      <c r="S2094">
        <v>-3.6398929999999998</v>
      </c>
      <c r="T2094">
        <v>-1.180461</v>
      </c>
      <c r="U2094">
        <v>-5.5755619999999999E-2</v>
      </c>
      <c r="V2094">
        <v>-8.4052559999999998E-2</v>
      </c>
      <c r="W2094">
        <v>0.3538348</v>
      </c>
      <c r="X2094">
        <v>0.93152360000000001</v>
      </c>
      <c r="Y2094">
        <v>-2.3859000000000002E-2</v>
      </c>
      <c r="Z2094">
        <v>-7.0473069999999896E-3</v>
      </c>
      <c r="AA2094">
        <v>0.99969050000000004</v>
      </c>
      <c r="AB2094">
        <v>53</v>
      </c>
      <c r="AC2094">
        <v>-0.39909999999997497</v>
      </c>
      <c r="AD2094">
        <v>-0.24022060000000001</v>
      </c>
      <c r="AE2094">
        <v>-1.46000000000299E-2</v>
      </c>
      <c r="AF2094">
        <v>-1.37397476722815E-2</v>
      </c>
      <c r="AG2094">
        <v>-0.24022060000000001</v>
      </c>
      <c r="AH2094">
        <v>0.29294061952509098</v>
      </c>
      <c r="AI2094">
        <v>129.321975906624</v>
      </c>
      <c r="AJ2094">
        <v>92.685366904510602</v>
      </c>
      <c r="AK2094">
        <v>0.37908959877343301</v>
      </c>
      <c r="AL2094">
        <v>69.277952398233197</v>
      </c>
      <c r="AM2094">
        <v>95.155908766942105</v>
      </c>
      <c r="AN2094">
        <v>1.0000000579452699</v>
      </c>
    </row>
    <row r="2095" spans="1:40" x14ac:dyDescent="0.25">
      <c r="A2095" t="str">
        <f>"20190304164411117"</f>
        <v>20190304164411117</v>
      </c>
      <c r="B2095" t="str">
        <f>"1551689051111905"</f>
        <v>1551689051111905</v>
      </c>
      <c r="C2095" t="s">
        <v>40</v>
      </c>
      <c r="D2095">
        <v>4.4200200000000001</v>
      </c>
      <c r="E2095">
        <v>0.54386809999999997</v>
      </c>
      <c r="F2095" t="s">
        <v>41</v>
      </c>
      <c r="G2095">
        <v>-322.72230000000002</v>
      </c>
      <c r="H2095">
        <v>0.83304789999999995</v>
      </c>
      <c r="I2095">
        <v>284.5625</v>
      </c>
      <c r="J2095">
        <v>-322.17759999999998</v>
      </c>
      <c r="K2095">
        <v>1.1095299999999999</v>
      </c>
      <c r="L2095">
        <v>284.5779</v>
      </c>
      <c r="M2095">
        <v>-0.99991399999999997</v>
      </c>
      <c r="N2095">
        <v>-8.2261119999999903E-3</v>
      </c>
      <c r="O2095">
        <v>1.021472E-2</v>
      </c>
      <c r="P2095">
        <v>-0.93527289999999996</v>
      </c>
      <c r="Q2095">
        <v>0.34601659999999901</v>
      </c>
      <c r="R2095">
        <v>-7.4413370000000006E-2</v>
      </c>
      <c r="S2095">
        <v>-3.6384280000000002</v>
      </c>
      <c r="T2095">
        <v>-1.174436</v>
      </c>
      <c r="U2095">
        <v>-5.2734379999999997E-2</v>
      </c>
      <c r="V2095">
        <v>-8.4126259999999994E-2</v>
      </c>
      <c r="W2095">
        <v>0.35365279999999999</v>
      </c>
      <c r="X2095">
        <v>0.93158600000000003</v>
      </c>
      <c r="Y2095">
        <v>-2.3012419999999999E-2</v>
      </c>
      <c r="Z2095">
        <v>-6.8522890000000001E-3</v>
      </c>
      <c r="AA2095">
        <v>0.99971169999999998</v>
      </c>
      <c r="AB2095">
        <v>53</v>
      </c>
      <c r="AC2095">
        <v>-0.54470000000003405</v>
      </c>
      <c r="AD2095">
        <v>-0.27648209999999901</v>
      </c>
      <c r="AE2095">
        <v>-1.53999999999996E-2</v>
      </c>
      <c r="AF2095">
        <v>-1.6671475148363899E-2</v>
      </c>
      <c r="AG2095">
        <v>-0.27648209999999901</v>
      </c>
      <c r="AH2095">
        <v>0.43303476066037599</v>
      </c>
      <c r="AI2095">
        <v>122.537993236633</v>
      </c>
      <c r="AJ2095">
        <v>92.204750610919703</v>
      </c>
      <c r="AK2095">
        <v>0.51404220998301497</v>
      </c>
      <c r="AL2095">
        <v>69.289099886076698</v>
      </c>
      <c r="AM2095">
        <v>95.160061445016396</v>
      </c>
      <c r="AN2095">
        <v>1.0000000029827101</v>
      </c>
    </row>
    <row r="2096" spans="1:40" x14ac:dyDescent="0.25">
      <c r="A2096" t="str">
        <f>"20190304164411130"</f>
        <v>20190304164411130</v>
      </c>
      <c r="B2096" t="str">
        <f>"1551689051121665"</f>
        <v>1551689051121665</v>
      </c>
      <c r="C2096" t="s">
        <v>40</v>
      </c>
      <c r="D2096">
        <v>4.3228049999999998</v>
      </c>
      <c r="E2096">
        <v>0.54407879999999997</v>
      </c>
      <c r="F2096" t="s">
        <v>41</v>
      </c>
      <c r="G2096">
        <v>-323.17680000000001</v>
      </c>
      <c r="H2096">
        <v>0.78642119999999904</v>
      </c>
      <c r="I2096">
        <v>284.56319999999999</v>
      </c>
      <c r="J2096">
        <v>-322.49009999999998</v>
      </c>
      <c r="K2096">
        <v>1.1095269999999999</v>
      </c>
      <c r="L2096">
        <v>284.58109999999999</v>
      </c>
      <c r="M2096">
        <v>-0.99991479999999999</v>
      </c>
      <c r="N2096">
        <v>-8.2338359999999996E-3</v>
      </c>
      <c r="O2096">
        <v>1.0127840000000001E-2</v>
      </c>
      <c r="P2096">
        <v>-0.93517070000000002</v>
      </c>
      <c r="Q2096">
        <v>0.3462519</v>
      </c>
      <c r="R2096">
        <v>-7.4600769999999997E-2</v>
      </c>
      <c r="S2096">
        <v>-3.6386409999999998</v>
      </c>
      <c r="T2096">
        <v>-1.1766299999999901</v>
      </c>
      <c r="U2096">
        <v>-5.3771970000000002E-2</v>
      </c>
      <c r="V2096">
        <v>-8.4232619999999994E-2</v>
      </c>
      <c r="W2096">
        <v>0.3538946</v>
      </c>
      <c r="X2096">
        <v>0.9314846</v>
      </c>
      <c r="Y2096">
        <v>-2.319823E-2</v>
      </c>
      <c r="Z2096">
        <v>-6.8674570000000004E-3</v>
      </c>
      <c r="AA2096">
        <v>0.99970729999999997</v>
      </c>
      <c r="AB2096">
        <v>53</v>
      </c>
      <c r="AC2096">
        <v>-0.68670000000002995</v>
      </c>
      <c r="AD2096">
        <v>-0.3231058</v>
      </c>
      <c r="AE2096">
        <v>-1.78999999999973E-2</v>
      </c>
      <c r="AF2096">
        <v>-2.0351559826031599E-2</v>
      </c>
      <c r="AG2096">
        <v>-0.3231058</v>
      </c>
      <c r="AH2096">
        <v>0.562120801785021</v>
      </c>
      <c r="AI2096">
        <v>119.8739835418</v>
      </c>
      <c r="AJ2096">
        <v>92.073485613324905</v>
      </c>
      <c r="AK2096">
        <v>0.648684314424534</v>
      </c>
      <c r="AL2096">
        <v>69.274288716908899</v>
      </c>
      <c r="AM2096">
        <v>95.167109353378294</v>
      </c>
      <c r="AN2096">
        <v>1.0000000411091901</v>
      </c>
    </row>
    <row r="2097" spans="1:40" x14ac:dyDescent="0.25">
      <c r="A2097" t="str">
        <f>"20190304164411147"</f>
        <v>20190304164411147</v>
      </c>
      <c r="B2097" t="str">
        <f>"1551689051142161"</f>
        <v>1551689051142161</v>
      </c>
      <c r="C2097" t="s">
        <v>40</v>
      </c>
      <c r="D2097">
        <v>4.4188700000000001</v>
      </c>
      <c r="E2097">
        <v>0.54381139999999994</v>
      </c>
      <c r="F2097" t="s">
        <v>41</v>
      </c>
      <c r="G2097">
        <v>-323.21409999999997</v>
      </c>
      <c r="H2097">
        <v>0.87638819999999995</v>
      </c>
      <c r="I2097">
        <v>284.57049999999998</v>
      </c>
      <c r="J2097">
        <v>-322.86070000000001</v>
      </c>
      <c r="K2097">
        <v>1.1095219999999999</v>
      </c>
      <c r="L2097">
        <v>284.58479999999997</v>
      </c>
      <c r="M2097">
        <v>-0.99991580000000002</v>
      </c>
      <c r="N2097">
        <v>-8.2429870000000002E-3</v>
      </c>
      <c r="O2097">
        <v>1.002426E-2</v>
      </c>
      <c r="P2097">
        <v>-0.93510700000000002</v>
      </c>
      <c r="Q2097">
        <v>0.34631269999999997</v>
      </c>
      <c r="R2097">
        <v>-7.5116950000000002E-2</v>
      </c>
      <c r="S2097">
        <v>-3.6374819999999999</v>
      </c>
      <c r="T2097">
        <v>-1.1714389999999999</v>
      </c>
      <c r="U2097">
        <v>-5.3283690000000002E-2</v>
      </c>
      <c r="V2097">
        <v>-8.4652229999999995E-2</v>
      </c>
      <c r="W2097">
        <v>0.35396319999999998</v>
      </c>
      <c r="X2097">
        <v>0.93142040000000004</v>
      </c>
      <c r="Y2097">
        <v>-2.299435E-2</v>
      </c>
      <c r="Z2097">
        <v>-6.7761679999999999E-3</v>
      </c>
      <c r="AA2097">
        <v>0.99971259999999995</v>
      </c>
      <c r="AB2097">
        <v>53</v>
      </c>
      <c r="AC2097">
        <v>-0.35339999999996502</v>
      </c>
      <c r="AD2097">
        <v>-0.233133799999999</v>
      </c>
      <c r="AE2097">
        <v>-1.42999999999915E-2</v>
      </c>
      <c r="AF2097">
        <v>-1.24379645133298E-2</v>
      </c>
      <c r="AG2097">
        <v>-0.233133799999999</v>
      </c>
      <c r="AH2097">
        <v>0.24624923699346901</v>
      </c>
      <c r="AI2097">
        <v>133.39639492433599</v>
      </c>
      <c r="AJ2097">
        <v>92.891532861140007</v>
      </c>
      <c r="AK2097">
        <v>0.33932986662470599</v>
      </c>
      <c r="AL2097">
        <v>69.270084324892096</v>
      </c>
      <c r="AM2097">
        <v>95.193065215956594</v>
      </c>
      <c r="AN2097">
        <v>0.99999995426718502</v>
      </c>
    </row>
    <row r="2098" spans="1:40" x14ac:dyDescent="0.25">
      <c r="A2098" t="str">
        <f>"20190304164411169"</f>
        <v>20190304164411169</v>
      </c>
      <c r="B2098" t="str">
        <f>"1551689051161681"</f>
        <v>1551689051161681</v>
      </c>
      <c r="C2098" t="s">
        <v>40</v>
      </c>
      <c r="D2098">
        <v>4.3833359999999999</v>
      </c>
      <c r="E2098">
        <v>0.54334869999999902</v>
      </c>
      <c r="F2098" t="s">
        <v>41</v>
      </c>
      <c r="G2098">
        <v>-323.67540000000002</v>
      </c>
      <c r="H2098">
        <v>0.84605560000000002</v>
      </c>
      <c r="I2098">
        <v>284.57190000000003</v>
      </c>
      <c r="J2098">
        <v>-323.40679999999998</v>
      </c>
      <c r="K2098">
        <v>1.1095189999999999</v>
      </c>
      <c r="L2098">
        <v>284.59019999999998</v>
      </c>
      <c r="M2098">
        <v>-0.99991730000000001</v>
      </c>
      <c r="N2098">
        <v>-8.2564159999999904E-3</v>
      </c>
      <c r="O2098">
        <v>9.8717219999999994E-3</v>
      </c>
      <c r="P2098">
        <v>-0.93503910000000001</v>
      </c>
      <c r="Q2098">
        <v>0.34626489999999999</v>
      </c>
      <c r="R2098">
        <v>-7.6174969999999995E-2</v>
      </c>
      <c r="S2098">
        <v>-3.6394039999999999</v>
      </c>
      <c r="T2098">
        <v>-1.1768719999999999</v>
      </c>
      <c r="U2098">
        <v>-5.8166500000000003E-2</v>
      </c>
      <c r="V2098">
        <v>-8.5567030000000002E-2</v>
      </c>
      <c r="W2098">
        <v>0.35392709999999999</v>
      </c>
      <c r="X2098">
        <v>0.93135060000000003</v>
      </c>
      <c r="Y2098">
        <v>-2.4110590000000001E-2</v>
      </c>
      <c r="Z2098">
        <v>-6.9364309999999998E-3</v>
      </c>
      <c r="AA2098">
        <v>0.99968520000000005</v>
      </c>
      <c r="AB2098">
        <v>53</v>
      </c>
      <c r="AC2098">
        <v>-0.26860000000004802</v>
      </c>
      <c r="AD2098">
        <v>-0.26346340000000001</v>
      </c>
      <c r="AE2098">
        <v>-1.8299999999953801E-2</v>
      </c>
      <c r="AF2098">
        <v>-1.0701859485092899E-2</v>
      </c>
      <c r="AG2098">
        <v>-0.26346340000000001</v>
      </c>
      <c r="AH2098">
        <v>0.13710473272308099</v>
      </c>
      <c r="AI2098">
        <v>152.43648763203799</v>
      </c>
      <c r="AJ2098">
        <v>94.463234793521806</v>
      </c>
      <c r="AK2098">
        <v>0.29719555964224298</v>
      </c>
      <c r="AL2098">
        <v>69.272297385253907</v>
      </c>
      <c r="AM2098">
        <v>95.249263806043203</v>
      </c>
      <c r="AN2098">
        <v>1.00000002442889</v>
      </c>
    </row>
    <row r="2099" spans="1:40" x14ac:dyDescent="0.25">
      <c r="A2099" t="str">
        <f>"20190304164411190"</f>
        <v>20190304164411190</v>
      </c>
      <c r="B2099" t="str">
        <f>"1551689051182177"</f>
        <v>1551689051182177</v>
      </c>
      <c r="C2099" t="s">
        <v>40</v>
      </c>
      <c r="D2099">
        <v>4.5328819999999999</v>
      </c>
      <c r="E2099">
        <v>0.54294889999999996</v>
      </c>
      <c r="F2099" t="s">
        <v>41</v>
      </c>
      <c r="G2099">
        <v>-324.1583</v>
      </c>
      <c r="H2099">
        <v>0.86488399999999999</v>
      </c>
      <c r="I2099">
        <v>284.57670000000002</v>
      </c>
      <c r="J2099">
        <v>-323.89940000000001</v>
      </c>
      <c r="K2099">
        <v>1.109515</v>
      </c>
      <c r="L2099">
        <v>284.59500000000003</v>
      </c>
      <c r="M2099">
        <v>-0.99991859999999999</v>
      </c>
      <c r="N2099">
        <v>-8.2684109999999998E-3</v>
      </c>
      <c r="O2099">
        <v>9.7338019999999997E-3</v>
      </c>
      <c r="P2099">
        <v>-0.93509949999999997</v>
      </c>
      <c r="Q2099">
        <v>0.34592800000000001</v>
      </c>
      <c r="R2099">
        <v>-7.6961070000000006E-2</v>
      </c>
      <c r="S2099">
        <v>-3.642029</v>
      </c>
      <c r="T2099">
        <v>-1.185565</v>
      </c>
      <c r="U2099">
        <v>-6.6650390000000004E-2</v>
      </c>
      <c r="V2099">
        <v>-8.6225430000000006E-2</v>
      </c>
      <c r="W2099">
        <v>0.3536011</v>
      </c>
      <c r="X2099">
        <v>0.93141370000000001</v>
      </c>
      <c r="Y2099">
        <v>-2.6164449999999999E-2</v>
      </c>
      <c r="Z2099">
        <v>-7.2721130000000002E-3</v>
      </c>
      <c r="AA2099">
        <v>0.99963120000000005</v>
      </c>
      <c r="AB2099">
        <v>53</v>
      </c>
      <c r="AC2099">
        <v>-0.25889999999998198</v>
      </c>
      <c r="AD2099">
        <v>-0.24463099999999999</v>
      </c>
      <c r="AE2099">
        <v>-1.8300000000010599E-2</v>
      </c>
      <c r="AF2099">
        <v>-1.1025004035964899E-2</v>
      </c>
      <c r="AG2099">
        <v>-0.24463099999999999</v>
      </c>
      <c r="AH2099">
        <v>0.13700145376253201</v>
      </c>
      <c r="AI2099">
        <v>150.67082615914501</v>
      </c>
      <c r="AJ2099">
        <v>94.600884560941694</v>
      </c>
      <c r="AK2099">
        <v>0.280598067006956</v>
      </c>
      <c r="AL2099">
        <v>69.292267100190102</v>
      </c>
      <c r="AM2099">
        <v>95.289070002396599</v>
      </c>
      <c r="AN2099">
        <v>1.0000000216237901</v>
      </c>
    </row>
    <row r="2100" spans="1:40" x14ac:dyDescent="0.25">
      <c r="A2100" t="str">
        <f>"20190304164411204"</f>
        <v>20190304164411204</v>
      </c>
      <c r="B2100" t="str">
        <f>"1551689051191938"</f>
        <v>1551689051191938</v>
      </c>
      <c r="C2100" t="s">
        <v>40</v>
      </c>
      <c r="D2100">
        <v>4.4248050000000001</v>
      </c>
      <c r="E2100">
        <v>0.54281269999999904</v>
      </c>
      <c r="F2100" t="s">
        <v>41</v>
      </c>
      <c r="G2100">
        <v>-324.63529999999997</v>
      </c>
      <c r="H2100">
        <v>0.86836159999999996</v>
      </c>
      <c r="I2100">
        <v>284.58049999999997</v>
      </c>
      <c r="J2100">
        <v>-324.23849999999999</v>
      </c>
      <c r="K2100">
        <v>1.1095159999999999</v>
      </c>
      <c r="L2100">
        <v>284.59829999999999</v>
      </c>
      <c r="M2100">
        <v>-0.99991940000000001</v>
      </c>
      <c r="N2100">
        <v>-8.2766100000000002E-3</v>
      </c>
      <c r="O2100">
        <v>9.6391110000000006E-3</v>
      </c>
      <c r="P2100">
        <v>-0.9351431</v>
      </c>
      <c r="Q2100">
        <v>0.34572540000000002</v>
      </c>
      <c r="R2100">
        <v>-7.7339560000000002E-2</v>
      </c>
      <c r="S2100">
        <v>-3.6439509999999999</v>
      </c>
      <c r="T2100">
        <v>-1.194191</v>
      </c>
      <c r="U2100">
        <v>-7.3486330000000002E-2</v>
      </c>
      <c r="V2100">
        <v>-8.6516029999999994E-2</v>
      </c>
      <c r="W2100">
        <v>0.353406099999999</v>
      </c>
      <c r="X2100">
        <v>0.93146070000000003</v>
      </c>
      <c r="Y2100">
        <v>-2.7825679999999998E-2</v>
      </c>
      <c r="Z2100">
        <v>-7.5613269999999996E-3</v>
      </c>
      <c r="AA2100">
        <v>0.99958420000000003</v>
      </c>
      <c r="AB2100">
        <v>53</v>
      </c>
      <c r="AC2100">
        <v>-0.396799999999984</v>
      </c>
      <c r="AD2100">
        <v>-0.24115439999999999</v>
      </c>
      <c r="AE2100">
        <v>-1.7800000000022399E-2</v>
      </c>
      <c r="AF2100">
        <v>-1.5799979958948999E-2</v>
      </c>
      <c r="AG2100">
        <v>-0.24115439999999999</v>
      </c>
      <c r="AH2100">
        <v>0.28978912197330903</v>
      </c>
      <c r="AI2100">
        <v>129.72447603638</v>
      </c>
      <c r="AJ2100">
        <v>93.120809810707001</v>
      </c>
      <c r="AK2100">
        <v>0.37733648010777399</v>
      </c>
      <c r="AL2100">
        <v>69.304209734720303</v>
      </c>
      <c r="AM2100">
        <v>95.306527568782897</v>
      </c>
      <c r="AN2100">
        <v>0.999999965304329</v>
      </c>
    </row>
    <row r="2101" spans="1:40" x14ac:dyDescent="0.25">
      <c r="A2101" t="str">
        <f>"20190304164411218"</f>
        <v>20190304164411218</v>
      </c>
      <c r="B2101" t="str">
        <f>"1551689051212433"</f>
        <v>1551689051212433</v>
      </c>
      <c r="C2101" t="s">
        <v>40</v>
      </c>
      <c r="D2101">
        <v>4.439019</v>
      </c>
      <c r="E2101">
        <v>0.54256490000000002</v>
      </c>
      <c r="F2101" t="s">
        <v>41</v>
      </c>
      <c r="G2101">
        <v>-325.09449999999998</v>
      </c>
      <c r="H2101">
        <v>0.82833179999999995</v>
      </c>
      <c r="I2101">
        <v>284.58080000000001</v>
      </c>
      <c r="J2101">
        <v>-324.56569999999999</v>
      </c>
      <c r="K2101">
        <v>1.1095170000000001</v>
      </c>
      <c r="L2101">
        <v>284.60140000000001</v>
      </c>
      <c r="M2101">
        <v>-0.99992020000000004</v>
      </c>
      <c r="N2101">
        <v>-8.2844909999999997E-3</v>
      </c>
      <c r="O2101">
        <v>9.5478179999999996E-3</v>
      </c>
      <c r="P2101">
        <v>-0.93497779999999997</v>
      </c>
      <c r="Q2101">
        <v>0.34613249999999901</v>
      </c>
      <c r="R2101">
        <v>-7.7517929999999999E-2</v>
      </c>
      <c r="S2101">
        <v>-3.6443789999999998</v>
      </c>
      <c r="T2101">
        <v>-1.1970989999999999</v>
      </c>
      <c r="U2101">
        <v>-7.5469969999999997E-2</v>
      </c>
      <c r="V2101">
        <v>-8.6607740000000003E-2</v>
      </c>
      <c r="W2101">
        <v>0.3538192</v>
      </c>
      <c r="X2101">
        <v>0.9312954</v>
      </c>
      <c r="Y2101">
        <v>-2.824875E-2</v>
      </c>
      <c r="Z2101">
        <v>-7.618929E-3</v>
      </c>
      <c r="AA2101">
        <v>0.99957189999999996</v>
      </c>
      <c r="AB2101">
        <v>53</v>
      </c>
      <c r="AC2101">
        <v>-0.52879999999998895</v>
      </c>
      <c r="AD2101">
        <v>-0.28118520000000002</v>
      </c>
      <c r="AE2101">
        <v>-2.06000000000017E-2</v>
      </c>
      <c r="AF2101">
        <v>-2.0001322963473699E-2</v>
      </c>
      <c r="AG2101">
        <v>-0.28118520000000002</v>
      </c>
      <c r="AH2101">
        <v>0.41220500381585901</v>
      </c>
      <c r="AI2101">
        <v>124.268455088282</v>
      </c>
      <c r="AJ2101">
        <v>92.777970311256993</v>
      </c>
      <c r="AK2101">
        <v>0.49937774759210202</v>
      </c>
      <c r="AL2101">
        <v>69.278907306249593</v>
      </c>
      <c r="AM2101">
        <v>95.313057987494602</v>
      </c>
      <c r="AN2101">
        <v>1.0000000244888501</v>
      </c>
    </row>
    <row r="2102" spans="1:40" x14ac:dyDescent="0.25">
      <c r="A2102" t="str">
        <f>"20190304164411230"</f>
        <v>20190304164411230</v>
      </c>
      <c r="B2102" t="str">
        <f>"1551689051222193"</f>
        <v>1551689051222193</v>
      </c>
      <c r="C2102" t="s">
        <v>40</v>
      </c>
      <c r="D2102">
        <v>4.4256739999999999</v>
      </c>
      <c r="E2102">
        <v>0.54247339999999999</v>
      </c>
      <c r="F2102" t="s">
        <v>41</v>
      </c>
      <c r="G2102">
        <v>-325.55349999999999</v>
      </c>
      <c r="H2102">
        <v>0.78448609999999996</v>
      </c>
      <c r="I2102">
        <v>284.58069999999998</v>
      </c>
      <c r="J2102">
        <v>-324.87400000000002</v>
      </c>
      <c r="K2102">
        <v>1.109515</v>
      </c>
      <c r="L2102">
        <v>284.60430000000002</v>
      </c>
      <c r="M2102">
        <v>-0.9999209</v>
      </c>
      <c r="N2102">
        <v>-8.2918739999999994E-3</v>
      </c>
      <c r="O2102">
        <v>9.4617150000000007E-3</v>
      </c>
      <c r="P2102">
        <v>-0.93481769999999997</v>
      </c>
      <c r="Q2102">
        <v>0.34645330000000002</v>
      </c>
      <c r="R2102">
        <v>-7.8015100000000004E-2</v>
      </c>
      <c r="S2102">
        <v>-3.6463619999999999</v>
      </c>
      <c r="T2102">
        <v>-1.1997960000000001</v>
      </c>
      <c r="U2102">
        <v>-7.7575679999999994E-2</v>
      </c>
      <c r="V2102">
        <v>-8.7023879999999998E-2</v>
      </c>
      <c r="W2102">
        <v>0.35414559999999901</v>
      </c>
      <c r="X2102">
        <v>0.93113250000000003</v>
      </c>
      <c r="Y2102">
        <v>-2.8701569999999999E-2</v>
      </c>
      <c r="Z2102">
        <v>-7.6788380000000003E-3</v>
      </c>
      <c r="AA2102">
        <v>0.99955850000000002</v>
      </c>
      <c r="AB2102">
        <v>53</v>
      </c>
      <c r="AC2102">
        <v>-0.67949999999996102</v>
      </c>
      <c r="AD2102">
        <v>-0.32502890000000001</v>
      </c>
      <c r="AE2102">
        <v>-2.3600000000044401E-2</v>
      </c>
      <c r="AF2102">
        <v>-2.4442563136832501E-2</v>
      </c>
      <c r="AG2102">
        <v>-0.32502890000000001</v>
      </c>
      <c r="AH2102">
        <v>0.55289393467136505</v>
      </c>
      <c r="AI2102">
        <v>120.425495916747</v>
      </c>
      <c r="AJ2102">
        <v>92.531307265622004</v>
      </c>
      <c r="AK2102">
        <v>0.64182001193815397</v>
      </c>
      <c r="AL2102">
        <v>69.258910668245306</v>
      </c>
      <c r="AM2102">
        <v>95.339368017775101</v>
      </c>
      <c r="AN2102">
        <v>0.99999999712293197</v>
      </c>
    </row>
    <row r="2103" spans="1:40" x14ac:dyDescent="0.25">
      <c r="A2103" t="str">
        <f>"20190304164411247"</f>
        <v>20190304164411247</v>
      </c>
      <c r="B2103" t="str">
        <f>"1551689051241713"</f>
        <v>1551689051241713</v>
      </c>
      <c r="C2103" t="s">
        <v>40</v>
      </c>
      <c r="D2103">
        <v>4.4429489999999996</v>
      </c>
      <c r="E2103">
        <v>0.54231409999999902</v>
      </c>
      <c r="F2103" t="s">
        <v>41</v>
      </c>
      <c r="G2103">
        <v>-325.59050000000002</v>
      </c>
      <c r="H2103">
        <v>0.873733599999999</v>
      </c>
      <c r="I2103">
        <v>284.58879999999999</v>
      </c>
      <c r="J2103">
        <v>-325.23860000000002</v>
      </c>
      <c r="K2103">
        <v>1.1095200000000001</v>
      </c>
      <c r="L2103">
        <v>284.6078</v>
      </c>
      <c r="M2103">
        <v>-0.99992179999999997</v>
      </c>
      <c r="N2103">
        <v>-8.3005219999999994E-3</v>
      </c>
      <c r="O2103">
        <v>9.3601640000000007E-3</v>
      </c>
      <c r="P2103">
        <v>-0.93473450000000002</v>
      </c>
      <c r="Q2103">
        <v>0.346746</v>
      </c>
      <c r="R2103">
        <v>-7.7711479999999999E-2</v>
      </c>
      <c r="S2103">
        <v>-3.6471559999999998</v>
      </c>
      <c r="T2103">
        <v>-1.2000379999999999</v>
      </c>
      <c r="U2103">
        <v>-8.0810549999999995E-2</v>
      </c>
      <c r="V2103">
        <v>-8.6624839999999995E-2</v>
      </c>
      <c r="W2103">
        <v>0.35444569999999997</v>
      </c>
      <c r="X2103">
        <v>0.93105550000000004</v>
      </c>
      <c r="Y2103">
        <v>-2.9446440000000001E-2</v>
      </c>
      <c r="Z2103">
        <v>-7.7695319999999896E-3</v>
      </c>
      <c r="AA2103">
        <v>0.99953619999999999</v>
      </c>
      <c r="AB2103">
        <v>53</v>
      </c>
      <c r="AC2103">
        <v>-0.35189999999999999</v>
      </c>
      <c r="AD2103">
        <v>-0.23578640000000001</v>
      </c>
      <c r="AE2103">
        <v>-1.9000000000005401E-2</v>
      </c>
      <c r="AF2103">
        <v>-1.5399567194097401E-2</v>
      </c>
      <c r="AG2103">
        <v>-0.23578640000000001</v>
      </c>
      <c r="AH2103">
        <v>0.24295077809818499</v>
      </c>
      <c r="AI2103">
        <v>134.08521661610101</v>
      </c>
      <c r="AJ2103">
        <v>93.626872075992694</v>
      </c>
      <c r="AK2103">
        <v>0.33890626089412901</v>
      </c>
      <c r="AL2103">
        <v>69.240523133721396</v>
      </c>
      <c r="AM2103">
        <v>95.315462416358798</v>
      </c>
      <c r="AN2103">
        <v>0.999999980616882</v>
      </c>
    </row>
    <row r="2104" spans="1:40" x14ac:dyDescent="0.25">
      <c r="A2104" t="str">
        <f>"20190304164411260"</f>
        <v>20190304164411260</v>
      </c>
      <c r="B2104" t="str">
        <f>"1551689051252450"</f>
        <v>1551689051252450</v>
      </c>
      <c r="C2104" t="s">
        <v>40</v>
      </c>
      <c r="D2104">
        <v>4.4492529999999997</v>
      </c>
      <c r="E2104">
        <v>0.54223259999999995</v>
      </c>
      <c r="F2104" t="s">
        <v>41</v>
      </c>
      <c r="G2104">
        <v>-326.05419999999998</v>
      </c>
      <c r="H2104">
        <v>0.84089210000000003</v>
      </c>
      <c r="I2104">
        <v>284.58949999999999</v>
      </c>
      <c r="J2104">
        <v>-325.5548</v>
      </c>
      <c r="K2104">
        <v>1.1095200000000001</v>
      </c>
      <c r="L2104">
        <v>284.61070000000001</v>
      </c>
      <c r="M2104">
        <v>-0.99992250000000005</v>
      </c>
      <c r="N2104">
        <v>-8.3079390000000003E-3</v>
      </c>
      <c r="O2104">
        <v>9.2722099999999995E-3</v>
      </c>
      <c r="P2104">
        <v>-0.93468490000000004</v>
      </c>
      <c r="Q2104">
        <v>0.346937099999999</v>
      </c>
      <c r="R2104">
        <v>-7.745262E-2</v>
      </c>
      <c r="S2104">
        <v>-3.6483460000000001</v>
      </c>
      <c r="T2104">
        <v>-1.201667</v>
      </c>
      <c r="U2104">
        <v>-8.2397460000000006E-2</v>
      </c>
      <c r="V2104">
        <v>-8.6284059999999996E-2</v>
      </c>
      <c r="W2104">
        <v>0.35464319999999999</v>
      </c>
      <c r="X2104">
        <v>0.93101199999999995</v>
      </c>
      <c r="Y2104">
        <v>-2.9768659999999999E-2</v>
      </c>
      <c r="Z2104">
        <v>-7.8026689999999999E-3</v>
      </c>
      <c r="AA2104">
        <v>0.99952640000000004</v>
      </c>
      <c r="AB2104">
        <v>53</v>
      </c>
      <c r="AC2104">
        <v>-0.49939999999998003</v>
      </c>
      <c r="AD2104">
        <v>-0.26862789999999998</v>
      </c>
      <c r="AE2104">
        <v>-2.1200000000021601E-2</v>
      </c>
      <c r="AF2104">
        <v>-2.0041467285347399E-2</v>
      </c>
      <c r="AG2104">
        <v>-0.26862789999999998</v>
      </c>
      <c r="AH2104">
        <v>0.38731785064979801</v>
      </c>
      <c r="AI2104">
        <v>124.70773888041499</v>
      </c>
      <c r="AJ2104">
        <v>92.962084744567505</v>
      </c>
      <c r="AK2104">
        <v>0.47178143933535399</v>
      </c>
      <c r="AL2104">
        <v>69.228422373111599</v>
      </c>
      <c r="AM2104">
        <v>95.294916571219204</v>
      </c>
      <c r="AN2104">
        <v>1.00000004123016</v>
      </c>
    </row>
    <row r="2105" spans="1:40" x14ac:dyDescent="0.25">
      <c r="A2105" t="str">
        <f>"20190304164411271"</f>
        <v>20190304164411271</v>
      </c>
      <c r="B2105" t="str">
        <f>"1551689051262209"</f>
        <v>1551689051262209</v>
      </c>
      <c r="C2105" t="s">
        <v>40</v>
      </c>
      <c r="D2105">
        <v>4.4705469999999998</v>
      </c>
      <c r="E2105">
        <v>0.54215480000000005</v>
      </c>
      <c r="F2105" t="s">
        <v>41</v>
      </c>
      <c r="G2105">
        <v>-326.5129</v>
      </c>
      <c r="H2105">
        <v>0.79378649999999995</v>
      </c>
      <c r="I2105">
        <v>284.58929999999998</v>
      </c>
      <c r="J2105">
        <v>-325.84949999999998</v>
      </c>
      <c r="K2105">
        <v>1.1095200000000001</v>
      </c>
      <c r="L2105">
        <v>284.61340000000001</v>
      </c>
      <c r="M2105">
        <v>-0.99992329999999996</v>
      </c>
      <c r="N2105">
        <v>-8.3147719999999998E-3</v>
      </c>
      <c r="O2105">
        <v>9.1901020000000003E-3</v>
      </c>
      <c r="P2105">
        <v>-0.9346061</v>
      </c>
      <c r="Q2105">
        <v>0.34715699999999999</v>
      </c>
      <c r="R2105">
        <v>-7.7418730000000005E-2</v>
      </c>
      <c r="S2105">
        <v>-3.6491389999999999</v>
      </c>
      <c r="T2105">
        <v>-1.2024870000000001</v>
      </c>
      <c r="U2105">
        <v>-8.255005E-2</v>
      </c>
      <c r="V2105">
        <v>-8.6173180000000002E-2</v>
      </c>
      <c r="W2105">
        <v>0.35486889999999999</v>
      </c>
      <c r="X2105">
        <v>0.93093630000000005</v>
      </c>
      <c r="Y2105">
        <v>-2.9727900000000002E-2</v>
      </c>
      <c r="Z2105">
        <v>-7.7737300000000004E-3</v>
      </c>
      <c r="AA2105">
        <v>0.99952779999999997</v>
      </c>
      <c r="AB2105">
        <v>53</v>
      </c>
      <c r="AC2105">
        <v>-0.66340000000002397</v>
      </c>
      <c r="AD2105">
        <v>-0.3157335</v>
      </c>
      <c r="AE2105">
        <v>-2.4100000000032599E-2</v>
      </c>
      <c r="AF2105">
        <v>-2.4625334424011099E-2</v>
      </c>
      <c r="AG2105">
        <v>-0.3157335</v>
      </c>
      <c r="AH2105">
        <v>0.540811813200331</v>
      </c>
      <c r="AI2105">
        <v>120.251151675283</v>
      </c>
      <c r="AJ2105">
        <v>92.607106195361794</v>
      </c>
      <c r="AK2105">
        <v>0.62671482144175705</v>
      </c>
      <c r="AL2105">
        <v>69.214591826530395</v>
      </c>
      <c r="AM2105">
        <v>95.288578470881802</v>
      </c>
      <c r="AN2105">
        <v>1.0000000738981001</v>
      </c>
    </row>
    <row r="2106" spans="1:40" x14ac:dyDescent="0.25">
      <c r="A2106" t="str">
        <f>"20190304164411284"</f>
        <v>20190304164411284</v>
      </c>
      <c r="B2106" t="str">
        <f>"1551689051271969"</f>
        <v>1551689051271969</v>
      </c>
      <c r="C2106" t="s">
        <v>40</v>
      </c>
      <c r="D2106">
        <v>4.4833379999999998</v>
      </c>
      <c r="E2106">
        <v>0.54206200000000004</v>
      </c>
      <c r="F2106" t="s">
        <v>41</v>
      </c>
      <c r="G2106">
        <v>-326.54840000000002</v>
      </c>
      <c r="H2106">
        <v>0.87912809999999897</v>
      </c>
      <c r="I2106">
        <v>284.59780000000001</v>
      </c>
      <c r="J2106">
        <v>-326.13389999999998</v>
      </c>
      <c r="K2106">
        <v>1.109513</v>
      </c>
      <c r="L2106">
        <v>284.61599999999999</v>
      </c>
      <c r="M2106">
        <v>-0.99992389999999998</v>
      </c>
      <c r="N2106">
        <v>-8.3214169999999994E-3</v>
      </c>
      <c r="O2106">
        <v>9.1110340000000005E-3</v>
      </c>
      <c r="P2106">
        <v>-0.93448989999999998</v>
      </c>
      <c r="Q2106">
        <v>0.34749350000000001</v>
      </c>
      <c r="R2106">
        <v>-7.7310809999999994E-2</v>
      </c>
      <c r="S2106">
        <v>-3.6498719999999998</v>
      </c>
      <c r="T2106">
        <v>-1.2029669999999999</v>
      </c>
      <c r="U2106">
        <v>-8.3190920000000002E-2</v>
      </c>
      <c r="V2106">
        <v>-8.5991219999999993E-2</v>
      </c>
      <c r="W2106">
        <v>0.35521069999999999</v>
      </c>
      <c r="X2106">
        <v>0.9308227</v>
      </c>
      <c r="Y2106">
        <v>-2.9818020000000001E-2</v>
      </c>
      <c r="Z2106">
        <v>-7.7653180000000002E-3</v>
      </c>
      <c r="AA2106">
        <v>0.9995252</v>
      </c>
      <c r="AB2106">
        <v>53</v>
      </c>
      <c r="AC2106">
        <v>-0.41450000000003201</v>
      </c>
      <c r="AD2106">
        <v>-0.2303849</v>
      </c>
      <c r="AE2106">
        <v>-1.81999999999789E-2</v>
      </c>
      <c r="AF2106">
        <v>-1.6796847197707999E-2</v>
      </c>
      <c r="AG2106">
        <v>-0.2303849</v>
      </c>
      <c r="AH2106">
        <v>0.31667504816292702</v>
      </c>
      <c r="AI2106">
        <v>125.99805934195101</v>
      </c>
      <c r="AJ2106">
        <v>93.036195807686795</v>
      </c>
      <c r="AK2106">
        <v>0.39197247652454598</v>
      </c>
      <c r="AL2106">
        <v>69.193642082321702</v>
      </c>
      <c r="AM2106">
        <v>95.278114870847901</v>
      </c>
      <c r="AN2106">
        <v>1.0000000150734301</v>
      </c>
    </row>
    <row r="2107" spans="1:40" x14ac:dyDescent="0.25">
      <c r="A2107" t="str">
        <f>"20190304164411296"</f>
        <v>20190304164411296</v>
      </c>
      <c r="B2107" t="str">
        <f>"1551689051292465"</f>
        <v>1551689051292465</v>
      </c>
      <c r="C2107" t="s">
        <v>40</v>
      </c>
      <c r="D2107">
        <v>4.4901309999999999</v>
      </c>
      <c r="E2107">
        <v>0.54188950000000002</v>
      </c>
      <c r="F2107" t="s">
        <v>41</v>
      </c>
      <c r="G2107">
        <v>-327.00349999999997</v>
      </c>
      <c r="H2107">
        <v>0.82294069999999997</v>
      </c>
      <c r="I2107">
        <v>284.5967</v>
      </c>
      <c r="J2107">
        <v>-326.41550000000001</v>
      </c>
      <c r="K2107">
        <v>1.10951</v>
      </c>
      <c r="L2107">
        <v>284.61860000000001</v>
      </c>
      <c r="M2107">
        <v>-0.99992460000000005</v>
      </c>
      <c r="N2107">
        <v>-8.3280030000000005E-3</v>
      </c>
      <c r="O2107">
        <v>9.032623E-3</v>
      </c>
      <c r="P2107">
        <v>-0.93434130000000004</v>
      </c>
      <c r="Q2107">
        <v>0.34788180000000002</v>
      </c>
      <c r="R2107">
        <v>-7.7360789999999999E-2</v>
      </c>
      <c r="S2107">
        <v>-3.6508479999999999</v>
      </c>
      <c r="T2107">
        <v>-1.2030909999999999</v>
      </c>
      <c r="U2107">
        <v>-8.2763669999999998E-2</v>
      </c>
      <c r="V2107">
        <v>-8.5966810000000005E-2</v>
      </c>
      <c r="W2107">
        <v>0.35560380000000003</v>
      </c>
      <c r="X2107">
        <v>0.93067489999999997</v>
      </c>
      <c r="Y2107">
        <v>-2.9631359999999999E-2</v>
      </c>
      <c r="Z2107">
        <v>-7.708871E-3</v>
      </c>
      <c r="AA2107">
        <v>0.99953110000000001</v>
      </c>
      <c r="AB2107">
        <v>53</v>
      </c>
      <c r="AC2107">
        <v>-0.587999999999965</v>
      </c>
      <c r="AD2107">
        <v>-0.28656929999999903</v>
      </c>
      <c r="AE2107">
        <v>-2.1900000000016399E-2</v>
      </c>
      <c r="AF2107">
        <v>-2.1993709395555699E-2</v>
      </c>
      <c r="AG2107">
        <v>-0.28656929999999903</v>
      </c>
      <c r="AH2107">
        <v>0.47508997216007798</v>
      </c>
      <c r="AI2107">
        <v>121.070822370512</v>
      </c>
      <c r="AJ2107">
        <v>92.650545667470595</v>
      </c>
      <c r="AK2107">
        <v>0.55526225209582702</v>
      </c>
      <c r="AL2107">
        <v>69.169546938130594</v>
      </c>
      <c r="AM2107">
        <v>95.277458297840397</v>
      </c>
      <c r="AN2107">
        <v>1.0000000622430101</v>
      </c>
    </row>
    <row r="2108" spans="1:40" x14ac:dyDescent="0.25">
      <c r="A2108" t="str">
        <f>"20190304164411308"</f>
        <v>20190304164411308</v>
      </c>
      <c r="B2108" t="str">
        <f>"1551689051302226"</f>
        <v>1551689051302226</v>
      </c>
      <c r="C2108" t="s">
        <v>40</v>
      </c>
      <c r="D2108">
        <v>4.5034179999999999</v>
      </c>
      <c r="E2108">
        <v>0.54178369999999998</v>
      </c>
      <c r="F2108" t="s">
        <v>41</v>
      </c>
      <c r="G2108">
        <v>-327.46190000000001</v>
      </c>
      <c r="H2108">
        <v>0.764432</v>
      </c>
      <c r="I2108">
        <v>284.59500000000003</v>
      </c>
      <c r="J2108">
        <v>-326.72210000000001</v>
      </c>
      <c r="K2108">
        <v>1.1095090000000001</v>
      </c>
      <c r="L2108">
        <v>284.62130000000002</v>
      </c>
      <c r="M2108">
        <v>-0.99992539999999996</v>
      </c>
      <c r="N2108">
        <v>-8.3351480000000006E-3</v>
      </c>
      <c r="O2108">
        <v>8.9469990000000006E-3</v>
      </c>
      <c r="P2108">
        <v>-0.93436339999999996</v>
      </c>
      <c r="Q2108">
        <v>0.34777180000000002</v>
      </c>
      <c r="R2108">
        <v>-7.7591049999999995E-2</v>
      </c>
      <c r="S2108">
        <v>-3.6524049999999999</v>
      </c>
      <c r="T2108">
        <v>-1.2045189999999999</v>
      </c>
      <c r="U2108">
        <v>-8.3282469999999997E-2</v>
      </c>
      <c r="V2108">
        <v>-8.6117330000000006E-2</v>
      </c>
      <c r="W2108">
        <v>0.35550039999999999</v>
      </c>
      <c r="X2108">
        <v>0.93070039999999998</v>
      </c>
      <c r="Y2108">
        <v>-2.9676810000000001E-2</v>
      </c>
      <c r="Z2108">
        <v>-7.69512699999999E-3</v>
      </c>
      <c r="AA2108">
        <v>0.99952989999999997</v>
      </c>
      <c r="AB2108">
        <v>54</v>
      </c>
      <c r="AC2108">
        <v>-0.73980000000000201</v>
      </c>
      <c r="AD2108">
        <v>-0.34507700000000002</v>
      </c>
      <c r="AE2108">
        <v>-2.6299999999992E-2</v>
      </c>
      <c r="AF2108">
        <v>-2.7042004363229899E-2</v>
      </c>
      <c r="AG2108">
        <v>-0.34507700000000002</v>
      </c>
      <c r="AH2108">
        <v>0.60752201959088403</v>
      </c>
      <c r="AI2108">
        <v>119.57254976432</v>
      </c>
      <c r="AJ2108">
        <v>92.548665901194497</v>
      </c>
      <c r="AK2108">
        <v>0.69920841686636404</v>
      </c>
      <c r="AL2108">
        <v>69.175883751473194</v>
      </c>
      <c r="AM2108">
        <v>95.286502305239907</v>
      </c>
      <c r="AN2108">
        <v>0.99999998174332405</v>
      </c>
    </row>
    <row r="2109" spans="1:40" x14ac:dyDescent="0.25">
      <c r="A2109" t="str">
        <f>"20190304164411324"</f>
        <v>20190304164411324</v>
      </c>
      <c r="B2109" t="str">
        <f>"1551689051311985"</f>
        <v>1551689051311985</v>
      </c>
      <c r="C2109" t="s">
        <v>40</v>
      </c>
      <c r="D2109">
        <v>4.5057790000000004</v>
      </c>
      <c r="E2109">
        <v>0.54169239999999996</v>
      </c>
      <c r="F2109" t="s">
        <v>41</v>
      </c>
      <c r="G2109">
        <v>-327.49599999999998</v>
      </c>
      <c r="H2109">
        <v>0.85380789999999995</v>
      </c>
      <c r="I2109">
        <v>284.60359999999997</v>
      </c>
      <c r="J2109">
        <v>-327.1019</v>
      </c>
      <c r="K2109">
        <v>1.1095010000000001</v>
      </c>
      <c r="L2109">
        <v>284.62470000000002</v>
      </c>
      <c r="M2109">
        <v>-0.99992619999999999</v>
      </c>
      <c r="N2109">
        <v>-8.343975E-3</v>
      </c>
      <c r="O2109">
        <v>8.8410420000000003E-3</v>
      </c>
      <c r="P2109">
        <v>-0.93448730000000002</v>
      </c>
      <c r="Q2109">
        <v>0.34739449999999999</v>
      </c>
      <c r="R2109">
        <v>-7.7787880000000004E-2</v>
      </c>
      <c r="S2109">
        <v>-3.6530149999999999</v>
      </c>
      <c r="T2109">
        <v>-1.2070320000000001</v>
      </c>
      <c r="U2109">
        <v>-8.4472660000000005E-2</v>
      </c>
      <c r="V2109">
        <v>-8.6216319999999999E-2</v>
      </c>
      <c r="W2109">
        <v>0.35513270000000002</v>
      </c>
      <c r="X2109">
        <v>0.93083159999999998</v>
      </c>
      <c r="Y2109">
        <v>-2.9879180000000002E-2</v>
      </c>
      <c r="Z2109">
        <v>-7.7092979999999998E-3</v>
      </c>
      <c r="AA2109">
        <v>0.99952379999999996</v>
      </c>
      <c r="AB2109">
        <v>54</v>
      </c>
      <c r="AC2109">
        <v>-0.39409999999998002</v>
      </c>
      <c r="AD2109">
        <v>-0.25569310000000001</v>
      </c>
      <c r="AE2109">
        <v>-2.1100000000046699E-2</v>
      </c>
      <c r="AF2109">
        <v>-1.7315510624250099E-2</v>
      </c>
      <c r="AG2109">
        <v>-0.25569310000000001</v>
      </c>
      <c r="AH2109">
        <v>0.27744347386435803</v>
      </c>
      <c r="AI2109">
        <v>132.60830380091301</v>
      </c>
      <c r="AJ2109">
        <v>93.571251979497603</v>
      </c>
      <c r="AK2109">
        <v>0.377695207125681</v>
      </c>
      <c r="AL2109">
        <v>69.198422047268195</v>
      </c>
      <c r="AM2109">
        <v>95.291802791603899</v>
      </c>
      <c r="AN2109">
        <v>0.99999997800109597</v>
      </c>
    </row>
    <row r="2110" spans="1:40" x14ac:dyDescent="0.25">
      <c r="A2110" t="str">
        <f>"20190304164411340"</f>
        <v>20190304164411340</v>
      </c>
      <c r="B2110" t="str">
        <f>"1551689051332482"</f>
        <v>1551689051332482</v>
      </c>
      <c r="C2110" t="s">
        <v>40</v>
      </c>
      <c r="D2110">
        <v>4.5501550000000002</v>
      </c>
      <c r="E2110">
        <v>0.54150299999999996</v>
      </c>
      <c r="F2110" t="s">
        <v>41</v>
      </c>
      <c r="G2110">
        <v>-327.96359999999999</v>
      </c>
      <c r="H2110">
        <v>0.82405720000000005</v>
      </c>
      <c r="I2110">
        <v>284.6044</v>
      </c>
      <c r="J2110">
        <v>-327.48110000000003</v>
      </c>
      <c r="K2110">
        <v>1.109497</v>
      </c>
      <c r="L2110">
        <v>284.62799999999999</v>
      </c>
      <c r="M2110">
        <v>-0.99992689999999995</v>
      </c>
      <c r="N2110">
        <v>-8.3527629999999992E-3</v>
      </c>
      <c r="O2110">
        <v>8.7354430000000007E-3</v>
      </c>
      <c r="P2110">
        <v>-0.93456600000000001</v>
      </c>
      <c r="Q2110">
        <v>0.3471919</v>
      </c>
      <c r="R2110">
        <v>-7.7743820000000005E-2</v>
      </c>
      <c r="S2110">
        <v>-3.6530459999999998</v>
      </c>
      <c r="T2110">
        <v>-1.210213</v>
      </c>
      <c r="U2110">
        <v>-8.64563E-2</v>
      </c>
      <c r="V2110">
        <v>-8.6074399999999995E-2</v>
      </c>
      <c r="W2110">
        <v>0.3549388</v>
      </c>
      <c r="X2110">
        <v>0.93091880000000005</v>
      </c>
      <c r="Y2110">
        <v>-3.0288220000000001E-2</v>
      </c>
      <c r="Z2110">
        <v>-7.7629509999999997E-3</v>
      </c>
      <c r="AA2110">
        <v>0.99951109999999999</v>
      </c>
      <c r="AB2110">
        <v>54</v>
      </c>
      <c r="AC2110">
        <v>-0.48249999999995902</v>
      </c>
      <c r="AD2110">
        <v>-0.28543979999999902</v>
      </c>
      <c r="AE2110">
        <v>-2.35999999999876E-2</v>
      </c>
      <c r="AF2110">
        <v>-2.0616204962256302E-2</v>
      </c>
      <c r="AG2110">
        <v>-0.28543979999999902</v>
      </c>
      <c r="AH2110">
        <v>0.35746940312556802</v>
      </c>
      <c r="AI2110">
        <v>128.561035879576</v>
      </c>
      <c r="AJ2110">
        <v>93.300742657830398</v>
      </c>
      <c r="AK2110">
        <v>0.45791405471118202</v>
      </c>
      <c r="AL2110">
        <v>69.210308186849502</v>
      </c>
      <c r="AM2110">
        <v>95.282649251576203</v>
      </c>
      <c r="AN2110">
        <v>1.0000000831371101</v>
      </c>
    </row>
    <row r="2111" spans="1:40" x14ac:dyDescent="0.25">
      <c r="A2111" t="str">
        <f>"20190304164411352"</f>
        <v>20190304164411352</v>
      </c>
      <c r="B2111" t="str">
        <f>"1551689051342241"</f>
        <v>1551689051342241</v>
      </c>
      <c r="C2111" t="s">
        <v>40</v>
      </c>
      <c r="D2111">
        <v>4.5516449999999997</v>
      </c>
      <c r="E2111">
        <v>0.54141260000000002</v>
      </c>
      <c r="F2111" t="s">
        <v>41</v>
      </c>
      <c r="G2111">
        <v>-328.43180000000001</v>
      </c>
      <c r="H2111">
        <v>0.79343520000000001</v>
      </c>
      <c r="I2111">
        <v>284.6053</v>
      </c>
      <c r="J2111">
        <v>-327.7944</v>
      </c>
      <c r="K2111">
        <v>1.1095029999999999</v>
      </c>
      <c r="L2111">
        <v>284.63069999999999</v>
      </c>
      <c r="M2111">
        <v>-0.99992769999999997</v>
      </c>
      <c r="N2111">
        <v>-8.3600020000000001E-3</v>
      </c>
      <c r="O2111">
        <v>8.6479690000000001E-3</v>
      </c>
      <c r="P2111">
        <v>-0.93467270000000002</v>
      </c>
      <c r="Q2111">
        <v>0.34688279999999999</v>
      </c>
      <c r="R2111">
        <v>-7.7842270000000005E-2</v>
      </c>
      <c r="S2111">
        <v>-3.6539000000000001</v>
      </c>
      <c r="T2111">
        <v>-1.2146669999999999</v>
      </c>
      <c r="U2111">
        <v>-8.8653560000000006E-2</v>
      </c>
      <c r="V2111">
        <v>-8.6092459999999996E-2</v>
      </c>
      <c r="W2111">
        <v>0.35463790000000001</v>
      </c>
      <c r="X2111">
        <v>0.93103170000000002</v>
      </c>
      <c r="Y2111">
        <v>-3.0760280000000001E-2</v>
      </c>
      <c r="Z2111">
        <v>-7.8390070000000003E-3</v>
      </c>
      <c r="AA2111">
        <v>0.99949600000000005</v>
      </c>
      <c r="AB2111">
        <v>54</v>
      </c>
      <c r="AC2111">
        <v>-0.63740000000001296</v>
      </c>
      <c r="AD2111">
        <v>-0.31606780000000001</v>
      </c>
      <c r="AE2111">
        <v>-2.53999999999905E-2</v>
      </c>
      <c r="AF2111">
        <v>-2.4818560427672699E-2</v>
      </c>
      <c r="AG2111">
        <v>-0.31606780000000001</v>
      </c>
      <c r="AH2111">
        <v>0.51156781550442199</v>
      </c>
      <c r="AI2111">
        <v>121.679383965437</v>
      </c>
      <c r="AJ2111">
        <v>92.777509949362795</v>
      </c>
      <c r="AK2111">
        <v>0.60184420326070098</v>
      </c>
      <c r="AL2111">
        <v>69.228746017382093</v>
      </c>
      <c r="AM2111">
        <v>95.283114276778406</v>
      </c>
      <c r="AN2111">
        <v>0.99999998909507504</v>
      </c>
    </row>
    <row r="2112" spans="1:40" x14ac:dyDescent="0.25">
      <c r="A2112" t="str">
        <f>"20190304164411370"</f>
        <v>20190304164411370</v>
      </c>
      <c r="B2112" t="str">
        <f>"1551689051361760"</f>
        <v>1551689051361760</v>
      </c>
      <c r="C2112" t="s">
        <v>40</v>
      </c>
      <c r="D2112">
        <v>4.5658820000000002</v>
      </c>
      <c r="E2112">
        <v>0.54123460000000001</v>
      </c>
      <c r="F2112" t="s">
        <v>41</v>
      </c>
      <c r="G2112">
        <v>-328.46980000000002</v>
      </c>
      <c r="H2112">
        <v>0.88442919999999903</v>
      </c>
      <c r="I2112">
        <v>284.61439999999999</v>
      </c>
      <c r="J2112">
        <v>-328.19260000000003</v>
      </c>
      <c r="K2112">
        <v>1.109497</v>
      </c>
      <c r="L2112">
        <v>284.63420000000002</v>
      </c>
      <c r="M2112">
        <v>-0.99992859999999995</v>
      </c>
      <c r="N2112">
        <v>-8.3691979999999996E-3</v>
      </c>
      <c r="O2112">
        <v>8.5372969999999992E-3</v>
      </c>
      <c r="P2112">
        <v>-0.93476859999999995</v>
      </c>
      <c r="Q2112">
        <v>0.34664339999999999</v>
      </c>
      <c r="R2112">
        <v>-7.7756220000000001E-2</v>
      </c>
      <c r="S2112">
        <v>-3.6541139999999999</v>
      </c>
      <c r="T2112">
        <v>-1.2176549999999999</v>
      </c>
      <c r="U2112">
        <v>-9.0209960000000006E-2</v>
      </c>
      <c r="V2112">
        <v>-8.5904240000000007E-2</v>
      </c>
      <c r="W2112">
        <v>0.3544078</v>
      </c>
      <c r="X2112">
        <v>0.93113670000000004</v>
      </c>
      <c r="Y2112">
        <v>-3.105316E-2</v>
      </c>
      <c r="Z2112">
        <v>-7.8705440000000002E-3</v>
      </c>
      <c r="AA2112">
        <v>0.99948669999999995</v>
      </c>
      <c r="AB2112">
        <v>54</v>
      </c>
      <c r="AC2112">
        <v>-0.27719999999999301</v>
      </c>
      <c r="AD2112">
        <v>-0.22506780000000001</v>
      </c>
      <c r="AE2112">
        <v>-1.9800000000032E-2</v>
      </c>
      <c r="AF2112">
        <v>-1.3386105180859901E-2</v>
      </c>
      <c r="AG2112">
        <v>-0.22506780000000001</v>
      </c>
      <c r="AH2112">
        <v>0.16729437117896301</v>
      </c>
      <c r="AI2112">
        <v>143.28875969236199</v>
      </c>
      <c r="AJ2112">
        <v>94.574790908389204</v>
      </c>
      <c r="AK2112">
        <v>0.28075275428197999</v>
      </c>
      <c r="AL2112">
        <v>69.242845613517801</v>
      </c>
      <c r="AM2112">
        <v>95.271038082197606</v>
      </c>
      <c r="AN2112">
        <v>0.99999999061885303</v>
      </c>
    </row>
    <row r="2113" spans="1:40" x14ac:dyDescent="0.25">
      <c r="A2113" t="str">
        <f>"20190304164411391"</f>
        <v>20190304164411391</v>
      </c>
      <c r="B2113" t="str">
        <f>"1551689051382257"</f>
        <v>1551689051382257</v>
      </c>
      <c r="C2113" t="s">
        <v>40</v>
      </c>
      <c r="D2113">
        <v>4.5892720000000002</v>
      </c>
      <c r="E2113">
        <v>0.54107609999999995</v>
      </c>
      <c r="F2113" t="s">
        <v>41</v>
      </c>
      <c r="G2113">
        <v>-328.94060000000002</v>
      </c>
      <c r="H2113">
        <v>0.85935309999999898</v>
      </c>
      <c r="I2113">
        <v>284.61540000000002</v>
      </c>
      <c r="J2113">
        <v>-328.7013</v>
      </c>
      <c r="K2113">
        <v>1.1094900000000001</v>
      </c>
      <c r="L2113">
        <v>284.63850000000002</v>
      </c>
      <c r="M2113">
        <v>-0.99992970000000003</v>
      </c>
      <c r="N2113">
        <v>-8.3809069999999999E-3</v>
      </c>
      <c r="O2113">
        <v>8.3960370000000003E-3</v>
      </c>
      <c r="P2113">
        <v>-0.93483300000000003</v>
      </c>
      <c r="Q2113">
        <v>0.34639140000000002</v>
      </c>
      <c r="R2113">
        <v>-7.8107209999999996E-2</v>
      </c>
      <c r="S2113">
        <v>-3.654938</v>
      </c>
      <c r="T2113">
        <v>-1.222262</v>
      </c>
      <c r="U2113">
        <v>-9.1979980000000003E-2</v>
      </c>
      <c r="V2113">
        <v>-8.6124010000000001E-2</v>
      </c>
      <c r="W2113">
        <v>0.3541666</v>
      </c>
      <c r="X2113">
        <v>0.93120820000000004</v>
      </c>
      <c r="Y2113">
        <v>-3.1365089999999998E-2</v>
      </c>
      <c r="Z2113">
        <v>-7.904253E-3</v>
      </c>
      <c r="AA2113">
        <v>0.9994767</v>
      </c>
      <c r="AB2113">
        <v>54</v>
      </c>
      <c r="AC2113">
        <v>-0.239300000000014</v>
      </c>
      <c r="AD2113">
        <v>-0.2501369</v>
      </c>
      <c r="AE2113">
        <v>-2.3099999999999399E-2</v>
      </c>
      <c r="AF2113">
        <v>-1.20566652068966E-2</v>
      </c>
      <c r="AG2113">
        <v>-0.2501369</v>
      </c>
      <c r="AH2113">
        <v>0.11481084562117699</v>
      </c>
      <c r="AI2113">
        <v>155.22592352339299</v>
      </c>
      <c r="AJ2113">
        <v>95.994846391971706</v>
      </c>
      <c r="AK2113">
        <v>0.27549112905821599</v>
      </c>
      <c r="AL2113">
        <v>69.257624535756605</v>
      </c>
      <c r="AM2113">
        <v>95.284043350872906</v>
      </c>
      <c r="AN2113">
        <v>1.0000000187006399</v>
      </c>
    </row>
    <row r="2114" spans="1:40" x14ac:dyDescent="0.25">
      <c r="A2114" t="str">
        <f>"20190304164411404"</f>
        <v>20190304164411404</v>
      </c>
      <c r="B2114" t="str">
        <f>"1551689051392017"</f>
        <v>1551689051392017</v>
      </c>
      <c r="C2114" t="s">
        <v>40</v>
      </c>
      <c r="D2114">
        <v>4.6096269999999997</v>
      </c>
      <c r="E2114">
        <v>0.54100789999999999</v>
      </c>
      <c r="F2114" t="s">
        <v>41</v>
      </c>
      <c r="G2114">
        <v>-329.42579999999998</v>
      </c>
      <c r="H2114">
        <v>0.866506</v>
      </c>
      <c r="I2114">
        <v>284.62020000000001</v>
      </c>
      <c r="J2114">
        <v>-329.02379999999999</v>
      </c>
      <c r="K2114">
        <v>1.109491</v>
      </c>
      <c r="L2114">
        <v>284.64120000000003</v>
      </c>
      <c r="M2114">
        <v>-0.9999304</v>
      </c>
      <c r="N2114">
        <v>-8.3881779999999996E-3</v>
      </c>
      <c r="O2114">
        <v>8.3065350000000003E-3</v>
      </c>
      <c r="P2114">
        <v>-0.93479809999999997</v>
      </c>
      <c r="Q2114">
        <v>0.34647260000000002</v>
      </c>
      <c r="R2114">
        <v>-7.8163430000000006E-2</v>
      </c>
      <c r="S2114">
        <v>-3.6555789999999999</v>
      </c>
      <c r="T2114">
        <v>-1.226002</v>
      </c>
      <c r="U2114">
        <v>-9.4146729999999998E-2</v>
      </c>
      <c r="V2114">
        <v>-8.6096939999999997E-2</v>
      </c>
      <c r="W2114">
        <v>0.35425479999999998</v>
      </c>
      <c r="X2114">
        <v>0.93117709999999998</v>
      </c>
      <c r="Y2114">
        <v>-3.1829589999999998E-2</v>
      </c>
      <c r="Z2114">
        <v>-7.9750450000000001E-3</v>
      </c>
      <c r="AA2114">
        <v>0.9994615</v>
      </c>
      <c r="AB2114">
        <v>54</v>
      </c>
      <c r="AC2114">
        <v>-0.40199999999998598</v>
      </c>
      <c r="AD2114">
        <v>-0.24298499999999901</v>
      </c>
      <c r="AE2114">
        <v>-2.1000000000015E-2</v>
      </c>
      <c r="AF2114">
        <v>-1.7838935818734102E-2</v>
      </c>
      <c r="AG2114">
        <v>-0.24298499999999901</v>
      </c>
      <c r="AH2114">
        <v>0.29450695932496701</v>
      </c>
      <c r="AI2114">
        <v>129.473077138647</v>
      </c>
      <c r="AJ2114">
        <v>93.466296552062502</v>
      </c>
      <c r="AK2114">
        <v>0.38222282368663202</v>
      </c>
      <c r="AL2114">
        <v>69.252219614340603</v>
      </c>
      <c r="AM2114">
        <v>95.282567324213403</v>
      </c>
      <c r="AN2114">
        <v>0.99999996898240595</v>
      </c>
    </row>
    <row r="2115" spans="1:40" x14ac:dyDescent="0.25">
      <c r="A2115" t="str">
        <f>"20190304164411416"</f>
        <v>20190304164411416</v>
      </c>
      <c r="B2115" t="str">
        <f>"1551689051411537"</f>
        <v>1551689051411537</v>
      </c>
      <c r="C2115" t="s">
        <v>40</v>
      </c>
      <c r="D2115">
        <v>4.6101409999999996</v>
      </c>
      <c r="E2115">
        <v>0.5408809</v>
      </c>
      <c r="F2115" t="s">
        <v>41</v>
      </c>
      <c r="G2115">
        <v>-329.8886</v>
      </c>
      <c r="H2115">
        <v>0.81929419999999897</v>
      </c>
      <c r="I2115">
        <v>284.61880000000002</v>
      </c>
      <c r="J2115">
        <v>-329.31569999999999</v>
      </c>
      <c r="K2115">
        <v>1.1094900000000001</v>
      </c>
      <c r="L2115">
        <v>284.64359999999999</v>
      </c>
      <c r="M2115">
        <v>-0.99993100000000001</v>
      </c>
      <c r="N2115">
        <v>-8.3947420000000002E-3</v>
      </c>
      <c r="O2115">
        <v>8.2255599999999998E-3</v>
      </c>
      <c r="P2115">
        <v>-0.93483450000000001</v>
      </c>
      <c r="Q2115">
        <v>0.34638970000000002</v>
      </c>
      <c r="R2115">
        <v>-7.8092510000000004E-2</v>
      </c>
      <c r="S2115">
        <v>-3.6560359999999998</v>
      </c>
      <c r="T2115">
        <v>-1.2268920000000001</v>
      </c>
      <c r="U2115">
        <v>-9.4604489999999999E-2</v>
      </c>
      <c r="V2115">
        <v>-8.5950879999999993E-2</v>
      </c>
      <c r="W2115">
        <v>0.3541782</v>
      </c>
      <c r="X2115">
        <v>0.93121980000000004</v>
      </c>
      <c r="Y2115">
        <v>-3.1869849999999998E-2</v>
      </c>
      <c r="Z2115">
        <v>-7.9605600000000002E-3</v>
      </c>
      <c r="AA2115">
        <v>0.99946029999999997</v>
      </c>
      <c r="AB2115">
        <v>54</v>
      </c>
      <c r="AC2115">
        <v>-0.57290000000000396</v>
      </c>
      <c r="AD2115">
        <v>-0.2901958</v>
      </c>
      <c r="AE2115">
        <v>-2.4799999999970599E-2</v>
      </c>
      <c r="AF2115">
        <v>-2.3494724017207501E-2</v>
      </c>
      <c r="AG2115">
        <v>-0.2901958</v>
      </c>
      <c r="AH2115">
        <v>0.45591600107948699</v>
      </c>
      <c r="AI2115">
        <v>122.442816656479</v>
      </c>
      <c r="AJ2115">
        <v>92.950014444190899</v>
      </c>
      <c r="AK2115">
        <v>0.54094824561559995</v>
      </c>
      <c r="AL2115">
        <v>69.256914158938201</v>
      </c>
      <c r="AM2115">
        <v>95.273415778393499</v>
      </c>
      <c r="AN2115">
        <v>1.0000000335200201</v>
      </c>
    </row>
    <row r="2116" spans="1:40" x14ac:dyDescent="0.25">
      <c r="A2116" t="str">
        <f>"20190304164411429"</f>
        <v>20190304164411429</v>
      </c>
      <c r="B2116" t="str">
        <f>"1551689051422273"</f>
        <v>1551689051422273</v>
      </c>
      <c r="C2116" t="s">
        <v>40</v>
      </c>
      <c r="D2116">
        <v>4.957268</v>
      </c>
      <c r="E2116">
        <v>0.54081400000000002</v>
      </c>
      <c r="F2116" t="s">
        <v>41</v>
      </c>
      <c r="G2116">
        <v>-330.35199999999998</v>
      </c>
      <c r="H2116">
        <v>0.76099779999999995</v>
      </c>
      <c r="I2116">
        <v>284.61700000000002</v>
      </c>
      <c r="J2116">
        <v>-329.61880000000002</v>
      </c>
      <c r="K2116">
        <v>1.1094889999999999</v>
      </c>
      <c r="L2116">
        <v>284.64600000000002</v>
      </c>
      <c r="M2116">
        <v>-0.99993160000000003</v>
      </c>
      <c r="N2116">
        <v>-8.4016400000000001E-3</v>
      </c>
      <c r="O2116">
        <v>8.1416040000000002E-3</v>
      </c>
      <c r="P2116">
        <v>-0.93486519999999995</v>
      </c>
      <c r="Q2116">
        <v>0.34634520000000002</v>
      </c>
      <c r="R2116">
        <v>-7.7923359999999997E-2</v>
      </c>
      <c r="S2116">
        <v>-3.6568299999999998</v>
      </c>
      <c r="T2116">
        <v>-1.229681</v>
      </c>
      <c r="U2116">
        <v>-9.5001219999999997E-2</v>
      </c>
      <c r="V2116">
        <v>-8.5703500000000002E-2</v>
      </c>
      <c r="W2116">
        <v>0.35414069999999997</v>
      </c>
      <c r="X2116">
        <v>0.9312568</v>
      </c>
      <c r="Y2116">
        <v>-3.1883439999999999E-2</v>
      </c>
      <c r="Z2116">
        <v>-7.9515019999999992E-3</v>
      </c>
      <c r="AA2116">
        <v>0.99946000000000002</v>
      </c>
      <c r="AB2116">
        <v>54</v>
      </c>
      <c r="AC2116">
        <v>-0.733199999999953</v>
      </c>
      <c r="AD2116">
        <v>-0.348491199999999</v>
      </c>
      <c r="AE2116">
        <v>-2.8999999999939501E-2</v>
      </c>
      <c r="AF2116">
        <v>-2.8532839395388601E-2</v>
      </c>
      <c r="AG2116">
        <v>-0.348491199999999</v>
      </c>
      <c r="AH2116">
        <v>0.59804520541490502</v>
      </c>
      <c r="AI2116">
        <v>120.201762304555</v>
      </c>
      <c r="AJ2116">
        <v>92.731520180556998</v>
      </c>
      <c r="AK2116">
        <v>0.69276136376183595</v>
      </c>
      <c r="AL2116">
        <v>69.259210424473494</v>
      </c>
      <c r="AM2116">
        <v>95.258115521643802</v>
      </c>
      <c r="AN2116">
        <v>0.99999997642748895</v>
      </c>
    </row>
    <row r="2117" spans="1:40" x14ac:dyDescent="0.25">
      <c r="A2117" t="str">
        <f>"20190304164411441"</f>
        <v>20190304164411441</v>
      </c>
      <c r="B2117" t="str">
        <f>"1551689051432034"</f>
        <v>1551689051432034</v>
      </c>
      <c r="C2117" t="s">
        <v>40</v>
      </c>
      <c r="D2117">
        <v>4.664371</v>
      </c>
      <c r="E2117">
        <v>0.54075530000000005</v>
      </c>
      <c r="F2117" t="s">
        <v>41</v>
      </c>
      <c r="G2117">
        <v>-330.38549999999998</v>
      </c>
      <c r="H2117">
        <v>0.85136840000000003</v>
      </c>
      <c r="I2117">
        <v>284.62630000000001</v>
      </c>
      <c r="J2117">
        <v>-329.92860000000002</v>
      </c>
      <c r="K2117">
        <v>1.109488</v>
      </c>
      <c r="L2117">
        <v>284.64850000000001</v>
      </c>
      <c r="M2117">
        <v>-0.9999323</v>
      </c>
      <c r="N2117">
        <v>-8.4087380000000007E-3</v>
      </c>
      <c r="O2117">
        <v>8.0558000000000001E-3</v>
      </c>
      <c r="P2117">
        <v>-0.93484199999999995</v>
      </c>
      <c r="Q2117">
        <v>0.34636159999999999</v>
      </c>
      <c r="R2117">
        <v>-7.8127940000000007E-2</v>
      </c>
      <c r="S2117">
        <v>-3.6571660000000001</v>
      </c>
      <c r="T2117">
        <v>-1.2312160000000001</v>
      </c>
      <c r="U2117">
        <v>-9.5825199999999999E-2</v>
      </c>
      <c r="V2117">
        <v>-8.5828409999999994E-2</v>
      </c>
      <c r="W2117">
        <v>0.35416300000000001</v>
      </c>
      <c r="X2117">
        <v>0.93123690000000003</v>
      </c>
      <c r="Y2117">
        <v>-3.2012529999999997E-2</v>
      </c>
      <c r="Z2117">
        <v>-7.9544879999999991E-3</v>
      </c>
      <c r="AA2117">
        <v>0.99945580000000001</v>
      </c>
      <c r="AB2117">
        <v>54</v>
      </c>
      <c r="AC2117">
        <v>-0.456899999999961</v>
      </c>
      <c r="AD2117">
        <v>-0.25811959999999901</v>
      </c>
      <c r="AE2117">
        <v>-2.2199999999997999E-2</v>
      </c>
      <c r="AF2117">
        <v>-1.9629906160124801E-2</v>
      </c>
      <c r="AG2117">
        <v>-0.25811959999999901</v>
      </c>
      <c r="AH2117">
        <v>0.34640904994107002</v>
      </c>
      <c r="AI2117">
        <v>126.646887503814</v>
      </c>
      <c r="AJ2117">
        <v>93.243302174435101</v>
      </c>
      <c r="AK2117">
        <v>0.43244686494538298</v>
      </c>
      <c r="AL2117">
        <v>69.2578458892105</v>
      </c>
      <c r="AM2117">
        <v>95.265847894238703</v>
      </c>
      <c r="AN2117">
        <v>1.00000005522686</v>
      </c>
    </row>
    <row r="2118" spans="1:40" x14ac:dyDescent="0.25">
      <c r="A2118" t="str">
        <f>"20190304164411455"</f>
        <v>20190304164411455</v>
      </c>
      <c r="B2118" t="str">
        <f>"1551689051451554"</f>
        <v>1551689051451554</v>
      </c>
      <c r="C2118" t="s">
        <v>40</v>
      </c>
      <c r="D2118">
        <v>4.6680449999999896</v>
      </c>
      <c r="E2118">
        <v>0.54062790000000005</v>
      </c>
      <c r="F2118" t="s">
        <v>41</v>
      </c>
      <c r="G2118">
        <v>-330.84809999999999</v>
      </c>
      <c r="H2118">
        <v>0.79973280000000002</v>
      </c>
      <c r="I2118">
        <v>284.62430000000001</v>
      </c>
      <c r="J2118">
        <v>-330.25720000000001</v>
      </c>
      <c r="K2118">
        <v>1.1094999999999999</v>
      </c>
      <c r="L2118">
        <v>284.65120000000002</v>
      </c>
      <c r="M2118">
        <v>-0.99993290000000001</v>
      </c>
      <c r="N2118">
        <v>-8.4166750000000002E-3</v>
      </c>
      <c r="O2118">
        <v>7.9647450000000005E-3</v>
      </c>
      <c r="P2118">
        <v>-0.93485669999999998</v>
      </c>
      <c r="Q2118">
        <v>0.34634480000000001</v>
      </c>
      <c r="R2118">
        <v>-7.8027760000000002E-2</v>
      </c>
      <c r="S2118">
        <v>-3.6575009999999999</v>
      </c>
      <c r="T2118">
        <v>-1.2321569999999999</v>
      </c>
      <c r="U2118">
        <v>-9.7076419999999997E-2</v>
      </c>
      <c r="V2118">
        <v>-8.5643109999999995E-2</v>
      </c>
      <c r="W2118">
        <v>0.35415410000000003</v>
      </c>
      <c r="X2118">
        <v>0.93125729999999995</v>
      </c>
      <c r="Y2118">
        <v>-3.224925E-2</v>
      </c>
      <c r="Z2118">
        <v>-7.9702729999999999E-3</v>
      </c>
      <c r="AA2118">
        <v>0.99944809999999995</v>
      </c>
      <c r="AB2118">
        <v>54</v>
      </c>
      <c r="AC2118">
        <v>-0.590899999999976</v>
      </c>
      <c r="AD2118">
        <v>-0.30976719999999902</v>
      </c>
      <c r="AE2118">
        <v>-2.6900000000011901E-2</v>
      </c>
      <c r="AF2118">
        <v>-2.4803394836201701E-2</v>
      </c>
      <c r="AG2118">
        <v>-0.30976719999999902</v>
      </c>
      <c r="AH2118">
        <v>0.46354156138045799</v>
      </c>
      <c r="AI2118">
        <v>123.715473834101</v>
      </c>
      <c r="AJ2118">
        <v>93.062887948173895</v>
      </c>
      <c r="AK2118">
        <v>0.55806962443612096</v>
      </c>
      <c r="AL2118">
        <v>69.258390264910901</v>
      </c>
      <c r="AM2118">
        <v>95.254428390692695</v>
      </c>
      <c r="AN2118">
        <v>1.00000001382028</v>
      </c>
    </row>
    <row r="2119" spans="1:40" x14ac:dyDescent="0.25">
      <c r="A2119" t="str">
        <f>"20190304164411470"</f>
        <v>20190304164411470</v>
      </c>
      <c r="B2119" t="str">
        <f>"1551689051462290"</f>
        <v>1551689051462290</v>
      </c>
      <c r="C2119" t="s">
        <v>40</v>
      </c>
      <c r="D2119">
        <v>4.6900870000000001</v>
      </c>
      <c r="E2119">
        <v>0.5405645</v>
      </c>
      <c r="F2119" t="s">
        <v>45</v>
      </c>
      <c r="G2119">
        <v>-333.54489999999998</v>
      </c>
      <c r="H2119" s="1">
        <v>3.5193019999999999E-7</v>
      </c>
      <c r="I2119">
        <v>284.5634</v>
      </c>
      <c r="J2119">
        <v>-330.61340000000001</v>
      </c>
      <c r="K2119">
        <v>1.1095159999999999</v>
      </c>
      <c r="L2119">
        <v>284.654</v>
      </c>
      <c r="M2119">
        <v>-0.99993370000000004</v>
      </c>
      <c r="N2119">
        <v>-8.4289280000000005E-3</v>
      </c>
      <c r="O2119">
        <v>7.8664570000000003E-3</v>
      </c>
      <c r="P2119">
        <v>-0.93463870000000004</v>
      </c>
      <c r="Q2119">
        <v>0.34688839999999999</v>
      </c>
      <c r="R2119">
        <v>-7.8226560000000001E-2</v>
      </c>
      <c r="S2119">
        <v>-3.6582949999999999</v>
      </c>
      <c r="T2119">
        <v>-1.2345740000000001</v>
      </c>
      <c r="U2119">
        <v>-9.7625729999999994E-2</v>
      </c>
      <c r="V2119">
        <v>-8.5749530000000004E-2</v>
      </c>
      <c r="W2119">
        <v>0.35470689999999999</v>
      </c>
      <c r="X2119">
        <v>0.93103709999999995</v>
      </c>
      <c r="Y2119">
        <v>-3.2290439999999997E-2</v>
      </c>
      <c r="Z2119">
        <v>-7.9589139999999992E-3</v>
      </c>
      <c r="AA2119">
        <v>0.99944679999999997</v>
      </c>
      <c r="AB2119">
        <v>54</v>
      </c>
      <c r="AC2119">
        <v>-2.93149999999997</v>
      </c>
      <c r="AD2119">
        <v>-1.1095156480698001</v>
      </c>
      <c r="AE2119">
        <v>-9.0599999999994907E-2</v>
      </c>
      <c r="AF2119">
        <v>-9.9429145043030701E-2</v>
      </c>
      <c r="AG2119">
        <v>-1.1095156480698001</v>
      </c>
      <c r="AH2119">
        <v>2.5637904350357901</v>
      </c>
      <c r="AI2119">
        <v>113.385523619503</v>
      </c>
      <c r="AJ2119">
        <v>92.220936915077701</v>
      </c>
      <c r="AK2119">
        <v>2.7953412176292098</v>
      </c>
      <c r="AL2119">
        <v>69.224518493123895</v>
      </c>
      <c r="AM2119">
        <v>95.262158200314602</v>
      </c>
      <c r="AN2119">
        <v>1.0000000241896201</v>
      </c>
    </row>
    <row r="2120" spans="1:40" x14ac:dyDescent="0.25">
      <c r="A2120" t="str">
        <f>"20190304164411492"</f>
        <v>20190304164411492</v>
      </c>
      <c r="B2120" t="str">
        <f>"1551689051481809"</f>
        <v>1551689051481809</v>
      </c>
      <c r="C2120" t="s">
        <v>40</v>
      </c>
      <c r="D2120">
        <v>4.7256839999999896</v>
      </c>
      <c r="E2120">
        <v>0.54043920000000001</v>
      </c>
      <c r="F2120" t="s">
        <v>41</v>
      </c>
      <c r="G2120">
        <v>-331.35730000000001</v>
      </c>
      <c r="H2120">
        <v>0.85870480000000005</v>
      </c>
      <c r="I2120">
        <v>284.6345</v>
      </c>
      <c r="J2120">
        <v>-331.142</v>
      </c>
      <c r="K2120">
        <v>1.1095269999999999</v>
      </c>
      <c r="L2120">
        <v>284.65809999999999</v>
      </c>
      <c r="M2120">
        <v>-0.9999344</v>
      </c>
      <c r="N2120">
        <v>-8.4640640000000003E-3</v>
      </c>
      <c r="O2120">
        <v>7.7205009999999899E-3</v>
      </c>
      <c r="P2120">
        <v>-0.93395189999999995</v>
      </c>
      <c r="Q2120">
        <v>0.34865869999999999</v>
      </c>
      <c r="R2120">
        <v>-7.8556189999999998E-2</v>
      </c>
      <c r="S2120">
        <v>-3.6595149999999999</v>
      </c>
      <c r="T2120">
        <v>-1.233762</v>
      </c>
      <c r="U2120">
        <v>-9.765625E-2</v>
      </c>
      <c r="V2120">
        <v>-8.5938819999999999E-2</v>
      </c>
      <c r="W2120">
        <v>0.35650389999999998</v>
      </c>
      <c r="X2120">
        <v>0.93033299999999997</v>
      </c>
      <c r="Y2120">
        <v>-3.2163110000000002E-2</v>
      </c>
      <c r="Z2120">
        <v>-7.8837000000000004E-3</v>
      </c>
      <c r="AA2120">
        <v>0.99945150000000005</v>
      </c>
      <c r="AB2120">
        <v>54</v>
      </c>
      <c r="AC2120">
        <v>-0.21530000000001301</v>
      </c>
      <c r="AD2120">
        <v>-0.2508222</v>
      </c>
      <c r="AE2120">
        <v>-2.35999999999876E-2</v>
      </c>
      <c r="AF2120">
        <v>-1.07905367520873E-2</v>
      </c>
      <c r="AG2120">
        <v>-0.2508222</v>
      </c>
      <c r="AH2120">
        <v>9.1885273009368995E-2</v>
      </c>
      <c r="AI2120">
        <v>159.753317395338</v>
      </c>
      <c r="AJ2120">
        <v>96.697845983473499</v>
      </c>
      <c r="AK2120">
        <v>0.267340821971214</v>
      </c>
      <c r="AL2120">
        <v>69.1143569060213</v>
      </c>
      <c r="AM2120">
        <v>95.277677609998094</v>
      </c>
      <c r="AN2120">
        <v>1.0000000011936001</v>
      </c>
    </row>
    <row r="2121" spans="1:40" x14ac:dyDescent="0.25">
      <c r="A2121" t="str">
        <f>"20190304164411510"</f>
        <v>20190304164411510</v>
      </c>
      <c r="B2121" t="str">
        <f>"1551689051502306"</f>
        <v>1551689051502306</v>
      </c>
      <c r="C2121" t="s">
        <v>40</v>
      </c>
      <c r="D2121">
        <v>4.7484190000000002</v>
      </c>
      <c r="E2121">
        <v>0.54031629999999997</v>
      </c>
      <c r="F2121" t="s">
        <v>41</v>
      </c>
      <c r="G2121">
        <v>-331.84840000000003</v>
      </c>
      <c r="H2121">
        <v>0.87244619999999995</v>
      </c>
      <c r="I2121">
        <v>284.63909999999998</v>
      </c>
      <c r="J2121">
        <v>-331.56950000000001</v>
      </c>
      <c r="K2121">
        <v>1.10955</v>
      </c>
      <c r="L2121">
        <v>284.66129999999998</v>
      </c>
      <c r="M2121">
        <v>-0.99993460000000001</v>
      </c>
      <c r="N2121">
        <v>-8.5507619999999999E-3</v>
      </c>
      <c r="O2121">
        <v>7.6027419999999896E-3</v>
      </c>
      <c r="P2121">
        <v>-0.93366740000000004</v>
      </c>
      <c r="Q2121">
        <v>0.34932419999999997</v>
      </c>
      <c r="R2121">
        <v>-7.8980469999999997E-2</v>
      </c>
      <c r="S2121">
        <v>-3.66275</v>
      </c>
      <c r="T2121">
        <v>-1.2293080000000001</v>
      </c>
      <c r="U2121">
        <v>-9.9212649999999999E-2</v>
      </c>
      <c r="V2121">
        <v>-8.6251949999999994E-2</v>
      </c>
      <c r="W2121">
        <v>0.35724739999999999</v>
      </c>
      <c r="X2121">
        <v>0.93001880000000003</v>
      </c>
      <c r="Y2121">
        <v>-3.2455079999999997E-2</v>
      </c>
      <c r="Z2121">
        <v>-7.8626530000000007E-3</v>
      </c>
      <c r="AA2121">
        <v>0.99944230000000001</v>
      </c>
      <c r="AB2121">
        <v>54</v>
      </c>
      <c r="AC2121">
        <v>-0.27890000000002102</v>
      </c>
      <c r="AD2121">
        <v>-0.2371038</v>
      </c>
      <c r="AE2121">
        <v>-2.2199999999997999E-2</v>
      </c>
      <c r="AF2121">
        <v>-1.41543687628847E-2</v>
      </c>
      <c r="AG2121">
        <v>-0.2371038</v>
      </c>
      <c r="AH2121">
        <v>0.16221941408496701</v>
      </c>
      <c r="AI2121">
        <v>145.519891261965</v>
      </c>
      <c r="AJ2121">
        <v>94.986683272898702</v>
      </c>
      <c r="AK2121">
        <v>0.287634657917967</v>
      </c>
      <c r="AL2121">
        <v>69.068755435083304</v>
      </c>
      <c r="AM2121">
        <v>95.298577680325707</v>
      </c>
      <c r="AN2121">
        <v>1.0000000360195</v>
      </c>
    </row>
    <row r="2122" spans="1:40" x14ac:dyDescent="0.25">
      <c r="A2122" t="str">
        <f>"20190304164411521"</f>
        <v>20190304164411521</v>
      </c>
      <c r="B2122" t="str">
        <f>"1551689051512065"</f>
        <v>1551689051512065</v>
      </c>
      <c r="C2122" t="s">
        <v>40</v>
      </c>
      <c r="D2122">
        <v>4.742909</v>
      </c>
      <c r="E2122">
        <v>0.54025610000000002</v>
      </c>
      <c r="F2122" t="s">
        <v>41</v>
      </c>
      <c r="G2122">
        <v>-332.32679999999999</v>
      </c>
      <c r="H2122">
        <v>0.85556299999999996</v>
      </c>
      <c r="I2122">
        <v>284.64060000000001</v>
      </c>
      <c r="J2122">
        <v>-331.86149999999998</v>
      </c>
      <c r="K2122">
        <v>1.109586</v>
      </c>
      <c r="L2122">
        <v>284.6635</v>
      </c>
      <c r="M2122">
        <v>-0.9999342</v>
      </c>
      <c r="N2122">
        <v>-8.6647269999999901E-3</v>
      </c>
      <c r="O2122">
        <v>7.5224019999999897E-3</v>
      </c>
      <c r="P2122">
        <v>-0.933531</v>
      </c>
      <c r="Q2122">
        <v>0.34965889999999999</v>
      </c>
      <c r="R2122">
        <v>-7.9111870000000001E-2</v>
      </c>
      <c r="S2122">
        <v>-3.664307</v>
      </c>
      <c r="T2122">
        <v>-1.2289239999999999</v>
      </c>
      <c r="U2122">
        <v>-0.1016846</v>
      </c>
      <c r="V2122">
        <v>-8.6308239999999994E-2</v>
      </c>
      <c r="W2122">
        <v>0.35768689999999997</v>
      </c>
      <c r="X2122">
        <v>0.92984460000000002</v>
      </c>
      <c r="Y2122">
        <v>-3.3012710000000001E-2</v>
      </c>
      <c r="Z2122">
        <v>-7.9261350000000008E-3</v>
      </c>
      <c r="AA2122">
        <v>0.99942350000000002</v>
      </c>
      <c r="AB2122">
        <v>54</v>
      </c>
      <c r="AC2122">
        <v>-0.46530000000001298</v>
      </c>
      <c r="AD2122">
        <v>-0.254023</v>
      </c>
      <c r="AE2122">
        <v>-2.2899999999992801E-2</v>
      </c>
      <c r="AF2122">
        <v>-2.0349323739629999E-2</v>
      </c>
      <c r="AG2122">
        <v>-0.254023</v>
      </c>
      <c r="AH2122">
        <v>0.35851855440876002</v>
      </c>
      <c r="AI2122">
        <v>125.27545785678301</v>
      </c>
      <c r="AJ2122">
        <v>93.248592571278493</v>
      </c>
      <c r="AK2122">
        <v>0.43986058400475803</v>
      </c>
      <c r="AL2122">
        <v>69.041791704588505</v>
      </c>
      <c r="AM2122">
        <v>95.303003586697002</v>
      </c>
      <c r="AN2122">
        <v>1.0000000054363301</v>
      </c>
    </row>
    <row r="2123" spans="1:40" x14ac:dyDescent="0.25">
      <c r="A2123" t="str">
        <f>"20190304164411537"</f>
        <v>20190304164411537</v>
      </c>
      <c r="B2123" t="str">
        <f>"1551689051531585"</f>
        <v>1551689051531585</v>
      </c>
      <c r="C2123" t="s">
        <v>40</v>
      </c>
      <c r="D2123">
        <v>4.7539769999999999</v>
      </c>
      <c r="E2123">
        <v>0.54012499999999997</v>
      </c>
      <c r="F2123" t="s">
        <v>41</v>
      </c>
      <c r="G2123">
        <v>-332.78879999999998</v>
      </c>
      <c r="H2123">
        <v>0.79871020000000004</v>
      </c>
      <c r="I2123">
        <v>284.63740000000001</v>
      </c>
      <c r="J2123">
        <v>-332.24349999999998</v>
      </c>
      <c r="K2123">
        <v>1.109648</v>
      </c>
      <c r="L2123">
        <v>284.66640000000001</v>
      </c>
      <c r="M2123">
        <v>-0.99993310000000002</v>
      </c>
      <c r="N2123">
        <v>-8.8768619999999993E-3</v>
      </c>
      <c r="O2123">
        <v>7.4174489999999996E-3</v>
      </c>
      <c r="P2123">
        <v>-0.9332608</v>
      </c>
      <c r="Q2123">
        <v>0.35026429999999997</v>
      </c>
      <c r="R2123">
        <v>-7.9619319999999993E-2</v>
      </c>
      <c r="S2123">
        <v>-3.6650999999999998</v>
      </c>
      <c r="T2123">
        <v>-1.2287809999999999</v>
      </c>
      <c r="U2123">
        <v>-0.1035156</v>
      </c>
      <c r="V2123">
        <v>-8.6717790000000003E-2</v>
      </c>
      <c r="W2123">
        <v>0.3584869</v>
      </c>
      <c r="X2123">
        <v>0.9294983</v>
      </c>
      <c r="Y2123">
        <v>-3.3385980000000003E-2</v>
      </c>
      <c r="Z2123">
        <v>-7.9549180000000001E-3</v>
      </c>
      <c r="AA2123">
        <v>0.99941089999999999</v>
      </c>
      <c r="AB2123">
        <v>54</v>
      </c>
      <c r="AC2123">
        <v>-0.54529999999999701</v>
      </c>
      <c r="AD2123">
        <v>-0.31093779999999899</v>
      </c>
      <c r="AE2123">
        <v>-2.89999999999963E-2</v>
      </c>
      <c r="AF2123">
        <v>-2.4953494398380599E-2</v>
      </c>
      <c r="AG2123">
        <v>-0.31093779999999899</v>
      </c>
      <c r="AH2123">
        <v>0.41161356346612998</v>
      </c>
      <c r="AI2123">
        <v>127.01730164630099</v>
      </c>
      <c r="AJ2123">
        <v>93.469230287646297</v>
      </c>
      <c r="AK2123">
        <v>0.51645979318899204</v>
      </c>
      <c r="AL2123">
        <v>68.9926987287092</v>
      </c>
      <c r="AM2123">
        <v>95.329996542236699</v>
      </c>
      <c r="AN2123">
        <v>0.99999996113849099</v>
      </c>
    </row>
    <row r="2124" spans="1:40" x14ac:dyDescent="0.25">
      <c r="A2124" t="str">
        <f>"20190304164411553"</f>
        <v>20190304164411553</v>
      </c>
      <c r="B2124" t="str">
        <f>"1551689051542321"</f>
        <v>1551689051542321</v>
      </c>
      <c r="C2124" t="s">
        <v>40</v>
      </c>
      <c r="D2124">
        <v>4.7852949999999996</v>
      </c>
      <c r="E2124">
        <v>0.54004909999999995</v>
      </c>
      <c r="F2124" t="s">
        <v>41</v>
      </c>
      <c r="G2124">
        <v>-333.26389999999998</v>
      </c>
      <c r="H2124">
        <v>0.76757940000000002</v>
      </c>
      <c r="I2124">
        <v>284.63670000000002</v>
      </c>
      <c r="J2124">
        <v>-332.62270000000001</v>
      </c>
      <c r="K2124">
        <v>1.109723</v>
      </c>
      <c r="L2124">
        <v>284.66919999999999</v>
      </c>
      <c r="M2124">
        <v>-0.99993109999999996</v>
      </c>
      <c r="N2124">
        <v>-9.1794919999999992E-3</v>
      </c>
      <c r="O2124">
        <v>7.3145329999999998E-3</v>
      </c>
      <c r="P2124">
        <v>-0.93332340000000003</v>
      </c>
      <c r="Q2124">
        <v>0.35007630000000001</v>
      </c>
      <c r="R2124">
        <v>-7.9711420000000005E-2</v>
      </c>
      <c r="S2124">
        <v>-3.666687</v>
      </c>
      <c r="T2124">
        <v>-1.229171</v>
      </c>
      <c r="U2124">
        <v>-0.1076965</v>
      </c>
      <c r="V2124">
        <v>-8.6715790000000001E-2</v>
      </c>
      <c r="W2124">
        <v>0.35858040000000002</v>
      </c>
      <c r="X2124">
        <v>0.92946240000000002</v>
      </c>
      <c r="Y2124">
        <v>-3.4359679999999997E-2</v>
      </c>
      <c r="Z2124">
        <v>-8.0877150000000005E-3</v>
      </c>
      <c r="AA2124">
        <v>0.99937679999999995</v>
      </c>
      <c r="AB2124">
        <v>54</v>
      </c>
      <c r="AC2124">
        <v>-0.64119999999996902</v>
      </c>
      <c r="AD2124">
        <v>-0.34214359999999999</v>
      </c>
      <c r="AE2124">
        <v>-3.24999999999704E-2</v>
      </c>
      <c r="AF2124">
        <v>-2.8963754278471001E-2</v>
      </c>
      <c r="AG2124">
        <v>-0.34214359999999999</v>
      </c>
      <c r="AH2124">
        <v>0.499179158473189</v>
      </c>
      <c r="AI2124">
        <v>124.382336560241</v>
      </c>
      <c r="AJ2124">
        <v>93.320736230833603</v>
      </c>
      <c r="AK2124">
        <v>0.60587207753523797</v>
      </c>
      <c r="AL2124">
        <v>68.986959631623293</v>
      </c>
      <c r="AM2124">
        <v>95.330079000754594</v>
      </c>
      <c r="AN2124">
        <v>0.99999994225662003</v>
      </c>
    </row>
    <row r="2125" spans="1:40" x14ac:dyDescent="0.25">
      <c r="A2125" t="str">
        <f>"20190304164411571"</f>
        <v>20190304164411571</v>
      </c>
      <c r="B2125" t="str">
        <f>"1551689051561840"</f>
        <v>1551689051561840</v>
      </c>
      <c r="C2125" t="s">
        <v>40</v>
      </c>
      <c r="D2125">
        <v>4.8006320000000002</v>
      </c>
      <c r="E2125">
        <v>0.53546159999999998</v>
      </c>
      <c r="F2125" t="s">
        <v>41</v>
      </c>
      <c r="G2125">
        <v>-333.30790000000002</v>
      </c>
      <c r="H2125">
        <v>0.87959419999999899</v>
      </c>
      <c r="I2125">
        <v>284.64909999999998</v>
      </c>
      <c r="J2125">
        <v>-333.06740000000002</v>
      </c>
      <c r="K2125">
        <v>1.1098220000000001</v>
      </c>
      <c r="L2125">
        <v>284.67239999999998</v>
      </c>
      <c r="M2125">
        <v>-0.99992780000000003</v>
      </c>
      <c r="N2125">
        <v>-9.6294989999999997E-3</v>
      </c>
      <c r="O2125">
        <v>7.2040460000000004E-3</v>
      </c>
      <c r="P2125">
        <v>-0.93350770000000005</v>
      </c>
      <c r="Q2125">
        <v>0.34950500000000001</v>
      </c>
      <c r="R2125">
        <v>-8.0062309999999998E-2</v>
      </c>
      <c r="S2125">
        <v>-3.6669309999999999</v>
      </c>
      <c r="T2125">
        <v>-1.2314969999999901</v>
      </c>
      <c r="U2125">
        <v>-0.10916140000000001</v>
      </c>
      <c r="V2125">
        <v>-8.6969000000000005E-2</v>
      </c>
      <c r="W2125">
        <v>0.35842780000000002</v>
      </c>
      <c r="X2125">
        <v>0.92949769999999998</v>
      </c>
      <c r="Y2125">
        <v>-3.4627060000000001E-2</v>
      </c>
      <c r="Z2125">
        <v>-8.1162059999999904E-3</v>
      </c>
      <c r="AA2125">
        <v>0.99936740000000002</v>
      </c>
      <c r="AB2125">
        <v>54</v>
      </c>
      <c r="AC2125">
        <v>-0.24049999999999699</v>
      </c>
      <c r="AD2125">
        <v>-0.23022780000000001</v>
      </c>
      <c r="AE2125">
        <v>-2.3300000000006E-2</v>
      </c>
      <c r="AF2125">
        <v>-1.3120352793343301E-2</v>
      </c>
      <c r="AG2125">
        <v>-0.23022780000000001</v>
      </c>
      <c r="AH2125">
        <v>0.12596494232792399</v>
      </c>
      <c r="AI2125">
        <v>151.18517318643001</v>
      </c>
      <c r="AJ2125">
        <v>95.946415166412095</v>
      </c>
      <c r="AK2125">
        <v>0.26276253584927001</v>
      </c>
      <c r="AL2125">
        <v>68.996327567265894</v>
      </c>
      <c r="AM2125">
        <v>95.345350961145797</v>
      </c>
      <c r="AN2125">
        <v>1.0000000345395601</v>
      </c>
    </row>
    <row r="2126" spans="1:40" x14ac:dyDescent="0.25">
      <c r="A2126" t="str">
        <f>"20190304164411592"</f>
        <v>20190304164411592</v>
      </c>
      <c r="B2126" t="str">
        <f>"1551689051582337"</f>
        <v>1551689051582337</v>
      </c>
      <c r="C2126" t="s">
        <v>40</v>
      </c>
      <c r="D2126">
        <v>5.3773549999999997</v>
      </c>
      <c r="E2126">
        <v>0.53987499999999999</v>
      </c>
      <c r="F2126" t="s">
        <v>41</v>
      </c>
      <c r="G2126">
        <v>-333.78210000000001</v>
      </c>
      <c r="H2126">
        <v>0.85332759999999996</v>
      </c>
      <c r="I2126">
        <v>284.64229999999998</v>
      </c>
      <c r="J2126">
        <v>-333.57479999999998</v>
      </c>
      <c r="K2126">
        <v>1.109926</v>
      </c>
      <c r="L2126">
        <v>284.67599999999999</v>
      </c>
      <c r="M2126">
        <v>-0.99992309999999995</v>
      </c>
      <c r="N2126">
        <v>-1.0183849999999999E-2</v>
      </c>
      <c r="O2126">
        <v>7.0791630000000003E-3</v>
      </c>
      <c r="P2126">
        <v>-0.93399670000000001</v>
      </c>
      <c r="Q2126">
        <v>0.34819450000000002</v>
      </c>
      <c r="R2126">
        <v>-8.006895E-2</v>
      </c>
      <c r="S2126">
        <v>-3.6970209999999999</v>
      </c>
      <c r="T2126">
        <v>-1.3267409999999999</v>
      </c>
      <c r="U2126">
        <v>-0.15618899999999999</v>
      </c>
      <c r="V2126">
        <v>-8.6863780000000002E-2</v>
      </c>
      <c r="W2126">
        <v>0.3576375</v>
      </c>
      <c r="X2126">
        <v>0.92981190000000002</v>
      </c>
      <c r="Y2126">
        <v>-4.5916239999999997E-2</v>
      </c>
      <c r="Z2126">
        <v>-1.062011E-2</v>
      </c>
      <c r="AA2126">
        <v>0.99888889999999997</v>
      </c>
      <c r="AB2126">
        <v>54</v>
      </c>
      <c r="AC2126">
        <v>-0.20730000000003199</v>
      </c>
      <c r="AD2126">
        <v>-0.2565984</v>
      </c>
      <c r="AE2126">
        <v>-3.3700000000010201E-2</v>
      </c>
      <c r="AF2126">
        <v>-1.41077296217118E-2</v>
      </c>
      <c r="AG2126">
        <v>-0.2565984</v>
      </c>
      <c r="AH2126">
        <v>8.3064084619448295E-2</v>
      </c>
      <c r="AI2126">
        <v>161.822502161903</v>
      </c>
      <c r="AJ2126">
        <v>99.639219383311897</v>
      </c>
      <c r="AK2126">
        <v>0.27007667257892898</v>
      </c>
      <c r="AL2126">
        <v>69.044823223637906</v>
      </c>
      <c r="AM2126">
        <v>95.337127550154307</v>
      </c>
      <c r="AN2126">
        <v>1.0000000335318699</v>
      </c>
    </row>
    <row r="2127" spans="1:40" x14ac:dyDescent="0.25">
      <c r="A2127" t="str">
        <f>"20190304164411607"</f>
        <v>20190304164411607</v>
      </c>
      <c r="B2127" t="str">
        <f>"1551689051601857"</f>
        <v>1551689051601857</v>
      </c>
      <c r="C2127" t="s">
        <v>40</v>
      </c>
      <c r="D2127">
        <v>4.7662500000000003</v>
      </c>
      <c r="E2127">
        <v>0.53260010000000002</v>
      </c>
      <c r="F2127" t="s">
        <v>41</v>
      </c>
      <c r="G2127">
        <v>-334.27699999999999</v>
      </c>
      <c r="H2127">
        <v>0.87892579999999998</v>
      </c>
      <c r="I2127">
        <v>284.6551</v>
      </c>
      <c r="J2127">
        <v>-333.92439999999999</v>
      </c>
      <c r="K2127">
        <v>1.1099779999999999</v>
      </c>
      <c r="L2127">
        <v>284.67840000000001</v>
      </c>
      <c r="M2127">
        <v>-0.99991980000000003</v>
      </c>
      <c r="N2127">
        <v>-1.0558150000000001E-2</v>
      </c>
      <c r="O2127">
        <v>6.9909350000000002E-3</v>
      </c>
      <c r="P2127">
        <v>-0.9343996</v>
      </c>
      <c r="Q2127">
        <v>0.34701090000000001</v>
      </c>
      <c r="R2127">
        <v>-8.0503669999999999E-2</v>
      </c>
      <c r="S2127">
        <v>-3.650299</v>
      </c>
      <c r="T2127">
        <v>-1.2009179999999999</v>
      </c>
      <c r="U2127">
        <v>-0.10968020000000001</v>
      </c>
      <c r="V2127">
        <v>-8.7218459999999998E-2</v>
      </c>
      <c r="W2127">
        <v>0.35680600000000001</v>
      </c>
      <c r="X2127">
        <v>0.93009810000000004</v>
      </c>
      <c r="Y2127">
        <v>-3.4781329999999999E-2</v>
      </c>
      <c r="Z2127">
        <v>-7.9302839999999993E-3</v>
      </c>
      <c r="AA2127">
        <v>0.99936349999999996</v>
      </c>
      <c r="AB2127">
        <v>54</v>
      </c>
      <c r="AC2127">
        <v>-0.35259999999999497</v>
      </c>
      <c r="AD2127">
        <v>-0.23105220000000001</v>
      </c>
      <c r="AE2127">
        <v>-2.3300000000006E-2</v>
      </c>
      <c r="AF2127">
        <v>-1.8048398178680401E-2</v>
      </c>
      <c r="AG2127">
        <v>-0.23105220000000001</v>
      </c>
      <c r="AH2127">
        <v>0.246880471998777</v>
      </c>
      <c r="AI2127">
        <v>133.02698414106399</v>
      </c>
      <c r="AJ2127">
        <v>94.181216477183497</v>
      </c>
      <c r="AK2127">
        <v>0.33861605286222801</v>
      </c>
      <c r="AL2127">
        <v>69.095830010083105</v>
      </c>
      <c r="AM2127">
        <v>95.357154008708903</v>
      </c>
      <c r="AN2127">
        <v>1.0000000285121899</v>
      </c>
    </row>
    <row r="2128" spans="1:40" x14ac:dyDescent="0.25">
      <c r="A2128" t="str">
        <f>"20190304164411620"</f>
        <v>20190304164411620</v>
      </c>
      <c r="B2128" t="str">
        <f>"1551689051611617"</f>
        <v>1551689051611617</v>
      </c>
      <c r="C2128" t="s">
        <v>40</v>
      </c>
      <c r="D2128">
        <v>4.7939749999999997</v>
      </c>
      <c r="E2128">
        <v>0.52943300000000004</v>
      </c>
      <c r="F2128" t="s">
        <v>41</v>
      </c>
      <c r="G2128">
        <v>-334.8159</v>
      </c>
      <c r="H2128">
        <v>1.000548</v>
      </c>
      <c r="I2128">
        <v>284.65140000000002</v>
      </c>
      <c r="J2128">
        <v>-334.25150000000002</v>
      </c>
      <c r="K2128">
        <v>1.11002</v>
      </c>
      <c r="L2128">
        <v>284.6807</v>
      </c>
      <c r="M2128">
        <v>-0.9999169</v>
      </c>
      <c r="N2128">
        <v>-1.089497E-2</v>
      </c>
      <c r="O2128">
        <v>6.9064399999999998E-3</v>
      </c>
      <c r="P2128">
        <v>-0.9346546</v>
      </c>
      <c r="Q2128">
        <v>0.34630759999999899</v>
      </c>
      <c r="R2128">
        <v>-8.0574489999999999E-2</v>
      </c>
      <c r="S2128">
        <v>-3.3547359999999999</v>
      </c>
      <c r="T2128">
        <v>-0.41191840000000002</v>
      </c>
      <c r="U2128">
        <v>-0.1026306</v>
      </c>
      <c r="V2128">
        <v>-8.7210499999999996E-2</v>
      </c>
      <c r="W2128">
        <v>0.35641929999999999</v>
      </c>
      <c r="X2128">
        <v>0.93024709999999999</v>
      </c>
      <c r="Y2128">
        <v>-3.7134729999999998E-2</v>
      </c>
      <c r="Z2128">
        <v>-3.2436460000000002E-3</v>
      </c>
      <c r="AA2128">
        <v>0.999305</v>
      </c>
      <c r="AB2128">
        <v>54</v>
      </c>
      <c r="AC2128">
        <v>-0.56439999999997703</v>
      </c>
      <c r="AD2128">
        <v>-0.109472</v>
      </c>
      <c r="AE2128">
        <v>-2.9299999999977899E-2</v>
      </c>
      <c r="AF2128">
        <v>-3.1996998313214703E-2</v>
      </c>
      <c r="AG2128">
        <v>-0.109472</v>
      </c>
      <c r="AH2128">
        <v>0.54378146706013297</v>
      </c>
      <c r="AI2128">
        <v>101.363282288093</v>
      </c>
      <c r="AJ2128">
        <v>93.367495268400802</v>
      </c>
      <c r="AK2128">
        <v>0.55561336431292496</v>
      </c>
      <c r="AL2128">
        <v>69.119545513929694</v>
      </c>
      <c r="AM2128">
        <v>95.355814930557599</v>
      </c>
      <c r="AN2128">
        <v>1.0000000278905701</v>
      </c>
    </row>
    <row r="2129" spans="1:40" x14ac:dyDescent="0.25">
      <c r="A2129" t="str">
        <f>"20190304164411632"</f>
        <v>20190304164411632</v>
      </c>
      <c r="B2129" t="str">
        <f>"1551689051622353"</f>
        <v>1551689051622353</v>
      </c>
      <c r="C2129" t="s">
        <v>40</v>
      </c>
      <c r="D2129">
        <v>4.7978399999999999</v>
      </c>
      <c r="E2129">
        <v>0.52777030000000003</v>
      </c>
      <c r="F2129" t="s">
        <v>41</v>
      </c>
      <c r="G2129">
        <v>-335.3</v>
      </c>
      <c r="H2129">
        <v>1.0002070000000001</v>
      </c>
      <c r="I2129">
        <v>284.64260000000002</v>
      </c>
      <c r="J2129">
        <v>-334.55360000000002</v>
      </c>
      <c r="K2129">
        <v>1.1100589999999999</v>
      </c>
      <c r="L2129">
        <v>284.68270000000001</v>
      </c>
      <c r="M2129">
        <v>-0.99991419999999998</v>
      </c>
      <c r="N2129">
        <v>-1.1192809999999999E-2</v>
      </c>
      <c r="O2129">
        <v>6.8265979999999997E-3</v>
      </c>
      <c r="P2129">
        <v>-0.93512919999999999</v>
      </c>
      <c r="Q2129">
        <v>0.34500560000000002</v>
      </c>
      <c r="R2129">
        <v>-8.0651890000000004E-2</v>
      </c>
      <c r="S2129">
        <v>-3.3284910000000001</v>
      </c>
      <c r="T2129">
        <v>-0.34885349999999998</v>
      </c>
      <c r="U2129">
        <v>-0.122406</v>
      </c>
      <c r="V2129">
        <v>-8.7214340000000001E-2</v>
      </c>
      <c r="W2129">
        <v>0.3554001</v>
      </c>
      <c r="X2129">
        <v>0.93063660000000004</v>
      </c>
      <c r="Y2129">
        <v>-4.3279930000000001E-2</v>
      </c>
      <c r="Z2129">
        <v>-3.14124E-3</v>
      </c>
      <c r="AA2129">
        <v>0.99905809999999995</v>
      </c>
      <c r="AB2129">
        <v>54</v>
      </c>
      <c r="AC2129">
        <v>-0.74639999999999396</v>
      </c>
      <c r="AD2129">
        <v>-0.10985199999999901</v>
      </c>
      <c r="AE2129">
        <v>-4.0099999999995299E-2</v>
      </c>
      <c r="AF2129">
        <v>-4.4239260809125401E-2</v>
      </c>
      <c r="AG2129">
        <v>-0.10985199999999901</v>
      </c>
      <c r="AH2129">
        <v>0.73033480108070703</v>
      </c>
      <c r="AI2129">
        <v>98.538499195898396</v>
      </c>
      <c r="AJ2129">
        <v>93.466395958361105</v>
      </c>
      <c r="AK2129">
        <v>0.739873972897097</v>
      </c>
      <c r="AL2129">
        <v>69.182033010236907</v>
      </c>
      <c r="AM2129">
        <v>95.353820740475797</v>
      </c>
      <c r="AN2129">
        <v>1.0000000267206</v>
      </c>
    </row>
    <row r="2130" spans="1:40" x14ac:dyDescent="0.25">
      <c r="A2130" t="str">
        <f>"20190304164411649"</f>
        <v>20190304164411649</v>
      </c>
      <c r="B2130" t="str">
        <f>"1551689051641873"</f>
        <v>1551689051641873</v>
      </c>
      <c r="C2130" t="s">
        <v>40</v>
      </c>
      <c r="D2130">
        <v>4.7934640000000002</v>
      </c>
      <c r="E2130">
        <v>0.52676750000000006</v>
      </c>
      <c r="F2130" t="s">
        <v>45</v>
      </c>
      <c r="G2130">
        <v>-345.99790000000002</v>
      </c>
      <c r="H2130" s="1">
        <v>1.6550160000000001E-6</v>
      </c>
      <c r="I2130">
        <v>284.22289999999998</v>
      </c>
      <c r="J2130">
        <v>-334.95359999999999</v>
      </c>
      <c r="K2130">
        <v>1.110088</v>
      </c>
      <c r="L2130">
        <v>284.68540000000002</v>
      </c>
      <c r="M2130">
        <v>-0.99991079999999999</v>
      </c>
      <c r="N2130">
        <v>-1.1556230000000001E-2</v>
      </c>
      <c r="O2130">
        <v>6.7187940000000002E-3</v>
      </c>
      <c r="P2130">
        <v>-0.93506739999999999</v>
      </c>
      <c r="Q2130">
        <v>0.34529090000000001</v>
      </c>
      <c r="R2130">
        <v>-8.0146419999999996E-2</v>
      </c>
      <c r="S2130">
        <v>-3.315277</v>
      </c>
      <c r="T2130">
        <v>-0.32156879999999999</v>
      </c>
      <c r="U2130">
        <v>-0.13317870000000001</v>
      </c>
      <c r="V2130">
        <v>-8.6605619999999994E-2</v>
      </c>
      <c r="W2130">
        <v>0.35602450000000002</v>
      </c>
      <c r="X2130">
        <v>0.93045469999999997</v>
      </c>
      <c r="Y2130">
        <v>-4.6582890000000002E-2</v>
      </c>
      <c r="Z2130">
        <v>-3.0954469999999999E-3</v>
      </c>
      <c r="AA2130">
        <v>0.99890970000000001</v>
      </c>
      <c r="AB2130">
        <v>54</v>
      </c>
      <c r="AC2130">
        <v>-11.0443</v>
      </c>
      <c r="AD2130">
        <v>-1.1100863449839999</v>
      </c>
      <c r="AE2130">
        <v>-0.462500000000034</v>
      </c>
      <c r="AF2130">
        <v>-0.53134030971611201</v>
      </c>
      <c r="AG2130">
        <v>-1.1100863449839999</v>
      </c>
      <c r="AH2130">
        <v>10.930706781827899</v>
      </c>
      <c r="AI2130">
        <v>95.792095342314795</v>
      </c>
      <c r="AJ2130">
        <v>92.782950198264402</v>
      </c>
      <c r="AK2130">
        <v>10.9997711325439</v>
      </c>
      <c r="AL2130">
        <v>69.143752517219099</v>
      </c>
      <c r="AM2130">
        <v>95.317701596611002</v>
      </c>
      <c r="AN2130">
        <v>0.99999996338396102</v>
      </c>
    </row>
    <row r="2131" spans="1:40" x14ac:dyDescent="0.25">
      <c r="A2131" t="str">
        <f>"20190304164411670"</f>
        <v>20190304164411670</v>
      </c>
      <c r="B2131" t="str">
        <f>"1551689051662369"</f>
        <v>1551689051662369</v>
      </c>
      <c r="C2131" t="s">
        <v>40</v>
      </c>
      <c r="D2131">
        <v>4.8107319999999998</v>
      </c>
      <c r="E2131">
        <v>0.52661840000000004</v>
      </c>
      <c r="F2131" t="s">
        <v>45</v>
      </c>
      <c r="G2131">
        <v>-347.7303</v>
      </c>
      <c r="H2131" s="1">
        <v>2.576897E-6</v>
      </c>
      <c r="I2131">
        <v>284.1551</v>
      </c>
      <c r="J2131">
        <v>-335.46600000000001</v>
      </c>
      <c r="K2131">
        <v>1.1101369999999999</v>
      </c>
      <c r="L2131">
        <v>284.68869999999998</v>
      </c>
      <c r="M2131">
        <v>-0.99990670000000004</v>
      </c>
      <c r="N2131">
        <v>-1.198751E-2</v>
      </c>
      <c r="O2131">
        <v>6.5801100000000001E-3</v>
      </c>
      <c r="P2131">
        <v>-0.93487050000000005</v>
      </c>
      <c r="Q2131">
        <v>0.34584749999999997</v>
      </c>
      <c r="R2131">
        <v>-8.0044400000000002E-2</v>
      </c>
      <c r="S2131">
        <v>-3.302521</v>
      </c>
      <c r="T2131">
        <v>-0.28693340000000001</v>
      </c>
      <c r="U2131">
        <v>-0.13705439999999999</v>
      </c>
      <c r="V2131">
        <v>-8.6370020000000006E-2</v>
      </c>
      <c r="W2131">
        <v>0.35698059999999998</v>
      </c>
      <c r="X2131">
        <v>0.93011029999999995</v>
      </c>
      <c r="Y2131">
        <v>-4.7815120000000003E-2</v>
      </c>
      <c r="Z2131">
        <v>-2.851391E-3</v>
      </c>
      <c r="AA2131">
        <v>0.99885210000000002</v>
      </c>
      <c r="AB2131">
        <v>54</v>
      </c>
      <c r="AC2131">
        <v>-12.264299999999899</v>
      </c>
      <c r="AD2131">
        <v>-1.1101344231029999</v>
      </c>
      <c r="AE2131">
        <v>-0.53359999999997798</v>
      </c>
      <c r="AF2131">
        <v>-0.60931175294531603</v>
      </c>
      <c r="AG2131">
        <v>-1.1101344231029999</v>
      </c>
      <c r="AH2131">
        <v>12.161070466088599</v>
      </c>
      <c r="AI2131">
        <v>95.209342999284999</v>
      </c>
      <c r="AJ2131">
        <v>92.868318447178098</v>
      </c>
      <c r="AK2131">
        <v>12.2268268218213</v>
      </c>
      <c r="AL2131">
        <v>69.085121384765003</v>
      </c>
      <c r="AM2131">
        <v>95.305270537338203</v>
      </c>
      <c r="AN2131">
        <v>1.0000000496486201</v>
      </c>
    </row>
    <row r="2132" spans="1:40" x14ac:dyDescent="0.25">
      <c r="A2132" t="str">
        <f>"20190304164411682"</f>
        <v>20190304164411682</v>
      </c>
      <c r="B2132" t="str">
        <f>"1551689051672129"</f>
        <v>1551689051672129</v>
      </c>
      <c r="C2132" t="s">
        <v>40</v>
      </c>
      <c r="D2132">
        <v>4.783569</v>
      </c>
      <c r="E2132">
        <v>0.52668609999999905</v>
      </c>
      <c r="F2132" t="s">
        <v>45</v>
      </c>
      <c r="G2132">
        <v>-348.98660000000001</v>
      </c>
      <c r="H2132" s="1">
        <v>3.245452E-6</v>
      </c>
      <c r="I2132">
        <v>284.11759999999998</v>
      </c>
      <c r="J2132">
        <v>-335.76209999999998</v>
      </c>
      <c r="K2132">
        <v>1.1101559999999999</v>
      </c>
      <c r="L2132">
        <v>284.69060000000002</v>
      </c>
      <c r="M2132">
        <v>-0.99990429999999997</v>
      </c>
      <c r="N2132">
        <v>-1.2216029999999999E-2</v>
      </c>
      <c r="O2132">
        <v>6.5005499999999999E-3</v>
      </c>
      <c r="P2132">
        <v>-0.93507240000000003</v>
      </c>
      <c r="Q2132">
        <v>0.34541939999999999</v>
      </c>
      <c r="R2132">
        <v>-7.9532560000000002E-2</v>
      </c>
      <c r="S2132">
        <v>-3.2972410000000001</v>
      </c>
      <c r="T2132">
        <v>-0.27072550000000001</v>
      </c>
      <c r="U2132">
        <v>-0.13928219999999999</v>
      </c>
      <c r="V2132">
        <v>-8.5783590000000007E-2</v>
      </c>
      <c r="W2132">
        <v>0.35676859999999999</v>
      </c>
      <c r="X2132">
        <v>0.93024589999999996</v>
      </c>
      <c r="Y2132">
        <v>-4.8495669999999998E-2</v>
      </c>
      <c r="Z2132">
        <v>-2.7369680000000002E-3</v>
      </c>
      <c r="AA2132">
        <v>0.99881960000000003</v>
      </c>
      <c r="AB2132">
        <v>54</v>
      </c>
      <c r="AC2132">
        <v>-13.224500000000001</v>
      </c>
      <c r="AD2132">
        <v>-1.1101527545480001</v>
      </c>
      <c r="AE2132">
        <v>-0.57300000000003504</v>
      </c>
      <c r="AF2132">
        <v>-0.65435817611942804</v>
      </c>
      <c r="AG2132">
        <v>-1.1101527545480001</v>
      </c>
      <c r="AH2132">
        <v>13.1281541319157</v>
      </c>
      <c r="AI2132">
        <v>94.827624056663893</v>
      </c>
      <c r="AJ2132">
        <v>92.853482607233104</v>
      </c>
      <c r="AK2132">
        <v>13.191249170280299</v>
      </c>
      <c r="AL2132">
        <v>69.098124229635303</v>
      </c>
      <c r="AM2132">
        <v>95.268688799154503</v>
      </c>
      <c r="AN2132">
        <v>1.0000000463630201</v>
      </c>
    </row>
    <row r="2133" spans="1:40" x14ac:dyDescent="0.25">
      <c r="A2133" t="str">
        <f>"20190304164411696"</f>
        <v>20190304164411696</v>
      </c>
      <c r="B2133" t="str">
        <f>"1551689051691650"</f>
        <v>1551689051691650</v>
      </c>
      <c r="C2133" t="s">
        <v>40</v>
      </c>
      <c r="D2133">
        <v>4.8143390000000004</v>
      </c>
      <c r="E2133">
        <v>0.5268524</v>
      </c>
      <c r="F2133" t="s">
        <v>45</v>
      </c>
      <c r="G2133">
        <v>-349.33080000000001</v>
      </c>
      <c r="H2133" s="1">
        <v>3.4286020000000001E-6</v>
      </c>
      <c r="I2133">
        <v>284.12540000000001</v>
      </c>
      <c r="J2133">
        <v>-336.07979999999998</v>
      </c>
      <c r="K2133">
        <v>1.110171</v>
      </c>
      <c r="L2133">
        <v>284.69260000000003</v>
      </c>
      <c r="M2133">
        <v>-0.99990199999999996</v>
      </c>
      <c r="N2133">
        <v>-1.245111E-2</v>
      </c>
      <c r="O2133">
        <v>6.4153780000000002E-3</v>
      </c>
      <c r="P2133">
        <v>-0.93516730000000003</v>
      </c>
      <c r="Q2133">
        <v>0.34513149999999998</v>
      </c>
      <c r="R2133">
        <v>-7.966529E-2</v>
      </c>
      <c r="S2133">
        <v>-3.2962340000000001</v>
      </c>
      <c r="T2133">
        <v>-0.2696887</v>
      </c>
      <c r="U2133">
        <v>-0.13729859999999999</v>
      </c>
      <c r="V2133">
        <v>-8.5835640000000005E-2</v>
      </c>
      <c r="W2133">
        <v>0.35670079999999998</v>
      </c>
      <c r="X2133">
        <v>0.93026699999999996</v>
      </c>
      <c r="Y2133">
        <v>-4.7827219999999997E-2</v>
      </c>
      <c r="Z2133">
        <v>-2.6949729999999998E-3</v>
      </c>
      <c r="AA2133">
        <v>0.99885199999999996</v>
      </c>
      <c r="AB2133">
        <v>54</v>
      </c>
      <c r="AC2133">
        <v>-13.250999999999999</v>
      </c>
      <c r="AD2133">
        <v>-1.1101675713979999</v>
      </c>
      <c r="AE2133">
        <v>-0.56720000000001303</v>
      </c>
      <c r="AF2133">
        <v>-0.64766737117475504</v>
      </c>
      <c r="AG2133">
        <v>-1.1101675713979999</v>
      </c>
      <c r="AH2133">
        <v>13.1549216957144</v>
      </c>
      <c r="AI2133">
        <v>94.818055680833695</v>
      </c>
      <c r="AJ2133">
        <v>92.818615563433895</v>
      </c>
      <c r="AK2133">
        <v>13.217560663021199</v>
      </c>
      <c r="AL2133">
        <v>69.102280463262204</v>
      </c>
      <c r="AM2133">
        <v>95.271748717470302</v>
      </c>
      <c r="AN2133">
        <v>0.99999995455192303</v>
      </c>
    </row>
    <row r="2134" spans="1:40" x14ac:dyDescent="0.25">
      <c r="A2134" t="str">
        <f>"20190304164411708"</f>
        <v>20190304164411708</v>
      </c>
      <c r="B2134" t="str">
        <f>"1551689051702385"</f>
        <v>1551689051702385</v>
      </c>
      <c r="C2134" t="s">
        <v>40</v>
      </c>
      <c r="D2134">
        <v>4.8174250000000001</v>
      </c>
      <c r="E2134">
        <v>0.52691899999999903</v>
      </c>
      <c r="F2134" t="s">
        <v>45</v>
      </c>
      <c r="G2134">
        <v>-349.68150000000003</v>
      </c>
      <c r="H2134" s="1">
        <v>3.6152129999999999E-6</v>
      </c>
      <c r="I2134">
        <v>284.13130000000001</v>
      </c>
      <c r="J2134">
        <v>-336.39</v>
      </c>
      <c r="K2134">
        <v>1.110185</v>
      </c>
      <c r="L2134">
        <v>284.69459999999998</v>
      </c>
      <c r="M2134">
        <v>-0.99989980000000001</v>
      </c>
      <c r="N2134">
        <v>-1.266173E-2</v>
      </c>
      <c r="O2134">
        <v>6.3338530000000004E-3</v>
      </c>
      <c r="P2134">
        <v>-0.93547119999999995</v>
      </c>
      <c r="Q2134">
        <v>0.34430650000000002</v>
      </c>
      <c r="R2134">
        <v>-7.9666169999999994E-2</v>
      </c>
      <c r="S2134">
        <v>-3.2956539999999999</v>
      </c>
      <c r="T2134">
        <v>-0.26899149999999999</v>
      </c>
      <c r="U2134">
        <v>-0.13598629999999901</v>
      </c>
      <c r="V2134">
        <v>-8.5761249999999997E-2</v>
      </c>
      <c r="W2134">
        <v>0.35607620000000001</v>
      </c>
      <c r="X2134">
        <v>0.93051320000000004</v>
      </c>
      <c r="Y2134">
        <v>-4.7358629999999999E-2</v>
      </c>
      <c r="Z2134">
        <v>-2.6650720000000001E-3</v>
      </c>
      <c r="AA2134">
        <v>0.99887440000000005</v>
      </c>
      <c r="AB2134">
        <v>54</v>
      </c>
      <c r="AC2134">
        <v>-13.291499999999999</v>
      </c>
      <c r="AD2134">
        <v>-1.1101813847869999</v>
      </c>
      <c r="AE2134">
        <v>-0.56329999999996905</v>
      </c>
      <c r="AF2134">
        <v>-0.64300395526252896</v>
      </c>
      <c r="AG2134">
        <v>-1.1101813847869999</v>
      </c>
      <c r="AH2134">
        <v>13.195769479717301</v>
      </c>
      <c r="AI2134">
        <v>94.803388820055204</v>
      </c>
      <c r="AJ2134">
        <v>92.789704333504204</v>
      </c>
      <c r="AK2134">
        <v>13.2579896272191</v>
      </c>
      <c r="AL2134">
        <v>69.140584126886296</v>
      </c>
      <c r="AM2134">
        <v>95.265819842628702</v>
      </c>
      <c r="AN2134">
        <v>1.0000000337911199</v>
      </c>
    </row>
    <row r="2135" spans="1:40" x14ac:dyDescent="0.25">
      <c r="A2135" t="str">
        <f>"20190304164411720"</f>
        <v>20190304164411720</v>
      </c>
      <c r="B2135" t="str">
        <f>"1551689051712146"</f>
        <v>1551689051712146</v>
      </c>
      <c r="C2135" t="s">
        <v>40</v>
      </c>
      <c r="D2135">
        <v>4.7919470000000004</v>
      </c>
      <c r="E2135">
        <v>0.52701069999999905</v>
      </c>
      <c r="F2135" t="s">
        <v>45</v>
      </c>
      <c r="G2135">
        <v>-349.8338</v>
      </c>
      <c r="H2135" s="1">
        <v>3.6962939999999999E-6</v>
      </c>
      <c r="I2135">
        <v>284.14229999999998</v>
      </c>
      <c r="J2135">
        <v>-336.68430000000001</v>
      </c>
      <c r="K2135">
        <v>1.110201</v>
      </c>
      <c r="L2135">
        <v>284.69639999999998</v>
      </c>
      <c r="M2135">
        <v>-0.99989790000000001</v>
      </c>
      <c r="N2135">
        <v>-1.2850169999999999E-2</v>
      </c>
      <c r="O2135">
        <v>6.2568019999999997E-3</v>
      </c>
      <c r="P2135">
        <v>-0.93564809999999998</v>
      </c>
      <c r="Q2135">
        <v>0.34378930000000002</v>
      </c>
      <c r="R2135">
        <v>-7.9823729999999996E-2</v>
      </c>
      <c r="S2135">
        <v>-3.2955930000000002</v>
      </c>
      <c r="T2135">
        <v>-0.27214829999999901</v>
      </c>
      <c r="U2135">
        <v>-0.135376</v>
      </c>
      <c r="V2135">
        <v>-8.5846339999999993E-2</v>
      </c>
      <c r="W2135">
        <v>0.35573660000000001</v>
      </c>
      <c r="X2135">
        <v>0.9306352</v>
      </c>
      <c r="Y2135">
        <v>-4.7094289999999997E-2</v>
      </c>
      <c r="Z2135">
        <v>-2.6790609999999999E-3</v>
      </c>
      <c r="AA2135">
        <v>0.99888690000000002</v>
      </c>
      <c r="AB2135">
        <v>54</v>
      </c>
      <c r="AC2135">
        <v>-13.1494999999999</v>
      </c>
      <c r="AD2135">
        <v>-1.110197303706</v>
      </c>
      <c r="AE2135">
        <v>-0.55410000000000503</v>
      </c>
      <c r="AF2135">
        <v>-0.63187360198119802</v>
      </c>
      <c r="AG2135">
        <v>-1.110197303706</v>
      </c>
      <c r="AH2135">
        <v>13.052896231063601</v>
      </c>
      <c r="AI2135">
        <v>94.855859371002495</v>
      </c>
      <c r="AJ2135">
        <v>92.771450083631507</v>
      </c>
      <c r="AK2135">
        <v>13.1152545656175</v>
      </c>
      <c r="AL2135">
        <v>69.161404339527806</v>
      </c>
      <c r="AM2135">
        <v>95.270327929786802</v>
      </c>
      <c r="AN2135">
        <v>0.99999999907499704</v>
      </c>
    </row>
    <row r="2136" spans="1:40" x14ac:dyDescent="0.25">
      <c r="A2136" t="str">
        <f>"20190304164411733"</f>
        <v>20190304164411733</v>
      </c>
      <c r="B2136" t="str">
        <f>"1551689051721906"</f>
        <v>1551689051721906</v>
      </c>
      <c r="C2136" t="s">
        <v>40</v>
      </c>
      <c r="D2136">
        <v>4.8540000000000001</v>
      </c>
      <c r="E2136">
        <v>0.52696109999999996</v>
      </c>
      <c r="F2136" t="s">
        <v>45</v>
      </c>
      <c r="G2136">
        <v>-350.01490000000001</v>
      </c>
      <c r="H2136" s="1">
        <v>-1.5288779999999999E-6</v>
      </c>
      <c r="I2136">
        <v>284.15320000000003</v>
      </c>
      <c r="J2136">
        <v>-336.99169999999998</v>
      </c>
      <c r="K2136">
        <v>1.110212</v>
      </c>
      <c r="L2136">
        <v>284.69830000000002</v>
      </c>
      <c r="M2136">
        <v>-0.99989600000000001</v>
      </c>
      <c r="N2136">
        <v>-1.3037730000000001E-2</v>
      </c>
      <c r="O2136">
        <v>6.1769360000000001E-3</v>
      </c>
      <c r="P2136">
        <v>-0.93567049999999996</v>
      </c>
      <c r="Q2136">
        <v>0.343779099999999</v>
      </c>
      <c r="R2136">
        <v>-7.9606529999999995E-2</v>
      </c>
      <c r="S2136">
        <v>-3.2957459999999998</v>
      </c>
      <c r="T2136">
        <v>-0.27447840000000001</v>
      </c>
      <c r="U2136">
        <v>-0.13430790000000001</v>
      </c>
      <c r="V2136">
        <v>-8.5553459999999998E-2</v>
      </c>
      <c r="W2136">
        <v>0.355902</v>
      </c>
      <c r="X2136">
        <v>0.93059899999999995</v>
      </c>
      <c r="Y2136">
        <v>-4.6687699999999999E-2</v>
      </c>
      <c r="Z2136">
        <v>-2.6780350000000001E-3</v>
      </c>
      <c r="AA2136">
        <v>0.99890599999999996</v>
      </c>
      <c r="AB2136">
        <v>54</v>
      </c>
      <c r="AC2136">
        <v>-13.023199999999999</v>
      </c>
      <c r="AD2136">
        <v>-1.110213528878</v>
      </c>
      <c r="AE2136">
        <v>-0.54509999999999004</v>
      </c>
      <c r="AF2136">
        <v>-0.62103450603472898</v>
      </c>
      <c r="AG2136">
        <v>-1.110213528878</v>
      </c>
      <c r="AH2136">
        <v>12.9258117278205</v>
      </c>
      <c r="AI2136">
        <v>94.903526207084198</v>
      </c>
      <c r="AJ2136">
        <v>92.750721948444607</v>
      </c>
      <c r="AK2136">
        <v>12.988258804029501</v>
      </c>
      <c r="AL2136">
        <v>69.151265384349102</v>
      </c>
      <c r="AM2136">
        <v>95.252651187124002</v>
      </c>
      <c r="AN2136">
        <v>1.0000000634614801</v>
      </c>
    </row>
    <row r="2137" spans="1:40" x14ac:dyDescent="0.25">
      <c r="A2137" t="str">
        <f>"20190304164411750"</f>
        <v>20190304164411750</v>
      </c>
      <c r="B2137" t="str">
        <f>"1551689051742402"</f>
        <v>1551689051742402</v>
      </c>
      <c r="C2137" t="s">
        <v>40</v>
      </c>
      <c r="D2137">
        <v>4.8612669999999998</v>
      </c>
      <c r="E2137">
        <v>0.52696309999999902</v>
      </c>
      <c r="F2137" t="s">
        <v>45</v>
      </c>
      <c r="G2137">
        <v>-350.29399999999998</v>
      </c>
      <c r="H2137" s="1">
        <v>-1.3803290000000001E-6</v>
      </c>
      <c r="I2137">
        <v>284.16180000000003</v>
      </c>
      <c r="J2137">
        <v>-337.37779999999998</v>
      </c>
      <c r="K2137">
        <v>1.1102270000000001</v>
      </c>
      <c r="L2137">
        <v>284.70060000000001</v>
      </c>
      <c r="M2137">
        <v>-0.99989380000000005</v>
      </c>
      <c r="N2137">
        <v>-1.3249149999999999E-2</v>
      </c>
      <c r="O2137">
        <v>6.0778780000000001E-3</v>
      </c>
      <c r="P2137">
        <v>-0.93560209999999999</v>
      </c>
      <c r="Q2137">
        <v>0.34393699999999999</v>
      </c>
      <c r="R2137">
        <v>-7.9725939999999995E-2</v>
      </c>
      <c r="S2137">
        <v>-3.2960509999999998</v>
      </c>
      <c r="T2137">
        <v>-0.27508949999999999</v>
      </c>
      <c r="U2137">
        <v>-0.13293460000000001</v>
      </c>
      <c r="V2137">
        <v>-8.5579290000000002E-2</v>
      </c>
      <c r="W2137">
        <v>0.35625570000000001</v>
      </c>
      <c r="X2137">
        <v>0.93046119999999999</v>
      </c>
      <c r="Y2137">
        <v>-4.6170660000000002E-2</v>
      </c>
      <c r="Z2137">
        <v>-2.6550129999999999E-3</v>
      </c>
      <c r="AA2137">
        <v>0.99892999999999998</v>
      </c>
      <c r="AB2137">
        <v>54</v>
      </c>
      <c r="AC2137">
        <v>-12.9162</v>
      </c>
      <c r="AD2137">
        <v>-1.1102283803290001</v>
      </c>
      <c r="AE2137">
        <v>-0.53879999999997996</v>
      </c>
      <c r="AF2137">
        <v>-0.61278037077844005</v>
      </c>
      <c r="AG2137">
        <v>-1.1102283803290001</v>
      </c>
      <c r="AH2137">
        <v>12.818144250952599</v>
      </c>
      <c r="AI2137">
        <v>94.9446329600936</v>
      </c>
      <c r="AJ2137">
        <v>92.736981151596197</v>
      </c>
      <c r="AK2137">
        <v>12.8807192686406</v>
      </c>
      <c r="AL2137">
        <v>69.129576847846096</v>
      </c>
      <c r="AM2137">
        <v>95.255001962104103</v>
      </c>
      <c r="AN2137">
        <v>0.99999999168241704</v>
      </c>
    </row>
    <row r="2138" spans="1:40" x14ac:dyDescent="0.25">
      <c r="A2138" t="str">
        <f>"20190304164411771"</f>
        <v>20190304164411771</v>
      </c>
      <c r="B2138" t="str">
        <f>"1551689051761922"</f>
        <v>1551689051761922</v>
      </c>
      <c r="C2138" t="s">
        <v>40</v>
      </c>
      <c r="D2138">
        <v>4.8663540000000003</v>
      </c>
      <c r="E2138">
        <v>0.52705199999999996</v>
      </c>
      <c r="F2138" t="s">
        <v>45</v>
      </c>
      <c r="G2138">
        <v>-350.66300000000001</v>
      </c>
      <c r="H2138" s="1">
        <v>-1.1839640000000001E-6</v>
      </c>
      <c r="I2138">
        <v>284.16919999999999</v>
      </c>
      <c r="J2138">
        <v>-337.89920000000001</v>
      </c>
      <c r="K2138">
        <v>1.1102369999999999</v>
      </c>
      <c r="L2138">
        <v>284.70370000000003</v>
      </c>
      <c r="M2138">
        <v>-0.99989110000000003</v>
      </c>
      <c r="N2138">
        <v>-1.350901E-2</v>
      </c>
      <c r="O2138">
        <v>5.9446100000000003E-3</v>
      </c>
      <c r="P2138">
        <v>-0.935249</v>
      </c>
      <c r="Q2138">
        <v>0.34492539999999999</v>
      </c>
      <c r="R2138">
        <v>-7.9599420000000004E-2</v>
      </c>
      <c r="S2138">
        <v>-3.2965390000000001</v>
      </c>
      <c r="T2138">
        <v>-0.27548679999999998</v>
      </c>
      <c r="U2138">
        <v>-0.1318665</v>
      </c>
      <c r="V2138">
        <v>-8.5325300000000007E-2</v>
      </c>
      <c r="W2138">
        <v>0.35748170000000001</v>
      </c>
      <c r="X2138">
        <v>0.93001429999999996</v>
      </c>
      <c r="Y2138">
        <v>-4.5709739999999999E-2</v>
      </c>
      <c r="Z2138">
        <v>-2.6309480000000001E-3</v>
      </c>
      <c r="AA2138">
        <v>0.99895129999999999</v>
      </c>
      <c r="AB2138">
        <v>54</v>
      </c>
      <c r="AC2138">
        <v>-12.7638</v>
      </c>
      <c r="AD2138">
        <v>-1.1102381839640001</v>
      </c>
      <c r="AE2138">
        <v>-0.53450000000003595</v>
      </c>
      <c r="AF2138">
        <v>-0.60579778415789398</v>
      </c>
      <c r="AG2138">
        <v>-1.1102381839640001</v>
      </c>
      <c r="AH2138">
        <v>12.664741729272</v>
      </c>
      <c r="AI2138">
        <v>95.004260221658896</v>
      </c>
      <c r="AJ2138">
        <v>92.738565143320201</v>
      </c>
      <c r="AK2138">
        <v>12.7277375385253</v>
      </c>
      <c r="AL2138">
        <v>69.054382959789905</v>
      </c>
      <c r="AM2138">
        <v>95.241996332550798</v>
      </c>
      <c r="AN2138">
        <v>1.00000008542973</v>
      </c>
    </row>
    <row r="2139" spans="1:40" x14ac:dyDescent="0.25">
      <c r="A2139" t="str">
        <f>"20190304164411793"</f>
        <v>20190304164411793</v>
      </c>
      <c r="B2139" t="str">
        <f>"1551689051782418"</f>
        <v>1551689051782418</v>
      </c>
      <c r="C2139" t="s">
        <v>40</v>
      </c>
      <c r="D2139">
        <v>4.8526049999999996</v>
      </c>
      <c r="E2139">
        <v>0.52700579999999997</v>
      </c>
      <c r="F2139" t="s">
        <v>45</v>
      </c>
      <c r="G2139">
        <v>-351.30849999999998</v>
      </c>
      <c r="H2139" s="1">
        <v>-8.4048310000000004E-7</v>
      </c>
      <c r="I2139">
        <v>284.1728</v>
      </c>
      <c r="J2139">
        <v>-338.41640000000001</v>
      </c>
      <c r="K2139">
        <v>1.110244</v>
      </c>
      <c r="L2139">
        <v>284.70670000000001</v>
      </c>
      <c r="M2139">
        <v>-0.99988900000000003</v>
      </c>
      <c r="N2139">
        <v>-1.3736089999999999E-2</v>
      </c>
      <c r="O2139">
        <v>5.8124400000000003E-3</v>
      </c>
      <c r="P2139">
        <v>-0.93527979999999999</v>
      </c>
      <c r="Q2139">
        <v>0.34475450000000002</v>
      </c>
      <c r="R2139">
        <v>-7.9978079999999993E-2</v>
      </c>
      <c r="S2139">
        <v>-3.2972410000000001</v>
      </c>
      <c r="T2139">
        <v>-0.27299980000000001</v>
      </c>
      <c r="U2139">
        <v>-0.13055419999999901</v>
      </c>
      <c r="V2139">
        <v>-8.5579749999999996E-2</v>
      </c>
      <c r="W2139">
        <v>0.35752260000000002</v>
      </c>
      <c r="X2139">
        <v>0.92997510000000005</v>
      </c>
      <c r="Y2139">
        <v>-4.5177849999999999E-2</v>
      </c>
      <c r="Z2139">
        <v>-2.5779520000000001E-3</v>
      </c>
      <c r="AA2139">
        <v>0.99897559999999996</v>
      </c>
      <c r="AB2139">
        <v>54</v>
      </c>
      <c r="AC2139">
        <v>-12.8920999999999</v>
      </c>
      <c r="AD2139">
        <v>-1.1102448404831</v>
      </c>
      <c r="AE2139">
        <v>-0.53390000000001603</v>
      </c>
      <c r="AF2139">
        <v>-0.604358132273636</v>
      </c>
      <c r="AG2139">
        <v>-1.1102448404831</v>
      </c>
      <c r="AH2139">
        <v>12.794055887951</v>
      </c>
      <c r="AI2139">
        <v>94.954102222739493</v>
      </c>
      <c r="AJ2139">
        <v>92.704494152708193</v>
      </c>
      <c r="AK2139">
        <v>12.8563508983645</v>
      </c>
      <c r="AL2139">
        <v>69.051871747339504</v>
      </c>
      <c r="AM2139">
        <v>95.257761475455396</v>
      </c>
      <c r="AN2139">
        <v>0.99999999487041602</v>
      </c>
    </row>
    <row r="2140" spans="1:40" x14ac:dyDescent="0.25">
      <c r="A2140" t="str">
        <f>"20190304164411806"</f>
        <v>20190304164411806</v>
      </c>
      <c r="B2140" t="str">
        <f>"1551689051801938"</f>
        <v>1551689051801938</v>
      </c>
      <c r="C2140" t="s">
        <v>40</v>
      </c>
      <c r="D2140">
        <v>4.8934170000000003</v>
      </c>
      <c r="E2140">
        <v>0.52697439999999995</v>
      </c>
      <c r="F2140" t="s">
        <v>45</v>
      </c>
      <c r="G2140">
        <v>-351.7946</v>
      </c>
      <c r="H2140" s="1">
        <v>-5.818031E-7</v>
      </c>
      <c r="I2140">
        <v>284.16879999999998</v>
      </c>
      <c r="J2140">
        <v>-338.7466</v>
      </c>
      <c r="K2140">
        <v>1.1102479999999999</v>
      </c>
      <c r="L2140">
        <v>284.70859999999999</v>
      </c>
      <c r="M2140">
        <v>-0.99988750000000004</v>
      </c>
      <c r="N2140">
        <v>-1.386391E-2</v>
      </c>
      <c r="O2140">
        <v>5.7295369999999998E-3</v>
      </c>
      <c r="P2140">
        <v>-0.93547860000000005</v>
      </c>
      <c r="Q2140">
        <v>0.34412090000000001</v>
      </c>
      <c r="R2140">
        <v>-8.0377030000000002E-2</v>
      </c>
      <c r="S2140">
        <v>-3.2971189999999999</v>
      </c>
      <c r="T2140">
        <v>-0.27362500000000001</v>
      </c>
      <c r="U2140">
        <v>-0.1325684</v>
      </c>
      <c r="V2140">
        <v>-8.5900589999999999E-2</v>
      </c>
      <c r="W2140">
        <v>0.35701129999999998</v>
      </c>
      <c r="X2140">
        <v>0.93014189999999997</v>
      </c>
      <c r="Y2140">
        <v>-4.570283E-2</v>
      </c>
      <c r="Z2140">
        <v>-2.6051949999999998E-3</v>
      </c>
      <c r="AA2140">
        <v>0.9989517</v>
      </c>
      <c r="AB2140">
        <v>54</v>
      </c>
      <c r="AC2140">
        <v>-13.048</v>
      </c>
      <c r="AD2140">
        <v>-1.1102485818030901</v>
      </c>
      <c r="AE2140">
        <v>-0.53980000000001305</v>
      </c>
      <c r="AF2140">
        <v>-0.61014726005358699</v>
      </c>
      <c r="AG2140">
        <v>-1.1102485818030901</v>
      </c>
      <c r="AH2140">
        <v>12.9510840308136</v>
      </c>
      <c r="AI2140">
        <v>94.894373962261696</v>
      </c>
      <c r="AJ2140">
        <v>92.697305749884094</v>
      </c>
      <c r="AK2140">
        <v>13.0128978004725</v>
      </c>
      <c r="AL2140">
        <v>69.083236509974498</v>
      </c>
      <c r="AM2140">
        <v>95.276420792715797</v>
      </c>
      <c r="AN2140">
        <v>0.999999966912823</v>
      </c>
    </row>
    <row r="2141" spans="1:40" x14ac:dyDescent="0.25">
      <c r="A2141" t="str">
        <f>"20190304164411820"</f>
        <v>20190304164411820</v>
      </c>
      <c r="B2141" t="str">
        <f>"1551689051811697"</f>
        <v>1551689051811697</v>
      </c>
      <c r="C2141" t="s">
        <v>40</v>
      </c>
      <c r="D2141">
        <v>4.898409</v>
      </c>
      <c r="E2141">
        <v>0.5269857</v>
      </c>
      <c r="F2141" t="s">
        <v>45</v>
      </c>
      <c r="G2141">
        <v>-351.9162</v>
      </c>
      <c r="H2141" s="1">
        <v>-5.1709660000000005E-7</v>
      </c>
      <c r="I2141">
        <v>284.17270000000002</v>
      </c>
      <c r="J2141">
        <v>-339.05790000000002</v>
      </c>
      <c r="K2141">
        <v>1.1102459999999901</v>
      </c>
      <c r="L2141">
        <v>284.71030000000002</v>
      </c>
      <c r="M2141">
        <v>-0.99988650000000001</v>
      </c>
      <c r="N2141">
        <v>-1.3977069999999999E-2</v>
      </c>
      <c r="O2141">
        <v>5.6517440000000002E-3</v>
      </c>
      <c r="P2141">
        <v>-0.93558240000000004</v>
      </c>
      <c r="Q2141">
        <v>0.34373629999999999</v>
      </c>
      <c r="R2141">
        <v>-8.0815139999999994E-2</v>
      </c>
      <c r="S2141">
        <v>-3.2976679999999998</v>
      </c>
      <c r="T2141">
        <v>-0.278007</v>
      </c>
      <c r="U2141">
        <v>-0.13418579999999999</v>
      </c>
      <c r="V2141">
        <v>-8.6265209999999995E-2</v>
      </c>
      <c r="W2141">
        <v>0.35673339999999998</v>
      </c>
      <c r="X2141">
        <v>0.93021480000000001</v>
      </c>
      <c r="Y2141">
        <v>-4.610003E-2</v>
      </c>
      <c r="Z2141">
        <v>-2.6585490000000001E-3</v>
      </c>
      <c r="AA2141">
        <v>0.99893330000000002</v>
      </c>
      <c r="AB2141">
        <v>54</v>
      </c>
      <c r="AC2141">
        <v>-12.8582999999999</v>
      </c>
      <c r="AD2141">
        <v>-1.1102465170965901</v>
      </c>
      <c r="AE2141">
        <v>-0.53759999999999697</v>
      </c>
      <c r="AF2141">
        <v>-0.60576199487031801</v>
      </c>
      <c r="AG2141">
        <v>-1.1102465170965901</v>
      </c>
      <c r="AH2141">
        <v>12.7600901795987</v>
      </c>
      <c r="AI2141">
        <v>94.967175920204795</v>
      </c>
      <c r="AJ2141">
        <v>92.717971963393694</v>
      </c>
      <c r="AK2141">
        <v>12.8226165939189</v>
      </c>
      <c r="AL2141">
        <v>69.100281854261198</v>
      </c>
      <c r="AM2141">
        <v>95.298277376236101</v>
      </c>
      <c r="AN2141">
        <v>0.99999998963547199</v>
      </c>
    </row>
    <row r="2142" spans="1:40" x14ac:dyDescent="0.25">
      <c r="A2142" t="str">
        <f>"20190304164411833"</f>
        <v>20190304164411833</v>
      </c>
      <c r="B2142" t="str">
        <f>"1551689051822434"</f>
        <v>1551689051822434</v>
      </c>
      <c r="C2142" t="s">
        <v>40</v>
      </c>
      <c r="D2142">
        <v>4.8995419999999896</v>
      </c>
      <c r="E2142">
        <v>0.52694510000000006</v>
      </c>
      <c r="F2142" t="s">
        <v>45</v>
      </c>
      <c r="G2142">
        <v>-352.12400000000002</v>
      </c>
      <c r="H2142" s="1">
        <v>-4.0652839999999999E-7</v>
      </c>
      <c r="I2142">
        <v>284.17189999999999</v>
      </c>
      <c r="J2142">
        <v>-339.3947</v>
      </c>
      <c r="K2142">
        <v>1.1102430000000001</v>
      </c>
      <c r="L2142">
        <v>284.7122</v>
      </c>
      <c r="M2142">
        <v>-0.99988529999999998</v>
      </c>
      <c r="N2142">
        <v>-1.4090770000000001E-2</v>
      </c>
      <c r="O2142">
        <v>5.5687649999999998E-3</v>
      </c>
      <c r="P2142">
        <v>-0.93574900000000005</v>
      </c>
      <c r="Q2142">
        <v>0.34323609999999999</v>
      </c>
      <c r="R2142">
        <v>-8.1013050000000003E-2</v>
      </c>
      <c r="S2142">
        <v>-3.2977599999999998</v>
      </c>
      <c r="T2142">
        <v>-0.28021659999999998</v>
      </c>
      <c r="U2142">
        <v>-0.13589479999999901</v>
      </c>
      <c r="V2142">
        <v>-8.6384150000000007E-2</v>
      </c>
      <c r="W2142">
        <v>0.35634179999999999</v>
      </c>
      <c r="X2142">
        <v>0.93035389999999996</v>
      </c>
      <c r="Y2142">
        <v>-4.6527970000000002E-2</v>
      </c>
      <c r="Z2142">
        <v>-2.6948739999999999E-3</v>
      </c>
      <c r="AA2142">
        <v>0.9989133</v>
      </c>
      <c r="AB2142">
        <v>54</v>
      </c>
      <c r="AC2142">
        <v>-12.7293</v>
      </c>
      <c r="AD2142">
        <v>-1.1102434065283999</v>
      </c>
      <c r="AE2142">
        <v>-0.540300000000002</v>
      </c>
      <c r="AF2142">
        <v>-0.60657903654460399</v>
      </c>
      <c r="AG2142">
        <v>-1.1102434065283999</v>
      </c>
      <c r="AH2142">
        <v>12.630185365881299</v>
      </c>
      <c r="AI2142">
        <v>95.017859612487996</v>
      </c>
      <c r="AJ2142">
        <v>92.749582383414193</v>
      </c>
      <c r="AK2142">
        <v>12.6933904425034</v>
      </c>
      <c r="AL2142">
        <v>69.124298233496802</v>
      </c>
      <c r="AM2142">
        <v>95.304752108741795</v>
      </c>
      <c r="AN2142">
        <v>1.00000003952183</v>
      </c>
    </row>
    <row r="2143" spans="1:40" x14ac:dyDescent="0.25">
      <c r="A2143" t="str">
        <f>"20190304164411849"</f>
        <v>20190304164411849</v>
      </c>
      <c r="B2143" t="str">
        <f>"1551689051841953"</f>
        <v>1551689051841953</v>
      </c>
      <c r="C2143" t="s">
        <v>40</v>
      </c>
      <c r="D2143">
        <v>4.8924949999999896</v>
      </c>
      <c r="E2143">
        <v>0.52689960000000002</v>
      </c>
      <c r="F2143" t="s">
        <v>45</v>
      </c>
      <c r="G2143">
        <v>-352.35469999999998</v>
      </c>
      <c r="H2143" s="1">
        <v>-2.8371450000000001E-7</v>
      </c>
      <c r="I2143">
        <v>284.17349999999999</v>
      </c>
      <c r="J2143">
        <v>-339.78030000000001</v>
      </c>
      <c r="K2143">
        <v>1.1102459999999901</v>
      </c>
      <c r="L2143">
        <v>284.71429999999998</v>
      </c>
      <c r="M2143">
        <v>-0.99988410000000005</v>
      </c>
      <c r="N2143">
        <v>-1.4206119999999999E-2</v>
      </c>
      <c r="O2143">
        <v>5.4770299999999999E-3</v>
      </c>
      <c r="P2143">
        <v>-0.93595810000000002</v>
      </c>
      <c r="Q2143">
        <v>0.34242509999999998</v>
      </c>
      <c r="R2143">
        <v>-8.2021120000000003E-2</v>
      </c>
      <c r="S2143">
        <v>-3.2977599999999998</v>
      </c>
      <c r="T2143">
        <v>-0.28250829999999999</v>
      </c>
      <c r="U2143">
        <v>-0.13708499999999901</v>
      </c>
      <c r="V2143">
        <v>-8.7303800000000001E-2</v>
      </c>
      <c r="W2143">
        <v>0.35564210000000002</v>
      </c>
      <c r="X2143">
        <v>0.93053569999999997</v>
      </c>
      <c r="Y2143">
        <v>-4.6791920000000001E-2</v>
      </c>
      <c r="Z2143">
        <v>-2.7234609999999999E-3</v>
      </c>
      <c r="AA2143">
        <v>0.99890089999999998</v>
      </c>
      <c r="AB2143">
        <v>54</v>
      </c>
      <c r="AC2143">
        <v>-12.574399999999899</v>
      </c>
      <c r="AD2143">
        <v>-1.11024628371449</v>
      </c>
      <c r="AE2143">
        <v>-0.54079999999998996</v>
      </c>
      <c r="AF2143">
        <v>-0.60496171228562701</v>
      </c>
      <c r="AG2143">
        <v>-1.11024628371449</v>
      </c>
      <c r="AH2143">
        <v>12.4741816338924</v>
      </c>
      <c r="AI2143">
        <v>95.080185725578303</v>
      </c>
      <c r="AJ2143">
        <v>92.776504120392204</v>
      </c>
      <c r="AK2143">
        <v>12.5380952667928</v>
      </c>
      <c r="AL2143">
        <v>69.167197077450993</v>
      </c>
      <c r="AM2143">
        <v>95.359858190050403</v>
      </c>
      <c r="AN2143">
        <v>0.999999972880669</v>
      </c>
    </row>
    <row r="2144" spans="1:40" x14ac:dyDescent="0.25">
      <c r="A2144" t="str">
        <f>"20190304164411862"</f>
        <v>20190304164411862</v>
      </c>
      <c r="B2144" t="str">
        <f>"1551689051851714"</f>
        <v>1551689051851714</v>
      </c>
      <c r="C2144" t="s">
        <v>40</v>
      </c>
      <c r="D2144">
        <v>4.9028179999999999</v>
      </c>
      <c r="E2144">
        <v>0.52685719999999903</v>
      </c>
      <c r="F2144" t="s">
        <v>45</v>
      </c>
      <c r="G2144">
        <v>-352.57839999999999</v>
      </c>
      <c r="H2144" s="1">
        <v>-1.6468650000000001E-7</v>
      </c>
      <c r="I2144">
        <v>284.16930000000002</v>
      </c>
      <c r="J2144">
        <v>-340.08850000000001</v>
      </c>
      <c r="K2144">
        <v>1.110249</v>
      </c>
      <c r="L2144">
        <v>284.71589999999998</v>
      </c>
      <c r="M2144">
        <v>-0.99988330000000003</v>
      </c>
      <c r="N2144">
        <v>-1.429072E-2</v>
      </c>
      <c r="O2144">
        <v>5.4063790000000002E-3</v>
      </c>
      <c r="P2144">
        <v>-0.93599030000000005</v>
      </c>
      <c r="Q2144">
        <v>0.34227760000000002</v>
      </c>
      <c r="R2144">
        <v>-8.2271330000000004E-2</v>
      </c>
      <c r="S2144">
        <v>-3.2976380000000001</v>
      </c>
      <c r="T2144">
        <v>-0.28607270000000001</v>
      </c>
      <c r="U2144">
        <v>-0.14044189999999901</v>
      </c>
      <c r="V2144">
        <v>-8.7485480000000004E-2</v>
      </c>
      <c r="W2144">
        <v>0.35557440000000001</v>
      </c>
      <c r="X2144">
        <v>0.93054460000000006</v>
      </c>
      <c r="Y2144">
        <v>-4.772875E-2</v>
      </c>
      <c r="Z2144">
        <v>-2.7982189999999998E-3</v>
      </c>
      <c r="AA2144">
        <v>0.99885639999999998</v>
      </c>
      <c r="AB2144">
        <v>54</v>
      </c>
      <c r="AC2144">
        <v>-12.489899999999899</v>
      </c>
      <c r="AD2144">
        <v>-1.1102491646865</v>
      </c>
      <c r="AE2144">
        <v>-0.54659999999995501</v>
      </c>
      <c r="AF2144">
        <v>-0.609318561007272</v>
      </c>
      <c r="AG2144">
        <v>-1.1102491646865</v>
      </c>
      <c r="AH2144">
        <v>12.389053992816301</v>
      </c>
      <c r="AI2144">
        <v>95.114751570060506</v>
      </c>
      <c r="AJ2144">
        <v>92.815652755200404</v>
      </c>
      <c r="AK2144">
        <v>12.4536171915388</v>
      </c>
      <c r="AL2144">
        <v>69.171349131871196</v>
      </c>
      <c r="AM2144">
        <v>95.370895874505294</v>
      </c>
      <c r="AN2144">
        <v>1.00000005786767</v>
      </c>
    </row>
    <row r="2145" spans="1:40" x14ac:dyDescent="0.25">
      <c r="A2145" t="str">
        <f>"20190304164411876"</f>
        <v>20190304164411876</v>
      </c>
      <c r="B2145" t="str">
        <f>"1551689051872211"</f>
        <v>1551689051872211</v>
      </c>
      <c r="C2145" t="s">
        <v>40</v>
      </c>
      <c r="D2145">
        <v>4.9229039999999999</v>
      </c>
      <c r="E2145">
        <v>0.52686460000000002</v>
      </c>
      <c r="F2145" t="s">
        <v>45</v>
      </c>
      <c r="G2145">
        <v>-352.83319999999998</v>
      </c>
      <c r="H2145" s="1">
        <v>-2.908627E-8</v>
      </c>
      <c r="I2145">
        <v>284.16800000000001</v>
      </c>
      <c r="J2145">
        <v>-340.40170000000001</v>
      </c>
      <c r="K2145">
        <v>1.110252</v>
      </c>
      <c r="L2145">
        <v>284.7176</v>
      </c>
      <c r="M2145">
        <v>-0.99988250000000001</v>
      </c>
      <c r="N2145">
        <v>-1.437168E-2</v>
      </c>
      <c r="O2145">
        <v>5.3367750000000002E-3</v>
      </c>
      <c r="P2145">
        <v>-0.93581859999999994</v>
      </c>
      <c r="Q2145">
        <v>0.34267300000000001</v>
      </c>
      <c r="R2145">
        <v>-8.2574739999999994E-2</v>
      </c>
      <c r="S2145">
        <v>-3.2977599999999998</v>
      </c>
      <c r="T2145">
        <v>-0.2872828</v>
      </c>
      <c r="U2145">
        <v>-0.14178470000000001</v>
      </c>
      <c r="V2145">
        <v>-8.7719409999999998E-2</v>
      </c>
      <c r="W2145">
        <v>0.3560432</v>
      </c>
      <c r="X2145">
        <v>0.93034329999999998</v>
      </c>
      <c r="Y2145">
        <v>-4.8060449999999998E-2</v>
      </c>
      <c r="Z2145">
        <v>-2.8220440000000001E-3</v>
      </c>
      <c r="AA2145">
        <v>0.99884050000000002</v>
      </c>
      <c r="AB2145">
        <v>54</v>
      </c>
      <c r="AC2145">
        <v>-12.4314999999999</v>
      </c>
      <c r="AD2145">
        <v>-1.1102520290862701</v>
      </c>
      <c r="AE2145">
        <v>-0.54959999999999798</v>
      </c>
      <c r="AF2145">
        <v>-0.61107856405071503</v>
      </c>
      <c r="AG2145">
        <v>-1.1102520290862701</v>
      </c>
      <c r="AH2145">
        <v>12.330232972703399</v>
      </c>
      <c r="AI2145">
        <v>95.138939191216394</v>
      </c>
      <c r="AJ2145">
        <v>92.837221328122396</v>
      </c>
      <c r="AK2145">
        <v>12.395189459652199</v>
      </c>
      <c r="AL2145">
        <v>69.142607966461597</v>
      </c>
      <c r="AM2145">
        <v>95.386331300462203</v>
      </c>
      <c r="AN2145">
        <v>1.0000000555059301</v>
      </c>
    </row>
    <row r="2146" spans="1:40" x14ac:dyDescent="0.25">
      <c r="A2146" t="str">
        <f>"20190304164411888"</f>
        <v>20190304164411888</v>
      </c>
      <c r="B2146" t="str">
        <f>"1551689051881970"</f>
        <v>1551689051881970</v>
      </c>
      <c r="C2146" t="s">
        <v>40</v>
      </c>
      <c r="D2146">
        <v>4.9227509999999999</v>
      </c>
      <c r="E2146">
        <v>0.52685509999999902</v>
      </c>
      <c r="F2146" t="s">
        <v>45</v>
      </c>
      <c r="G2146">
        <v>-353.1388</v>
      </c>
      <c r="H2146" s="1">
        <v>1.335304E-7</v>
      </c>
      <c r="I2146">
        <v>284.16379999999998</v>
      </c>
      <c r="J2146">
        <v>-340.71969999999999</v>
      </c>
      <c r="K2146">
        <v>1.1102590000000001</v>
      </c>
      <c r="L2146">
        <v>284.71929999999998</v>
      </c>
      <c r="M2146">
        <v>-0.99988189999999999</v>
      </c>
      <c r="N2146">
        <v>-1.444496E-2</v>
      </c>
      <c r="O2146">
        <v>5.269864E-3</v>
      </c>
      <c r="P2146">
        <v>-0.93561589999999994</v>
      </c>
      <c r="Q2146">
        <v>0.34320279999999997</v>
      </c>
      <c r="R2146">
        <v>-8.2674440000000002E-2</v>
      </c>
      <c r="S2146">
        <v>-3.29834</v>
      </c>
      <c r="T2146">
        <v>-0.28750540000000002</v>
      </c>
      <c r="U2146">
        <v>-0.1434021</v>
      </c>
      <c r="V2146">
        <v>-8.7750839999999997E-2</v>
      </c>
      <c r="W2146">
        <v>0.35663929999999999</v>
      </c>
      <c r="X2146">
        <v>0.93011189999999999</v>
      </c>
      <c r="Y2146">
        <v>-4.8472939999999999E-2</v>
      </c>
      <c r="Z2146">
        <v>-2.8409899999999998E-3</v>
      </c>
      <c r="AA2146">
        <v>0.9988205</v>
      </c>
      <c r="AB2146">
        <v>54</v>
      </c>
      <c r="AC2146">
        <v>-12.4191</v>
      </c>
      <c r="AD2146">
        <v>-1.1102588664696</v>
      </c>
      <c r="AE2146">
        <v>-0.555499999999995</v>
      </c>
      <c r="AF2146">
        <v>-0.61603242878104503</v>
      </c>
      <c r="AG2146">
        <v>-1.1102588664696</v>
      </c>
      <c r="AH2146">
        <v>12.317750016643499</v>
      </c>
      <c r="AI2146">
        <v>95.144035683419503</v>
      </c>
      <c r="AJ2146">
        <v>92.863077674188801</v>
      </c>
      <c r="AK2146">
        <v>12.383018056047799</v>
      </c>
      <c r="AL2146">
        <v>69.106052632467396</v>
      </c>
      <c r="AM2146">
        <v>95.389582509735405</v>
      </c>
      <c r="AN2146">
        <v>0.99999997337340196</v>
      </c>
    </row>
    <row r="2147" spans="1:40" x14ac:dyDescent="0.25">
      <c r="A2147" t="str">
        <f>"20190304164411900"</f>
        <v>20190304164411900</v>
      </c>
      <c r="B2147" t="str">
        <f>"1551689051891730"</f>
        <v>1551689051891730</v>
      </c>
      <c r="C2147" t="s">
        <v>40</v>
      </c>
      <c r="D2147">
        <v>4.924391</v>
      </c>
      <c r="E2147">
        <v>0.52684280000000006</v>
      </c>
      <c r="F2147" t="s">
        <v>45</v>
      </c>
      <c r="G2147">
        <v>-353.53640000000001</v>
      </c>
      <c r="H2147" s="1">
        <v>3.4511440000000002E-7</v>
      </c>
      <c r="I2147">
        <v>284.15550000000002</v>
      </c>
      <c r="J2147">
        <v>-341.01010000000002</v>
      </c>
      <c r="K2147">
        <v>1.1102639999999999</v>
      </c>
      <c r="L2147">
        <v>284.7208</v>
      </c>
      <c r="M2147">
        <v>-0.99988129999999997</v>
      </c>
      <c r="N2147">
        <v>-1.450721E-2</v>
      </c>
      <c r="O2147">
        <v>5.2113120000000001E-3</v>
      </c>
      <c r="P2147">
        <v>-0.93535670000000004</v>
      </c>
      <c r="Q2147">
        <v>0.3438541</v>
      </c>
      <c r="R2147">
        <v>-8.2899249999999994E-2</v>
      </c>
      <c r="S2147">
        <v>-3.2984309999999999</v>
      </c>
      <c r="T2147">
        <v>-0.28572989999999998</v>
      </c>
      <c r="U2147">
        <v>-0.1450806</v>
      </c>
      <c r="V2147">
        <v>-8.7916140000000004E-2</v>
      </c>
      <c r="W2147">
        <v>0.35734579999999999</v>
      </c>
      <c r="X2147">
        <v>0.92982509999999996</v>
      </c>
      <c r="Y2147">
        <v>-4.8921310000000003E-2</v>
      </c>
      <c r="Z2147">
        <v>-2.844708E-3</v>
      </c>
      <c r="AA2147">
        <v>0.99879859999999998</v>
      </c>
      <c r="AB2147">
        <v>54</v>
      </c>
      <c r="AC2147">
        <v>-12.5262999999999</v>
      </c>
      <c r="AD2147">
        <v>-1.1102636548856</v>
      </c>
      <c r="AE2147">
        <v>-0.56529999999997904</v>
      </c>
      <c r="AF2147">
        <v>-0.62567229297950699</v>
      </c>
      <c r="AG2147">
        <v>-1.1102636548856</v>
      </c>
      <c r="AH2147">
        <v>12.425764052255101</v>
      </c>
      <c r="AI2147">
        <v>95.0994919569019</v>
      </c>
      <c r="AJ2147">
        <v>92.882569704193898</v>
      </c>
      <c r="AK2147">
        <v>12.490947261272</v>
      </c>
      <c r="AL2147">
        <v>69.062718122866698</v>
      </c>
      <c r="AM2147">
        <v>95.401330799594703</v>
      </c>
      <c r="AN2147">
        <v>0.99999999252007399</v>
      </c>
    </row>
    <row r="2148" spans="1:40" x14ac:dyDescent="0.25">
      <c r="A2148" t="str">
        <f>"20190304164411917"</f>
        <v>20190304164411917</v>
      </c>
      <c r="B2148" t="str">
        <f>"1551689051912226"</f>
        <v>1551689051912226</v>
      </c>
      <c r="C2148" t="s">
        <v>40</v>
      </c>
      <c r="D2148">
        <v>4.9446309999999896</v>
      </c>
      <c r="E2148">
        <v>0.52682309999999999</v>
      </c>
      <c r="F2148" t="s">
        <v>45</v>
      </c>
      <c r="G2148">
        <v>-353.92649999999998</v>
      </c>
      <c r="H2148" s="1">
        <v>5.527016E-7</v>
      </c>
      <c r="I2148">
        <v>284.14830000000001</v>
      </c>
      <c r="J2148">
        <v>-341.3766</v>
      </c>
      <c r="K2148">
        <v>1.1102700000000001</v>
      </c>
      <c r="L2148">
        <v>284.72269999999997</v>
      </c>
      <c r="M2148">
        <v>-0.99988049999999995</v>
      </c>
      <c r="N2148">
        <v>-1.4580020000000001E-2</v>
      </c>
      <c r="O2148">
        <v>5.1397709999999996E-3</v>
      </c>
      <c r="P2148">
        <v>-0.93488870000000002</v>
      </c>
      <c r="Q2148">
        <v>0.34515220000000002</v>
      </c>
      <c r="R2148">
        <v>-8.2785739999999997E-2</v>
      </c>
      <c r="S2148">
        <v>-3.298645</v>
      </c>
      <c r="T2148">
        <v>-0.28354370000000001</v>
      </c>
      <c r="U2148">
        <v>-0.1462097</v>
      </c>
      <c r="V2148">
        <v>-8.7727910000000006E-2</v>
      </c>
      <c r="W2148">
        <v>0.35870590000000002</v>
      </c>
      <c r="X2148">
        <v>0.92931900000000001</v>
      </c>
      <c r="Y2148">
        <v>-4.9190419999999999E-2</v>
      </c>
      <c r="Z2148">
        <v>-2.8347860000000002E-3</v>
      </c>
      <c r="AA2148">
        <v>0.99878540000000005</v>
      </c>
      <c r="AB2148">
        <v>54</v>
      </c>
      <c r="AC2148">
        <v>-12.5498999999999</v>
      </c>
      <c r="AD2148">
        <v>-1.1102694472984</v>
      </c>
      <c r="AE2148">
        <v>-0.57439999999996805</v>
      </c>
      <c r="AF2148">
        <v>-0.63395153183361697</v>
      </c>
      <c r="AG2148">
        <v>-1.1102694472984</v>
      </c>
      <c r="AH2148">
        <v>12.4495469665183</v>
      </c>
      <c r="AI2148">
        <v>95.089682345264507</v>
      </c>
      <c r="AJ2148">
        <v>92.915078026558405</v>
      </c>
      <c r="AK2148">
        <v>12.515023470288201</v>
      </c>
      <c r="AL2148">
        <v>68.979256871849401</v>
      </c>
      <c r="AM2148">
        <v>95.3927525935744</v>
      </c>
      <c r="AN2148">
        <v>0.99999995632438798</v>
      </c>
    </row>
    <row r="2149" spans="1:40" x14ac:dyDescent="0.25">
      <c r="A2149" t="str">
        <f>"20190304164411929"</f>
        <v>20190304164411929</v>
      </c>
      <c r="B2149" t="str">
        <f>"1551689051921986"</f>
        <v>1551689051921986</v>
      </c>
      <c r="C2149" t="s">
        <v>40</v>
      </c>
      <c r="D2149">
        <v>4.9428919999999996</v>
      </c>
      <c r="E2149">
        <v>0.52683669999999905</v>
      </c>
      <c r="F2149" t="s">
        <v>45</v>
      </c>
      <c r="G2149">
        <v>-354.49340000000001</v>
      </c>
      <c r="H2149" s="1">
        <v>8.5440249999999999E-7</v>
      </c>
      <c r="I2149">
        <v>284.14319999999998</v>
      </c>
      <c r="J2149">
        <v>-341.70299999999997</v>
      </c>
      <c r="K2149">
        <v>1.1102669999999999</v>
      </c>
      <c r="L2149">
        <v>284.72430000000003</v>
      </c>
      <c r="M2149">
        <v>-0.99987999999999999</v>
      </c>
      <c r="N2149">
        <v>-1.4637560000000001E-2</v>
      </c>
      <c r="O2149">
        <v>5.0789399999999997E-3</v>
      </c>
      <c r="P2149">
        <v>-0.93483340000000004</v>
      </c>
      <c r="Q2149">
        <v>0.34537319999999999</v>
      </c>
      <c r="R2149">
        <v>-8.2486139999999999E-2</v>
      </c>
      <c r="S2149">
        <v>-3.2991640000000002</v>
      </c>
      <c r="T2149">
        <v>-0.27925499999999998</v>
      </c>
      <c r="U2149">
        <v>-0.14575199999999999</v>
      </c>
      <c r="V2149">
        <v>-8.7367040000000007E-2</v>
      </c>
      <c r="W2149">
        <v>0.35898099999999999</v>
      </c>
      <c r="X2149">
        <v>0.92924680000000004</v>
      </c>
      <c r="Y2149">
        <v>-4.8991710000000001E-2</v>
      </c>
      <c r="Z2149">
        <v>-2.7829690000000002E-3</v>
      </c>
      <c r="AA2149">
        <v>0.99879530000000005</v>
      </c>
      <c r="AB2149">
        <v>54</v>
      </c>
      <c r="AC2149">
        <v>-12.790399999999901</v>
      </c>
      <c r="AD2149">
        <v>-1.1102661455975</v>
      </c>
      <c r="AE2149">
        <v>-0.58110000000004802</v>
      </c>
      <c r="AF2149">
        <v>-0.64123932040884202</v>
      </c>
      <c r="AG2149">
        <v>-1.1102661455975</v>
      </c>
      <c r="AH2149">
        <v>12.691846643556101</v>
      </c>
      <c r="AI2149">
        <v>94.9930965363544</v>
      </c>
      <c r="AJ2149">
        <v>92.892336621341997</v>
      </c>
      <c r="AK2149">
        <v>12.7564434700133</v>
      </c>
      <c r="AL2149">
        <v>68.962370774403894</v>
      </c>
      <c r="AM2149">
        <v>95.371114257075803</v>
      </c>
      <c r="AN2149">
        <v>0.99999998667479995</v>
      </c>
    </row>
    <row r="2150" spans="1:40" x14ac:dyDescent="0.25">
      <c r="A2150" t="str">
        <f>"20190304164411942"</f>
        <v>20190304164411942</v>
      </c>
      <c r="B2150" t="str">
        <f>"1551689051931746"</f>
        <v>1551689051931746</v>
      </c>
      <c r="C2150" t="s">
        <v>40</v>
      </c>
      <c r="D2150">
        <v>4.9061640000000004</v>
      </c>
      <c r="E2150">
        <v>0.52687799999999996</v>
      </c>
      <c r="F2150" t="s">
        <v>45</v>
      </c>
      <c r="G2150">
        <v>-354.8433</v>
      </c>
      <c r="H2150" s="1">
        <v>1.0405940000000001E-6</v>
      </c>
      <c r="I2150">
        <v>284.149</v>
      </c>
      <c r="J2150">
        <v>-341.99619999999999</v>
      </c>
      <c r="K2150">
        <v>1.1102669999999999</v>
      </c>
      <c r="L2150">
        <v>284.72570000000002</v>
      </c>
      <c r="M2150">
        <v>-0.99987969999999904</v>
      </c>
      <c r="N2150">
        <v>-1.468495E-2</v>
      </c>
      <c r="O2150">
        <v>5.0263290000000004E-3</v>
      </c>
      <c r="P2150">
        <v>-0.93493970000000004</v>
      </c>
      <c r="Q2150">
        <v>0.34514800000000001</v>
      </c>
      <c r="R2150">
        <v>-8.2224179999999994E-2</v>
      </c>
      <c r="S2150">
        <v>-3.2993769999999998</v>
      </c>
      <c r="T2150">
        <v>-0.27877469999999999</v>
      </c>
      <c r="U2150">
        <v>-0.1444397</v>
      </c>
      <c r="V2150">
        <v>-8.705309E-2</v>
      </c>
      <c r="W2150">
        <v>0.35880250000000002</v>
      </c>
      <c r="X2150">
        <v>0.92934519999999998</v>
      </c>
      <c r="Y2150">
        <v>-4.8542469999999997E-2</v>
      </c>
      <c r="Z2150">
        <v>-2.753559E-3</v>
      </c>
      <c r="AA2150">
        <v>0.99881730000000002</v>
      </c>
      <c r="AB2150">
        <v>54</v>
      </c>
      <c r="AC2150">
        <v>-12.847099999999999</v>
      </c>
      <c r="AD2150">
        <v>-1.110265959406</v>
      </c>
      <c r="AE2150">
        <v>-0.57670000000001598</v>
      </c>
      <c r="AF2150">
        <v>-0.636528947538756</v>
      </c>
      <c r="AG2150">
        <v>-1.110265959406</v>
      </c>
      <c r="AH2150">
        <v>12.7490118815935</v>
      </c>
      <c r="AI2150">
        <v>94.970967294149006</v>
      </c>
      <c r="AJ2150">
        <v>92.858273536503702</v>
      </c>
      <c r="AK2150">
        <v>12.8130856376862</v>
      </c>
      <c r="AL2150">
        <v>68.973328074980003</v>
      </c>
      <c r="AM2150">
        <v>95.351362266996006</v>
      </c>
      <c r="AN2150">
        <v>0.99999998762391895</v>
      </c>
    </row>
    <row r="2151" spans="1:40" x14ac:dyDescent="0.25">
      <c r="A2151" t="str">
        <f>"20190304164411962"</f>
        <v>20190304164411962</v>
      </c>
      <c r="B2151" t="str">
        <f>"1551689051952241"</f>
        <v>1551689051952241</v>
      </c>
      <c r="C2151" t="s">
        <v>40</v>
      </c>
      <c r="D2151">
        <v>4.9112090000000004</v>
      </c>
      <c r="E2151">
        <v>0.52688749999999995</v>
      </c>
      <c r="F2151" t="s">
        <v>45</v>
      </c>
      <c r="G2151">
        <v>-355.06220000000002</v>
      </c>
      <c r="H2151" s="1">
        <v>1.157049E-6</v>
      </c>
      <c r="I2151">
        <v>284.15699999999998</v>
      </c>
      <c r="J2151">
        <v>-342.47070000000002</v>
      </c>
      <c r="K2151">
        <v>1.110263</v>
      </c>
      <c r="L2151">
        <v>284.72809999999998</v>
      </c>
      <c r="M2151">
        <v>-0.99987890000000001</v>
      </c>
      <c r="N2151">
        <v>-1.4754430000000001E-2</v>
      </c>
      <c r="O2151">
        <v>4.9443809999999899E-3</v>
      </c>
      <c r="P2151">
        <v>-0.93534910000000004</v>
      </c>
      <c r="Q2151">
        <v>0.3441785</v>
      </c>
      <c r="R2151">
        <v>-8.1629660000000007E-2</v>
      </c>
      <c r="S2151">
        <v>-3.299652</v>
      </c>
      <c r="T2151">
        <v>-0.280383099999999</v>
      </c>
      <c r="U2151">
        <v>-0.14361570000000001</v>
      </c>
      <c r="V2151">
        <v>-8.6378079999999996E-2</v>
      </c>
      <c r="W2151">
        <v>0.35790549999999999</v>
      </c>
      <c r="X2151">
        <v>0.92975399999999997</v>
      </c>
      <c r="Y2151">
        <v>-4.8207220000000002E-2</v>
      </c>
      <c r="Z2151">
        <v>-2.7464830000000001E-3</v>
      </c>
      <c r="AA2151">
        <v>0.99883359999999999</v>
      </c>
      <c r="AB2151">
        <v>53</v>
      </c>
      <c r="AC2151">
        <v>-12.5914999999999</v>
      </c>
      <c r="AD2151">
        <v>-1.1102618429510001</v>
      </c>
      <c r="AE2151">
        <v>-0.57110000000000105</v>
      </c>
      <c r="AF2151">
        <v>-0.62848061539606304</v>
      </c>
      <c r="AG2151">
        <v>-1.1102618429510001</v>
      </c>
      <c r="AH2151">
        <v>12.491600211339501</v>
      </c>
      <c r="AI2151">
        <v>95.072758060089996</v>
      </c>
      <c r="AJ2151">
        <v>92.880251409486206</v>
      </c>
      <c r="AK2151">
        <v>12.5565817436028</v>
      </c>
      <c r="AL2151">
        <v>69.028379018513107</v>
      </c>
      <c r="AM2151">
        <v>95.307784458602598</v>
      </c>
      <c r="AN2151">
        <v>1.0000000100753601</v>
      </c>
    </row>
    <row r="2152" spans="1:40" x14ac:dyDescent="0.25">
      <c r="A2152" t="str">
        <f>"20190304164411983"</f>
        <v>20190304164411983</v>
      </c>
      <c r="B2152" t="str">
        <f>"1551689051971761"</f>
        <v>1551689051971761</v>
      </c>
      <c r="C2152" t="s">
        <v>40</v>
      </c>
      <c r="D2152">
        <v>4.9580570000000002</v>
      </c>
      <c r="E2152">
        <v>0.52684919999999902</v>
      </c>
      <c r="F2152" t="s">
        <v>45</v>
      </c>
      <c r="G2152">
        <v>-355.33249999999998</v>
      </c>
      <c r="H2152" s="1">
        <v>1.3008910000000001E-6</v>
      </c>
      <c r="I2152">
        <v>284.17250000000001</v>
      </c>
      <c r="J2152">
        <v>-342.9742</v>
      </c>
      <c r="K2152">
        <v>1.11026</v>
      </c>
      <c r="L2152">
        <v>284.73050000000001</v>
      </c>
      <c r="M2152">
        <v>-0.9998785</v>
      </c>
      <c r="N2152">
        <v>-1.481844E-2</v>
      </c>
      <c r="O2152">
        <v>4.8605580000000001E-3</v>
      </c>
      <c r="P2152">
        <v>-0.93569179999999996</v>
      </c>
      <c r="Q2152">
        <v>0.3433737</v>
      </c>
      <c r="R2152">
        <v>-8.1088489999999999E-2</v>
      </c>
      <c r="S2152">
        <v>-3.2997740000000002</v>
      </c>
      <c r="T2152">
        <v>-0.28484510000000002</v>
      </c>
      <c r="U2152">
        <v>-0.1425476</v>
      </c>
      <c r="V2152">
        <v>-8.5754990000000003E-2</v>
      </c>
      <c r="W2152">
        <v>0.3571667</v>
      </c>
      <c r="X2152">
        <v>0.93009569999999997</v>
      </c>
      <c r="Y2152">
        <v>-4.7794570000000001E-2</v>
      </c>
      <c r="Z2152">
        <v>-2.759896E-3</v>
      </c>
      <c r="AA2152">
        <v>0.9988534</v>
      </c>
      <c r="AB2152">
        <v>53</v>
      </c>
      <c r="AC2152">
        <v>-12.3582999999999</v>
      </c>
      <c r="AD2152">
        <v>-1.110258699109</v>
      </c>
      <c r="AE2152">
        <v>-0.55799999999999195</v>
      </c>
      <c r="AF2152">
        <v>-0.61312968836885495</v>
      </c>
      <c r="AG2152">
        <v>-1.110258699109</v>
      </c>
      <c r="AH2152">
        <v>12.256717981621099</v>
      </c>
      <c r="AI2152">
        <v>95.169507936547106</v>
      </c>
      <c r="AJ2152">
        <v>92.8637751596398</v>
      </c>
      <c r="AK2152">
        <v>12.322164504448899</v>
      </c>
      <c r="AL2152">
        <v>69.073704807082393</v>
      </c>
      <c r="AM2152">
        <v>95.267787881456798</v>
      </c>
      <c r="AN2152">
        <v>0.99999999052863997</v>
      </c>
    </row>
    <row r="2153" spans="1:40" x14ac:dyDescent="0.25">
      <c r="A2153" t="str">
        <f>"20190304164412005"</f>
        <v>20190304164412005</v>
      </c>
      <c r="B2153" t="str">
        <f>"1551689052002017"</f>
        <v>1551689052002017</v>
      </c>
      <c r="C2153" t="s">
        <v>40</v>
      </c>
      <c r="D2153">
        <v>4.9695980000000004</v>
      </c>
      <c r="E2153">
        <v>0.52684409999999904</v>
      </c>
      <c r="F2153" t="s">
        <v>45</v>
      </c>
      <c r="G2153">
        <v>-355.68270000000001</v>
      </c>
      <c r="H2153" s="1">
        <v>1.487287E-6</v>
      </c>
      <c r="I2153">
        <v>284.1875</v>
      </c>
      <c r="J2153">
        <v>-343.50479999999999</v>
      </c>
      <c r="K2153">
        <v>1.1102650000000001</v>
      </c>
      <c r="L2153">
        <v>284.73309999999998</v>
      </c>
      <c r="M2153">
        <v>-0.99987789999999999</v>
      </c>
      <c r="N2153">
        <v>-1.487665E-2</v>
      </c>
      <c r="O2153">
        <v>4.7754520000000003E-3</v>
      </c>
      <c r="P2153">
        <v>-0.93558330000000001</v>
      </c>
      <c r="Q2153">
        <v>0.34367340000000002</v>
      </c>
      <c r="R2153">
        <v>-8.1070299999999998E-2</v>
      </c>
      <c r="S2153">
        <v>-3.2998050000000001</v>
      </c>
      <c r="T2153">
        <v>-0.28828219999999999</v>
      </c>
      <c r="U2153">
        <v>-0.14099120000000001</v>
      </c>
      <c r="V2153">
        <v>-8.5652549999999994E-2</v>
      </c>
      <c r="W2153">
        <v>0.35752030000000001</v>
      </c>
      <c r="X2153">
        <v>0.9299693</v>
      </c>
      <c r="Y2153">
        <v>-4.7236470000000003E-2</v>
      </c>
      <c r="Z2153">
        <v>-2.756161E-3</v>
      </c>
      <c r="AA2153">
        <v>0.99887990000000004</v>
      </c>
      <c r="AB2153">
        <v>53</v>
      </c>
      <c r="AC2153">
        <v>-12.177899999999999</v>
      </c>
      <c r="AD2153">
        <v>-1.1102635127130001</v>
      </c>
      <c r="AE2153">
        <v>-0.54559999999997899</v>
      </c>
      <c r="AF2153">
        <v>-0.598788016430151</v>
      </c>
      <c r="AG2153">
        <v>-1.1102635127130001</v>
      </c>
      <c r="AH2153">
        <v>12.0749886755309</v>
      </c>
      <c r="AI2153">
        <v>95.247013647057997</v>
      </c>
      <c r="AJ2153">
        <v>92.838921546023698</v>
      </c>
      <c r="AK2153">
        <v>12.1406994720437</v>
      </c>
      <c r="AL2153">
        <v>69.052013220781106</v>
      </c>
      <c r="AM2153">
        <v>95.262241624232203</v>
      </c>
      <c r="AN2153">
        <v>1.0000000115880401</v>
      </c>
    </row>
    <row r="2154" spans="1:40" x14ac:dyDescent="0.25">
      <c r="A2154" t="str">
        <f>"20190304164412018"</f>
        <v>20190304164412018</v>
      </c>
      <c r="B2154" t="str">
        <f>"1551689052011778"</f>
        <v>1551689052011778</v>
      </c>
      <c r="C2154" t="s">
        <v>40</v>
      </c>
      <c r="D2154">
        <v>4.9420630000000001</v>
      </c>
      <c r="E2154">
        <v>0.52684960000000003</v>
      </c>
      <c r="F2154" t="s">
        <v>45</v>
      </c>
      <c r="G2154">
        <v>-356.22269999999997</v>
      </c>
      <c r="H2154" s="1">
        <v>1.774595E-6</v>
      </c>
      <c r="I2154">
        <v>284.18950000000001</v>
      </c>
      <c r="J2154">
        <v>-343.80970000000002</v>
      </c>
      <c r="K2154">
        <v>1.110269</v>
      </c>
      <c r="L2154">
        <v>284.7346</v>
      </c>
      <c r="M2154">
        <v>-0.99987780000000004</v>
      </c>
      <c r="N2154">
        <v>-1.4906519999999999E-2</v>
      </c>
      <c r="O2154">
        <v>4.7270569999999998E-3</v>
      </c>
      <c r="P2154">
        <v>-0.93546070000000003</v>
      </c>
      <c r="Q2154">
        <v>0.34399200000000002</v>
      </c>
      <c r="R2154">
        <v>-8.1135150000000003E-2</v>
      </c>
      <c r="S2154">
        <v>-3.3001710000000002</v>
      </c>
      <c r="T2154">
        <v>-0.28810350000000001</v>
      </c>
      <c r="U2154">
        <v>-0.14105219999999999</v>
      </c>
      <c r="V2154">
        <v>-8.5669220000000004E-2</v>
      </c>
      <c r="W2154">
        <v>0.35786590000000001</v>
      </c>
      <c r="X2154">
        <v>0.92983479999999996</v>
      </c>
      <c r="Y2154">
        <v>-4.7202380000000002E-2</v>
      </c>
      <c r="Z2154">
        <v>-2.7496880000000001E-3</v>
      </c>
      <c r="AA2154">
        <v>0.99888160000000004</v>
      </c>
      <c r="AB2154">
        <v>53</v>
      </c>
      <c r="AC2154">
        <v>-12.412999999999901</v>
      </c>
      <c r="AD2154">
        <v>-1.1102672254049999</v>
      </c>
      <c r="AE2154">
        <v>-0.54509999999999004</v>
      </c>
      <c r="AF2154">
        <v>-0.598994522180614</v>
      </c>
      <c r="AG2154">
        <v>-1.1102672254049999</v>
      </c>
      <c r="AH2154">
        <v>12.3119754372286</v>
      </c>
      <c r="AI2154">
        <v>95.146816635102695</v>
      </c>
      <c r="AJ2154">
        <v>92.785322206880394</v>
      </c>
      <c r="AK2154">
        <v>12.3764383776728</v>
      </c>
      <c r="AL2154">
        <v>69.030808353250293</v>
      </c>
      <c r="AM2154">
        <v>95.2640170793766</v>
      </c>
      <c r="AN2154">
        <v>0.99999998646462895</v>
      </c>
    </row>
    <row r="2155" spans="1:40" x14ac:dyDescent="0.25">
      <c r="A2155" t="str">
        <f>"20190304164412032"</f>
        <v>20190304164412032</v>
      </c>
      <c r="B2155" t="str">
        <f>"1551689052022514"</f>
        <v>1551689052022514</v>
      </c>
      <c r="C2155" t="s">
        <v>40</v>
      </c>
      <c r="D2155">
        <v>4.9734259999999999</v>
      </c>
      <c r="E2155">
        <v>0.52684750000000002</v>
      </c>
      <c r="F2155" t="s">
        <v>45</v>
      </c>
      <c r="G2155">
        <v>-356.55739999999997</v>
      </c>
      <c r="H2155" s="1">
        <v>1.952739E-6</v>
      </c>
      <c r="I2155">
        <v>284.19</v>
      </c>
      <c r="J2155">
        <v>-344.14550000000003</v>
      </c>
      <c r="K2155">
        <v>1.1102749999999999</v>
      </c>
      <c r="L2155">
        <v>284.73610000000002</v>
      </c>
      <c r="M2155">
        <v>-0.99987760000000003</v>
      </c>
      <c r="N2155">
        <v>-1.4936329999999999E-2</v>
      </c>
      <c r="O2155">
        <v>4.673895E-3</v>
      </c>
      <c r="P2155">
        <v>-0.93534419999999996</v>
      </c>
      <c r="Q2155">
        <v>0.34435860000000001</v>
      </c>
      <c r="R2155">
        <v>-8.0922549999999996E-2</v>
      </c>
      <c r="S2155">
        <v>-3.300446</v>
      </c>
      <c r="T2155">
        <v>-0.28745340000000003</v>
      </c>
      <c r="U2155">
        <v>-0.14099120000000001</v>
      </c>
      <c r="V2155">
        <v>-8.5404049999999995E-2</v>
      </c>
      <c r="W2155">
        <v>0.35825859999999998</v>
      </c>
      <c r="X2155">
        <v>0.92970799999999998</v>
      </c>
      <c r="Y2155">
        <v>-4.7128669999999998E-2</v>
      </c>
      <c r="Z2155">
        <v>-2.736919E-3</v>
      </c>
      <c r="AA2155">
        <v>0.99888509999999997</v>
      </c>
      <c r="AB2155">
        <v>53</v>
      </c>
      <c r="AC2155">
        <v>-12.4118999999999</v>
      </c>
      <c r="AD2155">
        <v>-1.1102730472609901</v>
      </c>
      <c r="AE2155">
        <v>-0.54610000000002401</v>
      </c>
      <c r="AF2155">
        <v>-0.59932604839923198</v>
      </c>
      <c r="AG2155">
        <v>-1.1102730472609901</v>
      </c>
      <c r="AH2155">
        <v>12.3108937679864</v>
      </c>
      <c r="AI2155">
        <v>95.147285508722803</v>
      </c>
      <c r="AJ2155">
        <v>92.787105848179706</v>
      </c>
      <c r="AK2155">
        <v>12.3753789161548</v>
      </c>
      <c r="AL2155">
        <v>69.006711315151605</v>
      </c>
      <c r="AM2155">
        <v>95.248526334696905</v>
      </c>
      <c r="AN2155">
        <v>1.00000002074718</v>
      </c>
    </row>
    <row r="2156" spans="1:40" x14ac:dyDescent="0.25">
      <c r="A2156" t="str">
        <f>"20190304164412044"</f>
        <v>20190304164412044</v>
      </c>
      <c r="B2156" t="str">
        <f>"1551689052042033"</f>
        <v>1551689052042033</v>
      </c>
      <c r="C2156" t="s">
        <v>40</v>
      </c>
      <c r="D2156">
        <v>4.9855130000000001</v>
      </c>
      <c r="E2156">
        <v>0.52686840000000001</v>
      </c>
      <c r="F2156" t="s">
        <v>45</v>
      </c>
      <c r="G2156">
        <v>-356.91719999999998</v>
      </c>
      <c r="H2156" s="1">
        <v>2.1442230000000002E-6</v>
      </c>
      <c r="I2156">
        <v>284.1902</v>
      </c>
      <c r="J2156">
        <v>-344.43509999999998</v>
      </c>
      <c r="K2156">
        <v>1.1102780000000001</v>
      </c>
      <c r="L2156">
        <v>284.73739999999998</v>
      </c>
      <c r="M2156">
        <v>-0.99987749999999997</v>
      </c>
      <c r="N2156">
        <v>-1.4959170000000001E-2</v>
      </c>
      <c r="O2156">
        <v>4.6288179999999998E-3</v>
      </c>
      <c r="P2156">
        <v>-0.93521169999999998</v>
      </c>
      <c r="Q2156">
        <v>0.3446864</v>
      </c>
      <c r="R2156">
        <v>-8.1060740000000006E-2</v>
      </c>
      <c r="S2156">
        <v>-3.3008419999999998</v>
      </c>
      <c r="T2156">
        <v>-0.28694819999999999</v>
      </c>
      <c r="U2156">
        <v>-0.14108280000000001</v>
      </c>
      <c r="V2156">
        <v>-8.5497340000000005E-2</v>
      </c>
      <c r="W2156">
        <v>0.35860619999999999</v>
      </c>
      <c r="X2156">
        <v>0.92956539999999999</v>
      </c>
      <c r="Y2156">
        <v>-4.7107129999999997E-2</v>
      </c>
      <c r="Z2156">
        <v>-2.7284259999999999E-3</v>
      </c>
      <c r="AA2156">
        <v>0.9988861</v>
      </c>
      <c r="AB2156">
        <v>53</v>
      </c>
      <c r="AC2156">
        <v>-12.482100000000001</v>
      </c>
      <c r="AD2156">
        <v>-1.1102758557770001</v>
      </c>
      <c r="AE2156">
        <v>-0.54719999999997504</v>
      </c>
      <c r="AF2156">
        <v>-0.60023798941776696</v>
      </c>
      <c r="AG2156">
        <v>-1.1102758557770001</v>
      </c>
      <c r="AH2156">
        <v>12.3816572689548</v>
      </c>
      <c r="AI2156">
        <v>95.118087839657207</v>
      </c>
      <c r="AJ2156">
        <v>92.775412018105399</v>
      </c>
      <c r="AK2156">
        <v>12.445819974823801</v>
      </c>
      <c r="AL2156">
        <v>68.985377737759606</v>
      </c>
      <c r="AM2156">
        <v>95.255028935736604</v>
      </c>
      <c r="AN2156">
        <v>1.0000000173513299</v>
      </c>
    </row>
    <row r="2157" spans="1:40" x14ac:dyDescent="0.25">
      <c r="A2157" t="str">
        <f>"20190304164412059"</f>
        <v>20190304164412059</v>
      </c>
      <c r="B2157" t="str">
        <f>"1551689052051793"</f>
        <v>1551689052051793</v>
      </c>
      <c r="C2157" t="s">
        <v>40</v>
      </c>
      <c r="D2157">
        <v>4.9955669999999897</v>
      </c>
      <c r="E2157">
        <v>0.52687779999999995</v>
      </c>
      <c r="F2157" t="s">
        <v>45</v>
      </c>
      <c r="G2157">
        <v>-357.20150000000001</v>
      </c>
      <c r="H2157" s="1">
        <v>2.2955030000000002E-6</v>
      </c>
      <c r="I2157">
        <v>284.18869999999998</v>
      </c>
      <c r="J2157">
        <v>-344.77010000000001</v>
      </c>
      <c r="K2157">
        <v>1.1102829999999999</v>
      </c>
      <c r="L2157">
        <v>284.73899999999998</v>
      </c>
      <c r="M2157">
        <v>-0.99987729999999997</v>
      </c>
      <c r="N2157">
        <v>-1.498385E-2</v>
      </c>
      <c r="O2157">
        <v>4.5766959999999999E-3</v>
      </c>
      <c r="P2157">
        <v>-0.93510470000000001</v>
      </c>
      <c r="Q2157">
        <v>0.34493839999999998</v>
      </c>
      <c r="R2157">
        <v>-8.122132E-2</v>
      </c>
      <c r="S2157">
        <v>-3.3013919999999999</v>
      </c>
      <c r="T2157">
        <v>-0.28711720000000002</v>
      </c>
      <c r="U2157">
        <v>-0.1419067</v>
      </c>
      <c r="V2157">
        <v>-8.5607359999999993E-2</v>
      </c>
      <c r="W2157">
        <v>0.35887999999999998</v>
      </c>
      <c r="X2157">
        <v>0.92944959999999999</v>
      </c>
      <c r="Y2157">
        <v>-4.7295909999999997E-2</v>
      </c>
      <c r="Z2157">
        <v>-2.7357800000000002E-3</v>
      </c>
      <c r="AA2157">
        <v>0.99887720000000002</v>
      </c>
      <c r="AB2157">
        <v>53</v>
      </c>
      <c r="AC2157">
        <v>-12.431399999999901</v>
      </c>
      <c r="AD2157">
        <v>-1.110280704497</v>
      </c>
      <c r="AE2157">
        <v>-0.55030000000004897</v>
      </c>
      <c r="AF2157">
        <v>-0.60239957191220495</v>
      </c>
      <c r="AG2157">
        <v>-1.110280704497</v>
      </c>
      <c r="AH2157">
        <v>12.330585409141101</v>
      </c>
      <c r="AI2157">
        <v>95.139102070639595</v>
      </c>
      <c r="AJ2157">
        <v>92.796909632260693</v>
      </c>
      <c r="AK2157">
        <v>12.395117789643701</v>
      </c>
      <c r="AL2157">
        <v>68.968571452463095</v>
      </c>
      <c r="AM2157">
        <v>95.262405179801405</v>
      </c>
      <c r="AN2157">
        <v>1.00000001671316</v>
      </c>
    </row>
    <row r="2158" spans="1:40" x14ac:dyDescent="0.25">
      <c r="A2158" t="str">
        <f>"20190304164412072"</f>
        <v>20190304164412072</v>
      </c>
      <c r="B2158" t="str">
        <f>"1551689052062530"</f>
        <v>1551689052062530</v>
      </c>
      <c r="C2158" t="s">
        <v>40</v>
      </c>
      <c r="D2158">
        <v>4.9598009999999997</v>
      </c>
      <c r="E2158">
        <v>0.52688380000000001</v>
      </c>
      <c r="F2158" t="s">
        <v>45</v>
      </c>
      <c r="G2158">
        <v>-357.541</v>
      </c>
      <c r="H2158" s="1">
        <v>2.4761849999999999E-6</v>
      </c>
      <c r="I2158">
        <v>284.18509999999998</v>
      </c>
      <c r="J2158">
        <v>-345.09559999999999</v>
      </c>
      <c r="K2158">
        <v>1.1102909999999999</v>
      </c>
      <c r="L2158">
        <v>284.74040000000002</v>
      </c>
      <c r="M2158">
        <v>-0.99987729999999997</v>
      </c>
      <c r="N2158">
        <v>-1.500542E-2</v>
      </c>
      <c r="O2158">
        <v>4.5257889999999997E-3</v>
      </c>
      <c r="P2158">
        <v>-0.93511029999999995</v>
      </c>
      <c r="Q2158">
        <v>0.3449199</v>
      </c>
      <c r="R2158">
        <v>-8.1234979999999998E-2</v>
      </c>
      <c r="S2158">
        <v>-3.3016359999999998</v>
      </c>
      <c r="T2158">
        <v>-0.28703840000000003</v>
      </c>
      <c r="U2158">
        <v>-0.1431885</v>
      </c>
      <c r="V2158">
        <v>-8.5571830000000002E-2</v>
      </c>
      <c r="W2158">
        <v>0.35888219999999998</v>
      </c>
      <c r="X2158">
        <v>0.92945199999999994</v>
      </c>
      <c r="Y2158">
        <v>-4.7627719999999998E-2</v>
      </c>
      <c r="Z2158">
        <v>-2.7485579999999999E-3</v>
      </c>
      <c r="AA2158">
        <v>0.99886140000000001</v>
      </c>
      <c r="AB2158">
        <v>53</v>
      </c>
      <c r="AC2158">
        <v>-12.445399999999999</v>
      </c>
      <c r="AD2158">
        <v>-1.110288523815</v>
      </c>
      <c r="AE2158">
        <v>-0.55530000000004498</v>
      </c>
      <c r="AF2158">
        <v>-0.606805978206996</v>
      </c>
      <c r="AG2158">
        <v>-1.110288523815</v>
      </c>
      <c r="AH2158">
        <v>12.344703797695299</v>
      </c>
      <c r="AI2158">
        <v>95.133216809804694</v>
      </c>
      <c r="AJ2158">
        <v>92.814118556048101</v>
      </c>
      <c r="AK2158">
        <v>12.409378145343799</v>
      </c>
      <c r="AL2158">
        <v>68.968435947616996</v>
      </c>
      <c r="AM2158">
        <v>95.260219848576099</v>
      </c>
      <c r="AN2158">
        <v>0.99999999593519395</v>
      </c>
    </row>
    <row r="2159" spans="1:40" x14ac:dyDescent="0.25">
      <c r="A2159" t="str">
        <f>"20190304164412095"</f>
        <v>20190304164412095</v>
      </c>
      <c r="B2159" t="str">
        <f>"1551689052091810"</f>
        <v>1551689052091810</v>
      </c>
      <c r="C2159" t="s">
        <v>40</v>
      </c>
      <c r="D2159">
        <v>4.9413090000000004</v>
      </c>
      <c r="E2159">
        <v>0.52688970000000002</v>
      </c>
      <c r="F2159" t="s">
        <v>45</v>
      </c>
      <c r="G2159">
        <v>-357.84039999999999</v>
      </c>
      <c r="H2159" s="1">
        <v>2.6354959999999999E-6</v>
      </c>
      <c r="I2159">
        <v>284.18239999999997</v>
      </c>
      <c r="J2159">
        <v>-345.63929999999999</v>
      </c>
      <c r="K2159">
        <v>1.1102970000000001</v>
      </c>
      <c r="L2159">
        <v>284.74279999999999</v>
      </c>
      <c r="M2159">
        <v>-0.99987709999999996</v>
      </c>
      <c r="N2159">
        <v>-1.5036819999999999E-2</v>
      </c>
      <c r="O2159">
        <v>4.4410320000000001E-3</v>
      </c>
      <c r="P2159">
        <v>-0.93482390000000004</v>
      </c>
      <c r="Q2159">
        <v>0.34577599999999997</v>
      </c>
      <c r="R2159">
        <v>-8.0890630000000005E-2</v>
      </c>
      <c r="S2159">
        <v>-3.301758</v>
      </c>
      <c r="T2159">
        <v>-0.28763949999999999</v>
      </c>
      <c r="U2159">
        <v>-0.14456179999999999</v>
      </c>
      <c r="V2159">
        <v>-8.5144629999999999E-2</v>
      </c>
      <c r="W2159">
        <v>0.35976370000000002</v>
      </c>
      <c r="X2159">
        <v>0.92915040000000004</v>
      </c>
      <c r="Y2159">
        <v>-4.7953969999999999E-2</v>
      </c>
      <c r="Z2159">
        <v>-2.7647309999999999E-3</v>
      </c>
      <c r="AA2159">
        <v>0.99884569999999995</v>
      </c>
      <c r="AB2159">
        <v>53</v>
      </c>
      <c r="AC2159">
        <v>-12.201099999999901</v>
      </c>
      <c r="AD2159">
        <v>-1.11029436450399</v>
      </c>
      <c r="AE2159">
        <v>-0.560400000000015</v>
      </c>
      <c r="AF2159">
        <v>-0.60954907587793505</v>
      </c>
      <c r="AG2159">
        <v>-1.11029436450399</v>
      </c>
      <c r="AH2159">
        <v>12.0985147593339</v>
      </c>
      <c r="AI2159">
        <v>95.236806177667205</v>
      </c>
      <c r="AJ2159">
        <v>92.8842452711948</v>
      </c>
      <c r="AK2159">
        <v>12.164635754249799</v>
      </c>
      <c r="AL2159">
        <v>68.914315185188201</v>
      </c>
      <c r="AM2159">
        <v>95.235795025105006</v>
      </c>
      <c r="AN2159">
        <v>0.99999999683784302</v>
      </c>
    </row>
    <row r="2160" spans="1:40" x14ac:dyDescent="0.25">
      <c r="A2160" t="str">
        <f>"20190304164412109"</f>
        <v>20190304164412109</v>
      </c>
      <c r="B2160" t="str">
        <f>"1551689052101571"</f>
        <v>1551689052101571</v>
      </c>
      <c r="C2160" t="s">
        <v>40</v>
      </c>
      <c r="D2160">
        <v>5.0998140000000003</v>
      </c>
      <c r="E2160">
        <v>0.52688970000000002</v>
      </c>
      <c r="F2160" t="s">
        <v>45</v>
      </c>
      <c r="G2160">
        <v>-358.45229999999998</v>
      </c>
      <c r="H2160" s="1">
        <v>2.9610929999999999E-6</v>
      </c>
      <c r="I2160">
        <v>284.18090000000001</v>
      </c>
      <c r="J2160">
        <v>-345.98500000000001</v>
      </c>
      <c r="K2160">
        <v>1.1103080000000001</v>
      </c>
      <c r="L2160">
        <v>284.74430000000001</v>
      </c>
      <c r="M2160">
        <v>-0.99987720000000002</v>
      </c>
      <c r="N2160">
        <v>-1.505394E-2</v>
      </c>
      <c r="O2160">
        <v>4.3864029999999997E-3</v>
      </c>
      <c r="P2160">
        <v>-0.93480799999999997</v>
      </c>
      <c r="Q2160">
        <v>0.34583160000000002</v>
      </c>
      <c r="R2160">
        <v>-8.0837939999999997E-2</v>
      </c>
      <c r="S2160">
        <v>-3.3024900000000001</v>
      </c>
      <c r="T2160">
        <v>-0.28617239999999999</v>
      </c>
      <c r="U2160">
        <v>-0.1448364</v>
      </c>
      <c r="V2160">
        <v>-8.5038859999999994E-2</v>
      </c>
      <c r="W2160">
        <v>0.35983579999999998</v>
      </c>
      <c r="X2160">
        <v>0.92913219999999996</v>
      </c>
      <c r="Y2160">
        <v>-4.7974889999999999E-2</v>
      </c>
      <c r="Z2160">
        <v>-2.7491210000000002E-3</v>
      </c>
      <c r="AA2160">
        <v>0.99884470000000003</v>
      </c>
      <c r="AB2160">
        <v>53</v>
      </c>
      <c r="AC2160">
        <v>-12.4672999999999</v>
      </c>
      <c r="AD2160">
        <v>-1.1103050389069999</v>
      </c>
      <c r="AE2160">
        <v>-0.56340000000000101</v>
      </c>
      <c r="AF2160">
        <v>-0.61323359466675398</v>
      </c>
      <c r="AG2160">
        <v>-1.1103050389069999</v>
      </c>
      <c r="AH2160">
        <v>12.366824388017401</v>
      </c>
      <c r="AI2160">
        <v>95.124051341789993</v>
      </c>
      <c r="AJ2160">
        <v>92.838800011115296</v>
      </c>
      <c r="AK2160">
        <v>12.4317005339218</v>
      </c>
      <c r="AL2160">
        <v>68.909888330934606</v>
      </c>
      <c r="AM2160">
        <v>95.229428861834293</v>
      </c>
      <c r="AN2160">
        <v>1.00000002787428</v>
      </c>
    </row>
    <row r="2161" spans="1:40" x14ac:dyDescent="0.25">
      <c r="A2161" t="str">
        <f>"20190304164412122"</f>
        <v>20190304164412122</v>
      </c>
      <c r="B2161" t="str">
        <f>"1551689052112306"</f>
        <v>1551689052112306</v>
      </c>
      <c r="C2161" t="s">
        <v>40</v>
      </c>
      <c r="D2161">
        <v>4.9825839999999904</v>
      </c>
      <c r="E2161">
        <v>0.52689370000000002</v>
      </c>
      <c r="F2161" t="s">
        <v>45</v>
      </c>
      <c r="G2161">
        <v>-358.80470000000003</v>
      </c>
      <c r="H2161" s="1">
        <v>3.1486229999999998E-6</v>
      </c>
      <c r="I2161">
        <v>284.18049999999999</v>
      </c>
      <c r="J2161">
        <v>-346.2713</v>
      </c>
      <c r="K2161">
        <v>1.110311</v>
      </c>
      <c r="L2161">
        <v>284.74560000000002</v>
      </c>
      <c r="M2161">
        <v>-0.99987700000000002</v>
      </c>
      <c r="N2161">
        <v>-1.506685E-2</v>
      </c>
      <c r="O2161">
        <v>4.3416269999999998E-3</v>
      </c>
      <c r="P2161">
        <v>-0.93471409999999999</v>
      </c>
      <c r="Q2161">
        <v>0.34609289999999998</v>
      </c>
      <c r="R2161">
        <v>-8.0802449999999998E-2</v>
      </c>
      <c r="S2161">
        <v>-3.3024290000000001</v>
      </c>
      <c r="T2161">
        <v>-0.28602169999999999</v>
      </c>
      <c r="U2161">
        <v>-0.14523320000000001</v>
      </c>
      <c r="V2161">
        <v>-8.4960160000000007E-2</v>
      </c>
      <c r="W2161">
        <v>0.36010799999999998</v>
      </c>
      <c r="X2161">
        <v>0.92903389999999997</v>
      </c>
      <c r="Y2161">
        <v>-4.8050710000000003E-2</v>
      </c>
      <c r="Z2161">
        <v>-2.7487800000000001E-3</v>
      </c>
      <c r="AA2161">
        <v>0.99884110000000004</v>
      </c>
      <c r="AB2161">
        <v>53</v>
      </c>
      <c r="AC2161">
        <v>-12.5334</v>
      </c>
      <c r="AD2161">
        <v>-1.1103078513769999</v>
      </c>
      <c r="AE2161">
        <v>-0.56510000000002902</v>
      </c>
      <c r="AF2161">
        <v>-0.61470191849789901</v>
      </c>
      <c r="AG2161">
        <v>-1.1103078513769999</v>
      </c>
      <c r="AH2161">
        <v>12.433450592748899</v>
      </c>
      <c r="AI2161">
        <v>95.096788285300704</v>
      </c>
      <c r="AJ2161">
        <v>92.830362494459493</v>
      </c>
      <c r="AK2161">
        <v>12.4980532730406</v>
      </c>
      <c r="AL2161">
        <v>68.893171044886003</v>
      </c>
      <c r="AM2161">
        <v>95.225165784688599</v>
      </c>
      <c r="AN2161">
        <v>0.99999999390021699</v>
      </c>
    </row>
    <row r="2162" spans="1:40" x14ac:dyDescent="0.25">
      <c r="A2162" t="str">
        <f>"20190304164412133"</f>
        <v>20190304164412133</v>
      </c>
      <c r="B2162" t="str">
        <f>"1551689052122066"</f>
        <v>1551689052122066</v>
      </c>
      <c r="C2162" t="s">
        <v>40</v>
      </c>
      <c r="D2162">
        <v>5.0108980000000001</v>
      </c>
      <c r="E2162">
        <v>0.52689370000000002</v>
      </c>
      <c r="F2162" t="s">
        <v>45</v>
      </c>
      <c r="G2162">
        <v>-359.11250000000001</v>
      </c>
      <c r="H2162" s="1">
        <v>3.3124560000000001E-6</v>
      </c>
      <c r="I2162">
        <v>284.18150000000003</v>
      </c>
      <c r="J2162">
        <v>-346.5591</v>
      </c>
      <c r="K2162">
        <v>1.110314</v>
      </c>
      <c r="L2162">
        <v>284.74680000000001</v>
      </c>
      <c r="M2162">
        <v>-0.99987720000000002</v>
      </c>
      <c r="N2162">
        <v>-1.507912E-2</v>
      </c>
      <c r="O2162">
        <v>4.2969710000000001E-3</v>
      </c>
      <c r="P2162">
        <v>-0.93465730000000002</v>
      </c>
      <c r="Q2162">
        <v>0.34631440000000002</v>
      </c>
      <c r="R2162">
        <v>-8.0511730000000004E-2</v>
      </c>
      <c r="S2162">
        <v>-3.3027340000000001</v>
      </c>
      <c r="T2162">
        <v>-0.28556880000000001</v>
      </c>
      <c r="U2162">
        <v>-0.1450806</v>
      </c>
      <c r="V2162">
        <v>-8.4626430000000002E-2</v>
      </c>
      <c r="W2162">
        <v>0.3603402</v>
      </c>
      <c r="X2162">
        <v>0.92897430000000003</v>
      </c>
      <c r="Y2162">
        <v>-4.7957180000000002E-2</v>
      </c>
      <c r="Z2162">
        <v>-2.7370089999999999E-3</v>
      </c>
      <c r="AA2162">
        <v>0.9988456</v>
      </c>
      <c r="AB2162">
        <v>53</v>
      </c>
      <c r="AC2162">
        <v>-12.5534</v>
      </c>
      <c r="AD2162">
        <v>-1.1103106875440001</v>
      </c>
      <c r="AE2162">
        <v>-0.56529999999997904</v>
      </c>
      <c r="AF2162">
        <v>-0.61444550056353398</v>
      </c>
      <c r="AG2162">
        <v>-1.1103106875440001</v>
      </c>
      <c r="AH2162">
        <v>12.453628724549</v>
      </c>
      <c r="AI2162">
        <v>95.088611590523698</v>
      </c>
      <c r="AJ2162">
        <v>92.824607163125194</v>
      </c>
      <c r="AK2162">
        <v>12.5181149341644</v>
      </c>
      <c r="AL2162">
        <v>68.878909027420605</v>
      </c>
      <c r="AM2162">
        <v>95.205085967456696</v>
      </c>
      <c r="AN2162">
        <v>0.99999997122553697</v>
      </c>
    </row>
    <row r="2163" spans="1:40" x14ac:dyDescent="0.25">
      <c r="A2163" t="str">
        <f>"20190304164412146"</f>
        <v>20190304164412146</v>
      </c>
      <c r="B2163" t="str">
        <f>"1551689052141586"</f>
        <v>1551689052141586</v>
      </c>
      <c r="C2163" t="s">
        <v>40</v>
      </c>
      <c r="D2163">
        <v>5.091564</v>
      </c>
      <c r="E2163">
        <v>0.52740419999999999</v>
      </c>
      <c r="F2163" t="s">
        <v>45</v>
      </c>
      <c r="G2163">
        <v>-359.43729999999999</v>
      </c>
      <c r="H2163" s="1">
        <v>3.4852760000000001E-6</v>
      </c>
      <c r="I2163">
        <v>284.18599999999998</v>
      </c>
      <c r="J2163">
        <v>-346.85050000000001</v>
      </c>
      <c r="K2163">
        <v>1.110322</v>
      </c>
      <c r="L2163">
        <v>284.74810000000002</v>
      </c>
      <c r="M2163">
        <v>-0.99987720000000002</v>
      </c>
      <c r="N2163">
        <v>-1.508979E-2</v>
      </c>
      <c r="O2163">
        <v>4.2514939999999998E-3</v>
      </c>
      <c r="P2163">
        <v>-0.93457250000000003</v>
      </c>
      <c r="Q2163">
        <v>0.34651859999999901</v>
      </c>
      <c r="R2163">
        <v>-8.0619200000000002E-2</v>
      </c>
      <c r="S2163">
        <v>-3.302826</v>
      </c>
      <c r="T2163">
        <v>-0.284757599999999</v>
      </c>
      <c r="U2163">
        <v>-0.14382929999999999</v>
      </c>
      <c r="V2163">
        <v>-8.4690269999999998E-2</v>
      </c>
      <c r="W2163">
        <v>0.36055330000000002</v>
      </c>
      <c r="X2163">
        <v>0.92888579999999998</v>
      </c>
      <c r="Y2163">
        <v>-4.7535979999999999E-2</v>
      </c>
      <c r="Z2163">
        <v>-2.7057320000000002E-3</v>
      </c>
      <c r="AA2163">
        <v>0.99886580000000003</v>
      </c>
      <c r="AB2163">
        <v>53</v>
      </c>
      <c r="AC2163">
        <v>-12.586799999999901</v>
      </c>
      <c r="AD2163">
        <v>-1.110318514724</v>
      </c>
      <c r="AE2163">
        <v>-0.56210000000004301</v>
      </c>
      <c r="AF2163">
        <v>-0.61086967769213696</v>
      </c>
      <c r="AG2163">
        <v>-1.110318514724</v>
      </c>
      <c r="AH2163">
        <v>12.4873192477432</v>
      </c>
      <c r="AI2163">
        <v>95.0750937943358</v>
      </c>
      <c r="AJ2163">
        <v>92.800631114262004</v>
      </c>
      <c r="AK2163">
        <v>12.551458519324401</v>
      </c>
      <c r="AL2163">
        <v>68.865819530943199</v>
      </c>
      <c r="AM2163">
        <v>95.209484516030898</v>
      </c>
      <c r="AN2163">
        <v>0.99999997670760099</v>
      </c>
    </row>
    <row r="2164" spans="1:40" x14ac:dyDescent="0.25">
      <c r="A2164" t="str">
        <f>"20190304164412163"</f>
        <v>20190304164412163</v>
      </c>
      <c r="B2164" t="str">
        <f>"1551689052152323"</f>
        <v>1551689052152323</v>
      </c>
      <c r="C2164" t="s">
        <v>40</v>
      </c>
      <c r="D2164">
        <v>5.1158659999999996</v>
      </c>
      <c r="E2164">
        <v>0.55585879999999999</v>
      </c>
      <c r="F2164" t="s">
        <v>45</v>
      </c>
      <c r="G2164">
        <v>-359.79239999999999</v>
      </c>
      <c r="H2164" s="1">
        <v>3.674227E-6</v>
      </c>
      <c r="I2164">
        <v>284.20069999999998</v>
      </c>
      <c r="J2164">
        <v>-347.23540000000003</v>
      </c>
      <c r="K2164">
        <v>1.1103270000000001</v>
      </c>
      <c r="L2164">
        <v>284.74970000000002</v>
      </c>
      <c r="M2164">
        <v>-0.99987720000000002</v>
      </c>
      <c r="N2164">
        <v>-1.51028E-2</v>
      </c>
      <c r="O2164">
        <v>4.1903189999999996E-3</v>
      </c>
      <c r="P2164">
        <v>-0.93460840000000001</v>
      </c>
      <c r="Q2164">
        <v>0.34652509999999997</v>
      </c>
      <c r="R2164">
        <v>-8.0173990000000001E-2</v>
      </c>
      <c r="S2164">
        <v>-3.3031009999999998</v>
      </c>
      <c r="T2164">
        <v>-0.2833811</v>
      </c>
      <c r="U2164">
        <v>-0.13970949999999999</v>
      </c>
      <c r="V2164">
        <v>-8.4186849999999994E-2</v>
      </c>
      <c r="W2164">
        <v>0.36057289999999997</v>
      </c>
      <c r="X2164">
        <v>0.92892399999999997</v>
      </c>
      <c r="Y2164">
        <v>-4.623538E-2</v>
      </c>
      <c r="Z2164">
        <v>-2.6243989999999999E-3</v>
      </c>
      <c r="AA2164">
        <v>0.99892709999999996</v>
      </c>
      <c r="AB2164">
        <v>53</v>
      </c>
      <c r="AC2164">
        <v>-12.556999999999899</v>
      </c>
      <c r="AD2164">
        <v>-1.1103233257730001</v>
      </c>
      <c r="AE2164">
        <v>-0.54900000000003402</v>
      </c>
      <c r="AF2164">
        <v>-0.59696054370978802</v>
      </c>
      <c r="AG2164">
        <v>-1.1103233257730001</v>
      </c>
      <c r="AH2164">
        <v>12.457375982693099</v>
      </c>
      <c r="AI2164">
        <v>95.087494781011799</v>
      </c>
      <c r="AJ2164">
        <v>92.743529200567494</v>
      </c>
      <c r="AK2164">
        <v>12.520998209115801</v>
      </c>
      <c r="AL2164">
        <v>68.864616503083298</v>
      </c>
      <c r="AM2164">
        <v>95.178475118541797</v>
      </c>
      <c r="AN2164">
        <v>1.0000000198516601</v>
      </c>
    </row>
    <row r="2165" spans="1:40" x14ac:dyDescent="0.25">
      <c r="A2165" t="str">
        <f>"20190304164412185"</f>
        <v>20190304164412185</v>
      </c>
      <c r="B2165" t="str">
        <f>"1551689052181601"</f>
        <v>1551689052181601</v>
      </c>
      <c r="C2165" t="s">
        <v>40</v>
      </c>
      <c r="D2165">
        <v>5.0934379999999999</v>
      </c>
      <c r="E2165">
        <v>0.55723159999999905</v>
      </c>
      <c r="F2165" t="s">
        <v>41</v>
      </c>
      <c r="G2165">
        <v>-348.23430000000002</v>
      </c>
      <c r="H2165">
        <v>1.0229619999999999</v>
      </c>
      <c r="I2165">
        <v>284.77609999999999</v>
      </c>
      <c r="J2165">
        <v>-347.7672</v>
      </c>
      <c r="K2165">
        <v>1.1103350000000001</v>
      </c>
      <c r="L2165">
        <v>284.7518</v>
      </c>
      <c r="M2165">
        <v>-0.99987729999999997</v>
      </c>
      <c r="N2165">
        <v>-1.511814E-2</v>
      </c>
      <c r="O2165">
        <v>4.1022239999999998E-3</v>
      </c>
      <c r="P2165">
        <v>-0.93455999999999995</v>
      </c>
      <c r="Q2165">
        <v>0.34671439999999998</v>
      </c>
      <c r="R2165">
        <v>-7.9916310000000004E-2</v>
      </c>
      <c r="S2165">
        <v>-3.3252869999999999</v>
      </c>
      <c r="T2165">
        <v>-0.29089520000000002</v>
      </c>
      <c r="U2165">
        <v>8.7738040000000003E-2</v>
      </c>
      <c r="V2165">
        <v>-8.3847140000000001E-2</v>
      </c>
      <c r="W2165">
        <v>0.36077609999999999</v>
      </c>
      <c r="X2165">
        <v>0.92887580000000003</v>
      </c>
      <c r="Y2165">
        <v>2.2185779999999999E-2</v>
      </c>
      <c r="Z2165">
        <v>8.4030789999999997E-4</v>
      </c>
      <c r="AA2165">
        <v>0.99975349999999996</v>
      </c>
      <c r="AB2165">
        <v>53</v>
      </c>
      <c r="AC2165">
        <v>-0.467100000000016</v>
      </c>
      <c r="AD2165">
        <v>-8.7372999999999895E-2</v>
      </c>
      <c r="AE2165">
        <v>2.4299999999982402E-2</v>
      </c>
      <c r="AF2165">
        <v>2.1628698103728399E-2</v>
      </c>
      <c r="AG2165">
        <v>-8.7372999999999895E-2</v>
      </c>
      <c r="AH2165">
        <v>0.45144275043374399</v>
      </c>
      <c r="AI2165">
        <v>100.941446846283</v>
      </c>
      <c r="AJ2165">
        <v>87.257046993922302</v>
      </c>
      <c r="AK2165">
        <v>0.46032857681209199</v>
      </c>
      <c r="AL2165">
        <v>68.852133251510907</v>
      </c>
      <c r="AM2165">
        <v>95.157958105661194</v>
      </c>
      <c r="AN2165">
        <v>0.999999994521514</v>
      </c>
    </row>
    <row r="2166" spans="1:40" x14ac:dyDescent="0.25">
      <c r="A2166" t="str">
        <f>"20190304164412207"</f>
        <v>20190304164412207</v>
      </c>
      <c r="B2166" t="str">
        <f>"1551689052202099"</f>
        <v>1551689052202099</v>
      </c>
      <c r="C2166" t="s">
        <v>40</v>
      </c>
      <c r="D2166">
        <v>5.1005089999999997</v>
      </c>
      <c r="E2166">
        <v>0.55688579999999999</v>
      </c>
      <c r="F2166" t="s">
        <v>41</v>
      </c>
      <c r="G2166">
        <v>-348.70100000000002</v>
      </c>
      <c r="H2166">
        <v>1.0086900000000001</v>
      </c>
      <c r="I2166">
        <v>284.7783</v>
      </c>
      <c r="J2166">
        <v>-348.30259999999998</v>
      </c>
      <c r="K2166">
        <v>1.1103379999999901</v>
      </c>
      <c r="L2166">
        <v>284.75400000000002</v>
      </c>
      <c r="M2166">
        <v>-0.99987749999999997</v>
      </c>
      <c r="N2166">
        <v>-1.5130909999999999E-2</v>
      </c>
      <c r="O2166">
        <v>4.0080209999999996E-3</v>
      </c>
      <c r="P2166">
        <v>-0.93450069999999996</v>
      </c>
      <c r="Q2166">
        <v>0.34682299999999999</v>
      </c>
      <c r="R2166">
        <v>-8.0138299999999996E-2</v>
      </c>
      <c r="S2166">
        <v>-3.3535460000000001</v>
      </c>
      <c r="T2166">
        <v>-0.36516280000000001</v>
      </c>
      <c r="U2166">
        <v>9.3902589999999994E-2</v>
      </c>
      <c r="V2166">
        <v>-8.3983379999999996E-2</v>
      </c>
      <c r="W2166">
        <v>0.36089529999999997</v>
      </c>
      <c r="X2166">
        <v>0.92881720000000001</v>
      </c>
      <c r="Y2166">
        <v>2.3839920000000001E-2</v>
      </c>
      <c r="Z2166">
        <v>1.1003160000000001E-3</v>
      </c>
      <c r="AA2166">
        <v>0.99971520000000003</v>
      </c>
      <c r="AB2166">
        <v>53</v>
      </c>
      <c r="AC2166">
        <v>-0.39839999999998099</v>
      </c>
      <c r="AD2166">
        <v>-0.101647999999999</v>
      </c>
      <c r="AE2166">
        <v>2.4299999999982402E-2</v>
      </c>
      <c r="AF2166">
        <v>2.1320102079782001E-2</v>
      </c>
      <c r="AG2166">
        <v>-0.101647999999999</v>
      </c>
      <c r="AH2166">
        <v>0.37422376331036999</v>
      </c>
      <c r="AI2166">
        <v>105.172776693991</v>
      </c>
      <c r="AJ2166">
        <v>86.739296282689693</v>
      </c>
      <c r="AK2166">
        <v>0.38836875219675998</v>
      </c>
      <c r="AL2166">
        <v>68.844810545322105</v>
      </c>
      <c r="AM2166">
        <v>95.166617939522098</v>
      </c>
      <c r="AN2166">
        <v>1.0000000083470699</v>
      </c>
    </row>
    <row r="2167" spans="1:40" x14ac:dyDescent="0.25">
      <c r="A2167" t="str">
        <f>"20190304164412220"</f>
        <v>20190304164412220</v>
      </c>
      <c r="B2167" t="str">
        <f>"1551689052212367"</f>
        <v>1551689052212367</v>
      </c>
      <c r="C2167" t="s">
        <v>40</v>
      </c>
      <c r="D2167">
        <v>5.0861460000000003</v>
      </c>
      <c r="E2167">
        <v>0.55639589999999906</v>
      </c>
      <c r="F2167" t="s">
        <v>41</v>
      </c>
      <c r="G2167">
        <v>-349.17540000000002</v>
      </c>
      <c r="H2167">
        <v>1.0106889999999999</v>
      </c>
      <c r="I2167">
        <v>284.77699999999999</v>
      </c>
      <c r="J2167">
        <v>-348.60610000000003</v>
      </c>
      <c r="K2167">
        <v>1.1103449999999999</v>
      </c>
      <c r="L2167">
        <v>284.75510000000003</v>
      </c>
      <c r="M2167">
        <v>-0.99987760000000003</v>
      </c>
      <c r="N2167">
        <v>-1.513711E-2</v>
      </c>
      <c r="O2167">
        <v>3.9508820000000002E-3</v>
      </c>
      <c r="P2167">
        <v>-0.93449179999999998</v>
      </c>
      <c r="Q2167">
        <v>0.3468562</v>
      </c>
      <c r="R2167">
        <v>-8.0102119999999999E-2</v>
      </c>
      <c r="S2167">
        <v>-3.3602289999999999</v>
      </c>
      <c r="T2167">
        <v>-0.3835363</v>
      </c>
      <c r="U2167">
        <v>8.8928220000000002E-2</v>
      </c>
      <c r="V2167">
        <v>-8.3896139999999994E-2</v>
      </c>
      <c r="W2167">
        <v>0.36093350000000002</v>
      </c>
      <c r="X2167">
        <v>0.92881020000000003</v>
      </c>
      <c r="Y2167">
        <v>2.2360330000000001E-2</v>
      </c>
      <c r="Z2167">
        <v>1.0518700000000001E-3</v>
      </c>
      <c r="AA2167">
        <v>0.99974940000000001</v>
      </c>
      <c r="AB2167">
        <v>53</v>
      </c>
      <c r="AC2167">
        <v>-0.56929999999999803</v>
      </c>
      <c r="AD2167">
        <v>-9.9656000000000203E-2</v>
      </c>
      <c r="AE2167">
        <v>2.1899999999959601E-2</v>
      </c>
      <c r="AF2167">
        <v>1.9066938333258399E-2</v>
      </c>
      <c r="AG2167">
        <v>-9.9656000000000203E-2</v>
      </c>
      <c r="AH2167">
        <v>0.55247779111901096</v>
      </c>
      <c r="AI2167">
        <v>100.219111422685</v>
      </c>
      <c r="AJ2167">
        <v>88.023410720179498</v>
      </c>
      <c r="AK2167">
        <v>0.56171752345208703</v>
      </c>
      <c r="AL2167">
        <v>68.842462828981397</v>
      </c>
      <c r="AM2167">
        <v>95.1613186657369</v>
      </c>
      <c r="AN2167">
        <v>0.99999997067659396</v>
      </c>
    </row>
    <row r="2168" spans="1:40" x14ac:dyDescent="0.25">
      <c r="A2168" t="str">
        <f>"20190304164412239"</f>
        <v>20190304164412239</v>
      </c>
      <c r="B2168" t="str">
        <f>"1551689052231886"</f>
        <v>1551689052231886</v>
      </c>
      <c r="C2168" t="s">
        <v>40</v>
      </c>
      <c r="D2168">
        <v>5.106967</v>
      </c>
      <c r="E2168">
        <v>0.5562144</v>
      </c>
      <c r="F2168" t="s">
        <v>41</v>
      </c>
      <c r="G2168">
        <v>-349.6379</v>
      </c>
      <c r="H2168">
        <v>0.98915589999999998</v>
      </c>
      <c r="I2168">
        <v>284.78089999999997</v>
      </c>
      <c r="J2168">
        <v>-349.07780000000002</v>
      </c>
      <c r="K2168">
        <v>1.1103529999999999</v>
      </c>
      <c r="L2168">
        <v>284.75689999999997</v>
      </c>
      <c r="M2168">
        <v>-0.99987789999999999</v>
      </c>
      <c r="N2168">
        <v>-1.51453E-2</v>
      </c>
      <c r="O2168">
        <v>3.8560059999999999E-3</v>
      </c>
      <c r="P2168">
        <v>-0.93444910000000003</v>
      </c>
      <c r="Q2168">
        <v>0.3469257</v>
      </c>
      <c r="R2168">
        <v>-8.0296530000000005E-2</v>
      </c>
      <c r="S2168">
        <v>-3.3641049999999999</v>
      </c>
      <c r="T2168">
        <v>-0.39520559999999899</v>
      </c>
      <c r="U2168">
        <v>8.3099370000000006E-2</v>
      </c>
      <c r="V2168">
        <v>-8.4006869999999997E-2</v>
      </c>
      <c r="W2168">
        <v>0.36100919999999997</v>
      </c>
      <c r="X2168">
        <v>0.92877080000000001</v>
      </c>
      <c r="Y2168">
        <v>2.069816E-2</v>
      </c>
      <c r="Z2168">
        <v>9.7566679999999998E-4</v>
      </c>
      <c r="AA2168">
        <v>0.99978529999999999</v>
      </c>
      <c r="AB2168">
        <v>53</v>
      </c>
      <c r="AC2168">
        <v>-0.56009999999997695</v>
      </c>
      <c r="AD2168">
        <v>-0.1211971</v>
      </c>
      <c r="AE2168">
        <v>2.4000000000000899E-2</v>
      </c>
      <c r="AF2168">
        <v>2.08646816749497E-2</v>
      </c>
      <c r="AG2168">
        <v>-0.1211971</v>
      </c>
      <c r="AH2168">
        <v>0.535176105392979</v>
      </c>
      <c r="AI2168">
        <v>102.75072399246299</v>
      </c>
      <c r="AJ2168">
        <v>87.767364685053096</v>
      </c>
      <c r="AK2168">
        <v>0.54912433544089501</v>
      </c>
      <c r="AL2168">
        <v>68.837812564385203</v>
      </c>
      <c r="AM2168">
        <v>95.168311998995705</v>
      </c>
      <c r="AN2168">
        <v>0.99999999781223803</v>
      </c>
    </row>
    <row r="2169" spans="1:40" x14ac:dyDescent="0.25">
      <c r="A2169" t="str">
        <f>"20190304164412252"</f>
        <v>20190304164412252</v>
      </c>
      <c r="B2169" t="str">
        <f>"1551689052241647"</f>
        <v>1551689052241647</v>
      </c>
      <c r="C2169" t="s">
        <v>40</v>
      </c>
      <c r="D2169">
        <v>5.108428</v>
      </c>
      <c r="E2169">
        <v>0.55614449999999904</v>
      </c>
      <c r="F2169" t="s">
        <v>41</v>
      </c>
      <c r="G2169">
        <v>-350.10980000000001</v>
      </c>
      <c r="H2169">
        <v>0.98743409999999998</v>
      </c>
      <c r="I2169">
        <v>284.78140000000002</v>
      </c>
      <c r="J2169">
        <v>-349.37759999999997</v>
      </c>
      <c r="K2169">
        <v>1.110358</v>
      </c>
      <c r="L2169">
        <v>284.75810000000001</v>
      </c>
      <c r="M2169">
        <v>-0.99987809999999999</v>
      </c>
      <c r="N2169">
        <v>-1.514973E-2</v>
      </c>
      <c r="O2169">
        <v>3.7931280000000002E-3</v>
      </c>
      <c r="P2169">
        <v>-0.93429099999999998</v>
      </c>
      <c r="Q2169">
        <v>0.34732770000000002</v>
      </c>
      <c r="R2169">
        <v>-8.0399070000000003E-2</v>
      </c>
      <c r="S2169">
        <v>-3.3661500000000002</v>
      </c>
      <c r="T2169">
        <v>-0.40103719999999998</v>
      </c>
      <c r="U2169">
        <v>7.9315189999999994E-2</v>
      </c>
      <c r="V2169">
        <v>-8.4053929999999999E-2</v>
      </c>
      <c r="W2169">
        <v>0.36141200000000001</v>
      </c>
      <c r="X2169">
        <v>0.92860980000000004</v>
      </c>
      <c r="Y2169">
        <v>1.9627289999999999E-2</v>
      </c>
      <c r="Z2169">
        <v>9.2123219999999998E-4</v>
      </c>
      <c r="AA2169">
        <v>0.99980690000000005</v>
      </c>
      <c r="AB2169">
        <v>53</v>
      </c>
      <c r="AC2169">
        <v>-0.73220000000003405</v>
      </c>
      <c r="AD2169">
        <v>-0.122923899999999</v>
      </c>
      <c r="AE2169">
        <v>2.3300000000006E-2</v>
      </c>
      <c r="AF2169">
        <v>1.99601830078385E-2</v>
      </c>
      <c r="AG2169">
        <v>-0.122923899999999</v>
      </c>
      <c r="AH2169">
        <v>0.71222946409066401</v>
      </c>
      <c r="AI2169">
        <v>99.7884593654897</v>
      </c>
      <c r="AJ2169">
        <v>88.394709793596505</v>
      </c>
      <c r="AK2169">
        <v>0.723034925585059</v>
      </c>
      <c r="AL2169">
        <v>68.813061294132893</v>
      </c>
      <c r="AM2169">
        <v>95.172083260414794</v>
      </c>
      <c r="AN2169">
        <v>0.99999992877423904</v>
      </c>
    </row>
    <row r="2170" spans="1:40" x14ac:dyDescent="0.25">
      <c r="A2170" t="str">
        <f>"20190304164412266"</f>
        <v>20190304164412266</v>
      </c>
      <c r="B2170" t="str">
        <f>"1551689052262143"</f>
        <v>1551689052262143</v>
      </c>
      <c r="C2170" t="s">
        <v>40</v>
      </c>
      <c r="D2170">
        <v>5.1062799999999999</v>
      </c>
      <c r="E2170">
        <v>0.55606089999999997</v>
      </c>
      <c r="F2170" t="s">
        <v>41</v>
      </c>
      <c r="G2170">
        <v>-350.12650000000002</v>
      </c>
      <c r="H2170">
        <v>1.0211490000000001</v>
      </c>
      <c r="I2170">
        <v>284.7758</v>
      </c>
      <c r="J2170">
        <v>-349.67070000000001</v>
      </c>
      <c r="K2170">
        <v>1.110363</v>
      </c>
      <c r="L2170">
        <v>284.75920000000002</v>
      </c>
      <c r="M2170">
        <v>-0.9998783</v>
      </c>
      <c r="N2170">
        <v>-1.5153420000000001E-2</v>
      </c>
      <c r="O2170">
        <v>3.7277550000000001E-3</v>
      </c>
      <c r="P2170">
        <v>-0.9343072</v>
      </c>
      <c r="Q2170">
        <v>0.34725990000000001</v>
      </c>
      <c r="R2170">
        <v>-8.0504560000000003E-2</v>
      </c>
      <c r="S2170">
        <v>-3.3670040000000001</v>
      </c>
      <c r="T2170">
        <v>-0.40122629999999998</v>
      </c>
      <c r="U2170">
        <v>7.8857419999999998E-2</v>
      </c>
      <c r="V2170">
        <v>-8.4102270000000007E-2</v>
      </c>
      <c r="W2170">
        <v>0.36134670000000002</v>
      </c>
      <c r="X2170">
        <v>0.92863090000000004</v>
      </c>
      <c r="Y2170">
        <v>1.9551019999999999E-2</v>
      </c>
      <c r="Z2170">
        <v>9.2310410000000004E-4</v>
      </c>
      <c r="AA2170">
        <v>0.99980840000000004</v>
      </c>
      <c r="AB2170">
        <v>53</v>
      </c>
      <c r="AC2170">
        <v>-0.45580000000000997</v>
      </c>
      <c r="AD2170">
        <v>-8.9213999999999904E-2</v>
      </c>
      <c r="AE2170">
        <v>1.6599999999982601E-2</v>
      </c>
      <c r="AF2170">
        <v>1.43514948147905E-2</v>
      </c>
      <c r="AG2170">
        <v>-8.9213999999999904E-2</v>
      </c>
      <c r="AH2170">
        <v>0.43906039481630199</v>
      </c>
      <c r="AI2170">
        <v>101.479765060612</v>
      </c>
      <c r="AJ2170">
        <v>88.127848855111296</v>
      </c>
      <c r="AK2170">
        <v>0.44826234896058997</v>
      </c>
      <c r="AL2170">
        <v>68.8170752198142</v>
      </c>
      <c r="AM2170">
        <v>95.174924668292604</v>
      </c>
      <c r="AN2170">
        <v>0.99999998892742603</v>
      </c>
    </row>
    <row r="2171" spans="1:40" x14ac:dyDescent="0.25">
      <c r="A2171" t="str">
        <f>"20190304164412285"</f>
        <v>20190304164412285</v>
      </c>
      <c r="B2171" t="str">
        <f>"1551689052281663"</f>
        <v>1551689052281663</v>
      </c>
      <c r="C2171" t="s">
        <v>40</v>
      </c>
      <c r="D2171">
        <v>5.06203</v>
      </c>
      <c r="E2171">
        <v>0.55622240000000001</v>
      </c>
      <c r="F2171" t="s">
        <v>41</v>
      </c>
      <c r="G2171">
        <v>-350.58859999999999</v>
      </c>
      <c r="H2171">
        <v>1.000391</v>
      </c>
      <c r="I2171">
        <v>284.78059999999999</v>
      </c>
      <c r="J2171">
        <v>-350.1327</v>
      </c>
      <c r="K2171">
        <v>1.110376</v>
      </c>
      <c r="L2171">
        <v>284.76080000000002</v>
      </c>
      <c r="M2171">
        <v>-0.99987859999999995</v>
      </c>
      <c r="N2171">
        <v>-1.515856E-2</v>
      </c>
      <c r="O2171">
        <v>3.6215599999999998E-3</v>
      </c>
      <c r="P2171">
        <v>-0.93425210000000003</v>
      </c>
      <c r="Q2171">
        <v>0.34731129999999999</v>
      </c>
      <c r="R2171">
        <v>-8.0920850000000002E-2</v>
      </c>
      <c r="S2171">
        <v>-3.367645</v>
      </c>
      <c r="T2171">
        <v>-0.40362720000000002</v>
      </c>
      <c r="U2171">
        <v>7.7270510000000001E-2</v>
      </c>
      <c r="V2171">
        <v>-8.4424940000000004E-2</v>
      </c>
      <c r="W2171">
        <v>0.36140040000000001</v>
      </c>
      <c r="X2171">
        <v>0.92858070000000004</v>
      </c>
      <c r="Y2171">
        <v>1.9182810000000002E-2</v>
      </c>
      <c r="Z2171">
        <v>9.1360029999999997E-4</v>
      </c>
      <c r="AA2171">
        <v>0.99981560000000003</v>
      </c>
      <c r="AB2171">
        <v>53</v>
      </c>
      <c r="AC2171">
        <v>-0.45589999999998498</v>
      </c>
      <c r="AD2171">
        <v>-0.109984999999999</v>
      </c>
      <c r="AE2171">
        <v>1.9799999999975101E-2</v>
      </c>
      <c r="AF2171">
        <v>1.71522205425402E-2</v>
      </c>
      <c r="AG2171">
        <v>-0.109984999999999</v>
      </c>
      <c r="AH2171">
        <v>0.43093523811487999</v>
      </c>
      <c r="AI2171">
        <v>104.306737462759</v>
      </c>
      <c r="AJ2171">
        <v>87.720698409388206</v>
      </c>
      <c r="AK2171">
        <v>0.44507985614231999</v>
      </c>
      <c r="AL2171">
        <v>68.813774976631095</v>
      </c>
      <c r="AM2171">
        <v>95.194949858739605</v>
      </c>
      <c r="AN2171">
        <v>0.99999996801332602</v>
      </c>
    </row>
    <row r="2172" spans="1:40" x14ac:dyDescent="0.25">
      <c r="A2172" t="str">
        <f>"20190304164412297"</f>
        <v>20190304164412297</v>
      </c>
      <c r="B2172" t="str">
        <f>"1551689052292399"</f>
        <v>1551689052292399</v>
      </c>
      <c r="C2172" t="s">
        <v>40</v>
      </c>
      <c r="D2172">
        <v>5.0370619999999997</v>
      </c>
      <c r="E2172">
        <v>0.55635840000000003</v>
      </c>
      <c r="F2172" t="s">
        <v>41</v>
      </c>
      <c r="G2172">
        <v>-351.0598</v>
      </c>
      <c r="H2172">
        <v>0.99886750000000002</v>
      </c>
      <c r="I2172">
        <v>284.78160000000003</v>
      </c>
      <c r="J2172">
        <v>-350.42579999999998</v>
      </c>
      <c r="K2172">
        <v>1.110385</v>
      </c>
      <c r="L2172">
        <v>284.76179999999999</v>
      </c>
      <c r="M2172">
        <v>-0.99987879999999996</v>
      </c>
      <c r="N2172">
        <v>-1.516142E-2</v>
      </c>
      <c r="O2172">
        <v>3.5516699999999998E-3</v>
      </c>
      <c r="P2172">
        <v>-0.93414819999999998</v>
      </c>
      <c r="Q2172">
        <v>0.34758529999999999</v>
      </c>
      <c r="R2172">
        <v>-8.0944849999999999E-2</v>
      </c>
      <c r="S2172">
        <v>-3.3682560000000001</v>
      </c>
      <c r="T2172">
        <v>-0.40523759999999998</v>
      </c>
      <c r="U2172">
        <v>7.5012209999999996E-2</v>
      </c>
      <c r="V2172">
        <v>-8.4386520000000007E-2</v>
      </c>
      <c r="W2172">
        <v>0.36167519999999997</v>
      </c>
      <c r="X2172">
        <v>0.9284772</v>
      </c>
      <c r="Y2172">
        <v>1.8582089999999999E-2</v>
      </c>
      <c r="Z2172">
        <v>8.8308619999999903E-4</v>
      </c>
      <c r="AA2172">
        <v>0.99982700000000002</v>
      </c>
      <c r="AB2172">
        <v>53</v>
      </c>
      <c r="AC2172">
        <v>-0.634000000000014</v>
      </c>
      <c r="AD2172">
        <v>-0.11151750000000001</v>
      </c>
      <c r="AE2172">
        <v>1.9800000000032E-2</v>
      </c>
      <c r="AF2172">
        <v>1.7021733763874499E-2</v>
      </c>
      <c r="AG2172">
        <v>-0.11151750000000001</v>
      </c>
      <c r="AH2172">
        <v>0.61505561233676698</v>
      </c>
      <c r="AI2172">
        <v>100.272968833199</v>
      </c>
      <c r="AJ2172">
        <v>88.414737450930105</v>
      </c>
      <c r="AK2172">
        <v>0.62531535923366999</v>
      </c>
      <c r="AL2172">
        <v>68.796887914944094</v>
      </c>
      <c r="AM2172">
        <v>95.193174342831298</v>
      </c>
      <c r="AN2172">
        <v>0.99999997298629395</v>
      </c>
    </row>
    <row r="2173" spans="1:40" x14ac:dyDescent="0.25">
      <c r="A2173" t="str">
        <f>"20190304164412308"</f>
        <v>20190304164412308</v>
      </c>
      <c r="B2173" t="str">
        <f>"1551689052302159"</f>
        <v>1551689052302159</v>
      </c>
      <c r="C2173" t="s">
        <v>40</v>
      </c>
      <c r="D2173">
        <v>5.0442419999999997</v>
      </c>
      <c r="E2173">
        <v>0.55641980000000002</v>
      </c>
      <c r="F2173" t="s">
        <v>41</v>
      </c>
      <c r="G2173">
        <v>-351.52140000000003</v>
      </c>
      <c r="H2173">
        <v>0.97838749999999997</v>
      </c>
      <c r="I2173">
        <v>284.78629999999998</v>
      </c>
      <c r="J2173">
        <v>-350.71949999999998</v>
      </c>
      <c r="K2173">
        <v>1.110393</v>
      </c>
      <c r="L2173">
        <v>284.76280000000003</v>
      </c>
      <c r="M2173">
        <v>-0.99987910000000002</v>
      </c>
      <c r="N2173">
        <v>-1.5163960000000001E-2</v>
      </c>
      <c r="O2173">
        <v>3.4797040000000001E-3</v>
      </c>
      <c r="P2173">
        <v>-0.93421860000000001</v>
      </c>
      <c r="Q2173">
        <v>0.34745399999999999</v>
      </c>
      <c r="R2173">
        <v>-8.0694639999999998E-2</v>
      </c>
      <c r="S2173">
        <v>-3.3689879999999999</v>
      </c>
      <c r="T2173">
        <v>-0.40601939999999997</v>
      </c>
      <c r="U2173">
        <v>7.4249270000000006E-2</v>
      </c>
      <c r="V2173">
        <v>-8.4073140000000005E-2</v>
      </c>
      <c r="W2173">
        <v>0.36154629999999999</v>
      </c>
      <c r="X2173">
        <v>0.92855580000000004</v>
      </c>
      <c r="Y2173">
        <v>1.8423390000000001E-2</v>
      </c>
      <c r="Z2173">
        <v>8.811073E-4</v>
      </c>
      <c r="AA2173">
        <v>0.99982990000000005</v>
      </c>
      <c r="AB2173">
        <v>53</v>
      </c>
      <c r="AC2173">
        <v>-0.80190000000004502</v>
      </c>
      <c r="AD2173">
        <v>-0.1320055</v>
      </c>
      <c r="AE2173">
        <v>2.3499999999955799E-2</v>
      </c>
      <c r="AF2173">
        <v>2.0163239889809701E-2</v>
      </c>
      <c r="AG2173">
        <v>-0.1320055</v>
      </c>
      <c r="AH2173">
        <v>0.78083568607597797</v>
      </c>
      <c r="AI2173">
        <v>99.592369653477704</v>
      </c>
      <c r="AJ2173">
        <v>88.520800356339805</v>
      </c>
      <c r="AK2173">
        <v>0.79217193646508799</v>
      </c>
      <c r="AL2173">
        <v>68.804808812801397</v>
      </c>
      <c r="AM2173">
        <v>95.173558111972099</v>
      </c>
      <c r="AN2173">
        <v>0.99999994681339299</v>
      </c>
    </row>
    <row r="2174" spans="1:40" x14ac:dyDescent="0.25">
      <c r="A2174" t="str">
        <f>"20190304164412321"</f>
        <v>20190304164412321</v>
      </c>
      <c r="B2174" t="str">
        <f>"1551689052311920"</f>
        <v>1551689052311920</v>
      </c>
      <c r="C2174" t="s">
        <v>40</v>
      </c>
      <c r="D2174">
        <v>5.1407759999999998</v>
      </c>
      <c r="E2174">
        <v>0.55633999999999995</v>
      </c>
      <c r="F2174" t="s">
        <v>41</v>
      </c>
      <c r="G2174">
        <v>-351.5376</v>
      </c>
      <c r="H2174">
        <v>1.01118</v>
      </c>
      <c r="I2174">
        <v>284.7808</v>
      </c>
      <c r="J2174">
        <v>-351.00749999999999</v>
      </c>
      <c r="K2174">
        <v>1.1103970000000001</v>
      </c>
      <c r="L2174">
        <v>284.7638</v>
      </c>
      <c r="M2174">
        <v>-0.99987919999999997</v>
      </c>
      <c r="N2174">
        <v>-1.516611E-2</v>
      </c>
      <c r="O2174">
        <v>3.4074520000000001E-3</v>
      </c>
      <c r="P2174">
        <v>-0.93418900000000005</v>
      </c>
      <c r="Q2174">
        <v>0.34754930000000001</v>
      </c>
      <c r="R2174">
        <v>-8.0628720000000001E-2</v>
      </c>
      <c r="S2174">
        <v>-3.3695979999999999</v>
      </c>
      <c r="T2174">
        <v>-0.4088427</v>
      </c>
      <c r="U2174">
        <v>7.2753910000000005E-2</v>
      </c>
      <c r="V2174">
        <v>-8.3942269999999999E-2</v>
      </c>
      <c r="W2174">
        <v>0.36164269999999998</v>
      </c>
      <c r="X2174">
        <v>0.92853019999999997</v>
      </c>
      <c r="Y2174">
        <v>1.8049200000000001E-2</v>
      </c>
      <c r="Z2174">
        <v>8.6794529999999995E-4</v>
      </c>
      <c r="AA2174">
        <v>0.99983670000000002</v>
      </c>
      <c r="AB2174">
        <v>53</v>
      </c>
      <c r="AC2174">
        <v>-0.53010000000000401</v>
      </c>
      <c r="AD2174">
        <v>-9.9216999999999805E-2</v>
      </c>
      <c r="AE2174">
        <v>1.69999999999959E-2</v>
      </c>
      <c r="AF2174">
        <v>1.4679682827068E-2</v>
      </c>
      <c r="AG2174">
        <v>-9.9216999999999805E-2</v>
      </c>
      <c r="AH2174">
        <v>0.51222922202003796</v>
      </c>
      <c r="AI2174">
        <v>100.957851451333</v>
      </c>
      <c r="AJ2174">
        <v>88.358442498759203</v>
      </c>
      <c r="AK2174">
        <v>0.52195620704054901</v>
      </c>
      <c r="AL2174">
        <v>68.798886708270302</v>
      </c>
      <c r="AM2174">
        <v>95.165690090890607</v>
      </c>
      <c r="AN2174">
        <v>1.0000000397340401</v>
      </c>
    </row>
    <row r="2175" spans="1:40" x14ac:dyDescent="0.25">
      <c r="A2175" t="str">
        <f>"20190304164412340"</f>
        <v>20190304164412340</v>
      </c>
      <c r="B2175" t="str">
        <f>"1551689052332415"</f>
        <v>1551689052332415</v>
      </c>
      <c r="C2175" t="s">
        <v>40</v>
      </c>
      <c r="D2175">
        <v>5.1416879999999896</v>
      </c>
      <c r="E2175">
        <v>0.55619319999999906</v>
      </c>
      <c r="F2175" t="s">
        <v>41</v>
      </c>
      <c r="G2175">
        <v>-351.9984</v>
      </c>
      <c r="H2175">
        <v>0.98996930000000005</v>
      </c>
      <c r="I2175">
        <v>284.78480000000002</v>
      </c>
      <c r="J2175">
        <v>-351.44490000000002</v>
      </c>
      <c r="K2175">
        <v>1.1104160000000001</v>
      </c>
      <c r="L2175">
        <v>284.76519999999999</v>
      </c>
      <c r="M2175">
        <v>-0.99987959999999998</v>
      </c>
      <c r="N2175">
        <v>-1.516878E-2</v>
      </c>
      <c r="O2175">
        <v>3.2940399999999998E-3</v>
      </c>
      <c r="P2175">
        <v>-0.934311</v>
      </c>
      <c r="Q2175">
        <v>0.34715180000000001</v>
      </c>
      <c r="R2175">
        <v>-8.0925730000000001E-2</v>
      </c>
      <c r="S2175">
        <v>-3.3698730000000001</v>
      </c>
      <c r="T2175">
        <v>-0.40963749999999999</v>
      </c>
      <c r="U2175">
        <v>7.0892330000000003E-2</v>
      </c>
      <c r="V2175">
        <v>-8.413756E-2</v>
      </c>
      <c r="W2175">
        <v>0.36124889999999998</v>
      </c>
      <c r="X2175">
        <v>0.92866579999999999</v>
      </c>
      <c r="Y2175">
        <v>1.761132E-2</v>
      </c>
      <c r="Z2175">
        <v>8.5140809999999895E-4</v>
      </c>
      <c r="AA2175">
        <v>0.99984459999999997</v>
      </c>
      <c r="AB2175">
        <v>53</v>
      </c>
      <c r="AC2175">
        <v>-0.553499999999985</v>
      </c>
      <c r="AD2175">
        <v>-0.120446699999999</v>
      </c>
      <c r="AE2175">
        <v>1.9600000000025299E-2</v>
      </c>
      <c r="AF2175">
        <v>1.6973672096462299E-2</v>
      </c>
      <c r="AG2175">
        <v>-0.120446699999999</v>
      </c>
      <c r="AH2175">
        <v>0.52856344146907197</v>
      </c>
      <c r="AI2175">
        <v>102.830711156473</v>
      </c>
      <c r="AJ2175">
        <v>88.160701997559102</v>
      </c>
      <c r="AK2175">
        <v>0.54237885720495904</v>
      </c>
      <c r="AL2175">
        <v>68.823085648952201</v>
      </c>
      <c r="AM2175">
        <v>95.176890809928594</v>
      </c>
      <c r="AN2175">
        <v>1.0000000324217999</v>
      </c>
    </row>
    <row r="2176" spans="1:40" x14ac:dyDescent="0.25">
      <c r="A2176" t="str">
        <f>"20190304164412364"</f>
        <v>20190304164412364</v>
      </c>
      <c r="B2176" t="str">
        <f>"1551689052351934"</f>
        <v>1551689052351934</v>
      </c>
      <c r="C2176" t="s">
        <v>40</v>
      </c>
      <c r="D2176">
        <v>5.0500809999999996</v>
      </c>
      <c r="E2176">
        <v>0.55625930000000001</v>
      </c>
      <c r="F2176" t="s">
        <v>41</v>
      </c>
      <c r="G2176">
        <v>-352.46710000000002</v>
      </c>
      <c r="H2176">
        <v>0.98539469999999996</v>
      </c>
      <c r="I2176">
        <v>284.78649999999999</v>
      </c>
      <c r="J2176">
        <v>-351.99099999999999</v>
      </c>
      <c r="K2176">
        <v>1.1104309999999999</v>
      </c>
      <c r="L2176">
        <v>284.767</v>
      </c>
      <c r="M2176">
        <v>-0.99987999999999999</v>
      </c>
      <c r="N2176">
        <v>-1.517104E-2</v>
      </c>
      <c r="O2176">
        <v>3.143921E-3</v>
      </c>
      <c r="P2176">
        <v>-0.93410510000000002</v>
      </c>
      <c r="Q2176">
        <v>0.34764080000000003</v>
      </c>
      <c r="R2176">
        <v>-8.1201259999999997E-2</v>
      </c>
      <c r="S2176">
        <v>-3.3701479999999999</v>
      </c>
      <c r="T2176">
        <v>-0.41227940000000002</v>
      </c>
      <c r="U2176">
        <v>6.9671629999999998E-2</v>
      </c>
      <c r="V2176">
        <v>-8.4279019999999996E-2</v>
      </c>
      <c r="W2176">
        <v>0.36173559999999999</v>
      </c>
      <c r="X2176">
        <v>0.9284635</v>
      </c>
      <c r="Y2176">
        <v>1.739717E-2</v>
      </c>
      <c r="Z2176">
        <v>8.5700449999999895E-4</v>
      </c>
      <c r="AA2176">
        <v>0.99984830000000002</v>
      </c>
      <c r="AB2176">
        <v>53</v>
      </c>
      <c r="AC2176">
        <v>-0.47610000000003</v>
      </c>
      <c r="AD2176">
        <v>-0.12503629999999999</v>
      </c>
      <c r="AE2176">
        <v>1.9499999999993599E-2</v>
      </c>
      <c r="AF2176">
        <v>1.6843142747787899E-2</v>
      </c>
      <c r="AG2176">
        <v>-0.12503629999999999</v>
      </c>
      <c r="AH2176">
        <v>0.44548426208602698</v>
      </c>
      <c r="AI2176">
        <v>105.667459772234</v>
      </c>
      <c r="AJ2176">
        <v>87.834757296650494</v>
      </c>
      <c r="AK2176">
        <v>0.463005394721967</v>
      </c>
      <c r="AL2176">
        <v>68.793177279958599</v>
      </c>
      <c r="AM2176">
        <v>95.186670975308203</v>
      </c>
      <c r="AN2176">
        <v>1.0000000341758799</v>
      </c>
    </row>
    <row r="2177" spans="1:40" x14ac:dyDescent="0.25">
      <c r="A2177" t="str">
        <f>"20190304164412386"</f>
        <v>20190304164412386</v>
      </c>
      <c r="B2177" t="str">
        <f>"1551689052382191"</f>
        <v>1551689052382191</v>
      </c>
      <c r="C2177" t="s">
        <v>40</v>
      </c>
      <c r="D2177">
        <v>5.1446420000000002</v>
      </c>
      <c r="E2177">
        <v>0.55633250000000001</v>
      </c>
      <c r="F2177" t="s">
        <v>41</v>
      </c>
      <c r="G2177">
        <v>-352.94199999999898</v>
      </c>
      <c r="H2177">
        <v>0.99419190000000002</v>
      </c>
      <c r="I2177">
        <v>284.78710000000001</v>
      </c>
      <c r="J2177">
        <v>-352.50569999999999</v>
      </c>
      <c r="K2177">
        <v>1.1104400000000001</v>
      </c>
      <c r="L2177">
        <v>284.76850000000002</v>
      </c>
      <c r="M2177">
        <v>-0.99988060000000001</v>
      </c>
      <c r="N2177">
        <v>-1.5172389999999999E-2</v>
      </c>
      <c r="O2177">
        <v>2.9916220000000002E-3</v>
      </c>
      <c r="P2177">
        <v>-0.93419649999999999</v>
      </c>
      <c r="Q2177">
        <v>0.34756160000000003</v>
      </c>
      <c r="R2177">
        <v>-8.0486059999999998E-2</v>
      </c>
      <c r="S2177">
        <v>-3.3711850000000001</v>
      </c>
      <c r="T2177">
        <v>-0.41212109999999902</v>
      </c>
      <c r="U2177">
        <v>7.1105959999999996E-2</v>
      </c>
      <c r="V2177">
        <v>-8.3430799999999999E-2</v>
      </c>
      <c r="W2177">
        <v>0.36165740000000002</v>
      </c>
      <c r="X2177">
        <v>0.92857049999999997</v>
      </c>
      <c r="Y2177">
        <v>1.7962869999999999E-2</v>
      </c>
      <c r="Z2177">
        <v>9.1155279999999999E-4</v>
      </c>
      <c r="AA2177">
        <v>0.99983820000000001</v>
      </c>
      <c r="AB2177">
        <v>53</v>
      </c>
      <c r="AC2177">
        <v>-0.43629999999996</v>
      </c>
      <c r="AD2177">
        <v>-0.11624809999999899</v>
      </c>
      <c r="AE2177">
        <v>1.8599999999992099E-2</v>
      </c>
      <c r="AF2177">
        <v>1.6150095764152401E-2</v>
      </c>
      <c r="AG2177">
        <v>-0.11624809999999899</v>
      </c>
      <c r="AH2177">
        <v>0.407478968539911</v>
      </c>
      <c r="AI2177">
        <v>105.910854578759</v>
      </c>
      <c r="AJ2177">
        <v>87.730316584467403</v>
      </c>
      <c r="AK2177">
        <v>0.424044285598982</v>
      </c>
      <c r="AL2177">
        <v>68.7979818391089</v>
      </c>
      <c r="AM2177">
        <v>95.134162043639904</v>
      </c>
      <c r="AN2177">
        <v>0.99999997341682401</v>
      </c>
    </row>
    <row r="2178" spans="1:40" x14ac:dyDescent="0.25">
      <c r="A2178" t="str">
        <f>"20190304164412408"</f>
        <v>20190304164412408</v>
      </c>
      <c r="B2178" t="str">
        <f>"1551689052401714"</f>
        <v>1551689052401714</v>
      </c>
      <c r="C2178" t="s">
        <v>40</v>
      </c>
      <c r="D2178">
        <v>5.0621090000000004</v>
      </c>
      <c r="E2178">
        <v>0.55642590000000003</v>
      </c>
      <c r="F2178" t="s">
        <v>41</v>
      </c>
      <c r="G2178">
        <v>-353.41469999999998</v>
      </c>
      <c r="H2178">
        <v>0.99932600000000005</v>
      </c>
      <c r="I2178">
        <v>284.78879999999998</v>
      </c>
      <c r="J2178">
        <v>-353.04259999999999</v>
      </c>
      <c r="K2178">
        <v>1.1104620000000001</v>
      </c>
      <c r="L2178">
        <v>284.77</v>
      </c>
      <c r="M2178">
        <v>-0.99988100000000002</v>
      </c>
      <c r="N2178">
        <v>-1.517319E-2</v>
      </c>
      <c r="O2178">
        <v>2.8150760000000001E-3</v>
      </c>
      <c r="P2178">
        <v>-0.93432309999999996</v>
      </c>
      <c r="Q2178">
        <v>0.34722979999999998</v>
      </c>
      <c r="R2178">
        <v>-8.044635E-2</v>
      </c>
      <c r="S2178">
        <v>-3.3710939999999998</v>
      </c>
      <c r="T2178">
        <v>-0.41225250000000002</v>
      </c>
      <c r="U2178">
        <v>7.4066160000000006E-2</v>
      </c>
      <c r="V2178">
        <v>-8.3239930000000004E-2</v>
      </c>
      <c r="W2178">
        <v>0.36132530000000002</v>
      </c>
      <c r="X2178">
        <v>0.92871700000000001</v>
      </c>
      <c r="Y2178">
        <v>1.9007690000000001E-2</v>
      </c>
      <c r="Z2178">
        <v>1.0022469999999999E-3</v>
      </c>
      <c r="AA2178">
        <v>0.99981889999999995</v>
      </c>
      <c r="AB2178">
        <v>53</v>
      </c>
      <c r="AC2178">
        <v>-0.372099999999989</v>
      </c>
      <c r="AD2178">
        <v>-0.111135999999999</v>
      </c>
      <c r="AE2178">
        <v>1.87999999999988E-2</v>
      </c>
      <c r="AF2178">
        <v>1.63018114757781E-2</v>
      </c>
      <c r="AG2178">
        <v>-0.111135999999999</v>
      </c>
      <c r="AH2178">
        <v>0.341743755059017</v>
      </c>
      <c r="AI2178">
        <v>107.99552555414</v>
      </c>
      <c r="AJ2178">
        <v>87.268955174422004</v>
      </c>
      <c r="AK2178">
        <v>0.35973011227200502</v>
      </c>
      <c r="AL2178">
        <v>68.818391822355196</v>
      </c>
      <c r="AM2178">
        <v>95.121675107454706</v>
      </c>
      <c r="AN2178">
        <v>1.0000000622277401</v>
      </c>
    </row>
    <row r="2179" spans="1:40" x14ac:dyDescent="0.25">
      <c r="A2179" t="str">
        <f>"20190304164412430"</f>
        <v>20190304164412430</v>
      </c>
      <c r="B2179" t="str">
        <f>"1551689052422206"</f>
        <v>1551689052422206</v>
      </c>
      <c r="C2179" t="s">
        <v>40</v>
      </c>
      <c r="D2179">
        <v>5.119103</v>
      </c>
      <c r="E2179">
        <v>0.55650659999999996</v>
      </c>
      <c r="F2179" t="s">
        <v>41</v>
      </c>
      <c r="G2179">
        <v>-353.88830000000002</v>
      </c>
      <c r="H2179">
        <v>1.0066079999999999</v>
      </c>
      <c r="I2179">
        <v>284.78879999999998</v>
      </c>
      <c r="J2179">
        <v>-353.5652</v>
      </c>
      <c r="K2179">
        <v>1.110487</v>
      </c>
      <c r="L2179">
        <v>284.7713</v>
      </c>
      <c r="M2179">
        <v>-0.99988140000000003</v>
      </c>
      <c r="N2179">
        <v>-1.517347E-2</v>
      </c>
      <c r="O2179">
        <v>2.6137719999999999E-3</v>
      </c>
      <c r="P2179">
        <v>-0.93437919999999997</v>
      </c>
      <c r="Q2179">
        <v>0.34705360000000002</v>
      </c>
      <c r="R2179">
        <v>-8.0556929999999999E-2</v>
      </c>
      <c r="S2179">
        <v>-3.371216</v>
      </c>
      <c r="T2179">
        <v>-0.41406019999999999</v>
      </c>
      <c r="U2179">
        <v>7.5012209999999996E-2</v>
      </c>
      <c r="V2179">
        <v>-8.3183240000000006E-2</v>
      </c>
      <c r="W2179">
        <v>0.36114610000000003</v>
      </c>
      <c r="X2179">
        <v>0.9287917</v>
      </c>
      <c r="Y2179">
        <v>1.9482309999999999E-2</v>
      </c>
      <c r="Z2179">
        <v>1.0600029999999999E-3</v>
      </c>
      <c r="AA2179">
        <v>0.99980959999999997</v>
      </c>
      <c r="AB2179">
        <v>53</v>
      </c>
      <c r="AC2179">
        <v>-0.32310000000000999</v>
      </c>
      <c r="AD2179">
        <v>-0.103879</v>
      </c>
      <c r="AE2179">
        <v>1.7499999999984001E-2</v>
      </c>
      <c r="AF2179">
        <v>1.5099146103864799E-2</v>
      </c>
      <c r="AG2179">
        <v>-0.103879</v>
      </c>
      <c r="AH2179">
        <v>0.29295169972812302</v>
      </c>
      <c r="AI2179">
        <v>109.500288203276</v>
      </c>
      <c r="AJ2179">
        <v>87.049505092508994</v>
      </c>
      <c r="AK2179">
        <v>0.31119050311290403</v>
      </c>
      <c r="AL2179">
        <v>68.829401128437794</v>
      </c>
      <c r="AM2179">
        <v>95.117796101269093</v>
      </c>
      <c r="AN2179">
        <v>0.99999998947549795</v>
      </c>
    </row>
    <row r="2180" spans="1:40" x14ac:dyDescent="0.25">
      <c r="A2180" t="str">
        <f>"20190304164412453"</f>
        <v>20190304164412453</v>
      </c>
      <c r="B2180" t="str">
        <f>"1551689052441726"</f>
        <v>1551689052441726</v>
      </c>
      <c r="C2180" t="s">
        <v>40</v>
      </c>
      <c r="D2180">
        <v>5.1618050000000002</v>
      </c>
      <c r="E2180">
        <v>0.55601319999999999</v>
      </c>
      <c r="F2180" t="s">
        <v>41</v>
      </c>
      <c r="G2180">
        <v>-354.36079999999998</v>
      </c>
      <c r="H2180">
        <v>1.012748</v>
      </c>
      <c r="I2180">
        <v>284.78980000000001</v>
      </c>
      <c r="J2180">
        <v>-354.08350000000002</v>
      </c>
      <c r="K2180">
        <v>1.1105160000000001</v>
      </c>
      <c r="L2180">
        <v>284.77249999999998</v>
      </c>
      <c r="M2180">
        <v>-0.99988220000000005</v>
      </c>
      <c r="N2180">
        <v>-1.517333E-2</v>
      </c>
      <c r="O2180">
        <v>2.3714980000000001E-3</v>
      </c>
      <c r="P2180">
        <v>-0.93448229999999999</v>
      </c>
      <c r="Q2180">
        <v>0.34667589999999998</v>
      </c>
      <c r="R2180">
        <v>-8.0988060000000001E-2</v>
      </c>
      <c r="S2180">
        <v>-3.3711549999999999</v>
      </c>
      <c r="T2180">
        <v>-0.41425729999999999</v>
      </c>
      <c r="U2180">
        <v>7.6843259999999997E-2</v>
      </c>
      <c r="V2180">
        <v>-8.3417489999999997E-2</v>
      </c>
      <c r="W2180">
        <v>0.36076330000000001</v>
      </c>
      <c r="X2180">
        <v>0.92891950000000001</v>
      </c>
      <c r="Y2180">
        <v>2.0259630000000001E-2</v>
      </c>
      <c r="Z2180">
        <v>1.139915E-3</v>
      </c>
      <c r="AA2180">
        <v>0.99979410000000002</v>
      </c>
      <c r="AB2180">
        <v>53</v>
      </c>
      <c r="AC2180">
        <v>-0.27729999999996802</v>
      </c>
      <c r="AD2180">
        <v>-9.7767999999999994E-2</v>
      </c>
      <c r="AE2180">
        <v>1.7300000000034201E-2</v>
      </c>
      <c r="AF2180">
        <v>1.4808592463858E-2</v>
      </c>
      <c r="AG2180">
        <v>-9.7767999999999994E-2</v>
      </c>
      <c r="AH2180">
        <v>0.24678252406933401</v>
      </c>
      <c r="AI2180">
        <v>111.576782187552</v>
      </c>
      <c r="AJ2180">
        <v>86.565990006959893</v>
      </c>
      <c r="AK2180">
        <v>0.26585614610309799</v>
      </c>
      <c r="AL2180">
        <v>68.852920532378306</v>
      </c>
      <c r="AM2180">
        <v>95.131429022265294</v>
      </c>
      <c r="AN2180">
        <v>1.0000000368725099</v>
      </c>
    </row>
    <row r="2181" spans="1:40" x14ac:dyDescent="0.25">
      <c r="A2181" t="str">
        <f>"20190304164412475"</f>
        <v>20190304164412475</v>
      </c>
      <c r="B2181" t="str">
        <f>"1551689052471983"</f>
        <v>1551689052471983</v>
      </c>
      <c r="C2181" t="s">
        <v>40</v>
      </c>
      <c r="D2181">
        <v>5.0816720000000002</v>
      </c>
      <c r="E2181">
        <v>0.54421850000000005</v>
      </c>
      <c r="F2181" t="s">
        <v>41</v>
      </c>
      <c r="G2181">
        <v>-354.83300000000003</v>
      </c>
      <c r="H2181">
        <v>1.018581</v>
      </c>
      <c r="I2181">
        <v>284.78879999999998</v>
      </c>
      <c r="J2181">
        <v>-354.59859999999998</v>
      </c>
      <c r="K2181">
        <v>1.1105700000000001</v>
      </c>
      <c r="L2181">
        <v>284.77350000000001</v>
      </c>
      <c r="M2181">
        <v>-0.99988279999999996</v>
      </c>
      <c r="N2181">
        <v>-1.517281E-2</v>
      </c>
      <c r="O2181">
        <v>2.0764910000000002E-3</v>
      </c>
      <c r="P2181">
        <v>-0.93479849999999998</v>
      </c>
      <c r="Q2181">
        <v>0.34589969999999998</v>
      </c>
      <c r="R2181">
        <v>-8.0655459999999998E-2</v>
      </c>
      <c r="S2181">
        <v>-3.3699949999999999</v>
      </c>
      <c r="T2181">
        <v>-0.41339389999999998</v>
      </c>
      <c r="U2181">
        <v>7.2784420000000002E-2</v>
      </c>
      <c r="V2181">
        <v>-8.2849829999999999E-2</v>
      </c>
      <c r="W2181">
        <v>0.35998259999999899</v>
      </c>
      <c r="X2181">
        <v>0.92927309999999996</v>
      </c>
      <c r="Y2181">
        <v>1.9365219999999999E-2</v>
      </c>
      <c r="Z2181">
        <v>1.108401E-3</v>
      </c>
      <c r="AA2181">
        <v>0.99981189999999998</v>
      </c>
      <c r="AB2181">
        <v>53</v>
      </c>
      <c r="AC2181">
        <v>-0.23440000000005001</v>
      </c>
      <c r="AD2181">
        <v>-9.1989000000000098E-2</v>
      </c>
      <c r="AE2181">
        <v>1.5299999999967799E-2</v>
      </c>
      <c r="AF2181">
        <v>1.2843509632290299E-2</v>
      </c>
      <c r="AG2181">
        <v>-9.1989000000000098E-2</v>
      </c>
      <c r="AH2181">
        <v>0.203259526128412</v>
      </c>
      <c r="AI2181">
        <v>114.30719060106399</v>
      </c>
      <c r="AJ2181">
        <v>86.384416165934596</v>
      </c>
      <c r="AK2181">
        <v>0.223475651520745</v>
      </c>
      <c r="AL2181">
        <v>68.900873239817798</v>
      </c>
      <c r="AM2181">
        <v>95.094764797982606</v>
      </c>
      <c r="AN2181">
        <v>1.00000003050869</v>
      </c>
    </row>
    <row r="2182" spans="1:40" x14ac:dyDescent="0.25">
      <c r="A2182" t="str">
        <f>"20190304164412498"</f>
        <v>20190304164412498</v>
      </c>
      <c r="B2182" t="str">
        <f>"1551689052492479"</f>
        <v>1551689052492479</v>
      </c>
      <c r="C2182" t="s">
        <v>40</v>
      </c>
      <c r="D2182">
        <v>5.0881959999999999</v>
      </c>
      <c r="E2182">
        <v>0.54444409999999999</v>
      </c>
      <c r="F2182" t="s">
        <v>41</v>
      </c>
      <c r="G2182">
        <v>-355.75229999999999</v>
      </c>
      <c r="H2182">
        <v>0.98089720000000002</v>
      </c>
      <c r="I2182">
        <v>284.76830000000001</v>
      </c>
      <c r="J2182">
        <v>-355.14980000000003</v>
      </c>
      <c r="K2182">
        <v>1.1106309999999999</v>
      </c>
      <c r="L2182">
        <v>284.77440000000001</v>
      </c>
      <c r="M2182">
        <v>-0.99988359999999998</v>
      </c>
      <c r="N2182">
        <v>-1.517191E-2</v>
      </c>
      <c r="O2182">
        <v>1.6913329999999999E-3</v>
      </c>
      <c r="P2182">
        <v>-0.93479789999999996</v>
      </c>
      <c r="Q2182">
        <v>0.34578370000000003</v>
      </c>
      <c r="R2182">
        <v>-8.1159350000000005E-2</v>
      </c>
      <c r="S2182">
        <v>-3.347137</v>
      </c>
      <c r="T2182">
        <v>-0.3762219</v>
      </c>
      <c r="U2182">
        <v>-1.5350340000000001E-2</v>
      </c>
      <c r="V2182">
        <v>-8.3045649999999999E-2</v>
      </c>
      <c r="W2182">
        <v>0.35985450000000002</v>
      </c>
      <c r="X2182">
        <v>0.92930520000000005</v>
      </c>
      <c r="Y2182">
        <v>-6.2250700000000001E-3</v>
      </c>
      <c r="Z2182">
        <v>-5.6006449999999896E-4</v>
      </c>
      <c r="AA2182">
        <v>0.99998039999999999</v>
      </c>
      <c r="AB2182">
        <v>52</v>
      </c>
      <c r="AC2182">
        <v>-0.60249999999996295</v>
      </c>
      <c r="AD2182">
        <v>-0.12973379999999901</v>
      </c>
      <c r="AE2182">
        <v>-6.1000000000035401E-3</v>
      </c>
      <c r="AF2182">
        <v>-6.8037133508013596E-3</v>
      </c>
      <c r="AG2182">
        <v>-0.12973379999999901</v>
      </c>
      <c r="AH2182">
        <v>0.57579471647228797</v>
      </c>
      <c r="AI2182">
        <v>102.69657193576801</v>
      </c>
      <c r="AJ2182">
        <v>90.6769876617428</v>
      </c>
      <c r="AK2182">
        <v>0.59026833295985204</v>
      </c>
      <c r="AL2182">
        <v>68.908739312519899</v>
      </c>
      <c r="AM2182">
        <v>95.106567484762493</v>
      </c>
      <c r="AN2182">
        <v>0.99999999795060601</v>
      </c>
    </row>
    <row r="2183" spans="1:40" x14ac:dyDescent="0.25">
      <c r="A2183" t="str">
        <f>"20190304164412519"</f>
        <v>20190304164412519</v>
      </c>
      <c r="B2183" t="str">
        <f>"1551689052511998"</f>
        <v>1551689052511998</v>
      </c>
      <c r="C2183" t="s">
        <v>40</v>
      </c>
      <c r="D2183">
        <v>5.0677079999999997</v>
      </c>
      <c r="E2183">
        <v>0.54457619999999995</v>
      </c>
      <c r="F2183" t="s">
        <v>41</v>
      </c>
      <c r="G2183">
        <v>-356.22500000000002</v>
      </c>
      <c r="H2183">
        <v>0.99041409999999996</v>
      </c>
      <c r="I2183">
        <v>284.7706</v>
      </c>
      <c r="J2183">
        <v>-355.64460000000003</v>
      </c>
      <c r="K2183">
        <v>1.1106929999999999</v>
      </c>
      <c r="L2183">
        <v>284.7749</v>
      </c>
      <c r="M2183">
        <v>-0.9998842</v>
      </c>
      <c r="N2183">
        <v>-1.517086E-2</v>
      </c>
      <c r="O2183">
        <v>1.2961100000000001E-3</v>
      </c>
      <c r="P2183">
        <v>-0.93459349999999997</v>
      </c>
      <c r="Q2183">
        <v>0.34616599999999997</v>
      </c>
      <c r="R2183">
        <v>-8.1877900000000003E-2</v>
      </c>
      <c r="S2183">
        <v>-3.3466490000000002</v>
      </c>
      <c r="T2183">
        <v>-0.37422759999999999</v>
      </c>
      <c r="U2183">
        <v>-1.2146000000000001E-2</v>
      </c>
      <c r="V2183">
        <v>-8.3443760000000006E-2</v>
      </c>
      <c r="W2183">
        <v>0.36022110000000002</v>
      </c>
      <c r="X2183">
        <v>0.9291275</v>
      </c>
      <c r="Y2183">
        <v>-4.8848859999999997E-3</v>
      </c>
      <c r="Z2183">
        <v>-4.343266E-4</v>
      </c>
      <c r="AA2183">
        <v>0.99998799999999999</v>
      </c>
      <c r="AB2183">
        <v>52</v>
      </c>
      <c r="AC2183">
        <v>-0.58039999999999703</v>
      </c>
      <c r="AD2183">
        <v>-0.12027889999999899</v>
      </c>
      <c r="AE2183">
        <v>-4.3000000000006297E-3</v>
      </c>
      <c r="AF2183">
        <v>-4.8443120589904297E-3</v>
      </c>
      <c r="AG2183">
        <v>-0.12027889999999899</v>
      </c>
      <c r="AH2183">
        <v>0.55649590191181997</v>
      </c>
      <c r="AI2183">
        <v>102.19563964126201</v>
      </c>
      <c r="AJ2183">
        <v>90.498748731283897</v>
      </c>
      <c r="AK2183">
        <v>0.56936646370258304</v>
      </c>
      <c r="AL2183">
        <v>68.886224996864001</v>
      </c>
      <c r="AM2183">
        <v>95.131893415095604</v>
      </c>
      <c r="AN2183">
        <v>1.0000000066121899</v>
      </c>
    </row>
    <row r="2184" spans="1:40" x14ac:dyDescent="0.25">
      <c r="A2184" t="str">
        <f>"20190304164412541"</f>
        <v>20190304164412541</v>
      </c>
      <c r="B2184" t="str">
        <f>"1551689052532494"</f>
        <v>1551689052532494</v>
      </c>
      <c r="C2184" t="s">
        <v>40</v>
      </c>
      <c r="D2184">
        <v>5.0933970000000004</v>
      </c>
      <c r="E2184">
        <v>0.54464330000000005</v>
      </c>
      <c r="F2184" t="s">
        <v>41</v>
      </c>
      <c r="G2184">
        <v>-356.69470000000001</v>
      </c>
      <c r="H2184">
        <v>0.9944558</v>
      </c>
      <c r="I2184">
        <v>284.77159999999998</v>
      </c>
      <c r="J2184">
        <v>-356.15359999999998</v>
      </c>
      <c r="K2184">
        <v>1.1107479999999901</v>
      </c>
      <c r="L2184">
        <v>284.77530000000002</v>
      </c>
      <c r="M2184">
        <v>-0.99988469999999996</v>
      </c>
      <c r="N2184">
        <v>-1.5169510000000001E-2</v>
      </c>
      <c r="O2184">
        <v>8.4210669999999896E-4</v>
      </c>
      <c r="P2184">
        <v>-0.93444609999999995</v>
      </c>
      <c r="Q2184">
        <v>0.34632069999999998</v>
      </c>
      <c r="R2184">
        <v>-8.2901719999999998E-2</v>
      </c>
      <c r="S2184">
        <v>-3.346222</v>
      </c>
      <c r="T2184">
        <v>-0.37060650000000001</v>
      </c>
      <c r="U2184">
        <v>-1.153564E-2</v>
      </c>
      <c r="V2184">
        <v>-8.4092379999999994E-2</v>
      </c>
      <c r="W2184">
        <v>0.36036119999999999</v>
      </c>
      <c r="X2184">
        <v>0.92901469999999997</v>
      </c>
      <c r="Y2184">
        <v>-4.2560949999999997E-3</v>
      </c>
      <c r="Z2184">
        <v>-3.4760599999999998E-4</v>
      </c>
      <c r="AA2184">
        <v>0.99999090000000002</v>
      </c>
      <c r="AB2184">
        <v>52</v>
      </c>
      <c r="AC2184">
        <v>-0.541100000000028</v>
      </c>
      <c r="AD2184">
        <v>-0.116292199999999</v>
      </c>
      <c r="AE2184">
        <v>-3.70000000003756E-3</v>
      </c>
      <c r="AF2184">
        <v>-3.9722463115883597E-3</v>
      </c>
      <c r="AG2184">
        <v>-0.116292199999999</v>
      </c>
      <c r="AH2184">
        <v>0.51720807029609495</v>
      </c>
      <c r="AI2184">
        <v>102.67162679741401</v>
      </c>
      <c r="AJ2184">
        <v>90.440032720313098</v>
      </c>
      <c r="AK2184">
        <v>0.53013568310481696</v>
      </c>
      <c r="AL2184">
        <v>68.877620190139098</v>
      </c>
      <c r="AM2184">
        <v>95.172193378355601</v>
      </c>
      <c r="AN2184">
        <v>1.0000000178277899</v>
      </c>
    </row>
    <row r="2185" spans="1:40" x14ac:dyDescent="0.25">
      <c r="A2185" t="str">
        <f>"20190304164412564"</f>
        <v>20190304164412564</v>
      </c>
      <c r="B2185" t="str">
        <f>"1551689052561775"</f>
        <v>1551689052561775</v>
      </c>
      <c r="C2185" t="s">
        <v>40</v>
      </c>
      <c r="D2185">
        <v>5.0752329999999999</v>
      </c>
      <c r="E2185">
        <v>0.54477559999999903</v>
      </c>
      <c r="F2185" t="s">
        <v>41</v>
      </c>
      <c r="G2185">
        <v>-357.16430000000003</v>
      </c>
      <c r="H2185">
        <v>0.99904349999999997</v>
      </c>
      <c r="I2185">
        <v>284.77159999999998</v>
      </c>
      <c r="J2185">
        <v>-356.70010000000002</v>
      </c>
      <c r="K2185">
        <v>1.110806</v>
      </c>
      <c r="L2185">
        <v>284.77539999999999</v>
      </c>
      <c r="M2185">
        <v>-0.99988489999999997</v>
      </c>
      <c r="N2185">
        <v>-1.516778E-2</v>
      </c>
      <c r="O2185">
        <v>3.1152870000000001E-4</v>
      </c>
      <c r="P2185">
        <v>-0.9341486</v>
      </c>
      <c r="Q2185">
        <v>0.34661779999999998</v>
      </c>
      <c r="R2185">
        <v>-8.4987839999999995E-2</v>
      </c>
      <c r="S2185">
        <v>-3.3464049999999999</v>
      </c>
      <c r="T2185">
        <v>-0.37012339999999999</v>
      </c>
      <c r="U2185">
        <v>-1.3854979999999999E-2</v>
      </c>
      <c r="V2185">
        <v>-8.5731150000000006E-2</v>
      </c>
      <c r="W2185">
        <v>0.3606396</v>
      </c>
      <c r="X2185">
        <v>0.92875680000000005</v>
      </c>
      <c r="Y2185">
        <v>-4.419699E-3</v>
      </c>
      <c r="Z2185">
        <v>-3.0694739999999999E-4</v>
      </c>
      <c r="AA2185">
        <v>0.99999020000000005</v>
      </c>
      <c r="AB2185">
        <v>52</v>
      </c>
      <c r="AC2185">
        <v>-0.464200000000005</v>
      </c>
      <c r="AD2185">
        <v>-0.1117625</v>
      </c>
      <c r="AE2185">
        <v>-3.8000000000124601E-3</v>
      </c>
      <c r="AF2185">
        <v>-3.7285113841392802E-3</v>
      </c>
      <c r="AG2185">
        <v>-0.1117625</v>
      </c>
      <c r="AH2185">
        <v>0.43876645706992601</v>
      </c>
      <c r="AI2185">
        <v>104.289981430157</v>
      </c>
      <c r="AJ2185">
        <v>90.486871365969407</v>
      </c>
      <c r="AK2185">
        <v>0.45279218417844502</v>
      </c>
      <c r="AL2185">
        <v>68.860518148360995</v>
      </c>
      <c r="AM2185">
        <v>95.273880853159795</v>
      </c>
      <c r="AN2185">
        <v>0.99999997235736104</v>
      </c>
    </row>
    <row r="2186" spans="1:40" x14ac:dyDescent="0.25">
      <c r="A2186" t="str">
        <f>"20190304164412588"</f>
        <v>20190304164412588</v>
      </c>
      <c r="B2186" t="str">
        <f>"1551689052582271"</f>
        <v>1551689052582271</v>
      </c>
      <c r="C2186" t="s">
        <v>40</v>
      </c>
      <c r="D2186">
        <v>5.0838419999999998</v>
      </c>
      <c r="E2186">
        <v>0.54489100000000001</v>
      </c>
      <c r="F2186" t="s">
        <v>41</v>
      </c>
      <c r="G2186">
        <v>-357.63569999999999</v>
      </c>
      <c r="H2186">
        <v>1.008057</v>
      </c>
      <c r="I2186">
        <v>284.77010000000001</v>
      </c>
      <c r="J2186">
        <v>-357.2285</v>
      </c>
      <c r="K2186">
        <v>1.1108579999999999</v>
      </c>
      <c r="L2186">
        <v>284.77519999999998</v>
      </c>
      <c r="M2186">
        <v>-0.99988500000000002</v>
      </c>
      <c r="N2186">
        <v>-1.5165799999999899E-2</v>
      </c>
      <c r="O2186">
        <v>-2.345045E-4</v>
      </c>
      <c r="P2186">
        <v>-0.93389809999999995</v>
      </c>
      <c r="Q2186">
        <v>0.346829</v>
      </c>
      <c r="R2186">
        <v>-8.6857210000000004E-2</v>
      </c>
      <c r="S2186">
        <v>-3.3460999999999999</v>
      </c>
      <c r="T2186">
        <v>-0.36734739999999999</v>
      </c>
      <c r="U2186">
        <v>-1.8646240000000001E-2</v>
      </c>
      <c r="V2186">
        <v>-8.7131899999999998E-2</v>
      </c>
      <c r="W2186">
        <v>0.36083389999999999</v>
      </c>
      <c r="X2186">
        <v>0.92855100000000002</v>
      </c>
      <c r="Y2186">
        <v>-5.3026729999999999E-3</v>
      </c>
      <c r="Z2186">
        <v>-3.0842899999999998E-4</v>
      </c>
      <c r="AA2186">
        <v>0.99998589999999998</v>
      </c>
      <c r="AB2186">
        <v>52</v>
      </c>
      <c r="AC2186">
        <v>-0.40719999999998802</v>
      </c>
      <c r="AD2186">
        <v>-0.102800999999999</v>
      </c>
      <c r="AE2186">
        <v>-5.0999999999703496E-3</v>
      </c>
      <c r="AF2186">
        <v>-4.7046913776191204E-3</v>
      </c>
      <c r="AG2186">
        <v>-0.102800999999999</v>
      </c>
      <c r="AH2186">
        <v>0.38280675820441401</v>
      </c>
      <c r="AI2186">
        <v>105.03078422490699</v>
      </c>
      <c r="AJ2186">
        <v>90.704129129279295</v>
      </c>
      <c r="AK2186">
        <v>0.39639777225525802</v>
      </c>
      <c r="AL2186">
        <v>68.848582837686905</v>
      </c>
      <c r="AM2186">
        <v>95.360733265251</v>
      </c>
      <c r="AN2186">
        <v>1.0000000154938999</v>
      </c>
    </row>
    <row r="2187" spans="1:40" x14ac:dyDescent="0.25">
      <c r="A2187" t="str">
        <f>"20190304164412610"</f>
        <v>20190304164412610</v>
      </c>
      <c r="B2187" t="str">
        <f>"1551689052601791"</f>
        <v>1551689052601791</v>
      </c>
      <c r="C2187" t="s">
        <v>40</v>
      </c>
      <c r="D2187">
        <v>5.0616859999999999</v>
      </c>
      <c r="E2187">
        <v>0.54498859999999905</v>
      </c>
      <c r="F2187" t="s">
        <v>41</v>
      </c>
      <c r="G2187">
        <v>-358.10550000000001</v>
      </c>
      <c r="H2187">
        <v>1.014499</v>
      </c>
      <c r="I2187">
        <v>284.7688</v>
      </c>
      <c r="J2187">
        <v>-357.75920000000002</v>
      </c>
      <c r="K2187">
        <v>1.1109</v>
      </c>
      <c r="L2187">
        <v>284.7747</v>
      </c>
      <c r="M2187">
        <v>-0.99988469999999996</v>
      </c>
      <c r="N2187">
        <v>-1.516354E-2</v>
      </c>
      <c r="O2187">
        <v>-8.0604329999999999E-4</v>
      </c>
      <c r="P2187">
        <v>-0.93379959999999995</v>
      </c>
      <c r="Q2187">
        <v>0.34684150000000002</v>
      </c>
      <c r="R2187">
        <v>-8.7859720000000002E-2</v>
      </c>
      <c r="S2187">
        <v>-3.346527</v>
      </c>
      <c r="T2187">
        <v>-0.36792530000000001</v>
      </c>
      <c r="U2187">
        <v>-2.5970460000000001E-2</v>
      </c>
      <c r="V2187">
        <v>-8.7636160000000005E-2</v>
      </c>
      <c r="W2187">
        <v>0.36083480000000001</v>
      </c>
      <c r="X2187">
        <v>0.92850319999999997</v>
      </c>
      <c r="Y2187">
        <v>-6.9102670000000003E-3</v>
      </c>
      <c r="Z2187">
        <v>-3.5513470000000003E-4</v>
      </c>
      <c r="AA2187">
        <v>0.99997599999999998</v>
      </c>
      <c r="AB2187">
        <v>52</v>
      </c>
      <c r="AC2187">
        <v>-0.34629999999998501</v>
      </c>
      <c r="AD2187">
        <v>-9.6400999999999903E-2</v>
      </c>
      <c r="AE2187">
        <v>-5.8999999999968999E-3</v>
      </c>
      <c r="AF2187">
        <v>-5.2166970692053101E-3</v>
      </c>
      <c r="AG2187">
        <v>-9.6400999999999903E-2</v>
      </c>
      <c r="AH2187">
        <v>0.32140544974560997</v>
      </c>
      <c r="AI2187">
        <v>106.69379298030999</v>
      </c>
      <c r="AJ2187">
        <v>90.929879945477097</v>
      </c>
      <c r="AK2187">
        <v>0.33559176070858698</v>
      </c>
      <c r="AL2187">
        <v>68.848527666809105</v>
      </c>
      <c r="AM2187">
        <v>95.391851158485196</v>
      </c>
      <c r="AN2187">
        <v>1.0000000209204101</v>
      </c>
    </row>
    <row r="2188" spans="1:40" x14ac:dyDescent="0.25">
      <c r="A2188" t="str">
        <f>"20190304164412631"</f>
        <v>20190304164412631</v>
      </c>
      <c r="B2188" t="str">
        <f>"1551689052622287"</f>
        <v>1551689052622287</v>
      </c>
      <c r="C2188" t="s">
        <v>40</v>
      </c>
      <c r="D2188">
        <v>5.1113400000000002</v>
      </c>
      <c r="E2188">
        <v>0.54515599999999997</v>
      </c>
      <c r="F2188" t="s">
        <v>41</v>
      </c>
      <c r="G2188">
        <v>-358.57490000000001</v>
      </c>
      <c r="H2188">
        <v>1.020769</v>
      </c>
      <c r="I2188">
        <v>284.76729999999998</v>
      </c>
      <c r="J2188">
        <v>-358.2389</v>
      </c>
      <c r="K2188">
        <v>1.110932</v>
      </c>
      <c r="L2188">
        <v>284.774</v>
      </c>
      <c r="M2188">
        <v>-0.9998842</v>
      </c>
      <c r="N2188">
        <v>-1.5161310000000001E-2</v>
      </c>
      <c r="O2188">
        <v>-1.336166E-3</v>
      </c>
      <c r="P2188">
        <v>-0.93387969999999998</v>
      </c>
      <c r="Q2188">
        <v>0.34649629999999998</v>
      </c>
      <c r="R2188">
        <v>-8.8370290000000004E-2</v>
      </c>
      <c r="S2188">
        <v>-3.3471679999999999</v>
      </c>
      <c r="T2188">
        <v>-0.37004039999999999</v>
      </c>
      <c r="U2188">
        <v>-3.17688E-2</v>
      </c>
      <c r="V2188">
        <v>-8.7678610000000004E-2</v>
      </c>
      <c r="W2188">
        <v>0.36048259999999899</v>
      </c>
      <c r="X2188">
        <v>0.92863600000000002</v>
      </c>
      <c r="Y2188">
        <v>-8.1044269999999904E-3</v>
      </c>
      <c r="Z2188">
        <v>-3.8120949999999998E-4</v>
      </c>
      <c r="AA2188">
        <v>0.9999671</v>
      </c>
      <c r="AB2188">
        <v>52</v>
      </c>
      <c r="AC2188">
        <v>-0.33600000000001201</v>
      </c>
      <c r="AD2188">
        <v>-9.0162999999999993E-2</v>
      </c>
      <c r="AE2188">
        <v>-6.7000000000234598E-3</v>
      </c>
      <c r="AF2188">
        <v>-5.8312625014336596E-3</v>
      </c>
      <c r="AG2188">
        <v>-9.0162999999999993E-2</v>
      </c>
      <c r="AH2188">
        <v>0.31344706314152698</v>
      </c>
      <c r="AI2188">
        <v>106.045239730069</v>
      </c>
      <c r="AJ2188">
        <v>91.065788241457099</v>
      </c>
      <c r="AK2188">
        <v>0.32620918378152602</v>
      </c>
      <c r="AL2188">
        <v>68.870163614947401</v>
      </c>
      <c r="AM2188">
        <v>95.393680623493395</v>
      </c>
      <c r="AN2188">
        <v>1.0000000320251401</v>
      </c>
    </row>
    <row r="2189" spans="1:40" x14ac:dyDescent="0.25">
      <c r="A2189" t="str">
        <f>"20190304164412652"</f>
        <v>20190304164412652</v>
      </c>
      <c r="B2189" t="str">
        <f>"1551689052641807"</f>
        <v>1551689052641807</v>
      </c>
      <c r="C2189" t="s">
        <v>40</v>
      </c>
      <c r="D2189">
        <v>5.0873989999999996</v>
      </c>
      <c r="E2189">
        <v>0.54533030000000005</v>
      </c>
      <c r="F2189" t="s">
        <v>41</v>
      </c>
      <c r="G2189">
        <v>-359.04129999999998</v>
      </c>
      <c r="H2189">
        <v>1.021644</v>
      </c>
      <c r="I2189">
        <v>284.76600000000002</v>
      </c>
      <c r="J2189">
        <v>-358.75420000000003</v>
      </c>
      <c r="K2189">
        <v>1.110967</v>
      </c>
      <c r="L2189">
        <v>284.77300000000002</v>
      </c>
      <c r="M2189">
        <v>-0.99988339999999998</v>
      </c>
      <c r="N2189">
        <v>-1.515873E-2</v>
      </c>
      <c r="O2189">
        <v>-1.913582E-3</v>
      </c>
      <c r="P2189">
        <v>-0.93377730000000003</v>
      </c>
      <c r="Q2189">
        <v>0.34677210000000003</v>
      </c>
      <c r="R2189">
        <v>-8.8368859999999994E-2</v>
      </c>
      <c r="S2189">
        <v>-3.3473820000000001</v>
      </c>
      <c r="T2189">
        <v>-0.37258780000000002</v>
      </c>
      <c r="U2189">
        <v>-3.4271240000000001E-2</v>
      </c>
      <c r="V2189">
        <v>-8.7165060000000003E-2</v>
      </c>
      <c r="W2189">
        <v>0.36074899999999999</v>
      </c>
      <c r="X2189">
        <v>0.92858079999999998</v>
      </c>
      <c r="Y2189">
        <v>-8.2746820000000002E-3</v>
      </c>
      <c r="Z2189">
        <v>-3.3862570000000003E-4</v>
      </c>
      <c r="AA2189">
        <v>0.99996569999999996</v>
      </c>
      <c r="AB2189">
        <v>52</v>
      </c>
      <c r="AC2189">
        <v>-0.287099999999952</v>
      </c>
      <c r="AD2189">
        <v>-8.9323E-2</v>
      </c>
      <c r="AE2189">
        <v>-7.0000000000049996E-3</v>
      </c>
      <c r="AF2189">
        <v>-5.8815580014829304E-3</v>
      </c>
      <c r="AG2189">
        <v>-8.9323E-2</v>
      </c>
      <c r="AH2189">
        <v>0.26178775464139098</v>
      </c>
      <c r="AI2189">
        <v>108.835422852523</v>
      </c>
      <c r="AJ2189">
        <v>91.287041742992898</v>
      </c>
      <c r="AK2189">
        <v>0.276669513198881</v>
      </c>
      <c r="AL2189">
        <v>68.853796992109494</v>
      </c>
      <c r="AM2189">
        <v>95.362590422160295</v>
      </c>
      <c r="AN2189">
        <v>0.99999994540722004</v>
      </c>
    </row>
    <row r="2190" spans="1:40" x14ac:dyDescent="0.25">
      <c r="A2190" t="str">
        <f>"20190304164412675"</f>
        <v>20190304164412675</v>
      </c>
      <c r="B2190" t="str">
        <f>"1551689052662303"</f>
        <v>1551689052662303</v>
      </c>
      <c r="C2190" t="s">
        <v>40</v>
      </c>
      <c r="D2190">
        <v>5.170744</v>
      </c>
      <c r="E2190">
        <v>0.55019659999999904</v>
      </c>
      <c r="F2190" t="s">
        <v>41</v>
      </c>
      <c r="G2190">
        <v>-359.5095</v>
      </c>
      <c r="H2190">
        <v>1.026942</v>
      </c>
      <c r="I2190">
        <v>284.76589999999999</v>
      </c>
      <c r="J2190">
        <v>-359.26909999999998</v>
      </c>
      <c r="K2190">
        <v>1.1109960000000001</v>
      </c>
      <c r="L2190">
        <v>284.77159999999998</v>
      </c>
      <c r="M2190">
        <v>-0.9998821</v>
      </c>
      <c r="N2190">
        <v>-1.5155719999999999E-2</v>
      </c>
      <c r="O2190">
        <v>-2.4955670000000002E-3</v>
      </c>
      <c r="P2190">
        <v>-0.93376559999999997</v>
      </c>
      <c r="Q2190">
        <v>0.3470548</v>
      </c>
      <c r="R2190">
        <v>-8.7376980000000007E-2</v>
      </c>
      <c r="S2190">
        <v>-3.3480530000000002</v>
      </c>
      <c r="T2190">
        <v>-0.3726063</v>
      </c>
      <c r="U2190">
        <v>-3.2623289999999999E-2</v>
      </c>
      <c r="V2190">
        <v>-8.5653160000000006E-2</v>
      </c>
      <c r="W2190">
        <v>0.36102699999999999</v>
      </c>
      <c r="X2190">
        <v>0.92861349999999998</v>
      </c>
      <c r="Y2190">
        <v>-7.2086260000000001E-3</v>
      </c>
      <c r="Z2190">
        <v>-2.1555580000000001E-4</v>
      </c>
      <c r="AA2190">
        <v>0.99997400000000003</v>
      </c>
      <c r="AB2190">
        <v>52</v>
      </c>
      <c r="AC2190">
        <v>-0.24040000000002201</v>
      </c>
      <c r="AD2190">
        <v>-8.4053999999999796E-2</v>
      </c>
      <c r="AE2190">
        <v>-5.6999999999902597E-3</v>
      </c>
      <c r="AF2190">
        <v>-4.5447026473143396E-3</v>
      </c>
      <c r="AG2190">
        <v>-8.4053999999999796E-2</v>
      </c>
      <c r="AH2190">
        <v>0.21423769658007599</v>
      </c>
      <c r="AI2190">
        <v>111.417677271938</v>
      </c>
      <c r="AJ2190">
        <v>91.215254066354902</v>
      </c>
      <c r="AK2190">
        <v>0.23018149333534399</v>
      </c>
      <c r="AL2190">
        <v>68.836718892404406</v>
      </c>
      <c r="AM2190">
        <v>95.269918728074103</v>
      </c>
      <c r="AN2190">
        <v>0.99999999546461704</v>
      </c>
    </row>
    <row r="2191" spans="1:40" x14ac:dyDescent="0.25">
      <c r="A2191" t="str">
        <f>"20190304164412698"</f>
        <v>20190304164412698</v>
      </c>
      <c r="B2191" t="str">
        <f>"1551689052691583"</f>
        <v>1551689052691583</v>
      </c>
      <c r="C2191" t="s">
        <v>40</v>
      </c>
      <c r="D2191">
        <v>5.0756680000000003</v>
      </c>
      <c r="E2191">
        <v>0.54889909999999997</v>
      </c>
      <c r="F2191" t="s">
        <v>41</v>
      </c>
      <c r="G2191">
        <v>-360.4178</v>
      </c>
      <c r="H2191">
        <v>0.98251820000000001</v>
      </c>
      <c r="I2191">
        <v>284.77530000000002</v>
      </c>
      <c r="J2191">
        <v>-359.82589999999999</v>
      </c>
      <c r="K2191">
        <v>1.11102099999999</v>
      </c>
      <c r="L2191">
        <v>284.76990000000001</v>
      </c>
      <c r="M2191">
        <v>-0.9998804</v>
      </c>
      <c r="N2191">
        <v>-1.5152580000000001E-2</v>
      </c>
      <c r="O2191">
        <v>-3.1266380000000002E-3</v>
      </c>
      <c r="P2191">
        <v>-0.93386570000000002</v>
      </c>
      <c r="Q2191">
        <v>0.34696880000000002</v>
      </c>
      <c r="R2191">
        <v>-8.6647070000000007E-2</v>
      </c>
      <c r="S2191">
        <v>-3.3532099999999998</v>
      </c>
      <c r="T2191">
        <v>-0.37505470000000002</v>
      </c>
      <c r="U2191">
        <v>1.074219E-2</v>
      </c>
      <c r="V2191">
        <v>-8.435571E-2</v>
      </c>
      <c r="W2191">
        <v>0.36093710000000001</v>
      </c>
      <c r="X2191">
        <v>0.92876720000000001</v>
      </c>
      <c r="Y2191">
        <v>6.2714900000000002E-3</v>
      </c>
      <c r="Z2191">
        <v>6.9869859999999997E-4</v>
      </c>
      <c r="AA2191">
        <v>0.99998010000000004</v>
      </c>
      <c r="AB2191">
        <v>52</v>
      </c>
      <c r="AC2191">
        <v>-0.59190000000000897</v>
      </c>
      <c r="AD2191">
        <v>-0.128502799999999</v>
      </c>
      <c r="AE2191">
        <v>5.4000000000087303E-3</v>
      </c>
      <c r="AF2191">
        <v>6.9244953038256497E-3</v>
      </c>
      <c r="AG2191">
        <v>-0.128502799999999</v>
      </c>
      <c r="AH2191">
        <v>0.56524073632088501</v>
      </c>
      <c r="AI2191">
        <v>102.807095445942</v>
      </c>
      <c r="AJ2191">
        <v>89.298131777700803</v>
      </c>
      <c r="AK2191">
        <v>0.57970510454853597</v>
      </c>
      <c r="AL2191">
        <v>68.842242169577105</v>
      </c>
      <c r="AM2191">
        <v>95.189676561787294</v>
      </c>
      <c r="AN2191">
        <v>0.99999999388092697</v>
      </c>
    </row>
    <row r="2192" spans="1:40" x14ac:dyDescent="0.25">
      <c r="A2192" t="str">
        <f>"20190304164412719"</f>
        <v>20190304164412719</v>
      </c>
      <c r="B2192" t="str">
        <f>"1551689052712079"</f>
        <v>1551689052712079</v>
      </c>
      <c r="C2192" t="s">
        <v>40</v>
      </c>
      <c r="D2192">
        <v>5.1224259999999999</v>
      </c>
      <c r="E2192">
        <v>0.54860569999999997</v>
      </c>
      <c r="F2192" t="s">
        <v>41</v>
      </c>
      <c r="G2192">
        <v>-360.88679999999999</v>
      </c>
      <c r="H2192">
        <v>0.99147300000000005</v>
      </c>
      <c r="I2192">
        <v>284.7713</v>
      </c>
      <c r="J2192">
        <v>-360.32249999999999</v>
      </c>
      <c r="K2192">
        <v>1.1110390000000001</v>
      </c>
      <c r="L2192">
        <v>284.76799999999997</v>
      </c>
      <c r="M2192">
        <v>-0.9998785</v>
      </c>
      <c r="N2192">
        <v>-1.5149950000000001E-2</v>
      </c>
      <c r="O2192">
        <v>-3.6892869999999999E-3</v>
      </c>
      <c r="P2192">
        <v>-0.93407949999999995</v>
      </c>
      <c r="Q2192">
        <v>0.34640090000000001</v>
      </c>
      <c r="R2192">
        <v>-8.6614469999999999E-2</v>
      </c>
      <c r="S2192">
        <v>-3.3532410000000001</v>
      </c>
      <c r="T2192">
        <v>-0.3779054</v>
      </c>
      <c r="U2192">
        <v>4.0283200000000002E-3</v>
      </c>
      <c r="V2192">
        <v>-8.3812590000000006E-2</v>
      </c>
      <c r="W2192">
        <v>0.36036780000000002</v>
      </c>
      <c r="X2192">
        <v>0.92903740000000001</v>
      </c>
      <c r="Y2192">
        <v>4.838747E-3</v>
      </c>
      <c r="Z2192">
        <v>6.6730789999999902E-4</v>
      </c>
      <c r="AA2192">
        <v>0.99998810000000005</v>
      </c>
      <c r="AB2192">
        <v>52</v>
      </c>
      <c r="AC2192">
        <v>-0.56430000000000202</v>
      </c>
      <c r="AD2192">
        <v>-0.11956599999999901</v>
      </c>
      <c r="AE2192">
        <v>3.30000000002428E-3</v>
      </c>
      <c r="AF2192">
        <v>5.1508432215090702E-3</v>
      </c>
      <c r="AG2192">
        <v>-0.11956599999999901</v>
      </c>
      <c r="AH2192">
        <v>0.54003987122332098</v>
      </c>
      <c r="AI2192">
        <v>102.48347555107399</v>
      </c>
      <c r="AJ2192">
        <v>89.453535480379401</v>
      </c>
      <c r="AK2192">
        <v>0.55314159313216904</v>
      </c>
      <c r="AL2192">
        <v>68.877214318663405</v>
      </c>
      <c r="AM2192">
        <v>95.154952184897695</v>
      </c>
      <c r="AN2192">
        <v>0.99999999605905399</v>
      </c>
    </row>
    <row r="2193" spans="1:40" x14ac:dyDescent="0.25">
      <c r="A2193" t="str">
        <f>"20190304164412742"</f>
        <v>20190304164412742</v>
      </c>
      <c r="B2193" t="str">
        <f>"1551689052731599"</f>
        <v>1551689052731599</v>
      </c>
      <c r="C2193" t="s">
        <v>40</v>
      </c>
      <c r="D2193">
        <v>5.1244209999999999</v>
      </c>
      <c r="E2193">
        <v>0.54858969999999996</v>
      </c>
      <c r="F2193" t="s">
        <v>41</v>
      </c>
      <c r="G2193">
        <v>-361.35239999999999</v>
      </c>
      <c r="H2193">
        <v>0.99409139999999996</v>
      </c>
      <c r="I2193">
        <v>284.76909999999998</v>
      </c>
      <c r="J2193">
        <v>-360.83</v>
      </c>
      <c r="K2193">
        <v>1.1110580000000001</v>
      </c>
      <c r="L2193">
        <v>284.76580000000001</v>
      </c>
      <c r="M2193">
        <v>-0.99987630000000005</v>
      </c>
      <c r="N2193">
        <v>-1.5147310000000001E-2</v>
      </c>
      <c r="O2193">
        <v>-4.2606600000000003E-3</v>
      </c>
      <c r="P2193">
        <v>-0.9341199</v>
      </c>
      <c r="Q2193">
        <v>0.34625939999999999</v>
      </c>
      <c r="R2193">
        <v>-8.6744459999999995E-2</v>
      </c>
      <c r="S2193">
        <v>-3.3532709999999999</v>
      </c>
      <c r="T2193">
        <v>-0.38084820000000003</v>
      </c>
      <c r="U2193">
        <v>3.4179689999999999E-3</v>
      </c>
      <c r="V2193">
        <v>-8.3420659999999994E-2</v>
      </c>
      <c r="W2193">
        <v>0.36022330000000002</v>
      </c>
      <c r="X2193">
        <v>0.92912879999999998</v>
      </c>
      <c r="Y2193">
        <v>5.221781E-3</v>
      </c>
      <c r="Z2193">
        <v>7.5326739999999998E-4</v>
      </c>
      <c r="AA2193">
        <v>0.99998609999999999</v>
      </c>
      <c r="AB2193">
        <v>52</v>
      </c>
      <c r="AC2193">
        <v>-0.52240000000000397</v>
      </c>
      <c r="AD2193">
        <v>-0.1169666</v>
      </c>
      <c r="AE2193">
        <v>3.2999999999674301E-3</v>
      </c>
      <c r="AF2193">
        <v>5.2621985298467004E-3</v>
      </c>
      <c r="AG2193">
        <v>-0.1169666</v>
      </c>
      <c r="AH2193">
        <v>0.49744418302652299</v>
      </c>
      <c r="AI2193">
        <v>103.23117361683001</v>
      </c>
      <c r="AJ2193">
        <v>89.393920903407604</v>
      </c>
      <c r="AK2193">
        <v>0.51103775934450502</v>
      </c>
      <c r="AL2193">
        <v>68.886091491620903</v>
      </c>
      <c r="AM2193">
        <v>95.130473179709995</v>
      </c>
      <c r="AN2193">
        <v>1.00000007968357</v>
      </c>
    </row>
    <row r="2194" spans="1:40" x14ac:dyDescent="0.25">
      <c r="A2194" t="str">
        <f>"20190304164412765"</f>
        <v>20190304164412765</v>
      </c>
      <c r="B2194" t="str">
        <f>"1551689052761855"</f>
        <v>1551689052761855</v>
      </c>
      <c r="C2194" t="s">
        <v>40</v>
      </c>
      <c r="D2194">
        <v>5.0964219999999996</v>
      </c>
      <c r="E2194">
        <v>0.5483941</v>
      </c>
      <c r="F2194" t="s">
        <v>41</v>
      </c>
      <c r="G2194">
        <v>-361.8186</v>
      </c>
      <c r="H2194">
        <v>0.99884530000000005</v>
      </c>
      <c r="I2194">
        <v>284.767</v>
      </c>
      <c r="J2194">
        <v>-361.38099999999997</v>
      </c>
      <c r="K2194">
        <v>1.1110690000000001</v>
      </c>
      <c r="L2194">
        <v>284.76310000000001</v>
      </c>
      <c r="M2194">
        <v>-0.99987349999999997</v>
      </c>
      <c r="N2194">
        <v>-1.514428E-2</v>
      </c>
      <c r="O2194">
        <v>-4.8677460000000001E-3</v>
      </c>
      <c r="P2194">
        <v>-0.93397669999999999</v>
      </c>
      <c r="Q2194">
        <v>0.3462211</v>
      </c>
      <c r="R2194">
        <v>-8.8422479999999998E-2</v>
      </c>
      <c r="S2194">
        <v>-3.3530269999999902</v>
      </c>
      <c r="T2194">
        <v>-0.38056449999999997</v>
      </c>
      <c r="U2194">
        <v>3.6621090000000002E-3</v>
      </c>
      <c r="V2194">
        <v>-8.4536899999999998E-2</v>
      </c>
      <c r="W2194">
        <v>0.36017739999999998</v>
      </c>
      <c r="X2194">
        <v>0.92904560000000003</v>
      </c>
      <c r="Y2194">
        <v>5.8940759999999998E-3</v>
      </c>
      <c r="Z2194">
        <v>8.5540559999999896E-4</v>
      </c>
      <c r="AA2194">
        <v>0.99998220000000004</v>
      </c>
      <c r="AB2194">
        <v>52</v>
      </c>
      <c r="AC2194">
        <v>-0.43760000000003102</v>
      </c>
      <c r="AD2194">
        <v>-0.112223699999999</v>
      </c>
      <c r="AE2194">
        <v>3.8999999999873498E-3</v>
      </c>
      <c r="AF2194">
        <v>5.6582232904251496E-3</v>
      </c>
      <c r="AG2194">
        <v>-0.112223699999999</v>
      </c>
      <c r="AH2194">
        <v>0.410575264480397</v>
      </c>
      <c r="AI2194">
        <v>105.286024130779</v>
      </c>
      <c r="AJ2194">
        <v>89.210444903168707</v>
      </c>
      <c r="AK2194">
        <v>0.42567384478687698</v>
      </c>
      <c r="AL2194">
        <v>68.888908548058296</v>
      </c>
      <c r="AM2194">
        <v>95.199212620353904</v>
      </c>
      <c r="AN2194">
        <v>0.999999986905864</v>
      </c>
    </row>
    <row r="2195" spans="1:40" x14ac:dyDescent="0.25">
      <c r="A2195" t="str">
        <f>"20190304164412788"</f>
        <v>20190304164412788</v>
      </c>
      <c r="B2195" t="str">
        <f>"1551689052782351"</f>
        <v>1551689052782351</v>
      </c>
      <c r="C2195" t="s">
        <v>40</v>
      </c>
      <c r="D2195">
        <v>5.0758640000000002</v>
      </c>
      <c r="E2195">
        <v>0.54828100000000002</v>
      </c>
      <c r="F2195" t="s">
        <v>41</v>
      </c>
      <c r="G2195">
        <v>-362.2867</v>
      </c>
      <c r="H2195">
        <v>1.0080789999999999</v>
      </c>
      <c r="I2195">
        <v>284.76179999999999</v>
      </c>
      <c r="J2195">
        <v>-361.89280000000002</v>
      </c>
      <c r="K2195">
        <v>1.111062</v>
      </c>
      <c r="L2195">
        <v>284.76029999999997</v>
      </c>
      <c r="M2195">
        <v>-0.99987090000000001</v>
      </c>
      <c r="N2195">
        <v>-1.5141109999999999E-2</v>
      </c>
      <c r="O2195">
        <v>-5.4111920000000004E-3</v>
      </c>
      <c r="P2195">
        <v>-0.93379369999999995</v>
      </c>
      <c r="Q2195">
        <v>0.34623429999999999</v>
      </c>
      <c r="R2195">
        <v>-9.0287980000000004E-2</v>
      </c>
      <c r="S2195">
        <v>-3.3529659999999999</v>
      </c>
      <c r="T2195">
        <v>-0.38115369999999998</v>
      </c>
      <c r="U2195">
        <v>-4.0893550000000002E-3</v>
      </c>
      <c r="V2195">
        <v>-8.5891729999999999E-2</v>
      </c>
      <c r="W2195">
        <v>0.3601837</v>
      </c>
      <c r="X2195">
        <v>0.92891889999999999</v>
      </c>
      <c r="Y2195">
        <v>4.1358130000000003E-3</v>
      </c>
      <c r="Z2195">
        <v>7.9718379999999998E-4</v>
      </c>
      <c r="AA2195">
        <v>0.99999110000000002</v>
      </c>
      <c r="AB2195">
        <v>52</v>
      </c>
      <c r="AC2195">
        <v>-0.39389999999997299</v>
      </c>
      <c r="AD2195">
        <v>-0.10298299999999901</v>
      </c>
      <c r="AE2195">
        <v>1.5000000000213701E-3</v>
      </c>
      <c r="AF2195">
        <v>3.3993381414022198E-3</v>
      </c>
      <c r="AG2195">
        <v>-0.10298299999999901</v>
      </c>
      <c r="AH2195">
        <v>0.36868562200859001</v>
      </c>
      <c r="AI2195">
        <v>105.605730135858</v>
      </c>
      <c r="AJ2195">
        <v>89.471739069421304</v>
      </c>
      <c r="AK2195">
        <v>0.38281345543836398</v>
      </c>
      <c r="AL2195">
        <v>68.888522012806405</v>
      </c>
      <c r="AM2195">
        <v>95.282786506325806</v>
      </c>
      <c r="AN2195">
        <v>1.0000000049026401</v>
      </c>
    </row>
    <row r="2196" spans="1:40" x14ac:dyDescent="0.25">
      <c r="A2196" t="str">
        <f>"20190304164412809"</f>
        <v>20190304164412809</v>
      </c>
      <c r="B2196" t="str">
        <f>"1551689052801871"</f>
        <v>1551689052801871</v>
      </c>
      <c r="C2196" t="s">
        <v>40</v>
      </c>
      <c r="D2196">
        <v>5.0948979999999997</v>
      </c>
      <c r="E2196">
        <v>0.54810170000000002</v>
      </c>
      <c r="F2196" t="s">
        <v>41</v>
      </c>
      <c r="G2196">
        <v>-362.7527</v>
      </c>
      <c r="H2196">
        <v>1.0136050000000001</v>
      </c>
      <c r="I2196">
        <v>284.75729999999999</v>
      </c>
      <c r="J2196">
        <v>-362.39510000000001</v>
      </c>
      <c r="K2196">
        <v>1.1110420000000001</v>
      </c>
      <c r="L2196">
        <v>284.75729999999999</v>
      </c>
      <c r="M2196">
        <v>-0.99986799999999998</v>
      </c>
      <c r="N2196">
        <v>-1.5137879999999999E-2</v>
      </c>
      <c r="O2196">
        <v>-5.9162950000000002E-3</v>
      </c>
      <c r="P2196">
        <v>-0.93381420000000004</v>
      </c>
      <c r="Q2196">
        <v>0.34563290000000002</v>
      </c>
      <c r="R2196">
        <v>-9.235343E-2</v>
      </c>
      <c r="S2196">
        <v>-3.352417</v>
      </c>
      <c r="T2196">
        <v>-0.38012119999999999</v>
      </c>
      <c r="U2196">
        <v>-1.2908940000000001E-2</v>
      </c>
      <c r="V2196">
        <v>-8.7471690000000005E-2</v>
      </c>
      <c r="W2196">
        <v>0.35958089999999998</v>
      </c>
      <c r="X2196">
        <v>0.92900499999999997</v>
      </c>
      <c r="Y2196">
        <v>2.0232219999999999E-3</v>
      </c>
      <c r="Z2196">
        <v>7.0907179999999998E-4</v>
      </c>
      <c r="AA2196">
        <v>0.99999769999999999</v>
      </c>
      <c r="AB2196">
        <v>52</v>
      </c>
      <c r="AC2196">
        <v>-0.35759999999998998</v>
      </c>
      <c r="AD2196">
        <v>-9.7437000000000204E-2</v>
      </c>
      <c r="AE2196">
        <v>0</v>
      </c>
      <c r="AF2196">
        <v>1.9696756449483401E-3</v>
      </c>
      <c r="AG2196">
        <v>-9.7437000000000204E-2</v>
      </c>
      <c r="AH2196">
        <v>0.33287989320397499</v>
      </c>
      <c r="AI2196">
        <v>106.31496741818199</v>
      </c>
      <c r="AJ2196">
        <v>89.660980471568706</v>
      </c>
      <c r="AK2196">
        <v>0.34685281012359698</v>
      </c>
      <c r="AL2196">
        <v>68.925540218118201</v>
      </c>
      <c r="AM2196">
        <v>95.378901634929903</v>
      </c>
      <c r="AN2196">
        <v>1.0000000051106299</v>
      </c>
    </row>
    <row r="2197" spans="1:40" x14ac:dyDescent="0.25">
      <c r="A2197" t="str">
        <f>"20190304164412831"</f>
        <v>20190304164412831</v>
      </c>
      <c r="B2197" t="str">
        <f>"1551689052822367"</f>
        <v>1551689052822367</v>
      </c>
      <c r="C2197" t="s">
        <v>40</v>
      </c>
      <c r="D2197">
        <v>5.0867620000000002</v>
      </c>
      <c r="E2197">
        <v>0.54802419999999996</v>
      </c>
      <c r="F2197" t="s">
        <v>41</v>
      </c>
      <c r="G2197">
        <v>-363.21769999999998</v>
      </c>
      <c r="H2197">
        <v>1.017625</v>
      </c>
      <c r="I2197">
        <v>284.75200000000001</v>
      </c>
      <c r="J2197">
        <v>-362.90069999999997</v>
      </c>
      <c r="K2197">
        <v>1.1110180000000001</v>
      </c>
      <c r="L2197">
        <v>284.75389999999999</v>
      </c>
      <c r="M2197">
        <v>-0.99986520000000001</v>
      </c>
      <c r="N2197">
        <v>-1.51346E-2</v>
      </c>
      <c r="O2197">
        <v>-6.3936790000000002E-3</v>
      </c>
      <c r="P2197">
        <v>-0.93384500000000004</v>
      </c>
      <c r="Q2197">
        <v>0.34524169999999998</v>
      </c>
      <c r="R2197">
        <v>-9.349789E-2</v>
      </c>
      <c r="S2197">
        <v>-3.3513489999999999</v>
      </c>
      <c r="T2197">
        <v>-0.38072800000000001</v>
      </c>
      <c r="U2197">
        <v>-2.233887E-2</v>
      </c>
      <c r="V2197">
        <v>-8.8149409999999997E-2</v>
      </c>
      <c r="W2197">
        <v>0.35919200000000001</v>
      </c>
      <c r="X2197">
        <v>0.92909140000000001</v>
      </c>
      <c r="Y2197">
        <v>-2.99788E-4</v>
      </c>
      <c r="Z2197">
        <v>6.0825289999999997E-4</v>
      </c>
      <c r="AA2197">
        <v>0.99999979999999999</v>
      </c>
      <c r="AB2197">
        <v>52</v>
      </c>
      <c r="AC2197">
        <v>-0.317000000000007</v>
      </c>
      <c r="AD2197">
        <v>-9.3393000000000004E-2</v>
      </c>
      <c r="AE2197">
        <v>-1.8999999999778001E-3</v>
      </c>
      <c r="AF2197">
        <v>1.16918920637403E-4</v>
      </c>
      <c r="AG2197">
        <v>-9.3393000000000004E-2</v>
      </c>
      <c r="AH2197">
        <v>0.29168856964048201</v>
      </c>
      <c r="AI2197">
        <v>107.75405245765999</v>
      </c>
      <c r="AJ2197">
        <v>89.977033860643701</v>
      </c>
      <c r="AK2197">
        <v>0.30627518309184698</v>
      </c>
      <c r="AL2197">
        <v>68.949418177089001</v>
      </c>
      <c r="AM2197">
        <v>95.419828390972299</v>
      </c>
      <c r="AN2197">
        <v>1.0000000204506501</v>
      </c>
    </row>
    <row r="2198" spans="1:40" x14ac:dyDescent="0.25">
      <c r="A2198" t="str">
        <f>"20190304164412854"</f>
        <v>20190304164412854</v>
      </c>
      <c r="B2198" t="str">
        <f>"1551689052841887"</f>
        <v>1551689052841887</v>
      </c>
      <c r="C2198" t="s">
        <v>40</v>
      </c>
      <c r="D2198">
        <v>5.0859759999999996</v>
      </c>
      <c r="E2198">
        <v>0.54792510000000005</v>
      </c>
      <c r="F2198" t="s">
        <v>41</v>
      </c>
      <c r="G2198">
        <v>-363.6825</v>
      </c>
      <c r="H2198">
        <v>1.0221629999999999</v>
      </c>
      <c r="I2198">
        <v>284.74790000000002</v>
      </c>
      <c r="J2198">
        <v>-363.41680000000002</v>
      </c>
      <c r="K2198">
        <v>1.1109929999999999</v>
      </c>
      <c r="L2198">
        <v>284.75040000000001</v>
      </c>
      <c r="M2198">
        <v>-0.99986209999999998</v>
      </c>
      <c r="N2198">
        <v>-1.513113E-2</v>
      </c>
      <c r="O2198">
        <v>-6.8489129999999999E-3</v>
      </c>
      <c r="P2198">
        <v>-0.93396970000000001</v>
      </c>
      <c r="Q2198">
        <v>0.34502769999999999</v>
      </c>
      <c r="R2198">
        <v>-9.3041310000000002E-2</v>
      </c>
      <c r="S2198">
        <v>-3.3506469999999999</v>
      </c>
      <c r="T2198">
        <v>-0.38114510000000001</v>
      </c>
      <c r="U2198">
        <v>-2.752686E-2</v>
      </c>
      <c r="V2198">
        <v>-8.7241959999999993E-2</v>
      </c>
      <c r="W2198">
        <v>0.35898459999999899</v>
      </c>
      <c r="X2198">
        <v>0.92925720000000001</v>
      </c>
      <c r="Y2198">
        <v>-1.3884909999999999E-3</v>
      </c>
      <c r="Z2198">
        <v>5.8394570000000002E-4</v>
      </c>
      <c r="AA2198">
        <v>0.99999890000000002</v>
      </c>
      <c r="AB2198">
        <v>52</v>
      </c>
      <c r="AC2198">
        <v>-0.26569999999998101</v>
      </c>
      <c r="AD2198">
        <v>-8.8830000000000103E-2</v>
      </c>
      <c r="AE2198">
        <v>-2.4999999999977202E-3</v>
      </c>
      <c r="AF2198">
        <v>-6.11620398500879E-4</v>
      </c>
      <c r="AG2198">
        <v>-8.8830000000000103E-2</v>
      </c>
      <c r="AH2198">
        <v>0.23899959652773001</v>
      </c>
      <c r="AI2198">
        <v>110.38874365725</v>
      </c>
      <c r="AJ2198">
        <v>90.146624477652395</v>
      </c>
      <c r="AK2198">
        <v>0.25497441071591798</v>
      </c>
      <c r="AL2198">
        <v>68.962150583584602</v>
      </c>
      <c r="AM2198">
        <v>95.363409840048902</v>
      </c>
      <c r="AN2198">
        <v>1.00000002318682</v>
      </c>
    </row>
    <row r="2199" spans="1:40" x14ac:dyDescent="0.25">
      <c r="A2199" t="str">
        <f>"20190304164412877"</f>
        <v>20190304164412877</v>
      </c>
      <c r="B2199" t="str">
        <f>"1551689052872143"</f>
        <v>1551689052872143</v>
      </c>
      <c r="C2199" t="s">
        <v>40</v>
      </c>
      <c r="D2199">
        <v>5.0656670000000004</v>
      </c>
      <c r="E2199">
        <v>0.548025599999999</v>
      </c>
      <c r="F2199" t="s">
        <v>41</v>
      </c>
      <c r="G2199">
        <v>-364.1474</v>
      </c>
      <c r="H2199">
        <v>1.0275289999999999</v>
      </c>
      <c r="I2199">
        <v>284.74430000000001</v>
      </c>
      <c r="J2199">
        <v>-363.94760000000002</v>
      </c>
      <c r="K2199">
        <v>1.1109659999999999</v>
      </c>
      <c r="L2199">
        <v>284.74650000000003</v>
      </c>
      <c r="M2199">
        <v>-0.99985900000000005</v>
      </c>
      <c r="N2199">
        <v>-1.5127699999999999E-2</v>
      </c>
      <c r="O2199">
        <v>-7.2866129999999999E-3</v>
      </c>
      <c r="P2199">
        <v>-0.93411719999999998</v>
      </c>
      <c r="Q2199">
        <v>0.34487180000000001</v>
      </c>
      <c r="R2199">
        <v>-9.2132900000000004E-2</v>
      </c>
      <c r="S2199">
        <v>-3.3508300000000002</v>
      </c>
      <c r="T2199">
        <v>-0.38283820000000002</v>
      </c>
      <c r="U2199">
        <v>-2.7435299999999999E-2</v>
      </c>
      <c r="V2199">
        <v>-8.589832E-2</v>
      </c>
      <c r="W2199">
        <v>0.35883589999999999</v>
      </c>
      <c r="X2199">
        <v>0.92943980000000004</v>
      </c>
      <c r="Y2199">
        <v>-9.2874579999999997E-4</v>
      </c>
      <c r="Z2199">
        <v>6.5992440000000002E-4</v>
      </c>
      <c r="AA2199">
        <v>0.99999930000000004</v>
      </c>
      <c r="AB2199">
        <v>52</v>
      </c>
      <c r="AC2199">
        <v>-0.19979999999998199</v>
      </c>
      <c r="AD2199">
        <v>-8.3436999999999706E-2</v>
      </c>
      <c r="AE2199">
        <v>-2.2000000000161799E-3</v>
      </c>
      <c r="AF2199">
        <v>-6.3345381818023805E-4</v>
      </c>
      <c r="AG2199">
        <v>-8.3436999999999706E-2</v>
      </c>
      <c r="AH2199">
        <v>0.17014279322923601</v>
      </c>
      <c r="AI2199">
        <v>116.122896656821</v>
      </c>
      <c r="AJ2199">
        <v>90.213315309547298</v>
      </c>
      <c r="AK2199">
        <v>0.189501198731265</v>
      </c>
      <c r="AL2199">
        <v>68.971278869697002</v>
      </c>
      <c r="AM2199">
        <v>95.280245335287205</v>
      </c>
      <c r="AN2199">
        <v>1.0000000331658301</v>
      </c>
    </row>
    <row r="2200" spans="1:40" x14ac:dyDescent="0.25">
      <c r="A2200" t="str">
        <f>"20190304164412888"</f>
        <v>20190304164412888</v>
      </c>
      <c r="B2200" t="str">
        <f>"1551689052881904"</f>
        <v>1551689052881904</v>
      </c>
      <c r="C2200" t="s">
        <v>40</v>
      </c>
      <c r="D2200">
        <v>5.1311609999999996</v>
      </c>
      <c r="E2200">
        <v>0.54809770000000002</v>
      </c>
      <c r="F2200" t="s">
        <v>41</v>
      </c>
      <c r="G2200">
        <v>-365.05</v>
      </c>
      <c r="H2200">
        <v>0.98453009999999996</v>
      </c>
      <c r="I2200">
        <v>284.73809999999997</v>
      </c>
      <c r="J2200">
        <v>-364.24509999999998</v>
      </c>
      <c r="K2200">
        <v>1.1109530000000001</v>
      </c>
      <c r="L2200">
        <v>284.74419999999998</v>
      </c>
      <c r="M2200">
        <v>-0.99985729999999995</v>
      </c>
      <c r="N2200">
        <v>-1.512579E-2</v>
      </c>
      <c r="O2200">
        <v>-7.5218419999999999E-3</v>
      </c>
      <c r="P2200">
        <v>-0.93408559999999996</v>
      </c>
      <c r="Q2200">
        <v>0.34521030000000003</v>
      </c>
      <c r="R2200">
        <v>-9.1181559999999995E-2</v>
      </c>
      <c r="S2200">
        <v>-3.3509829999999998</v>
      </c>
      <c r="T2200">
        <v>-0.38431759999999998</v>
      </c>
      <c r="U2200">
        <v>-2.548218E-2</v>
      </c>
      <c r="V2200">
        <v>-8.4714990000000004E-2</v>
      </c>
      <c r="W2200">
        <v>0.35917729999999998</v>
      </c>
      <c r="X2200">
        <v>0.92941649999999998</v>
      </c>
      <c r="Y2200">
        <v>-1.177466E-4</v>
      </c>
      <c r="Z2200">
        <v>7.387413E-4</v>
      </c>
      <c r="AA2200">
        <v>0.99999970000000005</v>
      </c>
      <c r="AB2200">
        <v>52</v>
      </c>
      <c r="AC2200">
        <v>-0.80490000000003104</v>
      </c>
      <c r="AD2200">
        <v>-0.1264229</v>
      </c>
      <c r="AE2200">
        <v>-6.1000000000035401E-3</v>
      </c>
      <c r="AF2200" s="1">
        <v>-4.3725390426169299E-5</v>
      </c>
      <c r="AG2200">
        <v>-0.1264229</v>
      </c>
      <c r="AH2200">
        <v>0.78554490065337501</v>
      </c>
      <c r="AI2200">
        <v>99.142591177531898</v>
      </c>
      <c r="AJ2200">
        <v>90.003189226133699</v>
      </c>
      <c r="AK2200">
        <v>0.79565290328059501</v>
      </c>
      <c r="AL2200">
        <v>68.950320120289902</v>
      </c>
      <c r="AM2200">
        <v>95.208037597696304</v>
      </c>
      <c r="AN2200">
        <v>0.99999999641911996</v>
      </c>
    </row>
    <row r="2201" spans="1:40" x14ac:dyDescent="0.25">
      <c r="A2201" t="str">
        <f>"20190304164412900"</f>
        <v>20190304164412900</v>
      </c>
      <c r="B2201" t="str">
        <f>"1551689052891663"</f>
        <v>1551689052891663</v>
      </c>
      <c r="C2201" t="s">
        <v>40</v>
      </c>
      <c r="D2201">
        <v>5.0819590000000003</v>
      </c>
      <c r="E2201">
        <v>0.54816149999999997</v>
      </c>
      <c r="F2201" t="s">
        <v>41</v>
      </c>
      <c r="G2201">
        <v>-365.0659</v>
      </c>
      <c r="H2201">
        <v>1.017217</v>
      </c>
      <c r="I2201">
        <v>284.73899999999998</v>
      </c>
      <c r="J2201">
        <v>-364.50459999999998</v>
      </c>
      <c r="K2201">
        <v>1.1109420000000001</v>
      </c>
      <c r="L2201">
        <v>284.74220000000003</v>
      </c>
      <c r="M2201">
        <v>-0.99985590000000002</v>
      </c>
      <c r="N2201">
        <v>-1.512411E-2</v>
      </c>
      <c r="O2201">
        <v>-7.7222069999999896E-3</v>
      </c>
      <c r="P2201">
        <v>-0.93414909999999995</v>
      </c>
      <c r="Q2201">
        <v>0.34520590000000001</v>
      </c>
      <c r="R2201">
        <v>-9.054603E-2</v>
      </c>
      <c r="S2201">
        <v>-3.3510740000000001</v>
      </c>
      <c r="T2201">
        <v>-0.38274540000000001</v>
      </c>
      <c r="U2201">
        <v>-2.1209720000000001E-2</v>
      </c>
      <c r="V2201">
        <v>-8.3881360000000002E-2</v>
      </c>
      <c r="W2201">
        <v>0.35917640000000001</v>
      </c>
      <c r="X2201">
        <v>0.92949250000000005</v>
      </c>
      <c r="Y2201">
        <v>1.3463170000000001E-3</v>
      </c>
      <c r="Z2201">
        <v>8.4950300000000004E-4</v>
      </c>
      <c r="AA2201">
        <v>0.99999870000000002</v>
      </c>
      <c r="AB2201">
        <v>52</v>
      </c>
      <c r="AC2201">
        <v>-0.56130000000001701</v>
      </c>
      <c r="AD2201">
        <v>-9.3725000000000003E-2</v>
      </c>
      <c r="AE2201">
        <v>-3.19999999999254E-3</v>
      </c>
      <c r="AF2201">
        <v>1.10427738339767E-3</v>
      </c>
      <c r="AG2201">
        <v>-9.3725000000000003E-2</v>
      </c>
      <c r="AH2201">
        <v>0.54608269996829994</v>
      </c>
      <c r="AI2201">
        <v>99.738854375943603</v>
      </c>
      <c r="AJ2201">
        <v>89.884137792238604</v>
      </c>
      <c r="AK2201">
        <v>0.55406850682763698</v>
      </c>
      <c r="AL2201">
        <v>68.950376295185194</v>
      </c>
      <c r="AM2201">
        <v>95.156646699253201</v>
      </c>
      <c r="AN2201">
        <v>1.0000000382143199</v>
      </c>
    </row>
    <row r="2202" spans="1:40" x14ac:dyDescent="0.25">
      <c r="A2202" t="str">
        <f>"20190304164412913"</f>
        <v>20190304164412913</v>
      </c>
      <c r="B2202" t="str">
        <f>"1551689052902399"</f>
        <v>1551689052902399</v>
      </c>
      <c r="C2202" t="s">
        <v>40</v>
      </c>
      <c r="D2202">
        <v>5.0812330000000001</v>
      </c>
      <c r="E2202">
        <v>0.54823889999999997</v>
      </c>
      <c r="F2202" t="s">
        <v>41</v>
      </c>
      <c r="G2202">
        <v>-365.51650000000001</v>
      </c>
      <c r="H2202">
        <v>0.99534480000000003</v>
      </c>
      <c r="I2202">
        <v>284.7371</v>
      </c>
      <c r="J2202">
        <v>-364.7953</v>
      </c>
      <c r="K2202">
        <v>1.1109260000000001</v>
      </c>
      <c r="L2202">
        <v>284.7398</v>
      </c>
      <c r="M2202">
        <v>-0.99985409999999997</v>
      </c>
      <c r="N2202">
        <v>-1.512223E-2</v>
      </c>
      <c r="O2202">
        <v>-7.9429410000000002E-3</v>
      </c>
      <c r="P2202">
        <v>-0.93418460000000003</v>
      </c>
      <c r="Q2202">
        <v>0.34515359999999901</v>
      </c>
      <c r="R2202">
        <v>-9.0380070000000007E-2</v>
      </c>
      <c r="S2202">
        <v>-3.3512569999999999</v>
      </c>
      <c r="T2202">
        <v>-0.38303579999999998</v>
      </c>
      <c r="U2202">
        <v>-1.7761229999999999E-2</v>
      </c>
      <c r="V2202">
        <v>-8.3497479999999999E-2</v>
      </c>
      <c r="W2202">
        <v>0.3591261</v>
      </c>
      <c r="X2202">
        <v>0.92954650000000005</v>
      </c>
      <c r="Y2202">
        <v>2.5861E-3</v>
      </c>
      <c r="Z2202">
        <v>9.520361E-4</v>
      </c>
      <c r="AA2202">
        <v>0.9999962</v>
      </c>
      <c r="AB2202">
        <v>52</v>
      </c>
      <c r="AC2202">
        <v>-0.72120000000001006</v>
      </c>
      <c r="AD2202">
        <v>-0.1155812</v>
      </c>
      <c r="AE2202">
        <v>-2.7000000000043599E-3</v>
      </c>
      <c r="AF2202">
        <v>2.9533368754976301E-3</v>
      </c>
      <c r="AG2202">
        <v>-0.1155812</v>
      </c>
      <c r="AH2202">
        <v>0.70313949819202304</v>
      </c>
      <c r="AI2202">
        <v>99.334649790827498</v>
      </c>
      <c r="AJ2202">
        <v>89.7593468382682</v>
      </c>
      <c r="AK2202">
        <v>0.712581847867226</v>
      </c>
      <c r="AL2202">
        <v>68.953464352067201</v>
      </c>
      <c r="AM2202">
        <v>95.132877249338705</v>
      </c>
      <c r="AN2202">
        <v>1.0000000402649001</v>
      </c>
    </row>
    <row r="2203" spans="1:40" x14ac:dyDescent="0.25">
      <c r="A2203" t="str">
        <f>"20190304164412932"</f>
        <v>20190304164412932</v>
      </c>
      <c r="B2203" t="str">
        <f>"1551689052921919"</f>
        <v>1551689052921919</v>
      </c>
      <c r="C2203" t="s">
        <v>40</v>
      </c>
      <c r="D2203">
        <v>5.0974659999999998</v>
      </c>
      <c r="E2203">
        <v>0.54841049999999902</v>
      </c>
      <c r="F2203" t="s">
        <v>41</v>
      </c>
      <c r="G2203">
        <v>-365.53190000000001</v>
      </c>
      <c r="H2203">
        <v>1.0267949999999999</v>
      </c>
      <c r="I2203">
        <v>284.73669999999998</v>
      </c>
      <c r="J2203">
        <v>-365.23320000000001</v>
      </c>
      <c r="K2203">
        <v>1.11091299999999</v>
      </c>
      <c r="L2203">
        <v>284.73610000000002</v>
      </c>
      <c r="M2203">
        <v>-0.99985159999999995</v>
      </c>
      <c r="N2203">
        <v>-1.511939E-2</v>
      </c>
      <c r="O2203">
        <v>-8.2661009999999997E-3</v>
      </c>
      <c r="P2203">
        <v>-0.93438909999999997</v>
      </c>
      <c r="Q2203">
        <v>0.3447595</v>
      </c>
      <c r="R2203">
        <v>-8.9765150000000002E-2</v>
      </c>
      <c r="S2203">
        <v>-3.3513790000000001</v>
      </c>
      <c r="T2203">
        <v>-0.38310749999999999</v>
      </c>
      <c r="U2203">
        <v>-1.5686039999999998E-2</v>
      </c>
      <c r="V2203">
        <v>-8.256434E-2</v>
      </c>
      <c r="W2203">
        <v>0.35873759999999999</v>
      </c>
      <c r="X2203">
        <v>0.92977980000000005</v>
      </c>
      <c r="Y2203">
        <v>3.5201870000000001E-3</v>
      </c>
      <c r="Z2203">
        <v>1.044466E-3</v>
      </c>
      <c r="AA2203">
        <v>0.99999329999999997</v>
      </c>
      <c r="AB2203">
        <v>52</v>
      </c>
      <c r="AC2203">
        <v>-0.29869999999999602</v>
      </c>
      <c r="AD2203">
        <v>-8.4117999999999596E-2</v>
      </c>
      <c r="AE2203">
        <v>5.9999999996307397E-4</v>
      </c>
      <c r="AF2203">
        <v>2.84381457569106E-3</v>
      </c>
      <c r="AG2203">
        <v>-8.4117999999999596E-2</v>
      </c>
      <c r="AH2203">
        <v>0.276737876879593</v>
      </c>
      <c r="AI2203">
        <v>106.906475205121</v>
      </c>
      <c r="AJ2203">
        <v>89.411237667756694</v>
      </c>
      <c r="AK2203">
        <v>0.28925382919706699</v>
      </c>
      <c r="AL2203">
        <v>68.977312191409894</v>
      </c>
      <c r="AM2203">
        <v>95.074548291832798</v>
      </c>
      <c r="AN2203">
        <v>1.0000000061907099</v>
      </c>
    </row>
    <row r="2204" spans="1:40" x14ac:dyDescent="0.25">
      <c r="A2204" t="str">
        <f>"20190304164412945"</f>
        <v>20190304164412945</v>
      </c>
      <c r="B2204" t="str">
        <f>"1551689052931680"</f>
        <v>1551689052931680</v>
      </c>
      <c r="C2204" t="s">
        <v>40</v>
      </c>
      <c r="D2204">
        <v>5.1482799999999997</v>
      </c>
      <c r="E2204">
        <v>0.54841049999999902</v>
      </c>
      <c r="F2204" t="s">
        <v>41</v>
      </c>
      <c r="G2204">
        <v>-365.9914</v>
      </c>
      <c r="H2204">
        <v>1.023936</v>
      </c>
      <c r="I2204">
        <v>284.73410000000001</v>
      </c>
      <c r="J2204">
        <v>-365.52850000000001</v>
      </c>
      <c r="K2204">
        <v>1.1109020000000001</v>
      </c>
      <c r="L2204">
        <v>284.73360000000002</v>
      </c>
      <c r="M2204">
        <v>-0.99984989999999996</v>
      </c>
      <c r="N2204">
        <v>-1.5117469999999999E-2</v>
      </c>
      <c r="O2204">
        <v>-8.4800929999999993E-3</v>
      </c>
      <c r="P2204">
        <v>-0.93440900000000005</v>
      </c>
      <c r="Q2204">
        <v>0.34479860000000001</v>
      </c>
      <c r="R2204">
        <v>-8.9408669999999996E-2</v>
      </c>
      <c r="S2204">
        <v>-3.3516539999999999</v>
      </c>
      <c r="T2204">
        <v>-0.38454640000000001</v>
      </c>
      <c r="U2204">
        <v>-9.5520020000000004E-3</v>
      </c>
      <c r="V2204">
        <v>-8.1998550000000003E-2</v>
      </c>
      <c r="W2204">
        <v>0.35877799999999999</v>
      </c>
      <c r="X2204">
        <v>0.92981429999999998</v>
      </c>
      <c r="Y2204">
        <v>5.5480460000000001E-3</v>
      </c>
      <c r="Z2204">
        <v>1.2012380000000001E-3</v>
      </c>
      <c r="AA2204">
        <v>0.99998390000000004</v>
      </c>
      <c r="AB2204">
        <v>52</v>
      </c>
      <c r="AC2204">
        <v>-0.46289999999998999</v>
      </c>
      <c r="AD2204">
        <v>-8.6966000000000099E-2</v>
      </c>
      <c r="AE2204">
        <v>4.9999999998817603E-4</v>
      </c>
      <c r="AF2204">
        <v>4.2749760843244396E-3</v>
      </c>
      <c r="AG2204">
        <v>-8.6966000000000099E-2</v>
      </c>
      <c r="AH2204">
        <v>0.447098376769969</v>
      </c>
      <c r="AI2204">
        <v>101.00677966335201</v>
      </c>
      <c r="AJ2204">
        <v>89.452177337554303</v>
      </c>
      <c r="AK2204">
        <v>0.45549788044167999</v>
      </c>
      <c r="AL2204">
        <v>68.974832753225201</v>
      </c>
      <c r="AM2204">
        <v>95.039767528182296</v>
      </c>
      <c r="AN2204">
        <v>1.00000002398529</v>
      </c>
    </row>
    <row r="2205" spans="1:40" x14ac:dyDescent="0.25">
      <c r="A2205" t="str">
        <f>"20190304164412966"</f>
        <v>20190304164412966</v>
      </c>
      <c r="B2205" t="str">
        <f>"1551689052961936"</f>
        <v>1551689052961936</v>
      </c>
      <c r="C2205" t="s">
        <v>40</v>
      </c>
      <c r="D2205">
        <v>5.0875640000000004</v>
      </c>
      <c r="E2205">
        <v>0.55056340000000004</v>
      </c>
      <c r="F2205" t="s">
        <v>41</v>
      </c>
      <c r="G2205">
        <v>-366.44319999999999</v>
      </c>
      <c r="H2205">
        <v>1.0060439999999999</v>
      </c>
      <c r="I2205">
        <v>284.73160000000001</v>
      </c>
      <c r="J2205">
        <v>-366.01670000000001</v>
      </c>
      <c r="K2205">
        <v>1.1108880000000001</v>
      </c>
      <c r="L2205">
        <v>284.72919999999999</v>
      </c>
      <c r="M2205">
        <v>-0.99984689999999998</v>
      </c>
      <c r="N2205">
        <v>-1.5114270000000001E-2</v>
      </c>
      <c r="O2205">
        <v>-8.8297310000000004E-3</v>
      </c>
      <c r="P2205">
        <v>-0.93457069999999998</v>
      </c>
      <c r="Q2205">
        <v>0.34446599999999999</v>
      </c>
      <c r="R2205">
        <v>-8.8999339999999996E-2</v>
      </c>
      <c r="S2205">
        <v>-3.3516849999999998</v>
      </c>
      <c r="T2205">
        <v>-0.38444279999999997</v>
      </c>
      <c r="U2205">
        <v>-8.3618159999999993E-3</v>
      </c>
      <c r="V2205">
        <v>-8.124692E-2</v>
      </c>
      <c r="W2205">
        <v>0.35844959999999998</v>
      </c>
      <c r="X2205">
        <v>0.93000689999999997</v>
      </c>
      <c r="Y2205">
        <v>6.2459840000000004E-3</v>
      </c>
      <c r="Z2205">
        <v>1.2807929999999999E-3</v>
      </c>
      <c r="AA2205">
        <v>0.99997970000000003</v>
      </c>
      <c r="AB2205">
        <v>52</v>
      </c>
      <c r="AC2205">
        <v>-0.42649999999997501</v>
      </c>
      <c r="AD2205">
        <v>-0.10484399999999899</v>
      </c>
      <c r="AE2205">
        <v>2.4000000000228201E-3</v>
      </c>
      <c r="AF2205">
        <v>5.8148396735050803E-3</v>
      </c>
      <c r="AG2205">
        <v>-0.10484399999999899</v>
      </c>
      <c r="AH2205">
        <v>0.40216057799538402</v>
      </c>
      <c r="AI2205">
        <v>104.61041382390199</v>
      </c>
      <c r="AJ2205">
        <v>89.171618066343697</v>
      </c>
      <c r="AK2205">
        <v>0.41564312479579102</v>
      </c>
      <c r="AL2205">
        <v>68.994988986800195</v>
      </c>
      <c r="AM2205">
        <v>94.992776803520798</v>
      </c>
      <c r="AN2205">
        <v>1.00000000589862</v>
      </c>
    </row>
    <row r="2206" spans="1:40" x14ac:dyDescent="0.25">
      <c r="A2206" t="str">
        <f>"20190304164412990"</f>
        <v>20190304164412990</v>
      </c>
      <c r="B2206" t="str">
        <f>"1551689052982430"</f>
        <v>1551689052982430</v>
      </c>
      <c r="C2206" t="s">
        <v>40</v>
      </c>
      <c r="D2206">
        <v>5.1016560000000002</v>
      </c>
      <c r="E2206">
        <v>0.55187909999999996</v>
      </c>
      <c r="F2206" t="s">
        <v>41</v>
      </c>
      <c r="G2206">
        <v>-366.90449999999998</v>
      </c>
      <c r="H2206">
        <v>1.0083310000000001</v>
      </c>
      <c r="I2206">
        <v>284.73169999999999</v>
      </c>
      <c r="J2206">
        <v>-366.54649999999998</v>
      </c>
      <c r="K2206">
        <v>1.110873</v>
      </c>
      <c r="L2206">
        <v>284.7242</v>
      </c>
      <c r="M2206">
        <v>-0.99984360000000005</v>
      </c>
      <c r="N2206">
        <v>-1.511066E-2</v>
      </c>
      <c r="O2206">
        <v>-9.2042570000000004E-3</v>
      </c>
      <c r="P2206">
        <v>-0.93467809999999996</v>
      </c>
      <c r="Q2206">
        <v>0.34413250000000001</v>
      </c>
      <c r="R2206">
        <v>-8.9160459999999997E-2</v>
      </c>
      <c r="S2206">
        <v>-3.3536069999999998</v>
      </c>
      <c r="T2206">
        <v>-0.38746819999999998</v>
      </c>
      <c r="U2206">
        <v>8.4228519999999998E-3</v>
      </c>
      <c r="V2206">
        <v>-8.104198E-2</v>
      </c>
      <c r="W2206">
        <v>0.3581184</v>
      </c>
      <c r="X2206">
        <v>0.93015239999999999</v>
      </c>
      <c r="Y2206">
        <v>1.158328E-2</v>
      </c>
      <c r="Z2206">
        <v>1.6759959999999999E-3</v>
      </c>
      <c r="AA2206">
        <v>0.99993149999999997</v>
      </c>
      <c r="AB2206">
        <v>52</v>
      </c>
      <c r="AC2206">
        <v>-0.35800000000000398</v>
      </c>
      <c r="AD2206">
        <v>-0.10254199999999999</v>
      </c>
      <c r="AE2206">
        <v>7.4999999999931797E-3</v>
      </c>
      <c r="AF2206">
        <v>9.97700525703424E-3</v>
      </c>
      <c r="AG2206">
        <v>-0.10254199999999999</v>
      </c>
      <c r="AH2206">
        <v>0.33078902467089999</v>
      </c>
      <c r="AI2206">
        <v>107.215659994432</v>
      </c>
      <c r="AJ2206">
        <v>88.272412308339597</v>
      </c>
      <c r="AK2206">
        <v>0.34646180343672001</v>
      </c>
      <c r="AL2206">
        <v>69.015315449924501</v>
      </c>
      <c r="AM2206">
        <v>94.979471148759899</v>
      </c>
      <c r="AN2206">
        <v>1.0000000390833099</v>
      </c>
    </row>
    <row r="2207" spans="1:40" x14ac:dyDescent="0.25">
      <c r="A2207" t="str">
        <f>"20190304164413010"</f>
        <v>20190304164413010</v>
      </c>
      <c r="B2207" t="str">
        <f>"1551689053001952"</f>
        <v>1551689053001952</v>
      </c>
      <c r="C2207" t="s">
        <v>40</v>
      </c>
      <c r="D2207">
        <v>5.1123589999999997</v>
      </c>
      <c r="E2207">
        <v>0.55305139999999997</v>
      </c>
      <c r="F2207" t="s">
        <v>41</v>
      </c>
      <c r="G2207">
        <v>-367.36840000000001</v>
      </c>
      <c r="H2207">
        <v>1.0162869999999999</v>
      </c>
      <c r="I2207">
        <v>284.72890000000001</v>
      </c>
      <c r="J2207">
        <v>-367.03550000000001</v>
      </c>
      <c r="K2207">
        <v>1.1108579999999999</v>
      </c>
      <c r="L2207">
        <v>284.71949999999998</v>
      </c>
      <c r="M2207">
        <v>-0.99984030000000002</v>
      </c>
      <c r="N2207">
        <v>-1.510738E-2</v>
      </c>
      <c r="O2207">
        <v>-9.5436300000000009E-3</v>
      </c>
      <c r="P2207">
        <v>-0.9345774</v>
      </c>
      <c r="Q2207">
        <v>0.34424100000000002</v>
      </c>
      <c r="R2207">
        <v>-8.9795459999999994E-2</v>
      </c>
      <c r="S2207">
        <v>-3.3535159999999999</v>
      </c>
      <c r="T2207">
        <v>-0.3859901</v>
      </c>
      <c r="U2207">
        <v>1.8341059999999999E-2</v>
      </c>
      <c r="V2207">
        <v>-8.1345760000000003E-2</v>
      </c>
      <c r="W2207">
        <v>0.35822559999999998</v>
      </c>
      <c r="X2207">
        <v>0.93008449999999998</v>
      </c>
      <c r="Y2207">
        <v>1.4854869999999999E-2</v>
      </c>
      <c r="Z2207">
        <v>1.915784E-3</v>
      </c>
      <c r="AA2207">
        <v>0.99988779999999999</v>
      </c>
      <c r="AB2207">
        <v>51</v>
      </c>
      <c r="AC2207">
        <v>-0.33289999999999498</v>
      </c>
      <c r="AD2207">
        <v>-9.4570999999999697E-2</v>
      </c>
      <c r="AE2207">
        <v>9.4000000000278305E-3</v>
      </c>
      <c r="AF2207">
        <v>1.1638498335168701E-2</v>
      </c>
      <c r="AG2207">
        <v>-9.4570999999999697E-2</v>
      </c>
      <c r="AH2207">
        <v>0.30796156787118301</v>
      </c>
      <c r="AI2207">
        <v>107.05957209246</v>
      </c>
      <c r="AJ2207">
        <v>87.835705138715298</v>
      </c>
      <c r="AK2207">
        <v>0.322365407527196</v>
      </c>
      <c r="AL2207">
        <v>69.008734827364094</v>
      </c>
      <c r="AM2207">
        <v>94.9984049963915</v>
      </c>
      <c r="AN2207">
        <v>0.999999945152792</v>
      </c>
    </row>
    <row r="2208" spans="1:40" x14ac:dyDescent="0.25">
      <c r="A2208" t="str">
        <f>"20190304164413025"</f>
        <v>20190304164413025</v>
      </c>
      <c r="B2208" t="str">
        <f>"1551689053022447"</f>
        <v>1551689053022447</v>
      </c>
      <c r="C2208" t="s">
        <v>40</v>
      </c>
      <c r="D2208">
        <v>5.1018679999999996</v>
      </c>
      <c r="E2208">
        <v>0.55412139999999999</v>
      </c>
      <c r="F2208" t="s">
        <v>41</v>
      </c>
      <c r="G2208">
        <v>-367.82979999999998</v>
      </c>
      <c r="H2208">
        <v>1.020054</v>
      </c>
      <c r="I2208">
        <v>284.72590000000002</v>
      </c>
      <c r="J2208">
        <v>-367.3621</v>
      </c>
      <c r="K2208">
        <v>1.1108480000000001</v>
      </c>
      <c r="L2208">
        <v>284.71629999999999</v>
      </c>
      <c r="M2208">
        <v>-0.99983820000000001</v>
      </c>
      <c r="N2208">
        <v>-1.5105189999999999E-2</v>
      </c>
      <c r="O2208">
        <v>-9.7630479999999999E-3</v>
      </c>
      <c r="P2208">
        <v>-0.93468759999999995</v>
      </c>
      <c r="Q2208">
        <v>0.34387220000000002</v>
      </c>
      <c r="R2208">
        <v>-9.0060139999999997E-2</v>
      </c>
      <c r="S2208">
        <v>-3.3538209999999999</v>
      </c>
      <c r="T2208">
        <v>-0.38348460000000001</v>
      </c>
      <c r="U2208">
        <v>2.6397710000000001E-2</v>
      </c>
      <c r="V2208">
        <v>-8.1392149999999996E-2</v>
      </c>
      <c r="W2208">
        <v>0.35785919999999999</v>
      </c>
      <c r="X2208">
        <v>0.93022159999999998</v>
      </c>
      <c r="Y2208">
        <v>1.745739E-2</v>
      </c>
      <c r="Z2208">
        <v>2.092773E-3</v>
      </c>
      <c r="AA2208">
        <v>0.9998454</v>
      </c>
      <c r="AB2208">
        <v>51</v>
      </c>
      <c r="AC2208">
        <v>-0.46769999999997902</v>
      </c>
      <c r="AD2208">
        <v>-9.0794E-2</v>
      </c>
      <c r="AE2208">
        <v>9.6000000000344698E-3</v>
      </c>
      <c r="AF2208">
        <v>1.36519702258645E-2</v>
      </c>
      <c r="AG2208">
        <v>-9.0794E-2</v>
      </c>
      <c r="AH2208">
        <v>0.45060947056436801</v>
      </c>
      <c r="AI2208">
        <v>101.386993177291</v>
      </c>
      <c r="AJ2208">
        <v>88.264659012942104</v>
      </c>
      <c r="AK2208">
        <v>0.45986826558194699</v>
      </c>
      <c r="AL2208">
        <v>69.031221012030599</v>
      </c>
      <c r="AM2208">
        <v>95.000507675973097</v>
      </c>
      <c r="AN2208">
        <v>1.0000000571064001</v>
      </c>
    </row>
    <row r="2209" spans="1:40" x14ac:dyDescent="0.25">
      <c r="A2209" t="str">
        <f>"20190304164413043"</f>
        <v>20190304164413043</v>
      </c>
      <c r="B2209" t="str">
        <f>"1551689053032208"</f>
        <v>1551689053032208</v>
      </c>
      <c r="C2209" t="s">
        <v>40</v>
      </c>
      <c r="D2209">
        <v>5.0924969999999998</v>
      </c>
      <c r="E2209">
        <v>0.55461780000000005</v>
      </c>
      <c r="F2209" t="s">
        <v>41</v>
      </c>
      <c r="G2209">
        <v>-368.28199999999998</v>
      </c>
      <c r="H2209">
        <v>1.005814</v>
      </c>
      <c r="I2209">
        <v>284.726</v>
      </c>
      <c r="J2209">
        <v>-367.79340000000002</v>
      </c>
      <c r="K2209">
        <v>1.1108199999999999</v>
      </c>
      <c r="L2209">
        <v>284.71190000000001</v>
      </c>
      <c r="M2209">
        <v>-0.99983560000000005</v>
      </c>
      <c r="N2209">
        <v>-1.5102269999999999E-2</v>
      </c>
      <c r="O2209">
        <v>-1.004013E-2</v>
      </c>
      <c r="P2209">
        <v>-0.9347162</v>
      </c>
      <c r="Q2209">
        <v>0.34355079999999999</v>
      </c>
      <c r="R2209">
        <v>-9.0986709999999998E-2</v>
      </c>
      <c r="S2209">
        <v>-3.353882</v>
      </c>
      <c r="T2209">
        <v>-0.38302609999999998</v>
      </c>
      <c r="U2209">
        <v>3.4667969999999999E-2</v>
      </c>
      <c r="V2209">
        <v>-8.2041639999999999E-2</v>
      </c>
      <c r="W2209">
        <v>0.35753950000000001</v>
      </c>
      <c r="X2209">
        <v>0.93028739999999999</v>
      </c>
      <c r="Y2209">
        <v>2.0178580000000002E-2</v>
      </c>
      <c r="Z2209">
        <v>2.2930849999999998E-3</v>
      </c>
      <c r="AA2209">
        <v>0.99979379999999995</v>
      </c>
      <c r="AB2209">
        <v>51</v>
      </c>
      <c r="AC2209">
        <v>-0.48859999999996201</v>
      </c>
      <c r="AD2209">
        <v>-0.105006</v>
      </c>
      <c r="AE2209">
        <v>1.4099999999984901E-2</v>
      </c>
      <c r="AF2209">
        <v>1.8167068721026299E-2</v>
      </c>
      <c r="AG2209">
        <v>-0.105006</v>
      </c>
      <c r="AH2209">
        <v>0.46688751787418398</v>
      </c>
      <c r="AI2209">
        <v>102.666004593773</v>
      </c>
      <c r="AJ2209">
        <v>87.771687030255904</v>
      </c>
      <c r="AK2209">
        <v>0.47889482850478798</v>
      </c>
      <c r="AL2209">
        <v>69.050834713690406</v>
      </c>
      <c r="AM2209">
        <v>95.0398511452061</v>
      </c>
      <c r="AN2209">
        <v>0.99999998567644899</v>
      </c>
    </row>
    <row r="2210" spans="1:40" x14ac:dyDescent="0.25">
      <c r="A2210" t="str">
        <f>"20190304164413057"</f>
        <v>20190304164413057</v>
      </c>
      <c r="B2210" t="str">
        <f>"1551689053051728"</f>
        <v>1551689053051728</v>
      </c>
      <c r="C2210" t="s">
        <v>40</v>
      </c>
      <c r="D2210">
        <v>5.098147</v>
      </c>
      <c r="E2210">
        <v>0.55553540000000001</v>
      </c>
      <c r="F2210" t="s">
        <v>41</v>
      </c>
      <c r="G2210">
        <v>-368.73939999999999</v>
      </c>
      <c r="H2210">
        <v>1.002818</v>
      </c>
      <c r="I2210">
        <v>284.72250000000003</v>
      </c>
      <c r="J2210">
        <v>-368.10449999999997</v>
      </c>
      <c r="K2210">
        <v>1.1108</v>
      </c>
      <c r="L2210">
        <v>284.70859999999999</v>
      </c>
      <c r="M2210">
        <v>-0.99983359999999999</v>
      </c>
      <c r="N2210">
        <v>-1.510013E-2</v>
      </c>
      <c r="O2210">
        <v>-1.022822E-2</v>
      </c>
      <c r="P2210">
        <v>-0.93467730000000004</v>
      </c>
      <c r="Q2210">
        <v>0.34353879999999998</v>
      </c>
      <c r="R2210">
        <v>-9.1431509999999994E-2</v>
      </c>
      <c r="S2210">
        <v>-3.3539430000000001</v>
      </c>
      <c r="T2210">
        <v>-0.3830578</v>
      </c>
      <c r="U2210">
        <v>3.7048339999999999E-2</v>
      </c>
      <c r="V2210">
        <v>-8.2295750000000001E-2</v>
      </c>
      <c r="W2210">
        <v>0.35752790000000001</v>
      </c>
      <c r="X2210">
        <v>0.93026940000000002</v>
      </c>
      <c r="Y2210">
        <v>2.1068469999999999E-2</v>
      </c>
      <c r="Z2210">
        <v>2.369201E-3</v>
      </c>
      <c r="AA2210">
        <v>0.99977519999999998</v>
      </c>
      <c r="AB2210">
        <v>51</v>
      </c>
      <c r="AC2210">
        <v>-0.63490000000001601</v>
      </c>
      <c r="AD2210">
        <v>-0.10798199999999999</v>
      </c>
      <c r="AE2210">
        <v>1.39000000000351E-2</v>
      </c>
      <c r="AF2210">
        <v>1.98208426477543E-2</v>
      </c>
      <c r="AG2210">
        <v>-0.10798199999999999</v>
      </c>
      <c r="AH2210">
        <v>0.61688886228599304</v>
      </c>
      <c r="AI2210">
        <v>99.923609888845903</v>
      </c>
      <c r="AJ2210">
        <v>88.159700811559702</v>
      </c>
      <c r="AK2210">
        <v>0.62658187536807497</v>
      </c>
      <c r="AL2210">
        <v>69.051546111609397</v>
      </c>
      <c r="AM2210">
        <v>95.055477769051905</v>
      </c>
      <c r="AN2210">
        <v>0.99999997316141598</v>
      </c>
    </row>
    <row r="2211" spans="1:40" x14ac:dyDescent="0.25">
      <c r="A2211" t="str">
        <f>"20190304164413071"</f>
        <v>20190304164413071</v>
      </c>
      <c r="B2211" t="str">
        <f>"1551689053062464"</f>
        <v>1551689053062464</v>
      </c>
      <c r="C2211" t="s">
        <v>40</v>
      </c>
      <c r="D2211">
        <v>5.0852890000000004</v>
      </c>
      <c r="E2211">
        <v>0.55597540000000001</v>
      </c>
      <c r="F2211" t="s">
        <v>41</v>
      </c>
      <c r="G2211">
        <v>-369.19040000000001</v>
      </c>
      <c r="H2211">
        <v>0.98729659999999997</v>
      </c>
      <c r="I2211">
        <v>284.72309999999999</v>
      </c>
      <c r="J2211">
        <v>-368.4205</v>
      </c>
      <c r="K2211">
        <v>1.110779</v>
      </c>
      <c r="L2211">
        <v>284.70530000000002</v>
      </c>
      <c r="M2211">
        <v>-0.9998319</v>
      </c>
      <c r="N2211">
        <v>-1.5097950000000001E-2</v>
      </c>
      <c r="O2211">
        <v>-1.040433E-2</v>
      </c>
      <c r="P2211">
        <v>-0.93462279999999998</v>
      </c>
      <c r="Q2211">
        <v>0.343499</v>
      </c>
      <c r="R2211">
        <v>-9.2136469999999998E-2</v>
      </c>
      <c r="S2211">
        <v>-3.3542480000000001</v>
      </c>
      <c r="T2211">
        <v>-0.38164209999999998</v>
      </c>
      <c r="U2211">
        <v>4.3823239999999999E-2</v>
      </c>
      <c r="V2211">
        <v>-8.281782E-2</v>
      </c>
      <c r="W2211">
        <v>0.35748920000000001</v>
      </c>
      <c r="X2211">
        <v>0.93023800000000001</v>
      </c>
      <c r="Y2211">
        <v>2.324731E-2</v>
      </c>
      <c r="Z2211">
        <v>2.5176579999999999E-3</v>
      </c>
      <c r="AA2211">
        <v>0.99972660000000002</v>
      </c>
      <c r="AB2211">
        <v>51</v>
      </c>
      <c r="AC2211">
        <v>-0.76990000000000602</v>
      </c>
      <c r="AD2211">
        <v>-0.12348240000000001</v>
      </c>
      <c r="AE2211">
        <v>1.77999999999656E-2</v>
      </c>
      <c r="AF2211">
        <v>2.51632840636467E-2</v>
      </c>
      <c r="AG2211">
        <v>-0.12348240000000001</v>
      </c>
      <c r="AH2211">
        <v>0.75038049238883497</v>
      </c>
      <c r="AI2211">
        <v>99.339668162334604</v>
      </c>
      <c r="AJ2211">
        <v>88.079361172789902</v>
      </c>
      <c r="AK2211">
        <v>0.76088893889472398</v>
      </c>
      <c r="AL2211">
        <v>69.053921577128904</v>
      </c>
      <c r="AM2211">
        <v>95.087551895071897</v>
      </c>
      <c r="AN2211">
        <v>1.00000002803509</v>
      </c>
    </row>
    <row r="2212" spans="1:40" x14ac:dyDescent="0.25">
      <c r="A2212" t="str">
        <f>"20190304164413089"</f>
        <v>20190304164413089</v>
      </c>
      <c r="B2212" t="str">
        <f>"1551689053081983"</f>
        <v>1551689053081983</v>
      </c>
      <c r="C2212" t="s">
        <v>40</v>
      </c>
      <c r="D2212">
        <v>5.207973</v>
      </c>
      <c r="E2212">
        <v>0.55673709999999998</v>
      </c>
      <c r="F2212" t="s">
        <v>41</v>
      </c>
      <c r="G2212">
        <v>-369.20740000000001</v>
      </c>
      <c r="H2212">
        <v>1.0215320000000001</v>
      </c>
      <c r="I2212">
        <v>284.71640000000002</v>
      </c>
      <c r="J2212">
        <v>-368.84050000000002</v>
      </c>
      <c r="K2212">
        <v>1.110751</v>
      </c>
      <c r="L2212">
        <v>284.70069999999998</v>
      </c>
      <c r="M2212">
        <v>-0.99982979999999999</v>
      </c>
      <c r="N2212">
        <v>-1.5095040000000001E-2</v>
      </c>
      <c r="O2212">
        <v>-1.060817E-2</v>
      </c>
      <c r="P2212">
        <v>-0.93451819999999997</v>
      </c>
      <c r="Q2212">
        <v>0.3432904</v>
      </c>
      <c r="R2212">
        <v>-9.3955289999999997E-2</v>
      </c>
      <c r="S2212">
        <v>-3.354279</v>
      </c>
      <c r="T2212">
        <v>-0.3806756</v>
      </c>
      <c r="U2212">
        <v>4.5928959999999998E-2</v>
      </c>
      <c r="V2212">
        <v>-8.4416400000000003E-2</v>
      </c>
      <c r="W2212">
        <v>0.35728209999999999</v>
      </c>
      <c r="X2212">
        <v>0.93017380000000005</v>
      </c>
      <c r="Y2212">
        <v>2.4072610000000001E-2</v>
      </c>
      <c r="Z2212">
        <v>2.5842529999999999E-3</v>
      </c>
      <c r="AA2212">
        <v>0.99970689999999995</v>
      </c>
      <c r="AB2212">
        <v>51</v>
      </c>
      <c r="AC2212">
        <v>-0.36689999999998602</v>
      </c>
      <c r="AD2212">
        <v>-8.9219000000000104E-2</v>
      </c>
      <c r="AE2212">
        <v>1.5700000000038E-2</v>
      </c>
      <c r="AF2212">
        <v>1.84997763157786E-2</v>
      </c>
      <c r="AG2212">
        <v>-8.9219000000000104E-2</v>
      </c>
      <c r="AH2212">
        <v>0.34627446081477797</v>
      </c>
      <c r="AI2212">
        <v>104.428523767128</v>
      </c>
      <c r="AJ2212">
        <v>86.941869859359002</v>
      </c>
      <c r="AK2212">
        <v>0.35806182971283002</v>
      </c>
      <c r="AL2212">
        <v>69.066625184750905</v>
      </c>
      <c r="AM2212">
        <v>95.185579335233797</v>
      </c>
      <c r="AN2212">
        <v>0.99999996288790405</v>
      </c>
    </row>
    <row r="2213" spans="1:40" x14ac:dyDescent="0.25">
      <c r="A2213" t="str">
        <f>"20190304164413102"</f>
        <v>20190304164413102</v>
      </c>
      <c r="B2213" t="str">
        <f>"1551689053091744"</f>
        <v>1551689053091744</v>
      </c>
      <c r="C2213" t="s">
        <v>40</v>
      </c>
      <c r="D2213">
        <v>5.083043</v>
      </c>
      <c r="E2213">
        <v>0.55711580000000005</v>
      </c>
      <c r="F2213" t="s">
        <v>41</v>
      </c>
      <c r="G2213">
        <v>-369.66370000000001</v>
      </c>
      <c r="H2213">
        <v>1.017693</v>
      </c>
      <c r="I2213">
        <v>284.71260000000001</v>
      </c>
      <c r="J2213">
        <v>-369.13170000000002</v>
      </c>
      <c r="K2213">
        <v>1.1107260000000001</v>
      </c>
      <c r="L2213">
        <v>284.69760000000002</v>
      </c>
      <c r="M2213">
        <v>-0.99982859999999996</v>
      </c>
      <c r="N2213">
        <v>-1.5093000000000001E-2</v>
      </c>
      <c r="O2213">
        <v>-1.0726680000000001E-2</v>
      </c>
      <c r="P2213">
        <v>-0.9343439</v>
      </c>
      <c r="Q2213">
        <v>0.34355669999999999</v>
      </c>
      <c r="R2213">
        <v>-9.4713420000000006E-2</v>
      </c>
      <c r="S2213">
        <v>-3.3543090000000002</v>
      </c>
      <c r="T2213">
        <v>-0.3792682</v>
      </c>
      <c r="U2213">
        <v>4.7363280000000001E-2</v>
      </c>
      <c r="V2213">
        <v>-8.5041340000000007E-2</v>
      </c>
      <c r="W2213">
        <v>0.35754930000000001</v>
      </c>
      <c r="X2213">
        <v>0.93001429999999996</v>
      </c>
      <c r="Y2213">
        <v>2.4615540000000002E-2</v>
      </c>
      <c r="Z2213">
        <v>2.6210840000000001E-3</v>
      </c>
      <c r="AA2213">
        <v>0.99969359999999996</v>
      </c>
      <c r="AB2213">
        <v>51</v>
      </c>
      <c r="AC2213">
        <v>-0.53199999999998204</v>
      </c>
      <c r="AD2213">
        <v>-9.3033000000000102E-2</v>
      </c>
      <c r="AE2213">
        <v>1.49999999999863E-2</v>
      </c>
      <c r="AF2213">
        <v>2.00924233640291E-2</v>
      </c>
      <c r="AG2213">
        <v>-9.3033000000000102E-2</v>
      </c>
      <c r="AH2213">
        <v>0.51604001574844505</v>
      </c>
      <c r="AI2213">
        <v>100.212077958477</v>
      </c>
      <c r="AJ2213">
        <v>87.770270116928202</v>
      </c>
      <c r="AK2213">
        <v>0.52474388268877903</v>
      </c>
      <c r="AL2213">
        <v>69.050235206700194</v>
      </c>
      <c r="AM2213">
        <v>95.224647833483999</v>
      </c>
      <c r="AN2213">
        <v>1.00000006482198</v>
      </c>
    </row>
    <row r="2214" spans="1:40" x14ac:dyDescent="0.25">
      <c r="A2214" t="str">
        <f>"20190304164413122"</f>
        <v>20190304164413122</v>
      </c>
      <c r="B2214" t="str">
        <f>"1551689053112239"</f>
        <v>1551689053112239</v>
      </c>
      <c r="C2214" t="s">
        <v>40</v>
      </c>
      <c r="D2214">
        <v>5.4192669999999996</v>
      </c>
      <c r="E2214">
        <v>0.55737990000000004</v>
      </c>
      <c r="F2214" t="s">
        <v>41</v>
      </c>
      <c r="G2214">
        <v>-370.11309999999997</v>
      </c>
      <c r="H2214">
        <v>1.0003390000000001</v>
      </c>
      <c r="I2214">
        <v>284.71210000000002</v>
      </c>
      <c r="J2214">
        <v>-369.59120000000001</v>
      </c>
      <c r="K2214">
        <v>1.1106819999999999</v>
      </c>
      <c r="L2214">
        <v>284.69260000000003</v>
      </c>
      <c r="M2214">
        <v>-0.99982700000000002</v>
      </c>
      <c r="N2214">
        <v>-1.5089780000000001E-2</v>
      </c>
      <c r="O2214">
        <v>-1.0877919999999999E-2</v>
      </c>
      <c r="P2214">
        <v>-0.93391480000000004</v>
      </c>
      <c r="Q2214">
        <v>0.34426440000000003</v>
      </c>
      <c r="R2214">
        <v>-9.6359890000000004E-2</v>
      </c>
      <c r="S2214">
        <v>-3.3545229999999999</v>
      </c>
      <c r="T2214">
        <v>-0.37751570000000001</v>
      </c>
      <c r="U2214">
        <v>4.7973630000000003E-2</v>
      </c>
      <c r="V2214">
        <v>-8.6508799999999997E-2</v>
      </c>
      <c r="W2214">
        <v>0.35825679999999999</v>
      </c>
      <c r="X2214">
        <v>0.92960659999999895</v>
      </c>
      <c r="Y2214">
        <v>2.4946739999999998E-2</v>
      </c>
      <c r="Z2214">
        <v>2.6447570000000002E-3</v>
      </c>
      <c r="AA2214">
        <v>0.9996853</v>
      </c>
      <c r="AB2214">
        <v>51</v>
      </c>
      <c r="AC2214">
        <v>-0.52189999999995895</v>
      </c>
      <c r="AD2214">
        <v>-0.110343</v>
      </c>
      <c r="AE2214">
        <v>1.9499999999993599E-2</v>
      </c>
      <c r="AF2214">
        <v>2.4100853944177901E-2</v>
      </c>
      <c r="AG2214">
        <v>-0.110343</v>
      </c>
      <c r="AH2214">
        <v>0.499366043794091</v>
      </c>
      <c r="AI2214">
        <v>102.44617459252299</v>
      </c>
      <c r="AJ2214">
        <v>87.236883516296999</v>
      </c>
      <c r="AK2214">
        <v>0.51197936921755005</v>
      </c>
      <c r="AL2214">
        <v>69.006822840643906</v>
      </c>
      <c r="AM2214">
        <v>95.316609045184094</v>
      </c>
      <c r="AN2214">
        <v>1.0000000689936099</v>
      </c>
    </row>
    <row r="2215" spans="1:40" x14ac:dyDescent="0.25">
      <c r="A2215" t="str">
        <f>"20190304164413136"</f>
        <v>20190304164413136</v>
      </c>
      <c r="B2215" t="str">
        <f>"1551689053131760"</f>
        <v>1551689053131760</v>
      </c>
      <c r="C2215" t="s">
        <v>40</v>
      </c>
      <c r="D2215">
        <v>5.0645699999999998</v>
      </c>
      <c r="E2215">
        <v>0.53703469999999998</v>
      </c>
      <c r="F2215" t="s">
        <v>41</v>
      </c>
      <c r="G2215">
        <v>-370.57119999999998</v>
      </c>
      <c r="H2215">
        <v>1.001293</v>
      </c>
      <c r="I2215">
        <v>284.7056</v>
      </c>
      <c r="J2215">
        <v>-369.91750000000002</v>
      </c>
      <c r="K2215">
        <v>1.1106499999999999</v>
      </c>
      <c r="L2215">
        <v>284.6891</v>
      </c>
      <c r="M2215">
        <v>-0.99982610000000005</v>
      </c>
      <c r="N2215">
        <v>-1.508757E-2</v>
      </c>
      <c r="O2215">
        <v>-1.096075E-2</v>
      </c>
      <c r="P2215">
        <v>-0.93392350000000002</v>
      </c>
      <c r="Q2215">
        <v>0.34406389999999998</v>
      </c>
      <c r="R2215">
        <v>-9.6988690000000002E-2</v>
      </c>
      <c r="S2215">
        <v>-3.3549500000000001</v>
      </c>
      <c r="T2215">
        <v>-0.37453059999999999</v>
      </c>
      <c r="U2215">
        <v>4.4433590000000002E-2</v>
      </c>
      <c r="V2215">
        <v>-8.7027740000000006E-2</v>
      </c>
      <c r="W2215">
        <v>0.3580622</v>
      </c>
      <c r="X2215">
        <v>0.92963309999999999</v>
      </c>
      <c r="Y2215">
        <v>2.3983129999999998E-2</v>
      </c>
      <c r="Z2215">
        <v>2.5708939999999998E-3</v>
      </c>
      <c r="AA2215">
        <v>0.99970910000000002</v>
      </c>
      <c r="AB2215">
        <v>51</v>
      </c>
      <c r="AC2215">
        <v>-0.65369999999995798</v>
      </c>
      <c r="AD2215">
        <v>-0.109356999999999</v>
      </c>
      <c r="AE2215">
        <v>1.6500000000007699E-2</v>
      </c>
      <c r="AF2215">
        <v>2.3021017382457602E-2</v>
      </c>
      <c r="AG2215">
        <v>-0.109356999999999</v>
      </c>
      <c r="AH2215">
        <v>0.63570064811050697</v>
      </c>
      <c r="AI2215">
        <v>99.754553539378094</v>
      </c>
      <c r="AJ2215">
        <v>87.926019109810994</v>
      </c>
      <c r="AK2215">
        <v>0.64544886296161597</v>
      </c>
      <c r="AL2215">
        <v>69.018764047215299</v>
      </c>
      <c r="AM2215">
        <v>95.348165798263096</v>
      </c>
      <c r="AN2215">
        <v>1.0000000336069701</v>
      </c>
    </row>
    <row r="2216" spans="1:40" x14ac:dyDescent="0.25">
      <c r="A2216" t="str">
        <f>"20190304164413157"</f>
        <v>20190304164413157</v>
      </c>
      <c r="B2216" t="str">
        <f>"1551689053152256"</f>
        <v>1551689053152256</v>
      </c>
      <c r="C2216" t="s">
        <v>40</v>
      </c>
      <c r="D2216">
        <v>5.0524339999999999</v>
      </c>
      <c r="E2216">
        <v>0.53697039999999996</v>
      </c>
      <c r="F2216" t="s">
        <v>41</v>
      </c>
      <c r="G2216">
        <v>-371.0317</v>
      </c>
      <c r="H2216">
        <v>1.006445</v>
      </c>
      <c r="I2216">
        <v>284.65089999999998</v>
      </c>
      <c r="J2216">
        <v>-370.37060000000002</v>
      </c>
      <c r="K2216">
        <v>1.1106009999999999</v>
      </c>
      <c r="L2216">
        <v>284.68400000000003</v>
      </c>
      <c r="M2216">
        <v>-0.99982530000000003</v>
      </c>
      <c r="N2216">
        <v>-1.5084790000000001E-2</v>
      </c>
      <c r="O2216">
        <v>-1.103205E-2</v>
      </c>
      <c r="P2216">
        <v>-0.93373709999999999</v>
      </c>
      <c r="Q2216">
        <v>0.34436489999999997</v>
      </c>
      <c r="R2216">
        <v>-9.7712530000000006E-2</v>
      </c>
      <c r="S2216">
        <v>-3.3146059999999999</v>
      </c>
      <c r="T2216">
        <v>-0.31014140000000001</v>
      </c>
      <c r="U2216">
        <v>-0.1143494</v>
      </c>
      <c r="V2216">
        <v>-8.764036E-2</v>
      </c>
      <c r="W2216">
        <v>0.35836899999999999</v>
      </c>
      <c r="X2216">
        <v>0.92945730000000004</v>
      </c>
      <c r="Y2216">
        <v>-2.3364679999999999E-2</v>
      </c>
      <c r="Z2216">
        <v>-4.0357730000000001E-4</v>
      </c>
      <c r="AA2216">
        <v>0.99972700000000003</v>
      </c>
      <c r="AB2216">
        <v>51</v>
      </c>
      <c r="AC2216">
        <v>-0.66109999999997604</v>
      </c>
      <c r="AD2216">
        <v>-0.104155999999999</v>
      </c>
      <c r="AE2216">
        <v>-3.3100000000047203E-2</v>
      </c>
      <c r="AF2216">
        <v>-2.5180405121765202E-2</v>
      </c>
      <c r="AG2216">
        <v>-0.104155999999999</v>
      </c>
      <c r="AH2216">
        <v>0.64544390712787203</v>
      </c>
      <c r="AI2216">
        <v>99.160008668396003</v>
      </c>
      <c r="AJ2216">
        <v>92.234120822375104</v>
      </c>
      <c r="AK2216">
        <v>0.65427850521516395</v>
      </c>
      <c r="AL2216">
        <v>68.999936030486595</v>
      </c>
      <c r="AM2216">
        <v>95.386605547143603</v>
      </c>
      <c r="AN2216">
        <v>1.0000000226926</v>
      </c>
    </row>
    <row r="2217" spans="1:40" x14ac:dyDescent="0.25">
      <c r="A2217" t="str">
        <f>"20190304164413169"</f>
        <v>20190304164413169</v>
      </c>
      <c r="B2217" t="str">
        <f>"1551689053162016"</f>
        <v>1551689053162016</v>
      </c>
      <c r="C2217" t="s">
        <v>40</v>
      </c>
      <c r="D2217">
        <v>5.0165670000000002</v>
      </c>
      <c r="E2217">
        <v>0.53690079999999996</v>
      </c>
      <c r="F2217" t="s">
        <v>41</v>
      </c>
      <c r="G2217">
        <v>-371.4889</v>
      </c>
      <c r="H2217">
        <v>1.0065679999999999</v>
      </c>
      <c r="I2217">
        <v>284.64389999999997</v>
      </c>
      <c r="J2217">
        <v>-370.6891</v>
      </c>
      <c r="K2217">
        <v>1.110562</v>
      </c>
      <c r="L2217">
        <v>284.68049999999999</v>
      </c>
      <c r="M2217">
        <v>-0.99982530000000003</v>
      </c>
      <c r="N2217">
        <v>-1.508293E-2</v>
      </c>
      <c r="O2217">
        <v>-1.1048540000000001E-2</v>
      </c>
      <c r="P2217">
        <v>-0.93363260000000003</v>
      </c>
      <c r="Q2217">
        <v>0.34468490000000002</v>
      </c>
      <c r="R2217">
        <v>-9.7584699999999996E-2</v>
      </c>
      <c r="S2217">
        <v>-3.3141479999999999</v>
      </c>
      <c r="T2217">
        <v>-0.30836950000000002</v>
      </c>
      <c r="U2217">
        <v>-0.1192627</v>
      </c>
      <c r="V2217">
        <v>-8.7462880000000007E-2</v>
      </c>
      <c r="W2217">
        <v>0.35869440000000002</v>
      </c>
      <c r="X2217">
        <v>0.92934850000000002</v>
      </c>
      <c r="Y2217">
        <v>-2.4826709999999998E-2</v>
      </c>
      <c r="Z2217">
        <v>-4.8082339999999999E-4</v>
      </c>
      <c r="AA2217">
        <v>0.99969169999999996</v>
      </c>
      <c r="AB2217">
        <v>51</v>
      </c>
      <c r="AC2217">
        <v>-0.79980000000000395</v>
      </c>
      <c r="AD2217">
        <v>-0.103993999999999</v>
      </c>
      <c r="AE2217">
        <v>-3.6600000000021199E-2</v>
      </c>
      <c r="AF2217">
        <v>-2.7299563166251699E-2</v>
      </c>
      <c r="AG2217">
        <v>-0.103993999999999</v>
      </c>
      <c r="AH2217">
        <v>0.78688000599447705</v>
      </c>
      <c r="AI2217">
        <v>97.524101199353197</v>
      </c>
      <c r="AJ2217">
        <v>91.986989932875801</v>
      </c>
      <c r="AK2217">
        <v>0.79419151469839799</v>
      </c>
      <c r="AL2217">
        <v>68.979964396114696</v>
      </c>
      <c r="AM2217">
        <v>95.376386791945706</v>
      </c>
      <c r="AN2217">
        <v>1.00000003121075</v>
      </c>
    </row>
    <row r="2218" spans="1:40" x14ac:dyDescent="0.25">
      <c r="A2218" t="str">
        <f>"20190304164413190"</f>
        <v>20190304164413190</v>
      </c>
      <c r="B2218" t="str">
        <f>"1551689053182511"</f>
        <v>1551689053182511</v>
      </c>
      <c r="C2218" t="s">
        <v>40</v>
      </c>
      <c r="D2218">
        <v>5.0383719999999999</v>
      </c>
      <c r="E2218">
        <v>0.53735429999999995</v>
      </c>
      <c r="F2218" t="s">
        <v>45</v>
      </c>
      <c r="G2218">
        <v>-382.75389999999999</v>
      </c>
      <c r="H2218" s="1">
        <v>-7.1306890000000003E-8</v>
      </c>
      <c r="I2218">
        <v>284.24349999999998</v>
      </c>
      <c r="J2218">
        <v>-371.149</v>
      </c>
      <c r="K2218">
        <v>1.1104989999999999</v>
      </c>
      <c r="L2218">
        <v>284.6755</v>
      </c>
      <c r="M2218">
        <v>-0.99982559999999998</v>
      </c>
      <c r="N2218">
        <v>-1.508028E-2</v>
      </c>
      <c r="O2218">
        <v>-1.1024920000000001E-2</v>
      </c>
      <c r="P2218">
        <v>-0.93383970000000005</v>
      </c>
      <c r="Q2218">
        <v>0.34440859999999901</v>
      </c>
      <c r="R2218">
        <v>-9.6573530000000005E-2</v>
      </c>
      <c r="S2218">
        <v>-3.3133240000000002</v>
      </c>
      <c r="T2218">
        <v>-0.3049906</v>
      </c>
      <c r="U2218">
        <v>-0.1200256</v>
      </c>
      <c r="V2218">
        <v>-8.6416580000000007E-2</v>
      </c>
      <c r="W2218">
        <v>0.35843219999999998</v>
      </c>
      <c r="X2218">
        <v>0.92954749999999997</v>
      </c>
      <c r="Y2218">
        <v>-2.5089409999999999E-2</v>
      </c>
      <c r="Z2218">
        <v>-4.9526759999999996E-4</v>
      </c>
      <c r="AA2218">
        <v>0.99968509999999999</v>
      </c>
      <c r="AB2218">
        <v>51</v>
      </c>
      <c r="AC2218">
        <v>-11.604899999999899</v>
      </c>
      <c r="AD2218">
        <v>-1.1104990713068901</v>
      </c>
      <c r="AE2218">
        <v>-0.43200000000001598</v>
      </c>
      <c r="AF2218">
        <v>-0.301261272060456</v>
      </c>
      <c r="AG2218">
        <v>-1.1104990713068901</v>
      </c>
      <c r="AH2218">
        <v>11.503763561455299</v>
      </c>
      <c r="AI2218">
        <v>95.512001454313804</v>
      </c>
      <c r="AJ2218">
        <v>91.500122547038401</v>
      </c>
      <c r="AK2218">
        <v>11.561165279472601</v>
      </c>
      <c r="AL2218">
        <v>68.996057005942802</v>
      </c>
      <c r="AM2218">
        <v>95.311309603573903</v>
      </c>
      <c r="AN2218">
        <v>1.0000000110259899</v>
      </c>
    </row>
    <row r="2219" spans="1:40" x14ac:dyDescent="0.25">
      <c r="A2219" t="str">
        <f>"20190304164413211"</f>
        <v>20190304164413211</v>
      </c>
      <c r="B2219" t="str">
        <f>"1551689053202031"</f>
        <v>1551689053202031</v>
      </c>
      <c r="C2219" t="s">
        <v>40</v>
      </c>
      <c r="D2219">
        <v>5.0108069999999998</v>
      </c>
      <c r="E2219">
        <v>0.53761309999999995</v>
      </c>
      <c r="F2219" t="s">
        <v>45</v>
      </c>
      <c r="G2219">
        <v>-383.05070000000001</v>
      </c>
      <c r="H2219" s="1">
        <v>8.663892E-8</v>
      </c>
      <c r="I2219">
        <v>284.26190000000003</v>
      </c>
      <c r="J2219">
        <v>-371.63220000000001</v>
      </c>
      <c r="K2219">
        <v>1.1104259999999999</v>
      </c>
      <c r="L2219">
        <v>284.67020000000002</v>
      </c>
      <c r="M2219">
        <v>-0.99982660000000001</v>
      </c>
      <c r="N2219">
        <v>-1.507731E-2</v>
      </c>
      <c r="O2219">
        <v>-1.0935820000000001E-2</v>
      </c>
      <c r="P2219">
        <v>-0.93389</v>
      </c>
      <c r="Q2219">
        <v>0.34468500000000002</v>
      </c>
      <c r="R2219">
        <v>-9.508817E-2</v>
      </c>
      <c r="S2219">
        <v>-3.314667</v>
      </c>
      <c r="T2219">
        <v>-0.30927769999999999</v>
      </c>
      <c r="U2219">
        <v>-0.11517330000000001</v>
      </c>
      <c r="V2219">
        <v>-8.4951189999999996E-2</v>
      </c>
      <c r="W2219">
        <v>0.35872159999999997</v>
      </c>
      <c r="X2219">
        <v>0.92957100000000004</v>
      </c>
      <c r="Y2219">
        <v>-2.3706870000000001E-2</v>
      </c>
      <c r="Z2219">
        <v>-4.2925679999999999E-4</v>
      </c>
      <c r="AA2219">
        <v>0.99971880000000002</v>
      </c>
      <c r="AB2219">
        <v>51</v>
      </c>
      <c r="AC2219">
        <v>-11.4184999999999</v>
      </c>
      <c r="AD2219">
        <v>-1.1104259133610801</v>
      </c>
      <c r="AE2219">
        <v>-0.408299999999997</v>
      </c>
      <c r="AF2219">
        <v>-0.280739125538504</v>
      </c>
      <c r="AG2219">
        <v>-1.1104259133610801</v>
      </c>
      <c r="AH2219">
        <v>11.315407597073101</v>
      </c>
      <c r="AI2219">
        <v>95.603003611956197</v>
      </c>
      <c r="AJ2219">
        <v>91.421236282786097</v>
      </c>
      <c r="AK2219">
        <v>11.373227741216301</v>
      </c>
      <c r="AL2219">
        <v>68.978295641205406</v>
      </c>
      <c r="AM2219">
        <v>95.221615113030396</v>
      </c>
      <c r="AN2219">
        <v>1.0000000675149801</v>
      </c>
    </row>
    <row r="2220" spans="1:40" x14ac:dyDescent="0.25">
      <c r="A2220" t="str">
        <f>"20190304164413224"</f>
        <v>20190304164413224</v>
      </c>
      <c r="B2220" t="str">
        <f>"1551689053211791"</f>
        <v>1551689053211791</v>
      </c>
      <c r="C2220" t="s">
        <v>40</v>
      </c>
      <c r="D2220">
        <v>5.0100730000000002</v>
      </c>
      <c r="E2220">
        <v>0.53780699999999904</v>
      </c>
      <c r="F2220" t="s">
        <v>45</v>
      </c>
      <c r="G2220">
        <v>-383.54450000000003</v>
      </c>
      <c r="H2220" s="1">
        <v>3.493925E-7</v>
      </c>
      <c r="I2220">
        <v>284.28019999999998</v>
      </c>
      <c r="J2220">
        <v>-371.91669999999999</v>
      </c>
      <c r="K2220">
        <v>1.1103860000000001</v>
      </c>
      <c r="L2220">
        <v>284.66719999999998</v>
      </c>
      <c r="M2220">
        <v>-0.99982749999999998</v>
      </c>
      <c r="N2220">
        <v>-1.507554E-2</v>
      </c>
      <c r="O2220">
        <v>-1.084916E-2</v>
      </c>
      <c r="P2220">
        <v>-0.93399920000000003</v>
      </c>
      <c r="Q2220">
        <v>0.34459600000000001</v>
      </c>
      <c r="R2220">
        <v>-9.4334870000000001E-2</v>
      </c>
      <c r="S2220">
        <v>-3.315369</v>
      </c>
      <c r="T2220">
        <v>-0.30904999999999999</v>
      </c>
      <c r="U2220">
        <v>-0.10855099999999999</v>
      </c>
      <c r="V2220">
        <v>-8.4239410000000001E-2</v>
      </c>
      <c r="W2220">
        <v>0.3586414</v>
      </c>
      <c r="X2220">
        <v>0.92966660000000001</v>
      </c>
      <c r="Y2220">
        <v>-2.1800969999999999E-2</v>
      </c>
      <c r="Z2220">
        <v>-3.3286490000000003E-4</v>
      </c>
      <c r="AA2220">
        <v>0.99976229999999999</v>
      </c>
      <c r="AB2220">
        <v>51</v>
      </c>
      <c r="AC2220">
        <v>-11.627800000000001</v>
      </c>
      <c r="AD2220">
        <v>-1.1103856506074901</v>
      </c>
      <c r="AE2220">
        <v>-0.38700000000000001</v>
      </c>
      <c r="AF2220">
        <v>-0.258456730136299</v>
      </c>
      <c r="AG2220">
        <v>-1.1103856506074901</v>
      </c>
      <c r="AH2220">
        <v>11.5263210889765</v>
      </c>
      <c r="AI2220">
        <v>95.501222031462405</v>
      </c>
      <c r="AJ2220">
        <v>91.284538107368405</v>
      </c>
      <c r="AK2220">
        <v>11.5825659514898</v>
      </c>
      <c r="AL2220">
        <v>68.983215941078299</v>
      </c>
      <c r="AM2220">
        <v>95.177574047432003</v>
      </c>
      <c r="AN2220">
        <v>0.99999995957333299</v>
      </c>
    </row>
    <row r="2221" spans="1:40" x14ac:dyDescent="0.25">
      <c r="A2221" t="str">
        <f>"20190304164413241"</f>
        <v>20190304164413241</v>
      </c>
      <c r="B2221" t="str">
        <f>"1551689053232288"</f>
        <v>1551689053232288</v>
      </c>
      <c r="C2221" t="s">
        <v>40</v>
      </c>
      <c r="D2221">
        <v>5.0061450000000001</v>
      </c>
      <c r="E2221">
        <v>0.53805740000000002</v>
      </c>
      <c r="F2221" t="s">
        <v>41</v>
      </c>
      <c r="G2221">
        <v>-372.86610000000002</v>
      </c>
      <c r="H2221">
        <v>1.021604</v>
      </c>
      <c r="I2221">
        <v>284.63749999999999</v>
      </c>
      <c r="J2221">
        <v>-372.31310000000002</v>
      </c>
      <c r="K2221">
        <v>1.1103259999999999</v>
      </c>
      <c r="L2221">
        <v>284.66300000000001</v>
      </c>
      <c r="M2221">
        <v>-0.99982919999999997</v>
      </c>
      <c r="N2221">
        <v>-1.5073100000000001E-2</v>
      </c>
      <c r="O2221">
        <v>-1.0703310000000001E-2</v>
      </c>
      <c r="P2221">
        <v>-0.93396429999999997</v>
      </c>
      <c r="Q2221">
        <v>0.34502389999999999</v>
      </c>
      <c r="R2221">
        <v>-9.3111340000000001E-2</v>
      </c>
      <c r="S2221">
        <v>-3.3158569999999998</v>
      </c>
      <c r="T2221">
        <v>-0.31018069999999998</v>
      </c>
      <c r="U2221">
        <v>-0.10461429999999999</v>
      </c>
      <c r="V2221">
        <v>-8.309975E-2</v>
      </c>
      <c r="W2221">
        <v>0.35907850000000002</v>
      </c>
      <c r="X2221">
        <v>0.92960050000000005</v>
      </c>
      <c r="Y2221">
        <v>-2.0760629999999999E-2</v>
      </c>
      <c r="Z2221">
        <v>-2.8783839999999998E-4</v>
      </c>
      <c r="AA2221">
        <v>0.99978440000000002</v>
      </c>
      <c r="AB2221">
        <v>51</v>
      </c>
      <c r="AC2221">
        <v>-0.55299999999999705</v>
      </c>
      <c r="AD2221">
        <v>-8.8721999999999704E-2</v>
      </c>
      <c r="AE2221">
        <v>-2.5500000000022199E-2</v>
      </c>
      <c r="AF2221">
        <v>-1.9088633379157199E-2</v>
      </c>
      <c r="AG2221">
        <v>-8.8721999999999704E-2</v>
      </c>
      <c r="AH2221">
        <v>0.53938680130507899</v>
      </c>
      <c r="AI2221">
        <v>99.335016061406805</v>
      </c>
      <c r="AJ2221">
        <v>92.026823571963902</v>
      </c>
      <c r="AK2221">
        <v>0.54696808922496398</v>
      </c>
      <c r="AL2221">
        <v>68.956385959015506</v>
      </c>
      <c r="AM2221">
        <v>95.108261915612601</v>
      </c>
      <c r="AN2221">
        <v>1.0000000136062801</v>
      </c>
    </row>
    <row r="2222" spans="1:40" x14ac:dyDescent="0.25">
      <c r="A2222" t="str">
        <f>"20190304164413256"</f>
        <v>20190304164413256</v>
      </c>
      <c r="B2222" t="str">
        <f>"1551689053251807"</f>
        <v>1551689053251807</v>
      </c>
      <c r="C2222" t="s">
        <v>40</v>
      </c>
      <c r="D2222">
        <v>5.0117820000000002</v>
      </c>
      <c r="E2222">
        <v>0.5382053</v>
      </c>
      <c r="F2222" t="s">
        <v>41</v>
      </c>
      <c r="G2222">
        <v>-373.3186</v>
      </c>
      <c r="H2222">
        <v>1.0164299999999999</v>
      </c>
      <c r="I2222">
        <v>284.63319999999999</v>
      </c>
      <c r="J2222">
        <v>-372.65710000000001</v>
      </c>
      <c r="K2222">
        <v>1.110276</v>
      </c>
      <c r="L2222">
        <v>284.65940000000001</v>
      </c>
      <c r="M2222">
        <v>-0.99983069999999996</v>
      </c>
      <c r="N2222">
        <v>-1.5071019999999999E-2</v>
      </c>
      <c r="O2222">
        <v>-1.055323E-2</v>
      </c>
      <c r="P2222">
        <v>-0.93422099999999997</v>
      </c>
      <c r="Q2222">
        <v>0.3449197</v>
      </c>
      <c r="R2222">
        <v>-9.0894230000000006E-2</v>
      </c>
      <c r="S2222">
        <v>-3.3167719999999998</v>
      </c>
      <c r="T2222">
        <v>-0.30969720000000001</v>
      </c>
      <c r="U2222">
        <v>-9.817505E-2</v>
      </c>
      <c r="V2222">
        <v>-8.0974939999999995E-2</v>
      </c>
      <c r="W2222">
        <v>0.35898590000000002</v>
      </c>
      <c r="X2222">
        <v>0.92982379999999998</v>
      </c>
      <c r="Y2222">
        <v>-1.8971579999999998E-2</v>
      </c>
      <c r="Z2222">
        <v>-2.0272190000000001E-4</v>
      </c>
      <c r="AA2222">
        <v>0.99982000000000004</v>
      </c>
      <c r="AB2222">
        <v>51</v>
      </c>
      <c r="AC2222">
        <v>-0.66149999999998899</v>
      </c>
      <c r="AD2222">
        <v>-9.3846000000000096E-2</v>
      </c>
      <c r="AE2222">
        <v>-2.6200000000017099E-2</v>
      </c>
      <c r="AF2222">
        <v>-1.8838228959685999E-2</v>
      </c>
      <c r="AG2222">
        <v>-9.3846000000000096E-2</v>
      </c>
      <c r="AH2222">
        <v>0.64870388390281097</v>
      </c>
      <c r="AI2222">
        <v>98.228274628933804</v>
      </c>
      <c r="AJ2222">
        <v>91.663390314133693</v>
      </c>
      <c r="AK2222">
        <v>0.65572759555849902</v>
      </c>
      <c r="AL2222">
        <v>68.9620715506788</v>
      </c>
      <c r="AM2222">
        <v>94.977122155026194</v>
      </c>
      <c r="AN2222">
        <v>1.00000005817662</v>
      </c>
    </row>
    <row r="2223" spans="1:40" x14ac:dyDescent="0.25">
      <c r="A2223" t="str">
        <f>"20190304164413269"</f>
        <v>20190304164413269</v>
      </c>
      <c r="B2223" t="str">
        <f>"1551689053262544"</f>
        <v>1551689053262544</v>
      </c>
      <c r="C2223" t="s">
        <v>40</v>
      </c>
      <c r="D2223">
        <v>4.963457</v>
      </c>
      <c r="E2223">
        <v>0.53825590000000001</v>
      </c>
      <c r="F2223" t="s">
        <v>41</v>
      </c>
      <c r="G2223">
        <v>-373.76909999999998</v>
      </c>
      <c r="H2223">
        <v>1.0061009999999999</v>
      </c>
      <c r="I2223">
        <v>284.62950000000001</v>
      </c>
      <c r="J2223">
        <v>-372.9633</v>
      </c>
      <c r="K2223">
        <v>1.1102339999999999</v>
      </c>
      <c r="L2223">
        <v>284.65629999999999</v>
      </c>
      <c r="M2223">
        <v>-0.99983239999999995</v>
      </c>
      <c r="N2223">
        <v>-1.506919E-2</v>
      </c>
      <c r="O2223">
        <v>-1.039998E-2</v>
      </c>
      <c r="P2223">
        <v>-0.93438109999999996</v>
      </c>
      <c r="Q2223">
        <v>0.34471819999999997</v>
      </c>
      <c r="R2223">
        <v>-9.0008370000000004E-2</v>
      </c>
      <c r="S2223">
        <v>-3.3172609999999998</v>
      </c>
      <c r="T2223">
        <v>-0.3108764</v>
      </c>
      <c r="U2223">
        <v>-8.9935299999999996E-2</v>
      </c>
      <c r="V2223">
        <v>-8.0193829999999994E-2</v>
      </c>
      <c r="W2223">
        <v>0.35879319999999998</v>
      </c>
      <c r="X2223">
        <v>0.92996579999999995</v>
      </c>
      <c r="Y2223">
        <v>-1.6649939999999998E-2</v>
      </c>
      <c r="Z2223" s="1">
        <v>-8.8267790000000001E-5</v>
      </c>
      <c r="AA2223">
        <v>0.99986140000000001</v>
      </c>
      <c r="AB2223">
        <v>51</v>
      </c>
      <c r="AC2223">
        <v>-0.80579999999997598</v>
      </c>
      <c r="AD2223">
        <v>-0.104133</v>
      </c>
      <c r="AE2223">
        <v>-2.67999999999801E-2</v>
      </c>
      <c r="AF2223">
        <v>-1.8115103065701101E-2</v>
      </c>
      <c r="AG2223">
        <v>-0.104133</v>
      </c>
      <c r="AH2223">
        <v>0.79280969432434101</v>
      </c>
      <c r="AI2223">
        <v>97.480850930720806</v>
      </c>
      <c r="AJ2223">
        <v>91.308937550530601</v>
      </c>
      <c r="AK2223">
        <v>0.79982438701425895</v>
      </c>
      <c r="AL2223">
        <v>68.973899207909795</v>
      </c>
      <c r="AM2223">
        <v>94.928599982050997</v>
      </c>
      <c r="AN2223">
        <v>0.99999999995297395</v>
      </c>
    </row>
    <row r="2224" spans="1:40" x14ac:dyDescent="0.25">
      <c r="A2224" t="str">
        <f>"20190304164413289"</f>
        <v>20190304164413289</v>
      </c>
      <c r="B2224" t="str">
        <f>"1551689053282063"</f>
        <v>1551689053282063</v>
      </c>
      <c r="C2224" t="s">
        <v>40</v>
      </c>
      <c r="D2224">
        <v>4.9833089999999904</v>
      </c>
      <c r="E2224">
        <v>0.53837380000000001</v>
      </c>
      <c r="F2224" t="s">
        <v>41</v>
      </c>
      <c r="G2224">
        <v>-373.78590000000003</v>
      </c>
      <c r="H2224">
        <v>1.033223</v>
      </c>
      <c r="I2224">
        <v>284.63490000000002</v>
      </c>
      <c r="J2224">
        <v>-373.41750000000002</v>
      </c>
      <c r="K2224">
        <v>1.1101760000000001</v>
      </c>
      <c r="L2224">
        <v>284.65170000000001</v>
      </c>
      <c r="M2224">
        <v>-0.99983509999999998</v>
      </c>
      <c r="N2224">
        <v>-1.5066420000000001E-2</v>
      </c>
      <c r="O2224">
        <v>-1.015169E-2</v>
      </c>
      <c r="P2224">
        <v>-0.93471559999999998</v>
      </c>
      <c r="Q2224">
        <v>0.3442423</v>
      </c>
      <c r="R2224">
        <v>-8.8341310000000006E-2</v>
      </c>
      <c r="S2224">
        <v>-3.3168950000000001</v>
      </c>
      <c r="T2224">
        <v>-0.31060280000000001</v>
      </c>
      <c r="U2224">
        <v>-8.6853029999999998E-2</v>
      </c>
      <c r="V2224">
        <v>-7.8704570000000001E-2</v>
      </c>
      <c r="W2224">
        <v>0.35833019999999999</v>
      </c>
      <c r="X2224">
        <v>0.93027150000000003</v>
      </c>
      <c r="Y2224">
        <v>-1.5975469999999999E-2</v>
      </c>
      <c r="Z2224" s="1">
        <v>-7.1219979999999998E-5</v>
      </c>
      <c r="AA2224">
        <v>0.99987239999999999</v>
      </c>
      <c r="AB2224">
        <v>51</v>
      </c>
      <c r="AC2224">
        <v>-0.368400000000008</v>
      </c>
      <c r="AD2224">
        <v>-7.6952999999999994E-2</v>
      </c>
      <c r="AE2224">
        <v>-1.6799999999989199E-2</v>
      </c>
      <c r="AF2224">
        <v>-1.2513943752796399E-2</v>
      </c>
      <c r="AG2224">
        <v>-7.6952999999999994E-2</v>
      </c>
      <c r="AH2224">
        <v>0.35317364777706201</v>
      </c>
      <c r="AI2224">
        <v>102.28457887963501</v>
      </c>
      <c r="AJ2224">
        <v>92.029302958850593</v>
      </c>
      <c r="AK2224">
        <v>0.36167663524397597</v>
      </c>
      <c r="AL2224">
        <v>69.002316808505199</v>
      </c>
      <c r="AM2224">
        <v>94.835928454284101</v>
      </c>
      <c r="AN2224">
        <v>1.0000000026415801</v>
      </c>
    </row>
    <row r="2225" spans="1:40" x14ac:dyDescent="0.25">
      <c r="A2225" t="str">
        <f>"20190304164413304"</f>
        <v>20190304164413304</v>
      </c>
      <c r="B2225" t="str">
        <f>"1551689053291824"</f>
        <v>1551689053291824</v>
      </c>
      <c r="C2225" t="s">
        <v>40</v>
      </c>
      <c r="D2225">
        <v>4.9735199999999997</v>
      </c>
      <c r="E2225">
        <v>0.538396599999999</v>
      </c>
      <c r="F2225" t="s">
        <v>41</v>
      </c>
      <c r="G2225">
        <v>-374.24059999999997</v>
      </c>
      <c r="H2225">
        <v>1.032877</v>
      </c>
      <c r="I2225">
        <v>284.63189999999997</v>
      </c>
      <c r="J2225">
        <v>-373.73649999999998</v>
      </c>
      <c r="K2225">
        <v>1.1101399999999999</v>
      </c>
      <c r="L2225">
        <v>284.64850000000001</v>
      </c>
      <c r="M2225">
        <v>-0.99983699999999998</v>
      </c>
      <c r="N2225">
        <v>-1.506441E-2</v>
      </c>
      <c r="O2225">
        <v>-9.963764E-3</v>
      </c>
      <c r="P2225">
        <v>-0.93481669999999994</v>
      </c>
      <c r="Q2225">
        <v>0.3441284</v>
      </c>
      <c r="R2225">
        <v>-8.771545E-2</v>
      </c>
      <c r="S2225">
        <v>-3.3167420000000001</v>
      </c>
      <c r="T2225">
        <v>-0.31154179999999998</v>
      </c>
      <c r="U2225">
        <v>-7.9772949999999995E-2</v>
      </c>
      <c r="V2225">
        <v>-7.8222280000000005E-2</v>
      </c>
      <c r="W2225">
        <v>0.3582225</v>
      </c>
      <c r="X2225">
        <v>0.9303536</v>
      </c>
      <c r="Y2225">
        <v>-1.404061E-2</v>
      </c>
      <c r="Z2225" s="1">
        <v>1.9930540000000001E-5</v>
      </c>
      <c r="AA2225">
        <v>0.99990140000000005</v>
      </c>
      <c r="AB2225">
        <v>51</v>
      </c>
      <c r="AC2225">
        <v>-0.504099999999994</v>
      </c>
      <c r="AD2225">
        <v>-7.7262999999999804E-2</v>
      </c>
      <c r="AE2225">
        <v>-1.6600000000039399E-2</v>
      </c>
      <c r="AF2225">
        <v>-1.13104616637499E-2</v>
      </c>
      <c r="AG2225">
        <v>-7.7262999999999804E-2</v>
      </c>
      <c r="AH2225">
        <v>0.492679179017049</v>
      </c>
      <c r="AI2225">
        <v>98.9103459519133</v>
      </c>
      <c r="AJ2225">
        <v>91.315111204734905</v>
      </c>
      <c r="AK2225">
        <v>0.49882889967298399</v>
      </c>
      <c r="AL2225">
        <v>69.008925238009496</v>
      </c>
      <c r="AM2225">
        <v>94.806011691674996</v>
      </c>
      <c r="AN2225">
        <v>0.99999995281380305</v>
      </c>
    </row>
    <row r="2226" spans="1:40" x14ac:dyDescent="0.25">
      <c r="A2226" t="str">
        <f>"20190304164413318"</f>
        <v>20190304164413318</v>
      </c>
      <c r="B2226" t="str">
        <f>"1551689053312320"</f>
        <v>1551689053312320</v>
      </c>
      <c r="C2226" t="s">
        <v>40</v>
      </c>
      <c r="D2226">
        <v>4.9626590000000004</v>
      </c>
      <c r="E2226">
        <v>0.53836790000000001</v>
      </c>
      <c r="F2226" t="s">
        <v>41</v>
      </c>
      <c r="G2226">
        <v>-374.68619999999999</v>
      </c>
      <c r="H2226">
        <v>1.021002</v>
      </c>
      <c r="I2226">
        <v>284.62670000000003</v>
      </c>
      <c r="J2226">
        <v>-374.0616</v>
      </c>
      <c r="K2226">
        <v>1.1101019999999999</v>
      </c>
      <c r="L2226">
        <v>284.6454</v>
      </c>
      <c r="M2226">
        <v>-0.99983889999999997</v>
      </c>
      <c r="N2226">
        <v>-1.506235E-2</v>
      </c>
      <c r="O2226">
        <v>-9.7655160000000001E-3</v>
      </c>
      <c r="P2226">
        <v>-0.93487070000000005</v>
      </c>
      <c r="Q2226">
        <v>0.34407100000000002</v>
      </c>
      <c r="R2226">
        <v>-8.7362239999999994E-2</v>
      </c>
      <c r="S2226">
        <v>-3.3166199999999999</v>
      </c>
      <c r="T2226">
        <v>-0.31140240000000002</v>
      </c>
      <c r="U2226">
        <v>-7.6568600000000001E-2</v>
      </c>
      <c r="V2226">
        <v>-7.8024789999999997E-2</v>
      </c>
      <c r="W2226">
        <v>0.35816949999999997</v>
      </c>
      <c r="X2226">
        <v>0.93039070000000001</v>
      </c>
      <c r="Y2226">
        <v>-1.3277539999999999E-2</v>
      </c>
      <c r="Z2226" s="1">
        <v>4.5770660000000003E-5</v>
      </c>
      <c r="AA2226">
        <v>0.99991180000000002</v>
      </c>
      <c r="AB2226">
        <v>51</v>
      </c>
      <c r="AC2226">
        <v>-0.62459999999998606</v>
      </c>
      <c r="AD2226">
        <v>-8.9100000000000096E-2</v>
      </c>
      <c r="AE2226">
        <v>-1.8699999999967E-2</v>
      </c>
      <c r="AF2226">
        <v>-1.23478291881262E-2</v>
      </c>
      <c r="AG2226">
        <v>-8.9100000000000096E-2</v>
      </c>
      <c r="AH2226">
        <v>0.61230399016733295</v>
      </c>
      <c r="AI2226">
        <v>98.277678755251699</v>
      </c>
      <c r="AJ2226">
        <v>91.155280104115505</v>
      </c>
      <c r="AK2226">
        <v>0.61887596112669996</v>
      </c>
      <c r="AL2226">
        <v>69.012180010471099</v>
      </c>
      <c r="AM2226">
        <v>94.793744169340798</v>
      </c>
      <c r="AN2226">
        <v>1.00000005661564</v>
      </c>
    </row>
    <row r="2227" spans="1:40" x14ac:dyDescent="0.25">
      <c r="A2227" t="str">
        <f>"20190304164413329"</f>
        <v>20190304164413329</v>
      </c>
      <c r="B2227" t="str">
        <f>"1551689053322079"</f>
        <v>1551689053322079</v>
      </c>
      <c r="C2227" t="s">
        <v>40</v>
      </c>
      <c r="D2227">
        <v>4.97166</v>
      </c>
      <c r="E2227">
        <v>0.53838719999999995</v>
      </c>
      <c r="F2227" t="s">
        <v>41</v>
      </c>
      <c r="G2227">
        <v>-375.1352</v>
      </c>
      <c r="H2227">
        <v>1.0096449999999999</v>
      </c>
      <c r="I2227">
        <v>284.62099999999998</v>
      </c>
      <c r="J2227">
        <v>-374.34350000000001</v>
      </c>
      <c r="K2227">
        <v>1.110074</v>
      </c>
      <c r="L2227">
        <v>284.64269999999999</v>
      </c>
      <c r="M2227">
        <v>-0.99984070000000003</v>
      </c>
      <c r="N2227">
        <v>-1.5060540000000001E-2</v>
      </c>
      <c r="O2227">
        <v>-9.5871930000000008E-3</v>
      </c>
      <c r="P2227">
        <v>-0.93488930000000003</v>
      </c>
      <c r="Q2227">
        <v>0.34406029999999999</v>
      </c>
      <c r="R2227">
        <v>-8.7205660000000004E-2</v>
      </c>
      <c r="S2227">
        <v>-3.3161619999999998</v>
      </c>
      <c r="T2227">
        <v>-0.31025399999999997</v>
      </c>
      <c r="U2227">
        <v>-7.5164789999999995E-2</v>
      </c>
      <c r="V2227">
        <v>-7.8012159999999997E-2</v>
      </c>
      <c r="W2227">
        <v>0.35816249999999999</v>
      </c>
      <c r="X2227">
        <v>0.93039439999999995</v>
      </c>
      <c r="Y2227">
        <v>-1.3036870000000001E-2</v>
      </c>
      <c r="Z2227" s="1">
        <v>4.3853419999999997E-5</v>
      </c>
      <c r="AA2227">
        <v>0.999915</v>
      </c>
      <c r="AB2227">
        <v>51</v>
      </c>
      <c r="AC2227">
        <v>-0.79169999999999097</v>
      </c>
      <c r="AD2227">
        <v>-0.10042899999999901</v>
      </c>
      <c r="AE2227">
        <v>-2.1700000000009802E-2</v>
      </c>
      <c r="AF2227">
        <v>-1.38847032310596E-2</v>
      </c>
      <c r="AG2227">
        <v>-0.10042899999999901</v>
      </c>
      <c r="AH2227">
        <v>0.77934031885424504</v>
      </c>
      <c r="AI2227">
        <v>97.341750645281707</v>
      </c>
      <c r="AJ2227">
        <v>91.020671870552107</v>
      </c>
      <c r="AK2227">
        <v>0.78590718384339198</v>
      </c>
      <c r="AL2227">
        <v>69.0126084786083</v>
      </c>
      <c r="AM2227">
        <v>94.792952841535794</v>
      </c>
      <c r="AN2227">
        <v>1.0000000065327299</v>
      </c>
    </row>
    <row r="2228" spans="1:40" x14ac:dyDescent="0.25">
      <c r="A2228" t="str">
        <f>"20190304164413345"</f>
        <v>20190304164413345</v>
      </c>
      <c r="B2228" t="str">
        <f>"1551689053331840"</f>
        <v>1551689053331840</v>
      </c>
      <c r="C2228" t="s">
        <v>40</v>
      </c>
      <c r="D2228">
        <v>4.9331360000000002</v>
      </c>
      <c r="E2228">
        <v>0.53837299999999999</v>
      </c>
      <c r="F2228" t="s">
        <v>41</v>
      </c>
      <c r="G2228">
        <v>-375.15190000000001</v>
      </c>
      <c r="H2228">
        <v>1.034427</v>
      </c>
      <c r="I2228">
        <v>284.62450000000001</v>
      </c>
      <c r="J2228">
        <v>-374.67770000000002</v>
      </c>
      <c r="K2228">
        <v>1.1100509999999999</v>
      </c>
      <c r="L2228">
        <v>284.63959999999997</v>
      </c>
      <c r="M2228">
        <v>-0.99984280000000003</v>
      </c>
      <c r="N2228">
        <v>-1.505838E-2</v>
      </c>
      <c r="O2228">
        <v>-9.3697510000000008E-3</v>
      </c>
      <c r="P2228">
        <v>-0.93511869999999997</v>
      </c>
      <c r="Q2228">
        <v>0.34359129999999999</v>
      </c>
      <c r="R2228">
        <v>-8.6591890000000005E-2</v>
      </c>
      <c r="S2228">
        <v>-3.3161930000000002</v>
      </c>
      <c r="T2228">
        <v>-0.31027169999999998</v>
      </c>
      <c r="U2228">
        <v>-7.440186E-2</v>
      </c>
      <c r="V2228">
        <v>-7.7576129999999993E-2</v>
      </c>
      <c r="W2228">
        <v>0.35769980000000001</v>
      </c>
      <c r="X2228">
        <v>0.93060880000000001</v>
      </c>
      <c r="Y2228">
        <v>-1.302359E-2</v>
      </c>
      <c r="Z2228" s="1">
        <v>2.759555E-5</v>
      </c>
      <c r="AA2228">
        <v>0.9999152</v>
      </c>
      <c r="AB2228">
        <v>51</v>
      </c>
      <c r="AC2228">
        <v>-0.47419999999999601</v>
      </c>
      <c r="AD2228">
        <v>-7.5624000000000094E-2</v>
      </c>
      <c r="AE2228">
        <v>-1.50999999999612E-2</v>
      </c>
      <c r="AF2228">
        <v>-1.0391674728294401E-2</v>
      </c>
      <c r="AG2228">
        <v>-7.5624000000000094E-2</v>
      </c>
      <c r="AH2228">
        <v>0.46256813793142698</v>
      </c>
      <c r="AI2228">
        <v>99.282687159564404</v>
      </c>
      <c r="AJ2228">
        <v>91.286943312085597</v>
      </c>
      <c r="AK2228">
        <v>0.46882433651529498</v>
      </c>
      <c r="AL2228">
        <v>69.040999462751401</v>
      </c>
      <c r="AM2228">
        <v>94.765194527134696</v>
      </c>
      <c r="AN2228">
        <v>0.99999997075162805</v>
      </c>
    </row>
    <row r="2229" spans="1:40" x14ac:dyDescent="0.25">
      <c r="A2229" t="str">
        <f>"20190304164413358"</f>
        <v>20190304164413358</v>
      </c>
      <c r="B2229" t="str">
        <f>"1551689053352336"</f>
        <v>1551689053352336</v>
      </c>
      <c r="C2229" t="s">
        <v>40</v>
      </c>
      <c r="D2229">
        <v>4.9583510000000004</v>
      </c>
      <c r="E2229">
        <v>0.53836879999999998</v>
      </c>
      <c r="F2229" t="s">
        <v>41</v>
      </c>
      <c r="G2229">
        <v>-375.59640000000002</v>
      </c>
      <c r="H2229">
        <v>1.023852</v>
      </c>
      <c r="I2229">
        <v>284.61970000000002</v>
      </c>
      <c r="J2229">
        <v>-374.96800000000002</v>
      </c>
      <c r="K2229">
        <v>1.110031</v>
      </c>
      <c r="L2229">
        <v>284.637</v>
      </c>
      <c r="M2229">
        <v>-0.99984470000000003</v>
      </c>
      <c r="N2229">
        <v>-1.505649E-2</v>
      </c>
      <c r="O2229">
        <v>-9.1783960000000001E-3</v>
      </c>
      <c r="P2229">
        <v>-0.93526010000000004</v>
      </c>
      <c r="Q2229">
        <v>0.34313840000000001</v>
      </c>
      <c r="R2229">
        <v>-8.6863599999999999E-2</v>
      </c>
      <c r="S2229">
        <v>-3.3157649999999999</v>
      </c>
      <c r="T2229">
        <v>-0.31125000000000003</v>
      </c>
      <c r="U2229">
        <v>-7.2845460000000001E-2</v>
      </c>
      <c r="V2229">
        <v>-7.8007149999999997E-2</v>
      </c>
      <c r="W2229">
        <v>0.35725089999999998</v>
      </c>
      <c r="X2229">
        <v>0.93074520000000005</v>
      </c>
      <c r="Y2229">
        <v>-1.274935E-2</v>
      </c>
      <c r="Z2229" s="1">
        <v>2.8367100000000002E-5</v>
      </c>
      <c r="AA2229">
        <v>0.99991870000000005</v>
      </c>
      <c r="AB2229">
        <v>51</v>
      </c>
      <c r="AC2229">
        <v>-0.62839999999999896</v>
      </c>
      <c r="AD2229">
        <v>-8.6178999999999895E-2</v>
      </c>
      <c r="AE2229">
        <v>-1.7299999999977399E-2</v>
      </c>
      <c r="AF2229">
        <v>-1.1318208512379401E-2</v>
      </c>
      <c r="AG2229">
        <v>-8.6178999999999895E-2</v>
      </c>
      <c r="AH2229">
        <v>0.61693806725011302</v>
      </c>
      <c r="AI2229">
        <v>97.950770383853694</v>
      </c>
      <c r="AJ2229">
        <v>91.051017720334201</v>
      </c>
      <c r="AK2229">
        <v>0.62303089867777395</v>
      </c>
      <c r="AL2229">
        <v>69.068539375769802</v>
      </c>
      <c r="AM2229">
        <v>94.790848518293799</v>
      </c>
      <c r="AN2229">
        <v>0.99999997416248498</v>
      </c>
    </row>
    <row r="2230" spans="1:40" x14ac:dyDescent="0.25">
      <c r="A2230" t="str">
        <f>"20190304164413379"</f>
        <v>20190304164413379</v>
      </c>
      <c r="B2230" t="str">
        <f>"1551689053371855"</f>
        <v>1551689053371855</v>
      </c>
      <c r="C2230" t="s">
        <v>40</v>
      </c>
      <c r="D2230">
        <v>4.934679</v>
      </c>
      <c r="E2230">
        <v>0.53833059999999999</v>
      </c>
      <c r="F2230" t="s">
        <v>41</v>
      </c>
      <c r="G2230">
        <v>-376.04289999999997</v>
      </c>
      <c r="H2230">
        <v>1.009055</v>
      </c>
      <c r="I2230">
        <v>284.613</v>
      </c>
      <c r="J2230">
        <v>-375.44979999999998</v>
      </c>
      <c r="K2230">
        <v>1.1099950000000001</v>
      </c>
      <c r="L2230">
        <v>284.63279999999997</v>
      </c>
      <c r="M2230">
        <v>-0.9998475</v>
      </c>
      <c r="N2230">
        <v>-1.505328E-2</v>
      </c>
      <c r="O2230">
        <v>-8.8554970000000004E-3</v>
      </c>
      <c r="P2230">
        <v>-0.93517720000000004</v>
      </c>
      <c r="Q2230">
        <v>0.34338279999999999</v>
      </c>
      <c r="R2230">
        <v>-8.6787279999999994E-2</v>
      </c>
      <c r="S2230">
        <v>-3.3150629999999999</v>
      </c>
      <c r="T2230">
        <v>-0.311504</v>
      </c>
      <c r="U2230">
        <v>-7.440186E-2</v>
      </c>
      <c r="V2230">
        <v>-7.8206079999999997E-2</v>
      </c>
      <c r="W2230">
        <v>0.35749720000000001</v>
      </c>
      <c r="X2230">
        <v>0.93063399999999996</v>
      </c>
      <c r="Y2230">
        <v>-1.3541040000000001E-2</v>
      </c>
      <c r="Z2230" s="1">
        <v>-3.9817239999999998E-5</v>
      </c>
      <c r="AA2230">
        <v>0.99990829999999997</v>
      </c>
      <c r="AB2230">
        <v>51</v>
      </c>
      <c r="AC2230">
        <v>-0.59309999999999197</v>
      </c>
      <c r="AD2230">
        <v>-0.10094</v>
      </c>
      <c r="AE2230">
        <v>-1.9799999999975101E-2</v>
      </c>
      <c r="AF2230">
        <v>-1.41374017591295E-2</v>
      </c>
      <c r="AG2230">
        <v>-0.10094</v>
      </c>
      <c r="AH2230">
        <v>0.57657043336150404</v>
      </c>
      <c r="AI2230">
        <v>99.927194686173706</v>
      </c>
      <c r="AJ2230">
        <v>91.404600606042194</v>
      </c>
      <c r="AK2230">
        <v>0.58551021712278595</v>
      </c>
      <c r="AL2230">
        <v>69.053431049157197</v>
      </c>
      <c r="AM2230">
        <v>94.803580040038497</v>
      </c>
      <c r="AN2230">
        <v>1.0000000404564</v>
      </c>
    </row>
    <row r="2231" spans="1:40" x14ac:dyDescent="0.25">
      <c r="A2231" t="str">
        <f>"20190304164413404"</f>
        <v>20190304164413404</v>
      </c>
      <c r="B2231" t="str">
        <f>"1551689053392352"</f>
        <v>1551689053392352</v>
      </c>
      <c r="C2231" t="s">
        <v>40</v>
      </c>
      <c r="D2231">
        <v>4.9221849999999998</v>
      </c>
      <c r="E2231">
        <v>0.53833900000000001</v>
      </c>
      <c r="F2231" t="s">
        <v>41</v>
      </c>
      <c r="G2231">
        <v>-376.49790000000002</v>
      </c>
      <c r="H2231">
        <v>1.012089</v>
      </c>
      <c r="I2231">
        <v>284.60910000000001</v>
      </c>
      <c r="J2231">
        <v>-375.96699999999998</v>
      </c>
      <c r="K2231">
        <v>1.1099699999999999</v>
      </c>
      <c r="L2231">
        <v>284.6284</v>
      </c>
      <c r="M2231">
        <v>-0.99985060000000003</v>
      </c>
      <c r="N2231">
        <v>-1.504981E-2</v>
      </c>
      <c r="O2231">
        <v>-8.5065309999999995E-3</v>
      </c>
      <c r="P2231">
        <v>-0.93487390000000004</v>
      </c>
      <c r="Q2231">
        <v>0.3440783</v>
      </c>
      <c r="R2231">
        <v>-8.7299550000000004E-2</v>
      </c>
      <c r="S2231">
        <v>-3.3146360000000001</v>
      </c>
      <c r="T2231">
        <v>-0.30965130000000002</v>
      </c>
      <c r="U2231">
        <v>-7.5469969999999997E-2</v>
      </c>
      <c r="V2231">
        <v>-7.9020919999999994E-2</v>
      </c>
      <c r="W2231">
        <v>0.35819089999999998</v>
      </c>
      <c r="X2231">
        <v>0.93029830000000002</v>
      </c>
      <c r="Y2231">
        <v>-1.421088E-2</v>
      </c>
      <c r="Z2231">
        <v>-1.0444730000000001E-4</v>
      </c>
      <c r="AA2231">
        <v>0.99989899999999998</v>
      </c>
      <c r="AB2231">
        <v>51</v>
      </c>
      <c r="AC2231">
        <v>-0.53090000000003101</v>
      </c>
      <c r="AD2231">
        <v>-9.7881000000000107E-2</v>
      </c>
      <c r="AE2231">
        <v>-1.9299999999986901E-2</v>
      </c>
      <c r="AF2231">
        <v>-1.42973256274052E-2</v>
      </c>
      <c r="AG2231">
        <v>-9.7881000000000107E-2</v>
      </c>
      <c r="AH2231">
        <v>0.51360962144778299</v>
      </c>
      <c r="AI2231">
        <v>100.785664380019</v>
      </c>
      <c r="AJ2231">
        <v>91.594528000980503</v>
      </c>
      <c r="AK2231">
        <v>0.52304870416131499</v>
      </c>
      <c r="AL2231">
        <v>69.010864995039995</v>
      </c>
      <c r="AM2231">
        <v>94.855134344633797</v>
      </c>
      <c r="AN2231">
        <v>0.99999997681167296</v>
      </c>
    </row>
    <row r="2232" spans="1:40" x14ac:dyDescent="0.25">
      <c r="A2232" t="str">
        <f>"20190304164413423"</f>
        <v>20190304164413423</v>
      </c>
      <c r="B2232" t="str">
        <f>"1551689053411872"</f>
        <v>1551689053411872</v>
      </c>
      <c r="C2232" t="s">
        <v>40</v>
      </c>
      <c r="D2232">
        <v>4.9459530000000003</v>
      </c>
      <c r="E2232">
        <v>0.53834930000000003</v>
      </c>
      <c r="F2232" t="s">
        <v>41</v>
      </c>
      <c r="G2232">
        <v>-376.95440000000002</v>
      </c>
      <c r="H2232">
        <v>1.0189600000000001</v>
      </c>
      <c r="I2232">
        <v>284.60550000000001</v>
      </c>
      <c r="J2232">
        <v>-376.44580000000002</v>
      </c>
      <c r="K2232">
        <v>1.1099559999999999</v>
      </c>
      <c r="L2232">
        <v>284.62450000000001</v>
      </c>
      <c r="M2232">
        <v>-0.9998534</v>
      </c>
      <c r="N2232">
        <v>-1.5046520000000001E-2</v>
      </c>
      <c r="O2232">
        <v>-8.1818719999999998E-3</v>
      </c>
      <c r="P2232">
        <v>-0.93442800000000004</v>
      </c>
      <c r="Q2232">
        <v>0.3452383</v>
      </c>
      <c r="R2232">
        <v>-8.7493959999999996E-2</v>
      </c>
      <c r="S2232">
        <v>-3.3142399999999999</v>
      </c>
      <c r="T2232">
        <v>-0.30556640000000002</v>
      </c>
      <c r="U2232">
        <v>-7.7148439999999999E-2</v>
      </c>
      <c r="V2232">
        <v>-7.9500799999999996E-2</v>
      </c>
      <c r="W2232">
        <v>0.35934539999999998</v>
      </c>
      <c r="X2232">
        <v>0.92981210000000003</v>
      </c>
      <c r="Y2232">
        <v>-1.504028E-2</v>
      </c>
      <c r="Z2232">
        <v>-1.7548830000000001E-4</v>
      </c>
      <c r="AA2232">
        <v>0.99988690000000002</v>
      </c>
      <c r="AB2232">
        <v>51</v>
      </c>
      <c r="AC2232">
        <v>-0.50860000000000105</v>
      </c>
      <c r="AD2232">
        <v>-9.0995999999999799E-2</v>
      </c>
      <c r="AE2232">
        <v>-1.9000000000005401E-2</v>
      </c>
      <c r="AF2232">
        <v>-1.43779884066546E-2</v>
      </c>
      <c r="AG2232">
        <v>-9.0995999999999799E-2</v>
      </c>
      <c r="AH2232">
        <v>0.49297992434770999</v>
      </c>
      <c r="AI2232">
        <v>100.453799826083</v>
      </c>
      <c r="AJ2232">
        <v>91.670584442026893</v>
      </c>
      <c r="AK2232">
        <v>0.50151391244560295</v>
      </c>
      <c r="AL2232">
        <v>68.940000140961502</v>
      </c>
      <c r="AM2232">
        <v>94.887018226393096</v>
      </c>
      <c r="AN2232">
        <v>1.0000000175040999</v>
      </c>
    </row>
    <row r="2233" spans="1:40" x14ac:dyDescent="0.25">
      <c r="A2233" t="str">
        <f>"20190304164413447"</f>
        <v>20190304164413447</v>
      </c>
      <c r="B2233" t="str">
        <f>"1551689053442128"</f>
        <v>1551689053442128</v>
      </c>
      <c r="C2233" t="s">
        <v>40</v>
      </c>
      <c r="D2233">
        <v>4.9456600000000002</v>
      </c>
      <c r="E2233">
        <v>0.53825859999999903</v>
      </c>
      <c r="F2233" t="s">
        <v>41</v>
      </c>
      <c r="G2233">
        <v>-377.40929999999997</v>
      </c>
      <c r="H2233">
        <v>1.022551</v>
      </c>
      <c r="I2233">
        <v>284.60210000000001</v>
      </c>
      <c r="J2233">
        <v>-376.96910000000003</v>
      </c>
      <c r="K2233">
        <v>1.1099349999999999</v>
      </c>
      <c r="L2233">
        <v>284.62040000000002</v>
      </c>
      <c r="M2233">
        <v>-0.99985639999999998</v>
      </c>
      <c r="N2233">
        <v>-1.50429E-2</v>
      </c>
      <c r="O2233">
        <v>-7.8262539999999995E-3</v>
      </c>
      <c r="P2233">
        <v>-0.93426480000000001</v>
      </c>
      <c r="Q2233">
        <v>0.34560689999999999</v>
      </c>
      <c r="R2233">
        <v>-8.7783410000000006E-2</v>
      </c>
      <c r="S2233">
        <v>-3.314362</v>
      </c>
      <c r="T2233">
        <v>-0.30080679999999999</v>
      </c>
      <c r="U2233">
        <v>-7.7880859999999996E-2</v>
      </c>
      <c r="V2233">
        <v>-8.0104919999999996E-2</v>
      </c>
      <c r="W2233">
        <v>0.35971259999999999</v>
      </c>
      <c r="X2233">
        <v>0.92961819999999895</v>
      </c>
      <c r="Y2233">
        <v>-1.561337E-2</v>
      </c>
      <c r="Z2233">
        <v>-2.335107E-4</v>
      </c>
      <c r="AA2233">
        <v>0.99987800000000004</v>
      </c>
      <c r="AB2233">
        <v>51</v>
      </c>
      <c r="AC2233">
        <v>-0.44019999999994702</v>
      </c>
      <c r="AD2233">
        <v>-8.73840000000001E-2</v>
      </c>
      <c r="AE2233">
        <v>-1.8300000000010599E-2</v>
      </c>
      <c r="AF2233">
        <v>-1.42917233212244E-2</v>
      </c>
      <c r="AG2233">
        <v>-8.73840000000001E-2</v>
      </c>
      <c r="AH2233">
        <v>0.42366361256579999</v>
      </c>
      <c r="AI2233">
        <v>101.647834722916</v>
      </c>
      <c r="AJ2233">
        <v>91.932063570602097</v>
      </c>
      <c r="AK2233">
        <v>0.43281759832959099</v>
      </c>
      <c r="AL2233">
        <v>68.917452594620698</v>
      </c>
      <c r="AM2233">
        <v>94.924994370808406</v>
      </c>
      <c r="AN2233">
        <v>0.99999997528910201</v>
      </c>
    </row>
    <row r="2234" spans="1:40" x14ac:dyDescent="0.25">
      <c r="A2234" t="str">
        <f>"20190304164413469"</f>
        <v>20190304164413469</v>
      </c>
      <c r="B2234" t="str">
        <f>"1551689053461647"</f>
        <v>1551689053461647</v>
      </c>
      <c r="C2234" t="s">
        <v>40</v>
      </c>
      <c r="D2234">
        <v>4.9036460000000002</v>
      </c>
      <c r="E2234">
        <v>0.53821940000000001</v>
      </c>
      <c r="F2234" t="s">
        <v>41</v>
      </c>
      <c r="G2234">
        <v>-377.8673</v>
      </c>
      <c r="H2234">
        <v>1.029012</v>
      </c>
      <c r="I2234">
        <v>284.59879999999998</v>
      </c>
      <c r="J2234">
        <v>-377.49029999999999</v>
      </c>
      <c r="K2234">
        <v>1.1099220000000001</v>
      </c>
      <c r="L2234">
        <v>284.61660000000001</v>
      </c>
      <c r="M2234">
        <v>-0.99985900000000005</v>
      </c>
      <c r="N2234">
        <v>-1.503938E-2</v>
      </c>
      <c r="O2234">
        <v>-7.4709479999999998E-3</v>
      </c>
      <c r="P2234">
        <v>-0.93433169999999999</v>
      </c>
      <c r="Q2234">
        <v>0.3454894</v>
      </c>
      <c r="R2234">
        <v>-8.7531129999999999E-2</v>
      </c>
      <c r="S2234">
        <v>-3.3140869999999998</v>
      </c>
      <c r="T2234">
        <v>-0.29870059999999998</v>
      </c>
      <c r="U2234">
        <v>-7.9803470000000001E-2</v>
      </c>
      <c r="V2234">
        <v>-8.0169500000000005E-2</v>
      </c>
      <c r="W2234">
        <v>0.35959600000000003</v>
      </c>
      <c r="X2234">
        <v>0.92965779999999998</v>
      </c>
      <c r="Y2234">
        <v>-1.6545540000000001E-2</v>
      </c>
      <c r="Z2234">
        <v>-3.0903050000000002E-4</v>
      </c>
      <c r="AA2234">
        <v>0.9998631</v>
      </c>
      <c r="AB2234">
        <v>51</v>
      </c>
      <c r="AC2234">
        <v>-0.37700000000000899</v>
      </c>
      <c r="AD2234">
        <v>-8.0909999999999802E-2</v>
      </c>
      <c r="AE2234">
        <v>-1.7800000000022399E-2</v>
      </c>
      <c r="AF2234">
        <v>-1.43243294764622E-2</v>
      </c>
      <c r="AG2234">
        <v>-8.0909999999999802E-2</v>
      </c>
      <c r="AH2234">
        <v>0.36055245223296301</v>
      </c>
      <c r="AI2234">
        <v>102.638315933195</v>
      </c>
      <c r="AJ2234">
        <v>92.275098177911005</v>
      </c>
      <c r="AK2234">
        <v>0.36979681627368499</v>
      </c>
      <c r="AL2234">
        <v>68.924613550362693</v>
      </c>
      <c r="AM2234">
        <v>94.928736392157504</v>
      </c>
      <c r="AN2234">
        <v>1.00000002852354</v>
      </c>
    </row>
    <row r="2235" spans="1:40" x14ac:dyDescent="0.25">
      <c r="A2235" t="str">
        <f>"20190304164413490"</f>
        <v>20190304164413490</v>
      </c>
      <c r="B2235" t="str">
        <f>"1551689053482143"</f>
        <v>1551689053482143</v>
      </c>
      <c r="C2235" t="s">
        <v>40</v>
      </c>
      <c r="D2235">
        <v>4.8726500000000001</v>
      </c>
      <c r="E2235">
        <v>0.53824249999999996</v>
      </c>
      <c r="F2235" t="s">
        <v>45</v>
      </c>
      <c r="G2235">
        <v>-389.8032</v>
      </c>
      <c r="H2235" s="1">
        <v>3.6799659999999998E-6</v>
      </c>
      <c r="I2235">
        <v>284.32400000000001</v>
      </c>
      <c r="J2235">
        <v>-377.97370000000001</v>
      </c>
      <c r="K2235">
        <v>1.1099110000000001</v>
      </c>
      <c r="L2235">
        <v>284.61320000000001</v>
      </c>
      <c r="M2235">
        <v>-0.99986160000000002</v>
      </c>
      <c r="N2235">
        <v>-1.503613E-2</v>
      </c>
      <c r="O2235">
        <v>-7.1402729999999999E-3</v>
      </c>
      <c r="P2235">
        <v>-0.93408500000000005</v>
      </c>
      <c r="Q2235">
        <v>0.346205599999999</v>
      </c>
      <c r="R2235">
        <v>-8.7336029999999995E-2</v>
      </c>
      <c r="S2235">
        <v>-3.3139340000000002</v>
      </c>
      <c r="T2235">
        <v>-0.29872850000000001</v>
      </c>
      <c r="U2235">
        <v>-7.8735349999999996E-2</v>
      </c>
      <c r="V2235">
        <v>-8.0273109999999995E-2</v>
      </c>
      <c r="W2235">
        <v>0.3603074</v>
      </c>
      <c r="X2235">
        <v>0.92937340000000002</v>
      </c>
      <c r="Y2235">
        <v>-1.6554260000000001E-2</v>
      </c>
      <c r="Z2235">
        <v>-3.3422550000000001E-4</v>
      </c>
      <c r="AA2235">
        <v>0.9998629</v>
      </c>
      <c r="AB2235">
        <v>51</v>
      </c>
      <c r="AC2235">
        <v>-11.8294999999999</v>
      </c>
      <c r="AD2235">
        <v>-1.1099073200339999</v>
      </c>
      <c r="AE2235">
        <v>-0.28919999999999302</v>
      </c>
      <c r="AF2235">
        <v>-0.20293184597269101</v>
      </c>
      <c r="AG2235">
        <v>-1.1099073200339999</v>
      </c>
      <c r="AH2235">
        <v>11.7280805839357</v>
      </c>
      <c r="AI2235">
        <v>95.405380401565495</v>
      </c>
      <c r="AJ2235">
        <v>90.991294189522407</v>
      </c>
      <c r="AK2235">
        <v>11.782230254771999</v>
      </c>
      <c r="AL2235">
        <v>68.880925525668403</v>
      </c>
      <c r="AM2235">
        <v>94.936577521203901</v>
      </c>
      <c r="AN2235">
        <v>1.0000000556556901</v>
      </c>
    </row>
    <row r="2236" spans="1:40" x14ac:dyDescent="0.25">
      <c r="A2236" t="str">
        <f>"20190304164413512"</f>
        <v>20190304164413512</v>
      </c>
      <c r="B2236" t="str">
        <f>"1551689053501664"</f>
        <v>1551689053501664</v>
      </c>
      <c r="C2236" t="s">
        <v>40</v>
      </c>
      <c r="D2236">
        <v>4.9116390000000001</v>
      </c>
      <c r="E2236">
        <v>0.53822209999999904</v>
      </c>
      <c r="F2236" t="s">
        <v>45</v>
      </c>
      <c r="G2236">
        <v>-390.41430000000003</v>
      </c>
      <c r="H2236" s="1">
        <v>-1.316322E-6</v>
      </c>
      <c r="I2236">
        <v>284.32170000000002</v>
      </c>
      <c r="J2236">
        <v>-378.46379999999999</v>
      </c>
      <c r="K2236">
        <v>1.1099049999999999</v>
      </c>
      <c r="L2236">
        <v>284.60989999999998</v>
      </c>
      <c r="M2236">
        <v>-0.99986390000000003</v>
      </c>
      <c r="N2236">
        <v>-1.503283E-2</v>
      </c>
      <c r="O2236">
        <v>-6.8044100000000003E-3</v>
      </c>
      <c r="P2236">
        <v>-0.93413290000000004</v>
      </c>
      <c r="Q2236">
        <v>0.34625719999999999</v>
      </c>
      <c r="R2236">
        <v>-8.6612980000000006E-2</v>
      </c>
      <c r="S2236">
        <v>-3.3140260000000001</v>
      </c>
      <c r="T2236">
        <v>-0.29566799999999999</v>
      </c>
      <c r="U2236">
        <v>-7.7636720000000006E-2</v>
      </c>
      <c r="V2236">
        <v>-7.9855309999999999E-2</v>
      </c>
      <c r="W2236">
        <v>0.3603576</v>
      </c>
      <c r="X2236">
        <v>0.92938980000000004</v>
      </c>
      <c r="Y2236">
        <v>-1.6558239999999998E-2</v>
      </c>
      <c r="Z2236">
        <v>-3.5819269999999998E-4</v>
      </c>
      <c r="AA2236">
        <v>0.99986280000000005</v>
      </c>
      <c r="AB2236">
        <v>51</v>
      </c>
      <c r="AC2236">
        <v>-11.9505</v>
      </c>
      <c r="AD2236">
        <v>-1.109906316322</v>
      </c>
      <c r="AE2236">
        <v>-0.28819999999995999</v>
      </c>
      <c r="AF2236">
        <v>-0.20509991240384601</v>
      </c>
      <c r="AG2236">
        <v>-1.109906316322</v>
      </c>
      <c r="AH2236">
        <v>11.8500277158373</v>
      </c>
      <c r="AI2236">
        <v>95.350073498181601</v>
      </c>
      <c r="AJ2236">
        <v>90.991574569848396</v>
      </c>
      <c r="AK2236">
        <v>11.903659725949501</v>
      </c>
      <c r="AL2236">
        <v>68.877839486349899</v>
      </c>
      <c r="AM2236">
        <v>94.910923708361494</v>
      </c>
      <c r="AN2236">
        <v>0.99999993537849596</v>
      </c>
    </row>
    <row r="2237" spans="1:40" x14ac:dyDescent="0.25">
      <c r="A2237" t="str">
        <f>"20190304164413535"</f>
        <v>20190304164413535</v>
      </c>
      <c r="B2237" t="str">
        <f>"1551689053531920"</f>
        <v>1551689053531920</v>
      </c>
      <c r="C2237" t="s">
        <v>40</v>
      </c>
      <c r="D2237">
        <v>4.8787449999999897</v>
      </c>
      <c r="E2237">
        <v>0.53817760000000003</v>
      </c>
      <c r="F2237" t="s">
        <v>45</v>
      </c>
      <c r="G2237">
        <v>-390.92200000000003</v>
      </c>
      <c r="H2237" s="1">
        <v>-1.0461560000000001E-6</v>
      </c>
      <c r="I2237">
        <v>284.32310000000001</v>
      </c>
      <c r="J2237">
        <v>-378.97449999999998</v>
      </c>
      <c r="K2237">
        <v>1.109896</v>
      </c>
      <c r="L2237">
        <v>284.60669999999999</v>
      </c>
      <c r="M2237">
        <v>-0.99986629999999999</v>
      </c>
      <c r="N2237">
        <v>-1.502936E-2</v>
      </c>
      <c r="O2237">
        <v>-6.4560850000000003E-3</v>
      </c>
      <c r="P2237">
        <v>-0.93426739999999997</v>
      </c>
      <c r="Q2237">
        <v>0.34614119999999998</v>
      </c>
      <c r="R2237">
        <v>-8.5622790000000004E-2</v>
      </c>
      <c r="S2237">
        <v>-3.3139340000000002</v>
      </c>
      <c r="T2237">
        <v>-0.29524040000000001</v>
      </c>
      <c r="U2237">
        <v>-7.6293949999999999E-2</v>
      </c>
      <c r="V2237">
        <v>-7.9183719999999999E-2</v>
      </c>
      <c r="W2237">
        <v>0.36024109999999998</v>
      </c>
      <c r="X2237">
        <v>0.92949250000000005</v>
      </c>
      <c r="Y2237">
        <v>-1.6501749999999999E-2</v>
      </c>
      <c r="Z2237">
        <v>-3.8075730000000001E-4</v>
      </c>
      <c r="AA2237">
        <v>0.99986370000000002</v>
      </c>
      <c r="AB2237">
        <v>51</v>
      </c>
      <c r="AC2237">
        <v>-11.9474999999999</v>
      </c>
      <c r="AD2237">
        <v>-1.109897046156</v>
      </c>
      <c r="AE2237">
        <v>-0.28359999999997798</v>
      </c>
      <c r="AF2237">
        <v>-0.204685860270161</v>
      </c>
      <c r="AG2237">
        <v>-1.109897046156</v>
      </c>
      <c r="AH2237">
        <v>11.8469008003055</v>
      </c>
      <c r="AI2237">
        <v>95.351435776725793</v>
      </c>
      <c r="AJ2237">
        <v>90.989834334535601</v>
      </c>
      <c r="AK2237">
        <v>11.900538909088899</v>
      </c>
      <c r="AL2237">
        <v>68.884996677367297</v>
      </c>
      <c r="AM2237">
        <v>94.869286394794798</v>
      </c>
      <c r="AN2237">
        <v>1.0000000095992401</v>
      </c>
    </row>
    <row r="2238" spans="1:40" x14ac:dyDescent="0.25">
      <c r="A2238" t="str">
        <f>"20190304164413559"</f>
        <v>20190304164413559</v>
      </c>
      <c r="B2238" t="str">
        <f>"1551689053552415"</f>
        <v>1551689053552415</v>
      </c>
      <c r="C2238" t="s">
        <v>40</v>
      </c>
      <c r="D2238">
        <v>4.874072</v>
      </c>
      <c r="E2238">
        <v>0.53818869999999996</v>
      </c>
      <c r="F2238" t="s">
        <v>41</v>
      </c>
      <c r="G2238">
        <v>-380.11219999999997</v>
      </c>
      <c r="H2238">
        <v>1.0086630000000001</v>
      </c>
      <c r="I2238">
        <v>284.58179999999999</v>
      </c>
      <c r="J2238">
        <v>-379.50560000000002</v>
      </c>
      <c r="K2238">
        <v>1.109893</v>
      </c>
      <c r="L2238">
        <v>284.6035</v>
      </c>
      <c r="M2238">
        <v>-0.9998686</v>
      </c>
      <c r="N2238">
        <v>-1.5025470000000001E-2</v>
      </c>
      <c r="O2238">
        <v>-6.0976869999999897E-3</v>
      </c>
      <c r="P2238">
        <v>-0.934307</v>
      </c>
      <c r="Q2238">
        <v>0.34604210000000002</v>
      </c>
      <c r="R2238">
        <v>-8.5589499999999999E-2</v>
      </c>
      <c r="S2238">
        <v>-3.3135680000000001</v>
      </c>
      <c r="T2238">
        <v>-0.29503299999999999</v>
      </c>
      <c r="U2238">
        <v>-7.3577879999999998E-2</v>
      </c>
      <c r="V2238">
        <v>-7.9483139999999994E-2</v>
      </c>
      <c r="W2238">
        <v>0.3601393</v>
      </c>
      <c r="X2238">
        <v>0.92950639999999995</v>
      </c>
      <c r="Y2238">
        <v>-1.6044739999999998E-2</v>
      </c>
      <c r="Z2238">
        <v>-3.8332779999999999E-4</v>
      </c>
      <c r="AA2238">
        <v>0.99987119999999996</v>
      </c>
      <c r="AB2238">
        <v>50</v>
      </c>
      <c r="AC2238">
        <v>-0.60659999999995695</v>
      </c>
      <c r="AD2238">
        <v>-0.10123</v>
      </c>
      <c r="AE2238">
        <v>-2.1700000000009802E-2</v>
      </c>
      <c r="AF2238">
        <v>-1.7513215510584199E-2</v>
      </c>
      <c r="AG2238">
        <v>-0.10123</v>
      </c>
      <c r="AH2238">
        <v>0.59030257590147694</v>
      </c>
      <c r="AI2238">
        <v>99.726706422161399</v>
      </c>
      <c r="AJ2238">
        <v>91.699364229017803</v>
      </c>
      <c r="AK2238">
        <v>0.59917556419920803</v>
      </c>
      <c r="AL2238">
        <v>68.891249202240701</v>
      </c>
      <c r="AM2238">
        <v>94.887537024094996</v>
      </c>
      <c r="AN2238">
        <v>1.0000000162948499</v>
      </c>
    </row>
    <row r="2239" spans="1:40" x14ac:dyDescent="0.25">
      <c r="A2239" t="str">
        <f>"20190304164413580"</f>
        <v>20190304164413580</v>
      </c>
      <c r="B2239" t="str">
        <f>"1551689053571935"</f>
        <v>1551689053571935</v>
      </c>
      <c r="C2239" t="s">
        <v>40</v>
      </c>
      <c r="D2239">
        <v>4.9049579999999997</v>
      </c>
      <c r="E2239">
        <v>0.53820649999999903</v>
      </c>
      <c r="F2239" t="s">
        <v>41</v>
      </c>
      <c r="G2239">
        <v>-380.56610000000001</v>
      </c>
      <c r="H2239">
        <v>1.01563799999999</v>
      </c>
      <c r="I2239">
        <v>284.58069999999998</v>
      </c>
      <c r="J2239">
        <v>-379.99610000000001</v>
      </c>
      <c r="K2239">
        <v>1.1099030000000001</v>
      </c>
      <c r="L2239">
        <v>284.60070000000002</v>
      </c>
      <c r="M2239">
        <v>-0.9998707</v>
      </c>
      <c r="N2239">
        <v>-1.502212E-2</v>
      </c>
      <c r="O2239">
        <v>-5.771165E-3</v>
      </c>
      <c r="P2239">
        <v>-0.93446560000000001</v>
      </c>
      <c r="Q2239">
        <v>0.34574110000000002</v>
      </c>
      <c r="R2239">
        <v>-8.5074730000000001E-2</v>
      </c>
      <c r="S2239">
        <v>-3.313507</v>
      </c>
      <c r="T2239">
        <v>-0.29467870000000002</v>
      </c>
      <c r="U2239">
        <v>-7.1563719999999997E-2</v>
      </c>
      <c r="V2239">
        <v>-7.9273189999999993E-2</v>
      </c>
      <c r="W2239">
        <v>0.35983710000000002</v>
      </c>
      <c r="X2239">
        <v>0.92964139999999995</v>
      </c>
      <c r="Y2239">
        <v>-1.5764690000000001E-2</v>
      </c>
      <c r="Z2239">
        <v>-3.9262390000000002E-4</v>
      </c>
      <c r="AA2239">
        <v>0.99987570000000003</v>
      </c>
      <c r="AB2239">
        <v>50</v>
      </c>
      <c r="AC2239">
        <v>-0.56999999999999296</v>
      </c>
      <c r="AD2239">
        <v>-9.4265000000000196E-2</v>
      </c>
      <c r="AE2239">
        <v>-2.0000000000038601E-2</v>
      </c>
      <c r="AF2239">
        <v>-1.6265426065053101E-2</v>
      </c>
      <c r="AG2239">
        <v>-9.4265000000000196E-2</v>
      </c>
      <c r="AH2239">
        <v>0.55494701686883596</v>
      </c>
      <c r="AI2239">
        <v>99.636358989134806</v>
      </c>
      <c r="AJ2239">
        <v>91.678851327759304</v>
      </c>
      <c r="AK2239">
        <v>0.563131108927306</v>
      </c>
      <c r="AL2239">
        <v>68.9098090959167</v>
      </c>
      <c r="AM2239">
        <v>94.873984697809703</v>
      </c>
      <c r="AN2239">
        <v>1.00000005489157</v>
      </c>
    </row>
    <row r="2240" spans="1:40" x14ac:dyDescent="0.25">
      <c r="A2240" t="str">
        <f>"20190304164413603"</f>
        <v>20190304164413603</v>
      </c>
      <c r="B2240" t="str">
        <f>"1551689053592431"</f>
        <v>1551689053592431</v>
      </c>
      <c r="C2240" t="s">
        <v>40</v>
      </c>
      <c r="D2240">
        <v>4.8994049999999998</v>
      </c>
      <c r="E2240">
        <v>0.53818820000000001</v>
      </c>
      <c r="F2240" t="s">
        <v>41</v>
      </c>
      <c r="G2240">
        <v>-381.01780000000002</v>
      </c>
      <c r="H2240">
        <v>1.018775</v>
      </c>
      <c r="I2240">
        <v>284.57929999999999</v>
      </c>
      <c r="J2240">
        <v>-380.49059999999997</v>
      </c>
      <c r="K2240">
        <v>1.109912</v>
      </c>
      <c r="L2240">
        <v>284.59809999999999</v>
      </c>
      <c r="M2240">
        <v>-0.99987239999999999</v>
      </c>
      <c r="N2240">
        <v>-1.5018989999999999E-2</v>
      </c>
      <c r="O2240">
        <v>-5.4498180000000004E-3</v>
      </c>
      <c r="P2240">
        <v>-0.93448600000000004</v>
      </c>
      <c r="Q2240">
        <v>0.34575640000000002</v>
      </c>
      <c r="R2240">
        <v>-8.4785990000000006E-2</v>
      </c>
      <c r="S2240">
        <v>-3.3133849999999998</v>
      </c>
      <c r="T2240">
        <v>-0.29559170000000001</v>
      </c>
      <c r="U2240">
        <v>-6.9610599999999995E-2</v>
      </c>
      <c r="V2240">
        <v>-7.9287469999999999E-2</v>
      </c>
      <c r="W2240">
        <v>0.35984829999999901</v>
      </c>
      <c r="X2240">
        <v>0.92963580000000001</v>
      </c>
      <c r="Y2240">
        <v>-1.5497769999999999E-2</v>
      </c>
      <c r="Z2240">
        <v>-4.030649E-4</v>
      </c>
      <c r="AA2240">
        <v>0.99987979999999999</v>
      </c>
      <c r="AB2240">
        <v>50</v>
      </c>
      <c r="AC2240">
        <v>-0.52720000000004996</v>
      </c>
      <c r="AD2240">
        <v>-9.1136999999999996E-2</v>
      </c>
      <c r="AE2240">
        <v>-1.87999999999988E-2</v>
      </c>
      <c r="AF2240">
        <v>-1.54646928588432E-2</v>
      </c>
      <c r="AG2240">
        <v>-9.1136999999999996E-2</v>
      </c>
      <c r="AH2240">
        <v>0.51201307382921102</v>
      </c>
      <c r="AI2240">
        <v>100.088289898597</v>
      </c>
      <c r="AJ2240">
        <v>91.730018986337399</v>
      </c>
      <c r="AK2240">
        <v>0.52029078145423202</v>
      </c>
      <c r="AL2240">
        <v>68.909120346732095</v>
      </c>
      <c r="AM2240">
        <v>94.874887673995701</v>
      </c>
      <c r="AN2240">
        <v>1.00000001127676</v>
      </c>
    </row>
    <row r="2241" spans="1:40" x14ac:dyDescent="0.25">
      <c r="A2241" t="str">
        <f>"20190304164413625"</f>
        <v>20190304164413625</v>
      </c>
      <c r="B2241" t="str">
        <f>"1551689053621820"</f>
        <v>1551689053621820</v>
      </c>
      <c r="C2241" t="s">
        <v>40</v>
      </c>
      <c r="D2241">
        <v>4.9388649999999998</v>
      </c>
      <c r="E2241">
        <v>0.53816940000000002</v>
      </c>
      <c r="F2241" t="s">
        <v>41</v>
      </c>
      <c r="G2241">
        <v>-381.4699</v>
      </c>
      <c r="H2241">
        <v>1.022546</v>
      </c>
      <c r="I2241">
        <v>284.57740000000001</v>
      </c>
      <c r="J2241">
        <v>-380.9932</v>
      </c>
      <c r="K2241">
        <v>1.1099190000000001</v>
      </c>
      <c r="L2241">
        <v>284.59559999999999</v>
      </c>
      <c r="M2241">
        <v>-0.99987420000000005</v>
      </c>
      <c r="N2241">
        <v>-1.5015860000000001E-2</v>
      </c>
      <c r="O2241">
        <v>-5.1377319999999999E-3</v>
      </c>
      <c r="P2241">
        <v>-0.93474210000000002</v>
      </c>
      <c r="Q2241">
        <v>0.3451301</v>
      </c>
      <c r="R2241">
        <v>-8.4514259999999994E-2</v>
      </c>
      <c r="S2241">
        <v>-3.3133539999999999</v>
      </c>
      <c r="T2241">
        <v>-0.29559459999999999</v>
      </c>
      <c r="U2241">
        <v>-7.0037840000000004E-2</v>
      </c>
      <c r="V2241">
        <v>-7.9313289999999995E-2</v>
      </c>
      <c r="W2241">
        <v>0.35922179999999998</v>
      </c>
      <c r="X2241">
        <v>0.92987589999999998</v>
      </c>
      <c r="Y2241">
        <v>-1.593603E-2</v>
      </c>
      <c r="Z2241">
        <v>-4.489389E-4</v>
      </c>
      <c r="AA2241">
        <v>0.99987289999999995</v>
      </c>
      <c r="AB2241">
        <v>50</v>
      </c>
      <c r="AC2241">
        <v>-0.47669999999999302</v>
      </c>
      <c r="AD2241">
        <v>-8.7373000000000103E-2</v>
      </c>
      <c r="AE2241">
        <v>-1.81999999999789E-2</v>
      </c>
      <c r="AF2241">
        <v>-1.52391261187857E-2</v>
      </c>
      <c r="AG2241">
        <v>-8.7373000000000103E-2</v>
      </c>
      <c r="AH2241">
        <v>0.46131236525616198</v>
      </c>
      <c r="AI2241">
        <v>100.719124764554</v>
      </c>
      <c r="AJ2241">
        <v>91.892037317112994</v>
      </c>
      <c r="AK2241">
        <v>0.46976097159310598</v>
      </c>
      <c r="AL2241">
        <v>68.947589186993994</v>
      </c>
      <c r="AM2241">
        <v>94.875214463153895</v>
      </c>
      <c r="AN2241">
        <v>1.0000000444833299</v>
      </c>
    </row>
    <row r="2242" spans="1:40" x14ac:dyDescent="0.25">
      <c r="A2242" t="str">
        <f>"20190304164413648"</f>
        <v>20190304164413648</v>
      </c>
      <c r="B2242" t="str">
        <f>"1551689053642315"</f>
        <v>1551689053642315</v>
      </c>
      <c r="C2242" t="s">
        <v>40</v>
      </c>
      <c r="D2242">
        <v>5.0449339999999996</v>
      </c>
      <c r="E2242">
        <v>0.53862849999999995</v>
      </c>
      <c r="F2242" t="s">
        <v>41</v>
      </c>
      <c r="G2242">
        <v>-381.92250000000001</v>
      </c>
      <c r="H2242">
        <v>1.0264679999999999</v>
      </c>
      <c r="I2242">
        <v>284.5763</v>
      </c>
      <c r="J2242">
        <v>-381.50749999999999</v>
      </c>
      <c r="K2242">
        <v>1.109931</v>
      </c>
      <c r="L2242">
        <v>284.59309999999999</v>
      </c>
      <c r="M2242">
        <v>-0.99987559999999998</v>
      </c>
      <c r="N2242">
        <v>-1.50125E-2</v>
      </c>
      <c r="O2242">
        <v>-4.8420959999999997E-3</v>
      </c>
      <c r="P2242">
        <v>-0.93489040000000001</v>
      </c>
      <c r="Q2242">
        <v>0.34483380000000002</v>
      </c>
      <c r="R2242">
        <v>-8.4080240000000001E-2</v>
      </c>
      <c r="S2242">
        <v>-3.3130190000000002</v>
      </c>
      <c r="T2242">
        <v>-0.29766479999999901</v>
      </c>
      <c r="U2242">
        <v>-7.0037840000000004E-2</v>
      </c>
      <c r="V2242">
        <v>-7.9167920000000003E-2</v>
      </c>
      <c r="W2242">
        <v>0.35892089999999999</v>
      </c>
      <c r="X2242">
        <v>0.93000439999999995</v>
      </c>
      <c r="Y2242">
        <v>-1.623086E-2</v>
      </c>
      <c r="Z2242">
        <v>-4.8818899999999998E-4</v>
      </c>
      <c r="AA2242">
        <v>0.99986819999999998</v>
      </c>
      <c r="AB2242">
        <v>50</v>
      </c>
      <c r="AC2242">
        <v>-0.41500000000002002</v>
      </c>
      <c r="AD2242">
        <v>-8.3462999999999996E-2</v>
      </c>
      <c r="AE2242">
        <v>-1.6799999999989199E-2</v>
      </c>
      <c r="AF2242">
        <v>-1.42160439163377E-2</v>
      </c>
      <c r="AG2242">
        <v>-8.3462999999999996E-2</v>
      </c>
      <c r="AH2242">
        <v>0.39896572238852801</v>
      </c>
      <c r="AI2242">
        <v>101.808501511286</v>
      </c>
      <c r="AJ2242">
        <v>92.040713811889503</v>
      </c>
      <c r="AK2242">
        <v>0.40785023711483998</v>
      </c>
      <c r="AL2242">
        <v>68.966059931366303</v>
      </c>
      <c r="AM2242">
        <v>94.865652678360703</v>
      </c>
      <c r="AN2242">
        <v>0.99999997801664797</v>
      </c>
    </row>
    <row r="2243" spans="1:40" x14ac:dyDescent="0.25">
      <c r="A2243" t="str">
        <f>"20190304164413669"</f>
        <v>20190304164413669</v>
      </c>
      <c r="B2243" t="str">
        <f>"1551689053661836"</f>
        <v>1551689053661836</v>
      </c>
      <c r="C2243" t="s">
        <v>40</v>
      </c>
      <c r="D2243">
        <v>4.9994399999999999</v>
      </c>
      <c r="E2243">
        <v>0.53936390000000001</v>
      </c>
      <c r="F2243" t="s">
        <v>41</v>
      </c>
      <c r="G2243">
        <v>-382.37560000000002</v>
      </c>
      <c r="H2243">
        <v>1.031701</v>
      </c>
      <c r="I2243">
        <v>284.57650000000001</v>
      </c>
      <c r="J2243">
        <v>-381.99430000000001</v>
      </c>
      <c r="K2243">
        <v>1.1099559999999999</v>
      </c>
      <c r="L2243">
        <v>284.59089999999998</v>
      </c>
      <c r="M2243">
        <v>-0.99987689999999996</v>
      </c>
      <c r="N2243">
        <v>-1.50092E-2</v>
      </c>
      <c r="O2243">
        <v>-4.5953579999999999E-3</v>
      </c>
      <c r="P2243">
        <v>-0.93490050000000002</v>
      </c>
      <c r="Q2243">
        <v>0.3450008</v>
      </c>
      <c r="R2243">
        <v>-8.3280300000000002E-2</v>
      </c>
      <c r="S2243">
        <v>-3.3133849999999998</v>
      </c>
      <c r="T2243">
        <v>-0.29866910000000002</v>
      </c>
      <c r="U2243">
        <v>-6.3598630000000003E-2</v>
      </c>
      <c r="V2243">
        <v>-7.8619090000000003E-2</v>
      </c>
      <c r="W2243">
        <v>0.35907939999999999</v>
      </c>
      <c r="X2243">
        <v>0.92998979999999998</v>
      </c>
      <c r="Y2243">
        <v>-1.453984E-2</v>
      </c>
      <c r="Z2243">
        <v>-4.188258E-4</v>
      </c>
      <c r="AA2243">
        <v>0.99989419999999996</v>
      </c>
      <c r="AB2243">
        <v>50</v>
      </c>
      <c r="AC2243">
        <v>-0.38130000000001002</v>
      </c>
      <c r="AD2243">
        <v>-7.8254999999999894E-2</v>
      </c>
      <c r="AE2243">
        <v>-1.43999999999664E-2</v>
      </c>
      <c r="AF2243">
        <v>-1.2136957506674701E-2</v>
      </c>
      <c r="AG2243">
        <v>-7.8254999999999894E-2</v>
      </c>
      <c r="AH2243">
        <v>0.36596939759229702</v>
      </c>
      <c r="AI2243">
        <v>102.063317555011</v>
      </c>
      <c r="AJ2243">
        <v>91.899452992450605</v>
      </c>
      <c r="AK2243">
        <v>0.37443924839229598</v>
      </c>
      <c r="AL2243">
        <v>68.956330462268497</v>
      </c>
      <c r="AM2243">
        <v>94.832157407542596</v>
      </c>
      <c r="AN2243">
        <v>1.0000000024604101</v>
      </c>
    </row>
    <row r="2244" spans="1:40" x14ac:dyDescent="0.25">
      <c r="A2244" t="str">
        <f>"20190304164413692"</f>
        <v>20190304164413692</v>
      </c>
      <c r="B2244" t="str">
        <f>"1551689053682331"</f>
        <v>1551689053682331</v>
      </c>
      <c r="C2244" t="s">
        <v>40</v>
      </c>
      <c r="D2244">
        <v>4.9983909999999998</v>
      </c>
      <c r="E2244">
        <v>0.54009379999999996</v>
      </c>
      <c r="F2244" t="s">
        <v>41</v>
      </c>
      <c r="G2244">
        <v>-382.82709999999997</v>
      </c>
      <c r="H2244">
        <v>1.0348470000000001</v>
      </c>
      <c r="I2244">
        <v>284.57749999999999</v>
      </c>
      <c r="J2244">
        <v>-382.4907</v>
      </c>
      <c r="K2244">
        <v>1.1099920000000001</v>
      </c>
      <c r="L2244">
        <v>284.58870000000002</v>
      </c>
      <c r="M2244">
        <v>-0.99987780000000004</v>
      </c>
      <c r="N2244">
        <v>-1.5005839999999999E-2</v>
      </c>
      <c r="O2244">
        <v>-4.3888770000000002E-3</v>
      </c>
      <c r="P2244">
        <v>-0.93501420000000002</v>
      </c>
      <c r="Q2244">
        <v>0.3449873</v>
      </c>
      <c r="R2244">
        <v>-8.2051079999999998E-2</v>
      </c>
      <c r="S2244">
        <v>-3.3144230000000001</v>
      </c>
      <c r="T2244">
        <v>-0.29919950000000001</v>
      </c>
      <c r="U2244">
        <v>-5.5175780000000001E-2</v>
      </c>
      <c r="V2244">
        <v>-7.7612710000000001E-2</v>
      </c>
      <c r="W2244">
        <v>0.35905670000000001</v>
      </c>
      <c r="X2244">
        <v>0.93008310000000005</v>
      </c>
      <c r="Y2244">
        <v>-1.221042E-2</v>
      </c>
      <c r="Z2244">
        <v>-3.1220610000000002E-4</v>
      </c>
      <c r="AA2244">
        <v>0.99992539999999996</v>
      </c>
      <c r="AB2244">
        <v>50</v>
      </c>
      <c r="AC2244">
        <v>-0.336399999999969</v>
      </c>
      <c r="AD2244">
        <v>-7.5145000000000198E-2</v>
      </c>
      <c r="AE2244">
        <v>-1.1200000000030699E-2</v>
      </c>
      <c r="AF2244">
        <v>-9.2616749292685693E-3</v>
      </c>
      <c r="AG2244">
        <v>-7.5145000000000198E-2</v>
      </c>
      <c r="AH2244">
        <v>0.320472502926678</v>
      </c>
      <c r="AI2244">
        <v>103.191101463785</v>
      </c>
      <c r="AJ2244">
        <v>91.655390765514795</v>
      </c>
      <c r="AK2244">
        <v>0.32929496622266402</v>
      </c>
      <c r="AL2244">
        <v>68.957724170642194</v>
      </c>
      <c r="AM2244">
        <v>94.770113345913302</v>
      </c>
      <c r="AN2244">
        <v>1.0000000097370201</v>
      </c>
    </row>
    <row r="2245" spans="1:40" x14ac:dyDescent="0.25">
      <c r="A2245" t="str">
        <f>"20190304164413714"</f>
        <v>20190304164413714</v>
      </c>
      <c r="B2245" t="str">
        <f>"1551689053701851"</f>
        <v>1551689053701851</v>
      </c>
      <c r="C2245" t="s">
        <v>40</v>
      </c>
      <c r="D2245">
        <v>4.9741479999999996</v>
      </c>
      <c r="E2245">
        <v>0.54083680000000001</v>
      </c>
      <c r="F2245" t="s">
        <v>45</v>
      </c>
      <c r="G2245">
        <v>-394.75029999999998</v>
      </c>
      <c r="H2245" s="1">
        <v>9.9110469999999897E-7</v>
      </c>
      <c r="I2245">
        <v>284.4187</v>
      </c>
      <c r="J2245">
        <v>-382.995</v>
      </c>
      <c r="K2245">
        <v>1.110042</v>
      </c>
      <c r="L2245">
        <v>284.58659999999998</v>
      </c>
      <c r="M2245">
        <v>-0.99987859999999995</v>
      </c>
      <c r="N2245">
        <v>-1.500249E-2</v>
      </c>
      <c r="O2245">
        <v>-4.2308449999999996E-3</v>
      </c>
      <c r="P2245">
        <v>-0.93509940000000003</v>
      </c>
      <c r="Q2245">
        <v>0.34495510000000001</v>
      </c>
      <c r="R2245">
        <v>-8.121254E-2</v>
      </c>
      <c r="S2245">
        <v>-3.3152159999999999</v>
      </c>
      <c r="T2245">
        <v>-0.30016110000000001</v>
      </c>
      <c r="U2245">
        <v>-4.5989990000000001E-2</v>
      </c>
      <c r="V2245">
        <v>-7.6961219999999997E-2</v>
      </c>
      <c r="W2245">
        <v>0.35901349999999999</v>
      </c>
      <c r="X2245">
        <v>0.93015389999999998</v>
      </c>
      <c r="Y2245">
        <v>-9.6062400000000003E-3</v>
      </c>
      <c r="Z2245">
        <v>-1.8731349999999999E-4</v>
      </c>
      <c r="AA2245">
        <v>0.99995389999999995</v>
      </c>
      <c r="AB2245">
        <v>50</v>
      </c>
      <c r="AC2245">
        <v>-11.755299999999901</v>
      </c>
      <c r="AD2245">
        <v>-1.1100410088953001</v>
      </c>
      <c r="AE2245">
        <v>-0.16789999999997399</v>
      </c>
      <c r="AF2245">
        <v>-0.117113978708386</v>
      </c>
      <c r="AG2245">
        <v>-1.1100410088953001</v>
      </c>
      <c r="AH2245">
        <v>11.652027219643699</v>
      </c>
      <c r="AI2245">
        <v>95.441638323693297</v>
      </c>
      <c r="AJ2245">
        <v>90.575857799918396</v>
      </c>
      <c r="AK2245">
        <v>11.7053682151719</v>
      </c>
      <c r="AL2245">
        <v>68.9603759612218</v>
      </c>
      <c r="AM2245">
        <v>94.729896509122099</v>
      </c>
      <c r="AN2245">
        <v>1.0000000001256699</v>
      </c>
    </row>
    <row r="2246" spans="1:40" x14ac:dyDescent="0.25">
      <c r="A2246" t="str">
        <f>"20190304164413736"</f>
        <v>20190304164413736</v>
      </c>
      <c r="B2246" t="str">
        <f>"1551689053732108"</f>
        <v>1551689053732108</v>
      </c>
      <c r="C2246" t="s">
        <v>40</v>
      </c>
      <c r="D2246">
        <v>4.9677129999999998</v>
      </c>
      <c r="E2246">
        <v>0.5416955</v>
      </c>
      <c r="F2246" t="s">
        <v>41</v>
      </c>
      <c r="G2246">
        <v>-384.15249999999997</v>
      </c>
      <c r="H2246">
        <v>1.00515</v>
      </c>
      <c r="I2246">
        <v>284.57400000000001</v>
      </c>
      <c r="J2246">
        <v>-383.49380000000002</v>
      </c>
      <c r="K2246">
        <v>1.1100909999999999</v>
      </c>
      <c r="L2246">
        <v>284.58460000000002</v>
      </c>
      <c r="M2246">
        <v>-0.99987899999999996</v>
      </c>
      <c r="N2246">
        <v>-1.499924E-2</v>
      </c>
      <c r="O2246">
        <v>-4.1206589999999996E-3</v>
      </c>
      <c r="P2246">
        <v>-0.93528900000000004</v>
      </c>
      <c r="Q2246">
        <v>0.34450769999999997</v>
      </c>
      <c r="R2246">
        <v>-8.0927199999999894E-2</v>
      </c>
      <c r="S2246">
        <v>-3.3159480000000001</v>
      </c>
      <c r="T2246">
        <v>-0.300568</v>
      </c>
      <c r="U2246">
        <v>-3.6621090000000002E-2</v>
      </c>
      <c r="V2246">
        <v>-7.6819540000000006E-2</v>
      </c>
      <c r="W2246">
        <v>0.35855690000000001</v>
      </c>
      <c r="X2246">
        <v>0.93034170000000005</v>
      </c>
      <c r="Y2246">
        <v>-6.901061E-3</v>
      </c>
      <c r="Z2246" s="1">
        <v>-5.2973090000000002E-5</v>
      </c>
      <c r="AA2246">
        <v>0.99997619999999998</v>
      </c>
      <c r="AB2246">
        <v>50</v>
      </c>
      <c r="AC2246">
        <v>-0.65869999999995299</v>
      </c>
      <c r="AD2246">
        <v>-0.10494099999999899</v>
      </c>
      <c r="AE2246">
        <v>-1.06000000000108E-2</v>
      </c>
      <c r="AF2246">
        <v>-7.6901894720492296E-3</v>
      </c>
      <c r="AG2246">
        <v>-0.10494099999999899</v>
      </c>
      <c r="AH2246">
        <v>0.64243639561179</v>
      </c>
      <c r="AI2246">
        <v>99.276589701741798</v>
      </c>
      <c r="AJ2246">
        <v>90.685817864715204</v>
      </c>
      <c r="AK2246">
        <v>0.65099637088219198</v>
      </c>
      <c r="AL2246">
        <v>68.988402946745197</v>
      </c>
      <c r="AM2246">
        <v>94.720279785212</v>
      </c>
      <c r="AN2246">
        <v>0.99999998551115499</v>
      </c>
    </row>
    <row r="2247" spans="1:40" x14ac:dyDescent="0.25">
      <c r="A2247" t="str">
        <f>"20190304164413759"</f>
        <v>20190304164413759</v>
      </c>
      <c r="B2247" t="str">
        <f>"1551689053751631"</f>
        <v>1551689053751631</v>
      </c>
      <c r="C2247" t="s">
        <v>40</v>
      </c>
      <c r="D2247">
        <v>4.9732519999999996</v>
      </c>
      <c r="E2247">
        <v>0.54227950000000003</v>
      </c>
      <c r="F2247" t="s">
        <v>41</v>
      </c>
      <c r="G2247">
        <v>-384.60160000000002</v>
      </c>
      <c r="H2247">
        <v>1.008634</v>
      </c>
      <c r="I2247">
        <v>284.57560000000001</v>
      </c>
      <c r="J2247">
        <v>-384</v>
      </c>
      <c r="K2247">
        <v>1.110134</v>
      </c>
      <c r="L2247">
        <v>284.58260000000001</v>
      </c>
      <c r="M2247">
        <v>-0.99987939999999997</v>
      </c>
      <c r="N2247">
        <v>-1.4995939999999999E-2</v>
      </c>
      <c r="O2247">
        <v>-4.0449880000000002E-3</v>
      </c>
      <c r="P2247">
        <v>-0.93543670000000001</v>
      </c>
      <c r="Q2247">
        <v>0.34415559999999901</v>
      </c>
      <c r="R2247">
        <v>-8.0716650000000001E-2</v>
      </c>
      <c r="S2247">
        <v>-3.3170470000000001</v>
      </c>
      <c r="T2247">
        <v>-0.30398150000000002</v>
      </c>
      <c r="U2247">
        <v>-2.8198239999999999E-2</v>
      </c>
      <c r="V2247">
        <v>-7.6717380000000002E-2</v>
      </c>
      <c r="W2247">
        <v>0.35819529999999999</v>
      </c>
      <c r="X2247">
        <v>0.93048940000000002</v>
      </c>
      <c r="Y2247">
        <v>-4.4454990000000003E-3</v>
      </c>
      <c r="Z2247" s="1">
        <v>7.2668630000000006E-5</v>
      </c>
      <c r="AA2247">
        <v>0.99999009999999999</v>
      </c>
      <c r="AB2247">
        <v>50</v>
      </c>
      <c r="AC2247">
        <v>-0.60160000000001901</v>
      </c>
      <c r="AD2247">
        <v>-0.10149999999999899</v>
      </c>
      <c r="AE2247">
        <v>-7.0000000000049996E-3</v>
      </c>
      <c r="AF2247">
        <v>-4.4398398838912398E-3</v>
      </c>
      <c r="AG2247">
        <v>-0.10149999999999899</v>
      </c>
      <c r="AH2247">
        <v>0.584974159022706</v>
      </c>
      <c r="AI2247">
        <v>99.843220511908498</v>
      </c>
      <c r="AJ2247">
        <v>90.434855452494006</v>
      </c>
      <c r="AK2247">
        <v>0.59373119246214101</v>
      </c>
      <c r="AL2247">
        <v>69.010594968739397</v>
      </c>
      <c r="AM2247">
        <v>94.713285831870095</v>
      </c>
      <c r="AN2247">
        <v>0.99999997642425598</v>
      </c>
    </row>
    <row r="2248" spans="1:40" x14ac:dyDescent="0.25">
      <c r="A2248" t="str">
        <f>"20190304164413781"</f>
        <v>20190304164413781</v>
      </c>
      <c r="B2248" t="str">
        <f>"1551689053772123"</f>
        <v>1551689053772123</v>
      </c>
      <c r="C2248" t="s">
        <v>40</v>
      </c>
      <c r="D2248">
        <v>4.9691739999999998</v>
      </c>
      <c r="E2248">
        <v>0.54282050000000004</v>
      </c>
      <c r="F2248" t="s">
        <v>41</v>
      </c>
      <c r="G2248">
        <v>-385.05090000000001</v>
      </c>
      <c r="H2248">
        <v>1.0133669999999999</v>
      </c>
      <c r="I2248">
        <v>284.57549999999998</v>
      </c>
      <c r="J2248">
        <v>-384.50029999999998</v>
      </c>
      <c r="K2248">
        <v>1.1101669999999999</v>
      </c>
      <c r="L2248">
        <v>284.58049999999997</v>
      </c>
      <c r="M2248">
        <v>-0.99987959999999998</v>
      </c>
      <c r="N2248">
        <v>-1.499264E-2</v>
      </c>
      <c r="O2248">
        <v>-4.0007139999999998E-3</v>
      </c>
      <c r="P2248">
        <v>-0.93541600000000003</v>
      </c>
      <c r="Q2248">
        <v>0.3442906</v>
      </c>
      <c r="R2248">
        <v>-8.0381149999999998E-2</v>
      </c>
      <c r="S2248">
        <v>-3.317596</v>
      </c>
      <c r="T2248">
        <v>-0.30555270000000001</v>
      </c>
      <c r="U2248">
        <v>-2.2521969999999999E-2</v>
      </c>
      <c r="V2248">
        <v>-7.6457460000000005E-2</v>
      </c>
      <c r="W2248">
        <v>0.35831960000000002</v>
      </c>
      <c r="X2248">
        <v>0.93046300000000004</v>
      </c>
      <c r="Y2248">
        <v>-2.7855089999999998E-3</v>
      </c>
      <c r="Z2248">
        <v>1.588707E-4</v>
      </c>
      <c r="AA2248">
        <v>0.99999610000000005</v>
      </c>
      <c r="AB2248">
        <v>50</v>
      </c>
      <c r="AC2248">
        <v>-0.55060000000003095</v>
      </c>
      <c r="AD2248">
        <v>-9.6799999999999997E-2</v>
      </c>
      <c r="AE2248">
        <v>-4.9999999999954499E-3</v>
      </c>
      <c r="AF2248">
        <v>-2.7130691789569398E-3</v>
      </c>
      <c r="AG2248">
        <v>-9.6799999999999997E-2</v>
      </c>
      <c r="AH2248">
        <v>0.53410845441236299</v>
      </c>
      <c r="AI2248">
        <v>100.272457559174</v>
      </c>
      <c r="AJ2248">
        <v>90.291038412212501</v>
      </c>
      <c r="AK2248">
        <v>0.54281621366640498</v>
      </c>
      <c r="AL2248">
        <v>69.002968089004199</v>
      </c>
      <c r="AM2248">
        <v>94.697521389210195</v>
      </c>
      <c r="AN2248">
        <v>1.0000000366513999</v>
      </c>
    </row>
    <row r="2249" spans="1:40" x14ac:dyDescent="0.25">
      <c r="A2249" t="str">
        <f>"20190304164413803"</f>
        <v>20190304164413803</v>
      </c>
      <c r="B2249" t="str">
        <f>"1551689053791644"</f>
        <v>1551689053791644</v>
      </c>
      <c r="C2249" t="s">
        <v>40</v>
      </c>
      <c r="D2249">
        <v>4.9940470000000001</v>
      </c>
      <c r="E2249">
        <v>0.54338069999999905</v>
      </c>
      <c r="F2249" t="s">
        <v>41</v>
      </c>
      <c r="G2249">
        <v>-385.49990000000003</v>
      </c>
      <c r="H2249">
        <v>1.0182990000000001</v>
      </c>
      <c r="I2249">
        <v>284.57600000000002</v>
      </c>
      <c r="J2249">
        <v>-384.98790000000002</v>
      </c>
      <c r="K2249">
        <v>1.110206</v>
      </c>
      <c r="L2249">
        <v>284.57859999999999</v>
      </c>
      <c r="M2249">
        <v>-0.99987990000000004</v>
      </c>
      <c r="N2249">
        <v>-1.498938E-2</v>
      </c>
      <c r="O2249">
        <v>-3.9871359999999996E-3</v>
      </c>
      <c r="P2249">
        <v>-0.9351585</v>
      </c>
      <c r="Q2249">
        <v>0.34489940000000002</v>
      </c>
      <c r="R2249">
        <v>-8.0768010000000001E-2</v>
      </c>
      <c r="S2249">
        <v>-3.317993</v>
      </c>
      <c r="T2249">
        <v>-0.30513200000000001</v>
      </c>
      <c r="U2249">
        <v>-1.620483E-2</v>
      </c>
      <c r="V2249">
        <v>-7.6888929999999994E-2</v>
      </c>
      <c r="W2249">
        <v>0.35891509999999999</v>
      </c>
      <c r="X2249">
        <v>0.93019779999999996</v>
      </c>
      <c r="Y2249">
        <v>-9.0364130000000005E-4</v>
      </c>
      <c r="Z2249">
        <v>2.5797739999999997E-4</v>
      </c>
      <c r="AA2249">
        <v>0.99999959999999999</v>
      </c>
      <c r="AB2249">
        <v>50</v>
      </c>
      <c r="AC2249">
        <v>-0.51200000000000001</v>
      </c>
      <c r="AD2249">
        <v>-9.1906999999999905E-2</v>
      </c>
      <c r="AE2249">
        <v>-2.6000000000294598E-3</v>
      </c>
      <c r="AF2249">
        <v>-5.4090785117074899E-4</v>
      </c>
      <c r="AG2249">
        <v>-9.1906999999999905E-2</v>
      </c>
      <c r="AH2249">
        <v>0.49602365951419602</v>
      </c>
      <c r="AI2249">
        <v>100.497140450404</v>
      </c>
      <c r="AJ2249">
        <v>90.062480335561304</v>
      </c>
      <c r="AK2249">
        <v>0.50446670854295095</v>
      </c>
      <c r="AL2249">
        <v>68.966415393447903</v>
      </c>
      <c r="AM2249">
        <v>94.725251820989399</v>
      </c>
      <c r="AN2249">
        <v>0.99999995184469603</v>
      </c>
    </row>
    <row r="2250" spans="1:40" x14ac:dyDescent="0.25">
      <c r="A2250" t="str">
        <f>"20190304164413826"</f>
        <v>20190304164413826</v>
      </c>
      <c r="B2250" t="str">
        <f>"1551689053822407"</f>
        <v>1551689053822407</v>
      </c>
      <c r="C2250" t="s">
        <v>40</v>
      </c>
      <c r="D2250">
        <v>4.9803169999999897</v>
      </c>
      <c r="E2250">
        <v>0.54411690000000001</v>
      </c>
      <c r="F2250" t="s">
        <v>41</v>
      </c>
      <c r="G2250">
        <v>-385.94839999999999</v>
      </c>
      <c r="H2250">
        <v>1.0224719999999901</v>
      </c>
      <c r="I2250">
        <v>284.57510000000002</v>
      </c>
      <c r="J2250">
        <v>-385.48750000000001</v>
      </c>
      <c r="K2250">
        <v>1.1102479999999999</v>
      </c>
      <c r="L2250">
        <v>284.57659999999998</v>
      </c>
      <c r="M2250">
        <v>-0.99987979999999999</v>
      </c>
      <c r="N2250">
        <v>-1.4986019999999999E-2</v>
      </c>
      <c r="O2250">
        <v>-3.9978649999999998E-3</v>
      </c>
      <c r="P2250">
        <v>-0.93506619999999996</v>
      </c>
      <c r="Q2250">
        <v>0.34506340000000002</v>
      </c>
      <c r="R2250">
        <v>-8.1132019999999999E-2</v>
      </c>
      <c r="S2250">
        <v>-3.3187259999999998</v>
      </c>
      <c r="T2250">
        <v>-0.3030812</v>
      </c>
      <c r="U2250">
        <v>-1.229858E-2</v>
      </c>
      <c r="V2250">
        <v>-7.7273939999999999E-2</v>
      </c>
      <c r="W2250">
        <v>0.3590682</v>
      </c>
      <c r="X2250">
        <v>0.93010680000000001</v>
      </c>
      <c r="Y2250">
        <v>2.795478E-4</v>
      </c>
      <c r="Z2250">
        <v>3.1936909999999999E-4</v>
      </c>
      <c r="AA2250">
        <v>0.99999990000000005</v>
      </c>
      <c r="AB2250">
        <v>50</v>
      </c>
      <c r="AC2250">
        <v>-0.46089999999998099</v>
      </c>
      <c r="AD2250">
        <v>-8.7776000000000007E-2</v>
      </c>
      <c r="AE2250">
        <v>-1.4999999999645199E-3</v>
      </c>
      <c r="AF2250">
        <v>3.3083572235926802E-4</v>
      </c>
      <c r="AG2250">
        <v>-8.7776000000000007E-2</v>
      </c>
      <c r="AH2250">
        <v>0.444770989589093</v>
      </c>
      <c r="AI2250">
        <v>101.16391648897699</v>
      </c>
      <c r="AJ2250">
        <v>89.957381466977196</v>
      </c>
      <c r="AK2250">
        <v>0.45334972020321901</v>
      </c>
      <c r="AL2250">
        <v>68.957016800955998</v>
      </c>
      <c r="AM2250">
        <v>94.749267370797895</v>
      </c>
      <c r="AN2250">
        <v>0.99999994673030002</v>
      </c>
    </row>
    <row r="2251" spans="1:40" x14ac:dyDescent="0.25">
      <c r="A2251" t="str">
        <f>"20190304164413849"</f>
        <v>20190304164413849</v>
      </c>
      <c r="B2251" t="str">
        <f>"1551689053841926"</f>
        <v>1551689053841926</v>
      </c>
      <c r="C2251" t="s">
        <v>40</v>
      </c>
      <c r="D2251">
        <v>4.9740820000000001</v>
      </c>
      <c r="E2251">
        <v>0.54463130000000004</v>
      </c>
      <c r="F2251" t="s">
        <v>41</v>
      </c>
      <c r="G2251">
        <v>-386.39659999999998</v>
      </c>
      <c r="H2251">
        <v>1.027112</v>
      </c>
      <c r="I2251">
        <v>284.57470000000001</v>
      </c>
      <c r="J2251">
        <v>-386.01389999999998</v>
      </c>
      <c r="K2251">
        <v>1.110285</v>
      </c>
      <c r="L2251">
        <v>284.5745</v>
      </c>
      <c r="M2251">
        <v>-0.99987969999999904</v>
      </c>
      <c r="N2251">
        <v>-1.498246E-2</v>
      </c>
      <c r="O2251">
        <v>-4.0281359999999999E-3</v>
      </c>
      <c r="P2251">
        <v>-0.93490759999999995</v>
      </c>
      <c r="Q2251">
        <v>0.34529130000000002</v>
      </c>
      <c r="R2251">
        <v>-8.1987749999999998E-2</v>
      </c>
      <c r="S2251">
        <v>-3.3197019999999902</v>
      </c>
      <c r="T2251">
        <v>-0.30376910000000001</v>
      </c>
      <c r="U2251">
        <v>-7.8430180000000002E-3</v>
      </c>
      <c r="V2251">
        <v>-7.8131350000000002E-2</v>
      </c>
      <c r="W2251">
        <v>0.3592841</v>
      </c>
      <c r="X2251">
        <v>0.9299518</v>
      </c>
      <c r="Y2251">
        <v>1.646259E-3</v>
      </c>
      <c r="Z2251">
        <v>3.9510100000000002E-4</v>
      </c>
      <c r="AA2251">
        <v>0.99999859999999896</v>
      </c>
      <c r="AB2251">
        <v>50</v>
      </c>
      <c r="AC2251">
        <v>-0.38269999999999899</v>
      </c>
      <c r="AD2251">
        <v>-8.31729999999999E-2</v>
      </c>
      <c r="AE2251">
        <v>2.0000000000663901E-4</v>
      </c>
      <c r="AF2251">
        <v>1.6631815417886399E-3</v>
      </c>
      <c r="AG2251">
        <v>-8.31729999999999E-2</v>
      </c>
      <c r="AH2251">
        <v>0.36543539301248201</v>
      </c>
      <c r="AI2251">
        <v>102.82195252690801</v>
      </c>
      <c r="AJ2251">
        <v>89.739235370247698</v>
      </c>
      <c r="AK2251">
        <v>0.37478465892833401</v>
      </c>
      <c r="AL2251">
        <v>68.943762478435303</v>
      </c>
      <c r="AM2251">
        <v>94.802515445202104</v>
      </c>
      <c r="AN2251">
        <v>0.99999996134443503</v>
      </c>
    </row>
    <row r="2252" spans="1:40" x14ac:dyDescent="0.25">
      <c r="A2252" t="str">
        <f>"20190304164413870"</f>
        <v>20190304164413870</v>
      </c>
      <c r="B2252" t="str">
        <f>"1551689053862422"</f>
        <v>1551689053862422</v>
      </c>
      <c r="C2252" t="s">
        <v>40</v>
      </c>
      <c r="D2252">
        <v>4.9684549999999996</v>
      </c>
      <c r="E2252">
        <v>0.54513690000000004</v>
      </c>
      <c r="F2252" t="s">
        <v>41</v>
      </c>
      <c r="G2252">
        <v>-386.84730000000002</v>
      </c>
      <c r="H2252">
        <v>1.0340659999999999</v>
      </c>
      <c r="I2252">
        <v>284.57260000000002</v>
      </c>
      <c r="J2252">
        <v>-386.48250000000002</v>
      </c>
      <c r="K2252">
        <v>1.110317</v>
      </c>
      <c r="L2252">
        <v>284.57260000000002</v>
      </c>
      <c r="M2252">
        <v>-0.99987950000000003</v>
      </c>
      <c r="N2252">
        <v>-1.4979289999999999E-2</v>
      </c>
      <c r="O2252">
        <v>-4.0652140000000002E-3</v>
      </c>
      <c r="P2252">
        <v>-0.93482790000000004</v>
      </c>
      <c r="Q2252">
        <v>0.34521010000000002</v>
      </c>
      <c r="R2252">
        <v>-8.3226250000000002E-2</v>
      </c>
      <c r="S2252">
        <v>-3.3203740000000002</v>
      </c>
      <c r="T2252">
        <v>-0.30355110000000002</v>
      </c>
      <c r="U2252">
        <v>-7.4768069999999898E-3</v>
      </c>
      <c r="V2252">
        <v>-7.9360780000000006E-2</v>
      </c>
      <c r="W2252">
        <v>0.3591937</v>
      </c>
      <c r="X2252">
        <v>0.9298826</v>
      </c>
      <c r="Y2252">
        <v>1.7933269999999999E-3</v>
      </c>
      <c r="Z2252">
        <v>4.05346E-4</v>
      </c>
      <c r="AA2252">
        <v>0.99999830000000001</v>
      </c>
      <c r="AB2252">
        <v>50</v>
      </c>
      <c r="AC2252">
        <v>-0.36480000000000201</v>
      </c>
      <c r="AD2252">
        <v>-7.6250999999999999E-2</v>
      </c>
      <c r="AE2252">
        <v>0</v>
      </c>
      <c r="AF2252">
        <v>1.42107006774668E-3</v>
      </c>
      <c r="AG2252">
        <v>-7.6250999999999999E-2</v>
      </c>
      <c r="AH2252">
        <v>0.34952620669010698</v>
      </c>
      <c r="AI2252">
        <v>102.306467721808</v>
      </c>
      <c r="AJ2252">
        <v>89.767053608312594</v>
      </c>
      <c r="AK2252">
        <v>0.35774963816098099</v>
      </c>
      <c r="AL2252">
        <v>68.9493122258027</v>
      </c>
      <c r="AM2252">
        <v>94.878084509459896</v>
      </c>
      <c r="AN2252">
        <v>0.999999948652327</v>
      </c>
    </row>
    <row r="2253" spans="1:40" x14ac:dyDescent="0.25">
      <c r="A2253" t="str">
        <f>"20190304164413882"</f>
        <v>20190304164413882</v>
      </c>
      <c r="B2253" t="str">
        <f>"1551689053872183"</f>
        <v>1551689053872183</v>
      </c>
      <c r="C2253" t="s">
        <v>40</v>
      </c>
      <c r="D2253">
        <v>4.9861930000000001</v>
      </c>
      <c r="E2253">
        <v>0.54537029999999997</v>
      </c>
      <c r="F2253" t="s">
        <v>41</v>
      </c>
      <c r="G2253">
        <v>-387.29430000000002</v>
      </c>
      <c r="H2253">
        <v>1.0359400000000001</v>
      </c>
      <c r="I2253">
        <v>284.57119999999998</v>
      </c>
      <c r="J2253">
        <v>-386.76900000000001</v>
      </c>
      <c r="K2253">
        <v>1.1103350000000001</v>
      </c>
      <c r="L2253">
        <v>284.57139999999998</v>
      </c>
      <c r="M2253">
        <v>-0.99987959999999998</v>
      </c>
      <c r="N2253">
        <v>-1.497735E-2</v>
      </c>
      <c r="O2253">
        <v>-4.0919379999999998E-3</v>
      </c>
      <c r="P2253">
        <v>-0.93483720000000003</v>
      </c>
      <c r="Q2253">
        <v>0.34507680000000002</v>
      </c>
      <c r="R2253">
        <v>-8.3676630000000002E-2</v>
      </c>
      <c r="S2253">
        <v>-3.3209230000000001</v>
      </c>
      <c r="T2253">
        <v>-0.30448409999999998</v>
      </c>
      <c r="U2253">
        <v>-7.2937009999999997E-3</v>
      </c>
      <c r="V2253">
        <v>-7.9799399999999895E-2</v>
      </c>
      <c r="W2253">
        <v>0.35905579999999998</v>
      </c>
      <c r="X2253">
        <v>0.92989840000000001</v>
      </c>
      <c r="Y2253">
        <v>1.874955E-3</v>
      </c>
      <c r="Z2253">
        <v>4.1305649999999998E-4</v>
      </c>
      <c r="AA2253">
        <v>0.99999819999999995</v>
      </c>
      <c r="AB2253">
        <v>50</v>
      </c>
      <c r="AC2253">
        <v>-0.52530000000001498</v>
      </c>
      <c r="AD2253">
        <v>-7.4395000000000197E-2</v>
      </c>
      <c r="AE2253">
        <v>-2.0000000000663901E-4</v>
      </c>
      <c r="AF2253">
        <v>1.91139999733011E-3</v>
      </c>
      <c r="AG2253">
        <v>-7.4395000000000197E-2</v>
      </c>
      <c r="AH2253">
        <v>0.51496755705689301</v>
      </c>
      <c r="AI2253">
        <v>98.220330162288207</v>
      </c>
      <c r="AJ2253">
        <v>89.787336797445406</v>
      </c>
      <c r="AK2253">
        <v>0.52031707092511703</v>
      </c>
      <c r="AL2253">
        <v>68.957779714363596</v>
      </c>
      <c r="AM2253">
        <v>94.904831146696296</v>
      </c>
      <c r="AN2253">
        <v>1.00000002303827</v>
      </c>
    </row>
    <row r="2254" spans="1:40" x14ac:dyDescent="0.25">
      <c r="A2254" t="str">
        <f>"20190304164413896"</f>
        <v>20190304164413896</v>
      </c>
      <c r="B2254" t="str">
        <f>"1551689053891702"</f>
        <v>1551689053891702</v>
      </c>
      <c r="C2254" t="s">
        <v>40</v>
      </c>
      <c r="D2254">
        <v>4.9961270000000004</v>
      </c>
      <c r="E2254">
        <v>0.54579759999999999</v>
      </c>
      <c r="F2254" t="s">
        <v>41</v>
      </c>
      <c r="G2254">
        <v>-387.73039999999997</v>
      </c>
      <c r="H2254">
        <v>1.0220750000000001</v>
      </c>
      <c r="I2254">
        <v>284.56939999999997</v>
      </c>
      <c r="J2254">
        <v>-387.05439999999999</v>
      </c>
      <c r="K2254">
        <v>1.110349</v>
      </c>
      <c r="L2254">
        <v>284.5702</v>
      </c>
      <c r="M2254">
        <v>-0.99987939999999997</v>
      </c>
      <c r="N2254">
        <v>-1.497542E-2</v>
      </c>
      <c r="O2254">
        <v>-4.1195980000000004E-3</v>
      </c>
      <c r="P2254">
        <v>-0.93475620000000004</v>
      </c>
      <c r="Q2254">
        <v>0.34519309999999997</v>
      </c>
      <c r="R2254">
        <v>-8.4099569999999998E-2</v>
      </c>
      <c r="S2254">
        <v>-3.3209840000000002</v>
      </c>
      <c r="T2254">
        <v>-0.30498309999999901</v>
      </c>
      <c r="U2254">
        <v>-7.5683590000000002E-3</v>
      </c>
      <c r="V2254">
        <v>-8.0208989999999994E-2</v>
      </c>
      <c r="W2254">
        <v>0.359166599999999</v>
      </c>
      <c r="X2254">
        <v>0.92982039999999999</v>
      </c>
      <c r="Y2254">
        <v>1.8200689999999999E-3</v>
      </c>
      <c r="Z2254">
        <v>4.1300000000000001E-4</v>
      </c>
      <c r="AA2254">
        <v>0.99999830000000001</v>
      </c>
      <c r="AB2254">
        <v>50</v>
      </c>
      <c r="AC2254">
        <v>-0.67599999999998694</v>
      </c>
      <c r="AD2254">
        <v>-8.8273999999999894E-2</v>
      </c>
      <c r="AE2254">
        <v>-8.0000000002655703E-4</v>
      </c>
      <c r="AF2254">
        <v>1.9518840495738501E-3</v>
      </c>
      <c r="AG2254">
        <v>-8.8273999999999894E-2</v>
      </c>
      <c r="AH2254">
        <v>0.66466380810650605</v>
      </c>
      <c r="AI2254">
        <v>97.565148039050698</v>
      </c>
      <c r="AJ2254">
        <v>89.831742912291602</v>
      </c>
      <c r="AK2254">
        <v>0.67050286109306401</v>
      </c>
      <c r="AL2254">
        <v>68.950978254424996</v>
      </c>
      <c r="AM2254">
        <v>94.930294155678396</v>
      </c>
      <c r="AN2254">
        <v>1.00000005244426</v>
      </c>
    </row>
    <row r="2255" spans="1:40" x14ac:dyDescent="0.25">
      <c r="A2255" t="str">
        <f>"20190304164413909"</f>
        <v>20190304164413909</v>
      </c>
      <c r="B2255" t="str">
        <f>"1551689053902438"</f>
        <v>1551689053902438</v>
      </c>
      <c r="C2255" t="s">
        <v>40</v>
      </c>
      <c r="D2255">
        <v>5.0073759999999998</v>
      </c>
      <c r="E2255">
        <v>0.54601549999999999</v>
      </c>
      <c r="F2255" t="s">
        <v>41</v>
      </c>
      <c r="G2255">
        <v>-388.16829999999999</v>
      </c>
      <c r="H2255">
        <v>1.008154</v>
      </c>
      <c r="I2255">
        <v>284.56869999999998</v>
      </c>
      <c r="J2255">
        <v>-387.35649999999998</v>
      </c>
      <c r="K2255">
        <v>1.110358</v>
      </c>
      <c r="L2255">
        <v>284.56900000000002</v>
      </c>
      <c r="M2255">
        <v>-0.99987939999999997</v>
      </c>
      <c r="N2255">
        <v>-1.497337E-2</v>
      </c>
      <c r="O2255">
        <v>-4.1510569999999997E-3</v>
      </c>
      <c r="P2255">
        <v>-0.93482209999999999</v>
      </c>
      <c r="Q2255">
        <v>0.34493269999999998</v>
      </c>
      <c r="R2255">
        <v>-8.4435389999999999E-2</v>
      </c>
      <c r="S2255">
        <v>-3.3214419999999998</v>
      </c>
      <c r="T2255">
        <v>-0.30488110000000002</v>
      </c>
      <c r="U2255">
        <v>-5.6152340000000002E-3</v>
      </c>
      <c r="V2255">
        <v>-8.0526769999999998E-2</v>
      </c>
      <c r="W2255">
        <v>0.35890270000000002</v>
      </c>
      <c r="X2255">
        <v>0.92989480000000002</v>
      </c>
      <c r="Y2255">
        <v>2.4367880000000001E-3</v>
      </c>
      <c r="Z2255">
        <v>4.4807540000000001E-4</v>
      </c>
      <c r="AA2255">
        <v>0.99999700000000002</v>
      </c>
      <c r="AB2255">
        <v>50</v>
      </c>
      <c r="AC2255">
        <v>-0.81180000000000496</v>
      </c>
      <c r="AD2255">
        <v>-0.102203999999999</v>
      </c>
      <c r="AE2255">
        <v>-3.0000000003838003E-4</v>
      </c>
      <c r="AF2255">
        <v>3.0223036293751302E-3</v>
      </c>
      <c r="AG2255">
        <v>-0.102203999999999</v>
      </c>
      <c r="AH2255">
        <v>0.79912782956837303</v>
      </c>
      <c r="AI2255">
        <v>97.288193578527597</v>
      </c>
      <c r="AJ2255">
        <v>89.7833082388767</v>
      </c>
      <c r="AK2255">
        <v>0.80564265026492199</v>
      </c>
      <c r="AL2255">
        <v>68.967178164540499</v>
      </c>
      <c r="AM2255">
        <v>94.949336581281997</v>
      </c>
      <c r="AN2255">
        <v>1.00000002391048</v>
      </c>
    </row>
    <row r="2256" spans="1:40" x14ac:dyDescent="0.25">
      <c r="A2256" t="str">
        <f>"20190304164413921"</f>
        <v>20190304164413921</v>
      </c>
      <c r="B2256" t="str">
        <f>"1551689053912199"</f>
        <v>1551689053912199</v>
      </c>
      <c r="C2256" t="s">
        <v>40</v>
      </c>
      <c r="D2256">
        <v>5.0027049999999997</v>
      </c>
      <c r="E2256">
        <v>0.54622669999999995</v>
      </c>
      <c r="F2256" t="s">
        <v>41</v>
      </c>
      <c r="G2256">
        <v>-388.18259999999998</v>
      </c>
      <c r="H2256">
        <v>1.0343039999999999</v>
      </c>
      <c r="I2256">
        <v>284.56799999999998</v>
      </c>
      <c r="J2256">
        <v>-387.63099999999997</v>
      </c>
      <c r="K2256">
        <v>1.110368</v>
      </c>
      <c r="L2256">
        <v>284.56779999999998</v>
      </c>
      <c r="M2256">
        <v>-0.99987930000000003</v>
      </c>
      <c r="N2256">
        <v>-1.497151E-2</v>
      </c>
      <c r="O2256">
        <v>-4.1809239999999999E-3</v>
      </c>
      <c r="P2256">
        <v>-0.93467719999999999</v>
      </c>
      <c r="Q2256">
        <v>0.34528520000000001</v>
      </c>
      <c r="R2256">
        <v>-8.4599090000000002E-2</v>
      </c>
      <c r="S2256">
        <v>-3.3215940000000002</v>
      </c>
      <c r="T2256">
        <v>-0.3060194</v>
      </c>
      <c r="U2256">
        <v>-5.5541990000000001E-3</v>
      </c>
      <c r="V2256">
        <v>-8.0672670000000002E-2</v>
      </c>
      <c r="W2256">
        <v>0.35924889999999998</v>
      </c>
      <c r="X2256">
        <v>0.92974840000000003</v>
      </c>
      <c r="Y2256">
        <v>2.4845969999999998E-3</v>
      </c>
      <c r="Z2256">
        <v>4.547439E-4</v>
      </c>
      <c r="AA2256">
        <v>0.99999680000000002</v>
      </c>
      <c r="AB2256">
        <v>50</v>
      </c>
      <c r="AC2256">
        <v>-0.55160000000000697</v>
      </c>
      <c r="AD2256">
        <v>-7.6063999999999896E-2</v>
      </c>
      <c r="AE2256">
        <v>2.0000000000663901E-4</v>
      </c>
      <c r="AF2256">
        <v>2.4596818626057299E-3</v>
      </c>
      <c r="AG2256">
        <v>-7.6063999999999896E-2</v>
      </c>
      <c r="AH2256">
        <v>0.54130118161450902</v>
      </c>
      <c r="AI2256">
        <v>97.998785022980798</v>
      </c>
      <c r="AJ2256">
        <v>89.739648786116504</v>
      </c>
      <c r="AK2256">
        <v>0.54662487260289305</v>
      </c>
      <c r="AL2256">
        <v>68.945923757003996</v>
      </c>
      <c r="AM2256">
        <v>94.959036069199598</v>
      </c>
      <c r="AN2256">
        <v>0.999999969569349</v>
      </c>
    </row>
    <row r="2257" spans="1:40" x14ac:dyDescent="0.25">
      <c r="A2257" t="str">
        <f>"20190304164413934"</f>
        <v>20190304164413934</v>
      </c>
      <c r="B2257" t="str">
        <f>"1551689053932227"</f>
        <v>1551689053932227</v>
      </c>
      <c r="C2257" t="s">
        <v>40</v>
      </c>
      <c r="D2257">
        <v>4.9938060000000002</v>
      </c>
      <c r="E2257">
        <v>0.54662549999999999</v>
      </c>
      <c r="F2257" t="s">
        <v>41</v>
      </c>
      <c r="G2257">
        <v>-388.61829999999998</v>
      </c>
      <c r="H2257">
        <v>1.019768</v>
      </c>
      <c r="I2257">
        <v>284.56659999999999</v>
      </c>
      <c r="J2257">
        <v>-387.90890000000002</v>
      </c>
      <c r="K2257">
        <v>1.110376</v>
      </c>
      <c r="L2257">
        <v>284.56670000000003</v>
      </c>
      <c r="M2257">
        <v>-0.99987919999999997</v>
      </c>
      <c r="N2257">
        <v>-1.4969619999999999E-2</v>
      </c>
      <c r="O2257">
        <v>-4.2117320000000001E-3</v>
      </c>
      <c r="P2257">
        <v>-0.93462089999999998</v>
      </c>
      <c r="Q2257">
        <v>0.34534340000000002</v>
      </c>
      <c r="R2257">
        <v>-8.4982650000000007E-2</v>
      </c>
      <c r="S2257">
        <v>-3.3218990000000002</v>
      </c>
      <c r="T2257">
        <v>-0.30486760000000002</v>
      </c>
      <c r="U2257">
        <v>-4.5166019999999998E-3</v>
      </c>
      <c r="V2257">
        <v>-8.1037059999999994E-2</v>
      </c>
      <c r="W2257">
        <v>0.35930279999999998</v>
      </c>
      <c r="X2257">
        <v>0.92969599999999997</v>
      </c>
      <c r="Y2257">
        <v>2.82635E-3</v>
      </c>
      <c r="Z2257">
        <v>4.7340899999999999E-4</v>
      </c>
      <c r="AA2257">
        <v>0.99999590000000005</v>
      </c>
      <c r="AB2257">
        <v>50</v>
      </c>
      <c r="AC2257">
        <v>-0.70939999999995895</v>
      </c>
      <c r="AD2257">
        <v>-9.0607999999999994E-2</v>
      </c>
      <c r="AE2257">
        <v>-1.00000000031741E-4</v>
      </c>
      <c r="AF2257">
        <v>2.8417782982192502E-3</v>
      </c>
      <c r="AG2257">
        <v>-9.0607999999999994E-2</v>
      </c>
      <c r="AH2257">
        <v>0.698007095660235</v>
      </c>
      <c r="AI2257">
        <v>97.396121667085595</v>
      </c>
      <c r="AJ2257">
        <v>89.7667344584099</v>
      </c>
      <c r="AK2257">
        <v>0.70386915755695101</v>
      </c>
      <c r="AL2257">
        <v>68.942616995863204</v>
      </c>
      <c r="AM2257">
        <v>94.981602411623498</v>
      </c>
      <c r="AN2257">
        <v>1.0000000797986299</v>
      </c>
    </row>
    <row r="2258" spans="1:40" x14ac:dyDescent="0.25">
      <c r="A2258" t="str">
        <f>"20190304164413948"</f>
        <v>20190304164413948</v>
      </c>
      <c r="B2258" t="str">
        <f>"1551689053941987"</f>
        <v>1551689053941987</v>
      </c>
      <c r="C2258" t="s">
        <v>40</v>
      </c>
      <c r="D2258">
        <v>4.9985540000000004</v>
      </c>
      <c r="E2258">
        <v>0.54683559999999998</v>
      </c>
      <c r="F2258" t="s">
        <v>41</v>
      </c>
      <c r="G2258">
        <v>-389.05529999999999</v>
      </c>
      <c r="H2258">
        <v>1.005253</v>
      </c>
      <c r="I2258">
        <v>284.56599999999997</v>
      </c>
      <c r="J2258">
        <v>-388.23790000000002</v>
      </c>
      <c r="K2258">
        <v>1.110384</v>
      </c>
      <c r="L2258">
        <v>284.56529999999998</v>
      </c>
      <c r="M2258">
        <v>-0.99987899999999996</v>
      </c>
      <c r="N2258">
        <v>-1.4967390000000001E-2</v>
      </c>
      <c r="O2258">
        <v>-4.2499290000000004E-3</v>
      </c>
      <c r="P2258">
        <v>-0.93473170000000005</v>
      </c>
      <c r="Q2258">
        <v>0.3451379</v>
      </c>
      <c r="R2258">
        <v>-8.4599530000000006E-2</v>
      </c>
      <c r="S2258">
        <v>-3.322174</v>
      </c>
      <c r="T2258">
        <v>-0.30476740000000002</v>
      </c>
      <c r="U2258">
        <v>-3.1433110000000002E-3</v>
      </c>
      <c r="V2258">
        <v>-8.0626349999999999E-2</v>
      </c>
      <c r="W2258">
        <v>0.35909489999999999</v>
      </c>
      <c r="X2258">
        <v>0.92981199999999997</v>
      </c>
      <c r="Y2258">
        <v>3.2757469999999999E-3</v>
      </c>
      <c r="Z2258">
        <v>5.0007190000000003E-4</v>
      </c>
      <c r="AA2258">
        <v>0.99999450000000001</v>
      </c>
      <c r="AB2258">
        <v>50</v>
      </c>
      <c r="AC2258">
        <v>-0.81739999999996305</v>
      </c>
      <c r="AD2258">
        <v>-0.105130999999999</v>
      </c>
      <c r="AE2258">
        <v>6.9999999999481501E-4</v>
      </c>
      <c r="AF2258">
        <v>4.1063468364787104E-3</v>
      </c>
      <c r="AG2258">
        <v>-0.105130999999999</v>
      </c>
      <c r="AH2258">
        <v>0.80408829045663299</v>
      </c>
      <c r="AI2258">
        <v>97.448821425298803</v>
      </c>
      <c r="AJ2258">
        <v>89.707402407852697</v>
      </c>
      <c r="AK2258">
        <v>0.81094227173998801</v>
      </c>
      <c r="AL2258">
        <v>68.955380080966094</v>
      </c>
      <c r="AM2258">
        <v>94.955865594859105</v>
      </c>
      <c r="AN2258">
        <v>1.00000005543216</v>
      </c>
    </row>
    <row r="2259" spans="1:40" x14ac:dyDescent="0.25">
      <c r="A2259" t="str">
        <f>"20190304164413970"</f>
        <v>20190304164413970</v>
      </c>
      <c r="B2259" t="str">
        <f>"1551689053962483"</f>
        <v>1551689053962483</v>
      </c>
      <c r="C2259" t="s">
        <v>40</v>
      </c>
      <c r="D2259">
        <v>4.9909470000000002</v>
      </c>
      <c r="E2259">
        <v>0.54719790000000001</v>
      </c>
      <c r="F2259" t="s">
        <v>41</v>
      </c>
      <c r="G2259">
        <v>-389.07049999999998</v>
      </c>
      <c r="H2259">
        <v>1.033901</v>
      </c>
      <c r="I2259">
        <v>284.56580000000002</v>
      </c>
      <c r="J2259">
        <v>-388.71019999999999</v>
      </c>
      <c r="K2259">
        <v>1.1104019999999999</v>
      </c>
      <c r="L2259">
        <v>284.56319999999999</v>
      </c>
      <c r="M2259">
        <v>-0.99987879999999996</v>
      </c>
      <c r="N2259">
        <v>-1.4964170000000001E-2</v>
      </c>
      <c r="O2259">
        <v>-4.3060529999999998E-3</v>
      </c>
      <c r="P2259">
        <v>-0.93484920000000005</v>
      </c>
      <c r="Q2259">
        <v>0.3449489</v>
      </c>
      <c r="R2259">
        <v>-8.4068219999999999E-2</v>
      </c>
      <c r="S2259">
        <v>-3.3222659999999999</v>
      </c>
      <c r="T2259">
        <v>-0.30540289999999998</v>
      </c>
      <c r="U2259">
        <v>5.7983399999999999E-4</v>
      </c>
      <c r="V2259">
        <v>-8.0054130000000001E-2</v>
      </c>
      <c r="W2259">
        <v>0.35890179999999999</v>
      </c>
      <c r="X2259">
        <v>0.92993590000000004</v>
      </c>
      <c r="Y2259">
        <v>4.4465249999999998E-3</v>
      </c>
      <c r="Z2259">
        <v>5.6797659999999997E-4</v>
      </c>
      <c r="AA2259">
        <v>0.99998989999999999</v>
      </c>
      <c r="AB2259">
        <v>50</v>
      </c>
      <c r="AC2259">
        <v>-0.36029999999999501</v>
      </c>
      <c r="AD2259">
        <v>-7.6501000000000097E-2</v>
      </c>
      <c r="AE2259">
        <v>2.6000000000294598E-3</v>
      </c>
      <c r="AF2259">
        <v>3.9725387500760597E-3</v>
      </c>
      <c r="AG2259">
        <v>-7.6501000000000097E-2</v>
      </c>
      <c r="AH2259">
        <v>0.34474441315743298</v>
      </c>
      <c r="AI2259">
        <v>102.51075971525</v>
      </c>
      <c r="AJ2259">
        <v>89.339801829326603</v>
      </c>
      <c r="AK2259">
        <v>0.35315279195892502</v>
      </c>
      <c r="AL2259">
        <v>68.967232266606302</v>
      </c>
      <c r="AM2259">
        <v>94.920213814480405</v>
      </c>
      <c r="AN2259">
        <v>0.99999997194105295</v>
      </c>
    </row>
    <row r="2260" spans="1:40" x14ac:dyDescent="0.25">
      <c r="A2260" t="str">
        <f>"20190304164413984"</f>
        <v>20190304164413984</v>
      </c>
      <c r="B2260" t="str">
        <f>"1551689053972244"</f>
        <v>1551689053972244</v>
      </c>
      <c r="C2260" t="s">
        <v>40</v>
      </c>
      <c r="D2260">
        <v>5.020035</v>
      </c>
      <c r="E2260">
        <v>0.54736499999999999</v>
      </c>
      <c r="F2260" t="s">
        <v>41</v>
      </c>
      <c r="G2260">
        <v>-389.51609999999999</v>
      </c>
      <c r="H2260">
        <v>1.036103</v>
      </c>
      <c r="I2260">
        <v>284.56470000000002</v>
      </c>
      <c r="J2260">
        <v>-389.00639999999999</v>
      </c>
      <c r="K2260">
        <v>1.1104099999999999</v>
      </c>
      <c r="L2260">
        <v>284.56189999999998</v>
      </c>
      <c r="M2260">
        <v>-0.99987870000000001</v>
      </c>
      <c r="N2260">
        <v>-1.4962019999999999E-2</v>
      </c>
      <c r="O2260">
        <v>-4.3421670000000001E-3</v>
      </c>
      <c r="P2260">
        <v>-0.93497229999999998</v>
      </c>
      <c r="Q2260">
        <v>0.34466999999999998</v>
      </c>
      <c r="R2260">
        <v>-8.3841089999999993E-2</v>
      </c>
      <c r="S2260">
        <v>-3.322632</v>
      </c>
      <c r="T2260">
        <v>-0.30641269999999998</v>
      </c>
      <c r="U2260">
        <v>5.6152340000000002E-3</v>
      </c>
      <c r="V2260">
        <v>-7.9799049999999996E-2</v>
      </c>
      <c r="W2260">
        <v>0.35862139999999998</v>
      </c>
      <c r="X2260">
        <v>0.93006599999999995</v>
      </c>
      <c r="Y2260">
        <v>5.9901340000000003E-3</v>
      </c>
      <c r="Z2260">
        <v>6.5527429999999995E-4</v>
      </c>
      <c r="AA2260">
        <v>0.99998180000000003</v>
      </c>
      <c r="AB2260">
        <v>50</v>
      </c>
      <c r="AC2260">
        <v>-0.50970000000000903</v>
      </c>
      <c r="AD2260">
        <v>-7.4307000000000095E-2</v>
      </c>
      <c r="AE2260">
        <v>2.8000000000361E-3</v>
      </c>
      <c r="AF2260">
        <v>4.9090915758979196E-3</v>
      </c>
      <c r="AG2260">
        <v>-7.4307000000000095E-2</v>
      </c>
      <c r="AH2260">
        <v>0.499076244173975</v>
      </c>
      <c r="AI2260">
        <v>98.468101063703799</v>
      </c>
      <c r="AJ2260">
        <v>89.436436494379805</v>
      </c>
      <c r="AK2260">
        <v>0.504601552641192</v>
      </c>
      <c r="AL2260">
        <v>68.984443979570202</v>
      </c>
      <c r="AM2260">
        <v>94.90393019183</v>
      </c>
      <c r="AN2260">
        <v>0.99999998063743101</v>
      </c>
    </row>
    <row r="2261" spans="1:40" x14ac:dyDescent="0.25">
      <c r="A2261" t="str">
        <f>"20190304164414004"</f>
        <v>20190304164414004</v>
      </c>
      <c r="B2261" t="str">
        <f>"1551689053991763"</f>
        <v>1551689053991763</v>
      </c>
      <c r="C2261" t="s">
        <v>40</v>
      </c>
      <c r="D2261">
        <v>4.9957469999999997</v>
      </c>
      <c r="E2261">
        <v>0.54768070000000002</v>
      </c>
      <c r="F2261" t="s">
        <v>41</v>
      </c>
      <c r="G2261">
        <v>-389.9511</v>
      </c>
      <c r="H2261">
        <v>1.022983</v>
      </c>
      <c r="I2261">
        <v>284.5643</v>
      </c>
      <c r="J2261">
        <v>-389.46069999999997</v>
      </c>
      <c r="K2261">
        <v>1.1104149999999999</v>
      </c>
      <c r="L2261">
        <v>284.55990000000003</v>
      </c>
      <c r="M2261">
        <v>-0.99987839999999995</v>
      </c>
      <c r="N2261">
        <v>-1.495877E-2</v>
      </c>
      <c r="O2261">
        <v>-4.3976320000000003E-3</v>
      </c>
      <c r="P2261">
        <v>-0.93514439999999999</v>
      </c>
      <c r="Q2261">
        <v>0.34435490000000002</v>
      </c>
      <c r="R2261">
        <v>-8.3214199999999905E-2</v>
      </c>
      <c r="S2261">
        <v>-3.3227839999999902</v>
      </c>
      <c r="T2261">
        <v>-0.30762909999999999</v>
      </c>
      <c r="U2261">
        <v>7.6599119999999996E-3</v>
      </c>
      <c r="V2261">
        <v>-7.9127690000000001E-2</v>
      </c>
      <c r="W2261">
        <v>0.35830440000000002</v>
      </c>
      <c r="X2261">
        <v>0.93024549999999995</v>
      </c>
      <c r="Y2261">
        <v>6.6570429999999996E-3</v>
      </c>
      <c r="Z2261">
        <v>6.9802079999999999E-4</v>
      </c>
      <c r="AA2261">
        <v>0.99997760000000002</v>
      </c>
      <c r="AB2261">
        <v>50</v>
      </c>
      <c r="AC2261">
        <v>-0.49040000000002198</v>
      </c>
      <c r="AD2261">
        <v>-8.7431999999999899E-2</v>
      </c>
      <c r="AE2261">
        <v>4.3999999999755303E-3</v>
      </c>
      <c r="AF2261">
        <v>6.3548177418825298E-3</v>
      </c>
      <c r="AG2261">
        <v>-8.7431999999999899E-2</v>
      </c>
      <c r="AH2261">
        <v>0.47527004754923702</v>
      </c>
      <c r="AI2261">
        <v>100.422834643933</v>
      </c>
      <c r="AJ2261">
        <v>89.2339459600162</v>
      </c>
      <c r="AK2261">
        <v>0.483287033169716</v>
      </c>
      <c r="AL2261">
        <v>69.003899288896307</v>
      </c>
      <c r="AM2261">
        <v>94.861937613767097</v>
      </c>
      <c r="AN2261">
        <v>0.99999996232717203</v>
      </c>
    </row>
    <row r="2262" spans="1:40" x14ac:dyDescent="0.25">
      <c r="A2262" t="str">
        <f>"20190304164414027"</f>
        <v>20190304164414027</v>
      </c>
      <c r="B2262" t="str">
        <f>"1551689054022019"</f>
        <v>1551689054022019</v>
      </c>
      <c r="C2262" t="s">
        <v>40</v>
      </c>
      <c r="D2262">
        <v>5.0186999999999999</v>
      </c>
      <c r="E2262">
        <v>0.54798899999999995</v>
      </c>
      <c r="F2262" t="s">
        <v>41</v>
      </c>
      <c r="G2262">
        <v>-390.39440000000002</v>
      </c>
      <c r="H2262">
        <v>1.0234730000000001</v>
      </c>
      <c r="I2262">
        <v>284.5634</v>
      </c>
      <c r="J2262">
        <v>-389.97059999999999</v>
      </c>
      <c r="K2262">
        <v>1.110428</v>
      </c>
      <c r="L2262">
        <v>284.55770000000001</v>
      </c>
      <c r="M2262">
        <v>-0.99987839999999995</v>
      </c>
      <c r="N2262">
        <v>-1.4955410000000001E-2</v>
      </c>
      <c r="O2262">
        <v>-4.4608290000000004E-3</v>
      </c>
      <c r="P2262">
        <v>-0.93531520000000001</v>
      </c>
      <c r="Q2262">
        <v>0.34402719999999998</v>
      </c>
      <c r="R2262">
        <v>-8.2651450000000001E-2</v>
      </c>
      <c r="S2262">
        <v>-3.3230590000000002</v>
      </c>
      <c r="T2262">
        <v>-0.3093593</v>
      </c>
      <c r="U2262">
        <v>1.229858E-2</v>
      </c>
      <c r="V2262">
        <v>-7.8512429999999994E-2</v>
      </c>
      <c r="W2262">
        <v>0.35797459999999998</v>
      </c>
      <c r="X2262">
        <v>0.93042460000000005</v>
      </c>
      <c r="Y2262">
        <v>8.1079129999999996E-3</v>
      </c>
      <c r="Z2262">
        <v>7.8515659999999995E-4</v>
      </c>
      <c r="AA2262">
        <v>0.99996680000000004</v>
      </c>
      <c r="AB2262">
        <v>50</v>
      </c>
      <c r="AC2262">
        <v>-0.42380000000002799</v>
      </c>
      <c r="AD2262">
        <v>-8.6955000000000102E-2</v>
      </c>
      <c r="AE2262">
        <v>5.6999999999902597E-3</v>
      </c>
      <c r="AF2262">
        <v>7.2840607148188198E-3</v>
      </c>
      <c r="AG2262">
        <v>-8.6955000000000102E-2</v>
      </c>
      <c r="AH2262">
        <v>0.40665390634322002</v>
      </c>
      <c r="AI2262">
        <v>102.06793779616601</v>
      </c>
      <c r="AJ2262">
        <v>88.973817036783501</v>
      </c>
      <c r="AK2262">
        <v>0.415910602304987</v>
      </c>
      <c r="AL2262">
        <v>69.024138206450701</v>
      </c>
      <c r="AM2262">
        <v>94.823388311496402</v>
      </c>
      <c r="AN2262">
        <v>0.99999997609741198</v>
      </c>
    </row>
    <row r="2263" spans="1:40" x14ac:dyDescent="0.25">
      <c r="A2263" t="str">
        <f>"20190304164414049"</f>
        <v>20190304164414049</v>
      </c>
      <c r="B2263" t="str">
        <f>"1551689054042515"</f>
        <v>1551689054042515</v>
      </c>
      <c r="C2263" t="s">
        <v>40</v>
      </c>
      <c r="D2263">
        <v>5.3080530000000001</v>
      </c>
      <c r="E2263">
        <v>0.56283119999999998</v>
      </c>
      <c r="F2263" t="s">
        <v>41</v>
      </c>
      <c r="G2263">
        <v>-390.84</v>
      </c>
      <c r="H2263">
        <v>1.029139</v>
      </c>
      <c r="I2263">
        <v>284.5625</v>
      </c>
      <c r="J2263">
        <v>-390.45609999999999</v>
      </c>
      <c r="K2263">
        <v>1.110441</v>
      </c>
      <c r="L2263">
        <v>284.55549999999999</v>
      </c>
      <c r="M2263">
        <v>-0.99987800000000004</v>
      </c>
      <c r="N2263">
        <v>-1.4952389999999999E-2</v>
      </c>
      <c r="O2263">
        <v>-4.5213679999999996E-3</v>
      </c>
      <c r="P2263">
        <v>-0.93527159999999998</v>
      </c>
      <c r="Q2263">
        <v>0.34423510000000002</v>
      </c>
      <c r="R2263">
        <v>-8.2276050000000003E-2</v>
      </c>
      <c r="S2263">
        <v>-3.3233950000000001</v>
      </c>
      <c r="T2263">
        <v>-0.31081989999999998</v>
      </c>
      <c r="U2263">
        <v>1.7578130000000001E-2</v>
      </c>
      <c r="V2263">
        <v>-7.8086660000000002E-2</v>
      </c>
      <c r="W2263">
        <v>0.35817749999999998</v>
      </c>
      <c r="X2263">
        <v>0.93038240000000005</v>
      </c>
      <c r="Y2263">
        <v>9.7475970000000002E-3</v>
      </c>
      <c r="Z2263">
        <v>8.8234109999999995E-4</v>
      </c>
      <c r="AA2263">
        <v>0.99995210000000001</v>
      </c>
      <c r="AB2263">
        <v>50</v>
      </c>
      <c r="AC2263">
        <v>-0.38389999999998198</v>
      </c>
      <c r="AD2263">
        <v>-8.1301999999999902E-2</v>
      </c>
      <c r="AE2263">
        <v>7.0000000000049996E-3</v>
      </c>
      <c r="AF2263">
        <v>8.3610058995901293E-3</v>
      </c>
      <c r="AG2263">
        <v>-8.1301999999999902E-2</v>
      </c>
      <c r="AH2263">
        <v>0.36739221412769801</v>
      </c>
      <c r="AI2263">
        <v>102.475034062177</v>
      </c>
      <c r="AJ2263">
        <v>88.696304234001602</v>
      </c>
      <c r="AK2263">
        <v>0.37637343241162102</v>
      </c>
      <c r="AL2263">
        <v>69.011688468304797</v>
      </c>
      <c r="AM2263">
        <v>94.7975702475714</v>
      </c>
      <c r="AN2263">
        <v>1.00000002910298</v>
      </c>
    </row>
    <row r="2264" spans="1:40" x14ac:dyDescent="0.25">
      <c r="A2264" t="str">
        <f>"20190304164414063"</f>
        <v>20190304164414063</v>
      </c>
      <c r="B2264" t="str">
        <f>"1551689054052275"</f>
        <v>1551689054052275</v>
      </c>
      <c r="C2264" t="s">
        <v>40</v>
      </c>
      <c r="D2264">
        <v>5.1754579999999999</v>
      </c>
      <c r="E2264">
        <v>0.55540509999999998</v>
      </c>
      <c r="F2264" t="s">
        <v>41</v>
      </c>
      <c r="G2264">
        <v>-391.29289999999997</v>
      </c>
      <c r="H2264">
        <v>1.0461830000000001</v>
      </c>
      <c r="I2264">
        <v>284.5915</v>
      </c>
      <c r="J2264">
        <v>-390.74529999999999</v>
      </c>
      <c r="K2264">
        <v>1.110444</v>
      </c>
      <c r="L2264">
        <v>284.55410000000001</v>
      </c>
      <c r="M2264">
        <v>-0.99987780000000004</v>
      </c>
      <c r="N2264">
        <v>-1.495062E-2</v>
      </c>
      <c r="O2264">
        <v>-4.5577739999999997E-3</v>
      </c>
      <c r="P2264">
        <v>-0.93519439999999998</v>
      </c>
      <c r="Q2264">
        <v>0.34444940000000002</v>
      </c>
      <c r="R2264">
        <v>-8.2254980000000005E-2</v>
      </c>
      <c r="S2264">
        <v>-3.3137509999999999</v>
      </c>
      <c r="T2264">
        <v>-0.25452609999999998</v>
      </c>
      <c r="U2264">
        <v>0.14199829999999999</v>
      </c>
      <c r="V2264">
        <v>-7.8035499999999994E-2</v>
      </c>
      <c r="W2264">
        <v>0.35838900000000001</v>
      </c>
      <c r="X2264">
        <v>0.93030520000000005</v>
      </c>
      <c r="Y2264">
        <v>4.719102E-2</v>
      </c>
      <c r="Z2264">
        <v>2.4438049999999998E-3</v>
      </c>
      <c r="AA2264">
        <v>0.99888290000000002</v>
      </c>
      <c r="AB2264">
        <v>50</v>
      </c>
      <c r="AC2264">
        <v>-0.54759999999998799</v>
      </c>
      <c r="AD2264">
        <v>-6.4260999999999902E-2</v>
      </c>
      <c r="AE2264">
        <v>3.7399999999991003E-2</v>
      </c>
      <c r="AF2264">
        <v>3.9356265593778E-2</v>
      </c>
      <c r="AG2264">
        <v>-6.4260999999999902E-2</v>
      </c>
      <c r="AH2264">
        <v>0.54002167634348597</v>
      </c>
      <c r="AI2264">
        <v>96.768335547014701</v>
      </c>
      <c r="AJ2264">
        <v>85.831707480756194</v>
      </c>
      <c r="AK2264">
        <v>0.54525388827895305</v>
      </c>
      <c r="AL2264">
        <v>68.998707861122696</v>
      </c>
      <c r="AM2264">
        <v>94.794837687603902</v>
      </c>
      <c r="AN2264">
        <v>0.99999998986414496</v>
      </c>
    </row>
    <row r="2265" spans="1:40" x14ac:dyDescent="0.25">
      <c r="A2265" t="str">
        <f>"20190304164414075"</f>
        <v>20190304164414075</v>
      </c>
      <c r="B2265" t="str">
        <f>"1551689054071796"</f>
        <v>1551689054071796</v>
      </c>
      <c r="C2265" t="s">
        <v>40</v>
      </c>
      <c r="D2265">
        <v>4.8803010000000002</v>
      </c>
      <c r="E2265">
        <v>0.55315519999999996</v>
      </c>
      <c r="F2265" t="s">
        <v>41</v>
      </c>
      <c r="G2265">
        <v>-391.6549</v>
      </c>
      <c r="H2265">
        <v>0.88083120000000004</v>
      </c>
      <c r="I2265">
        <v>284.56150000000002</v>
      </c>
      <c r="J2265">
        <v>-391.03829999999999</v>
      </c>
      <c r="K2265">
        <v>1.110449</v>
      </c>
      <c r="L2265">
        <v>284.55279999999999</v>
      </c>
      <c r="M2265">
        <v>-0.99987780000000004</v>
      </c>
      <c r="N2265">
        <v>-1.494885E-2</v>
      </c>
      <c r="O2265">
        <v>-4.5948899999999999E-3</v>
      </c>
      <c r="P2265">
        <v>-0.93516410000000005</v>
      </c>
      <c r="Q2265">
        <v>0.34452709999999998</v>
      </c>
      <c r="R2265">
        <v>-8.2277459999999997E-2</v>
      </c>
      <c r="S2265">
        <v>-3.5394589999999901</v>
      </c>
      <c r="T2265">
        <v>-0.89343930000000005</v>
      </c>
      <c r="U2265">
        <v>2.7954099999999999E-2</v>
      </c>
      <c r="V2265">
        <v>-7.8026020000000001E-2</v>
      </c>
      <c r="W2265">
        <v>0.35846329999999998</v>
      </c>
      <c r="X2265">
        <v>0.93027729999999997</v>
      </c>
      <c r="Y2265">
        <v>1.1966940000000001E-2</v>
      </c>
      <c r="Z2265">
        <v>2.6521729999999999E-3</v>
      </c>
      <c r="AA2265">
        <v>0.99992490000000001</v>
      </c>
      <c r="AB2265">
        <v>49</v>
      </c>
      <c r="AC2265">
        <v>-0.61660000000000503</v>
      </c>
      <c r="AD2265">
        <v>-0.22961780000000001</v>
      </c>
      <c r="AE2265">
        <v>8.7000000000330095E-3</v>
      </c>
      <c r="AF2265">
        <v>1.01290484087095E-2</v>
      </c>
      <c r="AG2265">
        <v>-0.22961780000000001</v>
      </c>
      <c r="AH2265">
        <v>0.54147797880510995</v>
      </c>
      <c r="AI2265">
        <v>112.97613486600601</v>
      </c>
      <c r="AJ2265">
        <v>88.928333066310202</v>
      </c>
      <c r="AK2265">
        <v>0.58823918029095301</v>
      </c>
      <c r="AL2265">
        <v>68.994146402328695</v>
      </c>
      <c r="AM2265">
        <v>94.794401025418793</v>
      </c>
      <c r="AN2265">
        <v>0.99999992606960697</v>
      </c>
    </row>
    <row r="2266" spans="1:40" x14ac:dyDescent="0.25">
      <c r="A2266" t="str">
        <f>"20190304164414093"</f>
        <v>20190304164414093</v>
      </c>
      <c r="B2266" t="str">
        <f>"1551689054082531"</f>
        <v>1551689054082531</v>
      </c>
      <c r="C2266" t="s">
        <v>40</v>
      </c>
      <c r="D2266">
        <v>5.1122589999999999</v>
      </c>
      <c r="E2266">
        <v>0.54833949999999998</v>
      </c>
      <c r="F2266" t="s">
        <v>41</v>
      </c>
      <c r="G2266">
        <v>-392.07560000000001</v>
      </c>
      <c r="H2266">
        <v>0.83122839999999998</v>
      </c>
      <c r="I2266">
        <v>284.55419999999998</v>
      </c>
      <c r="J2266">
        <v>-391.42910000000001</v>
      </c>
      <c r="K2266">
        <v>1.1104540000000001</v>
      </c>
      <c r="L2266">
        <v>284.55099999999999</v>
      </c>
      <c r="M2266">
        <v>-0.99987760000000003</v>
      </c>
      <c r="N2266">
        <v>-1.4946559999999999E-2</v>
      </c>
      <c r="O2266">
        <v>-4.644525E-3</v>
      </c>
      <c r="P2266">
        <v>-0.935087</v>
      </c>
      <c r="Q2266">
        <v>0.34472039999999998</v>
      </c>
      <c r="R2266">
        <v>-8.2344700000000007E-2</v>
      </c>
      <c r="S2266">
        <v>-3.5615839999999999</v>
      </c>
      <c r="T2266">
        <v>-0.95870670000000002</v>
      </c>
      <c r="U2266">
        <v>4.4250490000000003E-3</v>
      </c>
      <c r="V2266">
        <v>-7.8049629999999995E-2</v>
      </c>
      <c r="W2266">
        <v>0.358653</v>
      </c>
      <c r="X2266">
        <v>0.93020230000000004</v>
      </c>
      <c r="Y2266">
        <v>5.531762E-3</v>
      </c>
      <c r="Z2266">
        <v>1.9336780000000001E-3</v>
      </c>
      <c r="AA2266">
        <v>0.99998279999999995</v>
      </c>
      <c r="AB2266">
        <v>49</v>
      </c>
      <c r="AC2266">
        <v>-0.64650000000000296</v>
      </c>
      <c r="AD2266">
        <v>-0.27922560000000002</v>
      </c>
      <c r="AE2266">
        <v>3.19999999999254E-3</v>
      </c>
      <c r="AF2266">
        <v>5.2278108919977199E-3</v>
      </c>
      <c r="AG2266">
        <v>-0.27922560000000002</v>
      </c>
      <c r="AH2266">
        <v>0.54484494029973696</v>
      </c>
      <c r="AI2266">
        <v>117.13345021482201</v>
      </c>
      <c r="AJ2266">
        <v>89.450261374477506</v>
      </c>
      <c r="AK2266">
        <v>0.61225017327258202</v>
      </c>
      <c r="AL2266">
        <v>68.982505252105994</v>
      </c>
      <c r="AM2266">
        <v>94.796229877894206</v>
      </c>
      <c r="AN2266">
        <v>1.0000000190387099</v>
      </c>
    </row>
    <row r="2267" spans="1:40" x14ac:dyDescent="0.25">
      <c r="A2267" t="str">
        <f>"20190304164414106"</f>
        <v>20190304164414106</v>
      </c>
      <c r="B2267" t="str">
        <f>"1551689054102051"</f>
        <v>1551689054102051</v>
      </c>
      <c r="C2267" t="s">
        <v>40</v>
      </c>
      <c r="D2267">
        <v>5.1099110000000003</v>
      </c>
      <c r="E2267">
        <v>0.54325990000000002</v>
      </c>
      <c r="F2267" t="s">
        <v>41</v>
      </c>
      <c r="G2267">
        <v>-392.10969999999998</v>
      </c>
      <c r="H2267">
        <v>0.90875430000000001</v>
      </c>
      <c r="I2267">
        <v>284.54289999999997</v>
      </c>
      <c r="J2267">
        <v>-391.726</v>
      </c>
      <c r="K2267">
        <v>1.1104590000000001</v>
      </c>
      <c r="L2267">
        <v>284.54950000000002</v>
      </c>
      <c r="M2267">
        <v>-0.99987749999999997</v>
      </c>
      <c r="N2267">
        <v>-1.4944590000000001E-2</v>
      </c>
      <c r="O2267">
        <v>-4.6828140000000004E-3</v>
      </c>
      <c r="P2267">
        <v>-0.9350832</v>
      </c>
      <c r="Q2267">
        <v>0.3446669</v>
      </c>
      <c r="R2267">
        <v>-8.2608539999999994E-2</v>
      </c>
      <c r="S2267">
        <v>-3.5974430000000002</v>
      </c>
      <c r="T2267">
        <v>-1.0660700000000001</v>
      </c>
      <c r="U2267">
        <v>-4.3365479999999998E-2</v>
      </c>
      <c r="V2267">
        <v>-7.8280310000000006E-2</v>
      </c>
      <c r="W2267">
        <v>0.35859730000000001</v>
      </c>
      <c r="X2267">
        <v>0.93020440000000004</v>
      </c>
      <c r="Y2267">
        <v>-7.2251090000000004E-3</v>
      </c>
      <c r="Z2267">
        <v>1.8668929999999999E-4</v>
      </c>
      <c r="AA2267">
        <v>0.99997389999999997</v>
      </c>
      <c r="AB2267">
        <v>49</v>
      </c>
      <c r="AC2267">
        <v>-0.383699999999976</v>
      </c>
      <c r="AD2267">
        <v>-0.20170469999999999</v>
      </c>
      <c r="AE2267">
        <v>-6.6000000000485601E-3</v>
      </c>
      <c r="AF2267">
        <v>-3.76328239057263E-3</v>
      </c>
      <c r="AG2267">
        <v>-0.20170469999999999</v>
      </c>
      <c r="AH2267">
        <v>0.30066469874594098</v>
      </c>
      <c r="AI2267">
        <v>123.854106149004</v>
      </c>
      <c r="AJ2267">
        <v>90.7171075955753</v>
      </c>
      <c r="AK2267">
        <v>0.36207486707644998</v>
      </c>
      <c r="AL2267">
        <v>68.985924239321605</v>
      </c>
      <c r="AM2267">
        <v>94.810328170863102</v>
      </c>
      <c r="AN2267">
        <v>1.00000002814017</v>
      </c>
    </row>
    <row r="2268" spans="1:40" x14ac:dyDescent="0.25">
      <c r="A2268" t="str">
        <f>"20190304164414118"</f>
        <v>20190304164414118</v>
      </c>
      <c r="B2268" t="str">
        <f>"1551689054111811"</f>
        <v>1551689054111811</v>
      </c>
      <c r="C2268" t="s">
        <v>40</v>
      </c>
      <c r="D2268">
        <v>5.1234820000000001</v>
      </c>
      <c r="E2268">
        <v>0.54197609999999996</v>
      </c>
      <c r="F2268" t="s">
        <v>41</v>
      </c>
      <c r="G2268">
        <v>-392.52640000000002</v>
      </c>
      <c r="H2268">
        <v>0.85063619999999995</v>
      </c>
      <c r="I2268">
        <v>284.529</v>
      </c>
      <c r="J2268">
        <v>-391.99759999999998</v>
      </c>
      <c r="K2268">
        <v>1.1104620000000001</v>
      </c>
      <c r="L2268">
        <v>284.54829999999998</v>
      </c>
      <c r="M2268">
        <v>-0.99987729999999997</v>
      </c>
      <c r="N2268">
        <v>-1.4942769999999999E-2</v>
      </c>
      <c r="O2268">
        <v>-4.7176400000000004E-3</v>
      </c>
      <c r="P2268">
        <v>-0.93512340000000005</v>
      </c>
      <c r="Q2268">
        <v>0.3444759</v>
      </c>
      <c r="R2268">
        <v>-8.295102E-2</v>
      </c>
      <c r="S2268">
        <v>-3.6347960000000001</v>
      </c>
      <c r="T2268">
        <v>-1.180026</v>
      </c>
      <c r="U2268">
        <v>-9.4940189999999994E-2</v>
      </c>
      <c r="V2268">
        <v>-7.8591259999999996E-2</v>
      </c>
      <c r="W2268">
        <v>0.35840460000000002</v>
      </c>
      <c r="X2268">
        <v>0.93025239999999998</v>
      </c>
      <c r="Y2268">
        <v>-2.051037E-2</v>
      </c>
      <c r="Z2268">
        <v>-1.9785739999999999E-3</v>
      </c>
      <c r="AA2268">
        <v>0.99978769999999995</v>
      </c>
      <c r="AB2268">
        <v>49</v>
      </c>
      <c r="AC2268">
        <v>-0.52880000000004601</v>
      </c>
      <c r="AD2268">
        <v>-0.2598258</v>
      </c>
      <c r="AE2268">
        <v>-1.9299999999986901E-2</v>
      </c>
      <c r="AF2268">
        <v>-1.35402234649461E-2</v>
      </c>
      <c r="AG2268">
        <v>-0.2598258</v>
      </c>
      <c r="AH2268">
        <v>0.42614106978151101</v>
      </c>
      <c r="AI2268">
        <v>121.358558433982</v>
      </c>
      <c r="AJ2268">
        <v>91.819906111253204</v>
      </c>
      <c r="AK2268">
        <v>0.499288489103896</v>
      </c>
      <c r="AL2268">
        <v>68.997750350903203</v>
      </c>
      <c r="AM2268">
        <v>94.8290978553554</v>
      </c>
      <c r="AN2268">
        <v>0.99999998557765302</v>
      </c>
    </row>
    <row r="2269" spans="1:40" x14ac:dyDescent="0.25">
      <c r="A2269" t="str">
        <f>"20190304164414139"</f>
        <v>20190304164414139</v>
      </c>
      <c r="B2269" t="str">
        <f>"1551689054132308"</f>
        <v>1551689054132308</v>
      </c>
      <c r="C2269" t="s">
        <v>40</v>
      </c>
      <c r="D2269">
        <v>5.130941</v>
      </c>
      <c r="E2269">
        <v>0.540404</v>
      </c>
      <c r="F2269" t="s">
        <v>41</v>
      </c>
      <c r="G2269">
        <v>-392.94450000000001</v>
      </c>
      <c r="H2269">
        <v>0.79607930000000005</v>
      </c>
      <c r="I2269">
        <v>284.52019999999999</v>
      </c>
      <c r="J2269">
        <v>-392.4332</v>
      </c>
      <c r="K2269">
        <v>1.110466</v>
      </c>
      <c r="L2269">
        <v>284.54610000000002</v>
      </c>
      <c r="M2269">
        <v>-0.99987700000000002</v>
      </c>
      <c r="N2269">
        <v>-1.4939829999999999E-2</v>
      </c>
      <c r="O2269">
        <v>-4.7736879999999999E-3</v>
      </c>
      <c r="P2269">
        <v>-0.93519450000000004</v>
      </c>
      <c r="Q2269">
        <v>0.3442075</v>
      </c>
      <c r="R2269">
        <v>-8.3261360000000006E-2</v>
      </c>
      <c r="S2269">
        <v>-3.6440730000000001</v>
      </c>
      <c r="T2269">
        <v>-1.209843</v>
      </c>
      <c r="U2269">
        <v>-0.1090088</v>
      </c>
      <c r="V2269">
        <v>-7.885064E-2</v>
      </c>
      <c r="W2269">
        <v>0.35813440000000002</v>
      </c>
      <c r="X2269">
        <v>0.93033449999999995</v>
      </c>
      <c r="Y2269">
        <v>-2.4012809999999999E-2</v>
      </c>
      <c r="Z2269">
        <v>-2.5919329999999998E-3</v>
      </c>
      <c r="AA2269">
        <v>0.99970829999999999</v>
      </c>
      <c r="AB2269">
        <v>49</v>
      </c>
      <c r="AC2269">
        <v>-0.51130000000000497</v>
      </c>
      <c r="AD2269">
        <v>-0.31438669999999902</v>
      </c>
      <c r="AE2269">
        <v>-2.5900000000035499E-2</v>
      </c>
      <c r="AF2269">
        <v>-1.7034738434463001E-2</v>
      </c>
      <c r="AG2269">
        <v>-0.31438669999999902</v>
      </c>
      <c r="AH2269">
        <v>0.37137134801372201</v>
      </c>
      <c r="AI2269">
        <v>130.22009754666701</v>
      </c>
      <c r="AJ2269">
        <v>92.626306412258899</v>
      </c>
      <c r="AK2269">
        <v>0.48687355399112497</v>
      </c>
      <c r="AL2269">
        <v>69.014332227227598</v>
      </c>
      <c r="AM2269">
        <v>94.844534385452306</v>
      </c>
      <c r="AN2269">
        <v>0.99999997689100895</v>
      </c>
    </row>
    <row r="2270" spans="1:40" x14ac:dyDescent="0.25">
      <c r="A2270" t="str">
        <f>"20190304164414152"</f>
        <v>20190304164414152</v>
      </c>
      <c r="B2270" t="str">
        <f>"1551689054142067"</f>
        <v>1551689054142067</v>
      </c>
      <c r="C2270" t="s">
        <v>40</v>
      </c>
      <c r="D2270">
        <v>5.1217579999999998</v>
      </c>
      <c r="E2270">
        <v>0.53994350000000002</v>
      </c>
      <c r="F2270" t="s">
        <v>41</v>
      </c>
      <c r="G2270">
        <v>-393.38170000000002</v>
      </c>
      <c r="H2270">
        <v>0.78691029999999995</v>
      </c>
      <c r="I2270">
        <v>284.51350000000002</v>
      </c>
      <c r="J2270">
        <v>-392.73379999999997</v>
      </c>
      <c r="K2270">
        <v>1.1104670000000001</v>
      </c>
      <c r="L2270">
        <v>284.54469999999998</v>
      </c>
      <c r="M2270">
        <v>-0.99987700000000002</v>
      </c>
      <c r="N2270">
        <v>-1.4937829999999999E-2</v>
      </c>
      <c r="O2270">
        <v>-4.8129169999999999E-3</v>
      </c>
      <c r="P2270">
        <v>-0.93508639999999998</v>
      </c>
      <c r="Q2270">
        <v>0.34446599999999999</v>
      </c>
      <c r="R2270">
        <v>-8.3407060000000005E-2</v>
      </c>
      <c r="S2270">
        <v>-3.6555789999999999</v>
      </c>
      <c r="T2270">
        <v>-1.246991</v>
      </c>
      <c r="U2270">
        <v>-0.12664790000000001</v>
      </c>
      <c r="V2270">
        <v>-7.8961719999999999E-2</v>
      </c>
      <c r="W2270">
        <v>0.35838900000000001</v>
      </c>
      <c r="X2270">
        <v>0.93022700000000003</v>
      </c>
      <c r="Y2270">
        <v>-2.838365E-2</v>
      </c>
      <c r="Z2270">
        <v>-3.398646E-3</v>
      </c>
      <c r="AA2270">
        <v>0.99959140000000002</v>
      </c>
      <c r="AB2270">
        <v>49</v>
      </c>
      <c r="AC2270">
        <v>-0.64790000000004899</v>
      </c>
      <c r="AD2270">
        <v>-0.32355669999999997</v>
      </c>
      <c r="AE2270">
        <v>-3.1199999999955701E-2</v>
      </c>
      <c r="AF2270">
        <v>-2.24860945287811E-2</v>
      </c>
      <c r="AG2270">
        <v>-0.32355669999999997</v>
      </c>
      <c r="AH2270">
        <v>0.51892552626460997</v>
      </c>
      <c r="AI2270">
        <v>121.919943932701</v>
      </c>
      <c r="AJ2270">
        <v>92.481190051515199</v>
      </c>
      <c r="AK2270">
        <v>0.61194629206413997</v>
      </c>
      <c r="AL2270">
        <v>68.998706985128607</v>
      </c>
      <c r="AM2270">
        <v>94.851884481031703</v>
      </c>
      <c r="AN2270">
        <v>0.99999995003767805</v>
      </c>
    </row>
    <row r="2271" spans="1:40" x14ac:dyDescent="0.25">
      <c r="A2271" t="str">
        <f>"20190304164414171"</f>
        <v>20190304164414171</v>
      </c>
      <c r="B2271" t="str">
        <f>"1551689054162564"</f>
        <v>1551689054162564</v>
      </c>
      <c r="C2271" t="s">
        <v>40</v>
      </c>
      <c r="D2271">
        <v>5.1575839999999999</v>
      </c>
      <c r="E2271">
        <v>0.5393983</v>
      </c>
      <c r="F2271" t="s">
        <v>41</v>
      </c>
      <c r="G2271">
        <v>-393.41919999999999</v>
      </c>
      <c r="H2271">
        <v>0.87510159999999904</v>
      </c>
      <c r="I2271">
        <v>284.52019999999999</v>
      </c>
      <c r="J2271">
        <v>-393.1551</v>
      </c>
      <c r="K2271">
        <v>1.1104719999999999</v>
      </c>
      <c r="L2271">
        <v>284.54270000000002</v>
      </c>
      <c r="M2271">
        <v>-0.99987669999999995</v>
      </c>
      <c r="N2271">
        <v>-1.493507E-2</v>
      </c>
      <c r="O2271">
        <v>-4.8679939999999996E-3</v>
      </c>
      <c r="P2271">
        <v>-0.93501129999999999</v>
      </c>
      <c r="Q2271">
        <v>0.34469919999999998</v>
      </c>
      <c r="R2271">
        <v>-8.3284620000000004E-2</v>
      </c>
      <c r="S2271">
        <v>-3.6593930000000001</v>
      </c>
      <c r="T2271">
        <v>-1.2566619999999999</v>
      </c>
      <c r="U2271">
        <v>-0.13229369999999999</v>
      </c>
      <c r="V2271">
        <v>-7.8789699999999893E-2</v>
      </c>
      <c r="W2271">
        <v>0.35861880000000002</v>
      </c>
      <c r="X2271">
        <v>0.93015309999999995</v>
      </c>
      <c r="Y2271">
        <v>-2.973661E-2</v>
      </c>
      <c r="Z2271">
        <v>-3.6368920000000001E-3</v>
      </c>
      <c r="AA2271">
        <v>0.99955119999999997</v>
      </c>
      <c r="AB2271">
        <v>49</v>
      </c>
      <c r="AC2271">
        <v>-0.26409999999998401</v>
      </c>
      <c r="AD2271">
        <v>-0.23537040000000001</v>
      </c>
      <c r="AE2271">
        <v>-2.25000000000363E-2</v>
      </c>
      <c r="AF2271">
        <v>-1.1861016331036599E-2</v>
      </c>
      <c r="AG2271">
        <v>-0.23537040000000001</v>
      </c>
      <c r="AH2271">
        <v>0.14772148285199899</v>
      </c>
      <c r="AI2271">
        <v>147.804140734399</v>
      </c>
      <c r="AJ2271">
        <v>94.590607676062803</v>
      </c>
      <c r="AK2271">
        <v>0.27813943517695999</v>
      </c>
      <c r="AL2271">
        <v>68.984604539808004</v>
      </c>
      <c r="AM2271">
        <v>94.841747643550306</v>
      </c>
      <c r="AN2271">
        <v>1.00000002498956</v>
      </c>
    </row>
    <row r="2272" spans="1:40" x14ac:dyDescent="0.25">
      <c r="A2272" t="str">
        <f>"20190304164414185"</f>
        <v>20190304164414185</v>
      </c>
      <c r="B2272" t="str">
        <f>"1551689054182084"</f>
        <v>1551689054182084</v>
      </c>
      <c r="C2272" t="s">
        <v>40</v>
      </c>
      <c r="D2272">
        <v>5.1554149999999996</v>
      </c>
      <c r="E2272">
        <v>0.53898020000000002</v>
      </c>
      <c r="F2272" t="s">
        <v>41</v>
      </c>
      <c r="G2272">
        <v>-393.85649999999998</v>
      </c>
      <c r="H2272">
        <v>0.86752969999999896</v>
      </c>
      <c r="I2272">
        <v>284.51569999999998</v>
      </c>
      <c r="J2272">
        <v>-393.46390000000002</v>
      </c>
      <c r="K2272">
        <v>1.1104750000000001</v>
      </c>
      <c r="L2272">
        <v>284.54109999999997</v>
      </c>
      <c r="M2272">
        <v>-0.9998764</v>
      </c>
      <c r="N2272">
        <v>-1.493306E-2</v>
      </c>
      <c r="O2272">
        <v>-4.9082869999999999E-3</v>
      </c>
      <c r="P2272">
        <v>-0.93496520000000005</v>
      </c>
      <c r="Q2272">
        <v>0.3448233</v>
      </c>
      <c r="R2272">
        <v>-8.3288680000000004E-2</v>
      </c>
      <c r="S2272">
        <v>-3.663818</v>
      </c>
      <c r="T2272">
        <v>-1.2689809999999999</v>
      </c>
      <c r="U2272">
        <v>-0.14108280000000001</v>
      </c>
      <c r="V2272">
        <v>-7.8756950000000006E-2</v>
      </c>
      <c r="W2272">
        <v>0.358739799999999</v>
      </c>
      <c r="X2272">
        <v>0.93010919999999997</v>
      </c>
      <c r="Y2272">
        <v>-3.189343E-2</v>
      </c>
      <c r="Z2272">
        <v>-4.0303029999999998E-3</v>
      </c>
      <c r="AA2272">
        <v>0.99948320000000002</v>
      </c>
      <c r="AB2272">
        <v>49</v>
      </c>
      <c r="AC2272">
        <v>-0.39259999999995798</v>
      </c>
      <c r="AD2272">
        <v>-0.2429453</v>
      </c>
      <c r="AE2272">
        <v>-2.53999999999905E-2</v>
      </c>
      <c r="AF2272">
        <v>-1.6992655224221501E-2</v>
      </c>
      <c r="AG2272">
        <v>-0.2429453</v>
      </c>
      <c r="AH2272">
        <v>0.28430541703300599</v>
      </c>
      <c r="AI2272">
        <v>130.46417811685001</v>
      </c>
      <c r="AJ2272">
        <v>93.420443286314296</v>
      </c>
      <c r="AK2272">
        <v>0.374353762206246</v>
      </c>
      <c r="AL2272">
        <v>68.977177293374695</v>
      </c>
      <c r="AM2272">
        <v>94.8399720121825</v>
      </c>
      <c r="AN2272">
        <v>1.00000001260099</v>
      </c>
    </row>
    <row r="2273" spans="1:40" x14ac:dyDescent="0.25">
      <c r="A2273" t="str">
        <f>"20190304164414200"</f>
        <v>20190304164414200</v>
      </c>
      <c r="B2273" t="str">
        <f>"1551689054191843"</f>
        <v>1551689054191843</v>
      </c>
      <c r="C2273" t="s">
        <v>40</v>
      </c>
      <c r="D2273">
        <v>5.1492969999999998</v>
      </c>
      <c r="E2273">
        <v>0.53880609999999995</v>
      </c>
      <c r="F2273" t="s">
        <v>41</v>
      </c>
      <c r="G2273">
        <v>-394.27890000000002</v>
      </c>
      <c r="H2273">
        <v>0.82632209999999995</v>
      </c>
      <c r="I2273">
        <v>284.50920000000002</v>
      </c>
      <c r="J2273">
        <v>-393.78070000000002</v>
      </c>
      <c r="K2273">
        <v>1.1104750000000001</v>
      </c>
      <c r="L2273">
        <v>284.53960000000001</v>
      </c>
      <c r="M2273">
        <v>-0.99987630000000005</v>
      </c>
      <c r="N2273">
        <v>-1.493099E-2</v>
      </c>
      <c r="O2273">
        <v>-4.9497710000000004E-3</v>
      </c>
      <c r="P2273">
        <v>-0.93489710000000004</v>
      </c>
      <c r="Q2273">
        <v>0.34499099999999999</v>
      </c>
      <c r="R2273">
        <v>-8.3357790000000001E-2</v>
      </c>
      <c r="S2273">
        <v>-3.6673279999999999</v>
      </c>
      <c r="T2273">
        <v>-1.278605</v>
      </c>
      <c r="U2273">
        <v>-0.14523320000000001</v>
      </c>
      <c r="V2273">
        <v>-7.8788410000000003E-2</v>
      </c>
      <c r="W2273">
        <v>0.35890440000000001</v>
      </c>
      <c r="X2273">
        <v>0.93004299999999995</v>
      </c>
      <c r="Y2273">
        <v>-3.2865970000000001E-2</v>
      </c>
      <c r="Z2273">
        <v>-4.2121249999999997E-3</v>
      </c>
      <c r="AA2273">
        <v>0.99945090000000003</v>
      </c>
      <c r="AB2273">
        <v>49</v>
      </c>
      <c r="AC2273">
        <v>-0.49819999999999698</v>
      </c>
      <c r="AD2273">
        <v>-0.28415289999999999</v>
      </c>
      <c r="AE2273">
        <v>-3.03999999999859E-2</v>
      </c>
      <c r="AF2273">
        <v>-2.1096079704419599E-2</v>
      </c>
      <c r="AG2273">
        <v>-0.28415289999999999</v>
      </c>
      <c r="AH2273">
        <v>0.376363837888959</v>
      </c>
      <c r="AI2273">
        <v>127.009424123957</v>
      </c>
      <c r="AJ2273">
        <v>93.208206303624394</v>
      </c>
      <c r="AK2273">
        <v>0.47205683304853402</v>
      </c>
      <c r="AL2273">
        <v>68.967072882760903</v>
      </c>
      <c r="AM2273">
        <v>94.842239187379903</v>
      </c>
      <c r="AN2273">
        <v>0.99999998186934302</v>
      </c>
    </row>
    <row r="2274" spans="1:40" x14ac:dyDescent="0.25">
      <c r="A2274" t="str">
        <f>"20190304164414219"</f>
        <v>20190304164414219</v>
      </c>
      <c r="B2274" t="str">
        <f>"1551689054212340"</f>
        <v>1551689054212340</v>
      </c>
      <c r="C2274" t="s">
        <v>40</v>
      </c>
      <c r="D2274">
        <v>5.1758639999999998</v>
      </c>
      <c r="E2274">
        <v>0.53849119999999995</v>
      </c>
      <c r="F2274" t="s">
        <v>41</v>
      </c>
      <c r="G2274">
        <v>-394.7029</v>
      </c>
      <c r="H2274">
        <v>0.78819130000000004</v>
      </c>
      <c r="I2274">
        <v>284.5025</v>
      </c>
      <c r="J2274">
        <v>-394.19200000000001</v>
      </c>
      <c r="K2274">
        <v>1.110471</v>
      </c>
      <c r="L2274">
        <v>284.53750000000002</v>
      </c>
      <c r="M2274">
        <v>-0.99987619999999999</v>
      </c>
      <c r="N2274">
        <v>-1.4928230000000001E-2</v>
      </c>
      <c r="O2274">
        <v>-5.0038859999999999E-3</v>
      </c>
      <c r="P2274">
        <v>-0.93499980000000005</v>
      </c>
      <c r="Q2274">
        <v>0.34481009999999901</v>
      </c>
      <c r="R2274">
        <v>-8.2959320000000003E-2</v>
      </c>
      <c r="S2274">
        <v>-3.6689759999999998</v>
      </c>
      <c r="T2274">
        <v>-1.282259</v>
      </c>
      <c r="U2274">
        <v>-0.14688109999999999</v>
      </c>
      <c r="V2274">
        <v>-7.8339259999999994E-2</v>
      </c>
      <c r="W2274">
        <v>0.3587224</v>
      </c>
      <c r="X2274">
        <v>0.93015119999999896</v>
      </c>
      <c r="Y2274">
        <v>-3.3215679999999997E-2</v>
      </c>
      <c r="Z2274">
        <v>-4.2653409999999998E-3</v>
      </c>
      <c r="AA2274">
        <v>0.99943910000000002</v>
      </c>
      <c r="AB2274">
        <v>49</v>
      </c>
      <c r="AC2274">
        <v>-0.51090000000004898</v>
      </c>
      <c r="AD2274">
        <v>-0.322279699999999</v>
      </c>
      <c r="AE2274">
        <v>-3.5000000000024997E-2</v>
      </c>
      <c r="AF2274">
        <v>-2.3238828410379601E-2</v>
      </c>
      <c r="AG2274">
        <v>-0.322279699999999</v>
      </c>
      <c r="AH2274">
        <v>0.36607944303152401</v>
      </c>
      <c r="AI2274">
        <v>131.30208942362299</v>
      </c>
      <c r="AJ2274">
        <v>93.632278751894702</v>
      </c>
      <c r="AK2274">
        <v>0.48828107355113398</v>
      </c>
      <c r="AL2274">
        <v>68.978245652890706</v>
      </c>
      <c r="AM2274">
        <v>94.814207672182903</v>
      </c>
      <c r="AN2274">
        <v>1.0000000273902701</v>
      </c>
    </row>
    <row r="2275" spans="1:40" x14ac:dyDescent="0.25">
      <c r="A2275" t="str">
        <f>"20190304164414239"</f>
        <v>20190304164414239</v>
      </c>
      <c r="B2275" t="str">
        <f>"1551689054231859"</f>
        <v>1551689054231859</v>
      </c>
      <c r="C2275" t="s">
        <v>40</v>
      </c>
      <c r="D2275">
        <v>5.1163030000000003</v>
      </c>
      <c r="E2275">
        <v>0.53815029999999997</v>
      </c>
      <c r="F2275" t="s">
        <v>41</v>
      </c>
      <c r="G2275">
        <v>-395.13810000000001</v>
      </c>
      <c r="H2275">
        <v>0.77782419999999997</v>
      </c>
      <c r="I2275">
        <v>284.49959999999999</v>
      </c>
      <c r="J2275">
        <v>-394.64920000000001</v>
      </c>
      <c r="K2275">
        <v>1.1104799999999999</v>
      </c>
      <c r="L2275">
        <v>284.53519999999997</v>
      </c>
      <c r="M2275">
        <v>-0.99987579999999998</v>
      </c>
      <c r="N2275">
        <v>-1.49251E-2</v>
      </c>
      <c r="O2275">
        <v>-5.0637199999999999E-3</v>
      </c>
      <c r="P2275">
        <v>-0.93516809999999995</v>
      </c>
      <c r="Q2275">
        <v>0.34452500000000003</v>
      </c>
      <c r="R2275">
        <v>-8.2238099999999995E-2</v>
      </c>
      <c r="S2275">
        <v>-3.6714479999999998</v>
      </c>
      <c r="T2275">
        <v>-1.2908630000000001</v>
      </c>
      <c r="U2275">
        <v>-0.14816279999999901</v>
      </c>
      <c r="V2275">
        <v>-7.7561959999999999E-2</v>
      </c>
      <c r="W2275">
        <v>0.35843709999999901</v>
      </c>
      <c r="X2275">
        <v>0.93032630000000005</v>
      </c>
      <c r="Y2275">
        <v>-3.3445900000000001E-2</v>
      </c>
      <c r="Z2275">
        <v>-4.3092199999999999E-3</v>
      </c>
      <c r="AA2275">
        <v>0.99943130000000002</v>
      </c>
      <c r="AB2275">
        <v>49</v>
      </c>
      <c r="AC2275">
        <v>-0.488900000000001</v>
      </c>
      <c r="AD2275">
        <v>-0.332655799999999</v>
      </c>
      <c r="AE2275">
        <v>-3.5599999999988002E-2</v>
      </c>
      <c r="AF2275">
        <v>-2.2679248031074101E-2</v>
      </c>
      <c r="AG2275">
        <v>-0.332655799999999</v>
      </c>
      <c r="AH2275">
        <v>0.33486172873660103</v>
      </c>
      <c r="AI2275">
        <v>134.745105391908</v>
      </c>
      <c r="AJ2275">
        <v>93.874565899161098</v>
      </c>
      <c r="AK2275">
        <v>0.472553284759888</v>
      </c>
      <c r="AL2275">
        <v>68.995756436326701</v>
      </c>
      <c r="AM2275">
        <v>94.765768185663305</v>
      </c>
      <c r="AN2275">
        <v>1.00000001838357</v>
      </c>
    </row>
    <row r="2276" spans="1:40" x14ac:dyDescent="0.25">
      <c r="A2276" t="str">
        <f>"20190304164414261"</f>
        <v>20190304164414261</v>
      </c>
      <c r="B2276" t="str">
        <f>"1551689054252355"</f>
        <v>1551689054252355</v>
      </c>
      <c r="C2276" t="s">
        <v>40</v>
      </c>
      <c r="D2276">
        <v>5.1724899999999998</v>
      </c>
      <c r="E2276">
        <v>0.53789489999999995</v>
      </c>
      <c r="F2276" t="s">
        <v>41</v>
      </c>
      <c r="G2276">
        <v>-395.57889999999998</v>
      </c>
      <c r="H2276">
        <v>0.78168029999999999</v>
      </c>
      <c r="I2276">
        <v>284.49709999999999</v>
      </c>
      <c r="J2276">
        <v>-395.11709999999999</v>
      </c>
      <c r="K2276">
        <v>1.110487</v>
      </c>
      <c r="L2276">
        <v>284.53269999999998</v>
      </c>
      <c r="M2276">
        <v>-0.99987559999999998</v>
      </c>
      <c r="N2276">
        <v>-1.4922009999999999E-2</v>
      </c>
      <c r="O2276">
        <v>-5.1253380000000001E-3</v>
      </c>
      <c r="P2276">
        <v>-0.93535699999999999</v>
      </c>
      <c r="Q2276">
        <v>0.3442132</v>
      </c>
      <c r="R2276">
        <v>-8.1393090000000001E-2</v>
      </c>
      <c r="S2276">
        <v>-3.6733699999999998</v>
      </c>
      <c r="T2276">
        <v>-1.299212</v>
      </c>
      <c r="U2276">
        <v>-0.15081789999999901</v>
      </c>
      <c r="V2276">
        <v>-7.665922E-2</v>
      </c>
      <c r="W2276">
        <v>0.35812539999999998</v>
      </c>
      <c r="X2276">
        <v>0.93052109999999999</v>
      </c>
      <c r="Y2276">
        <v>-3.4030499999999998E-2</v>
      </c>
      <c r="Z2276">
        <v>-4.4159960000000002E-3</v>
      </c>
      <c r="AA2276">
        <v>0.99941100000000005</v>
      </c>
      <c r="AB2276">
        <v>49</v>
      </c>
      <c r="AC2276">
        <v>-0.461799999999982</v>
      </c>
      <c r="AD2276">
        <v>-0.32880669999999901</v>
      </c>
      <c r="AE2276">
        <v>-3.5599999999988002E-2</v>
      </c>
      <c r="AF2276">
        <v>-2.2096520326868999E-2</v>
      </c>
      <c r="AG2276">
        <v>-0.32880669999999901</v>
      </c>
      <c r="AH2276">
        <v>0.30717236762592798</v>
      </c>
      <c r="AI2276">
        <v>136.874533999704</v>
      </c>
      <c r="AJ2276">
        <v>94.114498782376003</v>
      </c>
      <c r="AK2276">
        <v>0.45050745344373999</v>
      </c>
      <c r="AL2276">
        <v>69.014884542861594</v>
      </c>
      <c r="AM2276">
        <v>94.709569011557704</v>
      </c>
      <c r="AN2276">
        <v>0.99999997784068895</v>
      </c>
    </row>
    <row r="2277" spans="1:40" x14ac:dyDescent="0.25">
      <c r="A2277" t="str">
        <f>"20190304164414274"</f>
        <v>20190304164414274</v>
      </c>
      <c r="B2277" t="str">
        <f>"1551689054262116"</f>
        <v>1551689054262116</v>
      </c>
      <c r="C2277" t="s">
        <v>40</v>
      </c>
      <c r="D2277">
        <v>5.1258269999999904</v>
      </c>
      <c r="E2277">
        <v>0.53776119999999905</v>
      </c>
      <c r="F2277" t="s">
        <v>41</v>
      </c>
      <c r="G2277">
        <v>-396.02080000000001</v>
      </c>
      <c r="H2277">
        <v>0.78921200000000002</v>
      </c>
      <c r="I2277">
        <v>284.49540000000002</v>
      </c>
      <c r="J2277">
        <v>-395.40660000000003</v>
      </c>
      <c r="K2277">
        <v>1.1104879999999999</v>
      </c>
      <c r="L2277">
        <v>284.53129999999999</v>
      </c>
      <c r="M2277">
        <v>-0.99987539999999997</v>
      </c>
      <c r="N2277">
        <v>-1.492009E-2</v>
      </c>
      <c r="O2277">
        <v>-5.1632370000000002E-3</v>
      </c>
      <c r="P2277">
        <v>-0.93532000000000004</v>
      </c>
      <c r="Q2277">
        <v>0.34438629999999998</v>
      </c>
      <c r="R2277">
        <v>-8.1083829999999996E-2</v>
      </c>
      <c r="S2277">
        <v>-3.674744</v>
      </c>
      <c r="T2277">
        <v>-1.3063419999999999</v>
      </c>
      <c r="U2277">
        <v>-0.15356449999999999</v>
      </c>
      <c r="V2277">
        <v>-7.6314880000000002E-2</v>
      </c>
      <c r="W2277">
        <v>0.3582959</v>
      </c>
      <c r="X2277">
        <v>0.93048379999999997</v>
      </c>
      <c r="Y2277">
        <v>-3.4666490000000001E-2</v>
      </c>
      <c r="Z2277">
        <v>-4.5376239999999997E-3</v>
      </c>
      <c r="AA2277">
        <v>0.99938859999999996</v>
      </c>
      <c r="AB2277">
        <v>49</v>
      </c>
      <c r="AC2277">
        <v>-0.61419999999998198</v>
      </c>
      <c r="AD2277">
        <v>-0.32127599999999901</v>
      </c>
      <c r="AE2277">
        <v>-3.5899999999969602E-2</v>
      </c>
      <c r="AF2277">
        <v>-2.5715709012840201E-2</v>
      </c>
      <c r="AG2277">
        <v>-0.32127599999999901</v>
      </c>
      <c r="AH2277">
        <v>0.48274228072351499</v>
      </c>
      <c r="AI2277">
        <v>123.60723888670501</v>
      </c>
      <c r="AJ2277">
        <v>93.049267342930605</v>
      </c>
      <c r="AK2277">
        <v>0.58044782320564703</v>
      </c>
      <c r="AL2277">
        <v>69.004421929629203</v>
      </c>
      <c r="AM2277">
        <v>94.688696069062004</v>
      </c>
      <c r="AN2277">
        <v>1.00000000746433</v>
      </c>
    </row>
    <row r="2278" spans="1:40" x14ac:dyDescent="0.25">
      <c r="A2278" t="str">
        <f>"20190304164414288"</f>
        <v>20190304164414288</v>
      </c>
      <c r="B2278" t="str">
        <f>"1551689054282611"</f>
        <v>1551689054282611</v>
      </c>
      <c r="C2278" t="s">
        <v>40</v>
      </c>
      <c r="D2278">
        <v>5.1405659999999997</v>
      </c>
      <c r="E2278">
        <v>0.53753260000000003</v>
      </c>
      <c r="F2278" t="s">
        <v>45</v>
      </c>
      <c r="G2278">
        <v>-398.52600000000001</v>
      </c>
      <c r="H2278" s="1">
        <v>3.0003279999999998E-6</v>
      </c>
      <c r="I2278">
        <v>284.3999</v>
      </c>
      <c r="J2278">
        <v>-395.7115</v>
      </c>
      <c r="K2278">
        <v>1.1104909999999999</v>
      </c>
      <c r="L2278">
        <v>284.52960000000002</v>
      </c>
      <c r="M2278">
        <v>-0.99987530000000002</v>
      </c>
      <c r="N2278">
        <v>-1.491807E-2</v>
      </c>
      <c r="O2278">
        <v>-5.203399E-3</v>
      </c>
      <c r="P2278">
        <v>-0.93534609999999996</v>
      </c>
      <c r="Q2278">
        <v>0.34434870000000001</v>
      </c>
      <c r="R2278">
        <v>-8.094295E-2</v>
      </c>
      <c r="S2278">
        <v>-3.6758419999999998</v>
      </c>
      <c r="T2278">
        <v>-1.308565</v>
      </c>
      <c r="U2278">
        <v>-0.1547241</v>
      </c>
      <c r="V2278">
        <v>-7.6136860000000001E-2</v>
      </c>
      <c r="W2278">
        <v>0.35825679999999999</v>
      </c>
      <c r="X2278">
        <v>0.93051340000000005</v>
      </c>
      <c r="Y2278">
        <v>-3.4910219999999999E-2</v>
      </c>
      <c r="Z2278">
        <v>-4.573779E-3</v>
      </c>
      <c r="AA2278">
        <v>0.99938000000000005</v>
      </c>
      <c r="AB2278">
        <v>49</v>
      </c>
      <c r="AC2278">
        <v>-2.8144999999999998</v>
      </c>
      <c r="AD2278">
        <v>-1.1104879996719901</v>
      </c>
      <c r="AE2278">
        <v>-0.129700000000013</v>
      </c>
      <c r="AF2278">
        <v>-9.9581866996010696E-2</v>
      </c>
      <c r="AG2278">
        <v>-1.1104879996719901</v>
      </c>
      <c r="AH2278">
        <v>2.4366150766414298</v>
      </c>
      <c r="AI2278">
        <v>114.48310275954</v>
      </c>
      <c r="AJ2278">
        <v>92.340315172049401</v>
      </c>
      <c r="AK2278">
        <v>2.6795882477287898</v>
      </c>
      <c r="AL2278">
        <v>69.006820705688497</v>
      </c>
      <c r="AM2278">
        <v>94.677659182219003</v>
      </c>
      <c r="AN2278">
        <v>0.99999997188822898</v>
      </c>
    </row>
    <row r="2279" spans="1:40" x14ac:dyDescent="0.25">
      <c r="A2279" t="str">
        <f>"20190304164414307"</f>
        <v>20190304164414307</v>
      </c>
      <c r="B2279" t="str">
        <f>"1551689054302132"</f>
        <v>1551689054302132</v>
      </c>
      <c r="C2279" t="s">
        <v>40</v>
      </c>
      <c r="D2279">
        <v>5.1711109999999998</v>
      </c>
      <c r="E2279">
        <v>0.53737519999999905</v>
      </c>
      <c r="F2279" t="s">
        <v>41</v>
      </c>
      <c r="G2279">
        <v>-396.47919999999999</v>
      </c>
      <c r="H2279">
        <v>0.8362948</v>
      </c>
      <c r="I2279">
        <v>284.49700000000001</v>
      </c>
      <c r="J2279">
        <v>-396.10820000000001</v>
      </c>
      <c r="K2279">
        <v>1.1104889999999901</v>
      </c>
      <c r="L2279">
        <v>284.52749999999997</v>
      </c>
      <c r="M2279">
        <v>-0.99987510000000002</v>
      </c>
      <c r="N2279">
        <v>-1.491542E-2</v>
      </c>
      <c r="O2279">
        <v>-5.2557150000000002E-3</v>
      </c>
      <c r="P2279">
        <v>-0.93529580000000001</v>
      </c>
      <c r="Q2279">
        <v>0.3445069</v>
      </c>
      <c r="R2279">
        <v>-8.0850199999999997E-2</v>
      </c>
      <c r="S2279">
        <v>-3.6773069999999999</v>
      </c>
      <c r="T2279">
        <v>-1.313331</v>
      </c>
      <c r="U2279">
        <v>-0.15625</v>
      </c>
      <c r="V2279">
        <v>-7.5995800000000002E-2</v>
      </c>
      <c r="W2279">
        <v>0.3584117</v>
      </c>
      <c r="X2279">
        <v>0.93046530000000005</v>
      </c>
      <c r="Y2279">
        <v>-3.5225909999999999E-2</v>
      </c>
      <c r="Z2279">
        <v>-4.6263709999999998E-3</v>
      </c>
      <c r="AA2279">
        <v>0.9993687</v>
      </c>
      <c r="AB2279">
        <v>49</v>
      </c>
      <c r="AC2279">
        <v>-0.37099999999998001</v>
      </c>
      <c r="AD2279">
        <v>-0.274194199999999</v>
      </c>
      <c r="AE2279">
        <v>-3.0499999999960802E-2</v>
      </c>
      <c r="AF2279">
        <v>-1.8507930334742701E-2</v>
      </c>
      <c r="AG2279">
        <v>-0.274194199999999</v>
      </c>
      <c r="AH2279">
        <v>0.24061074336080401</v>
      </c>
      <c r="AI2279">
        <v>138.64861723387301</v>
      </c>
      <c r="AJ2279">
        <v>94.3985660690457</v>
      </c>
      <c r="AK2279">
        <v>0.36526501696652303</v>
      </c>
      <c r="AL2279">
        <v>68.997314730150606</v>
      </c>
      <c r="AM2279">
        <v>94.669271454333597</v>
      </c>
      <c r="AN2279">
        <v>0.99999999140930995</v>
      </c>
    </row>
    <row r="2280" spans="1:40" x14ac:dyDescent="0.25">
      <c r="A2280" t="str">
        <f>"20190304164414329"</f>
        <v>20190304164414329</v>
      </c>
      <c r="B2280" t="str">
        <f>"1551689054322627"</f>
        <v>1551689054322627</v>
      </c>
      <c r="C2280" t="s">
        <v>40</v>
      </c>
      <c r="D2280">
        <v>5.1342119999999998</v>
      </c>
      <c r="E2280">
        <v>0.53725710000000004</v>
      </c>
      <c r="F2280" t="s">
        <v>41</v>
      </c>
      <c r="G2280">
        <v>-396.9117</v>
      </c>
      <c r="H2280">
        <v>0.82298249999999995</v>
      </c>
      <c r="I2280">
        <v>284.49380000000002</v>
      </c>
      <c r="J2280">
        <v>-396.60899999999998</v>
      </c>
      <c r="K2280">
        <v>1.1104889999999901</v>
      </c>
      <c r="L2280">
        <v>284.52480000000003</v>
      </c>
      <c r="M2280">
        <v>-0.99987470000000001</v>
      </c>
      <c r="N2280">
        <v>-1.4912089999999999E-2</v>
      </c>
      <c r="O2280">
        <v>-5.3232920000000003E-3</v>
      </c>
      <c r="P2280">
        <v>-0.93518760000000001</v>
      </c>
      <c r="Q2280">
        <v>0.34482950000000001</v>
      </c>
      <c r="R2280">
        <v>-8.0728079999999994E-2</v>
      </c>
      <c r="S2280">
        <v>-3.6789860000000001</v>
      </c>
      <c r="T2280">
        <v>-1.3163720000000001</v>
      </c>
      <c r="U2280">
        <v>-0.15582279999999901</v>
      </c>
      <c r="V2280">
        <v>-7.5811519999999993E-2</v>
      </c>
      <c r="W2280">
        <v>0.35872959999999998</v>
      </c>
      <c r="X2280">
        <v>0.93035789999999996</v>
      </c>
      <c r="Y2280">
        <v>-3.5032639999999997E-2</v>
      </c>
      <c r="Z2280">
        <v>-4.5763399999999999E-3</v>
      </c>
      <c r="AA2280">
        <v>0.99937569999999998</v>
      </c>
      <c r="AB2280">
        <v>49</v>
      </c>
      <c r="AC2280">
        <v>-0.302699999999958</v>
      </c>
      <c r="AD2280">
        <v>-0.287506499999999</v>
      </c>
      <c r="AE2280">
        <v>-3.1000000000005901E-2</v>
      </c>
      <c r="AF2280">
        <v>-1.55264671210578E-2</v>
      </c>
      <c r="AG2280">
        <v>-0.287506499999999</v>
      </c>
      <c r="AH2280">
        <v>0.16000932730223799</v>
      </c>
      <c r="AI2280">
        <v>150.788017978178</v>
      </c>
      <c r="AJ2280">
        <v>95.542330779082207</v>
      </c>
      <c r="AK2280">
        <v>0.329399519652391</v>
      </c>
      <c r="AL2280">
        <v>68.977804587262995</v>
      </c>
      <c r="AM2280">
        <v>94.658534307033193</v>
      </c>
      <c r="AN2280">
        <v>1.00000006728663</v>
      </c>
    </row>
    <row r="2281" spans="1:40" x14ac:dyDescent="0.25">
      <c r="A2281" t="str">
        <f>"20190304164414350"</f>
        <v>20190304164414350</v>
      </c>
      <c r="B2281" t="str">
        <f>"1551689054342148"</f>
        <v>1551689054342148</v>
      </c>
      <c r="C2281" t="s">
        <v>40</v>
      </c>
      <c r="D2281">
        <v>5.12324</v>
      </c>
      <c r="E2281">
        <v>0.53718739999999998</v>
      </c>
      <c r="F2281" t="s">
        <v>41</v>
      </c>
      <c r="G2281">
        <v>-397.35789999999997</v>
      </c>
      <c r="H2281">
        <v>0.84228380000000003</v>
      </c>
      <c r="I2281">
        <v>284.49310000000003</v>
      </c>
      <c r="J2281">
        <v>-397.08589999999998</v>
      </c>
      <c r="K2281">
        <v>1.110493</v>
      </c>
      <c r="L2281">
        <v>284.5222</v>
      </c>
      <c r="M2281">
        <v>-0.9998745</v>
      </c>
      <c r="N2281">
        <v>-1.4908930000000001E-2</v>
      </c>
      <c r="O2281">
        <v>-5.3908869999999996E-3</v>
      </c>
      <c r="P2281">
        <v>-0.93518730000000005</v>
      </c>
      <c r="Q2281">
        <v>0.34474670000000002</v>
      </c>
      <c r="R2281">
        <v>-8.1084920000000005E-2</v>
      </c>
      <c r="S2281">
        <v>-3.6804199999999998</v>
      </c>
      <c r="T2281">
        <v>-1.3180099999999999</v>
      </c>
      <c r="U2281">
        <v>-0.15606689999999901</v>
      </c>
      <c r="V2281">
        <v>-7.6106560000000004E-2</v>
      </c>
      <c r="W2281">
        <v>0.35864370000000001</v>
      </c>
      <c r="X2281">
        <v>0.9303669</v>
      </c>
      <c r="Y2281">
        <v>-3.501655E-2</v>
      </c>
      <c r="Z2281">
        <v>-4.5542689999999997E-3</v>
      </c>
      <c r="AA2281">
        <v>0.99937640000000005</v>
      </c>
      <c r="AB2281">
        <v>49</v>
      </c>
      <c r="AC2281">
        <v>-0.27199999999999103</v>
      </c>
      <c r="AD2281">
        <v>-0.26820919999999898</v>
      </c>
      <c r="AE2281">
        <v>-2.9099999999971201E-2</v>
      </c>
      <c r="AF2281">
        <v>-1.4089045550486E-2</v>
      </c>
      <c r="AG2281">
        <v>-0.26820919999999898</v>
      </c>
      <c r="AH2281">
        <v>0.138760259120109</v>
      </c>
      <c r="AI2281">
        <v>152.52474310448099</v>
      </c>
      <c r="AJ2281">
        <v>95.797667330722703</v>
      </c>
      <c r="AK2281">
        <v>0.3023062779372</v>
      </c>
      <c r="AL2281">
        <v>68.983076546821295</v>
      </c>
      <c r="AM2281">
        <v>94.6765388906704</v>
      </c>
      <c r="AN2281">
        <v>1.0000000403201601</v>
      </c>
    </row>
    <row r="2282" spans="1:40" x14ac:dyDescent="0.25">
      <c r="A2282" t="str">
        <f>"20190304164414372"</f>
        <v>20190304164414372</v>
      </c>
      <c r="B2282" t="str">
        <f>"1551689054362644"</f>
        <v>1551689054362644</v>
      </c>
      <c r="C2282" t="s">
        <v>40</v>
      </c>
      <c r="D2282">
        <v>5.1119750000000002</v>
      </c>
      <c r="E2282">
        <v>0.53712740000000003</v>
      </c>
      <c r="F2282" t="s">
        <v>41</v>
      </c>
      <c r="G2282">
        <v>-397.80059999999997</v>
      </c>
      <c r="H2282">
        <v>0.85411209999999904</v>
      </c>
      <c r="I2282">
        <v>284.49130000000002</v>
      </c>
      <c r="J2282">
        <v>-397.56229999999999</v>
      </c>
      <c r="K2282">
        <v>1.1104969999999901</v>
      </c>
      <c r="L2282">
        <v>284.5197</v>
      </c>
      <c r="M2282">
        <v>-0.99987400000000004</v>
      </c>
      <c r="N2282">
        <v>-1.4905740000000001E-2</v>
      </c>
      <c r="O2282">
        <v>-5.4641179999999996E-3</v>
      </c>
      <c r="P2282">
        <v>-0.93515800000000004</v>
      </c>
      <c r="Q2282">
        <v>0.3446708</v>
      </c>
      <c r="R2282">
        <v>-8.1742850000000006E-2</v>
      </c>
      <c r="S2282">
        <v>-3.6807859999999999</v>
      </c>
      <c r="T2282">
        <v>-1.320292</v>
      </c>
      <c r="U2282">
        <v>-0.160156299999999</v>
      </c>
      <c r="V2282">
        <v>-7.6699089999999998E-2</v>
      </c>
      <c r="W2282">
        <v>0.35856399999999999</v>
      </c>
      <c r="X2282">
        <v>0.93034890000000003</v>
      </c>
      <c r="Y2282">
        <v>-3.5982849999999997E-2</v>
      </c>
      <c r="Z2282">
        <v>-4.7116119999999996E-3</v>
      </c>
      <c r="AA2282">
        <v>0.99934129999999999</v>
      </c>
      <c r="AB2282">
        <v>49</v>
      </c>
      <c r="AC2282">
        <v>-0.238299999999981</v>
      </c>
      <c r="AD2282">
        <v>-0.25638489999999903</v>
      </c>
      <c r="AE2282">
        <v>-2.8399999999976399E-2</v>
      </c>
      <c r="AF2282">
        <v>-1.26544313011811E-2</v>
      </c>
      <c r="AG2282">
        <v>-0.25638489999999903</v>
      </c>
      <c r="AH2282">
        <v>0.111356715812633</v>
      </c>
      <c r="AI2282">
        <v>156.38843810025401</v>
      </c>
      <c r="AJ2282">
        <v>96.483205281123901</v>
      </c>
      <c r="AK2282">
        <v>0.279810060105318</v>
      </c>
      <c r="AL2282">
        <v>68.987967139733101</v>
      </c>
      <c r="AM2282">
        <v>94.712875629495599</v>
      </c>
      <c r="AN2282">
        <v>0.99999998411701896</v>
      </c>
    </row>
    <row r="2283" spans="1:40" x14ac:dyDescent="0.25">
      <c r="A2283" t="str">
        <f>"20190304164414396"</f>
        <v>20190304164414396</v>
      </c>
      <c r="B2283" t="str">
        <f>"1551689054391923"</f>
        <v>1551689054391923</v>
      </c>
      <c r="C2283" t="s">
        <v>40</v>
      </c>
      <c r="D2283">
        <v>5.0728099999999996</v>
      </c>
      <c r="E2283">
        <v>0.53695780000000004</v>
      </c>
      <c r="F2283" t="s">
        <v>41</v>
      </c>
      <c r="G2283">
        <v>-398.24299999999999</v>
      </c>
      <c r="H2283">
        <v>0.86602900000000005</v>
      </c>
      <c r="I2283">
        <v>284.48919999999998</v>
      </c>
      <c r="J2283">
        <v>-398.0677</v>
      </c>
      <c r="K2283">
        <v>1.110509</v>
      </c>
      <c r="L2283">
        <v>284.51679999999999</v>
      </c>
      <c r="M2283">
        <v>-0.99987360000000003</v>
      </c>
      <c r="N2283">
        <v>-1.490237E-2</v>
      </c>
      <c r="O2283">
        <v>-5.5551919999999996E-3</v>
      </c>
      <c r="P2283">
        <v>-0.93516580000000005</v>
      </c>
      <c r="Q2283">
        <v>0.34462609999999999</v>
      </c>
      <c r="R2283">
        <v>-8.184205E-2</v>
      </c>
      <c r="S2283">
        <v>-3.680847</v>
      </c>
      <c r="T2283">
        <v>-1.3219289999999999</v>
      </c>
      <c r="U2283">
        <v>-0.1647034</v>
      </c>
      <c r="V2283">
        <v>-7.6720159999999996E-2</v>
      </c>
      <c r="W2283">
        <v>0.35851450000000001</v>
      </c>
      <c r="X2283">
        <v>0.93036629999999998</v>
      </c>
      <c r="Y2283">
        <v>-3.7054110000000001E-2</v>
      </c>
      <c r="Z2283">
        <v>-4.8807620000000003E-3</v>
      </c>
      <c r="AA2283">
        <v>0.99930129999999995</v>
      </c>
      <c r="AB2283">
        <v>49</v>
      </c>
      <c r="AC2283">
        <v>-0.175300000000049</v>
      </c>
      <c r="AD2283">
        <v>-0.244479999999999</v>
      </c>
      <c r="AE2283">
        <v>-2.7600000000006699E-2</v>
      </c>
      <c r="AF2283">
        <v>-9.1876985213384006E-3</v>
      </c>
      <c r="AG2283">
        <v>-0.244479999999999</v>
      </c>
      <c r="AH2283">
        <v>6.0542675765224298E-2</v>
      </c>
      <c r="AI2283">
        <v>165.93820599587701</v>
      </c>
      <c r="AJ2283">
        <v>98.629123019058198</v>
      </c>
      <c r="AK2283">
        <v>0.252032338783998</v>
      </c>
      <c r="AL2283">
        <v>68.991006522020797</v>
      </c>
      <c r="AM2283">
        <v>94.714076700444707</v>
      </c>
      <c r="AN2283">
        <v>1.00000004091818</v>
      </c>
    </row>
    <row r="2284" spans="1:40" x14ac:dyDescent="0.25">
      <c r="A2284" t="str">
        <f>"20190304164414418"</f>
        <v>20190304164414418</v>
      </c>
      <c r="B2284" t="str">
        <f>"1551689054412419"</f>
        <v>1551689054412419</v>
      </c>
      <c r="C2284" t="s">
        <v>40</v>
      </c>
      <c r="D2284">
        <v>5.0375209999999999</v>
      </c>
      <c r="E2284">
        <v>0.53686959999999995</v>
      </c>
      <c r="F2284" t="s">
        <v>46</v>
      </c>
      <c r="G2284">
        <v>-401.1506</v>
      </c>
      <c r="H2284" s="1">
        <v>7.9417859999999906E-6</v>
      </c>
      <c r="I2284">
        <v>284.37549999999999</v>
      </c>
      <c r="J2284">
        <v>-398.5616</v>
      </c>
      <c r="K2284">
        <v>1.110517</v>
      </c>
      <c r="L2284">
        <v>284.51400000000001</v>
      </c>
      <c r="M2284">
        <v>-0.99987300000000001</v>
      </c>
      <c r="N2284">
        <v>-1.489908E-2</v>
      </c>
      <c r="O2284">
        <v>-5.6638869999999899E-3</v>
      </c>
      <c r="P2284">
        <v>-0.93521670000000001</v>
      </c>
      <c r="Q2284">
        <v>0.34446670000000001</v>
      </c>
      <c r="R2284">
        <v>-8.1929749999999996E-2</v>
      </c>
      <c r="S2284">
        <v>-3.6819459999999999</v>
      </c>
      <c r="T2284">
        <v>-1.326274</v>
      </c>
      <c r="U2284">
        <v>-0.1687622</v>
      </c>
      <c r="V2284">
        <v>-7.6717350000000004E-2</v>
      </c>
      <c r="W2284">
        <v>0.35835080000000002</v>
      </c>
      <c r="X2284">
        <v>0.93042959999999997</v>
      </c>
      <c r="Y2284">
        <v>-3.7966310000000003E-2</v>
      </c>
      <c r="Z2284">
        <v>-5.0231670000000003E-3</v>
      </c>
      <c r="AA2284">
        <v>0.9992664</v>
      </c>
      <c r="AB2284">
        <v>49</v>
      </c>
      <c r="AC2284">
        <v>-2.5889999999999902</v>
      </c>
      <c r="AD2284">
        <v>-1.110509058214</v>
      </c>
      <c r="AE2284">
        <v>-0.138500000000021</v>
      </c>
      <c r="AF2284">
        <v>-0.104635941627231</v>
      </c>
      <c r="AG2284">
        <v>-1.110509058214</v>
      </c>
      <c r="AH2284">
        <v>2.1882828130049599</v>
      </c>
      <c r="AI2284">
        <v>116.880473752791</v>
      </c>
      <c r="AJ2284">
        <v>92.737596299191594</v>
      </c>
      <c r="AK2284">
        <v>2.45616789294797</v>
      </c>
      <c r="AL2284">
        <v>69.001053469640695</v>
      </c>
      <c r="AM2284">
        <v>94.713585561443494</v>
      </c>
      <c r="AN2284">
        <v>1.0000000441039101</v>
      </c>
    </row>
    <row r="2285" spans="1:40" x14ac:dyDescent="0.25">
      <c r="A2285" t="str">
        <f>"20190304164414440"</f>
        <v>20190304164414440</v>
      </c>
      <c r="B2285" t="str">
        <f>"1551689054431939"</f>
        <v>1551689054431939</v>
      </c>
      <c r="C2285" t="s">
        <v>40</v>
      </c>
      <c r="D2285">
        <v>5.0268790000000001</v>
      </c>
      <c r="E2285">
        <v>0.53679200000000005</v>
      </c>
      <c r="F2285" t="s">
        <v>41</v>
      </c>
      <c r="G2285">
        <v>-399.51310000000001</v>
      </c>
      <c r="H2285">
        <v>0.76716269999999998</v>
      </c>
      <c r="I2285">
        <v>284.47039999999998</v>
      </c>
      <c r="J2285">
        <v>-399.03550000000001</v>
      </c>
      <c r="K2285">
        <v>1.110538</v>
      </c>
      <c r="L2285">
        <v>284.51119999999997</v>
      </c>
      <c r="M2285">
        <v>-0.99987230000000005</v>
      </c>
      <c r="N2285">
        <v>-1.4896039999999999E-2</v>
      </c>
      <c r="O2285">
        <v>-5.7868190000000003E-3</v>
      </c>
      <c r="P2285">
        <v>-0.9353766</v>
      </c>
      <c r="Q2285">
        <v>0.34407650000000001</v>
      </c>
      <c r="R2285">
        <v>-8.1744919999999999E-2</v>
      </c>
      <c r="S2285">
        <v>-3.6823429999999999</v>
      </c>
      <c r="T2285">
        <v>-1.3288</v>
      </c>
      <c r="U2285">
        <v>-0.17007449999999999</v>
      </c>
      <c r="V2285">
        <v>-7.6430680000000001E-2</v>
      </c>
      <c r="W2285">
        <v>0.35795719999999998</v>
      </c>
      <c r="X2285">
        <v>0.9306046</v>
      </c>
      <c r="Y2285">
        <v>-3.817972E-2</v>
      </c>
      <c r="Z2285">
        <v>-5.0286840000000003E-3</v>
      </c>
      <c r="AA2285">
        <v>0.99925819999999999</v>
      </c>
      <c r="AB2285">
        <v>49</v>
      </c>
      <c r="AC2285">
        <v>-0.47759999999999497</v>
      </c>
      <c r="AD2285">
        <v>-0.34337529999999999</v>
      </c>
      <c r="AE2285">
        <v>-4.0799999999990101E-2</v>
      </c>
      <c r="AF2285">
        <v>-2.5136311607022E-2</v>
      </c>
      <c r="AG2285">
        <v>-0.34337529999999999</v>
      </c>
      <c r="AH2285">
        <v>0.31578192802842497</v>
      </c>
      <c r="AI2285">
        <v>137.306924867936</v>
      </c>
      <c r="AJ2285">
        <v>94.551160615027996</v>
      </c>
      <c r="AK2285">
        <v>0.467179469669467</v>
      </c>
      <c r="AL2285">
        <v>69.025205632303397</v>
      </c>
      <c r="AM2285">
        <v>94.695172067381193</v>
      </c>
      <c r="AN2285">
        <v>0.99999996370913002</v>
      </c>
    </row>
    <row r="2286" spans="1:40" x14ac:dyDescent="0.25">
      <c r="A2286" t="str">
        <f>"20190304164414463"</f>
        <v>20190304164414463</v>
      </c>
      <c r="B2286" t="str">
        <f>"1551689054452436"</f>
        <v>1551689054452436</v>
      </c>
      <c r="C2286" t="s">
        <v>40</v>
      </c>
      <c r="D2286">
        <v>4.9035390000000003</v>
      </c>
      <c r="E2286">
        <v>0.5367056</v>
      </c>
      <c r="F2286" t="s">
        <v>41</v>
      </c>
      <c r="G2286">
        <v>-399.95190000000002</v>
      </c>
      <c r="H2286">
        <v>0.77908409999999995</v>
      </c>
      <c r="I2286">
        <v>284.46929999999998</v>
      </c>
      <c r="J2286">
        <v>-399.5231</v>
      </c>
      <c r="K2286">
        <v>1.1105609999999999</v>
      </c>
      <c r="L2286">
        <v>284.50830000000002</v>
      </c>
      <c r="M2286">
        <v>-0.99987159999999997</v>
      </c>
      <c r="N2286">
        <v>-1.4893109999999999E-2</v>
      </c>
      <c r="O2286">
        <v>-5.9385699999999998E-3</v>
      </c>
      <c r="P2286">
        <v>-0.93523730000000005</v>
      </c>
      <c r="Q2286">
        <v>0.3444856</v>
      </c>
      <c r="R2286">
        <v>-8.1615599999999996E-2</v>
      </c>
      <c r="S2286">
        <v>-3.6825559999999999</v>
      </c>
      <c r="T2286">
        <v>-1.331995</v>
      </c>
      <c r="U2286">
        <v>-0.16809079999999901</v>
      </c>
      <c r="V2286">
        <v>-7.6178079999999995E-2</v>
      </c>
      <c r="W2286">
        <v>0.35835739999999999</v>
      </c>
      <c r="X2286">
        <v>0.9304713</v>
      </c>
      <c r="Y2286">
        <v>-3.7530330000000001E-2</v>
      </c>
      <c r="Z2286">
        <v>-4.8691990000000003E-3</v>
      </c>
      <c r="AA2286">
        <v>0.99928360000000005</v>
      </c>
      <c r="AB2286">
        <v>49</v>
      </c>
      <c r="AC2286">
        <v>-0.428800000000023</v>
      </c>
      <c r="AD2286">
        <v>-0.33147690000000002</v>
      </c>
      <c r="AE2286">
        <v>-3.9000000000044097E-2</v>
      </c>
      <c r="AF2286">
        <v>-2.28875886324632E-2</v>
      </c>
      <c r="AG2286">
        <v>-0.33147690000000002</v>
      </c>
      <c r="AH2286">
        <v>0.26937266768989399</v>
      </c>
      <c r="AI2286">
        <v>140.80028102957701</v>
      </c>
      <c r="AJ2286">
        <v>94.856543729114406</v>
      </c>
      <c r="AK2286">
        <v>0.42774105606709001</v>
      </c>
      <c r="AL2286">
        <v>69.000647073769798</v>
      </c>
      <c r="AM2286">
        <v>94.680391207650402</v>
      </c>
      <c r="AN2286">
        <v>0.999999983065468</v>
      </c>
    </row>
    <row r="2287" spans="1:40" x14ac:dyDescent="0.25">
      <c r="A2287" t="str">
        <f>"20190304164414485"</f>
        <v>20190304164414485</v>
      </c>
      <c r="B2287" t="str">
        <f>"1551689054481716"</f>
        <v>1551689054481716</v>
      </c>
      <c r="C2287" t="s">
        <v>40</v>
      </c>
      <c r="D2287">
        <v>4.8420550000000002</v>
      </c>
      <c r="E2287">
        <v>0.53655869999999894</v>
      </c>
      <c r="F2287" t="s">
        <v>41</v>
      </c>
      <c r="G2287">
        <v>-400.39420000000001</v>
      </c>
      <c r="H2287">
        <v>0.79567480000000002</v>
      </c>
      <c r="I2287">
        <v>284.46910000000003</v>
      </c>
      <c r="J2287">
        <v>-400.00580000000002</v>
      </c>
      <c r="K2287">
        <v>1.110589</v>
      </c>
      <c r="L2287">
        <v>284.5052</v>
      </c>
      <c r="M2287">
        <v>-0.9998705</v>
      </c>
      <c r="N2287">
        <v>-1.4889960000000001E-2</v>
      </c>
      <c r="O2287">
        <v>-6.120449E-3</v>
      </c>
      <c r="P2287">
        <v>-0.93517410000000001</v>
      </c>
      <c r="Q2287">
        <v>0.34472509999999901</v>
      </c>
      <c r="R2287">
        <v>-8.1329059999999995E-2</v>
      </c>
      <c r="S2287">
        <v>-3.6835939999999998</v>
      </c>
      <c r="T2287">
        <v>-1.331496</v>
      </c>
      <c r="U2287">
        <v>-0.166687</v>
      </c>
      <c r="V2287">
        <v>-7.5744030000000004E-2</v>
      </c>
      <c r="W2287">
        <v>0.35858889999999999</v>
      </c>
      <c r="X2287">
        <v>0.93041750000000001</v>
      </c>
      <c r="Y2287">
        <v>-3.7003630000000003E-2</v>
      </c>
      <c r="Z2287">
        <v>-4.7090320000000001E-3</v>
      </c>
      <c r="AA2287">
        <v>0.99930410000000003</v>
      </c>
      <c r="AB2287">
        <v>49</v>
      </c>
      <c r="AC2287">
        <v>-0.38839999999998998</v>
      </c>
      <c r="AD2287">
        <v>-0.31491419999999998</v>
      </c>
      <c r="AE2287">
        <v>-3.60999999999762E-2</v>
      </c>
      <c r="AF2287">
        <v>-2.0415675858564901E-2</v>
      </c>
      <c r="AG2287">
        <v>-0.31491419999999998</v>
      </c>
      <c r="AH2287">
        <v>0.235271928447367</v>
      </c>
      <c r="AI2287">
        <v>143.13354915297501</v>
      </c>
      <c r="AJ2287">
        <v>94.959407134979699</v>
      </c>
      <c r="AK2287">
        <v>0.39362499094664299</v>
      </c>
      <c r="AL2287">
        <v>68.986437890176404</v>
      </c>
      <c r="AM2287">
        <v>94.654108511353598</v>
      </c>
      <c r="AN2287">
        <v>0.99999994079504795</v>
      </c>
    </row>
    <row r="2288" spans="1:40" x14ac:dyDescent="0.25">
      <c r="A2288" t="str">
        <f>"20190304164414508"</f>
        <v>20190304164414508</v>
      </c>
      <c r="B2288" t="str">
        <f>"1551689054502211"</f>
        <v>1551689054502211</v>
      </c>
      <c r="C2288" t="s">
        <v>40</v>
      </c>
      <c r="D2288">
        <v>4.9629859999999999</v>
      </c>
      <c r="E2288">
        <v>0.53661199999999998</v>
      </c>
      <c r="F2288" t="s">
        <v>41</v>
      </c>
      <c r="G2288">
        <v>-400.8356</v>
      </c>
      <c r="H2288">
        <v>0.81064239999999999</v>
      </c>
      <c r="I2288">
        <v>284.46769999999998</v>
      </c>
      <c r="J2288">
        <v>-400.50970000000001</v>
      </c>
      <c r="K2288">
        <v>1.1106259999999999</v>
      </c>
      <c r="L2288">
        <v>284.50200000000001</v>
      </c>
      <c r="M2288">
        <v>-0.99986900000000001</v>
      </c>
      <c r="N2288">
        <v>-1.488658E-2</v>
      </c>
      <c r="O2288">
        <v>-6.3455839999999996E-3</v>
      </c>
      <c r="P2288">
        <v>-0.93512329999999999</v>
      </c>
      <c r="Q2288">
        <v>0.34465859999999998</v>
      </c>
      <c r="R2288">
        <v>-8.2191009999999995E-2</v>
      </c>
      <c r="S2288">
        <v>-3.684418</v>
      </c>
      <c r="T2288">
        <v>-1.3318410000000001</v>
      </c>
      <c r="U2288">
        <v>-0.1665344</v>
      </c>
      <c r="V2288">
        <v>-7.6422989999999996E-2</v>
      </c>
      <c r="W2288">
        <v>0.35851270000000002</v>
      </c>
      <c r="X2288">
        <v>0.93039139999999998</v>
      </c>
      <c r="Y2288">
        <v>-3.6756520000000001E-2</v>
      </c>
      <c r="Z2288">
        <v>-4.5883360000000002E-3</v>
      </c>
      <c r="AA2288">
        <v>0.99931369999999997</v>
      </c>
      <c r="AB2288">
        <v>49</v>
      </c>
      <c r="AC2288">
        <v>-0.32589999999998998</v>
      </c>
      <c r="AD2288">
        <v>-0.29998360000000002</v>
      </c>
      <c r="AE2288">
        <v>-3.4300000000030098E-2</v>
      </c>
      <c r="AF2288">
        <v>-1.7535973340214801E-2</v>
      </c>
      <c r="AG2288">
        <v>-0.29998360000000002</v>
      </c>
      <c r="AH2288">
        <v>0.17742751407780499</v>
      </c>
      <c r="AI2288">
        <v>149.275327878653</v>
      </c>
      <c r="AJ2288">
        <v>95.644472857216101</v>
      </c>
      <c r="AK2288">
        <v>0.34896732423219501</v>
      </c>
      <c r="AL2288">
        <v>68.991115951214795</v>
      </c>
      <c r="AM2288">
        <v>94.695772763479695</v>
      </c>
      <c r="AN2288">
        <v>0.99999999332789502</v>
      </c>
    </row>
    <row r="2289" spans="1:40" x14ac:dyDescent="0.25">
      <c r="A2289" t="str">
        <f>"20190304164414529"</f>
        <v>20190304164414529</v>
      </c>
      <c r="B2289" t="str">
        <f>"1551689054521735"</f>
        <v>1551689054521735</v>
      </c>
      <c r="C2289" t="s">
        <v>40</v>
      </c>
      <c r="D2289">
        <v>4.9562059999999999</v>
      </c>
      <c r="E2289">
        <v>0.53665629999999998</v>
      </c>
      <c r="F2289" t="s">
        <v>41</v>
      </c>
      <c r="G2289">
        <v>-401.2799</v>
      </c>
      <c r="H2289">
        <v>0.83238409999999996</v>
      </c>
      <c r="I2289">
        <v>284.46769999999998</v>
      </c>
      <c r="J2289">
        <v>-400.98110000000003</v>
      </c>
      <c r="K2289">
        <v>1.110657</v>
      </c>
      <c r="L2289">
        <v>284.49880000000002</v>
      </c>
      <c r="M2289">
        <v>-0.99986759999999997</v>
      </c>
      <c r="N2289">
        <v>-1.4883510000000001E-2</v>
      </c>
      <c r="O2289">
        <v>-6.5876519999999899E-3</v>
      </c>
      <c r="P2289">
        <v>-0.93519629999999998</v>
      </c>
      <c r="Q2289">
        <v>0.34419909999999998</v>
      </c>
      <c r="R2289">
        <v>-8.3275150000000006E-2</v>
      </c>
      <c r="S2289">
        <v>-3.6842350000000001</v>
      </c>
      <c r="T2289">
        <v>-1.3309409999999999</v>
      </c>
      <c r="U2289">
        <v>-0.16506960000000001</v>
      </c>
      <c r="V2289">
        <v>-7.7307340000000002E-2</v>
      </c>
      <c r="W2289">
        <v>0.35804580000000003</v>
      </c>
      <c r="X2289">
        <v>0.93049820000000005</v>
      </c>
      <c r="Y2289">
        <v>-3.617509E-2</v>
      </c>
      <c r="Z2289">
        <v>-4.3983540000000002E-3</v>
      </c>
      <c r="AA2289">
        <v>0.9993358</v>
      </c>
      <c r="AB2289">
        <v>49</v>
      </c>
      <c r="AC2289">
        <v>-0.29879999999997098</v>
      </c>
      <c r="AD2289">
        <v>-0.27827289999999899</v>
      </c>
      <c r="AE2289">
        <v>-3.1100000000037601E-2</v>
      </c>
      <c r="AF2289">
        <v>-1.5678303777607001E-2</v>
      </c>
      <c r="AG2289">
        <v>-0.27827289999999899</v>
      </c>
      <c r="AH2289">
        <v>0.16092250697594301</v>
      </c>
      <c r="AI2289">
        <v>149.84219639208101</v>
      </c>
      <c r="AJ2289">
        <v>95.564631472721601</v>
      </c>
      <c r="AK2289">
        <v>0.32183484791920097</v>
      </c>
      <c r="AL2289">
        <v>69.019770998555799</v>
      </c>
      <c r="AM2289">
        <v>94.749321320658495</v>
      </c>
      <c r="AN2289">
        <v>1.0000000599593699</v>
      </c>
    </row>
    <row r="2290" spans="1:40" x14ac:dyDescent="0.25">
      <c r="A2290" t="str">
        <f>"20190304164414551"</f>
        <v>20190304164414551</v>
      </c>
      <c r="B2290" t="str">
        <f>"1551689054542227"</f>
        <v>1551689054542227</v>
      </c>
      <c r="C2290" t="s">
        <v>40</v>
      </c>
      <c r="D2290">
        <v>4.9599690000000001</v>
      </c>
      <c r="E2290">
        <v>0.53666230000000004</v>
      </c>
      <c r="F2290" t="s">
        <v>41</v>
      </c>
      <c r="G2290">
        <v>-401.71940000000001</v>
      </c>
      <c r="H2290">
        <v>0.84371939999999901</v>
      </c>
      <c r="I2290">
        <v>284.46559999999999</v>
      </c>
      <c r="J2290">
        <v>-401.45030000000003</v>
      </c>
      <c r="K2290">
        <v>1.1106819999999999</v>
      </c>
      <c r="L2290">
        <v>284.49549999999999</v>
      </c>
      <c r="M2290">
        <v>-0.99986580000000003</v>
      </c>
      <c r="N2290">
        <v>-1.4880549999999999E-2</v>
      </c>
      <c r="O2290">
        <v>-6.8539040000000001E-3</v>
      </c>
      <c r="P2290">
        <v>-0.93532850000000001</v>
      </c>
      <c r="Q2290">
        <v>0.34338489999999999</v>
      </c>
      <c r="R2290">
        <v>-8.5133109999999998E-2</v>
      </c>
      <c r="S2290">
        <v>-3.6831969999999998</v>
      </c>
      <c r="T2290">
        <v>-1.3318399999999999</v>
      </c>
      <c r="U2290">
        <v>-0.16705320000000001</v>
      </c>
      <c r="V2290">
        <v>-7.8941319999999995E-2</v>
      </c>
      <c r="W2290">
        <v>0.35722470000000001</v>
      </c>
      <c r="X2290">
        <v>0.93067650000000002</v>
      </c>
      <c r="Y2290">
        <v>-3.6452360000000003E-2</v>
      </c>
      <c r="Z2290">
        <v>-4.363146E-3</v>
      </c>
      <c r="AA2290">
        <v>0.99932589999999999</v>
      </c>
      <c r="AB2290">
        <v>49</v>
      </c>
      <c r="AC2290">
        <v>-0.26909999999998002</v>
      </c>
      <c r="AD2290">
        <v>-0.26696259999999999</v>
      </c>
      <c r="AE2290">
        <v>-2.98999999999978E-2</v>
      </c>
      <c r="AF2290">
        <v>-1.4225260125330499E-2</v>
      </c>
      <c r="AG2290">
        <v>-0.26696259999999999</v>
      </c>
      <c r="AH2290">
        <v>0.136549028712522</v>
      </c>
      <c r="AI2290">
        <v>152.78508508948499</v>
      </c>
      <c r="AJ2290">
        <v>95.947445417596995</v>
      </c>
      <c r="AK2290">
        <v>0.30019497841690601</v>
      </c>
      <c r="AL2290">
        <v>69.0701467720735</v>
      </c>
      <c r="AM2290">
        <v>94.848305363260593</v>
      </c>
      <c r="AN2290">
        <v>0.99999998297284098</v>
      </c>
    </row>
    <row r="2291" spans="1:40" x14ac:dyDescent="0.25">
      <c r="A2291" t="str">
        <f>"20190304164414573"</f>
        <v>20190304164414573</v>
      </c>
      <c r="B2291" t="str">
        <f>"1551689054561747"</f>
        <v>1551689054561747</v>
      </c>
      <c r="C2291" t="s">
        <v>40</v>
      </c>
      <c r="D2291">
        <v>5.0395479999999999</v>
      </c>
      <c r="E2291">
        <v>0.53662690000000002</v>
      </c>
      <c r="F2291" t="s">
        <v>41</v>
      </c>
      <c r="G2291">
        <v>-402.15809999999999</v>
      </c>
      <c r="H2291">
        <v>0.85404469999999999</v>
      </c>
      <c r="I2291">
        <v>284.46249999999998</v>
      </c>
      <c r="J2291">
        <v>-401.9341</v>
      </c>
      <c r="K2291">
        <v>1.1107100000000001</v>
      </c>
      <c r="L2291">
        <v>284.49200000000002</v>
      </c>
      <c r="M2291">
        <v>-0.99986390000000003</v>
      </c>
      <c r="N2291">
        <v>-1.4877619999999999E-2</v>
      </c>
      <c r="O2291">
        <v>-7.1496800000000003E-3</v>
      </c>
      <c r="P2291">
        <v>-0.9353091</v>
      </c>
      <c r="Q2291">
        <v>0.34301300000000001</v>
      </c>
      <c r="R2291">
        <v>-8.6828920000000004E-2</v>
      </c>
      <c r="S2291">
        <v>-3.681702</v>
      </c>
      <c r="T2291">
        <v>-1.3348949999999999</v>
      </c>
      <c r="U2291">
        <v>-0.17327879999999901</v>
      </c>
      <c r="V2291">
        <v>-8.0384929999999993E-2</v>
      </c>
      <c r="W2291">
        <v>0.35684379999999999</v>
      </c>
      <c r="X2291">
        <v>0.9306991</v>
      </c>
      <c r="Y2291">
        <v>-3.7780500000000002E-2</v>
      </c>
      <c r="Z2291">
        <v>-4.5169140000000003E-3</v>
      </c>
      <c r="AA2291">
        <v>0.99927589999999999</v>
      </c>
      <c r="AB2291">
        <v>49</v>
      </c>
      <c r="AC2291">
        <v>-0.22399999999998901</v>
      </c>
      <c r="AD2291">
        <v>-0.25666529999999999</v>
      </c>
      <c r="AE2291">
        <v>-2.9500000000041299E-2</v>
      </c>
      <c r="AF2291">
        <v>-1.21794758236806E-2</v>
      </c>
      <c r="AG2291">
        <v>-0.25666529999999999</v>
      </c>
      <c r="AH2291">
        <v>9.7883251268195401E-2</v>
      </c>
      <c r="AI2291">
        <v>158.97792029991101</v>
      </c>
      <c r="AJ2291">
        <v>97.092778895932895</v>
      </c>
      <c r="AK2291">
        <v>0.27496644656078001</v>
      </c>
      <c r="AL2291">
        <v>69.093511528142699</v>
      </c>
      <c r="AM2291">
        <v>94.936413440410604</v>
      </c>
      <c r="AN2291">
        <v>1.0000000246551699</v>
      </c>
    </row>
    <row r="2292" spans="1:40" x14ac:dyDescent="0.25">
      <c r="A2292" t="str">
        <f>"20190304164414597"</f>
        <v>20190304164414597</v>
      </c>
      <c r="B2292" t="str">
        <f>"1551689054592003"</f>
        <v>1551689054592003</v>
      </c>
      <c r="C2292" t="s">
        <v>40</v>
      </c>
      <c r="D2292">
        <v>4.9134270000000004</v>
      </c>
      <c r="E2292">
        <v>0.54709759999999996</v>
      </c>
      <c r="F2292" t="s">
        <v>41</v>
      </c>
      <c r="G2292">
        <v>-402.59859999999998</v>
      </c>
      <c r="H2292">
        <v>0.86935929999999995</v>
      </c>
      <c r="I2292">
        <v>284.45949999999999</v>
      </c>
      <c r="J2292">
        <v>-402.43509999999998</v>
      </c>
      <c r="K2292">
        <v>1.1107340000000001</v>
      </c>
      <c r="L2292">
        <v>284.48809999999997</v>
      </c>
      <c r="M2292">
        <v>-0.99986149999999996</v>
      </c>
      <c r="N2292">
        <v>-1.4874490000000001E-2</v>
      </c>
      <c r="O2292">
        <v>-7.4732790000000002E-3</v>
      </c>
      <c r="P2292">
        <v>-0.9352684</v>
      </c>
      <c r="Q2292">
        <v>0.34280119999999997</v>
      </c>
      <c r="R2292">
        <v>-8.80943E-2</v>
      </c>
      <c r="S2292">
        <v>-3.6811219999999998</v>
      </c>
      <c r="T2292">
        <v>-1.337108</v>
      </c>
      <c r="U2292">
        <v>-0.18106079999999999</v>
      </c>
      <c r="V2292">
        <v>-8.1368120000000002E-2</v>
      </c>
      <c r="W2292">
        <v>0.35662329999999998</v>
      </c>
      <c r="X2292">
        <v>0.93069820000000003</v>
      </c>
      <c r="Y2292">
        <v>-3.9471640000000002E-2</v>
      </c>
      <c r="Z2292">
        <v>-4.725005E-3</v>
      </c>
      <c r="AA2292">
        <v>0.99920949999999997</v>
      </c>
      <c r="AB2292">
        <v>49</v>
      </c>
      <c r="AC2292">
        <v>-0.16349999999999901</v>
      </c>
      <c r="AD2292">
        <v>-0.2413747</v>
      </c>
      <c r="AE2292">
        <v>-2.8599999999983E-2</v>
      </c>
      <c r="AF2292">
        <v>-8.7895350569026399E-3</v>
      </c>
      <c r="AG2292">
        <v>-0.2413747</v>
      </c>
      <c r="AH2292">
        <v>5.2559373496914003E-2</v>
      </c>
      <c r="AI2292">
        <v>167.550291587738</v>
      </c>
      <c r="AJ2292">
        <v>99.493756520494799</v>
      </c>
      <c r="AK2292">
        <v>0.24718715474108799</v>
      </c>
      <c r="AL2292">
        <v>69.107035437729806</v>
      </c>
      <c r="AM2292">
        <v>94.9964918325893</v>
      </c>
      <c r="AN2292">
        <v>1.0000000442692301</v>
      </c>
    </row>
    <row r="2293" spans="1:40" x14ac:dyDescent="0.25">
      <c r="A2293" t="str">
        <f>"20190304164414619"</f>
        <v>20190304164414619</v>
      </c>
      <c r="B2293" t="str">
        <f>"1551689054612499"</f>
        <v>1551689054612499</v>
      </c>
      <c r="C2293" t="s">
        <v>40</v>
      </c>
      <c r="D2293">
        <v>4.9235660000000001</v>
      </c>
      <c r="E2293">
        <v>0.54642500000000005</v>
      </c>
      <c r="F2293" t="s">
        <v>41</v>
      </c>
      <c r="G2293">
        <v>-403.46839999999997</v>
      </c>
      <c r="H2293">
        <v>0.878</v>
      </c>
      <c r="I2293">
        <v>284.47190000000001</v>
      </c>
      <c r="J2293">
        <v>-402.92189999999999</v>
      </c>
      <c r="K2293">
        <v>1.1107450000000001</v>
      </c>
      <c r="L2293">
        <v>284.48419999999999</v>
      </c>
      <c r="M2293">
        <v>-0.99985900000000005</v>
      </c>
      <c r="N2293">
        <v>-1.487133E-2</v>
      </c>
      <c r="O2293">
        <v>-7.7991750000000002E-3</v>
      </c>
      <c r="P2293">
        <v>-0.9352762</v>
      </c>
      <c r="Q2293">
        <v>0.34270529999999999</v>
      </c>
      <c r="R2293">
        <v>-8.8383600000000007E-2</v>
      </c>
      <c r="S2293">
        <v>-3.4906619999999999</v>
      </c>
      <c r="T2293">
        <v>-0.78623290000000001</v>
      </c>
      <c r="U2293">
        <v>-5.5053709999999999E-2</v>
      </c>
      <c r="V2293">
        <v>-8.1369739999999996E-2</v>
      </c>
      <c r="W2293">
        <v>0.35652129999999999</v>
      </c>
      <c r="X2293">
        <v>0.93073709999999998</v>
      </c>
      <c r="Y2293">
        <v>-7.9285520000000002E-3</v>
      </c>
      <c r="Z2293">
        <v>6.78606E-4</v>
      </c>
      <c r="AA2293">
        <v>0.99996830000000003</v>
      </c>
      <c r="AB2293">
        <v>49</v>
      </c>
      <c r="AC2293">
        <v>-0.54649999999998</v>
      </c>
      <c r="AD2293">
        <v>-0.23274500000000001</v>
      </c>
      <c r="AE2293">
        <v>-1.22999999999819E-2</v>
      </c>
      <c r="AF2293">
        <v>-6.8035311948620699E-3</v>
      </c>
      <c r="AG2293">
        <v>-0.23274500000000001</v>
      </c>
      <c r="AH2293">
        <v>0.46269917122793802</v>
      </c>
      <c r="AI2293">
        <v>116.70063292452301</v>
      </c>
      <c r="AJ2293">
        <v>90.8424167527278</v>
      </c>
      <c r="AK2293">
        <v>0.51798363498931099</v>
      </c>
      <c r="AL2293">
        <v>69.113290049610299</v>
      </c>
      <c r="AM2293">
        <v>94.996383032185605</v>
      </c>
      <c r="AN2293">
        <v>1.00000001062888</v>
      </c>
    </row>
    <row r="2294" spans="1:40" x14ac:dyDescent="0.25">
      <c r="A2294" t="str">
        <f>"20190304164414640"</f>
        <v>20190304164414640</v>
      </c>
      <c r="B2294" t="str">
        <f>"1551689054632019"</f>
        <v>1551689054632019</v>
      </c>
      <c r="C2294" t="s">
        <v>40</v>
      </c>
      <c r="D2294">
        <v>4.874701</v>
      </c>
      <c r="E2294">
        <v>0.54618599999999995</v>
      </c>
      <c r="F2294" t="s">
        <v>41</v>
      </c>
      <c r="G2294">
        <v>-403.92230000000001</v>
      </c>
      <c r="H2294">
        <v>0.92643759999999997</v>
      </c>
      <c r="I2294">
        <v>284.47039999999998</v>
      </c>
      <c r="J2294">
        <v>-403.39350000000002</v>
      </c>
      <c r="K2294">
        <v>1.110757</v>
      </c>
      <c r="L2294">
        <v>284.4803</v>
      </c>
      <c r="M2294">
        <v>-0.99985670000000004</v>
      </c>
      <c r="N2294">
        <v>-1.486821E-2</v>
      </c>
      <c r="O2294">
        <v>-8.1209479999999994E-3</v>
      </c>
      <c r="P2294">
        <v>-0.93541280000000004</v>
      </c>
      <c r="Q2294">
        <v>0.34238980000000002</v>
      </c>
      <c r="R2294">
        <v>-8.8162560000000001E-2</v>
      </c>
      <c r="S2294">
        <v>-3.4349370000000001</v>
      </c>
      <c r="T2294">
        <v>-0.63290109999999999</v>
      </c>
      <c r="U2294">
        <v>-4.8645019999999997E-2</v>
      </c>
      <c r="V2294">
        <v>-8.0860109999999999E-2</v>
      </c>
      <c r="W2294">
        <v>0.35620230000000003</v>
      </c>
      <c r="X2294">
        <v>0.93090360000000005</v>
      </c>
      <c r="Y2294">
        <v>-6.0443390000000001E-3</v>
      </c>
      <c r="Z2294">
        <v>7.6638460000000004E-4</v>
      </c>
      <c r="AA2294">
        <v>0.99998149999999997</v>
      </c>
      <c r="AB2294">
        <v>48</v>
      </c>
      <c r="AC2294">
        <v>-0.52879999999998895</v>
      </c>
      <c r="AD2294">
        <v>-0.18431939999999999</v>
      </c>
      <c r="AE2294">
        <v>-9.9000000000160002E-3</v>
      </c>
      <c r="AF2294">
        <v>-4.9978412719262396E-3</v>
      </c>
      <c r="AG2294">
        <v>-0.18431939999999999</v>
      </c>
      <c r="AH2294">
        <v>0.47158742108150498</v>
      </c>
      <c r="AI2294">
        <v>111.346895168438</v>
      </c>
      <c r="AJ2294">
        <v>90.607192810389407</v>
      </c>
      <c r="AK2294">
        <v>0.50635295531481195</v>
      </c>
      <c r="AL2294">
        <v>69.132850865664594</v>
      </c>
      <c r="AM2294">
        <v>94.964363278610804</v>
      </c>
      <c r="AN2294">
        <v>0.99999997420372999</v>
      </c>
    </row>
    <row r="2295" spans="1:40" x14ac:dyDescent="0.25">
      <c r="A2295" t="str">
        <f>"20190304164414663"</f>
        <v>20190304164414663</v>
      </c>
      <c r="B2295" t="str">
        <f>"1551689054652516"</f>
        <v>1551689054652516</v>
      </c>
      <c r="C2295" t="s">
        <v>40</v>
      </c>
      <c r="D2295">
        <v>4.9019019999999998</v>
      </c>
      <c r="E2295">
        <v>0.54636509999999905</v>
      </c>
      <c r="F2295" t="s">
        <v>41</v>
      </c>
      <c r="G2295">
        <v>-404.36680000000001</v>
      </c>
      <c r="H2295">
        <v>0.95217549999999995</v>
      </c>
      <c r="I2295">
        <v>284.46820000000002</v>
      </c>
      <c r="J2295">
        <v>-403.87819999999999</v>
      </c>
      <c r="K2295">
        <v>1.1107739999999999</v>
      </c>
      <c r="L2295">
        <v>284.47620000000001</v>
      </c>
      <c r="M2295">
        <v>-0.99985380000000001</v>
      </c>
      <c r="N2295">
        <v>-1.486498E-2</v>
      </c>
      <c r="O2295">
        <v>-8.4550860000000005E-3</v>
      </c>
      <c r="P2295">
        <v>-0.93537119999999996</v>
      </c>
      <c r="Q2295">
        <v>0.34262629999999999</v>
      </c>
      <c r="R2295">
        <v>-8.7681830000000002E-2</v>
      </c>
      <c r="S2295">
        <v>-3.40625</v>
      </c>
      <c r="T2295">
        <v>-0.55504690000000001</v>
      </c>
      <c r="U2295">
        <v>-4.2907710000000002E-2</v>
      </c>
      <c r="V2295">
        <v>-8.0080139999999994E-2</v>
      </c>
      <c r="W2295">
        <v>0.35643399999999997</v>
      </c>
      <c r="X2295">
        <v>0.93088230000000005</v>
      </c>
      <c r="Y2295">
        <v>-4.1719289999999996E-3</v>
      </c>
      <c r="Z2295">
        <v>8.7480179999999998E-4</v>
      </c>
      <c r="AA2295">
        <v>0.99999090000000002</v>
      </c>
      <c r="AB2295">
        <v>48</v>
      </c>
      <c r="AC2295">
        <v>-0.48860000000001902</v>
      </c>
      <c r="AD2295">
        <v>-0.158598499999999</v>
      </c>
      <c r="AE2295">
        <v>-7.9999999999813502E-3</v>
      </c>
      <c r="AF2295">
        <v>-3.4994828017985802E-3</v>
      </c>
      <c r="AG2295">
        <v>-0.158598499999999</v>
      </c>
      <c r="AH2295">
        <v>0.44208312656784599</v>
      </c>
      <c r="AI2295">
        <v>109.73501314253301</v>
      </c>
      <c r="AJ2295">
        <v>90.453537796728398</v>
      </c>
      <c r="AK2295">
        <v>0.46968417194763101</v>
      </c>
      <c r="AL2295">
        <v>69.118642158330303</v>
      </c>
      <c r="AM2295">
        <v>94.916825257951501</v>
      </c>
      <c r="AN2295">
        <v>0.99999994081585297</v>
      </c>
    </row>
    <row r="2296" spans="1:40" x14ac:dyDescent="0.25">
      <c r="A2296" t="str">
        <f>"20190304164414685"</f>
        <v>20190304164414685</v>
      </c>
      <c r="B2296" t="str">
        <f>"1551689054681795"</f>
        <v>1551689054681795</v>
      </c>
      <c r="C2296" t="s">
        <v>40</v>
      </c>
      <c r="D2296">
        <v>4.90848</v>
      </c>
      <c r="E2296">
        <v>0.54675109999999905</v>
      </c>
      <c r="F2296" t="s">
        <v>41</v>
      </c>
      <c r="G2296">
        <v>-404.80799999999999</v>
      </c>
      <c r="H2296">
        <v>0.97105129999999995</v>
      </c>
      <c r="I2296">
        <v>284.46690000000001</v>
      </c>
      <c r="J2296">
        <v>-404.3569</v>
      </c>
      <c r="K2296">
        <v>1.110795</v>
      </c>
      <c r="L2296">
        <v>284.47190000000001</v>
      </c>
      <c r="M2296">
        <v>-0.99985100000000005</v>
      </c>
      <c r="N2296">
        <v>-1.486178E-2</v>
      </c>
      <c r="O2296">
        <v>-8.7865600000000006E-3</v>
      </c>
      <c r="P2296">
        <v>-0.93530709999999995</v>
      </c>
      <c r="Q2296">
        <v>0.3429914</v>
      </c>
      <c r="R2296">
        <v>-8.6937710000000001E-2</v>
      </c>
      <c r="S2296">
        <v>-3.390717</v>
      </c>
      <c r="T2296">
        <v>-0.50979149999999995</v>
      </c>
      <c r="U2296">
        <v>-3.5369869999999998E-2</v>
      </c>
      <c r="V2296">
        <v>-7.9036469999999998E-2</v>
      </c>
      <c r="W2296">
        <v>0.35679349999999999</v>
      </c>
      <c r="X2296">
        <v>0.93083389999999999</v>
      </c>
      <c r="Y2296">
        <v>-1.7024939999999999E-3</v>
      </c>
      <c r="Z2296">
        <v>1.043679E-3</v>
      </c>
      <c r="AA2296">
        <v>0.99999800000000005</v>
      </c>
      <c r="AB2296">
        <v>48</v>
      </c>
      <c r="AC2296">
        <v>-0.45110000000005301</v>
      </c>
      <c r="AD2296">
        <v>-0.139743699999999</v>
      </c>
      <c r="AE2296">
        <v>-4.9999999999954499E-3</v>
      </c>
      <c r="AF2296">
        <v>-9.4506852094638604E-4</v>
      </c>
      <c r="AG2296">
        <v>-0.139743699999999</v>
      </c>
      <c r="AH2296">
        <v>0.41162886691886702</v>
      </c>
      <c r="AI2296">
        <v>108.751767272259</v>
      </c>
      <c r="AJ2296">
        <v>90.131546513884899</v>
      </c>
      <c r="AK2296">
        <v>0.43470394399534701</v>
      </c>
      <c r="AL2296">
        <v>69.096597298247104</v>
      </c>
      <c r="AM2296">
        <v>94.853304354304399</v>
      </c>
      <c r="AN2296">
        <v>1.0000000573107499</v>
      </c>
    </row>
    <row r="2297" spans="1:40" x14ac:dyDescent="0.25">
      <c r="A2297" t="str">
        <f>"20190304164414708"</f>
        <v>20190304164414708</v>
      </c>
      <c r="B2297" t="str">
        <f>"1551689054702291"</f>
        <v>1551689054702291</v>
      </c>
      <c r="C2297" t="s">
        <v>40</v>
      </c>
      <c r="D2297">
        <v>4.9166610000000004</v>
      </c>
      <c r="E2297">
        <v>0.54684100000000002</v>
      </c>
      <c r="F2297" t="s">
        <v>41</v>
      </c>
      <c r="G2297">
        <v>-405.24709999999999</v>
      </c>
      <c r="H2297">
        <v>0.98595480000000002</v>
      </c>
      <c r="I2297">
        <v>284.46499999999997</v>
      </c>
      <c r="J2297">
        <v>-404.84910000000002</v>
      </c>
      <c r="K2297">
        <v>1.1108169999999999</v>
      </c>
      <c r="L2297">
        <v>284.46730000000002</v>
      </c>
      <c r="M2297">
        <v>-0.99984799999999996</v>
      </c>
      <c r="N2297">
        <v>-1.485854E-2</v>
      </c>
      <c r="O2297">
        <v>-9.1276610000000005E-3</v>
      </c>
      <c r="P2297">
        <v>-0.935137</v>
      </c>
      <c r="Q2297">
        <v>0.34356629999999999</v>
      </c>
      <c r="R2297">
        <v>-8.6492639999999996E-2</v>
      </c>
      <c r="S2297">
        <v>-3.3788149999999999</v>
      </c>
      <c r="T2297">
        <v>-0.47380630000000001</v>
      </c>
      <c r="U2297">
        <v>-2.6367189999999999E-2</v>
      </c>
      <c r="V2297">
        <v>-7.8284090000000001E-2</v>
      </c>
      <c r="W2297">
        <v>0.35736180000000001</v>
      </c>
      <c r="X2297">
        <v>0.93067940000000005</v>
      </c>
      <c r="Y2297">
        <v>1.240468E-3</v>
      </c>
      <c r="Z2297">
        <v>1.2344579999999999E-3</v>
      </c>
      <c r="AA2297">
        <v>0.99999850000000001</v>
      </c>
      <c r="AB2297">
        <v>48</v>
      </c>
      <c r="AC2297">
        <v>-0.39799999999996699</v>
      </c>
      <c r="AD2297">
        <v>-0.12486219999999899</v>
      </c>
      <c r="AE2297">
        <v>-2.3000000000479299E-3</v>
      </c>
      <c r="AF2297">
        <v>1.21384020085527E-3</v>
      </c>
      <c r="AG2297">
        <v>-0.12486219999999899</v>
      </c>
      <c r="AH2297">
        <v>0.36234280161309002</v>
      </c>
      <c r="AI2297">
        <v>109.013692558937</v>
      </c>
      <c r="AJ2297">
        <v>89.808061150819597</v>
      </c>
      <c r="AK2297">
        <v>0.38325493901278801</v>
      </c>
      <c r="AL2297">
        <v>69.061736746795901</v>
      </c>
      <c r="AM2297">
        <v>94.808115662788396</v>
      </c>
      <c r="AN2297">
        <v>1.00000000021536</v>
      </c>
    </row>
    <row r="2298" spans="1:40" x14ac:dyDescent="0.25">
      <c r="A2298" t="str">
        <f>"20190304164414729"</f>
        <v>20190304164414729</v>
      </c>
      <c r="B2298" t="str">
        <f>"1551689054721815"</f>
        <v>1551689054721815</v>
      </c>
      <c r="C2298" t="s">
        <v>40</v>
      </c>
      <c r="D2298">
        <v>4.9535030000000004</v>
      </c>
      <c r="E2298">
        <v>0.54700170000000004</v>
      </c>
      <c r="F2298" t="s">
        <v>41</v>
      </c>
      <c r="G2298">
        <v>-405.68389999999999</v>
      </c>
      <c r="H2298">
        <v>0.99644010000000005</v>
      </c>
      <c r="I2298">
        <v>284.46179999999998</v>
      </c>
      <c r="J2298">
        <v>-405.3211</v>
      </c>
      <c r="K2298">
        <v>1.1108290000000001</v>
      </c>
      <c r="L2298">
        <v>284.46280000000002</v>
      </c>
      <c r="M2298">
        <v>-0.99984510000000004</v>
      </c>
      <c r="N2298">
        <v>-1.4855449999999999E-2</v>
      </c>
      <c r="O2298">
        <v>-9.4548949999999996E-3</v>
      </c>
      <c r="P2298">
        <v>-0.93517329999999999</v>
      </c>
      <c r="Q2298">
        <v>0.34355219999999997</v>
      </c>
      <c r="R2298">
        <v>-8.6159239999999998E-2</v>
      </c>
      <c r="S2298">
        <v>-3.3759459999999999</v>
      </c>
      <c r="T2298">
        <v>-0.46260069999999998</v>
      </c>
      <c r="U2298">
        <v>-2.3162840000000001E-2</v>
      </c>
      <c r="V2298">
        <v>-7.7650880000000005E-2</v>
      </c>
      <c r="W2298">
        <v>0.35734490000000002</v>
      </c>
      <c r="X2298">
        <v>0.93073890000000004</v>
      </c>
      <c r="Y2298">
        <v>2.4989119999999998E-3</v>
      </c>
      <c r="Z2298">
        <v>1.3387119999999999E-3</v>
      </c>
      <c r="AA2298">
        <v>0.999996</v>
      </c>
      <c r="AB2298">
        <v>48</v>
      </c>
      <c r="AC2298">
        <v>-0.36279999999999202</v>
      </c>
      <c r="AD2298">
        <v>-0.1143889</v>
      </c>
      <c r="AE2298">
        <v>-1.0000000000331901E-3</v>
      </c>
      <c r="AF2298">
        <v>2.2108755955476799E-3</v>
      </c>
      <c r="AG2298">
        <v>-0.1143889</v>
      </c>
      <c r="AH2298">
        <v>0.32998903778135802</v>
      </c>
      <c r="AI2298">
        <v>109.11819691220801</v>
      </c>
      <c r="AJ2298">
        <v>89.616132868592999</v>
      </c>
      <c r="AK2298">
        <v>0.34925989387557199</v>
      </c>
      <c r="AL2298">
        <v>69.0627728046518</v>
      </c>
      <c r="AM2298">
        <v>94.769101300236798</v>
      </c>
      <c r="AN2298">
        <v>0.999999968346996</v>
      </c>
    </row>
    <row r="2299" spans="1:40" x14ac:dyDescent="0.25">
      <c r="A2299" t="str">
        <f>"20190304164414752"</f>
        <v>20190304164414752</v>
      </c>
      <c r="B2299" t="str">
        <f>"1551689054742308"</f>
        <v>1551689054742308</v>
      </c>
      <c r="C2299" t="s">
        <v>40</v>
      </c>
      <c r="D2299">
        <v>4.9649239999999999</v>
      </c>
      <c r="E2299">
        <v>0.54712749999999999</v>
      </c>
      <c r="F2299" t="s">
        <v>41</v>
      </c>
      <c r="G2299">
        <v>-406.11849999999998</v>
      </c>
      <c r="H2299">
        <v>1.003155</v>
      </c>
      <c r="I2299">
        <v>284.45800000000003</v>
      </c>
      <c r="J2299">
        <v>-405.79629999999997</v>
      </c>
      <c r="K2299">
        <v>1.1108309999999999</v>
      </c>
      <c r="L2299">
        <v>284.4581</v>
      </c>
      <c r="M2299">
        <v>-0.99984189999999995</v>
      </c>
      <c r="N2299">
        <v>-1.485234E-2</v>
      </c>
      <c r="O2299">
        <v>-9.7844830000000001E-3</v>
      </c>
      <c r="P2299">
        <v>-0.93544159999999998</v>
      </c>
      <c r="Q2299">
        <v>0.34275990000000001</v>
      </c>
      <c r="R2299">
        <v>-8.6400909999999997E-2</v>
      </c>
      <c r="S2299">
        <v>-3.3734130000000002</v>
      </c>
      <c r="T2299">
        <v>-0.45562839999999999</v>
      </c>
      <c r="U2299">
        <v>-2.105713E-2</v>
      </c>
      <c r="V2299">
        <v>-7.7586810000000006E-2</v>
      </c>
      <c r="W2299">
        <v>0.35655290000000001</v>
      </c>
      <c r="X2299">
        <v>0.93104799999999999</v>
      </c>
      <c r="Y2299">
        <v>3.4386540000000002E-3</v>
      </c>
      <c r="Z2299">
        <v>1.427612E-3</v>
      </c>
      <c r="AA2299">
        <v>0.99999309999999997</v>
      </c>
      <c r="AB2299">
        <v>48</v>
      </c>
      <c r="AC2299">
        <v>-0.32220000000000898</v>
      </c>
      <c r="AD2299">
        <v>-0.10767599999999899</v>
      </c>
      <c r="AE2299">
        <v>-1.00000000031741E-4</v>
      </c>
      <c r="AF2299">
        <v>2.74620822133442E-3</v>
      </c>
      <c r="AG2299">
        <v>-0.10767599999999899</v>
      </c>
      <c r="AH2299">
        <v>0.28981785127767701</v>
      </c>
      <c r="AI2299">
        <v>110.38069767218499</v>
      </c>
      <c r="AJ2299">
        <v>89.457102345285904</v>
      </c>
      <c r="AK2299">
        <v>0.30918610828238102</v>
      </c>
      <c r="AL2299">
        <v>69.111352590466495</v>
      </c>
      <c r="AM2299">
        <v>94.763609707411604</v>
      </c>
      <c r="AN2299">
        <v>1.0000000309441901</v>
      </c>
    </row>
    <row r="2300" spans="1:40" x14ac:dyDescent="0.25">
      <c r="A2300" t="str">
        <f>"20190304164414774"</f>
        <v>20190304164414774</v>
      </c>
      <c r="B2300" t="str">
        <f>"1551689054761828"</f>
        <v>1551689054761828</v>
      </c>
      <c r="C2300" t="s">
        <v>40</v>
      </c>
      <c r="D2300">
        <v>5.039612</v>
      </c>
      <c r="E2300">
        <v>0.54722269999999995</v>
      </c>
      <c r="F2300" t="s">
        <v>41</v>
      </c>
      <c r="G2300">
        <v>-406.55239999999998</v>
      </c>
      <c r="H2300">
        <v>1.00917099999999</v>
      </c>
      <c r="I2300">
        <v>284.45370000000003</v>
      </c>
      <c r="J2300">
        <v>-406.2792</v>
      </c>
      <c r="K2300">
        <v>1.110838</v>
      </c>
      <c r="L2300">
        <v>284.45319999999998</v>
      </c>
      <c r="M2300">
        <v>-0.99983849999999996</v>
      </c>
      <c r="N2300">
        <v>-1.4849360000000001E-2</v>
      </c>
      <c r="O2300">
        <v>-1.0119889999999999E-2</v>
      </c>
      <c r="P2300">
        <v>-0.93550319999999998</v>
      </c>
      <c r="Q2300">
        <v>0.34246110000000002</v>
      </c>
      <c r="R2300">
        <v>-8.6914549999999993E-2</v>
      </c>
      <c r="S2300">
        <v>-3.3713069999999998</v>
      </c>
      <c r="T2300">
        <v>-0.4532986</v>
      </c>
      <c r="U2300">
        <v>-2.0263670000000001E-2</v>
      </c>
      <c r="V2300">
        <v>-7.7790860000000003E-2</v>
      </c>
      <c r="W2300">
        <v>0.35625119999999999</v>
      </c>
      <c r="X2300">
        <v>0.93114640000000004</v>
      </c>
      <c r="Y2300">
        <v>3.9985649999999999E-3</v>
      </c>
      <c r="Z2300">
        <v>1.5023279999999901E-3</v>
      </c>
      <c r="AA2300">
        <v>0.99999090000000002</v>
      </c>
      <c r="AB2300">
        <v>48</v>
      </c>
      <c r="AC2300">
        <v>-0.27319999999997402</v>
      </c>
      <c r="AD2300">
        <v>-0.10166699999999999</v>
      </c>
      <c r="AE2300">
        <v>5.0000000004501999E-4</v>
      </c>
      <c r="AF2300">
        <v>2.8678800123439702E-3</v>
      </c>
      <c r="AG2300">
        <v>-0.10166699999999999</v>
      </c>
      <c r="AH2300">
        <v>0.239951665758767</v>
      </c>
      <c r="AI2300">
        <v>112.960798155907</v>
      </c>
      <c r="AJ2300">
        <v>89.315238771669499</v>
      </c>
      <c r="AK2300">
        <v>0.26061697090782898</v>
      </c>
      <c r="AL2300">
        <v>69.129852458412898</v>
      </c>
      <c r="AM2300">
        <v>94.775577535076806</v>
      </c>
      <c r="AN2300">
        <v>0.99999997681696895</v>
      </c>
    </row>
    <row r="2301" spans="1:40" x14ac:dyDescent="0.25">
      <c r="A2301" t="str">
        <f>"20190304164414798"</f>
        <v>20190304164414798</v>
      </c>
      <c r="B2301" t="str">
        <f>"1551689054792083"</f>
        <v>1551689054792083</v>
      </c>
      <c r="C2301" t="s">
        <v>40</v>
      </c>
      <c r="D2301">
        <v>5.0371579999999998</v>
      </c>
      <c r="E2301">
        <v>0.54725900000000005</v>
      </c>
      <c r="F2301" t="s">
        <v>41</v>
      </c>
      <c r="G2301">
        <v>-407.39069999999998</v>
      </c>
      <c r="H2301">
        <v>0.96214840000000001</v>
      </c>
      <c r="I2301">
        <v>284.4468</v>
      </c>
      <c r="J2301">
        <v>-406.78820000000002</v>
      </c>
      <c r="K2301">
        <v>1.110846</v>
      </c>
      <c r="L2301">
        <v>284.4477</v>
      </c>
      <c r="M2301">
        <v>-0.99983509999999998</v>
      </c>
      <c r="N2301">
        <v>-1.484604E-2</v>
      </c>
      <c r="O2301">
        <v>-1.0474219999999999E-2</v>
      </c>
      <c r="P2301">
        <v>-0.93551499999999999</v>
      </c>
      <c r="Q2301">
        <v>0.34233560000000002</v>
      </c>
      <c r="R2301">
        <v>-8.7283180000000002E-2</v>
      </c>
      <c r="S2301">
        <v>-3.3700260000000002</v>
      </c>
      <c r="T2301">
        <v>-0.4510055</v>
      </c>
      <c r="U2301">
        <v>-2.0477289999999999E-2</v>
      </c>
      <c r="V2301">
        <v>-7.7831339999999999E-2</v>
      </c>
      <c r="W2301">
        <v>0.35612250000000001</v>
      </c>
      <c r="X2301">
        <v>0.93119229999999997</v>
      </c>
      <c r="Y2301">
        <v>4.283065E-3</v>
      </c>
      <c r="Z2301">
        <v>1.557864E-3</v>
      </c>
      <c r="AA2301">
        <v>0.99998960000000003</v>
      </c>
      <c r="AB2301">
        <v>48</v>
      </c>
      <c r="AC2301">
        <v>-0.60249999999996295</v>
      </c>
      <c r="AD2301">
        <v>-0.14869760000000001</v>
      </c>
      <c r="AE2301">
        <v>-9.0000000000145497E-4</v>
      </c>
      <c r="AF2301">
        <v>5.1007704585461101E-3</v>
      </c>
      <c r="AG2301">
        <v>-0.14869760000000001</v>
      </c>
      <c r="AH2301">
        <v>0.56788608975001398</v>
      </c>
      <c r="AI2301">
        <v>104.672572123767</v>
      </c>
      <c r="AJ2301">
        <v>89.485381371631107</v>
      </c>
      <c r="AK2301">
        <v>0.58705332384425801</v>
      </c>
      <c r="AL2301">
        <v>69.137745068484506</v>
      </c>
      <c r="AM2301">
        <v>94.777816670495696</v>
      </c>
      <c r="AN2301">
        <v>1.0000000260358599</v>
      </c>
    </row>
    <row r="2302" spans="1:40" x14ac:dyDescent="0.25">
      <c r="A2302" t="str">
        <f>"20190304164414821"</f>
        <v>20190304164414821</v>
      </c>
      <c r="B2302" t="str">
        <f>"1551689054812580"</f>
        <v>1551689054812580</v>
      </c>
      <c r="C2302" t="s">
        <v>40</v>
      </c>
      <c r="D2302">
        <v>5.1655769999999999</v>
      </c>
      <c r="E2302">
        <v>0.54742780000000002</v>
      </c>
      <c r="F2302" t="s">
        <v>41</v>
      </c>
      <c r="G2302">
        <v>-407.8261</v>
      </c>
      <c r="H2302">
        <v>0.97333720000000001</v>
      </c>
      <c r="I2302">
        <v>284.44130000000001</v>
      </c>
      <c r="J2302">
        <v>-407.2679</v>
      </c>
      <c r="K2302">
        <v>1.110857</v>
      </c>
      <c r="L2302">
        <v>284.44240000000002</v>
      </c>
      <c r="M2302">
        <v>-0.99983160000000004</v>
      </c>
      <c r="N2302">
        <v>-1.4842940000000001E-2</v>
      </c>
      <c r="O2302">
        <v>-1.080909E-2</v>
      </c>
      <c r="P2302">
        <v>-0.93538759999999999</v>
      </c>
      <c r="Q2302">
        <v>0.34253410000000001</v>
      </c>
      <c r="R2302">
        <v>-8.7868689999999999E-2</v>
      </c>
      <c r="S2302">
        <v>-3.3681950000000001</v>
      </c>
      <c r="T2302">
        <v>-0.44630839999999999</v>
      </c>
      <c r="U2302">
        <v>-2.053833E-2</v>
      </c>
      <c r="V2302">
        <v>-7.8107129999999997E-2</v>
      </c>
      <c r="W2302">
        <v>0.35631590000000002</v>
      </c>
      <c r="X2302">
        <v>0.93109520000000001</v>
      </c>
      <c r="Y2302">
        <v>4.5936479999999997E-3</v>
      </c>
      <c r="Z2302">
        <v>1.6034459999999999E-3</v>
      </c>
      <c r="AA2302">
        <v>0.99998810000000005</v>
      </c>
      <c r="AB2302">
        <v>48</v>
      </c>
      <c r="AC2302">
        <v>-0.55819999999999903</v>
      </c>
      <c r="AD2302">
        <v>-0.1375198</v>
      </c>
      <c r="AE2302">
        <v>-1.1000000000080899E-3</v>
      </c>
      <c r="AF2302">
        <v>4.65201061560876E-3</v>
      </c>
      <c r="AG2302">
        <v>-0.1375198</v>
      </c>
      <c r="AH2302">
        <v>0.52623945034311903</v>
      </c>
      <c r="AI2302">
        <v>104.64478358053999</v>
      </c>
      <c r="AJ2302">
        <v>89.493512636644098</v>
      </c>
      <c r="AK2302">
        <v>0.54393133361871604</v>
      </c>
      <c r="AL2302">
        <v>69.125885752454707</v>
      </c>
      <c r="AM2302">
        <v>94.795165430816695</v>
      </c>
      <c r="AN2302">
        <v>1.00000000790634</v>
      </c>
    </row>
    <row r="2303" spans="1:40" x14ac:dyDescent="0.25">
      <c r="A2303" t="str">
        <f>"20190304164414841"</f>
        <v>20190304164414841</v>
      </c>
      <c r="B2303" t="str">
        <f>"1551689054832100"</f>
        <v>1551689054832100</v>
      </c>
      <c r="C2303" t="s">
        <v>40</v>
      </c>
      <c r="D2303">
        <v>5.0522739999999997</v>
      </c>
      <c r="E2303">
        <v>0.54754930000000002</v>
      </c>
      <c r="F2303" t="s">
        <v>41</v>
      </c>
      <c r="G2303">
        <v>-408.25920000000002</v>
      </c>
      <c r="H2303">
        <v>0.9802322</v>
      </c>
      <c r="I2303">
        <v>284.43610000000001</v>
      </c>
      <c r="J2303">
        <v>-407.7176</v>
      </c>
      <c r="K2303">
        <v>1.110862</v>
      </c>
      <c r="L2303">
        <v>284.43729999999999</v>
      </c>
      <c r="M2303">
        <v>-0.99982800000000005</v>
      </c>
      <c r="N2303">
        <v>-1.4840030000000001E-2</v>
      </c>
      <c r="O2303">
        <v>-1.1123330000000001E-2</v>
      </c>
      <c r="P2303">
        <v>-0.93526500000000001</v>
      </c>
      <c r="Q2303">
        <v>0.34271570000000001</v>
      </c>
      <c r="R2303">
        <v>-8.8461499999999998E-2</v>
      </c>
      <c r="S2303">
        <v>-3.3676759999999999</v>
      </c>
      <c r="T2303">
        <v>-0.4439111</v>
      </c>
      <c r="U2303">
        <v>-2.2705079999999999E-2</v>
      </c>
      <c r="V2303">
        <v>-7.8409140000000002E-2</v>
      </c>
      <c r="W2303">
        <v>0.3564928</v>
      </c>
      <c r="X2303">
        <v>0.93100210000000005</v>
      </c>
      <c r="Y2303">
        <v>4.2659580000000002E-3</v>
      </c>
      <c r="Z2303">
        <v>1.6071589999999999E-3</v>
      </c>
      <c r="AA2303">
        <v>0.99998960000000003</v>
      </c>
      <c r="AB2303">
        <v>48</v>
      </c>
      <c r="AC2303">
        <v>-0.54160000000001596</v>
      </c>
      <c r="AD2303">
        <v>-0.13062979999999999</v>
      </c>
      <c r="AE2303">
        <v>-1.1999999999829901E-3</v>
      </c>
      <c r="AF2303">
        <v>4.5598697896778503E-3</v>
      </c>
      <c r="AG2303">
        <v>-0.13062979999999999</v>
      </c>
      <c r="AH2303">
        <v>0.51180628049160004</v>
      </c>
      <c r="AI2303">
        <v>104.317535613551</v>
      </c>
      <c r="AJ2303">
        <v>89.489544400550002</v>
      </c>
      <c r="AK2303">
        <v>0.52823347660971398</v>
      </c>
      <c r="AL2303">
        <v>69.115037805815405</v>
      </c>
      <c r="AM2303">
        <v>94.814098620235498</v>
      </c>
      <c r="AN2303">
        <v>1.0000000099458899</v>
      </c>
    </row>
    <row r="2304" spans="1:40" x14ac:dyDescent="0.25">
      <c r="A2304" t="str">
        <f>"20190304164414864"</f>
        <v>20190304164414864</v>
      </c>
      <c r="B2304" t="str">
        <f>"1551689054852595"</f>
        <v>1551689054852595</v>
      </c>
      <c r="C2304" t="s">
        <v>40</v>
      </c>
      <c r="D2304">
        <v>5.0572679999999997</v>
      </c>
      <c r="E2304">
        <v>0.54762290000000002</v>
      </c>
      <c r="F2304" t="s">
        <v>41</v>
      </c>
      <c r="G2304">
        <v>-408.69009999999997</v>
      </c>
      <c r="H2304">
        <v>0.98344960000000003</v>
      </c>
      <c r="I2304">
        <v>284.43060000000003</v>
      </c>
      <c r="J2304">
        <v>-408.20460000000003</v>
      </c>
      <c r="K2304">
        <v>1.1108659999999999</v>
      </c>
      <c r="L2304">
        <v>284.43169999999998</v>
      </c>
      <c r="M2304">
        <v>-0.9998243</v>
      </c>
      <c r="N2304">
        <v>-1.48369E-2</v>
      </c>
      <c r="O2304">
        <v>-1.1464490000000001E-2</v>
      </c>
      <c r="P2304">
        <v>-0.93515789999999999</v>
      </c>
      <c r="Q2304">
        <v>0.3428561</v>
      </c>
      <c r="R2304">
        <v>-8.9048139999999998E-2</v>
      </c>
      <c r="S2304">
        <v>-3.3670650000000002</v>
      </c>
      <c r="T2304">
        <v>-0.44122450000000002</v>
      </c>
      <c r="U2304">
        <v>-2.3895260000000001E-2</v>
      </c>
      <c r="V2304">
        <v>-7.8678680000000001E-2</v>
      </c>
      <c r="W2304">
        <v>0.35662860000000002</v>
      </c>
      <c r="X2304">
        <v>0.93092730000000001</v>
      </c>
      <c r="Y2304">
        <v>4.2517869999999999E-3</v>
      </c>
      <c r="Z2304">
        <v>1.6354850000000001E-3</v>
      </c>
      <c r="AA2304">
        <v>0.99998960000000003</v>
      </c>
      <c r="AB2304">
        <v>48</v>
      </c>
      <c r="AC2304">
        <v>-0.48549999999994498</v>
      </c>
      <c r="AD2304">
        <v>-0.12741640000000001</v>
      </c>
      <c r="AE2304">
        <v>-1.09999999995125E-3</v>
      </c>
      <c r="AF2304">
        <v>4.1788692296009598E-3</v>
      </c>
      <c r="AG2304">
        <v>-0.12741640000000001</v>
      </c>
      <c r="AH2304">
        <v>0.45419726064980698</v>
      </c>
      <c r="AI2304">
        <v>105.66982278312901</v>
      </c>
      <c r="AJ2304">
        <v>89.472861606411996</v>
      </c>
      <c r="AK2304">
        <v>0.47174946053894601</v>
      </c>
      <c r="AL2304">
        <v>69.106708674065899</v>
      </c>
      <c r="AM2304">
        <v>94.830955734110802</v>
      </c>
      <c r="AN2304">
        <v>0.999999965454895</v>
      </c>
    </row>
    <row r="2305" spans="1:40" x14ac:dyDescent="0.25">
      <c r="A2305" t="str">
        <f>"20190304164414876"</f>
        <v>20190304164414876</v>
      </c>
      <c r="B2305" t="str">
        <f>"1551689054872116"</f>
        <v>1551689054872116</v>
      </c>
      <c r="C2305" t="s">
        <v>40</v>
      </c>
      <c r="D2305">
        <v>5.0424860000000002</v>
      </c>
      <c r="E2305">
        <v>0.54770430000000003</v>
      </c>
      <c r="F2305" t="s">
        <v>41</v>
      </c>
      <c r="G2305">
        <v>-409.12299999999999</v>
      </c>
      <c r="H2305">
        <v>0.99118709999999999</v>
      </c>
      <c r="I2305">
        <v>284.42500000000001</v>
      </c>
      <c r="J2305">
        <v>-408.47559999999999</v>
      </c>
      <c r="K2305">
        <v>1.11087</v>
      </c>
      <c r="L2305">
        <v>284.42849999999999</v>
      </c>
      <c r="M2305">
        <v>-0.99982199999999999</v>
      </c>
      <c r="N2305">
        <v>-1.483516E-2</v>
      </c>
      <c r="O2305">
        <v>-1.16545E-2</v>
      </c>
      <c r="P2305">
        <v>-0.93518939999999995</v>
      </c>
      <c r="Q2305">
        <v>0.34270469999999997</v>
      </c>
      <c r="R2305">
        <v>-8.9299970000000006E-2</v>
      </c>
      <c r="S2305">
        <v>-3.3665470000000002</v>
      </c>
      <c r="T2305">
        <v>-0.43879210000000002</v>
      </c>
      <c r="U2305">
        <v>-2.502441E-2</v>
      </c>
      <c r="V2305">
        <v>-7.8752840000000005E-2</v>
      </c>
      <c r="W2305">
        <v>0.35647630000000002</v>
      </c>
      <c r="X2305">
        <v>0.93097940000000001</v>
      </c>
      <c r="Y2305">
        <v>4.1067930000000001E-3</v>
      </c>
      <c r="Z2305">
        <v>1.6374269999999999E-3</v>
      </c>
      <c r="AA2305">
        <v>0.99999020000000005</v>
      </c>
      <c r="AB2305">
        <v>48</v>
      </c>
      <c r="AC2305">
        <v>-0.64740000000006104</v>
      </c>
      <c r="AD2305">
        <v>-0.11968289999999999</v>
      </c>
      <c r="AE2305">
        <v>-3.4999999999740798E-3</v>
      </c>
      <c r="AF2305">
        <v>3.9124833120810802E-3</v>
      </c>
      <c r="AG2305">
        <v>-0.11968289999999999</v>
      </c>
      <c r="AH2305">
        <v>0.62600327305041004</v>
      </c>
      <c r="AI2305">
        <v>100.82331729167301</v>
      </c>
      <c r="AJ2305">
        <v>89.641909440241704</v>
      </c>
      <c r="AK2305">
        <v>0.63735343566023395</v>
      </c>
      <c r="AL2305">
        <v>69.116049506646405</v>
      </c>
      <c r="AM2305">
        <v>94.835218333880306</v>
      </c>
      <c r="AN2305">
        <v>1.0000000027470499</v>
      </c>
    </row>
    <row r="2306" spans="1:40" x14ac:dyDescent="0.25">
      <c r="A2306" t="str">
        <f>"20190304164414898"</f>
        <v>20190304164414898</v>
      </c>
      <c r="B2306" t="str">
        <f>"1551689054892612"</f>
        <v>1551689054892612</v>
      </c>
      <c r="C2306" t="s">
        <v>40</v>
      </c>
      <c r="D2306">
        <v>5.0749950000000004</v>
      </c>
      <c r="E2306">
        <v>0.54785260000000002</v>
      </c>
      <c r="F2306" t="s">
        <v>41</v>
      </c>
      <c r="G2306">
        <v>-409.54239999999999</v>
      </c>
      <c r="H2306">
        <v>0.97190679999999996</v>
      </c>
      <c r="I2306">
        <v>284.4205</v>
      </c>
      <c r="J2306">
        <v>-408.94189999999998</v>
      </c>
      <c r="K2306">
        <v>1.1108800000000001</v>
      </c>
      <c r="L2306">
        <v>284.4228</v>
      </c>
      <c r="M2306">
        <v>-0.99981830000000005</v>
      </c>
      <c r="N2306">
        <v>-1.483216E-2</v>
      </c>
      <c r="O2306">
        <v>-1.1982670000000001E-2</v>
      </c>
      <c r="P2306">
        <v>-0.93503329999999996</v>
      </c>
      <c r="Q2306">
        <v>0.34318559999999998</v>
      </c>
      <c r="R2306">
        <v>-8.9088189999999998E-2</v>
      </c>
      <c r="S2306">
        <v>-3.3661500000000002</v>
      </c>
      <c r="T2306">
        <v>-0.43848809999999999</v>
      </c>
      <c r="U2306">
        <v>-2.5634770000000001E-2</v>
      </c>
      <c r="V2306">
        <v>-7.8237280000000006E-2</v>
      </c>
      <c r="W2306">
        <v>0.35695250000000001</v>
      </c>
      <c r="X2306">
        <v>0.93084040000000001</v>
      </c>
      <c r="Y2306">
        <v>4.2494489999999998E-3</v>
      </c>
      <c r="Z2306">
        <v>1.6844690000000001E-3</v>
      </c>
      <c r="AA2306">
        <v>0.99998960000000003</v>
      </c>
      <c r="AB2306">
        <v>48</v>
      </c>
      <c r="AC2306">
        <v>-0.60050000000001003</v>
      </c>
      <c r="AD2306">
        <v>-0.13897319999999899</v>
      </c>
      <c r="AE2306">
        <v>-2.29999999999108E-3</v>
      </c>
      <c r="AF2306">
        <v>4.6476285927546396E-3</v>
      </c>
      <c r="AG2306">
        <v>-0.13897319999999899</v>
      </c>
      <c r="AH2306">
        <v>0.56995824006469298</v>
      </c>
      <c r="AI2306">
        <v>103.702631933212</v>
      </c>
      <c r="AJ2306">
        <v>89.532801558981106</v>
      </c>
      <c r="AK2306">
        <v>0.58667499195672101</v>
      </c>
      <c r="AL2306">
        <v>69.086843966490306</v>
      </c>
      <c r="AM2306">
        <v>94.804426879306305</v>
      </c>
      <c r="AN2306">
        <v>1.0000000047551001</v>
      </c>
    </row>
    <row r="2307" spans="1:40" x14ac:dyDescent="0.25">
      <c r="A2307" t="str">
        <f>"20190304164414910"</f>
        <v>20190304164414910</v>
      </c>
      <c r="B2307" t="str">
        <f>"1551689054902372"</f>
        <v>1551689054902372</v>
      </c>
      <c r="C2307" t="s">
        <v>40</v>
      </c>
      <c r="D2307">
        <v>5.0694189999999999</v>
      </c>
      <c r="E2307">
        <v>0.54798059999999904</v>
      </c>
      <c r="F2307" t="s">
        <v>41</v>
      </c>
      <c r="G2307">
        <v>-409.97340000000003</v>
      </c>
      <c r="H2307">
        <v>0.97721409999999997</v>
      </c>
      <c r="I2307">
        <v>284.4151</v>
      </c>
      <c r="J2307">
        <v>-409.20330000000001</v>
      </c>
      <c r="K2307">
        <v>1.110876</v>
      </c>
      <c r="L2307">
        <v>284.4196</v>
      </c>
      <c r="M2307">
        <v>-0.99981589999999998</v>
      </c>
      <c r="N2307">
        <v>-1.483043E-2</v>
      </c>
      <c r="O2307">
        <v>-1.2166959999999999E-2</v>
      </c>
      <c r="P2307">
        <v>-0.93508349999999996</v>
      </c>
      <c r="Q2307">
        <v>0.3430743</v>
      </c>
      <c r="R2307">
        <v>-8.8987049999999998E-2</v>
      </c>
      <c r="S2307">
        <v>-3.3661189999999999</v>
      </c>
      <c r="T2307">
        <v>-0.43637029999999899</v>
      </c>
      <c r="U2307">
        <v>-2.6275630000000001E-2</v>
      </c>
      <c r="V2307">
        <v>-7.7963899999999905E-2</v>
      </c>
      <c r="W2307">
        <v>0.3568403</v>
      </c>
      <c r="X2307">
        <v>0.93090640000000002</v>
      </c>
      <c r="Y2307">
        <v>4.2434009999999999E-3</v>
      </c>
      <c r="Z2307">
        <v>1.69635799999999E-3</v>
      </c>
      <c r="AA2307">
        <v>0.99998960000000003</v>
      </c>
      <c r="AB2307">
        <v>48</v>
      </c>
      <c r="AC2307">
        <v>-0.770100000000013</v>
      </c>
      <c r="AD2307">
        <v>-0.1336619</v>
      </c>
      <c r="AE2307">
        <v>-4.5000000000072699E-3</v>
      </c>
      <c r="AF2307">
        <v>4.7286954166110102E-3</v>
      </c>
      <c r="AG2307">
        <v>-0.1336619</v>
      </c>
      <c r="AH2307">
        <v>0.747578035754909</v>
      </c>
      <c r="AI2307">
        <v>100.13678878991</v>
      </c>
      <c r="AJ2307">
        <v>89.637588768350199</v>
      </c>
      <c r="AK2307">
        <v>0.75944768326404199</v>
      </c>
      <c r="AL2307">
        <v>69.093726695728094</v>
      </c>
      <c r="AM2307">
        <v>94.787379357805506</v>
      </c>
      <c r="AN2307">
        <v>1.00000004748412</v>
      </c>
    </row>
    <row r="2308" spans="1:40" x14ac:dyDescent="0.25">
      <c r="A2308" t="str">
        <f>"20190304164414923"</f>
        <v>20190304164414923</v>
      </c>
      <c r="B2308" t="str">
        <f>"1551689054912133"</f>
        <v>1551689054912133</v>
      </c>
      <c r="C2308" t="s">
        <v>40</v>
      </c>
      <c r="D2308">
        <v>5.0772029999999999</v>
      </c>
      <c r="E2308">
        <v>0.54808429999999997</v>
      </c>
      <c r="F2308" t="s">
        <v>41</v>
      </c>
      <c r="G2308">
        <v>-409.98899999999998</v>
      </c>
      <c r="H2308">
        <v>1.0090840000000001</v>
      </c>
      <c r="I2308">
        <v>284.41399999999999</v>
      </c>
      <c r="J2308">
        <v>-409.47829999999999</v>
      </c>
      <c r="K2308">
        <v>1.1108800000000001</v>
      </c>
      <c r="L2308">
        <v>284.41609999999997</v>
      </c>
      <c r="M2308">
        <v>-0.99981370000000003</v>
      </c>
      <c r="N2308">
        <v>-1.4828620000000001E-2</v>
      </c>
      <c r="O2308">
        <v>-1.236199E-2</v>
      </c>
      <c r="P2308">
        <v>-0.93516220000000005</v>
      </c>
      <c r="Q2308">
        <v>0.34289649999999999</v>
      </c>
      <c r="R2308">
        <v>-8.8846359999999999E-2</v>
      </c>
      <c r="S2308">
        <v>-3.365936</v>
      </c>
      <c r="T2308">
        <v>-0.43618079999999998</v>
      </c>
      <c r="U2308">
        <v>-2.5421139999999998E-2</v>
      </c>
      <c r="V2308">
        <v>-7.7640600000000004E-2</v>
      </c>
      <c r="W2308">
        <v>0.35666249999999999</v>
      </c>
      <c r="X2308">
        <v>0.93100150000000004</v>
      </c>
      <c r="Y2308">
        <v>4.6865650000000002E-3</v>
      </c>
      <c r="Z2308">
        <v>1.749862E-3</v>
      </c>
      <c r="AA2308">
        <v>0.99998750000000003</v>
      </c>
      <c r="AB2308">
        <v>48</v>
      </c>
      <c r="AC2308">
        <v>-0.51070000000004201</v>
      </c>
      <c r="AD2308">
        <v>-0.101795999999999</v>
      </c>
      <c r="AE2308">
        <v>-2.0999999999844398E-3</v>
      </c>
      <c r="AF2308">
        <v>4.0530918200178704E-3</v>
      </c>
      <c r="AG2308">
        <v>-0.101795999999999</v>
      </c>
      <c r="AH2308">
        <v>0.49117247731829999</v>
      </c>
      <c r="AI2308">
        <v>101.708456377462</v>
      </c>
      <c r="AJ2308">
        <v>89.527213361478204</v>
      </c>
      <c r="AK2308">
        <v>0.50162660978490503</v>
      </c>
      <c r="AL2308">
        <v>69.104630325971598</v>
      </c>
      <c r="AM2308">
        <v>94.767134038126201</v>
      </c>
      <c r="AN2308">
        <v>0.99999999733843004</v>
      </c>
    </row>
    <row r="2309" spans="1:40" x14ac:dyDescent="0.25">
      <c r="A2309" t="str">
        <f>"20190304164414937"</f>
        <v>20190304164414937</v>
      </c>
      <c r="B2309" t="str">
        <f>"1551689054932628"</f>
        <v>1551689054932628</v>
      </c>
      <c r="C2309" t="s">
        <v>40</v>
      </c>
      <c r="D2309">
        <v>5.0679550000000004</v>
      </c>
      <c r="E2309">
        <v>0.54816229999999999</v>
      </c>
      <c r="F2309" t="s">
        <v>41</v>
      </c>
      <c r="G2309">
        <v>-410.40800000000002</v>
      </c>
      <c r="H2309">
        <v>0.99048040000000004</v>
      </c>
      <c r="I2309">
        <v>284.40949999999998</v>
      </c>
      <c r="J2309">
        <v>-409.76620000000003</v>
      </c>
      <c r="K2309">
        <v>1.110886</v>
      </c>
      <c r="L2309">
        <v>284.41239999999999</v>
      </c>
      <c r="M2309">
        <v>-0.99981120000000001</v>
      </c>
      <c r="N2309">
        <v>-1.48267E-2</v>
      </c>
      <c r="O2309">
        <v>-1.256679E-2</v>
      </c>
      <c r="P2309">
        <v>-0.93527450000000001</v>
      </c>
      <c r="Q2309">
        <v>0.34257870000000001</v>
      </c>
      <c r="R2309">
        <v>-8.8890129999999998E-2</v>
      </c>
      <c r="S2309">
        <v>-3.3655089999999999</v>
      </c>
      <c r="T2309">
        <v>-0.4360001</v>
      </c>
      <c r="U2309">
        <v>-2.44751E-2</v>
      </c>
      <c r="V2309">
        <v>-7.7492179999999994E-2</v>
      </c>
      <c r="W2309">
        <v>0.35634490000000002</v>
      </c>
      <c r="X2309">
        <v>0.9311355</v>
      </c>
      <c r="Y2309">
        <v>5.1657919999999998E-3</v>
      </c>
      <c r="Z2309">
        <v>1.807218E-3</v>
      </c>
      <c r="AA2309">
        <v>0.99998500000000001</v>
      </c>
      <c r="AB2309">
        <v>48</v>
      </c>
      <c r="AC2309">
        <v>-0.64179999999998905</v>
      </c>
      <c r="AD2309">
        <v>-0.1204056</v>
      </c>
      <c r="AE2309">
        <v>-2.9000000000110001E-3</v>
      </c>
      <c r="AF2309">
        <v>4.9908269398369204E-3</v>
      </c>
      <c r="AG2309">
        <v>-0.1204056</v>
      </c>
      <c r="AH2309">
        <v>0.61996585200665899</v>
      </c>
      <c r="AI2309">
        <v>100.990430490734</v>
      </c>
      <c r="AJ2309">
        <v>89.5387695271192</v>
      </c>
      <c r="AK2309">
        <v>0.63156953260844195</v>
      </c>
      <c r="AL2309">
        <v>69.124107766662604</v>
      </c>
      <c r="AM2309">
        <v>94.757381335783705</v>
      </c>
      <c r="AN2309">
        <v>1.0000000225387</v>
      </c>
    </row>
    <row r="2310" spans="1:40" x14ac:dyDescent="0.25">
      <c r="A2310" t="str">
        <f>"20190304164414949"</f>
        <v>20190304164414949</v>
      </c>
      <c r="B2310" t="str">
        <f>"1551689054942388"</f>
        <v>1551689054942388</v>
      </c>
      <c r="C2310" t="s">
        <v>40</v>
      </c>
      <c r="D2310">
        <v>5.0808910000000003</v>
      </c>
      <c r="E2310">
        <v>0.54819149999999905</v>
      </c>
      <c r="F2310" t="s">
        <v>41</v>
      </c>
      <c r="G2310">
        <v>-410.82740000000001</v>
      </c>
      <c r="H2310">
        <v>0.97321210000000002</v>
      </c>
      <c r="I2310">
        <v>284.40530000000001</v>
      </c>
      <c r="J2310">
        <v>-410.04390000000001</v>
      </c>
      <c r="K2310">
        <v>1.1109</v>
      </c>
      <c r="L2310">
        <v>284.40879999999999</v>
      </c>
      <c r="M2310">
        <v>-0.99980869999999999</v>
      </c>
      <c r="N2310">
        <v>-1.4824800000000001E-2</v>
      </c>
      <c r="O2310">
        <v>-1.27654E-2</v>
      </c>
      <c r="P2310">
        <v>-0.93532000000000004</v>
      </c>
      <c r="Q2310">
        <v>0.34250659999999999</v>
      </c>
      <c r="R2310">
        <v>-8.8689039999999997E-2</v>
      </c>
      <c r="S2310">
        <v>-3.365326</v>
      </c>
      <c r="T2310">
        <v>-0.43676969999999998</v>
      </c>
      <c r="U2310">
        <v>-2.3986819999999999E-2</v>
      </c>
      <c r="V2310">
        <v>-7.7105950000000006E-2</v>
      </c>
      <c r="W2310">
        <v>0.35627180000000003</v>
      </c>
      <c r="X2310">
        <v>0.93119549999999995</v>
      </c>
      <c r="Y2310">
        <v>5.5041409999999997E-3</v>
      </c>
      <c r="Z2310">
        <v>1.857884E-3</v>
      </c>
      <c r="AA2310">
        <v>0.99998310000000001</v>
      </c>
      <c r="AB2310">
        <v>48</v>
      </c>
      <c r="AC2310">
        <v>-0.78350000000000297</v>
      </c>
      <c r="AD2310">
        <v>-0.1376879</v>
      </c>
      <c r="AE2310">
        <v>-3.4999999999740798E-3</v>
      </c>
      <c r="AF2310">
        <v>6.3082630139895202E-3</v>
      </c>
      <c r="AG2310">
        <v>-0.1376879</v>
      </c>
      <c r="AH2310">
        <v>0.76001022257057205</v>
      </c>
      <c r="AI2310">
        <v>100.26831645363499</v>
      </c>
      <c r="AJ2310">
        <v>89.524442519184703</v>
      </c>
      <c r="AK2310">
        <v>0.77240746397250304</v>
      </c>
      <c r="AL2310">
        <v>69.128589596011395</v>
      </c>
      <c r="AM2310">
        <v>94.7334743934247</v>
      </c>
      <c r="AN2310">
        <v>0.99999999111044602</v>
      </c>
    </row>
    <row r="2311" spans="1:40" x14ac:dyDescent="0.25">
      <c r="A2311" t="str">
        <f>"20190304164414964"</f>
        <v>20190304164414964</v>
      </c>
      <c r="B2311" t="str">
        <f>"1551689054952148"</f>
        <v>1551689054952148</v>
      </c>
      <c r="C2311" t="s">
        <v>40</v>
      </c>
      <c r="D2311">
        <v>5.088209</v>
      </c>
      <c r="E2311">
        <v>0.54823710000000003</v>
      </c>
      <c r="F2311" t="s">
        <v>41</v>
      </c>
      <c r="G2311">
        <v>-410.84390000000002</v>
      </c>
      <c r="H2311">
        <v>1.0071570000000001</v>
      </c>
      <c r="I2311">
        <v>284.40390000000002</v>
      </c>
      <c r="J2311">
        <v>-410.35320000000002</v>
      </c>
      <c r="K2311">
        <v>1.1109089999999999</v>
      </c>
      <c r="L2311">
        <v>284.40469999999999</v>
      </c>
      <c r="M2311">
        <v>-0.99980590000000003</v>
      </c>
      <c r="N2311">
        <v>-1.4822780000000001E-2</v>
      </c>
      <c r="O2311">
        <v>-1.2987719999999999E-2</v>
      </c>
      <c r="P2311">
        <v>-0.93554360000000003</v>
      </c>
      <c r="Q2311">
        <v>0.34196159999999998</v>
      </c>
      <c r="R2311">
        <v>-8.8435120000000006E-2</v>
      </c>
      <c r="S2311">
        <v>-3.3652340000000001</v>
      </c>
      <c r="T2311">
        <v>-0.43659209999999898</v>
      </c>
      <c r="U2311">
        <v>-2.2216799999999998E-2</v>
      </c>
      <c r="V2311">
        <v>-7.6641589999999996E-2</v>
      </c>
      <c r="W2311">
        <v>0.35572859999999901</v>
      </c>
      <c r="X2311">
        <v>0.93144150000000003</v>
      </c>
      <c r="Y2311">
        <v>6.2439779999999999E-3</v>
      </c>
      <c r="Z2311">
        <v>1.9358909999999999E-3</v>
      </c>
      <c r="AA2311">
        <v>0.9999787</v>
      </c>
      <c r="AB2311">
        <v>48</v>
      </c>
      <c r="AC2311">
        <v>-0.49070000000000302</v>
      </c>
      <c r="AD2311">
        <v>-0.103751999999999</v>
      </c>
      <c r="AE2311">
        <v>-7.9999999996971296E-4</v>
      </c>
      <c r="AF2311">
        <v>5.3353235852185198E-3</v>
      </c>
      <c r="AG2311">
        <v>-0.103751999999999</v>
      </c>
      <c r="AH2311">
        <v>0.46967212879301701</v>
      </c>
      <c r="AI2311">
        <v>102.455982235378</v>
      </c>
      <c r="AJ2311">
        <v>89.349166456754006</v>
      </c>
      <c r="AK2311">
        <v>0.48102479327652398</v>
      </c>
      <c r="AL2311">
        <v>69.161895222621396</v>
      </c>
      <c r="AM2311">
        <v>94.703858993499495</v>
      </c>
      <c r="AN2311">
        <v>1.00000001904896</v>
      </c>
    </row>
    <row r="2312" spans="1:40" x14ac:dyDescent="0.25">
      <c r="A2312" t="str">
        <f>"20190304164414979"</f>
        <v>20190304164414979</v>
      </c>
      <c r="B2312" t="str">
        <f>"1551689054972644"</f>
        <v>1551689054972644</v>
      </c>
      <c r="C2312" t="s">
        <v>40</v>
      </c>
      <c r="D2312">
        <v>5.0966769999999997</v>
      </c>
      <c r="E2312">
        <v>0.54831529999999995</v>
      </c>
      <c r="F2312" t="s">
        <v>41</v>
      </c>
      <c r="G2312">
        <v>-411.26420000000002</v>
      </c>
      <c r="H2312">
        <v>0.99232339999999997</v>
      </c>
      <c r="I2312">
        <v>284.3997</v>
      </c>
      <c r="J2312">
        <v>-410.65249999999997</v>
      </c>
      <c r="K2312">
        <v>1.110903</v>
      </c>
      <c r="L2312">
        <v>284.4006</v>
      </c>
      <c r="M2312">
        <v>-0.99980290000000005</v>
      </c>
      <c r="N2312">
        <v>-1.482086E-2</v>
      </c>
      <c r="O2312">
        <v>-1.320313E-2</v>
      </c>
      <c r="P2312">
        <v>-0.9355675</v>
      </c>
      <c r="Q2312">
        <v>0.34188829999999998</v>
      </c>
      <c r="R2312">
        <v>-8.8465489999999994E-2</v>
      </c>
      <c r="S2312">
        <v>-3.3650820000000001</v>
      </c>
      <c r="T2312">
        <v>-0.4380983</v>
      </c>
      <c r="U2312">
        <v>-1.8676760000000001E-2</v>
      </c>
      <c r="V2312">
        <v>-7.6470259999999998E-2</v>
      </c>
      <c r="W2312">
        <v>0.35565419999999998</v>
      </c>
      <c r="X2312">
        <v>0.93148399999999998</v>
      </c>
      <c r="Y2312">
        <v>7.4967769999999996E-3</v>
      </c>
      <c r="Z2312">
        <v>2.0584169999999999E-3</v>
      </c>
      <c r="AA2312">
        <v>0.99996980000000002</v>
      </c>
      <c r="AB2312">
        <v>48</v>
      </c>
      <c r="AC2312">
        <v>-0.61170000000004099</v>
      </c>
      <c r="AD2312">
        <v>-0.11857959999999899</v>
      </c>
      <c r="AE2312">
        <v>-9.0000000000145497E-4</v>
      </c>
      <c r="AF2312">
        <v>6.9173748412982199E-3</v>
      </c>
      <c r="AG2312">
        <v>-0.11857959999999899</v>
      </c>
      <c r="AH2312">
        <v>0.58950568061821595</v>
      </c>
      <c r="AI2312">
        <v>101.372561557493</v>
      </c>
      <c r="AJ2312">
        <v>89.327710983026805</v>
      </c>
      <c r="AK2312">
        <v>0.60135340615315502</v>
      </c>
      <c r="AL2312">
        <v>69.166456469051994</v>
      </c>
      <c r="AM2312">
        <v>94.6931775000767</v>
      </c>
      <c r="AN2312">
        <v>1.0000000264490501</v>
      </c>
    </row>
    <row r="2313" spans="1:40" x14ac:dyDescent="0.25">
      <c r="A2313" t="str">
        <f>"20190304164414993"</f>
        <v>20190304164414993</v>
      </c>
      <c r="B2313" t="str">
        <f>"1551689054982405"</f>
        <v>1551689054982405</v>
      </c>
      <c r="C2313" t="s">
        <v>40</v>
      </c>
      <c r="D2313">
        <v>5.0956539999999997</v>
      </c>
      <c r="E2313">
        <v>0.54835809999999996</v>
      </c>
      <c r="F2313" t="s">
        <v>41</v>
      </c>
      <c r="G2313">
        <v>-411.68369999999999</v>
      </c>
      <c r="H2313">
        <v>0.97667839999999995</v>
      </c>
      <c r="I2313">
        <v>284.39530000000002</v>
      </c>
      <c r="J2313">
        <v>-410.964</v>
      </c>
      <c r="K2313">
        <v>1.1109039999999999</v>
      </c>
      <c r="L2313">
        <v>284.39640000000003</v>
      </c>
      <c r="M2313">
        <v>-0.99980009999999997</v>
      </c>
      <c r="N2313">
        <v>-1.481885E-2</v>
      </c>
      <c r="O2313">
        <v>-1.34282E-2</v>
      </c>
      <c r="P2313">
        <v>-0.93559619999999999</v>
      </c>
      <c r="Q2313">
        <v>0.34189429999999998</v>
      </c>
      <c r="R2313">
        <v>-8.8139529999999994E-2</v>
      </c>
      <c r="S2313">
        <v>-3.36496</v>
      </c>
      <c r="T2313">
        <v>-0.43804379999999998</v>
      </c>
      <c r="U2313">
        <v>-1.8371579999999998E-2</v>
      </c>
      <c r="V2313">
        <v>-7.5934409999999994E-2</v>
      </c>
      <c r="W2313">
        <v>0.35565950000000002</v>
      </c>
      <c r="X2313">
        <v>0.93152579999999996</v>
      </c>
      <c r="Y2313">
        <v>7.8079669999999999E-3</v>
      </c>
      <c r="Z2313">
        <v>2.1065799999999998E-3</v>
      </c>
      <c r="AA2313">
        <v>0.9999673</v>
      </c>
      <c r="AB2313">
        <v>48</v>
      </c>
      <c r="AC2313">
        <v>-0.71969999999998802</v>
      </c>
      <c r="AD2313">
        <v>-0.1342256</v>
      </c>
      <c r="AE2313">
        <v>-1.1000000000080899E-3</v>
      </c>
      <c r="AF2313">
        <v>8.2775185978383407E-3</v>
      </c>
      <c r="AG2313">
        <v>-0.1342256</v>
      </c>
      <c r="AH2313">
        <v>0.69545971279345897</v>
      </c>
      <c r="AI2313">
        <v>100.923167709824</v>
      </c>
      <c r="AJ2313">
        <v>89.318084889285302</v>
      </c>
      <c r="AK2313">
        <v>0.70834260152009598</v>
      </c>
      <c r="AL2313">
        <v>69.166131314835695</v>
      </c>
      <c r="AM2313">
        <v>94.660228167000298</v>
      </c>
      <c r="AN2313">
        <v>1.0000000153139601</v>
      </c>
    </row>
    <row r="2314" spans="1:40" x14ac:dyDescent="0.25">
      <c r="A2314" t="str">
        <f>"20190304164415010"</f>
        <v>20190304164415010</v>
      </c>
      <c r="B2314" t="str">
        <f>"1551689055001923"</f>
        <v>1551689055001923</v>
      </c>
      <c r="C2314" t="s">
        <v>40</v>
      </c>
      <c r="D2314">
        <v>5.0945470000000004</v>
      </c>
      <c r="E2314">
        <v>0.54846790000000001</v>
      </c>
      <c r="F2314" t="s">
        <v>41</v>
      </c>
      <c r="G2314">
        <v>-411.70240000000001</v>
      </c>
      <c r="H2314">
        <v>1.0147809999999999</v>
      </c>
      <c r="I2314">
        <v>284.3929</v>
      </c>
      <c r="J2314">
        <v>-411.33120000000002</v>
      </c>
      <c r="K2314">
        <v>1.1109150000000001</v>
      </c>
      <c r="L2314">
        <v>284.3913</v>
      </c>
      <c r="M2314">
        <v>-0.99979640000000003</v>
      </c>
      <c r="N2314">
        <v>-1.481644E-2</v>
      </c>
      <c r="O2314">
        <v>-1.369485E-2</v>
      </c>
      <c r="P2314">
        <v>-0.93557889999999999</v>
      </c>
      <c r="Q2314">
        <v>0.34207349999999997</v>
      </c>
      <c r="R2314">
        <v>-8.7622500000000006E-2</v>
      </c>
      <c r="S2314">
        <v>-3.36496</v>
      </c>
      <c r="T2314">
        <v>-0.4381449</v>
      </c>
      <c r="U2314">
        <v>-1.7059330000000001E-2</v>
      </c>
      <c r="V2314">
        <v>-7.5169390000000003E-2</v>
      </c>
      <c r="W2314">
        <v>0.3558365</v>
      </c>
      <c r="X2314">
        <v>0.93152029999999997</v>
      </c>
      <c r="Y2314">
        <v>8.4566709999999903E-3</v>
      </c>
      <c r="Z2314">
        <v>2.1846399999999998E-3</v>
      </c>
      <c r="AA2314">
        <v>0.99996189999999996</v>
      </c>
      <c r="AB2314">
        <v>48</v>
      </c>
      <c r="AC2314">
        <v>-0.37119999999998698</v>
      </c>
      <c r="AD2314">
        <v>-9.61339999999999E-2</v>
      </c>
      <c r="AE2314">
        <v>1.59999999999627E-3</v>
      </c>
      <c r="AF2314">
        <v>6.2638204323496498E-3</v>
      </c>
      <c r="AG2314">
        <v>-9.61339999999999E-2</v>
      </c>
      <c r="AH2314">
        <v>0.34781520921940301</v>
      </c>
      <c r="AI2314">
        <v>105.44808866424501</v>
      </c>
      <c r="AJ2314">
        <v>88.9682691461026</v>
      </c>
      <c r="AK2314">
        <v>0.360910516841427</v>
      </c>
      <c r="AL2314">
        <v>69.155281084453506</v>
      </c>
      <c r="AM2314">
        <v>94.613508365965004</v>
      </c>
      <c r="AN2314">
        <v>1.0000000606186501</v>
      </c>
    </row>
    <row r="2315" spans="1:40" x14ac:dyDescent="0.25">
      <c r="A2315" t="str">
        <f>"20190304164415032"</f>
        <v>20190304164415032</v>
      </c>
      <c r="B2315" t="str">
        <f>"1551689055022420"</f>
        <v>1551689055022420</v>
      </c>
      <c r="C2315" t="s">
        <v>40</v>
      </c>
      <c r="D2315">
        <v>5.0918929999999998</v>
      </c>
      <c r="E2315">
        <v>0.5485217</v>
      </c>
      <c r="F2315" t="s">
        <v>41</v>
      </c>
      <c r="G2315">
        <v>-412.12569999999999</v>
      </c>
      <c r="H2315">
        <v>1.00763799999999</v>
      </c>
      <c r="I2315">
        <v>284.38760000000002</v>
      </c>
      <c r="J2315">
        <v>-411.79320000000001</v>
      </c>
      <c r="K2315">
        <v>1.110922</v>
      </c>
      <c r="L2315">
        <v>284.38470000000001</v>
      </c>
      <c r="M2315">
        <v>-0.99979180000000001</v>
      </c>
      <c r="N2315">
        <v>-1.4813389999999999E-2</v>
      </c>
      <c r="O2315">
        <v>-1.403124E-2</v>
      </c>
      <c r="P2315">
        <v>-0.93563229999999997</v>
      </c>
      <c r="Q2315">
        <v>0.3421324</v>
      </c>
      <c r="R2315">
        <v>-8.6818419999999993E-2</v>
      </c>
      <c r="S2315">
        <v>-3.3650509999999998</v>
      </c>
      <c r="T2315">
        <v>-0.43740560000000001</v>
      </c>
      <c r="U2315">
        <v>-1.580811E-2</v>
      </c>
      <c r="V2315">
        <v>-7.4050039999999998E-2</v>
      </c>
      <c r="W2315">
        <v>0.35589490000000001</v>
      </c>
      <c r="X2315">
        <v>0.93158759999999996</v>
      </c>
      <c r="Y2315">
        <v>9.1568699999999992E-3</v>
      </c>
      <c r="Z2315">
        <v>2.2698169999999999E-3</v>
      </c>
      <c r="AA2315">
        <v>0.9999555</v>
      </c>
      <c r="AB2315">
        <v>48</v>
      </c>
      <c r="AC2315">
        <v>-0.33249999999998098</v>
      </c>
      <c r="AD2315">
        <v>-0.103284</v>
      </c>
      <c r="AE2315">
        <v>2.9000000000110001E-3</v>
      </c>
      <c r="AF2315">
        <v>6.8998930279207697E-3</v>
      </c>
      <c r="AG2315">
        <v>-0.103284</v>
      </c>
      <c r="AH2315">
        <v>0.30317536642157999</v>
      </c>
      <c r="AI2315">
        <v>108.80812007268401</v>
      </c>
      <c r="AJ2315">
        <v>88.696244620749496</v>
      </c>
      <c r="AK2315">
        <v>0.32035994753504399</v>
      </c>
      <c r="AL2315">
        <v>69.151699789309504</v>
      </c>
      <c r="AM2315">
        <v>94.544771486274897</v>
      </c>
      <c r="AN2315">
        <v>1.0000000223718799</v>
      </c>
    </row>
    <row r="2316" spans="1:40" x14ac:dyDescent="0.25">
      <c r="A2316" t="str">
        <f>"20190304164415053"</f>
        <v>20190304164415053</v>
      </c>
      <c r="B2316" t="str">
        <f>"1551689055041940"</f>
        <v>1551689055041940</v>
      </c>
      <c r="C2316" t="s">
        <v>40</v>
      </c>
      <c r="D2316">
        <v>5.1149139999999997</v>
      </c>
      <c r="E2316">
        <v>0.54859099999999905</v>
      </c>
      <c r="F2316" t="s">
        <v>41</v>
      </c>
      <c r="G2316">
        <v>-412.55439999999999</v>
      </c>
      <c r="H2316">
        <v>1.0120229999999999</v>
      </c>
      <c r="I2316">
        <v>284.38189999999997</v>
      </c>
      <c r="J2316">
        <v>-412.2593</v>
      </c>
      <c r="K2316">
        <v>1.11093</v>
      </c>
      <c r="L2316">
        <v>284.37790000000001</v>
      </c>
      <c r="M2316">
        <v>-0.99978719999999999</v>
      </c>
      <c r="N2316">
        <v>-1.4810469999999999E-2</v>
      </c>
      <c r="O2316">
        <v>-1.4371790000000001E-2</v>
      </c>
      <c r="P2316">
        <v>-0.9356331</v>
      </c>
      <c r="Q2316">
        <v>0.34227550000000001</v>
      </c>
      <c r="R2316">
        <v>-8.6246649999999994E-2</v>
      </c>
      <c r="S2316">
        <v>-3.3650509999999998</v>
      </c>
      <c r="T2316">
        <v>-0.43754880000000002</v>
      </c>
      <c r="U2316">
        <v>-1.452637E-2</v>
      </c>
      <c r="V2316">
        <v>-7.3160020000000006E-2</v>
      </c>
      <c r="W2316">
        <v>0.35603610000000002</v>
      </c>
      <c r="X2316">
        <v>0.93160399999999999</v>
      </c>
      <c r="Y2316">
        <v>9.8692840000000007E-3</v>
      </c>
      <c r="Z2316">
        <v>2.3611180000000002E-3</v>
      </c>
      <c r="AA2316">
        <v>0.99994850000000002</v>
      </c>
      <c r="AB2316">
        <v>48</v>
      </c>
      <c r="AC2316">
        <v>-0.29509999999998998</v>
      </c>
      <c r="AD2316">
        <v>-9.8906999999999995E-2</v>
      </c>
      <c r="AE2316">
        <v>3.9999999999622499E-3</v>
      </c>
      <c r="AF2316">
        <v>7.4090254719932401E-3</v>
      </c>
      <c r="AG2316">
        <v>-9.8906999999999995E-2</v>
      </c>
      <c r="AH2316">
        <v>0.26522356791285501</v>
      </c>
      <c r="AI2316">
        <v>110.44414352117499</v>
      </c>
      <c r="AJ2316">
        <v>88.399857442378405</v>
      </c>
      <c r="AK2316">
        <v>0.28316254922547501</v>
      </c>
      <c r="AL2316">
        <v>69.143043236662805</v>
      </c>
      <c r="AM2316">
        <v>94.490293129728599</v>
      </c>
      <c r="AN2316">
        <v>1.0000000529227999</v>
      </c>
    </row>
    <row r="2317" spans="1:40" x14ac:dyDescent="0.25">
      <c r="A2317" t="str">
        <f>"20190304164415068"</f>
        <v>20190304164415068</v>
      </c>
      <c r="B2317" t="str">
        <f>"1551689055062437"</f>
        <v>1551689055062437</v>
      </c>
      <c r="C2317" t="s">
        <v>40</v>
      </c>
      <c r="D2317">
        <v>5.1280219999999996</v>
      </c>
      <c r="E2317">
        <v>0.54862719999999998</v>
      </c>
      <c r="F2317" t="s">
        <v>41</v>
      </c>
      <c r="G2317">
        <v>-412.983</v>
      </c>
      <c r="H2317">
        <v>1.0168189999999999</v>
      </c>
      <c r="I2317">
        <v>284.375</v>
      </c>
      <c r="J2317">
        <v>-412.5729</v>
      </c>
      <c r="K2317">
        <v>1.1109290000000001</v>
      </c>
      <c r="L2317">
        <v>284.37329999999997</v>
      </c>
      <c r="M2317">
        <v>-0.9997838</v>
      </c>
      <c r="N2317">
        <v>-1.4808440000000001E-2</v>
      </c>
      <c r="O2317">
        <v>-1.460113E-2</v>
      </c>
      <c r="P2317">
        <v>-0.93576389999999998</v>
      </c>
      <c r="Q2317">
        <v>0.34205000000000002</v>
      </c>
      <c r="R2317">
        <v>-8.572051E-2</v>
      </c>
      <c r="S2317">
        <v>-3.365265</v>
      </c>
      <c r="T2317">
        <v>-0.43766139999999998</v>
      </c>
      <c r="U2317">
        <v>-1.370239E-2</v>
      </c>
      <c r="V2317">
        <v>-7.2416750000000002E-2</v>
      </c>
      <c r="W2317">
        <v>0.35581200000000002</v>
      </c>
      <c r="X2317">
        <v>0.93174760000000001</v>
      </c>
      <c r="Y2317">
        <v>1.033777E-2</v>
      </c>
      <c r="Z2317">
        <v>2.4217560000000002E-3</v>
      </c>
      <c r="AA2317">
        <v>0.99994360000000004</v>
      </c>
      <c r="AB2317">
        <v>48</v>
      </c>
      <c r="AC2317">
        <v>-0.41009999999999902</v>
      </c>
      <c r="AD2317">
        <v>-9.4109999999999902E-2</v>
      </c>
      <c r="AE2317">
        <v>1.7000000000280101E-3</v>
      </c>
      <c r="AF2317">
        <v>7.3037781869835904E-3</v>
      </c>
      <c r="AG2317">
        <v>-9.4109999999999902E-2</v>
      </c>
      <c r="AH2317">
        <v>0.38951919318976003</v>
      </c>
      <c r="AI2317">
        <v>103.58038408306101</v>
      </c>
      <c r="AJ2317">
        <v>88.925786872079797</v>
      </c>
      <c r="AK2317">
        <v>0.40079326234232798</v>
      </c>
      <c r="AL2317">
        <v>69.156781324143395</v>
      </c>
      <c r="AM2317">
        <v>94.444175400336306</v>
      </c>
      <c r="AN2317">
        <v>0.99999997756516001</v>
      </c>
    </row>
    <row r="2318" spans="1:40" x14ac:dyDescent="0.25">
      <c r="A2318" t="str">
        <f>"20190304164415080"</f>
        <v>20190304164415080</v>
      </c>
      <c r="B2318" t="str">
        <f>"1551689055072196"</f>
        <v>1551689055072196</v>
      </c>
      <c r="C2318" t="s">
        <v>40</v>
      </c>
      <c r="D2318">
        <v>5.1575620000000004</v>
      </c>
      <c r="E2318">
        <v>0.54877119999999902</v>
      </c>
      <c r="F2318" t="s">
        <v>41</v>
      </c>
      <c r="G2318">
        <v>-413.40199999999999</v>
      </c>
      <c r="H2318">
        <v>1.002853</v>
      </c>
      <c r="I2318">
        <v>284.37060000000002</v>
      </c>
      <c r="J2318">
        <v>-412.84649999999999</v>
      </c>
      <c r="K2318">
        <v>1.1109309999999999</v>
      </c>
      <c r="L2318">
        <v>284.3691</v>
      </c>
      <c r="M2318">
        <v>-0.99978100000000003</v>
      </c>
      <c r="N2318">
        <v>-1.4806659999999999E-2</v>
      </c>
      <c r="O2318">
        <v>-1.480102E-2</v>
      </c>
      <c r="P2318">
        <v>-0.93590899999999999</v>
      </c>
      <c r="Q2318">
        <v>0.341599599999999</v>
      </c>
      <c r="R2318">
        <v>-8.5931899999999894E-2</v>
      </c>
      <c r="S2318">
        <v>-3.3652039999999999</v>
      </c>
      <c r="T2318">
        <v>-0.43879370000000001</v>
      </c>
      <c r="U2318">
        <v>-1.223755E-2</v>
      </c>
      <c r="V2318">
        <v>-7.2438470000000005E-2</v>
      </c>
      <c r="W2318">
        <v>0.35536180000000001</v>
      </c>
      <c r="X2318">
        <v>0.93191769999999996</v>
      </c>
      <c r="Y2318">
        <v>1.096459E-2</v>
      </c>
      <c r="Z2318">
        <v>2.4967560000000001E-3</v>
      </c>
      <c r="AA2318">
        <v>0.99993679999999996</v>
      </c>
      <c r="AB2318">
        <v>48</v>
      </c>
      <c r="AC2318">
        <v>-0.555499999999995</v>
      </c>
      <c r="AD2318">
        <v>-0.10807799999999899</v>
      </c>
      <c r="AE2318">
        <v>1.5000000000213701E-3</v>
      </c>
      <c r="AF2318">
        <v>9.3680894880899604E-3</v>
      </c>
      <c r="AG2318">
        <v>-0.10807799999999899</v>
      </c>
      <c r="AH2318">
        <v>0.53515940375403304</v>
      </c>
      <c r="AI2318">
        <v>101.41588180486799</v>
      </c>
      <c r="AJ2318">
        <v>88.997126519908605</v>
      </c>
      <c r="AK2318">
        <v>0.54604413980101396</v>
      </c>
      <c r="AL2318">
        <v>69.184379460447005</v>
      </c>
      <c r="AM2318">
        <v>94.444694830317999</v>
      </c>
      <c r="AN2318">
        <v>0.99999997020423503</v>
      </c>
    </row>
    <row r="2319" spans="1:40" x14ac:dyDescent="0.25">
      <c r="A2319" t="str">
        <f>"20190304164415095"</f>
        <v>20190304164415095</v>
      </c>
      <c r="B2319" t="str">
        <f>"1551689055091716"</f>
        <v>1551689055091716</v>
      </c>
      <c r="C2319" t="s">
        <v>40</v>
      </c>
      <c r="D2319">
        <v>5.1638449999999896</v>
      </c>
      <c r="E2319">
        <v>0.56247930000000002</v>
      </c>
      <c r="F2319" t="s">
        <v>41</v>
      </c>
      <c r="G2319">
        <v>-413.8184</v>
      </c>
      <c r="H2319">
        <v>0.98387930000000001</v>
      </c>
      <c r="I2319">
        <v>284.36599999999999</v>
      </c>
      <c r="J2319">
        <v>-413.14109999999999</v>
      </c>
      <c r="K2319">
        <v>1.1109329999999999</v>
      </c>
      <c r="L2319">
        <v>284.3646</v>
      </c>
      <c r="M2319">
        <v>-0.99977760000000004</v>
      </c>
      <c r="N2319">
        <v>-1.480475E-2</v>
      </c>
      <c r="O2319">
        <v>-1.501618E-2</v>
      </c>
      <c r="P2319">
        <v>-0.93603939999999997</v>
      </c>
      <c r="Q2319">
        <v>0.34125080000000002</v>
      </c>
      <c r="R2319">
        <v>-8.5896500000000001E-2</v>
      </c>
      <c r="S2319">
        <v>-3.3649900000000001</v>
      </c>
      <c r="T2319">
        <v>-0.43996829999999998</v>
      </c>
      <c r="U2319">
        <v>-1.1688230000000001E-2</v>
      </c>
      <c r="V2319">
        <v>-7.2199849999999996E-2</v>
      </c>
      <c r="W2319">
        <v>0.35501369999999999</v>
      </c>
      <c r="X2319">
        <v>0.93206889999999998</v>
      </c>
      <c r="Y2319">
        <v>1.133667E-2</v>
      </c>
      <c r="Z2319">
        <v>2.555763E-3</v>
      </c>
      <c r="AA2319">
        <v>0.9999325</v>
      </c>
      <c r="AB2319">
        <v>48</v>
      </c>
      <c r="AC2319">
        <v>-0.67730000000000201</v>
      </c>
      <c r="AD2319">
        <v>-0.12705369999999899</v>
      </c>
      <c r="AE2319">
        <v>1.39999999998963E-3</v>
      </c>
      <c r="AF2319">
        <v>1.1178067650781999E-2</v>
      </c>
      <c r="AG2319">
        <v>-0.12705369999999899</v>
      </c>
      <c r="AH2319">
        <v>0.65418237351295305</v>
      </c>
      <c r="AI2319">
        <v>100.98944891133701</v>
      </c>
      <c r="AJ2319">
        <v>89.021077599497005</v>
      </c>
      <c r="AK2319">
        <v>0.66649993975628896</v>
      </c>
      <c r="AL2319">
        <v>69.205715757062293</v>
      </c>
      <c r="AM2319">
        <v>94.429396122944098</v>
      </c>
      <c r="AN2319">
        <v>0.99999998993746098</v>
      </c>
    </row>
    <row r="2320" spans="1:40" x14ac:dyDescent="0.25">
      <c r="A2320" t="str">
        <f>"20190304164415109"</f>
        <v>20190304164415109</v>
      </c>
      <c r="B2320" t="str">
        <f>"1551689055102452"</f>
        <v>1551689055102452</v>
      </c>
      <c r="C2320" t="s">
        <v>40</v>
      </c>
      <c r="D2320">
        <v>5.1643850000000002</v>
      </c>
      <c r="E2320">
        <v>0.56306040000000002</v>
      </c>
      <c r="F2320" t="s">
        <v>41</v>
      </c>
      <c r="G2320">
        <v>-414.2405</v>
      </c>
      <c r="H2320">
        <v>0.9778308</v>
      </c>
      <c r="I2320">
        <v>284.39789999999999</v>
      </c>
      <c r="J2320">
        <v>-413.45749999999998</v>
      </c>
      <c r="K2320">
        <v>1.1109279999999999</v>
      </c>
      <c r="L2320">
        <v>284.35969999999998</v>
      </c>
      <c r="M2320">
        <v>-0.99977419999999995</v>
      </c>
      <c r="N2320">
        <v>-1.480272E-2</v>
      </c>
      <c r="O2320">
        <v>-1.524766E-2</v>
      </c>
      <c r="P2320">
        <v>-0.93603460000000005</v>
      </c>
      <c r="Q2320">
        <v>0.34122370000000002</v>
      </c>
      <c r="R2320">
        <v>-8.6056779999999999E-2</v>
      </c>
      <c r="S2320">
        <v>-3.3627009999999999</v>
      </c>
      <c r="T2320">
        <v>-0.40726469999999998</v>
      </c>
      <c r="U2320">
        <v>0.1005249</v>
      </c>
      <c r="V2320">
        <v>-7.214334E-2</v>
      </c>
      <c r="W2320">
        <v>0.35498469999999999</v>
      </c>
      <c r="X2320">
        <v>0.93208429999999998</v>
      </c>
      <c r="Y2320">
        <v>4.466767E-2</v>
      </c>
      <c r="Z2320">
        <v>4.641165E-3</v>
      </c>
      <c r="AA2320">
        <v>0.99899110000000002</v>
      </c>
      <c r="AB2320">
        <v>48</v>
      </c>
      <c r="AC2320">
        <v>-0.78300000000001502</v>
      </c>
      <c r="AD2320">
        <v>-0.1330972</v>
      </c>
      <c r="AE2320">
        <v>3.8200000000017498E-2</v>
      </c>
      <c r="AF2320">
        <v>4.8731070172220399E-2</v>
      </c>
      <c r="AG2320">
        <v>-0.1330972</v>
      </c>
      <c r="AH2320">
        <v>0.76040706340111497</v>
      </c>
      <c r="AI2320">
        <v>99.908222281975497</v>
      </c>
      <c r="AJ2320">
        <v>86.333185397087306</v>
      </c>
      <c r="AK2320">
        <v>0.773504029671647</v>
      </c>
      <c r="AL2320">
        <v>69.207492676631304</v>
      </c>
      <c r="AM2320">
        <v>94.425870230011</v>
      </c>
      <c r="AN2320">
        <v>0.99999997052346701</v>
      </c>
    </row>
    <row r="2321" spans="1:40" x14ac:dyDescent="0.25">
      <c r="A2321" t="str">
        <f>"20190304164415122"</f>
        <v>20190304164415122</v>
      </c>
      <c r="B2321" t="str">
        <f>"1551689055112212"</f>
        <v>1551689055112212</v>
      </c>
      <c r="C2321" t="s">
        <v>40</v>
      </c>
      <c r="D2321">
        <v>5.1424370000000001</v>
      </c>
      <c r="E2321">
        <v>0.56354519999999997</v>
      </c>
      <c r="F2321" t="s">
        <v>41</v>
      </c>
      <c r="G2321">
        <v>-414.25810000000001</v>
      </c>
      <c r="H2321">
        <v>1.0134829999999999</v>
      </c>
      <c r="I2321">
        <v>284.38499999999999</v>
      </c>
      <c r="J2321">
        <v>-413.72949999999997</v>
      </c>
      <c r="K2321">
        <v>1.1109290000000001</v>
      </c>
      <c r="L2321">
        <v>284.35550000000001</v>
      </c>
      <c r="M2321">
        <v>-0.99977119999999997</v>
      </c>
      <c r="N2321">
        <v>-1.480091E-2</v>
      </c>
      <c r="O2321">
        <v>-1.544707E-2</v>
      </c>
      <c r="P2321">
        <v>-0.93607149999999995</v>
      </c>
      <c r="Q2321">
        <v>0.3411072</v>
      </c>
      <c r="R2321">
        <v>-8.6117449999999998E-2</v>
      </c>
      <c r="S2321">
        <v>-3.363953</v>
      </c>
      <c r="T2321">
        <v>-0.4096187</v>
      </c>
      <c r="U2321">
        <v>0.10424799999999999</v>
      </c>
      <c r="V2321">
        <v>-7.2016109999999994E-2</v>
      </c>
      <c r="W2321">
        <v>0.35486790000000001</v>
      </c>
      <c r="X2321">
        <v>0.93213860000000004</v>
      </c>
      <c r="Y2321">
        <v>4.5943930000000001E-2</v>
      </c>
      <c r="Z2321">
        <v>4.7735759999999999E-3</v>
      </c>
      <c r="AA2321">
        <v>0.99893259999999995</v>
      </c>
      <c r="AB2321">
        <v>48</v>
      </c>
      <c r="AC2321">
        <v>-0.52860000000003904</v>
      </c>
      <c r="AD2321">
        <v>-9.7446000000000102E-2</v>
      </c>
      <c r="AE2321">
        <v>2.94999999999845E-2</v>
      </c>
      <c r="AF2321">
        <v>3.6428552714515797E-2</v>
      </c>
      <c r="AG2321">
        <v>-9.7446000000000102E-2</v>
      </c>
      <c r="AH2321">
        <v>0.510776863500226</v>
      </c>
      <c r="AI2321">
        <v>100.774369111098</v>
      </c>
      <c r="AJ2321">
        <v>85.920578311672998</v>
      </c>
      <c r="AK2321">
        <v>0.52126362491162104</v>
      </c>
      <c r="AL2321">
        <v>69.214650592125295</v>
      </c>
      <c r="AM2321">
        <v>94.417839469316704</v>
      </c>
      <c r="AN2321">
        <v>0.99999995807995001</v>
      </c>
    </row>
    <row r="2322" spans="1:40" x14ac:dyDescent="0.25">
      <c r="A2322" t="str">
        <f>"20190304164415137"</f>
        <v>20190304164415137</v>
      </c>
      <c r="B2322" t="str">
        <f>"1551689055132708"</f>
        <v>1551689055132708</v>
      </c>
      <c r="C2322" t="s">
        <v>40</v>
      </c>
      <c r="D2322">
        <v>5.1478640000000002</v>
      </c>
      <c r="E2322">
        <v>0.56420519999999996</v>
      </c>
      <c r="F2322" t="s">
        <v>41</v>
      </c>
      <c r="G2322">
        <v>-414.67469999999997</v>
      </c>
      <c r="H2322">
        <v>0.99659339999999996</v>
      </c>
      <c r="I2322">
        <v>284.38589999999999</v>
      </c>
      <c r="J2322">
        <v>-414.03219999999999</v>
      </c>
      <c r="K2322">
        <v>1.1109309999999999</v>
      </c>
      <c r="L2322">
        <v>284.35059999999999</v>
      </c>
      <c r="M2322">
        <v>-0.99976779999999998</v>
      </c>
      <c r="N2322">
        <v>-1.47989E-2</v>
      </c>
      <c r="O2322">
        <v>-1.5668890000000001E-2</v>
      </c>
      <c r="P2322">
        <v>-0.93612649999999997</v>
      </c>
      <c r="Q2322">
        <v>0.34089180000000002</v>
      </c>
      <c r="R2322">
        <v>-8.6372240000000003E-2</v>
      </c>
      <c r="S2322">
        <v>-3.3630070000000001</v>
      </c>
      <c r="T2322">
        <v>-0.4068427</v>
      </c>
      <c r="U2322">
        <v>0.1074219</v>
      </c>
      <c r="V2322">
        <v>-7.2061990000000006E-2</v>
      </c>
      <c r="W2322">
        <v>0.35465170000000001</v>
      </c>
      <c r="X2322">
        <v>0.93221739999999997</v>
      </c>
      <c r="Y2322">
        <v>4.7111210000000001E-2</v>
      </c>
      <c r="Z2322">
        <v>4.8458850000000003E-3</v>
      </c>
      <c r="AA2322">
        <v>0.99887789999999999</v>
      </c>
      <c r="AB2322">
        <v>48</v>
      </c>
      <c r="AC2322">
        <v>-0.64249999999998397</v>
      </c>
      <c r="AD2322">
        <v>-0.114337599999999</v>
      </c>
      <c r="AE2322">
        <v>3.53000000000065E-2</v>
      </c>
      <c r="AF2322">
        <v>4.3975565902400801E-2</v>
      </c>
      <c r="AG2322">
        <v>-0.114337599999999</v>
      </c>
      <c r="AH2322">
        <v>0.62222219386020705</v>
      </c>
      <c r="AI2322">
        <v>100.386990576012</v>
      </c>
      <c r="AJ2322">
        <v>85.957341673472797</v>
      </c>
      <c r="AK2322">
        <v>0.63416669393969705</v>
      </c>
      <c r="AL2322">
        <v>69.227901036498807</v>
      </c>
      <c r="AM2322">
        <v>94.420270637927302</v>
      </c>
      <c r="AN2322">
        <v>1.0000000197892001</v>
      </c>
    </row>
    <row r="2323" spans="1:40" x14ac:dyDescent="0.25">
      <c r="A2323" t="str">
        <f>"20190304164415155"</f>
        <v>20190304164415155</v>
      </c>
      <c r="B2323" t="str">
        <f>"1551689055142468"</f>
        <v>1551689055142468</v>
      </c>
      <c r="C2323" t="s">
        <v>40</v>
      </c>
      <c r="D2323">
        <v>5.1563429999999997</v>
      </c>
      <c r="E2323">
        <v>0.56432819999999995</v>
      </c>
      <c r="F2323" t="s">
        <v>41</v>
      </c>
      <c r="G2323">
        <v>-415.09289999999999</v>
      </c>
      <c r="H2323">
        <v>0.98331049999999998</v>
      </c>
      <c r="I2323">
        <v>284.38650000000001</v>
      </c>
      <c r="J2323">
        <v>-414.4049</v>
      </c>
      <c r="K2323">
        <v>1.1109290000000001</v>
      </c>
      <c r="L2323">
        <v>284.34460000000001</v>
      </c>
      <c r="M2323">
        <v>-0.99976339999999997</v>
      </c>
      <c r="N2323">
        <v>-1.4796520000000001E-2</v>
      </c>
      <c r="O2323">
        <v>-1.5941730000000001E-2</v>
      </c>
      <c r="P2323">
        <v>-0.93610420000000005</v>
      </c>
      <c r="Q2323">
        <v>0.34075620000000001</v>
      </c>
      <c r="R2323">
        <v>-8.7145020000000004E-2</v>
      </c>
      <c r="S2323">
        <v>-3.362457</v>
      </c>
      <c r="T2323">
        <v>-0.40491329999999998</v>
      </c>
      <c r="U2323">
        <v>0.1117554</v>
      </c>
      <c r="V2323">
        <v>-7.2579030000000003E-2</v>
      </c>
      <c r="W2323">
        <v>0.35451300000000002</v>
      </c>
      <c r="X2323">
        <v>0.93223</v>
      </c>
      <c r="Y2323">
        <v>4.8665069999999998E-2</v>
      </c>
      <c r="Z2323">
        <v>4.9577240000000002E-3</v>
      </c>
      <c r="AA2323">
        <v>0.99880279999999999</v>
      </c>
      <c r="AB2323">
        <v>48</v>
      </c>
      <c r="AC2323">
        <v>-0.68799999999998795</v>
      </c>
      <c r="AD2323">
        <v>-0.1276185</v>
      </c>
      <c r="AE2323">
        <v>4.1899999999998203E-2</v>
      </c>
      <c r="AF2323">
        <v>5.11116704782833E-2</v>
      </c>
      <c r="AG2323">
        <v>-0.1276185</v>
      </c>
      <c r="AH2323">
        <v>0.66446651422885095</v>
      </c>
      <c r="AI2323">
        <v>100.840666933652</v>
      </c>
      <c r="AJ2323">
        <v>85.601392221984199</v>
      </c>
      <c r="AK2323">
        <v>0.67853860091579898</v>
      </c>
      <c r="AL2323">
        <v>69.236399284171497</v>
      </c>
      <c r="AM2323">
        <v>94.451798814881201</v>
      </c>
      <c r="AN2323">
        <v>0.99999997783237005</v>
      </c>
    </row>
    <row r="2324" spans="1:40" x14ac:dyDescent="0.25">
      <c r="A2324" t="str">
        <f>"20190304164415177"</f>
        <v>20190304164415177</v>
      </c>
      <c r="B2324" t="str">
        <f>"1551689055171751"</f>
        <v>1551689055171751</v>
      </c>
      <c r="C2324" t="s">
        <v>40</v>
      </c>
      <c r="D2324">
        <v>5.1842300000000003</v>
      </c>
      <c r="E2324">
        <v>0.56462060000000003</v>
      </c>
      <c r="F2324" t="s">
        <v>41</v>
      </c>
      <c r="G2324">
        <v>-415.51429999999999</v>
      </c>
      <c r="H2324">
        <v>0.97751310000000002</v>
      </c>
      <c r="I2324">
        <v>284.3818</v>
      </c>
      <c r="J2324">
        <v>-414.89429999999999</v>
      </c>
      <c r="K2324">
        <v>1.1109169999999999</v>
      </c>
      <c r="L2324">
        <v>284.3365</v>
      </c>
      <c r="M2324">
        <v>-0.99975780000000003</v>
      </c>
      <c r="N2324">
        <v>-1.479343E-2</v>
      </c>
      <c r="O2324">
        <v>-1.630026E-2</v>
      </c>
      <c r="P2324">
        <v>-0.93608740000000001</v>
      </c>
      <c r="Q2324">
        <v>0.34038069999999998</v>
      </c>
      <c r="R2324">
        <v>-8.8778410000000002E-2</v>
      </c>
      <c r="S2324">
        <v>-3.3624269999999998</v>
      </c>
      <c r="T2324">
        <v>-0.4044161</v>
      </c>
      <c r="U2324">
        <v>0.1123657</v>
      </c>
      <c r="V2324">
        <v>-7.3876289999999997E-2</v>
      </c>
      <c r="W2324">
        <v>0.354134</v>
      </c>
      <c r="X2324">
        <v>0.9322722</v>
      </c>
      <c r="Y2324">
        <v>4.9199489999999999E-2</v>
      </c>
      <c r="Z2324">
        <v>5.0254899999999996E-3</v>
      </c>
      <c r="AA2324">
        <v>0.99877629999999995</v>
      </c>
      <c r="AB2324">
        <v>48</v>
      </c>
      <c r="AC2324">
        <v>-0.62000000000000399</v>
      </c>
      <c r="AD2324">
        <v>-0.13340389999999999</v>
      </c>
      <c r="AE2324">
        <v>4.5299999999997398E-2</v>
      </c>
      <c r="AF2324">
        <v>5.29622679474928E-2</v>
      </c>
      <c r="AG2324">
        <v>-0.13340389999999999</v>
      </c>
      <c r="AH2324">
        <v>0.59192045267661797</v>
      </c>
      <c r="AI2324">
        <v>102.651909489443</v>
      </c>
      <c r="AJ2324">
        <v>84.887057621906706</v>
      </c>
      <c r="AK2324">
        <v>0.60907423575311703</v>
      </c>
      <c r="AL2324">
        <v>69.259621973745695</v>
      </c>
      <c r="AM2324">
        <v>94.530836496365197</v>
      </c>
      <c r="AN2324">
        <v>1.0000000255365</v>
      </c>
    </row>
    <row r="2325" spans="1:40" x14ac:dyDescent="0.25">
      <c r="A2325" t="str">
        <f>"20190304164415190"</f>
        <v>20190304164415190</v>
      </c>
      <c r="B2325" t="str">
        <f>"1551689055182485"</f>
        <v>1551689055182485</v>
      </c>
      <c r="C2325" t="s">
        <v>40</v>
      </c>
      <c r="D2325">
        <v>5.1814790000000004</v>
      </c>
      <c r="E2325">
        <v>0.56474250000000004</v>
      </c>
      <c r="F2325" t="s">
        <v>41</v>
      </c>
      <c r="G2325">
        <v>-415.94159999999999</v>
      </c>
      <c r="H2325">
        <v>0.98421650000000005</v>
      </c>
      <c r="I2325">
        <v>284.37150000000003</v>
      </c>
      <c r="J2325">
        <v>-415.16750000000002</v>
      </c>
      <c r="K2325">
        <v>1.1109070000000001</v>
      </c>
      <c r="L2325">
        <v>284.33190000000002</v>
      </c>
      <c r="M2325">
        <v>-0.99975449999999999</v>
      </c>
      <c r="N2325">
        <v>-1.479168E-2</v>
      </c>
      <c r="O2325">
        <v>-1.6500629999999999E-2</v>
      </c>
      <c r="P2325">
        <v>-0.93634930000000005</v>
      </c>
      <c r="Q2325">
        <v>0.33949960000000001</v>
      </c>
      <c r="R2325">
        <v>-8.9387750000000002E-2</v>
      </c>
      <c r="S2325">
        <v>-3.3633120000000001</v>
      </c>
      <c r="T2325">
        <v>-0.4069779</v>
      </c>
      <c r="U2325">
        <v>0.1109924</v>
      </c>
      <c r="V2325">
        <v>-7.4292090000000005E-2</v>
      </c>
      <c r="W2325">
        <v>0.3532554</v>
      </c>
      <c r="X2325">
        <v>0.93257239999999997</v>
      </c>
      <c r="Y2325">
        <v>4.8978380000000002E-2</v>
      </c>
      <c r="Z2325">
        <v>5.0612879999999997E-3</v>
      </c>
      <c r="AA2325">
        <v>0.99878699999999998</v>
      </c>
      <c r="AB2325">
        <v>47</v>
      </c>
      <c r="AC2325">
        <v>-0.77409999999997503</v>
      </c>
      <c r="AD2325">
        <v>-0.12669049999999901</v>
      </c>
      <c r="AE2325">
        <v>3.9600000000007102E-2</v>
      </c>
      <c r="AF2325">
        <v>5.1006491778618303E-2</v>
      </c>
      <c r="AG2325">
        <v>-0.12669049999999901</v>
      </c>
      <c r="AH2325">
        <v>0.75321868051833896</v>
      </c>
      <c r="AI2325">
        <v>99.526298420311207</v>
      </c>
      <c r="AJ2325">
        <v>86.125956735478496</v>
      </c>
      <c r="AK2325">
        <v>0.76550018006242204</v>
      </c>
      <c r="AL2325">
        <v>69.313440010086893</v>
      </c>
      <c r="AM2325">
        <v>94.554769956765</v>
      </c>
      <c r="AN2325">
        <v>0.99999998675374302</v>
      </c>
    </row>
    <row r="2326" spans="1:40" x14ac:dyDescent="0.25">
      <c r="A2326" t="str">
        <f>"20190304164415203"</f>
        <v>20190304164415203</v>
      </c>
      <c r="B2326" t="str">
        <f>"1551689055192245"</f>
        <v>1551689055192245</v>
      </c>
      <c r="C2326" t="s">
        <v>40</v>
      </c>
      <c r="D2326">
        <v>5.1908219999999998</v>
      </c>
      <c r="E2326">
        <v>0.56476269999999995</v>
      </c>
      <c r="F2326" t="s">
        <v>41</v>
      </c>
      <c r="G2326">
        <v>-415.95670000000001</v>
      </c>
      <c r="H2326">
        <v>1.0149509999999999</v>
      </c>
      <c r="I2326">
        <v>284.35820000000001</v>
      </c>
      <c r="J2326">
        <v>-415.44510000000002</v>
      </c>
      <c r="K2326">
        <v>1.1108960000000001</v>
      </c>
      <c r="L2326">
        <v>284.3272</v>
      </c>
      <c r="M2326">
        <v>-0.99975119999999895</v>
      </c>
      <c r="N2326">
        <v>-1.478988E-2</v>
      </c>
      <c r="O2326">
        <v>-1.6704090000000001E-2</v>
      </c>
      <c r="P2326">
        <v>-0.93669159999999996</v>
      </c>
      <c r="Q2326">
        <v>0.33848319999999998</v>
      </c>
      <c r="R2326">
        <v>-8.9656570000000005E-2</v>
      </c>
      <c r="S2326">
        <v>-3.3627929999999999</v>
      </c>
      <c r="T2326">
        <v>-0.40903650000000003</v>
      </c>
      <c r="U2326">
        <v>0.1103821</v>
      </c>
      <c r="V2326">
        <v>-7.4362910000000004E-2</v>
      </c>
      <c r="W2326">
        <v>0.35224260000000002</v>
      </c>
      <c r="X2326">
        <v>0.93294980000000005</v>
      </c>
      <c r="Y2326">
        <v>4.8999269999999998E-2</v>
      </c>
      <c r="Z2326">
        <v>5.1099520000000001E-3</v>
      </c>
      <c r="AA2326">
        <v>0.9987857</v>
      </c>
      <c r="AB2326">
        <v>47</v>
      </c>
      <c r="AC2326">
        <v>-0.51159999999998695</v>
      </c>
      <c r="AD2326">
        <v>-9.5944999999999905E-2</v>
      </c>
      <c r="AE2326">
        <v>3.1000000000005901E-2</v>
      </c>
      <c r="AF2326">
        <v>3.8203677370245999E-2</v>
      </c>
      <c r="AG2326">
        <v>-9.5944999999999905E-2</v>
      </c>
      <c r="AH2326">
        <v>0.49371001222674998</v>
      </c>
      <c r="AI2326">
        <v>100.965500870727</v>
      </c>
      <c r="AJ2326">
        <v>85.575224036021993</v>
      </c>
      <c r="AK2326">
        <v>0.50439522218449595</v>
      </c>
      <c r="AL2326">
        <v>69.375456183995595</v>
      </c>
      <c r="AM2326">
        <v>94.557257071271593</v>
      </c>
      <c r="AN2326">
        <v>1.0000000104792299</v>
      </c>
    </row>
    <row r="2327" spans="1:40" x14ac:dyDescent="0.25">
      <c r="A2327" t="str">
        <f>"20190304164415221"</f>
        <v>20190304164415221</v>
      </c>
      <c r="B2327" t="str">
        <f>"1551689055211765"</f>
        <v>1551689055211765</v>
      </c>
      <c r="C2327" t="s">
        <v>40</v>
      </c>
      <c r="D2327">
        <v>5.2058980000000004</v>
      </c>
      <c r="E2327">
        <v>0.56478819999999996</v>
      </c>
      <c r="F2327" t="s">
        <v>41</v>
      </c>
      <c r="G2327">
        <v>-416.3716</v>
      </c>
      <c r="H2327">
        <v>0.99712040000000002</v>
      </c>
      <c r="I2327">
        <v>284.35730000000001</v>
      </c>
      <c r="J2327">
        <v>-415.82679999999999</v>
      </c>
      <c r="K2327">
        <v>1.110884</v>
      </c>
      <c r="L2327">
        <v>284.32060000000001</v>
      </c>
      <c r="M2327">
        <v>-0.99974640000000004</v>
      </c>
      <c r="N2327">
        <v>-1.478734E-2</v>
      </c>
      <c r="O2327">
        <v>-1.698384E-2</v>
      </c>
      <c r="P2327">
        <v>-0.93732040000000005</v>
      </c>
      <c r="Q2327">
        <v>0.33652280000000001</v>
      </c>
      <c r="R2327">
        <v>-9.0462169999999995E-2</v>
      </c>
      <c r="S2327">
        <v>-3.3623959999999999</v>
      </c>
      <c r="T2327">
        <v>-0.41287259999999998</v>
      </c>
      <c r="U2327">
        <v>0.1087341</v>
      </c>
      <c r="V2327">
        <v>-7.4893489999999993E-2</v>
      </c>
      <c r="W2327">
        <v>0.35028930000000003</v>
      </c>
      <c r="X2327">
        <v>0.93364259999999999</v>
      </c>
      <c r="Y2327">
        <v>4.8784429999999997E-2</v>
      </c>
      <c r="Z2327">
        <v>5.1724270000000003E-3</v>
      </c>
      <c r="AA2327">
        <v>0.99879589999999996</v>
      </c>
      <c r="AB2327">
        <v>47</v>
      </c>
      <c r="AC2327">
        <v>-0.54480000000000905</v>
      </c>
      <c r="AD2327">
        <v>-0.11376359999999899</v>
      </c>
      <c r="AE2327">
        <v>3.6699999999996097E-2</v>
      </c>
      <c r="AF2327">
        <v>4.4036972520937599E-2</v>
      </c>
      <c r="AG2327">
        <v>-0.11376359999999899</v>
      </c>
      <c r="AH2327">
        <v>0.52146257156801001</v>
      </c>
      <c r="AI2327">
        <v>102.264634037248</v>
      </c>
      <c r="AJ2327">
        <v>85.172884255116898</v>
      </c>
      <c r="AK2327">
        <v>0.53554143180531899</v>
      </c>
      <c r="AL2327">
        <v>69.494990414520998</v>
      </c>
      <c r="AM2327">
        <v>94.586243551943397</v>
      </c>
      <c r="AN2327">
        <v>1.0000000665368101</v>
      </c>
    </row>
    <row r="2328" spans="1:40" x14ac:dyDescent="0.25">
      <c r="A2328" t="str">
        <f>"20190304164415243"</f>
        <v>20190304164415243</v>
      </c>
      <c r="B2328" t="str">
        <f>"1551689055232260"</f>
        <v>1551689055232260</v>
      </c>
      <c r="C2328" t="s">
        <v>40</v>
      </c>
      <c r="D2328">
        <v>5.2111869999999998</v>
      </c>
      <c r="E2328">
        <v>0.56488319999999903</v>
      </c>
      <c r="F2328" t="s">
        <v>41</v>
      </c>
      <c r="G2328">
        <v>-416.79169999999999</v>
      </c>
      <c r="H2328">
        <v>0.99028579999999999</v>
      </c>
      <c r="I2328">
        <v>284.35079999999999</v>
      </c>
      <c r="J2328">
        <v>-416.29480000000001</v>
      </c>
      <c r="K2328">
        <v>1.110911</v>
      </c>
      <c r="L2328">
        <v>284.31240000000003</v>
      </c>
      <c r="M2328">
        <v>-0.99974059999999998</v>
      </c>
      <c r="N2328">
        <v>-1.4784220000000001E-2</v>
      </c>
      <c r="O2328">
        <v>-1.7327349999999998E-2</v>
      </c>
      <c r="P2328">
        <v>-0.93660120000000002</v>
      </c>
      <c r="Q2328">
        <v>0.3383988</v>
      </c>
      <c r="R2328">
        <v>-9.0909989999999996E-2</v>
      </c>
      <c r="S2328">
        <v>-3.3615110000000001</v>
      </c>
      <c r="T2328">
        <v>-0.42032550000000002</v>
      </c>
      <c r="U2328">
        <v>0.1037598</v>
      </c>
      <c r="V2328">
        <v>-7.5032470000000004E-2</v>
      </c>
      <c r="W2328">
        <v>0.35215200000000002</v>
      </c>
      <c r="X2328">
        <v>0.93293040000000005</v>
      </c>
      <c r="Y2328">
        <v>4.7648879999999998E-2</v>
      </c>
      <c r="Z2328">
        <v>5.2231589999999998E-3</v>
      </c>
      <c r="AA2328">
        <v>0.99885049999999997</v>
      </c>
      <c r="AB2328">
        <v>47</v>
      </c>
      <c r="AC2328">
        <v>-0.49689999999998202</v>
      </c>
      <c r="AD2328">
        <v>-0.1206252</v>
      </c>
      <c r="AE2328">
        <v>3.8399999999967301E-2</v>
      </c>
      <c r="AF2328">
        <v>4.4403935370696597E-2</v>
      </c>
      <c r="AG2328">
        <v>-0.1206252</v>
      </c>
      <c r="AH2328">
        <v>0.46870313392183199</v>
      </c>
      <c r="AI2328">
        <v>104.37075026746</v>
      </c>
      <c r="AJ2328">
        <v>84.588072622846695</v>
      </c>
      <c r="AK2328">
        <v>0.48600902882517699</v>
      </c>
      <c r="AL2328">
        <v>69.381002700897696</v>
      </c>
      <c r="AM2328">
        <v>94.598210422362897</v>
      </c>
      <c r="AN2328">
        <v>1.00000001695123</v>
      </c>
    </row>
    <row r="2329" spans="1:40" x14ac:dyDescent="0.25">
      <c r="A2329" t="str">
        <f>"20190304164415267"</f>
        <v>20190304164415267</v>
      </c>
      <c r="B2329" t="str">
        <f>"1551689055262516"</f>
        <v>1551689055262516</v>
      </c>
      <c r="C2329" t="s">
        <v>40</v>
      </c>
      <c r="D2329">
        <v>5.2087209999999997</v>
      </c>
      <c r="E2329">
        <v>0.565111699999999</v>
      </c>
      <c r="F2329" t="s">
        <v>41</v>
      </c>
      <c r="G2329">
        <v>-417.21809999999999</v>
      </c>
      <c r="H2329">
        <v>0.99726939999999997</v>
      </c>
      <c r="I2329">
        <v>284.34059999999999</v>
      </c>
      <c r="J2329">
        <v>-416.77789999999999</v>
      </c>
      <c r="K2329">
        <v>1.1109389999999999</v>
      </c>
      <c r="L2329">
        <v>284.30369999999999</v>
      </c>
      <c r="M2329">
        <v>-0.99973449999999997</v>
      </c>
      <c r="N2329">
        <v>-1.4781270000000001E-2</v>
      </c>
      <c r="O2329">
        <v>-1.7681949999999998E-2</v>
      </c>
      <c r="P2329">
        <v>-0.93524839999999998</v>
      </c>
      <c r="Q2329">
        <v>0.3419682</v>
      </c>
      <c r="R2329">
        <v>-9.1478480000000001E-2</v>
      </c>
      <c r="S2329">
        <v>-3.3625790000000002</v>
      </c>
      <c r="T2329">
        <v>-0.41379189999999999</v>
      </c>
      <c r="U2329">
        <v>0.10290530000000001</v>
      </c>
      <c r="V2329">
        <v>-7.5295340000000002E-2</v>
      </c>
      <c r="W2329">
        <v>0.35569879999999998</v>
      </c>
      <c r="X2329">
        <v>0.93156269999999997</v>
      </c>
      <c r="Y2329">
        <v>4.7752889999999999E-2</v>
      </c>
      <c r="Z2329">
        <v>5.1878219999999999E-3</v>
      </c>
      <c r="AA2329">
        <v>0.99884569999999995</v>
      </c>
      <c r="AB2329">
        <v>47</v>
      </c>
      <c r="AC2329">
        <v>-0.44020000000000398</v>
      </c>
      <c r="AD2329">
        <v>-0.113669599999999</v>
      </c>
      <c r="AE2329">
        <v>3.6900000000002799E-2</v>
      </c>
      <c r="AF2329">
        <v>4.1904053175665201E-2</v>
      </c>
      <c r="AG2329">
        <v>-0.113669599999999</v>
      </c>
      <c r="AH2329">
        <v>0.41218626851221402</v>
      </c>
      <c r="AI2329">
        <v>105.342061760677</v>
      </c>
      <c r="AJ2329">
        <v>84.195088418283504</v>
      </c>
      <c r="AK2329">
        <v>0.42962105114476401</v>
      </c>
      <c r="AL2329">
        <v>69.163722675834606</v>
      </c>
      <c r="AM2329">
        <v>94.620995649582198</v>
      </c>
      <c r="AN2329">
        <v>1.0000000442892201</v>
      </c>
    </row>
    <row r="2330" spans="1:40" x14ac:dyDescent="0.25">
      <c r="A2330" t="str">
        <f>"20190304164415289"</f>
        <v>20190304164415289</v>
      </c>
      <c r="B2330" t="str">
        <f>"1551689055282036"</f>
        <v>1551689055282036</v>
      </c>
      <c r="C2330" t="s">
        <v>40</v>
      </c>
      <c r="D2330">
        <v>5.2114929999999999</v>
      </c>
      <c r="E2330">
        <v>0.56550849999999997</v>
      </c>
      <c r="F2330" t="s">
        <v>41</v>
      </c>
      <c r="G2330">
        <v>-417.64609999999999</v>
      </c>
      <c r="H2330">
        <v>1.0078499999999999</v>
      </c>
      <c r="I2330">
        <v>284.33080000000001</v>
      </c>
      <c r="J2330">
        <v>-417.25799999999998</v>
      </c>
      <c r="K2330">
        <v>1.110946</v>
      </c>
      <c r="L2330">
        <v>284.29500000000002</v>
      </c>
      <c r="M2330">
        <v>-0.99972830000000001</v>
      </c>
      <c r="N2330">
        <v>-1.4778360000000001E-2</v>
      </c>
      <c r="O2330">
        <v>-1.8034049999999999E-2</v>
      </c>
      <c r="P2330">
        <v>-0.93482149999999997</v>
      </c>
      <c r="Q2330">
        <v>0.34324339999999998</v>
      </c>
      <c r="R2330">
        <v>-9.1067029999999993E-2</v>
      </c>
      <c r="S2330">
        <v>-3.3639220000000001</v>
      </c>
      <c r="T2330">
        <v>-0.39962160000000002</v>
      </c>
      <c r="U2330">
        <v>0.1037598</v>
      </c>
      <c r="V2330">
        <v>-7.4562899999999904E-2</v>
      </c>
      <c r="W2330">
        <v>0.3569659</v>
      </c>
      <c r="X2330">
        <v>0.93113679999999999</v>
      </c>
      <c r="Y2330">
        <v>4.8373029999999997E-2</v>
      </c>
      <c r="Z2330">
        <v>5.0902689999999997E-3</v>
      </c>
      <c r="AA2330">
        <v>0.99881640000000005</v>
      </c>
      <c r="AB2330">
        <v>47</v>
      </c>
      <c r="AC2330">
        <v>-0.38809999999995098</v>
      </c>
      <c r="AD2330">
        <v>-0.10309599999999999</v>
      </c>
      <c r="AE2330">
        <v>3.5799999999994697E-2</v>
      </c>
      <c r="AF2330">
        <v>3.9995443455118303E-2</v>
      </c>
      <c r="AG2330">
        <v>-0.10309599999999999</v>
      </c>
      <c r="AH2330">
        <v>0.36205772848357998</v>
      </c>
      <c r="AI2330">
        <v>105.80302562031601</v>
      </c>
      <c r="AJ2330">
        <v>83.696263682787801</v>
      </c>
      <c r="AK2330">
        <v>0.37856864564813297</v>
      </c>
      <c r="AL2330">
        <v>69.086022171834401</v>
      </c>
      <c r="AM2330">
        <v>94.578320755197694</v>
      </c>
      <c r="AN2330">
        <v>1.0000000100667299</v>
      </c>
    </row>
    <row r="2331" spans="1:40" x14ac:dyDescent="0.25">
      <c r="A2331" t="str">
        <f>"20190304164415310"</f>
        <v>20190304164415310</v>
      </c>
      <c r="B2331" t="str">
        <f>"1551689055302532"</f>
        <v>1551689055302532</v>
      </c>
      <c r="C2331" t="s">
        <v>40</v>
      </c>
      <c r="D2331">
        <v>5.2127780000000001</v>
      </c>
      <c r="E2331">
        <v>0.56971349999999998</v>
      </c>
      <c r="F2331" t="s">
        <v>41</v>
      </c>
      <c r="G2331">
        <v>-418.07240000000002</v>
      </c>
      <c r="H2331">
        <v>1.0158430000000001</v>
      </c>
      <c r="I2331">
        <v>284.3218</v>
      </c>
      <c r="J2331">
        <v>-417.7047</v>
      </c>
      <c r="K2331">
        <v>1.1109230000000001</v>
      </c>
      <c r="L2331">
        <v>284.2867</v>
      </c>
      <c r="M2331">
        <v>-0.99972229999999995</v>
      </c>
      <c r="N2331">
        <v>-1.477562E-2</v>
      </c>
      <c r="O2331">
        <v>-1.8362179999999999E-2</v>
      </c>
      <c r="P2331">
        <v>-0.93604520000000002</v>
      </c>
      <c r="Q2331">
        <v>0.34007809999999999</v>
      </c>
      <c r="R2331">
        <v>-9.0367690000000001E-2</v>
      </c>
      <c r="S2331">
        <v>-3.364166</v>
      </c>
      <c r="T2331">
        <v>-0.39304440000000002</v>
      </c>
      <c r="U2331">
        <v>0.1088867</v>
      </c>
      <c r="V2331">
        <v>-7.3530509999999993E-2</v>
      </c>
      <c r="W2331">
        <v>0.35381780000000002</v>
      </c>
      <c r="X2331">
        <v>0.93241949999999996</v>
      </c>
      <c r="Y2331">
        <v>5.0218829999999999E-2</v>
      </c>
      <c r="Z2331">
        <v>5.1625380000000004E-3</v>
      </c>
      <c r="AA2331">
        <v>0.99872490000000003</v>
      </c>
      <c r="AB2331">
        <v>47</v>
      </c>
      <c r="AC2331">
        <v>-0.36770000000001302</v>
      </c>
      <c r="AD2331">
        <v>-9.5079999999999804E-2</v>
      </c>
      <c r="AE2331">
        <v>3.5099999999999902E-2</v>
      </c>
      <c r="AF2331">
        <v>3.9246140777185502E-2</v>
      </c>
      <c r="AG2331">
        <v>-9.5079999999999804E-2</v>
      </c>
      <c r="AH2331">
        <v>0.34418753506768801</v>
      </c>
      <c r="AI2331">
        <v>105.347815098905</v>
      </c>
      <c r="AJ2331">
        <v>83.494918104282803</v>
      </c>
      <c r="AK2331">
        <v>0.359229070736032</v>
      </c>
      <c r="AL2331">
        <v>69.278991404410107</v>
      </c>
      <c r="AM2331">
        <v>94.509007984437204</v>
      </c>
      <c r="AN2331">
        <v>0.99999994773897305</v>
      </c>
    </row>
    <row r="2332" spans="1:40" x14ac:dyDescent="0.25">
      <c r="A2332" t="str">
        <f>"20190304164415324"</f>
        <v>20190304164415324</v>
      </c>
      <c r="B2332" t="str">
        <f>"1551689055312293"</f>
        <v>1551689055312293</v>
      </c>
      <c r="C2332" t="s">
        <v>40</v>
      </c>
      <c r="D2332">
        <v>5.2315149999999999</v>
      </c>
      <c r="E2332">
        <v>0.56965559999999904</v>
      </c>
      <c r="F2332" t="s">
        <v>41</v>
      </c>
      <c r="G2332">
        <v>-418.49849999999998</v>
      </c>
      <c r="H2332">
        <v>1.0234490000000001</v>
      </c>
      <c r="I2332">
        <v>284.32260000000002</v>
      </c>
      <c r="J2332">
        <v>-417.97469999999998</v>
      </c>
      <c r="K2332">
        <v>1.1109100000000001</v>
      </c>
      <c r="L2332">
        <v>284.28160000000003</v>
      </c>
      <c r="M2332">
        <v>-0.99971860000000001</v>
      </c>
      <c r="N2332">
        <v>-1.4773959999999999E-2</v>
      </c>
      <c r="O2332">
        <v>-1.856052E-2</v>
      </c>
      <c r="P2332">
        <v>-0.93672489999999997</v>
      </c>
      <c r="Q2332">
        <v>0.33821570000000001</v>
      </c>
      <c r="R2332">
        <v>-9.0313749999999998E-2</v>
      </c>
      <c r="S2332">
        <v>-3.3538510000000001</v>
      </c>
      <c r="T2332">
        <v>-0.3698804</v>
      </c>
      <c r="U2332">
        <v>0.14974979999999999</v>
      </c>
      <c r="V2332">
        <v>-7.3275770000000004E-2</v>
      </c>
      <c r="W2332">
        <v>0.35196440000000001</v>
      </c>
      <c r="X2332">
        <v>0.93314079999999999</v>
      </c>
      <c r="Y2332">
        <v>6.2627580000000002E-2</v>
      </c>
      <c r="Z2332">
        <v>5.6723049999999999E-3</v>
      </c>
      <c r="AA2332">
        <v>0.99802080000000004</v>
      </c>
      <c r="AB2332">
        <v>47</v>
      </c>
      <c r="AC2332">
        <v>-0.52379999999999405</v>
      </c>
      <c r="AD2332">
        <v>-8.7460999999999997E-2</v>
      </c>
      <c r="AE2332">
        <v>4.0999999999996803E-2</v>
      </c>
      <c r="AF2332">
        <v>4.9348522380460301E-2</v>
      </c>
      <c r="AG2332">
        <v>-8.7460999999999997E-2</v>
      </c>
      <c r="AH2332">
        <v>0.50884822115414097</v>
      </c>
      <c r="AI2332">
        <v>99.708047641557002</v>
      </c>
      <c r="AJ2332">
        <v>84.460730584702901</v>
      </c>
      <c r="AK2332">
        <v>0.51866291110302898</v>
      </c>
      <c r="AL2332">
        <v>69.392486568085701</v>
      </c>
      <c r="AM2332">
        <v>94.489991862239606</v>
      </c>
      <c r="AN2332">
        <v>1.0000000149805399</v>
      </c>
    </row>
    <row r="2333" spans="1:40" x14ac:dyDescent="0.25">
      <c r="A2333" t="str">
        <f>"20190304164415347"</f>
        <v>20190304164415347</v>
      </c>
      <c r="B2333" t="str">
        <f>"1551689055341792"</f>
        <v>1551689055341792</v>
      </c>
      <c r="C2333" t="s">
        <v>40</v>
      </c>
      <c r="D2333">
        <v>5.2350240000000001</v>
      </c>
      <c r="E2333">
        <v>0.56986700000000001</v>
      </c>
      <c r="F2333" t="s">
        <v>41</v>
      </c>
      <c r="G2333">
        <v>-418.91120000000001</v>
      </c>
      <c r="H2333">
        <v>1.005026</v>
      </c>
      <c r="I2333">
        <v>284.32339999999999</v>
      </c>
      <c r="J2333">
        <v>-418.4708</v>
      </c>
      <c r="K2333">
        <v>1.110887</v>
      </c>
      <c r="L2333">
        <v>284.27199999999999</v>
      </c>
      <c r="M2333">
        <v>-0.99971189999999999</v>
      </c>
      <c r="N2333">
        <v>-1.477093E-2</v>
      </c>
      <c r="O2333">
        <v>-1.8925009999999999E-2</v>
      </c>
      <c r="P2333">
        <v>-0.93749640000000001</v>
      </c>
      <c r="Q2333">
        <v>0.33618870000000001</v>
      </c>
      <c r="R2333">
        <v>-8.9877230000000002E-2</v>
      </c>
      <c r="S2333">
        <v>-3.3539729999999999</v>
      </c>
      <c r="T2333">
        <v>-0.37930629999999999</v>
      </c>
      <c r="U2333">
        <v>0.14981079999999999</v>
      </c>
      <c r="V2333">
        <v>-7.2480370000000002E-2</v>
      </c>
      <c r="W2333">
        <v>0.34994760000000003</v>
      </c>
      <c r="X2333">
        <v>0.93396100000000004</v>
      </c>
      <c r="Y2333">
        <v>6.2977870000000005E-2</v>
      </c>
      <c r="Z2333">
        <v>5.8690239999999996E-3</v>
      </c>
      <c r="AA2333">
        <v>0.99799760000000004</v>
      </c>
      <c r="AB2333">
        <v>47</v>
      </c>
      <c r="AC2333">
        <v>-0.44040000000001001</v>
      </c>
      <c r="AD2333">
        <v>-0.105861</v>
      </c>
      <c r="AE2333">
        <v>5.1400000000000903E-2</v>
      </c>
      <c r="AF2333">
        <v>5.6505277302622003E-2</v>
      </c>
      <c r="AG2333">
        <v>-0.105861</v>
      </c>
      <c r="AH2333">
        <v>0.41565450031769002</v>
      </c>
      <c r="AI2333">
        <v>104.16364429235399</v>
      </c>
      <c r="AJ2333">
        <v>82.258501772218807</v>
      </c>
      <c r="AK2333">
        <v>0.43262924232926597</v>
      </c>
      <c r="AL2333">
        <v>69.515888545120603</v>
      </c>
      <c r="AM2333">
        <v>94.437564722388601</v>
      </c>
      <c r="AN2333">
        <v>0.99999993815104604</v>
      </c>
    </row>
    <row r="2334" spans="1:40" x14ac:dyDescent="0.25">
      <c r="A2334" t="str">
        <f>"20190304164415361"</f>
        <v>20190304164415361</v>
      </c>
      <c r="B2334" t="str">
        <f>"1551689055352528"</f>
        <v>1551689055352528</v>
      </c>
      <c r="C2334" t="s">
        <v>40</v>
      </c>
      <c r="D2334">
        <v>5.2357519999999997</v>
      </c>
      <c r="E2334">
        <v>0.56994</v>
      </c>
      <c r="F2334" t="s">
        <v>41</v>
      </c>
      <c r="G2334">
        <v>-419.33609999999999</v>
      </c>
      <c r="H2334">
        <v>1.0119020000000001</v>
      </c>
      <c r="I2334">
        <v>284.31220000000002</v>
      </c>
      <c r="J2334">
        <v>-418.7697</v>
      </c>
      <c r="K2334">
        <v>1.1108800000000001</v>
      </c>
      <c r="L2334">
        <v>284.26620000000003</v>
      </c>
      <c r="M2334">
        <v>-0.99970769999999998</v>
      </c>
      <c r="N2334">
        <v>-1.476912E-2</v>
      </c>
      <c r="O2334">
        <v>-1.91448E-2</v>
      </c>
      <c r="P2334">
        <v>-0.93731120000000001</v>
      </c>
      <c r="Q2334">
        <v>0.33683849999999999</v>
      </c>
      <c r="R2334">
        <v>-8.9375120000000002E-2</v>
      </c>
      <c r="S2334">
        <v>-3.3523860000000001</v>
      </c>
      <c r="T2334">
        <v>-0.38361020000000001</v>
      </c>
      <c r="U2334">
        <v>0.1545105</v>
      </c>
      <c r="V2334">
        <v>-7.1775560000000002E-2</v>
      </c>
      <c r="W2334">
        <v>0.3505934</v>
      </c>
      <c r="X2334">
        <v>0.93377330000000003</v>
      </c>
      <c r="Y2334">
        <v>6.4588960000000001E-2</v>
      </c>
      <c r="Z2334">
        <v>6.0612490000000003E-3</v>
      </c>
      <c r="AA2334">
        <v>0.99789360000000005</v>
      </c>
      <c r="AB2334">
        <v>47</v>
      </c>
      <c r="AC2334">
        <v>-0.56639999999998702</v>
      </c>
      <c r="AD2334">
        <v>-9.8977999999999802E-2</v>
      </c>
      <c r="AE2334">
        <v>4.59999999999922E-2</v>
      </c>
      <c r="AF2334">
        <v>5.5162876047538598E-2</v>
      </c>
      <c r="AG2334">
        <v>-9.8977999999999802E-2</v>
      </c>
      <c r="AH2334">
        <v>0.54876733798786803</v>
      </c>
      <c r="AI2334">
        <v>100.17399277713</v>
      </c>
      <c r="AJ2334">
        <v>84.259828608731894</v>
      </c>
      <c r="AK2334">
        <v>0.56034380394551297</v>
      </c>
      <c r="AL2334">
        <v>69.476386019904297</v>
      </c>
      <c r="AM2334">
        <v>94.395462943586097</v>
      </c>
      <c r="AN2334">
        <v>1.0000000194648799</v>
      </c>
    </row>
    <row r="2335" spans="1:40" x14ac:dyDescent="0.25">
      <c r="A2335" t="str">
        <f>"20190304164415374"</f>
        <v>20190304164415374</v>
      </c>
      <c r="B2335" t="str">
        <f>"1551689055362288"</f>
        <v>1551689055362288</v>
      </c>
      <c r="C2335" t="s">
        <v>40</v>
      </c>
      <c r="D2335">
        <v>5.2312370000000001</v>
      </c>
      <c r="E2335">
        <v>0.56997319999999996</v>
      </c>
      <c r="F2335" t="s">
        <v>41</v>
      </c>
      <c r="G2335">
        <v>-419.75119999999998</v>
      </c>
      <c r="H2335">
        <v>0.99944279999999996</v>
      </c>
      <c r="I2335">
        <v>284.31270000000001</v>
      </c>
      <c r="J2335">
        <v>-419.0591</v>
      </c>
      <c r="K2335">
        <v>1.1108830000000001</v>
      </c>
      <c r="L2335">
        <v>284.26060000000001</v>
      </c>
      <c r="M2335">
        <v>-0.99970360000000003</v>
      </c>
      <c r="N2335">
        <v>-1.476737E-2</v>
      </c>
      <c r="O2335">
        <v>-1.9357559999999999E-2</v>
      </c>
      <c r="P2335">
        <v>-0.93679429999999997</v>
      </c>
      <c r="Q2335">
        <v>0.33811720000000001</v>
      </c>
      <c r="R2335">
        <v>-8.9963479999999998E-2</v>
      </c>
      <c r="S2335">
        <v>-3.3525700000000001</v>
      </c>
      <c r="T2335">
        <v>-0.38071120000000003</v>
      </c>
      <c r="U2335">
        <v>0.15820310000000001</v>
      </c>
      <c r="V2335">
        <v>-7.217519E-2</v>
      </c>
      <c r="W2335">
        <v>0.35186269999999997</v>
      </c>
      <c r="X2335">
        <v>0.93326489999999995</v>
      </c>
      <c r="Y2335">
        <v>6.5893450000000006E-2</v>
      </c>
      <c r="Z2335">
        <v>6.1211199999999999E-3</v>
      </c>
      <c r="AA2335">
        <v>0.99780789999999997</v>
      </c>
      <c r="AB2335">
        <v>47</v>
      </c>
      <c r="AC2335">
        <v>-0.69209999999998195</v>
      </c>
      <c r="AD2335">
        <v>-0.1114402</v>
      </c>
      <c r="AE2335">
        <v>5.2099999999995802E-2</v>
      </c>
      <c r="AF2335">
        <v>6.3843152691795801E-2</v>
      </c>
      <c r="AG2335">
        <v>-0.1114402</v>
      </c>
      <c r="AH2335">
        <v>0.67359598455132597</v>
      </c>
      <c r="AI2335">
        <v>99.352795663830193</v>
      </c>
      <c r="AJ2335">
        <v>84.585703248071098</v>
      </c>
      <c r="AK2335">
        <v>0.68573057152597305</v>
      </c>
      <c r="AL2335">
        <v>69.398711341996702</v>
      </c>
      <c r="AM2335">
        <v>94.422237354802604</v>
      </c>
      <c r="AN2335">
        <v>0.99999999563741704</v>
      </c>
    </row>
    <row r="2336" spans="1:40" x14ac:dyDescent="0.25">
      <c r="A2336" t="str">
        <f>"20190304164415388"</f>
        <v>20190304164415388</v>
      </c>
      <c r="B2336" t="str">
        <f>"1551689055381808"</f>
        <v>1551689055381808</v>
      </c>
      <c r="C2336" t="s">
        <v>40</v>
      </c>
      <c r="D2336">
        <v>5.208431</v>
      </c>
      <c r="E2336">
        <v>0.56922410000000001</v>
      </c>
      <c r="F2336" t="s">
        <v>41</v>
      </c>
      <c r="G2336">
        <v>-420.166</v>
      </c>
      <c r="H2336">
        <v>0.98690279999999997</v>
      </c>
      <c r="I2336">
        <v>284.31270000000001</v>
      </c>
      <c r="J2336">
        <v>-419.36360000000002</v>
      </c>
      <c r="K2336">
        <v>1.1108830000000001</v>
      </c>
      <c r="L2336">
        <v>284.25450000000001</v>
      </c>
      <c r="M2336">
        <v>-0.99969940000000002</v>
      </c>
      <c r="N2336">
        <v>-1.476542E-2</v>
      </c>
      <c r="O2336">
        <v>-1.958128E-2</v>
      </c>
      <c r="P2336">
        <v>-0.93563439999999998</v>
      </c>
      <c r="Q2336">
        <v>0.34113320000000003</v>
      </c>
      <c r="R2336">
        <v>-9.0647409999999998E-2</v>
      </c>
      <c r="S2336">
        <v>-3.353119</v>
      </c>
      <c r="T2336">
        <v>-0.37565150000000003</v>
      </c>
      <c r="U2336">
        <v>0.15701289999999901</v>
      </c>
      <c r="V2336">
        <v>-7.2674160000000002E-2</v>
      </c>
      <c r="W2336">
        <v>0.35485939999999999</v>
      </c>
      <c r="X2336">
        <v>0.9320908</v>
      </c>
      <c r="Y2336">
        <v>6.577036E-2</v>
      </c>
      <c r="Z2336">
        <v>6.0558640000000002E-3</v>
      </c>
      <c r="AA2336">
        <v>0.99781640000000005</v>
      </c>
      <c r="AB2336">
        <v>47</v>
      </c>
      <c r="AC2336">
        <v>-0.80239999999997702</v>
      </c>
      <c r="AD2336">
        <v>-0.123980199999999</v>
      </c>
      <c r="AE2336">
        <v>5.8199999999999301E-2</v>
      </c>
      <c r="AF2336">
        <v>7.2188176447008201E-2</v>
      </c>
      <c r="AG2336">
        <v>-0.123980199999999</v>
      </c>
      <c r="AH2336">
        <v>0.78252230060641004</v>
      </c>
      <c r="AI2336">
        <v>98.9654714849177</v>
      </c>
      <c r="AJ2336">
        <v>84.729345777396105</v>
      </c>
      <c r="AK2336">
        <v>0.795564814303104</v>
      </c>
      <c r="AL2336">
        <v>69.215172276034394</v>
      </c>
      <c r="AM2336">
        <v>94.458273349953402</v>
      </c>
      <c r="AN2336">
        <v>0.99999999337235201</v>
      </c>
    </row>
    <row r="2337" spans="1:40" x14ac:dyDescent="0.25">
      <c r="A2337" t="str">
        <f>"20190304164415412"</f>
        <v>20190304164415412</v>
      </c>
      <c r="B2337" t="str">
        <f>"1551689055402303"</f>
        <v>1551689055402303</v>
      </c>
      <c r="C2337" t="s">
        <v>40</v>
      </c>
      <c r="D2337">
        <v>5.23996</v>
      </c>
      <c r="E2337">
        <v>0.56900269999999897</v>
      </c>
      <c r="F2337" t="s">
        <v>41</v>
      </c>
      <c r="G2337">
        <v>-420.18189999999998</v>
      </c>
      <c r="H2337">
        <v>1.0197639999999999</v>
      </c>
      <c r="I2337">
        <v>284.291</v>
      </c>
      <c r="J2337">
        <v>-419.83069999999998</v>
      </c>
      <c r="K2337">
        <v>1.1108830000000001</v>
      </c>
      <c r="L2337">
        <v>284.24509999999998</v>
      </c>
      <c r="M2337">
        <v>-0.99969260000000004</v>
      </c>
      <c r="N2337">
        <v>-1.4762559999999999E-2</v>
      </c>
      <c r="O2337">
        <v>-1.9924669999999998E-2</v>
      </c>
      <c r="P2337">
        <v>-0.93540380000000001</v>
      </c>
      <c r="Q2337">
        <v>0.34157480000000001</v>
      </c>
      <c r="R2337">
        <v>-9.1358499999999995E-2</v>
      </c>
      <c r="S2337">
        <v>-3.3570250000000001</v>
      </c>
      <c r="T2337">
        <v>-0.37388929999999998</v>
      </c>
      <c r="U2337">
        <v>0.1485901</v>
      </c>
      <c r="V2337">
        <v>-7.3068339999999996E-2</v>
      </c>
      <c r="W2337">
        <v>0.35529539999999998</v>
      </c>
      <c r="X2337">
        <v>0.93189390000000005</v>
      </c>
      <c r="Y2337">
        <v>6.3580319999999996E-2</v>
      </c>
      <c r="Z2337">
        <v>5.9173339999999998E-3</v>
      </c>
      <c r="AA2337">
        <v>0.99795919999999905</v>
      </c>
      <c r="AB2337">
        <v>47</v>
      </c>
      <c r="AC2337">
        <v>-0.35120000000000501</v>
      </c>
      <c r="AD2337">
        <v>-9.1119000000000103E-2</v>
      </c>
      <c r="AE2337">
        <v>4.5900000000017302E-2</v>
      </c>
      <c r="AF2337">
        <v>4.9606062406719602E-2</v>
      </c>
      <c r="AG2337">
        <v>-9.1119000000000103E-2</v>
      </c>
      <c r="AH2337">
        <v>0.32847577015168999</v>
      </c>
      <c r="AI2337">
        <v>105.338385622256</v>
      </c>
      <c r="AJ2337">
        <v>81.412146684405997</v>
      </c>
      <c r="AK2337">
        <v>0.34447026746185899</v>
      </c>
      <c r="AL2337">
        <v>69.188450638231998</v>
      </c>
      <c r="AM2337">
        <v>94.483299677825102</v>
      </c>
      <c r="AN2337">
        <v>1.0000000222143599</v>
      </c>
    </row>
    <row r="2338" spans="1:40" x14ac:dyDescent="0.25">
      <c r="A2338" t="str">
        <f>"20190304164415435"</f>
        <v>20190304164415435</v>
      </c>
      <c r="B2338" t="str">
        <f>"1551689055421824"</f>
        <v>1551689055421824</v>
      </c>
      <c r="C2338" t="s">
        <v>40</v>
      </c>
      <c r="D2338">
        <v>5.2370619999999999</v>
      </c>
      <c r="E2338">
        <v>0.56929209999999997</v>
      </c>
      <c r="F2338" t="s">
        <v>41</v>
      </c>
      <c r="G2338">
        <v>-420.6046</v>
      </c>
      <c r="H2338">
        <v>1.024173</v>
      </c>
      <c r="I2338">
        <v>284.27879999999999</v>
      </c>
      <c r="J2338">
        <v>-420.31810000000002</v>
      </c>
      <c r="K2338">
        <v>1.1108659999999999</v>
      </c>
      <c r="L2338">
        <v>284.23509999999999</v>
      </c>
      <c r="M2338">
        <v>-0.99968539999999995</v>
      </c>
      <c r="N2338">
        <v>-1.4759649999999999E-2</v>
      </c>
      <c r="O2338">
        <v>-2.0278750000000002E-2</v>
      </c>
      <c r="P2338">
        <v>-0.93651649999999997</v>
      </c>
      <c r="Q2338">
        <v>0.33821570000000001</v>
      </c>
      <c r="R2338">
        <v>-9.2450989999999997E-2</v>
      </c>
      <c r="S2338">
        <v>-3.3587950000000002</v>
      </c>
      <c r="T2338">
        <v>-0.3764093</v>
      </c>
      <c r="U2338">
        <v>0.1452637</v>
      </c>
      <c r="V2338">
        <v>-7.3799870000000004E-2</v>
      </c>
      <c r="W2338">
        <v>0.35195110000000002</v>
      </c>
      <c r="X2338">
        <v>0.9331045</v>
      </c>
      <c r="Y2338">
        <v>6.2920530000000002E-2</v>
      </c>
      <c r="Z2338">
        <v>5.9454520000000004E-3</v>
      </c>
      <c r="AA2338">
        <v>0.99800089999999997</v>
      </c>
      <c r="AB2338">
        <v>47</v>
      </c>
      <c r="AC2338">
        <v>-0.28649999999998899</v>
      </c>
      <c r="AD2338">
        <v>-8.6692999999999895E-2</v>
      </c>
      <c r="AE2338">
        <v>4.3700000000001099E-2</v>
      </c>
      <c r="AF2338">
        <v>4.5435863693229897E-2</v>
      </c>
      <c r="AG2338">
        <v>-8.6692999999999895E-2</v>
      </c>
      <c r="AH2338">
        <v>0.26210169355504798</v>
      </c>
      <c r="AI2338">
        <v>108.050808364099</v>
      </c>
      <c r="AJ2338">
        <v>80.165395397941893</v>
      </c>
      <c r="AK2338">
        <v>0.27978097098082599</v>
      </c>
      <c r="AL2338">
        <v>69.393300429761595</v>
      </c>
      <c r="AM2338">
        <v>94.522148689933502</v>
      </c>
      <c r="AN2338">
        <v>1.00000000276173</v>
      </c>
    </row>
    <row r="2339" spans="1:40" x14ac:dyDescent="0.25">
      <c r="A2339" t="str">
        <f>"20190304164415457"</f>
        <v>20190304164415457</v>
      </c>
      <c r="B2339" t="str">
        <f>"1551689055452589"</f>
        <v>1551689055452589</v>
      </c>
      <c r="C2339" t="s">
        <v>40</v>
      </c>
      <c r="D2339">
        <v>5.2406370000000004</v>
      </c>
      <c r="E2339">
        <v>0.56966510000000004</v>
      </c>
      <c r="F2339" t="s">
        <v>41</v>
      </c>
      <c r="G2339">
        <v>-421.42500000000001</v>
      </c>
      <c r="H2339">
        <v>0.98365939999999996</v>
      </c>
      <c r="I2339">
        <v>284.28339999999997</v>
      </c>
      <c r="J2339">
        <v>-420.78289999999998</v>
      </c>
      <c r="K2339">
        <v>1.110843</v>
      </c>
      <c r="L2339">
        <v>284.22539999999998</v>
      </c>
      <c r="M2339">
        <v>-0.99967890000000004</v>
      </c>
      <c r="N2339">
        <v>-1.475685E-2</v>
      </c>
      <c r="O2339">
        <v>-2.0606059999999999E-2</v>
      </c>
      <c r="P2339">
        <v>-0.93773189999999995</v>
      </c>
      <c r="Q2339">
        <v>0.33466659999999998</v>
      </c>
      <c r="R2339">
        <v>-9.3045959999999997E-2</v>
      </c>
      <c r="S2339">
        <v>-3.3571780000000002</v>
      </c>
      <c r="T2339">
        <v>-0.38591789999999998</v>
      </c>
      <c r="U2339">
        <v>0.14602660000000001</v>
      </c>
      <c r="V2339">
        <v>-7.4054149999999999E-2</v>
      </c>
      <c r="W2339">
        <v>0.34841860000000002</v>
      </c>
      <c r="X2339">
        <v>0.93440909999999999</v>
      </c>
      <c r="Y2339">
        <v>6.3461240000000002E-2</v>
      </c>
      <c r="Z2339">
        <v>6.1610049999999998E-3</v>
      </c>
      <c r="AA2339">
        <v>0.99796530000000006</v>
      </c>
      <c r="AB2339">
        <v>47</v>
      </c>
      <c r="AC2339">
        <v>-0.64210000000002698</v>
      </c>
      <c r="AD2339">
        <v>-0.12718359999999901</v>
      </c>
      <c r="AE2339">
        <v>5.7999999999992703E-2</v>
      </c>
      <c r="AF2339">
        <v>6.8552486684920297E-2</v>
      </c>
      <c r="AG2339">
        <v>-0.12718359999999901</v>
      </c>
      <c r="AH2339">
        <v>0.61676630092844997</v>
      </c>
      <c r="AI2339">
        <v>101.582282696899</v>
      </c>
      <c r="AJ2339">
        <v>83.657707074767401</v>
      </c>
      <c r="AK2339">
        <v>0.63346332293244101</v>
      </c>
      <c r="AL2339">
        <v>69.609378884338</v>
      </c>
      <c r="AM2339">
        <v>94.531355971530601</v>
      </c>
      <c r="AN2339">
        <v>0.99999995206049497</v>
      </c>
    </row>
    <row r="2340" spans="1:40" x14ac:dyDescent="0.25">
      <c r="A2340" t="str">
        <f>"20190304164415479"</f>
        <v>20190304164415479</v>
      </c>
      <c r="B2340" t="str">
        <f>"1551689055472108"</f>
        <v>1551689055472108</v>
      </c>
      <c r="C2340" t="s">
        <v>40</v>
      </c>
      <c r="D2340">
        <v>5.2289510000000003</v>
      </c>
      <c r="E2340">
        <v>0.56972840000000002</v>
      </c>
      <c r="F2340" t="s">
        <v>41</v>
      </c>
      <c r="G2340">
        <v>-421.84519999999998</v>
      </c>
      <c r="H2340">
        <v>0.9851145</v>
      </c>
      <c r="I2340">
        <v>284.27280000000002</v>
      </c>
      <c r="J2340">
        <v>-421.26060000000001</v>
      </c>
      <c r="K2340">
        <v>1.1108420000000001</v>
      </c>
      <c r="L2340">
        <v>284.21530000000001</v>
      </c>
      <c r="M2340">
        <v>-0.99967209999999995</v>
      </c>
      <c r="N2340">
        <v>-1.475393E-2</v>
      </c>
      <c r="O2340">
        <v>-2.0931760000000001E-2</v>
      </c>
      <c r="P2340">
        <v>-0.93814050000000004</v>
      </c>
      <c r="Q2340">
        <v>0.33339649999999998</v>
      </c>
      <c r="R2340">
        <v>-9.3483769999999994E-2</v>
      </c>
      <c r="S2340">
        <v>-3.3557429999999999</v>
      </c>
      <c r="T2340">
        <v>-0.39733289999999999</v>
      </c>
      <c r="U2340">
        <v>0.148345899999999</v>
      </c>
      <c r="V2340">
        <v>-7.4168330000000005E-2</v>
      </c>
      <c r="W2340">
        <v>0.34715430000000003</v>
      </c>
      <c r="X2340">
        <v>0.93487050000000005</v>
      </c>
      <c r="Y2340">
        <v>6.4449640000000002E-2</v>
      </c>
      <c r="Z2340">
        <v>6.4389809999999999E-3</v>
      </c>
      <c r="AA2340">
        <v>0.99790020000000001</v>
      </c>
      <c r="AB2340">
        <v>47</v>
      </c>
      <c r="AC2340">
        <v>-0.58459999999996604</v>
      </c>
      <c r="AD2340">
        <v>-0.12572749999999999</v>
      </c>
      <c r="AE2340">
        <v>5.7500000000004499E-2</v>
      </c>
      <c r="AF2340">
        <v>6.6671219462277997E-2</v>
      </c>
      <c r="AG2340">
        <v>-0.12572749999999999</v>
      </c>
      <c r="AH2340">
        <v>0.55771899592747198</v>
      </c>
      <c r="AI2340">
        <v>102.616994144437</v>
      </c>
      <c r="AJ2340">
        <v>83.1830589340518</v>
      </c>
      <c r="AK2340">
        <v>0.57558920610030995</v>
      </c>
      <c r="AL2340">
        <v>69.686641107446306</v>
      </c>
      <c r="AM2340">
        <v>94.536082946218698</v>
      </c>
      <c r="AN2340">
        <v>0.99999995047686296</v>
      </c>
    </row>
    <row r="2341" spans="1:40" x14ac:dyDescent="0.25">
      <c r="A2341" t="str">
        <f>"20190304164415501"</f>
        <v>20190304164415501</v>
      </c>
      <c r="B2341" t="str">
        <f>"1551689055492605"</f>
        <v>1551689055492605</v>
      </c>
      <c r="C2341" t="s">
        <v>40</v>
      </c>
      <c r="D2341">
        <v>5.3781369999999997</v>
      </c>
      <c r="E2341">
        <v>0.56920930000000003</v>
      </c>
      <c r="F2341" t="s">
        <v>41</v>
      </c>
      <c r="G2341">
        <v>-422.26690000000002</v>
      </c>
      <c r="H2341">
        <v>0.99004590000000003</v>
      </c>
      <c r="I2341">
        <v>284.2595</v>
      </c>
      <c r="J2341">
        <v>-421.7079</v>
      </c>
      <c r="K2341">
        <v>1.1108450000000001</v>
      </c>
      <c r="L2341">
        <v>284.20569999999998</v>
      </c>
      <c r="M2341">
        <v>-0.99966600000000005</v>
      </c>
      <c r="N2341">
        <v>-1.475109E-2</v>
      </c>
      <c r="O2341">
        <v>-2.122404E-2</v>
      </c>
      <c r="P2341">
        <v>-0.93746669999999999</v>
      </c>
      <c r="Q2341">
        <v>0.33521269999999997</v>
      </c>
      <c r="R2341">
        <v>-9.3748479999999995E-2</v>
      </c>
      <c r="S2341">
        <v>-3.3556210000000002</v>
      </c>
      <c r="T2341">
        <v>-0.4029392</v>
      </c>
      <c r="U2341">
        <v>0.1468506</v>
      </c>
      <c r="V2341">
        <v>-7.4164320000000006E-2</v>
      </c>
      <c r="W2341">
        <v>0.34895979999999999</v>
      </c>
      <c r="X2341">
        <v>0.93419839999999998</v>
      </c>
      <c r="Y2341">
        <v>6.4281690000000002E-2</v>
      </c>
      <c r="Z2341">
        <v>6.5465130000000003E-3</v>
      </c>
      <c r="AA2341">
        <v>0.99791030000000003</v>
      </c>
      <c r="AB2341">
        <v>47</v>
      </c>
      <c r="AC2341">
        <v>-0.55900000000002503</v>
      </c>
      <c r="AD2341">
        <v>-0.12079910000000001</v>
      </c>
      <c r="AE2341">
        <v>5.3800000000023801E-2</v>
      </c>
      <c r="AF2341">
        <v>6.2749965899645405E-2</v>
      </c>
      <c r="AG2341">
        <v>-0.12079910000000001</v>
      </c>
      <c r="AH2341">
        <v>0.53306706278411597</v>
      </c>
      <c r="AI2341">
        <v>102.683520561197</v>
      </c>
      <c r="AJ2341">
        <v>83.286326103405003</v>
      </c>
      <c r="AK2341">
        <v>0.55017313112010602</v>
      </c>
      <c r="AL2341">
        <v>69.576294314132994</v>
      </c>
      <c r="AM2341">
        <v>94.539088354345196</v>
      </c>
      <c r="AN2341">
        <v>0.99999996946983005</v>
      </c>
    </row>
    <row r="2342" spans="1:40" x14ac:dyDescent="0.25">
      <c r="A2342" t="str">
        <f>"20190304164415522"</f>
        <v>20190304164415522</v>
      </c>
      <c r="B2342" t="str">
        <f>"1551689055512124"</f>
        <v>1551689055512124</v>
      </c>
      <c r="C2342" t="s">
        <v>40</v>
      </c>
      <c r="D2342">
        <v>5.2108140000000001</v>
      </c>
      <c r="E2342">
        <v>0.56895580000000001</v>
      </c>
      <c r="F2342" t="s">
        <v>41</v>
      </c>
      <c r="G2342">
        <v>-422.6884</v>
      </c>
      <c r="H2342">
        <v>0.99513649999999998</v>
      </c>
      <c r="I2342">
        <v>284.24720000000002</v>
      </c>
      <c r="J2342">
        <v>-422.16370000000001</v>
      </c>
      <c r="K2342">
        <v>1.110838</v>
      </c>
      <c r="L2342">
        <v>284.19580000000002</v>
      </c>
      <c r="M2342">
        <v>-0.99965999999999999</v>
      </c>
      <c r="N2342">
        <v>-1.47481E-2</v>
      </c>
      <c r="O2342">
        <v>-2.150591E-2</v>
      </c>
      <c r="P2342">
        <v>-0.93680790000000003</v>
      </c>
      <c r="Q2342">
        <v>0.33694550000000001</v>
      </c>
      <c r="R2342">
        <v>-9.4122029999999995E-2</v>
      </c>
      <c r="S2342">
        <v>-3.3559269999999999</v>
      </c>
      <c r="T2342">
        <v>-0.39619330000000003</v>
      </c>
      <c r="U2342">
        <v>0.1411743</v>
      </c>
      <c r="V2342">
        <v>-7.4276780000000001E-2</v>
      </c>
      <c r="W2342">
        <v>0.35068280000000002</v>
      </c>
      <c r="X2342">
        <v>0.93354409999999999</v>
      </c>
      <c r="Y2342">
        <v>6.2904210000000002E-2</v>
      </c>
      <c r="Z2342">
        <v>6.3777039999999997E-3</v>
      </c>
      <c r="AA2342">
        <v>0.99799919999999998</v>
      </c>
      <c r="AB2342">
        <v>47</v>
      </c>
      <c r="AC2342">
        <v>-0.52469999999999495</v>
      </c>
      <c r="AD2342">
        <v>-0.1157015</v>
      </c>
      <c r="AE2342">
        <v>5.1400000000000903E-2</v>
      </c>
      <c r="AF2342">
        <v>5.9793680338872002E-2</v>
      </c>
      <c r="AG2342">
        <v>-0.1157015</v>
      </c>
      <c r="AH2342">
        <v>0.49941984080692098</v>
      </c>
      <c r="AI2342">
        <v>102.95434354005801</v>
      </c>
      <c r="AJ2342">
        <v>83.172687386554401</v>
      </c>
      <c r="AK2342">
        <v>0.516122367953887</v>
      </c>
      <c r="AL2342">
        <v>69.470916674703403</v>
      </c>
      <c r="AM2342">
        <v>94.5491152103628</v>
      </c>
      <c r="AN2342">
        <v>1.0000000264539</v>
      </c>
    </row>
    <row r="2343" spans="1:40" x14ac:dyDescent="0.25">
      <c r="A2343" t="str">
        <f>"20190304164415545"</f>
        <v>20190304164415545</v>
      </c>
      <c r="B2343" t="str">
        <f>"1551689055532153"</f>
        <v>1551689055532153</v>
      </c>
      <c r="C2343" t="s">
        <v>40</v>
      </c>
      <c r="D2343">
        <v>5.3836810000000002</v>
      </c>
      <c r="E2343">
        <v>0.56851680000000004</v>
      </c>
      <c r="F2343" t="s">
        <v>41</v>
      </c>
      <c r="G2343">
        <v>-423.10969999999998</v>
      </c>
      <c r="H2343">
        <v>1.0006900000000001</v>
      </c>
      <c r="I2343">
        <v>284.23480000000001</v>
      </c>
      <c r="J2343">
        <v>-422.63319999999999</v>
      </c>
      <c r="K2343">
        <v>1.110832</v>
      </c>
      <c r="L2343">
        <v>284.18549999999999</v>
      </c>
      <c r="M2343">
        <v>-0.99965400000000004</v>
      </c>
      <c r="N2343">
        <v>-1.474512E-2</v>
      </c>
      <c r="O2343">
        <v>-2.1779739999999999E-2</v>
      </c>
      <c r="P2343">
        <v>-0.93637700000000001</v>
      </c>
      <c r="Q2343">
        <v>0.33817609999999998</v>
      </c>
      <c r="R2343">
        <v>-9.3994919999999996E-2</v>
      </c>
      <c r="S2343">
        <v>-3.3567499999999999</v>
      </c>
      <c r="T2343">
        <v>-0.39100299999999999</v>
      </c>
      <c r="U2343">
        <v>0.13708499999999901</v>
      </c>
      <c r="V2343">
        <v>-7.3889259999999998E-2</v>
      </c>
      <c r="W2343">
        <v>0.35190779999999999</v>
      </c>
      <c r="X2343">
        <v>0.93311379999999999</v>
      </c>
      <c r="Y2343">
        <v>6.1974889999999998E-2</v>
      </c>
      <c r="Z2343">
        <v>6.2621469999999896E-3</v>
      </c>
      <c r="AA2343">
        <v>0.99805809999999995</v>
      </c>
      <c r="AB2343">
        <v>47</v>
      </c>
      <c r="AC2343">
        <v>-0.47649999999998699</v>
      </c>
      <c r="AD2343">
        <v>-0.110142</v>
      </c>
      <c r="AE2343">
        <v>4.9300000000016497E-2</v>
      </c>
      <c r="AF2343">
        <v>5.66716182649716E-2</v>
      </c>
      <c r="AG2343">
        <v>-0.110142</v>
      </c>
      <c r="AH2343">
        <v>0.45144796998481801</v>
      </c>
      <c r="AI2343">
        <v>103.608096154164</v>
      </c>
      <c r="AJ2343">
        <v>82.844916770059996</v>
      </c>
      <c r="AK2343">
        <v>0.468132675727922</v>
      </c>
      <c r="AL2343">
        <v>69.395951765425593</v>
      </c>
      <c r="AM2343">
        <v>94.527558439389196</v>
      </c>
      <c r="AN2343">
        <v>1.0000000430973099</v>
      </c>
    </row>
    <row r="2344" spans="1:40" x14ac:dyDescent="0.25">
      <c r="A2344" t="str">
        <f>"20190304164415569"</f>
        <v>20190304164415569</v>
      </c>
      <c r="B2344" t="str">
        <f>"1551689055562409"</f>
        <v>1551689055562409</v>
      </c>
      <c r="C2344" t="s">
        <v>40</v>
      </c>
      <c r="D2344">
        <v>5.221927</v>
      </c>
      <c r="E2344">
        <v>0.56825539999999997</v>
      </c>
      <c r="F2344" t="s">
        <v>41</v>
      </c>
      <c r="G2344">
        <v>-423.53129999999999</v>
      </c>
      <c r="H2344">
        <v>1.007253</v>
      </c>
      <c r="I2344">
        <v>284.22089999999997</v>
      </c>
      <c r="J2344">
        <v>-423.11930000000001</v>
      </c>
      <c r="K2344">
        <v>1.110819</v>
      </c>
      <c r="L2344">
        <v>284.17469999999997</v>
      </c>
      <c r="M2344">
        <v>-0.99964830000000005</v>
      </c>
      <c r="N2344">
        <v>-1.474203E-2</v>
      </c>
      <c r="O2344">
        <v>-2.2048450000000001E-2</v>
      </c>
      <c r="P2344">
        <v>-0.93625100000000006</v>
      </c>
      <c r="Q2344">
        <v>0.33875100000000002</v>
      </c>
      <c r="R2344">
        <v>-9.3175220000000003E-2</v>
      </c>
      <c r="S2344">
        <v>-3.3568730000000002</v>
      </c>
      <c r="T2344">
        <v>-0.38727210000000001</v>
      </c>
      <c r="U2344">
        <v>0.1313782</v>
      </c>
      <c r="V2344">
        <v>-7.2807209999999997E-2</v>
      </c>
      <c r="W2344">
        <v>0.35248170000000001</v>
      </c>
      <c r="X2344">
        <v>0.93298210000000004</v>
      </c>
      <c r="Y2344">
        <v>6.0567639999999999E-2</v>
      </c>
      <c r="Z2344">
        <v>6.1396169999999896E-3</v>
      </c>
      <c r="AA2344">
        <v>0.99814519999999995</v>
      </c>
      <c r="AB2344">
        <v>47</v>
      </c>
      <c r="AC2344">
        <v>-0.411999999999977</v>
      </c>
      <c r="AD2344">
        <v>-0.10356599999999901</v>
      </c>
      <c r="AE2344">
        <v>4.6199999999998902E-2</v>
      </c>
      <c r="AF2344">
        <v>5.2027016105485199E-2</v>
      </c>
      <c r="AG2344">
        <v>-0.10356599999999901</v>
      </c>
      <c r="AH2344">
        <v>0.38674651216773098</v>
      </c>
      <c r="AI2344">
        <v>104.863486127795</v>
      </c>
      <c r="AJ2344">
        <v>82.338290786703098</v>
      </c>
      <c r="AK2344">
        <v>0.40373950938042402</v>
      </c>
      <c r="AL2344">
        <v>69.360815940802894</v>
      </c>
      <c r="AM2344">
        <v>94.462152826980898</v>
      </c>
      <c r="AN2344">
        <v>0.99999991879163797</v>
      </c>
    </row>
    <row r="2345" spans="1:40" x14ac:dyDescent="0.25">
      <c r="A2345" t="str">
        <f>"20190304164415589"</f>
        <v>20190304164415589</v>
      </c>
      <c r="B2345" t="str">
        <f>"1551689055581929"</f>
        <v>1551689055581929</v>
      </c>
      <c r="C2345" t="s">
        <v>40</v>
      </c>
      <c r="D2345">
        <v>5.3756789999999999</v>
      </c>
      <c r="E2345">
        <v>0.56814900000000002</v>
      </c>
      <c r="F2345" t="s">
        <v>41</v>
      </c>
      <c r="G2345">
        <v>-423.9529</v>
      </c>
      <c r="H2345">
        <v>1.0146010000000001</v>
      </c>
      <c r="I2345">
        <v>284.20690000000002</v>
      </c>
      <c r="J2345">
        <v>-423.5641</v>
      </c>
      <c r="K2345">
        <v>1.110811</v>
      </c>
      <c r="L2345">
        <v>284.16469999999998</v>
      </c>
      <c r="M2345">
        <v>-0.99964299999999995</v>
      </c>
      <c r="N2345">
        <v>-1.4739199999999999E-2</v>
      </c>
      <c r="O2345">
        <v>-2.228337E-2</v>
      </c>
      <c r="P2345">
        <v>-0.93613630000000003</v>
      </c>
      <c r="Q2345">
        <v>0.33914699999999998</v>
      </c>
      <c r="R2345">
        <v>-9.2886759999999999E-2</v>
      </c>
      <c r="S2345">
        <v>-3.3573300000000001</v>
      </c>
      <c r="T2345">
        <v>-0.3876231</v>
      </c>
      <c r="U2345">
        <v>0.12893679999999999</v>
      </c>
      <c r="V2345">
        <v>-7.2289880000000001E-2</v>
      </c>
      <c r="W2345">
        <v>0.35287619999999997</v>
      </c>
      <c r="X2345">
        <v>0.93287330000000002</v>
      </c>
      <c r="Y2345">
        <v>6.0073769999999999E-2</v>
      </c>
      <c r="Z2345">
        <v>6.1357790000000001E-3</v>
      </c>
      <c r="AA2345">
        <v>0.99817509999999998</v>
      </c>
      <c r="AB2345">
        <v>47</v>
      </c>
      <c r="AC2345">
        <v>-0.38880000000000298</v>
      </c>
      <c r="AD2345">
        <v>-9.6209999999999907E-2</v>
      </c>
      <c r="AE2345">
        <v>4.2200000000036597E-2</v>
      </c>
      <c r="AF2345">
        <v>4.7952153435336597E-2</v>
      </c>
      <c r="AG2345">
        <v>-9.6209999999999907E-2</v>
      </c>
      <c r="AH2345">
        <v>0.36563463727888901</v>
      </c>
      <c r="AI2345">
        <v>104.622367672398</v>
      </c>
      <c r="AJ2345">
        <v>82.528430061634197</v>
      </c>
      <c r="AK2345">
        <v>0.381109513259838</v>
      </c>
      <c r="AL2345">
        <v>69.336662752502704</v>
      </c>
      <c r="AM2345">
        <v>94.431088465403704</v>
      </c>
      <c r="AN2345">
        <v>1.0000000165648699</v>
      </c>
    </row>
    <row r="2346" spans="1:40" x14ac:dyDescent="0.25">
      <c r="A2346" t="str">
        <f>"20190304164415613"</f>
        <v>20190304164415613</v>
      </c>
      <c r="B2346" t="str">
        <f>"1551689055602425"</f>
        <v>1551689055602425</v>
      </c>
      <c r="C2346" t="s">
        <v>40</v>
      </c>
      <c r="D2346">
        <v>5.2800250000000002</v>
      </c>
      <c r="E2346">
        <v>0.56815669999999996</v>
      </c>
      <c r="F2346" t="s">
        <v>41</v>
      </c>
      <c r="G2346">
        <v>-424.37209999999999</v>
      </c>
      <c r="H2346">
        <v>1.0176609999999999</v>
      </c>
      <c r="I2346">
        <v>284.19600000000003</v>
      </c>
      <c r="J2346">
        <v>-424.04149999999998</v>
      </c>
      <c r="K2346">
        <v>1.110811</v>
      </c>
      <c r="L2346">
        <v>284.15390000000002</v>
      </c>
      <c r="M2346">
        <v>-0.99963769999999996</v>
      </c>
      <c r="N2346">
        <v>-1.473615E-2</v>
      </c>
      <c r="O2346">
        <v>-2.2528070000000001E-2</v>
      </c>
      <c r="P2346">
        <v>-0.93541540000000001</v>
      </c>
      <c r="Q2346">
        <v>0.34105649999999998</v>
      </c>
      <c r="R2346">
        <v>-9.3158939999999996E-2</v>
      </c>
      <c r="S2346">
        <v>-3.357666</v>
      </c>
      <c r="T2346">
        <v>-0.3874205</v>
      </c>
      <c r="U2346">
        <v>0.12789919999999999</v>
      </c>
      <c r="V2346">
        <v>-7.2339730000000005E-2</v>
      </c>
      <c r="W2346">
        <v>0.3547747</v>
      </c>
      <c r="X2346">
        <v>0.93214909999999995</v>
      </c>
      <c r="Y2346">
        <v>6.0006230000000001E-2</v>
      </c>
      <c r="Z2346">
        <v>6.1522130000000001E-3</v>
      </c>
      <c r="AA2346">
        <v>0.99817900000000004</v>
      </c>
      <c r="AB2346">
        <v>47</v>
      </c>
      <c r="AC2346">
        <v>-0.330600000000003</v>
      </c>
      <c r="AD2346">
        <v>-9.3149999999999802E-2</v>
      </c>
      <c r="AE2346">
        <v>4.2099999999947998E-2</v>
      </c>
      <c r="AF2346">
        <v>4.5948322931849903E-2</v>
      </c>
      <c r="AG2346">
        <v>-9.3149999999999802E-2</v>
      </c>
      <c r="AH2346">
        <v>0.30568666837996999</v>
      </c>
      <c r="AI2346">
        <v>106.769583502635</v>
      </c>
      <c r="AJ2346">
        <v>81.451761724757205</v>
      </c>
      <c r="AK2346">
        <v>0.32285060028672002</v>
      </c>
      <c r="AL2346">
        <v>69.220363849684901</v>
      </c>
      <c r="AM2346">
        <v>94.437563080865203</v>
      </c>
      <c r="AN2346">
        <v>1.0000000344636799</v>
      </c>
    </row>
    <row r="2347" spans="1:40" x14ac:dyDescent="0.25">
      <c r="A2347" t="str">
        <f>"20190304164415635"</f>
        <v>20190304164415635</v>
      </c>
      <c r="B2347" t="str">
        <f>"1551689055621946"</f>
        <v>1551689055621946</v>
      </c>
      <c r="C2347" t="s">
        <v>40</v>
      </c>
      <c r="D2347">
        <v>5.3938879999999996</v>
      </c>
      <c r="E2347">
        <v>0.56802439999999998</v>
      </c>
      <c r="F2347" t="s">
        <v>41</v>
      </c>
      <c r="G2347">
        <v>-424.79379999999998</v>
      </c>
      <c r="H2347">
        <v>1.0262450000000001</v>
      </c>
      <c r="I2347">
        <v>284.18270000000001</v>
      </c>
      <c r="J2347">
        <v>-424.5127</v>
      </c>
      <c r="K2347">
        <v>1.1108049999999901</v>
      </c>
      <c r="L2347">
        <v>284.1431</v>
      </c>
      <c r="M2347">
        <v>-0.99963239999999998</v>
      </c>
      <c r="N2347">
        <v>-1.473317E-2</v>
      </c>
      <c r="O2347">
        <v>-2.2763060000000002E-2</v>
      </c>
      <c r="P2347">
        <v>-0.93482679999999996</v>
      </c>
      <c r="Q2347">
        <v>0.34272900000000001</v>
      </c>
      <c r="R2347">
        <v>-9.2930819999999997E-2</v>
      </c>
      <c r="S2347">
        <v>-3.3575439999999999</v>
      </c>
      <c r="T2347">
        <v>-0.37741269999999999</v>
      </c>
      <c r="U2347">
        <v>0.12878419999999999</v>
      </c>
      <c r="V2347">
        <v>-7.1897240000000001E-2</v>
      </c>
      <c r="W2347">
        <v>0.35643750000000002</v>
      </c>
      <c r="X2347">
        <v>0.93154879999999995</v>
      </c>
      <c r="Y2347">
        <v>6.052826E-2</v>
      </c>
      <c r="Z2347">
        <v>6.0532009999999898E-3</v>
      </c>
      <c r="AA2347">
        <v>0.99814809999999998</v>
      </c>
      <c r="AB2347">
        <v>47</v>
      </c>
      <c r="AC2347">
        <v>-0.28109999999997998</v>
      </c>
      <c r="AD2347">
        <v>-8.4559999999999705E-2</v>
      </c>
      <c r="AE2347">
        <v>3.9600000000007102E-2</v>
      </c>
      <c r="AF2347">
        <v>4.2241050601925498E-2</v>
      </c>
      <c r="AG2347">
        <v>-8.4559999999999705E-2</v>
      </c>
      <c r="AH2347">
        <v>0.25729562089231101</v>
      </c>
      <c r="AI2347">
        <v>107.96828051822</v>
      </c>
      <c r="AJ2347">
        <v>80.676736522377993</v>
      </c>
      <c r="AK2347">
        <v>0.27410898651141402</v>
      </c>
      <c r="AL2347">
        <v>69.118429598968206</v>
      </c>
      <c r="AM2347">
        <v>94.413357646929796</v>
      </c>
      <c r="AN2347">
        <v>1.00000003565365</v>
      </c>
    </row>
    <row r="2348" spans="1:40" x14ac:dyDescent="0.25">
      <c r="A2348" t="str">
        <f>"20190304164415658"</f>
        <v>20190304164415658</v>
      </c>
      <c r="B2348" t="str">
        <f>"1551689055652201"</f>
        <v>1551689055652201</v>
      </c>
      <c r="C2348" t="s">
        <v>40</v>
      </c>
      <c r="D2348">
        <v>5.3150209999999998</v>
      </c>
      <c r="E2348">
        <v>0.56794669999999903</v>
      </c>
      <c r="F2348" t="s">
        <v>41</v>
      </c>
      <c r="G2348">
        <v>-425.60980000000001</v>
      </c>
      <c r="H2348">
        <v>0.98955300000000002</v>
      </c>
      <c r="I2348">
        <v>284.18540000000002</v>
      </c>
      <c r="J2348">
        <v>-424.98719999999997</v>
      </c>
      <c r="K2348">
        <v>1.1108</v>
      </c>
      <c r="L2348">
        <v>284.13209999999998</v>
      </c>
      <c r="M2348">
        <v>-0.99962700000000004</v>
      </c>
      <c r="N2348">
        <v>-1.473026E-2</v>
      </c>
      <c r="O2348">
        <v>-2.2995700000000001E-2</v>
      </c>
      <c r="P2348">
        <v>-0.93473790000000001</v>
      </c>
      <c r="Q2348">
        <v>0.3430609</v>
      </c>
      <c r="R2348">
        <v>-9.2597840000000001E-2</v>
      </c>
      <c r="S2348">
        <v>-3.3580930000000002</v>
      </c>
      <c r="T2348">
        <v>-0.37116589999999999</v>
      </c>
      <c r="U2348">
        <v>0.1290588</v>
      </c>
      <c r="V2348">
        <v>-7.1342600000000006E-2</v>
      </c>
      <c r="W2348">
        <v>0.35676720000000001</v>
      </c>
      <c r="X2348">
        <v>0.93146519999999999</v>
      </c>
      <c r="Y2348">
        <v>6.0850080000000001E-2</v>
      </c>
      <c r="Z2348">
        <v>5.9967400000000004E-3</v>
      </c>
      <c r="AA2348">
        <v>0.99812889999999999</v>
      </c>
      <c r="AB2348">
        <v>47</v>
      </c>
      <c r="AC2348">
        <v>-0.62260000000003302</v>
      </c>
      <c r="AD2348">
        <v>-0.12124699999999999</v>
      </c>
      <c r="AE2348">
        <v>5.3300000000035597E-2</v>
      </c>
      <c r="AF2348">
        <v>6.5151688827983695E-2</v>
      </c>
      <c r="AG2348">
        <v>-0.12124699999999999</v>
      </c>
      <c r="AH2348">
        <v>0.59867023606217196</v>
      </c>
      <c r="AI2348">
        <v>101.383650566168</v>
      </c>
      <c r="AJ2348">
        <v>83.789095197654206</v>
      </c>
      <c r="AK2348">
        <v>0.614289531990311</v>
      </c>
      <c r="AL2348">
        <v>69.098209302716796</v>
      </c>
      <c r="AM2348">
        <v>94.379835985635793</v>
      </c>
      <c r="AN2348">
        <v>1.00000001019082</v>
      </c>
    </row>
    <row r="2349" spans="1:40" x14ac:dyDescent="0.25">
      <c r="A2349" t="str">
        <f>"20190304164415680"</f>
        <v>20190304164415680</v>
      </c>
      <c r="B2349" t="str">
        <f>"1551689055671725"</f>
        <v>1551689055671725</v>
      </c>
      <c r="C2349" t="s">
        <v>40</v>
      </c>
      <c r="D2349">
        <v>5.3287659999999999</v>
      </c>
      <c r="E2349">
        <v>0.56790869999999904</v>
      </c>
      <c r="F2349" t="s">
        <v>41</v>
      </c>
      <c r="G2349">
        <v>-426.02960000000002</v>
      </c>
      <c r="H2349">
        <v>0.99614119999999995</v>
      </c>
      <c r="I2349">
        <v>284.17250000000001</v>
      </c>
      <c r="J2349">
        <v>-425.44369999999998</v>
      </c>
      <c r="K2349">
        <v>1.1107899999999999</v>
      </c>
      <c r="L2349">
        <v>284.12139999999999</v>
      </c>
      <c r="M2349">
        <v>-0.99962200000000001</v>
      </c>
      <c r="N2349">
        <v>-1.472736E-2</v>
      </c>
      <c r="O2349">
        <v>-2.321821E-2</v>
      </c>
      <c r="P2349">
        <v>-0.93499750000000004</v>
      </c>
      <c r="Q2349">
        <v>0.34250150000000001</v>
      </c>
      <c r="R2349">
        <v>-9.2047030000000002E-2</v>
      </c>
      <c r="S2349">
        <v>-3.3578800000000002</v>
      </c>
      <c r="T2349">
        <v>-0.36946400000000001</v>
      </c>
      <c r="U2349">
        <v>0.12927249999999901</v>
      </c>
      <c r="V2349">
        <v>-7.0570670000000002E-2</v>
      </c>
      <c r="W2349">
        <v>0.35621079999999999</v>
      </c>
      <c r="X2349">
        <v>0.93173689999999998</v>
      </c>
      <c r="Y2349">
        <v>6.113975E-2</v>
      </c>
      <c r="Z2349">
        <v>6.0093990000000003E-3</v>
      </c>
      <c r="AA2349">
        <v>0.99811110000000003</v>
      </c>
      <c r="AB2349">
        <v>47</v>
      </c>
      <c r="AC2349">
        <v>-0.58590000000003695</v>
      </c>
      <c r="AD2349">
        <v>-0.114648799999999</v>
      </c>
      <c r="AE2349">
        <v>5.1100000000019401E-2</v>
      </c>
      <c r="AF2349">
        <v>6.2322881078158802E-2</v>
      </c>
      <c r="AG2349">
        <v>-0.114648799999999</v>
      </c>
      <c r="AH2349">
        <v>0.56315470417920299</v>
      </c>
      <c r="AI2349">
        <v>101.439219135762</v>
      </c>
      <c r="AJ2349">
        <v>83.684920791581604</v>
      </c>
      <c r="AK2349">
        <v>0.57807586845196002</v>
      </c>
      <c r="AL2349">
        <v>69.132330275153294</v>
      </c>
      <c r="AM2349">
        <v>94.331368791409503</v>
      </c>
      <c r="AN2349">
        <v>1.0000000021612401</v>
      </c>
    </row>
    <row r="2350" spans="1:40" x14ac:dyDescent="0.25">
      <c r="A2350" t="str">
        <f>"20190304164415701"</f>
        <v>20190304164415701</v>
      </c>
      <c r="B2350" t="str">
        <f>"1551689055692217"</f>
        <v>1551689055692217</v>
      </c>
      <c r="C2350" t="s">
        <v>40</v>
      </c>
      <c r="D2350">
        <v>5.3141999999999996</v>
      </c>
      <c r="E2350">
        <v>0.56786700000000001</v>
      </c>
      <c r="F2350" t="s">
        <v>41</v>
      </c>
      <c r="G2350">
        <v>-426.44749999999999</v>
      </c>
      <c r="H2350">
        <v>0.99958709999999995</v>
      </c>
      <c r="I2350">
        <v>284.16059999999999</v>
      </c>
      <c r="J2350">
        <v>-425.89280000000002</v>
      </c>
      <c r="K2350">
        <v>1.1107769999999999</v>
      </c>
      <c r="L2350">
        <v>284.11079999999998</v>
      </c>
      <c r="M2350">
        <v>-0.99961699999999998</v>
      </c>
      <c r="N2350">
        <v>-1.47245E-2</v>
      </c>
      <c r="O2350">
        <v>-2.3434770000000001E-2</v>
      </c>
      <c r="P2350">
        <v>-0.93507799999999996</v>
      </c>
      <c r="Q2350">
        <v>0.34227069999999998</v>
      </c>
      <c r="R2350">
        <v>-9.2086699999999994E-2</v>
      </c>
      <c r="S2350">
        <v>-3.3577270000000001</v>
      </c>
      <c r="T2350">
        <v>-0.37199939999999998</v>
      </c>
      <c r="U2350">
        <v>0.13079830000000001</v>
      </c>
      <c r="V2350">
        <v>-7.0399569999999995E-2</v>
      </c>
      <c r="W2350">
        <v>0.35597990000000002</v>
      </c>
      <c r="X2350">
        <v>0.9318381</v>
      </c>
      <c r="Y2350">
        <v>6.1797940000000003E-2</v>
      </c>
      <c r="Z2350">
        <v>6.1117999999999997E-3</v>
      </c>
      <c r="AA2350">
        <v>0.99806989999999995</v>
      </c>
      <c r="AB2350">
        <v>47</v>
      </c>
      <c r="AC2350">
        <v>-0.554699999999968</v>
      </c>
      <c r="AD2350">
        <v>-0.11118989999999999</v>
      </c>
      <c r="AE2350">
        <v>4.9800000000004702E-2</v>
      </c>
      <c r="AF2350">
        <v>6.0380289441141599E-2</v>
      </c>
      <c r="AG2350">
        <v>-0.11118989999999999</v>
      </c>
      <c r="AH2350">
        <v>0.53216866612900704</v>
      </c>
      <c r="AI2350">
        <v>101.728305828991</v>
      </c>
      <c r="AJ2350">
        <v>83.526856591321405</v>
      </c>
      <c r="AK2350">
        <v>0.54700316491272105</v>
      </c>
      <c r="AL2350">
        <v>69.146488224778494</v>
      </c>
      <c r="AM2350">
        <v>94.320439635922696</v>
      </c>
      <c r="AN2350">
        <v>1.0000000166359</v>
      </c>
    </row>
    <row r="2351" spans="1:40" x14ac:dyDescent="0.25">
      <c r="A2351" t="str">
        <f>"20190304164415724"</f>
        <v>20190304164415724</v>
      </c>
      <c r="B2351" t="str">
        <f>"1551689055711737"</f>
        <v>1551689055711737</v>
      </c>
      <c r="C2351" t="s">
        <v>40</v>
      </c>
      <c r="D2351">
        <v>5.3278239999999997</v>
      </c>
      <c r="E2351">
        <v>0.56785350000000001</v>
      </c>
      <c r="F2351" t="s">
        <v>41</v>
      </c>
      <c r="G2351">
        <v>-426.86489999999998</v>
      </c>
      <c r="H2351">
        <v>1.0027410000000001</v>
      </c>
      <c r="I2351">
        <v>284.149</v>
      </c>
      <c r="J2351">
        <v>-426.35550000000001</v>
      </c>
      <c r="K2351">
        <v>1.11077</v>
      </c>
      <c r="L2351">
        <v>284.09980000000002</v>
      </c>
      <c r="M2351">
        <v>-0.9996119</v>
      </c>
      <c r="N2351">
        <v>-1.472152E-2</v>
      </c>
      <c r="O2351">
        <v>-2.36537E-2</v>
      </c>
      <c r="P2351">
        <v>-0.93498159999999997</v>
      </c>
      <c r="Q2351">
        <v>0.34259339999999999</v>
      </c>
      <c r="R2351">
        <v>-9.1865870000000002E-2</v>
      </c>
      <c r="S2351">
        <v>-3.357758</v>
      </c>
      <c r="T2351">
        <v>-0.3731911</v>
      </c>
      <c r="U2351">
        <v>0.1307373</v>
      </c>
      <c r="V2351">
        <v>-6.9969180000000006E-2</v>
      </c>
      <c r="W2351">
        <v>0.35630079999999997</v>
      </c>
      <c r="X2351">
        <v>0.93174789999999996</v>
      </c>
      <c r="Y2351">
        <v>6.1992319999999997E-2</v>
      </c>
      <c r="Z2351">
        <v>6.1640779999999999E-3</v>
      </c>
      <c r="AA2351">
        <v>0.99805759999999999</v>
      </c>
      <c r="AB2351">
        <v>47</v>
      </c>
      <c r="AC2351">
        <v>-0.50939999999997099</v>
      </c>
      <c r="AD2351">
        <v>-0.108029</v>
      </c>
      <c r="AE2351">
        <v>4.9199999999984798E-2</v>
      </c>
      <c r="AF2351">
        <v>5.8624512389466997E-2</v>
      </c>
      <c r="AG2351">
        <v>-0.108029</v>
      </c>
      <c r="AH2351">
        <v>0.486419449674936</v>
      </c>
      <c r="AI2351">
        <v>102.43444435938299</v>
      </c>
      <c r="AJ2351">
        <v>83.127713525639905</v>
      </c>
      <c r="AK2351">
        <v>0.50170806184071903</v>
      </c>
      <c r="AL2351">
        <v>69.126812558679106</v>
      </c>
      <c r="AM2351">
        <v>94.294539738344199</v>
      </c>
      <c r="AN2351">
        <v>1.00000004769246</v>
      </c>
    </row>
    <row r="2352" spans="1:40" x14ac:dyDescent="0.25">
      <c r="A2352" t="str">
        <f>"20190304164415747"</f>
        <v>20190304164415747</v>
      </c>
      <c r="B2352" t="str">
        <f>"1551689055742501"</f>
        <v>1551689055742501</v>
      </c>
      <c r="C2352" t="s">
        <v>40</v>
      </c>
      <c r="D2352">
        <v>5.3254429999999999</v>
      </c>
      <c r="E2352">
        <v>0.56780180000000002</v>
      </c>
      <c r="F2352" t="s">
        <v>41</v>
      </c>
      <c r="G2352">
        <v>-427.28289999999998</v>
      </c>
      <c r="H2352">
        <v>1.007808</v>
      </c>
      <c r="I2352">
        <v>284.1361</v>
      </c>
      <c r="J2352">
        <v>-426.83839999999998</v>
      </c>
      <c r="K2352">
        <v>1.1107689999999999</v>
      </c>
      <c r="L2352">
        <v>284.08819999999997</v>
      </c>
      <c r="M2352">
        <v>-0.99960680000000002</v>
      </c>
      <c r="N2352">
        <v>-1.471831E-2</v>
      </c>
      <c r="O2352">
        <v>-2.387388E-2</v>
      </c>
      <c r="P2352">
        <v>-0.93508429999999998</v>
      </c>
      <c r="Q2352">
        <v>0.34213379999999999</v>
      </c>
      <c r="R2352">
        <v>-9.2531799999999997E-2</v>
      </c>
      <c r="S2352">
        <v>-3.3580930000000002</v>
      </c>
      <c r="T2352">
        <v>-0.37276550000000003</v>
      </c>
      <c r="U2352">
        <v>0.13134770000000001</v>
      </c>
      <c r="V2352">
        <v>-7.0416450000000005E-2</v>
      </c>
      <c r="W2352">
        <v>0.35584130000000003</v>
      </c>
      <c r="X2352">
        <v>0.93188970000000004</v>
      </c>
      <c r="Y2352">
        <v>6.2386990000000003E-2</v>
      </c>
      <c r="Z2352">
        <v>6.2024419999999999E-3</v>
      </c>
      <c r="AA2352">
        <v>0.99803269999999999</v>
      </c>
      <c r="AB2352">
        <v>47</v>
      </c>
      <c r="AC2352">
        <v>-0.444500000000005</v>
      </c>
      <c r="AD2352">
        <v>-0.102961</v>
      </c>
      <c r="AE2352">
        <v>4.79000000000269E-2</v>
      </c>
      <c r="AF2352">
        <v>5.5553007291406102E-2</v>
      </c>
      <c r="AG2352">
        <v>-0.102961</v>
      </c>
      <c r="AH2352">
        <v>0.42090557575384102</v>
      </c>
      <c r="AI2352">
        <v>103.631886572639</v>
      </c>
      <c r="AJ2352">
        <v>82.481303177207593</v>
      </c>
      <c r="AK2352">
        <v>0.43686222981712602</v>
      </c>
      <c r="AL2352">
        <v>69.154984610111697</v>
      </c>
      <c r="AM2352">
        <v>94.321233262629605</v>
      </c>
      <c r="AN2352">
        <v>0.99999996009118997</v>
      </c>
    </row>
    <row r="2353" spans="1:40" x14ac:dyDescent="0.25">
      <c r="A2353" t="str">
        <f>"20190304164415769"</f>
        <v>20190304164415769</v>
      </c>
      <c r="B2353" t="str">
        <f>"1551689055762020"</f>
        <v>1551689055762020</v>
      </c>
      <c r="C2353" t="s">
        <v>40</v>
      </c>
      <c r="D2353">
        <v>5.3194119999999998</v>
      </c>
      <c r="E2353">
        <v>0.56776890000000002</v>
      </c>
      <c r="F2353" t="s">
        <v>41</v>
      </c>
      <c r="G2353">
        <v>-427.70139999999998</v>
      </c>
      <c r="H2353">
        <v>1.0144569999999999</v>
      </c>
      <c r="I2353">
        <v>284.12169999999998</v>
      </c>
      <c r="J2353">
        <v>-427.30149999999998</v>
      </c>
      <c r="K2353">
        <v>1.110757</v>
      </c>
      <c r="L2353">
        <v>284.077</v>
      </c>
      <c r="M2353">
        <v>-0.99960199999999999</v>
      </c>
      <c r="N2353">
        <v>-1.4715229999999999E-2</v>
      </c>
      <c r="O2353">
        <v>-2.4069799999999999E-2</v>
      </c>
      <c r="P2353">
        <v>-0.93494560000000004</v>
      </c>
      <c r="Q2353">
        <v>0.34239730000000002</v>
      </c>
      <c r="R2353">
        <v>-9.2956700000000003E-2</v>
      </c>
      <c r="S2353">
        <v>-3.3582459999999998</v>
      </c>
      <c r="T2353">
        <v>-0.37501410000000002</v>
      </c>
      <c r="U2353">
        <v>0.12918089999999999</v>
      </c>
      <c r="V2353">
        <v>-7.0648429999999998E-2</v>
      </c>
      <c r="W2353">
        <v>0.35610239999999999</v>
      </c>
      <c r="X2353">
        <v>0.93177239999999995</v>
      </c>
      <c r="Y2353">
        <v>6.193369E-2</v>
      </c>
      <c r="Z2353">
        <v>6.2291109999999998E-3</v>
      </c>
      <c r="AA2353">
        <v>0.99806079999999997</v>
      </c>
      <c r="AB2353">
        <v>46</v>
      </c>
      <c r="AC2353">
        <v>-0.39990000000000198</v>
      </c>
      <c r="AD2353">
        <v>-9.6299999999999997E-2</v>
      </c>
      <c r="AE2353">
        <v>4.4699999999977501E-2</v>
      </c>
      <c r="AF2353">
        <v>5.1371360798967799E-2</v>
      </c>
      <c r="AG2353">
        <v>-9.6299999999999997E-2</v>
      </c>
      <c r="AH2353">
        <v>0.37710952544608101</v>
      </c>
      <c r="AI2353">
        <v>104.19933578984499</v>
      </c>
      <c r="AJ2353">
        <v>82.242689720860994</v>
      </c>
      <c r="AK2353">
        <v>0.39258667946391901</v>
      </c>
      <c r="AL2353">
        <v>69.138976125095894</v>
      </c>
      <c r="AM2353">
        <v>94.335958648748104</v>
      </c>
      <c r="AN2353">
        <v>0.99999996267449098</v>
      </c>
    </row>
    <row r="2354" spans="1:40" x14ac:dyDescent="0.25">
      <c r="A2354" t="str">
        <f>"20190304164415790"</f>
        <v>20190304164415790</v>
      </c>
      <c r="B2354" t="str">
        <f>"1551689055782516"</f>
        <v>1551689055782516</v>
      </c>
      <c r="C2354" t="s">
        <v>40</v>
      </c>
      <c r="D2354">
        <v>5.3555320000000002</v>
      </c>
      <c r="E2354">
        <v>0.56775529999999996</v>
      </c>
      <c r="F2354" t="s">
        <v>41</v>
      </c>
      <c r="G2354">
        <v>-428.11880000000002</v>
      </c>
      <c r="H2354">
        <v>1.0196959999999999</v>
      </c>
      <c r="I2354">
        <v>284.10829999999999</v>
      </c>
      <c r="J2354">
        <v>-427.74540000000002</v>
      </c>
      <c r="K2354">
        <v>1.1107279999999999</v>
      </c>
      <c r="L2354">
        <v>284.06619999999998</v>
      </c>
      <c r="M2354">
        <v>-0.99959799999999999</v>
      </c>
      <c r="N2354">
        <v>-1.4712319999999999E-2</v>
      </c>
      <c r="O2354">
        <v>-2.4234510000000001E-2</v>
      </c>
      <c r="P2354">
        <v>-0.93509949999999997</v>
      </c>
      <c r="Q2354">
        <v>0.34192729999999999</v>
      </c>
      <c r="R2354">
        <v>-9.3137269999999994E-2</v>
      </c>
      <c r="S2354">
        <v>-3.3585509999999998</v>
      </c>
      <c r="T2354">
        <v>-0.37430429999999998</v>
      </c>
      <c r="U2354">
        <v>0.12808230000000001</v>
      </c>
      <c r="V2354">
        <v>-7.0654320000000007E-2</v>
      </c>
      <c r="W2354">
        <v>0.35563549999999999</v>
      </c>
      <c r="X2354">
        <v>0.93195030000000001</v>
      </c>
      <c r="Y2354">
        <v>6.177117E-2</v>
      </c>
      <c r="Z2354">
        <v>6.2226919999999897E-3</v>
      </c>
      <c r="AA2354">
        <v>0.99807100000000004</v>
      </c>
      <c r="AB2354">
        <v>46</v>
      </c>
      <c r="AC2354">
        <v>-0.37340000000000301</v>
      </c>
      <c r="AD2354">
        <v>-9.1032000000000196E-2</v>
      </c>
      <c r="AE2354">
        <v>4.2100000000004897E-2</v>
      </c>
      <c r="AF2354">
        <v>4.8302947340694902E-2</v>
      </c>
      <c r="AG2354">
        <v>-9.1032000000000196E-2</v>
      </c>
      <c r="AH2354">
        <v>0.35163308129082299</v>
      </c>
      <c r="AI2354">
        <v>104.38487427774901</v>
      </c>
      <c r="AJ2354">
        <v>82.178376038586606</v>
      </c>
      <c r="AK2354">
        <v>0.36642301183724302</v>
      </c>
      <c r="AL2354">
        <v>69.167602310212501</v>
      </c>
      <c r="AM2354">
        <v>94.335494157796504</v>
      </c>
      <c r="AN2354">
        <v>1.0000000017324999</v>
      </c>
    </row>
    <row r="2355" spans="1:40" x14ac:dyDescent="0.25">
      <c r="A2355" t="str">
        <f>"20190304164415813"</f>
        <v>20190304164415813</v>
      </c>
      <c r="B2355" t="str">
        <f>"1551689055802036"</f>
        <v>1551689055802036</v>
      </c>
      <c r="C2355" t="s">
        <v>40</v>
      </c>
      <c r="D2355">
        <v>5.3137489999999996</v>
      </c>
      <c r="E2355">
        <v>0.56777529999999998</v>
      </c>
      <c r="F2355" t="s">
        <v>41</v>
      </c>
      <c r="G2355">
        <v>-428.53460000000001</v>
      </c>
      <c r="H2355">
        <v>1.0220800000000001</v>
      </c>
      <c r="I2355">
        <v>284.09589999999997</v>
      </c>
      <c r="J2355">
        <v>-428.2158</v>
      </c>
      <c r="K2355">
        <v>1.1107020000000001</v>
      </c>
      <c r="L2355">
        <v>284.05470000000003</v>
      </c>
      <c r="M2355">
        <v>-0.9995946</v>
      </c>
      <c r="N2355">
        <v>-1.470925E-2</v>
      </c>
      <c r="O2355">
        <v>-2.4377510000000002E-2</v>
      </c>
      <c r="P2355">
        <v>-0.93509089999999995</v>
      </c>
      <c r="Q2355">
        <v>0.3418561</v>
      </c>
      <c r="R2355">
        <v>-9.3486260000000002E-2</v>
      </c>
      <c r="S2355">
        <v>-3.358673</v>
      </c>
      <c r="T2355">
        <v>-0.37740400000000002</v>
      </c>
      <c r="U2355">
        <v>0.12506099999999901</v>
      </c>
      <c r="V2355">
        <v>-7.0845599999999995E-2</v>
      </c>
      <c r="W2355">
        <v>0.3555664</v>
      </c>
      <c r="X2355">
        <v>0.93196210000000002</v>
      </c>
      <c r="Y2355">
        <v>6.1011839999999998E-2</v>
      </c>
      <c r="Z2355">
        <v>6.2387459999999999E-3</v>
      </c>
      <c r="AA2355">
        <v>0.99811760000000005</v>
      </c>
      <c r="AB2355">
        <v>46</v>
      </c>
      <c r="AC2355">
        <v>-0.31880000000001002</v>
      </c>
      <c r="AD2355">
        <v>-8.8622000000000201E-2</v>
      </c>
      <c r="AE2355">
        <v>4.1199999999946599E-2</v>
      </c>
      <c r="AF2355">
        <v>4.55017019351312E-2</v>
      </c>
      <c r="AG2355">
        <v>-8.8622000000000201E-2</v>
      </c>
      <c r="AH2355">
        <v>0.29525905512852602</v>
      </c>
      <c r="AI2355">
        <v>106.52288840366499</v>
      </c>
      <c r="AJ2355">
        <v>81.239197782779797</v>
      </c>
      <c r="AK2355">
        <v>0.31161221638181003</v>
      </c>
      <c r="AL2355">
        <v>69.171837410302999</v>
      </c>
      <c r="AM2355">
        <v>94.347131727542902</v>
      </c>
      <c r="AN2355">
        <v>0.99999995984236401</v>
      </c>
    </row>
    <row r="2356" spans="1:40" x14ac:dyDescent="0.25">
      <c r="A2356" t="str">
        <f>"20190304164415837"</f>
        <v>20190304164415837</v>
      </c>
      <c r="B2356" t="str">
        <f>"1551689055832293"</f>
        <v>1551689055832293</v>
      </c>
      <c r="C2356" t="s">
        <v>40</v>
      </c>
      <c r="D2356">
        <v>5.3218180000000004</v>
      </c>
      <c r="E2356">
        <v>0.56787140000000003</v>
      </c>
      <c r="F2356" t="s">
        <v>41</v>
      </c>
      <c r="G2356">
        <v>-428.95179999999999</v>
      </c>
      <c r="H2356">
        <v>1.0278400000000001</v>
      </c>
      <c r="I2356">
        <v>284.0813</v>
      </c>
      <c r="J2356">
        <v>-428.68729999999999</v>
      </c>
      <c r="K2356">
        <v>1.110668</v>
      </c>
      <c r="L2356">
        <v>284.04309999999998</v>
      </c>
      <c r="M2356">
        <v>-0.99959219999999904</v>
      </c>
      <c r="N2356">
        <v>-1.4706210000000001E-2</v>
      </c>
      <c r="O2356">
        <v>-2.4480579999999998E-2</v>
      </c>
      <c r="P2356">
        <v>-0.93473910000000004</v>
      </c>
      <c r="Q2356">
        <v>0.34279159999999997</v>
      </c>
      <c r="R2356">
        <v>-9.3577999999999995E-2</v>
      </c>
      <c r="S2356">
        <v>-3.3587340000000001</v>
      </c>
      <c r="T2356">
        <v>-0.37825740000000002</v>
      </c>
      <c r="U2356">
        <v>0.12219240000000001</v>
      </c>
      <c r="V2356">
        <v>-7.0821330000000002E-2</v>
      </c>
      <c r="W2356">
        <v>0.35649950000000002</v>
      </c>
      <c r="X2356">
        <v>0.93160750000000003</v>
      </c>
      <c r="Y2356">
        <v>6.0265150000000003E-2</v>
      </c>
      <c r="Z2356">
        <v>6.2151569999999998E-3</v>
      </c>
      <c r="AA2356">
        <v>0.99816300000000002</v>
      </c>
      <c r="AB2356">
        <v>46</v>
      </c>
      <c r="AC2356">
        <v>-0.26449999999999801</v>
      </c>
      <c r="AD2356">
        <v>-8.2828000000000096E-2</v>
      </c>
      <c r="AE2356">
        <v>3.8200000000017498E-2</v>
      </c>
      <c r="AF2356">
        <v>4.0749965637021601E-2</v>
      </c>
      <c r="AG2356">
        <v>-8.2828000000000096E-2</v>
      </c>
      <c r="AH2356">
        <v>0.240393517811373</v>
      </c>
      <c r="AI2356">
        <v>108.76291141271599</v>
      </c>
      <c r="AJ2356">
        <v>80.379043898583006</v>
      </c>
      <c r="AK2356">
        <v>0.25750743812392202</v>
      </c>
      <c r="AL2356">
        <v>69.114627676328098</v>
      </c>
      <c r="AM2356">
        <v>94.347295965001393</v>
      </c>
      <c r="AN2356">
        <v>1.0000000441697301</v>
      </c>
    </row>
    <row r="2357" spans="1:40" x14ac:dyDescent="0.25">
      <c r="A2357" t="str">
        <f>"20190304164415858"</f>
        <v>20190304164415858</v>
      </c>
      <c r="B2357" t="str">
        <f>"1551689055851813"</f>
        <v>1551689055851813</v>
      </c>
      <c r="C2357" t="s">
        <v>40</v>
      </c>
      <c r="D2357">
        <v>5.3239080000000003</v>
      </c>
      <c r="E2357">
        <v>0.56792240000000005</v>
      </c>
      <c r="F2357" t="s">
        <v>41</v>
      </c>
      <c r="G2357">
        <v>-429.76170000000002</v>
      </c>
      <c r="H2357">
        <v>0.99096410000000001</v>
      </c>
      <c r="I2357">
        <v>284.0822</v>
      </c>
      <c r="J2357">
        <v>-429.15600000000001</v>
      </c>
      <c r="K2357">
        <v>1.1106320000000001</v>
      </c>
      <c r="L2357">
        <v>284.03160000000003</v>
      </c>
      <c r="M2357">
        <v>-0.99959050000000005</v>
      </c>
      <c r="N2357">
        <v>-1.470316E-2</v>
      </c>
      <c r="O2357">
        <v>-2.455243E-2</v>
      </c>
      <c r="P2357">
        <v>-0.93482900000000002</v>
      </c>
      <c r="Q2357">
        <v>0.3426227</v>
      </c>
      <c r="R2357">
        <v>-9.3300110000000006E-2</v>
      </c>
      <c r="S2357">
        <v>-3.3589479999999998</v>
      </c>
      <c r="T2357">
        <v>-0.3743879</v>
      </c>
      <c r="U2357">
        <v>0.1217041</v>
      </c>
      <c r="V2357">
        <v>-7.0445359999999999E-2</v>
      </c>
      <c r="W2357">
        <v>0.35633500000000001</v>
      </c>
      <c r="X2357">
        <v>0.9316989</v>
      </c>
      <c r="Y2357">
        <v>6.020081E-2</v>
      </c>
      <c r="Z2357">
        <v>6.1552819999999998E-3</v>
      </c>
      <c r="AA2357">
        <v>0.99816729999999998</v>
      </c>
      <c r="AB2357">
        <v>46</v>
      </c>
      <c r="AC2357">
        <v>-0.60570000000001301</v>
      </c>
      <c r="AD2357">
        <v>-0.11966789999999999</v>
      </c>
      <c r="AE2357">
        <v>5.0599999999974402E-2</v>
      </c>
      <c r="AF2357">
        <v>6.3015088662404795E-2</v>
      </c>
      <c r="AG2357">
        <v>-0.11966789999999999</v>
      </c>
      <c r="AH2357">
        <v>0.58172533499865398</v>
      </c>
      <c r="AI2357">
        <v>101.558489906296</v>
      </c>
      <c r="AJ2357">
        <v>83.817571769144806</v>
      </c>
      <c r="AK2357">
        <v>0.59724004643764195</v>
      </c>
      <c r="AL2357">
        <v>69.124714585210896</v>
      </c>
      <c r="AM2357">
        <v>94.323882591262304</v>
      </c>
      <c r="AN2357">
        <v>1.00000001061586</v>
      </c>
    </row>
    <row r="2358" spans="1:40" x14ac:dyDescent="0.25">
      <c r="A2358" t="str">
        <f>"20190304164415880"</f>
        <v>20190304164415880</v>
      </c>
      <c r="B2358" t="str">
        <f>"1551689055872309"</f>
        <v>1551689055872309</v>
      </c>
      <c r="C2358" t="s">
        <v>40</v>
      </c>
      <c r="D2358">
        <v>5.3221290000000003</v>
      </c>
      <c r="E2358">
        <v>0.56799200000000005</v>
      </c>
      <c r="F2358" t="s">
        <v>41</v>
      </c>
      <c r="G2358">
        <v>-430.17779999999999</v>
      </c>
      <c r="H2358">
        <v>0.99644719999999998</v>
      </c>
      <c r="I2358">
        <v>284.06869999999998</v>
      </c>
      <c r="J2358">
        <v>-429.59820000000002</v>
      </c>
      <c r="K2358">
        <v>1.1106039999999999</v>
      </c>
      <c r="L2358">
        <v>284.02069999999998</v>
      </c>
      <c r="M2358">
        <v>-0.99958939999999996</v>
      </c>
      <c r="N2358">
        <v>-1.470024E-2</v>
      </c>
      <c r="O2358">
        <v>-2.4597669999999999E-2</v>
      </c>
      <c r="P2358">
        <v>-0.93488070000000001</v>
      </c>
      <c r="Q2358">
        <v>0.34267579999999997</v>
      </c>
      <c r="R2358">
        <v>-9.2581640000000007E-2</v>
      </c>
      <c r="S2358">
        <v>-3.3587950000000002</v>
      </c>
      <c r="T2358">
        <v>-0.37538270000000001</v>
      </c>
      <c r="U2358">
        <v>0.121337899999999</v>
      </c>
      <c r="V2358">
        <v>-6.9659170000000006E-2</v>
      </c>
      <c r="W2358">
        <v>0.3563907</v>
      </c>
      <c r="X2358">
        <v>0.93173669999999997</v>
      </c>
      <c r="Y2358">
        <v>6.013632E-2</v>
      </c>
      <c r="Z2358">
        <v>6.1719030000000003E-3</v>
      </c>
      <c r="AA2358">
        <v>0.99817109999999998</v>
      </c>
      <c r="AB2358">
        <v>46</v>
      </c>
      <c r="AC2358">
        <v>-0.57959999999997003</v>
      </c>
      <c r="AD2358">
        <v>-0.1141568</v>
      </c>
      <c r="AE2358">
        <v>4.8000000000001798E-2</v>
      </c>
      <c r="AF2358">
        <v>5.99346504841387E-2</v>
      </c>
      <c r="AG2358">
        <v>-0.1141568</v>
      </c>
      <c r="AH2358">
        <v>0.55679161476604899</v>
      </c>
      <c r="AI2358">
        <v>101.521795673989</v>
      </c>
      <c r="AJ2358">
        <v>83.856174138523897</v>
      </c>
      <c r="AK2358">
        <v>0.57152501221615903</v>
      </c>
      <c r="AL2358">
        <v>69.1212988347948</v>
      </c>
      <c r="AM2358">
        <v>94.275633991219195</v>
      </c>
      <c r="AN2358">
        <v>1.0000000045692301</v>
      </c>
    </row>
    <row r="2359" spans="1:40" x14ac:dyDescent="0.25">
      <c r="A2359" t="str">
        <f>"20190304164415902"</f>
        <v>20190304164415902</v>
      </c>
      <c r="B2359" t="str">
        <f>"1551689055891829"</f>
        <v>1551689055891829</v>
      </c>
      <c r="C2359" t="s">
        <v>40</v>
      </c>
      <c r="D2359">
        <v>5.3502919999999996</v>
      </c>
      <c r="E2359">
        <v>0.56806919999999905</v>
      </c>
      <c r="F2359" t="s">
        <v>41</v>
      </c>
      <c r="G2359">
        <v>-430.59249999999997</v>
      </c>
      <c r="H2359">
        <v>0.99953460000000005</v>
      </c>
      <c r="I2359">
        <v>284.0575</v>
      </c>
      <c r="J2359">
        <v>-430.06110000000001</v>
      </c>
      <c r="K2359">
        <v>1.110582</v>
      </c>
      <c r="L2359">
        <v>284.0093</v>
      </c>
      <c r="M2359">
        <v>-0.9995887</v>
      </c>
      <c r="N2359">
        <v>-1.4697160000000001E-2</v>
      </c>
      <c r="O2359">
        <v>-2.4626519999999999E-2</v>
      </c>
      <c r="P2359">
        <v>-0.93526860000000001</v>
      </c>
      <c r="Q2359">
        <v>0.34177489999999999</v>
      </c>
      <c r="R2359">
        <v>-9.1992829999999998E-2</v>
      </c>
      <c r="S2359">
        <v>-3.3587950000000002</v>
      </c>
      <c r="T2359">
        <v>-0.37522610000000001</v>
      </c>
      <c r="U2359">
        <v>0.1240845</v>
      </c>
      <c r="V2359">
        <v>-6.9012519999999994E-2</v>
      </c>
      <c r="W2359">
        <v>0.35549740000000002</v>
      </c>
      <c r="X2359">
        <v>0.93212600000000001</v>
      </c>
      <c r="Y2359">
        <v>6.0974689999999998E-2</v>
      </c>
      <c r="Z2359">
        <v>6.2249319999999999E-3</v>
      </c>
      <c r="AA2359">
        <v>0.99811989999999995</v>
      </c>
      <c r="AB2359">
        <v>46</v>
      </c>
      <c r="AC2359">
        <v>-0.53139999999996201</v>
      </c>
      <c r="AD2359">
        <v>-0.1110474</v>
      </c>
      <c r="AE2359">
        <v>4.8200000000008403E-2</v>
      </c>
      <c r="AF2359">
        <v>5.8729587688467401E-2</v>
      </c>
      <c r="AG2359">
        <v>-0.1110474</v>
      </c>
      <c r="AH2359">
        <v>0.50804679635643002</v>
      </c>
      <c r="AI2359">
        <v>102.250540043947</v>
      </c>
      <c r="AJ2359">
        <v>83.405946372607303</v>
      </c>
      <c r="AK2359">
        <v>0.52334714750808498</v>
      </c>
      <c r="AL2359">
        <v>69.176068149878702</v>
      </c>
      <c r="AM2359">
        <v>94.234325438579802</v>
      </c>
      <c r="AN2359">
        <v>1.0000000045997499</v>
      </c>
    </row>
    <row r="2360" spans="1:40" x14ac:dyDescent="0.25">
      <c r="A2360" t="str">
        <f>"20190304164415918"</f>
        <v>20190304164415918</v>
      </c>
      <c r="B2360" t="str">
        <f>"1551689055912325"</f>
        <v>1551689055912325</v>
      </c>
      <c r="C2360" t="s">
        <v>40</v>
      </c>
      <c r="D2360">
        <v>5.348808</v>
      </c>
      <c r="E2360">
        <v>0.56822359999999905</v>
      </c>
      <c r="F2360" t="s">
        <v>41</v>
      </c>
      <c r="G2360">
        <v>-431.00749999999999</v>
      </c>
      <c r="H2360">
        <v>1.004081</v>
      </c>
      <c r="I2360">
        <v>284.0455</v>
      </c>
      <c r="J2360">
        <v>-430.37709999999998</v>
      </c>
      <c r="K2360">
        <v>1.1105670000000001</v>
      </c>
      <c r="L2360">
        <v>284.00139999999999</v>
      </c>
      <c r="M2360">
        <v>-0.99958849999999999</v>
      </c>
      <c r="N2360">
        <v>-1.4695069999999999E-2</v>
      </c>
      <c r="O2360">
        <v>-2.4638529999999999E-2</v>
      </c>
      <c r="P2360">
        <v>-0.93542720000000001</v>
      </c>
      <c r="Q2360">
        <v>0.3414644</v>
      </c>
      <c r="R2360">
        <v>-9.1531970000000004E-2</v>
      </c>
      <c r="S2360">
        <v>-3.358276</v>
      </c>
      <c r="T2360">
        <v>-0.37811509999999998</v>
      </c>
      <c r="U2360">
        <v>0.1269836</v>
      </c>
      <c r="V2360">
        <v>-6.8524630000000003E-2</v>
      </c>
      <c r="W2360">
        <v>0.35518889999999997</v>
      </c>
      <c r="X2360">
        <v>0.93227959999999999</v>
      </c>
      <c r="Y2360">
        <v>6.1838160000000003E-2</v>
      </c>
      <c r="Z2360">
        <v>6.3287580000000003E-3</v>
      </c>
      <c r="AA2360">
        <v>0.99806609999999996</v>
      </c>
      <c r="AB2360">
        <v>46</v>
      </c>
      <c r="AC2360">
        <v>-0.63040000000000795</v>
      </c>
      <c r="AD2360">
        <v>-0.106486</v>
      </c>
      <c r="AE2360">
        <v>4.4100000000014399E-2</v>
      </c>
      <c r="AF2360">
        <v>5.7974271020698201E-2</v>
      </c>
      <c r="AG2360">
        <v>-0.106486</v>
      </c>
      <c r="AH2360">
        <v>0.61175159870891704</v>
      </c>
      <c r="AI2360">
        <v>99.831207353649205</v>
      </c>
      <c r="AJ2360">
        <v>84.586380498277606</v>
      </c>
      <c r="AK2360">
        <v>0.62365078595260104</v>
      </c>
      <c r="AL2360">
        <v>69.194978284118207</v>
      </c>
      <c r="AM2360">
        <v>94.203807998612803</v>
      </c>
      <c r="AN2360">
        <v>1.000000016088</v>
      </c>
    </row>
    <row r="2361" spans="1:40" x14ac:dyDescent="0.25">
      <c r="A2361" t="str">
        <f>"20190304164415930"</f>
        <v>20190304164415930</v>
      </c>
      <c r="B2361" t="str">
        <f>"1551689055922085"</f>
        <v>1551689055922085</v>
      </c>
      <c r="C2361" t="s">
        <v>40</v>
      </c>
      <c r="D2361">
        <v>5.3496319999999997</v>
      </c>
      <c r="E2361">
        <v>0.56830439999999904</v>
      </c>
      <c r="F2361" t="s">
        <v>41</v>
      </c>
      <c r="G2361">
        <v>-431.4151</v>
      </c>
      <c r="H2361">
        <v>0.99388359999999998</v>
      </c>
      <c r="I2361">
        <v>284.04169999999999</v>
      </c>
      <c r="J2361">
        <v>-430.65129999999999</v>
      </c>
      <c r="K2361">
        <v>1.1105579999999999</v>
      </c>
      <c r="L2361">
        <v>283.99470000000002</v>
      </c>
      <c r="M2361">
        <v>-0.99958840000000004</v>
      </c>
      <c r="N2361">
        <v>-1.4693319999999999E-2</v>
      </c>
      <c r="O2361">
        <v>-2.4644889999999999E-2</v>
      </c>
      <c r="P2361">
        <v>-0.93558660000000005</v>
      </c>
      <c r="Q2361">
        <v>0.34108260000000001</v>
      </c>
      <c r="R2361">
        <v>-9.1329099999999996E-2</v>
      </c>
      <c r="S2361">
        <v>-3.357605</v>
      </c>
      <c r="T2361">
        <v>-0.37740950000000001</v>
      </c>
      <c r="U2361">
        <v>0.13031010000000001</v>
      </c>
      <c r="V2361">
        <v>-6.8302650000000006E-2</v>
      </c>
      <c r="W2361">
        <v>0.3548095</v>
      </c>
      <c r="X2361">
        <v>0.9324403</v>
      </c>
      <c r="Y2361">
        <v>6.2834100000000004E-2</v>
      </c>
      <c r="Z2361">
        <v>6.3820639999999998E-3</v>
      </c>
      <c r="AA2361">
        <v>0.99800359999999999</v>
      </c>
      <c r="AB2361">
        <v>46</v>
      </c>
      <c r="AC2361">
        <v>-0.76380000000000303</v>
      </c>
      <c r="AD2361">
        <v>-0.116674399999999</v>
      </c>
      <c r="AE2361">
        <v>4.6999999999968602E-2</v>
      </c>
      <c r="AF2361">
        <v>6.4316411516405603E-2</v>
      </c>
      <c r="AG2361">
        <v>-0.116674399999999</v>
      </c>
      <c r="AH2361">
        <v>0.74508909368425102</v>
      </c>
      <c r="AI2361">
        <v>98.867294062199406</v>
      </c>
      <c r="AJ2361">
        <v>85.066433070886205</v>
      </c>
      <c r="AK2361">
        <v>0.75690638386324005</v>
      </c>
      <c r="AL2361">
        <v>69.218229886173106</v>
      </c>
      <c r="AM2361">
        <v>94.189519097039295</v>
      </c>
      <c r="AN2361">
        <v>0.99999997317568001</v>
      </c>
    </row>
    <row r="2362" spans="1:40" x14ac:dyDescent="0.25">
      <c r="A2362" t="str">
        <f>"20190304164415943"</f>
        <v>20190304164415943</v>
      </c>
      <c r="B2362" t="str">
        <f>"1551689055931845"</f>
        <v>1551689055931845</v>
      </c>
      <c r="C2362" t="s">
        <v>40</v>
      </c>
      <c r="D2362">
        <v>5.3581649999999996</v>
      </c>
      <c r="E2362">
        <v>0.56837249999999995</v>
      </c>
      <c r="F2362" t="s">
        <v>41</v>
      </c>
      <c r="G2362">
        <v>-431.42930000000001</v>
      </c>
      <c r="H2362">
        <v>1.023013</v>
      </c>
      <c r="I2362">
        <v>284.02539999999999</v>
      </c>
      <c r="J2362">
        <v>-430.90379999999999</v>
      </c>
      <c r="K2362">
        <v>1.1105499999999999</v>
      </c>
      <c r="L2362">
        <v>283.98849999999999</v>
      </c>
      <c r="M2362">
        <v>-0.99958840000000004</v>
      </c>
      <c r="N2362">
        <v>-1.4691650000000001E-2</v>
      </c>
      <c r="O2362">
        <v>-2.4647820000000001E-2</v>
      </c>
      <c r="P2362">
        <v>-0.93564820000000004</v>
      </c>
      <c r="Q2362">
        <v>0.34098469999999997</v>
      </c>
      <c r="R2362">
        <v>-9.1062100000000007E-2</v>
      </c>
      <c r="S2362">
        <v>-3.3571469999999999</v>
      </c>
      <c r="T2362">
        <v>-0.37776779999999999</v>
      </c>
      <c r="U2362">
        <v>0.13204959999999999</v>
      </c>
      <c r="V2362">
        <v>-6.8024340000000003E-2</v>
      </c>
      <c r="W2362">
        <v>0.35471229999999998</v>
      </c>
      <c r="X2362">
        <v>0.93249760000000004</v>
      </c>
      <c r="Y2362">
        <v>6.3353720000000002E-2</v>
      </c>
      <c r="Z2362">
        <v>6.4220359999999999E-3</v>
      </c>
      <c r="AA2362">
        <v>0.99797049999999998</v>
      </c>
      <c r="AB2362">
        <v>46</v>
      </c>
      <c r="AC2362">
        <v>-0.52550000000002195</v>
      </c>
      <c r="AD2362">
        <v>-8.7536999999999907E-2</v>
      </c>
      <c r="AE2362">
        <v>3.6900000000002799E-2</v>
      </c>
      <c r="AF2362">
        <v>4.8503326691299302E-2</v>
      </c>
      <c r="AG2362">
        <v>-8.7536999999999907E-2</v>
      </c>
      <c r="AH2362">
        <v>0.51033910414299299</v>
      </c>
      <c r="AI2362">
        <v>99.690230582063407</v>
      </c>
      <c r="AJ2362">
        <v>84.570838488628098</v>
      </c>
      <c r="AK2362">
        <v>0.52005893924304003</v>
      </c>
      <c r="AL2362">
        <v>69.224185972685902</v>
      </c>
      <c r="AM2362">
        <v>94.172253163115698</v>
      </c>
      <c r="AN2362">
        <v>0.99999995030474098</v>
      </c>
    </row>
    <row r="2363" spans="1:40" x14ac:dyDescent="0.25">
      <c r="A2363" t="str">
        <f>"20190304164415959"</f>
        <v>20190304164415959</v>
      </c>
      <c r="B2363" t="str">
        <f>"1551689055952341"</f>
        <v>1551689055952341</v>
      </c>
      <c r="C2363" t="s">
        <v>40</v>
      </c>
      <c r="D2363">
        <v>5.3449989999999996</v>
      </c>
      <c r="E2363">
        <v>0.56851799999999997</v>
      </c>
      <c r="F2363" t="s">
        <v>41</v>
      </c>
      <c r="G2363">
        <v>-431.83330000000001</v>
      </c>
      <c r="H2363">
        <v>1.0061610000000001</v>
      </c>
      <c r="I2363">
        <v>284.02600000000001</v>
      </c>
      <c r="J2363">
        <v>-431.2242</v>
      </c>
      <c r="K2363">
        <v>1.1105449999999999</v>
      </c>
      <c r="L2363">
        <v>283.98059999999998</v>
      </c>
      <c r="M2363">
        <v>-0.99958829999999999</v>
      </c>
      <c r="N2363">
        <v>-1.4689509999999999E-2</v>
      </c>
      <c r="O2363">
        <v>-2.4650020000000002E-2</v>
      </c>
      <c r="P2363">
        <v>-0.93552409999999997</v>
      </c>
      <c r="Q2363">
        <v>0.3413892</v>
      </c>
      <c r="R2363">
        <v>-9.0820449999999997E-2</v>
      </c>
      <c r="S2363">
        <v>-3.3568120000000001</v>
      </c>
      <c r="T2363">
        <v>-0.37716499999999997</v>
      </c>
      <c r="U2363">
        <v>0.13403319999999999</v>
      </c>
      <c r="V2363">
        <v>-6.7775360000000007E-2</v>
      </c>
      <c r="W2363">
        <v>0.35511490000000001</v>
      </c>
      <c r="X2363">
        <v>0.93236260000000004</v>
      </c>
      <c r="Y2363">
        <v>6.3946080000000002E-2</v>
      </c>
      <c r="Z2363">
        <v>6.4503069999999997E-3</v>
      </c>
      <c r="AA2363">
        <v>0.9979325</v>
      </c>
      <c r="AB2363">
        <v>46</v>
      </c>
      <c r="AC2363">
        <v>-0.60910000000001197</v>
      </c>
      <c r="AD2363">
        <v>-0.104384</v>
      </c>
      <c r="AE2363">
        <v>4.5400000000029202E-2</v>
      </c>
      <c r="AF2363">
        <v>5.8688055310635701E-2</v>
      </c>
      <c r="AG2363">
        <v>-0.104384</v>
      </c>
      <c r="AH2363">
        <v>0.59054761918860299</v>
      </c>
      <c r="AI2363">
        <v>99.975801440145403</v>
      </c>
      <c r="AJ2363">
        <v>84.324635165163301</v>
      </c>
      <c r="AK2363">
        <v>0.60256684095747604</v>
      </c>
      <c r="AL2363">
        <v>69.199514693231606</v>
      </c>
      <c r="AM2363">
        <v>94.157635481618499</v>
      </c>
      <c r="AN2363">
        <v>1.0000000547519401</v>
      </c>
    </row>
    <row r="2364" spans="1:40" x14ac:dyDescent="0.25">
      <c r="A2364" t="str">
        <f>"20190304164415981"</f>
        <v>20190304164415981</v>
      </c>
      <c r="B2364" t="str">
        <f>"1551689055971861"</f>
        <v>1551689055971861</v>
      </c>
      <c r="C2364" t="s">
        <v>40</v>
      </c>
      <c r="D2364">
        <v>5.3308920000000004</v>
      </c>
      <c r="E2364">
        <v>0.56856479999999998</v>
      </c>
      <c r="F2364" t="s">
        <v>41</v>
      </c>
      <c r="G2364">
        <v>-432.24110000000002</v>
      </c>
      <c r="H2364">
        <v>0.99737739999999997</v>
      </c>
      <c r="I2364">
        <v>284.0224</v>
      </c>
      <c r="J2364">
        <v>-431.67759999999998</v>
      </c>
      <c r="K2364">
        <v>1.110538</v>
      </c>
      <c r="L2364">
        <v>283.96940000000001</v>
      </c>
      <c r="M2364">
        <v>-0.99958829999999999</v>
      </c>
      <c r="N2364">
        <v>-1.468649E-2</v>
      </c>
      <c r="O2364">
        <v>-2.465144E-2</v>
      </c>
      <c r="P2364">
        <v>-0.93553430000000004</v>
      </c>
      <c r="Q2364">
        <v>0.34142600000000001</v>
      </c>
      <c r="R2364">
        <v>-9.0575249999999996E-2</v>
      </c>
      <c r="S2364">
        <v>-3.3564150000000001</v>
      </c>
      <c r="T2364">
        <v>-0.37352940000000001</v>
      </c>
      <c r="U2364">
        <v>0.13729859999999999</v>
      </c>
      <c r="V2364">
        <v>-6.7517839999999996E-2</v>
      </c>
      <c r="W2364">
        <v>0.35515099999999999</v>
      </c>
      <c r="X2364">
        <v>0.93236750000000002</v>
      </c>
      <c r="Y2364">
        <v>6.4925280000000002E-2</v>
      </c>
      <c r="Z2364">
        <v>6.4517940000000003E-3</v>
      </c>
      <c r="AA2364">
        <v>0.99786929999999996</v>
      </c>
      <c r="AB2364">
        <v>46</v>
      </c>
      <c r="AC2364">
        <v>-0.56350000000003297</v>
      </c>
      <c r="AD2364">
        <v>-0.1131606</v>
      </c>
      <c r="AE2364">
        <v>5.2999999999997202E-2</v>
      </c>
      <c r="AF2364">
        <v>6.4305909429279398E-2</v>
      </c>
      <c r="AG2364">
        <v>-0.1131606</v>
      </c>
      <c r="AH2364">
        <v>0.54041932954412397</v>
      </c>
      <c r="AI2364">
        <v>101.74598497374799</v>
      </c>
      <c r="AJ2364">
        <v>83.214132883460593</v>
      </c>
      <c r="AK2364">
        <v>0.55587194849606103</v>
      </c>
      <c r="AL2364">
        <v>69.197301403982294</v>
      </c>
      <c r="AM2364">
        <v>94.141871475367694</v>
      </c>
      <c r="AN2364">
        <v>1.00000002328775</v>
      </c>
    </row>
    <row r="2365" spans="1:40" x14ac:dyDescent="0.25">
      <c r="A2365" t="str">
        <f>"20190304164416003"</f>
        <v>20190304164416003</v>
      </c>
      <c r="B2365" t="str">
        <f>"1551689055992357"</f>
        <v>1551689055992357</v>
      </c>
      <c r="C2365" t="s">
        <v>40</v>
      </c>
      <c r="D2365">
        <v>5.3349840000000004</v>
      </c>
      <c r="E2365">
        <v>0.56865719999999997</v>
      </c>
      <c r="F2365" t="s">
        <v>41</v>
      </c>
      <c r="G2365">
        <v>-432.6549</v>
      </c>
      <c r="H2365">
        <v>1.0019709999999999</v>
      </c>
      <c r="I2365">
        <v>284.01029999999997</v>
      </c>
      <c r="J2365">
        <v>-432.1309</v>
      </c>
      <c r="K2365">
        <v>1.11053</v>
      </c>
      <c r="L2365">
        <v>283.9581</v>
      </c>
      <c r="M2365">
        <v>-0.99958840000000004</v>
      </c>
      <c r="N2365">
        <v>-1.4683460000000001E-2</v>
      </c>
      <c r="O2365">
        <v>-2.465289E-2</v>
      </c>
      <c r="P2365">
        <v>-0.93556340000000004</v>
      </c>
      <c r="Q2365">
        <v>0.34141189999999999</v>
      </c>
      <c r="R2365">
        <v>-9.0326039999999996E-2</v>
      </c>
      <c r="S2365">
        <v>-3.356293</v>
      </c>
      <c r="T2365">
        <v>-0.3729845</v>
      </c>
      <c r="U2365">
        <v>0.13916020000000001</v>
      </c>
      <c r="V2365">
        <v>-6.7257719999999993E-2</v>
      </c>
      <c r="W2365">
        <v>0.35513630000000002</v>
      </c>
      <c r="X2365">
        <v>0.93239190000000005</v>
      </c>
      <c r="Y2365">
        <v>6.5478469999999997E-2</v>
      </c>
      <c r="Z2365">
        <v>6.4775980000000002E-3</v>
      </c>
      <c r="AA2365">
        <v>0.99783299999999997</v>
      </c>
      <c r="AB2365">
        <v>46</v>
      </c>
      <c r="AC2365">
        <v>-0.52400000000000002</v>
      </c>
      <c r="AD2365">
        <v>-0.108559</v>
      </c>
      <c r="AE2365">
        <v>5.21999999999707E-2</v>
      </c>
      <c r="AF2365">
        <v>6.2449580935357803E-2</v>
      </c>
      <c r="AG2365">
        <v>-0.108559</v>
      </c>
      <c r="AH2365">
        <v>0.50125093719291902</v>
      </c>
      <c r="AI2365">
        <v>102.12920432881501</v>
      </c>
      <c r="AJ2365">
        <v>82.898258006465994</v>
      </c>
      <c r="AK2365">
        <v>0.51665995458984504</v>
      </c>
      <c r="AL2365">
        <v>69.198202397159804</v>
      </c>
      <c r="AM2365">
        <v>94.125862067704801</v>
      </c>
      <c r="AN2365">
        <v>1.0000000238314399</v>
      </c>
    </row>
    <row r="2366" spans="1:40" x14ac:dyDescent="0.25">
      <c r="A2366" t="str">
        <f>"20190304164416017"</f>
        <v>20190304164416017</v>
      </c>
      <c r="B2366" t="str">
        <f>"1551689056011877"</f>
        <v>1551689056011877</v>
      </c>
      <c r="C2366" t="s">
        <v>40</v>
      </c>
      <c r="D2366">
        <v>5.3687290000000001</v>
      </c>
      <c r="E2366">
        <v>0.56872719999999999</v>
      </c>
      <c r="F2366" t="s">
        <v>41</v>
      </c>
      <c r="G2366">
        <v>-433.0684</v>
      </c>
      <c r="H2366">
        <v>1.006432</v>
      </c>
      <c r="I2366">
        <v>283.99759999999998</v>
      </c>
      <c r="J2366">
        <v>-432.41520000000003</v>
      </c>
      <c r="K2366">
        <v>1.1105240000000001</v>
      </c>
      <c r="L2366">
        <v>283.9511</v>
      </c>
      <c r="M2366">
        <v>-0.99958829999999999</v>
      </c>
      <c r="N2366">
        <v>-1.468157E-2</v>
      </c>
      <c r="O2366">
        <v>-2.4654559999999999E-2</v>
      </c>
      <c r="P2366">
        <v>-0.93547840000000004</v>
      </c>
      <c r="Q2366">
        <v>0.34154410000000002</v>
      </c>
      <c r="R2366">
        <v>-9.0709650000000003E-2</v>
      </c>
      <c r="S2366">
        <v>-3.3562620000000001</v>
      </c>
      <c r="T2366">
        <v>-0.37276569999999998</v>
      </c>
      <c r="U2366">
        <v>0.14132690000000001</v>
      </c>
      <c r="V2366">
        <v>-6.7636059999999998E-2</v>
      </c>
      <c r="W2366">
        <v>0.35526590000000002</v>
      </c>
      <c r="X2366">
        <v>0.93231509999999995</v>
      </c>
      <c r="Y2366">
        <v>6.6119750000000005E-2</v>
      </c>
      <c r="Z2366">
        <v>6.5142359999999996E-3</v>
      </c>
      <c r="AA2366">
        <v>0.99779050000000002</v>
      </c>
      <c r="AB2366">
        <v>46</v>
      </c>
      <c r="AC2366">
        <v>-0.65319999999996903</v>
      </c>
      <c r="AD2366">
        <v>-0.104092</v>
      </c>
      <c r="AE2366">
        <v>4.6499999999980397E-2</v>
      </c>
      <c r="AF2366">
        <v>6.1049442899026703E-2</v>
      </c>
      <c r="AG2366">
        <v>-0.104092</v>
      </c>
      <c r="AH2366">
        <v>0.63579056946742996</v>
      </c>
      <c r="AI2366">
        <v>99.256176252619795</v>
      </c>
      <c r="AJ2366">
        <v>84.515199776348297</v>
      </c>
      <c r="AK2366">
        <v>0.64714127295823098</v>
      </c>
      <c r="AL2366">
        <v>69.190257715544206</v>
      </c>
      <c r="AM2366">
        <v>94.1493307401701</v>
      </c>
      <c r="AN2366">
        <v>0.99999997100157101</v>
      </c>
    </row>
    <row r="2367" spans="1:40" x14ac:dyDescent="0.25">
      <c r="A2367" t="str">
        <f>"20190304164416038"</f>
        <v>20190304164416038</v>
      </c>
      <c r="B2367" t="str">
        <f>"1551689056032373"</f>
        <v>1551689056032373</v>
      </c>
      <c r="C2367" t="s">
        <v>40</v>
      </c>
      <c r="D2367">
        <v>5.3435819999999996</v>
      </c>
      <c r="E2367">
        <v>0.56878469999999903</v>
      </c>
      <c r="F2367" t="s">
        <v>41</v>
      </c>
      <c r="G2367">
        <v>-433.47309999999999</v>
      </c>
      <c r="H2367">
        <v>0.9933187</v>
      </c>
      <c r="I2367">
        <v>283.99590000000001</v>
      </c>
      <c r="J2367">
        <v>-432.85079999999999</v>
      </c>
      <c r="K2367">
        <v>1.110514</v>
      </c>
      <c r="L2367">
        <v>283.94040000000001</v>
      </c>
      <c r="M2367">
        <v>-0.99958820000000004</v>
      </c>
      <c r="N2367">
        <v>-1.467868E-2</v>
      </c>
      <c r="O2367">
        <v>-2.465736E-2</v>
      </c>
      <c r="P2367">
        <v>-0.93530000000000002</v>
      </c>
      <c r="Q2367">
        <v>0.34203889999999998</v>
      </c>
      <c r="R2367">
        <v>-9.068553E-2</v>
      </c>
      <c r="S2367">
        <v>-3.3564150000000001</v>
      </c>
      <c r="T2367">
        <v>-0.37198700000000001</v>
      </c>
      <c r="U2367">
        <v>0.14147950000000001</v>
      </c>
      <c r="V2367">
        <v>-6.7606089999999994E-2</v>
      </c>
      <c r="W2367">
        <v>0.35575709999999999</v>
      </c>
      <c r="X2367">
        <v>0.93213000000000001</v>
      </c>
      <c r="Y2367">
        <v>6.6167989999999996E-2</v>
      </c>
      <c r="Z2367">
        <v>6.5039340000000003E-3</v>
      </c>
      <c r="AA2367">
        <v>0.99778730000000004</v>
      </c>
      <c r="AB2367">
        <v>46</v>
      </c>
      <c r="AC2367">
        <v>-0.62229999999999497</v>
      </c>
      <c r="AD2367">
        <v>-0.1171953</v>
      </c>
      <c r="AE2367">
        <v>5.5499999999994998E-2</v>
      </c>
      <c r="AF2367">
        <v>6.8421514721941301E-2</v>
      </c>
      <c r="AG2367">
        <v>-0.1171953</v>
      </c>
      <c r="AH2367">
        <v>0.599642606007739</v>
      </c>
      <c r="AI2367">
        <v>100.989046069922</v>
      </c>
      <c r="AJ2367">
        <v>83.490485609464997</v>
      </c>
      <c r="AK2367">
        <v>0.61480687777438503</v>
      </c>
      <c r="AL2367">
        <v>69.160147956985199</v>
      </c>
      <c r="AM2367">
        <v>94.148319285620403</v>
      </c>
      <c r="AN2367">
        <v>1.0000000172527399</v>
      </c>
    </row>
    <row r="2368" spans="1:40" x14ac:dyDescent="0.25">
      <c r="A2368" t="str">
        <f>"20190304164416060"</f>
        <v>20190304164416060</v>
      </c>
      <c r="B2368" t="str">
        <f>"1551689056051893"</f>
        <v>1551689056051893</v>
      </c>
      <c r="C2368" t="s">
        <v>40</v>
      </c>
      <c r="D2368">
        <v>5.4891920000000001</v>
      </c>
      <c r="E2368">
        <v>0.5688164</v>
      </c>
      <c r="F2368" t="s">
        <v>41</v>
      </c>
      <c r="G2368">
        <v>-433.88529999999997</v>
      </c>
      <c r="H2368">
        <v>0.99644200000000005</v>
      </c>
      <c r="I2368">
        <v>283.98439999999999</v>
      </c>
      <c r="J2368">
        <v>-433.29680000000002</v>
      </c>
      <c r="K2368">
        <v>1.110514</v>
      </c>
      <c r="L2368">
        <v>283.92930000000001</v>
      </c>
      <c r="M2368">
        <v>-0.99958829999999999</v>
      </c>
      <c r="N2368">
        <v>-1.4675759999999999E-2</v>
      </c>
      <c r="O2368">
        <v>-2.4660319999999999E-2</v>
      </c>
      <c r="P2368">
        <v>-0.9351585</v>
      </c>
      <c r="Q2368">
        <v>0.34233219999999998</v>
      </c>
      <c r="R2368">
        <v>-9.1035920000000006E-2</v>
      </c>
      <c r="S2368">
        <v>-3.3567200000000001</v>
      </c>
      <c r="T2368">
        <v>-0.37019210000000002</v>
      </c>
      <c r="U2368">
        <v>0.1423645</v>
      </c>
      <c r="V2368">
        <v>-6.7951419999999998E-2</v>
      </c>
      <c r="W2368">
        <v>0.35604730000000001</v>
      </c>
      <c r="X2368">
        <v>0.93199410000000005</v>
      </c>
      <c r="Y2368">
        <v>6.6433389999999995E-2</v>
      </c>
      <c r="Z2368">
        <v>6.4895169999999898E-3</v>
      </c>
      <c r="AA2368">
        <v>0.99776980000000004</v>
      </c>
      <c r="AB2368">
        <v>46</v>
      </c>
      <c r="AC2368">
        <v>-0.58849999999995295</v>
      </c>
      <c r="AD2368">
        <v>-0.11407199999999899</v>
      </c>
      <c r="AE2368">
        <v>5.5099999999981698E-2</v>
      </c>
      <c r="AF2368">
        <v>6.7098285116492601E-2</v>
      </c>
      <c r="AG2368">
        <v>-0.11407199999999899</v>
      </c>
      <c r="AH2368">
        <v>0.56588533791503803</v>
      </c>
      <c r="AI2368">
        <v>101.319803960735</v>
      </c>
      <c r="AJ2368">
        <v>83.237884212032398</v>
      </c>
      <c r="AK2368">
        <v>0.58115472700201898</v>
      </c>
      <c r="AL2368">
        <v>69.142356217069505</v>
      </c>
      <c r="AM2368">
        <v>94.170040072373794</v>
      </c>
      <c r="AN2368">
        <v>1.0000000388760499</v>
      </c>
    </row>
    <row r="2369" spans="1:40" x14ac:dyDescent="0.25">
      <c r="A2369" t="str">
        <f>"20190304164416082"</f>
        <v>20190304164416082</v>
      </c>
      <c r="B2369" t="str">
        <f>"1551689056072389"</f>
        <v>1551689056072389</v>
      </c>
      <c r="C2369" t="s">
        <v>40</v>
      </c>
      <c r="D2369">
        <v>5.5866049999999996</v>
      </c>
      <c r="E2369">
        <v>0.553363099999999</v>
      </c>
      <c r="F2369" t="s">
        <v>41</v>
      </c>
      <c r="G2369">
        <v>-434.2978</v>
      </c>
      <c r="H2369">
        <v>1.0007200000000001</v>
      </c>
      <c r="I2369">
        <v>283.97250000000003</v>
      </c>
      <c r="J2369">
        <v>-433.74590000000001</v>
      </c>
      <c r="K2369">
        <v>1.110511</v>
      </c>
      <c r="L2369">
        <v>283.91829999999999</v>
      </c>
      <c r="M2369">
        <v>-0.99958820000000004</v>
      </c>
      <c r="N2369">
        <v>-1.4672849999999999E-2</v>
      </c>
      <c r="O2369">
        <v>-2.466223E-2</v>
      </c>
      <c r="P2369">
        <v>-0.93497149999999996</v>
      </c>
      <c r="Q2369">
        <v>0.34271560000000001</v>
      </c>
      <c r="R2369">
        <v>-9.151165E-2</v>
      </c>
      <c r="S2369">
        <v>-3.3568419999999999</v>
      </c>
      <c r="T2369">
        <v>-0.36847619999999998</v>
      </c>
      <c r="U2369">
        <v>0.14288329999999999</v>
      </c>
      <c r="V2369">
        <v>-6.8424780000000004E-2</v>
      </c>
      <c r="W2369">
        <v>0.35642590000000002</v>
      </c>
      <c r="X2369">
        <v>0.9318147</v>
      </c>
      <c r="Y2369">
        <v>6.6591800000000007E-2</v>
      </c>
      <c r="Z2369">
        <v>6.4699270000000003E-3</v>
      </c>
      <c r="AA2369">
        <v>0.99775930000000002</v>
      </c>
      <c r="AB2369">
        <v>46</v>
      </c>
      <c r="AC2369">
        <v>-0.55189999999998895</v>
      </c>
      <c r="AD2369">
        <v>-0.109790999999999</v>
      </c>
      <c r="AE2369">
        <v>5.42000000000371E-2</v>
      </c>
      <c r="AF2369">
        <v>6.5238940482008595E-2</v>
      </c>
      <c r="AG2369">
        <v>-0.109790999999999</v>
      </c>
      <c r="AH2369">
        <v>0.529635548310188</v>
      </c>
      <c r="AI2369">
        <v>101.625833657193</v>
      </c>
      <c r="AJ2369">
        <v>82.977847497669302</v>
      </c>
      <c r="AK2369">
        <v>0.54481556243379103</v>
      </c>
      <c r="AL2369">
        <v>69.119140257019694</v>
      </c>
      <c r="AM2369">
        <v>94.199791194866506</v>
      </c>
      <c r="AN2369">
        <v>1.0000000039224699</v>
      </c>
    </row>
    <row r="2370" spans="1:40" x14ac:dyDescent="0.25">
      <c r="A2370" t="str">
        <f>"20190304164416103"</f>
        <v>20190304164416103</v>
      </c>
      <c r="B2370" t="str">
        <f>"1551689056091909"</f>
        <v>1551689056091909</v>
      </c>
      <c r="C2370" t="s">
        <v>40</v>
      </c>
      <c r="D2370">
        <v>5.3056789999999996</v>
      </c>
      <c r="E2370">
        <v>0.49555569999999999</v>
      </c>
      <c r="F2370" t="s">
        <v>41</v>
      </c>
      <c r="G2370">
        <v>-434.7244</v>
      </c>
      <c r="H2370">
        <v>1.0352619999999999</v>
      </c>
      <c r="I2370">
        <v>283.92689999999999</v>
      </c>
      <c r="J2370">
        <v>-434.19389999999999</v>
      </c>
      <c r="K2370">
        <v>1.1104969999999901</v>
      </c>
      <c r="L2370">
        <v>283.90719999999999</v>
      </c>
      <c r="M2370">
        <v>-0.99958840000000004</v>
      </c>
      <c r="N2370">
        <v>-1.4669990000000001E-2</v>
      </c>
      <c r="O2370">
        <v>-2.4659230000000001E-2</v>
      </c>
      <c r="P2370">
        <v>-0.93513420000000003</v>
      </c>
      <c r="Q2370">
        <v>0.34205999999999998</v>
      </c>
      <c r="R2370">
        <v>-9.2300049999999995E-2</v>
      </c>
      <c r="S2370">
        <v>-3.3046570000000002</v>
      </c>
      <c r="T2370">
        <v>-0.2540712</v>
      </c>
      <c r="U2370">
        <v>2.9510499999999999E-2</v>
      </c>
      <c r="V2370">
        <v>-6.9206149999999994E-2</v>
      </c>
      <c r="W2370">
        <v>0.35577140000000002</v>
      </c>
      <c r="X2370">
        <v>0.93200709999999998</v>
      </c>
      <c r="Y2370">
        <v>3.3422649999999998E-2</v>
      </c>
      <c r="Z2370">
        <v>3.060096E-3</v>
      </c>
      <c r="AA2370">
        <v>0.99943660000000001</v>
      </c>
      <c r="AB2370">
        <v>46</v>
      </c>
      <c r="AC2370">
        <v>-0.53050000000001696</v>
      </c>
      <c r="AD2370">
        <v>-7.5234999999999705E-2</v>
      </c>
      <c r="AE2370">
        <v>1.97000000000002E-2</v>
      </c>
      <c r="AF2370">
        <v>3.2131771171095697E-2</v>
      </c>
      <c r="AG2370">
        <v>-7.5234999999999705E-2</v>
      </c>
      <c r="AH2370">
        <v>0.51942028250702799</v>
      </c>
      <c r="AI2370">
        <v>98.226133629063796</v>
      </c>
      <c r="AJ2370">
        <v>86.460146166827798</v>
      </c>
      <c r="AK2370">
        <v>0.52582334088862204</v>
      </c>
      <c r="AL2370">
        <v>69.159271054878602</v>
      </c>
      <c r="AM2370">
        <v>94.246702109372094</v>
      </c>
      <c r="AN2370">
        <v>1.0000000073530899</v>
      </c>
    </row>
    <row r="2371" spans="1:40" x14ac:dyDescent="0.25">
      <c r="A2371" t="str">
        <f>"20190304164416117"</f>
        <v>20190304164416117</v>
      </c>
      <c r="B2371" t="str">
        <f>"1551689056112405"</f>
        <v>1551689056112405</v>
      </c>
      <c r="C2371" t="s">
        <v>40</v>
      </c>
      <c r="D2371">
        <v>5.2338709999999997</v>
      </c>
      <c r="E2371">
        <v>0.4906394</v>
      </c>
      <c r="F2371" t="s">
        <v>45</v>
      </c>
      <c r="G2371">
        <v>-447.87740000000002</v>
      </c>
      <c r="H2371" s="1">
        <v>2.7655009999999999E-6</v>
      </c>
      <c r="I2371">
        <v>282.09219999999999</v>
      </c>
      <c r="J2371">
        <v>-434.4726</v>
      </c>
      <c r="K2371">
        <v>1.1104909999999999</v>
      </c>
      <c r="L2371">
        <v>283.90030000000002</v>
      </c>
      <c r="M2371">
        <v>-0.99958849999999999</v>
      </c>
      <c r="N2371">
        <v>-1.4668219999999999E-2</v>
      </c>
      <c r="O2371">
        <v>-2.4651490000000002E-2</v>
      </c>
      <c r="P2371">
        <v>-0.93533100000000002</v>
      </c>
      <c r="Q2371">
        <v>0.34135460000000001</v>
      </c>
      <c r="R2371">
        <v>-9.2916120000000005E-2</v>
      </c>
      <c r="S2371">
        <v>-3.262238</v>
      </c>
      <c r="T2371">
        <v>-0.26474959999999997</v>
      </c>
      <c r="U2371">
        <v>-0.4327087</v>
      </c>
      <c r="V2371">
        <v>-6.981938E-2</v>
      </c>
      <c r="W2371">
        <v>0.35506850000000001</v>
      </c>
      <c r="X2371">
        <v>0.93222939999999999</v>
      </c>
      <c r="Y2371">
        <v>-0.10665570000000001</v>
      </c>
      <c r="Z2371">
        <v>-3.4612179999999998E-3</v>
      </c>
      <c r="AA2371">
        <v>0.99429000000000001</v>
      </c>
      <c r="AB2371">
        <v>46</v>
      </c>
      <c r="AC2371">
        <v>-13.4048</v>
      </c>
      <c r="AD2371">
        <v>-1.1104882344989999</v>
      </c>
      <c r="AE2371">
        <v>-1.80810000000002</v>
      </c>
      <c r="AF2371">
        <v>-1.46717740615276</v>
      </c>
      <c r="AG2371">
        <v>-1.1104882344989999</v>
      </c>
      <c r="AH2371">
        <v>13.3552845194915</v>
      </c>
      <c r="AI2371">
        <v>94.724897876013202</v>
      </c>
      <c r="AJ2371">
        <v>96.269228093177702</v>
      </c>
      <c r="AK2371">
        <v>13.481447187029101</v>
      </c>
      <c r="AL2371">
        <v>69.202357787896602</v>
      </c>
      <c r="AM2371">
        <v>94.283174487467505</v>
      </c>
      <c r="AN2371">
        <v>1.00000001987009</v>
      </c>
    </row>
    <row r="2372" spans="1:40" x14ac:dyDescent="0.25">
      <c r="A2372" t="str">
        <f>"20190304164416132"</f>
        <v>20190304164416132</v>
      </c>
      <c r="B2372" t="str">
        <f>"1551689056122165"</f>
        <v>1551689056122165</v>
      </c>
      <c r="C2372" t="s">
        <v>40</v>
      </c>
      <c r="D2372">
        <v>5.2988470000000003</v>
      </c>
      <c r="E2372">
        <v>0.49000749999999998</v>
      </c>
      <c r="F2372" t="s">
        <v>45</v>
      </c>
      <c r="G2372">
        <v>-447.1524</v>
      </c>
      <c r="H2372" s="1">
        <v>2.38121E-6</v>
      </c>
      <c r="I2372">
        <v>282.05739999999997</v>
      </c>
      <c r="J2372">
        <v>-434.79989999999998</v>
      </c>
      <c r="K2372">
        <v>1.1104810000000001</v>
      </c>
      <c r="L2372">
        <v>283.8922</v>
      </c>
      <c r="M2372">
        <v>-0.99958910000000001</v>
      </c>
      <c r="N2372">
        <v>-1.4666139999999999E-2</v>
      </c>
      <c r="O2372">
        <v>-2.4630780000000001E-2</v>
      </c>
      <c r="P2372">
        <v>-0.9354981</v>
      </c>
      <c r="Q2372">
        <v>0.340746299999999</v>
      </c>
      <c r="R2372">
        <v>-9.3464710000000006E-2</v>
      </c>
      <c r="S2372">
        <v>-3.2645870000000001</v>
      </c>
      <c r="T2372">
        <v>-0.28591060000000001</v>
      </c>
      <c r="U2372">
        <v>-0.4744873</v>
      </c>
      <c r="V2372">
        <v>-7.0374530000000005E-2</v>
      </c>
      <c r="W2372">
        <v>0.35446309999999998</v>
      </c>
      <c r="X2372">
        <v>0.93241799999999997</v>
      </c>
      <c r="Y2372">
        <v>-0.1189537</v>
      </c>
      <c r="Z2372">
        <v>-4.2690619999999997E-3</v>
      </c>
      <c r="AA2372">
        <v>0.99289070000000001</v>
      </c>
      <c r="AB2372">
        <v>46</v>
      </c>
      <c r="AC2372">
        <v>-12.352499999999999</v>
      </c>
      <c r="AD2372">
        <v>-1.11047861879</v>
      </c>
      <c r="AE2372">
        <v>-1.83480000000002</v>
      </c>
      <c r="AF2372">
        <v>-1.5179557542098201</v>
      </c>
      <c r="AG2372">
        <v>-1.11047861879</v>
      </c>
      <c r="AH2372">
        <v>12.296714194123</v>
      </c>
      <c r="AI2372">
        <v>95.121543584727604</v>
      </c>
      <c r="AJ2372">
        <v>97.0372197111259</v>
      </c>
      <c r="AK2372">
        <v>12.439715929492699</v>
      </c>
      <c r="AL2372">
        <v>69.239457281644206</v>
      </c>
      <c r="AM2372">
        <v>94.316232829257899</v>
      </c>
      <c r="AN2372">
        <v>0.99999999522916505</v>
      </c>
    </row>
    <row r="2373" spans="1:40" x14ac:dyDescent="0.25">
      <c r="A2373" t="str">
        <f>"20190304164416148"</f>
        <v>20190304164416148</v>
      </c>
      <c r="B2373" t="str">
        <f>"1551689056142661"</f>
        <v>1551689056142661</v>
      </c>
      <c r="C2373" t="s">
        <v>40</v>
      </c>
      <c r="D2373">
        <v>5.2248530000000004</v>
      </c>
      <c r="E2373">
        <v>0.48934650000000002</v>
      </c>
      <c r="F2373" t="s">
        <v>45</v>
      </c>
      <c r="G2373">
        <v>-447.07560000000001</v>
      </c>
      <c r="H2373" s="1">
        <v>2.3392419999999999E-6</v>
      </c>
      <c r="I2373">
        <v>282.08269999999999</v>
      </c>
      <c r="J2373">
        <v>-435.11579999999998</v>
      </c>
      <c r="K2373">
        <v>1.110465</v>
      </c>
      <c r="L2373">
        <v>283.88440000000003</v>
      </c>
      <c r="M2373">
        <v>-0.99959030000000004</v>
      </c>
      <c r="N2373">
        <v>-1.4664140000000001E-2</v>
      </c>
      <c r="O2373">
        <v>-2.45837E-2</v>
      </c>
      <c r="P2373">
        <v>-0.93539130000000004</v>
      </c>
      <c r="Q2373">
        <v>0.3406979</v>
      </c>
      <c r="R2373">
        <v>-9.4700199999999998E-2</v>
      </c>
      <c r="S2373">
        <v>-3.2663880000000001</v>
      </c>
      <c r="T2373">
        <v>-0.295483099999999</v>
      </c>
      <c r="U2373">
        <v>-0.48147580000000001</v>
      </c>
      <c r="V2373">
        <v>-7.1639880000000003E-2</v>
      </c>
      <c r="W2373">
        <v>0.35441489999999998</v>
      </c>
      <c r="X2373">
        <v>0.93233999999999995</v>
      </c>
      <c r="Y2373">
        <v>-0.12096560000000001</v>
      </c>
      <c r="Z2373">
        <v>-4.4767030000000003E-3</v>
      </c>
      <c r="AA2373">
        <v>0.99264660000000005</v>
      </c>
      <c r="AB2373">
        <v>46</v>
      </c>
      <c r="AC2373">
        <v>-11.9598</v>
      </c>
      <c r="AD2373">
        <v>-1.1104626607579999</v>
      </c>
      <c r="AE2373">
        <v>-1.8017000000000301</v>
      </c>
      <c r="AF2373">
        <v>-1.4945093092153701</v>
      </c>
      <c r="AG2373">
        <v>-1.1104626607579999</v>
      </c>
      <c r="AH2373">
        <v>11.9001665616507</v>
      </c>
      <c r="AI2373">
        <v>95.289796860903706</v>
      </c>
      <c r="AJ2373">
        <v>97.158143802848798</v>
      </c>
      <c r="AK2373">
        <v>12.0449429052735</v>
      </c>
      <c r="AL2373">
        <v>69.242411531671195</v>
      </c>
      <c r="AM2373">
        <v>94.393904601311704</v>
      </c>
      <c r="AN2373">
        <v>1.0000000346742099</v>
      </c>
    </row>
    <row r="2374" spans="1:40" x14ac:dyDescent="0.25">
      <c r="A2374" t="str">
        <f>"20190304164416170"</f>
        <v>20190304164416170</v>
      </c>
      <c r="B2374" t="str">
        <f>"1551689056162181"</f>
        <v>1551689056162181</v>
      </c>
      <c r="C2374" t="s">
        <v>40</v>
      </c>
      <c r="D2374">
        <v>5.2097559999999996</v>
      </c>
      <c r="E2374">
        <v>0.48904219999999998</v>
      </c>
      <c r="F2374" t="s">
        <v>45</v>
      </c>
      <c r="G2374">
        <v>-447.12349999999998</v>
      </c>
      <c r="H2374" s="1">
        <v>2.3648140000000002E-6</v>
      </c>
      <c r="I2374">
        <v>282.08069999999998</v>
      </c>
      <c r="J2374">
        <v>-435.57260000000002</v>
      </c>
      <c r="K2374">
        <v>1.1104179999999999</v>
      </c>
      <c r="L2374">
        <v>283.87329999999997</v>
      </c>
      <c r="M2374">
        <v>-0.99959339999999997</v>
      </c>
      <c r="N2374">
        <v>-1.4661250000000001E-2</v>
      </c>
      <c r="O2374">
        <v>-2.445276E-2</v>
      </c>
      <c r="P2374">
        <v>-0.93480600000000003</v>
      </c>
      <c r="Q2374">
        <v>0.34172209999999997</v>
      </c>
      <c r="R2374">
        <v>-9.6765119999999996E-2</v>
      </c>
      <c r="S2374">
        <v>-3.2675480000000001</v>
      </c>
      <c r="T2374">
        <v>-0.30217909999999998</v>
      </c>
      <c r="U2374">
        <v>-0.49081419999999998</v>
      </c>
      <c r="V2374">
        <v>-7.3799009999999998E-2</v>
      </c>
      <c r="W2374">
        <v>0.35543760000000002</v>
      </c>
      <c r="X2374">
        <v>0.93178209999999995</v>
      </c>
      <c r="Y2374">
        <v>-0.1237862</v>
      </c>
      <c r="Z2374">
        <v>-4.7079340000000004E-3</v>
      </c>
      <c r="AA2374">
        <v>0.99229780000000001</v>
      </c>
      <c r="AB2374">
        <v>46</v>
      </c>
      <c r="AC2374">
        <v>-11.550899999999899</v>
      </c>
      <c r="AD2374">
        <v>-1.1104156351859999</v>
      </c>
      <c r="AE2374">
        <v>-1.79259999999999</v>
      </c>
      <c r="AF2374">
        <v>-1.4960813225796401</v>
      </c>
      <c r="AG2374">
        <v>-1.1104156351859999</v>
      </c>
      <c r="AH2374">
        <v>11.487618729536599</v>
      </c>
      <c r="AI2374">
        <v>95.475216004744794</v>
      </c>
      <c r="AJ2374">
        <v>97.420109788603796</v>
      </c>
      <c r="AK2374">
        <v>11.6377259927289</v>
      </c>
      <c r="AL2374">
        <v>69.179734438118302</v>
      </c>
      <c r="AM2374">
        <v>94.528487366946706</v>
      </c>
      <c r="AN2374">
        <v>1.0000000316255699</v>
      </c>
    </row>
    <row r="2375" spans="1:40" x14ac:dyDescent="0.25">
      <c r="A2375" t="str">
        <f>"20190304164416193"</f>
        <v>20190304164416193</v>
      </c>
      <c r="B2375" t="str">
        <f>"1551689056181701"</f>
        <v>1551689056181701</v>
      </c>
      <c r="C2375" t="s">
        <v>40</v>
      </c>
      <c r="D2375">
        <v>5.1650269999999896</v>
      </c>
      <c r="E2375">
        <v>0.48914869999999999</v>
      </c>
      <c r="F2375" t="s">
        <v>45</v>
      </c>
      <c r="G2375">
        <v>-447.5437</v>
      </c>
      <c r="H2375" s="1">
        <v>2.589854E-6</v>
      </c>
      <c r="I2375">
        <v>282.04840000000002</v>
      </c>
      <c r="J2375">
        <v>-436.02480000000003</v>
      </c>
      <c r="K2375">
        <v>1.110344</v>
      </c>
      <c r="L2375">
        <v>283.8623</v>
      </c>
      <c r="M2375">
        <v>-0.99959920000000002</v>
      </c>
      <c r="N2375">
        <v>-1.4658559999999999E-2</v>
      </c>
      <c r="O2375">
        <v>-2.421775E-2</v>
      </c>
      <c r="P2375">
        <v>-0.9342684</v>
      </c>
      <c r="Q2375">
        <v>0.34250120000000001</v>
      </c>
      <c r="R2375">
        <v>-9.9174250000000005E-2</v>
      </c>
      <c r="S2375">
        <v>-3.2684630000000001</v>
      </c>
      <c r="T2375">
        <v>-0.30317470000000002</v>
      </c>
      <c r="U2375">
        <v>-0.49823000000000001</v>
      </c>
      <c r="V2375">
        <v>-7.6372190000000006E-2</v>
      </c>
      <c r="W2375">
        <v>0.35622189999999998</v>
      </c>
      <c r="X2375">
        <v>0.93127510000000002</v>
      </c>
      <c r="Y2375">
        <v>-0.12616430000000001</v>
      </c>
      <c r="Z2375">
        <v>-4.8627509999999898E-3</v>
      </c>
      <c r="AA2375">
        <v>0.99199740000000003</v>
      </c>
      <c r="AB2375">
        <v>46</v>
      </c>
      <c r="AC2375">
        <v>-11.518899999999901</v>
      </c>
      <c r="AD2375">
        <v>-1.1103414101459901</v>
      </c>
      <c r="AE2375">
        <v>-1.8138999999999801</v>
      </c>
      <c r="AF2375">
        <v>-1.52058920875458</v>
      </c>
      <c r="AG2375">
        <v>-1.1103414101459901</v>
      </c>
      <c r="AH2375">
        <v>11.4555888583472</v>
      </c>
      <c r="AI2375">
        <v>95.488301195976206</v>
      </c>
      <c r="AJ2375">
        <v>97.561112988199</v>
      </c>
      <c r="AK2375">
        <v>11.6092879058259</v>
      </c>
      <c r="AL2375">
        <v>69.131650311289206</v>
      </c>
      <c r="AM2375">
        <v>94.688232250171296</v>
      </c>
      <c r="AN2375">
        <v>1.0000000326625</v>
      </c>
    </row>
    <row r="2376" spans="1:40" x14ac:dyDescent="0.25">
      <c r="A2376" t="str">
        <f>"20190304164416216"</f>
        <v>20190304164416216</v>
      </c>
      <c r="B2376" t="str">
        <f>"1551689056211957"</f>
        <v>1551689056211957</v>
      </c>
      <c r="C2376" t="s">
        <v>40</v>
      </c>
      <c r="D2376">
        <v>5.2082649999999999</v>
      </c>
      <c r="E2376">
        <v>0.48904740000000002</v>
      </c>
      <c r="F2376" t="s">
        <v>45</v>
      </c>
      <c r="G2376">
        <v>-447.99250000000001</v>
      </c>
      <c r="H2376" s="1">
        <v>2.8301319999999998E-6</v>
      </c>
      <c r="I2376">
        <v>282.01479999999998</v>
      </c>
      <c r="J2376">
        <v>-436.4846</v>
      </c>
      <c r="K2376">
        <v>1.1102350000000001</v>
      </c>
      <c r="L2376">
        <v>283.85149999999999</v>
      </c>
      <c r="M2376">
        <v>-0.99960879999999996</v>
      </c>
      <c r="N2376">
        <v>-1.465615E-2</v>
      </c>
      <c r="O2376">
        <v>-2.3822599999999999E-2</v>
      </c>
      <c r="P2376">
        <v>-0.93383590000000005</v>
      </c>
      <c r="Q2376">
        <v>0.34323920000000002</v>
      </c>
      <c r="R2376">
        <v>-0.1006865</v>
      </c>
      <c r="S2376">
        <v>-3.2686769999999998</v>
      </c>
      <c r="T2376">
        <v>-0.30326249999999999</v>
      </c>
      <c r="U2376">
        <v>-0.50460819999999995</v>
      </c>
      <c r="V2376">
        <v>-7.8163369999999996E-2</v>
      </c>
      <c r="W2376">
        <v>0.35697390000000001</v>
      </c>
      <c r="X2376">
        <v>0.93083839999999995</v>
      </c>
      <c r="Y2376">
        <v>-0.1284254</v>
      </c>
      <c r="Z2376">
        <v>-5.0142499999999996E-3</v>
      </c>
      <c r="AA2376">
        <v>0.99170650000000005</v>
      </c>
      <c r="AB2376">
        <v>46</v>
      </c>
      <c r="AC2376">
        <v>-11.507899999999999</v>
      </c>
      <c r="AD2376">
        <v>-1.110232169868</v>
      </c>
      <c r="AE2376">
        <v>-1.8367</v>
      </c>
      <c r="AF2376">
        <v>-1.54795135361331</v>
      </c>
      <c r="AG2376">
        <v>-1.110232169868</v>
      </c>
      <c r="AH2376">
        <v>11.4445186133366</v>
      </c>
      <c r="AI2376">
        <v>95.491230219619496</v>
      </c>
      <c r="AJ2376">
        <v>97.702909221495403</v>
      </c>
      <c r="AK2376">
        <v>11.6019728992603</v>
      </c>
      <c r="AL2376">
        <v>69.085531306584599</v>
      </c>
      <c r="AM2376">
        <v>94.7999196642822</v>
      </c>
      <c r="AN2376">
        <v>1.00000000230276</v>
      </c>
    </row>
    <row r="2377" spans="1:40" x14ac:dyDescent="0.25">
      <c r="A2377" t="str">
        <f>"20190304164416231"</f>
        <v>20190304164416231</v>
      </c>
      <c r="B2377" t="str">
        <f>"1551689056222695"</f>
        <v>1551689056222695</v>
      </c>
      <c r="C2377" t="s">
        <v>40</v>
      </c>
      <c r="D2377">
        <v>5.2138710000000001</v>
      </c>
      <c r="E2377">
        <v>0.48896309999999898</v>
      </c>
      <c r="F2377" t="s">
        <v>45</v>
      </c>
      <c r="G2377">
        <v>-448.49310000000003</v>
      </c>
      <c r="H2377" s="1">
        <v>3.098466E-6</v>
      </c>
      <c r="I2377">
        <v>281.9708</v>
      </c>
      <c r="J2377">
        <v>-436.80700000000002</v>
      </c>
      <c r="K2377">
        <v>1.110134</v>
      </c>
      <c r="L2377">
        <v>283.84410000000003</v>
      </c>
      <c r="M2377">
        <v>-0.99961809999999995</v>
      </c>
      <c r="N2377">
        <v>-1.465468E-2</v>
      </c>
      <c r="O2377">
        <v>-2.343164E-2</v>
      </c>
      <c r="P2377">
        <v>-0.93388660000000001</v>
      </c>
      <c r="Q2377">
        <v>0.3429991</v>
      </c>
      <c r="R2377">
        <v>-0.10103289999999999</v>
      </c>
      <c r="S2377">
        <v>-3.2684329999999999</v>
      </c>
      <c r="T2377">
        <v>-0.30217830000000001</v>
      </c>
      <c r="U2377">
        <v>-0.51187130000000003</v>
      </c>
      <c r="V2377">
        <v>-7.8783850000000002E-2</v>
      </c>
      <c r="W2377">
        <v>0.3567534</v>
      </c>
      <c r="X2377">
        <v>0.93087070000000005</v>
      </c>
      <c r="Y2377">
        <v>-0.130966</v>
      </c>
      <c r="Z2377">
        <v>-5.166019E-3</v>
      </c>
      <c r="AA2377">
        <v>0.99137339999999996</v>
      </c>
      <c r="AB2377">
        <v>46</v>
      </c>
      <c r="AC2377">
        <v>-11.6861</v>
      </c>
      <c r="AD2377">
        <v>-1.110130901534</v>
      </c>
      <c r="AE2377">
        <v>-1.8733000000000199</v>
      </c>
      <c r="AF2377">
        <v>-1.58498676656737</v>
      </c>
      <c r="AG2377">
        <v>-1.110130901534</v>
      </c>
      <c r="AH2377">
        <v>11.6245160145998</v>
      </c>
      <c r="AI2377">
        <v>95.405437745265004</v>
      </c>
      <c r="AJ2377">
        <v>97.764321590117305</v>
      </c>
      <c r="AK2377">
        <v>11.7844790399245</v>
      </c>
      <c r="AL2377">
        <v>69.099057026960907</v>
      </c>
      <c r="AM2377">
        <v>94.837675395525594</v>
      </c>
      <c r="AN2377">
        <v>1.00000007177543</v>
      </c>
    </row>
    <row r="2378" spans="1:40" x14ac:dyDescent="0.25">
      <c r="A2378" t="str">
        <f>"20190304164416250"</f>
        <v>20190304164416250</v>
      </c>
      <c r="B2378" t="str">
        <f>"1551689056242213"</f>
        <v>1551689056242213</v>
      </c>
      <c r="C2378" t="s">
        <v>40</v>
      </c>
      <c r="D2378">
        <v>5.2238899999999999</v>
      </c>
      <c r="E2378">
        <v>0.48908040000000003</v>
      </c>
      <c r="F2378" t="s">
        <v>45</v>
      </c>
      <c r="G2378">
        <v>-448.7303</v>
      </c>
      <c r="H2378" s="1">
        <v>3.2248029999999999E-6</v>
      </c>
      <c r="I2378">
        <v>281.96780000000001</v>
      </c>
      <c r="J2378">
        <v>-437.19099999999997</v>
      </c>
      <c r="K2378">
        <v>1.109999</v>
      </c>
      <c r="L2378">
        <v>283.83550000000002</v>
      </c>
      <c r="M2378">
        <v>-0.99963139999999995</v>
      </c>
      <c r="N2378">
        <v>-1.465356E-2</v>
      </c>
      <c r="O2378">
        <v>-2.2855199999999999E-2</v>
      </c>
      <c r="P2378">
        <v>-0.93405340000000003</v>
      </c>
      <c r="Q2378">
        <v>0.34225169999999999</v>
      </c>
      <c r="R2378">
        <v>-0.1020199</v>
      </c>
      <c r="S2378">
        <v>-3.2684630000000001</v>
      </c>
      <c r="T2378">
        <v>-0.30431340000000001</v>
      </c>
      <c r="U2378">
        <v>-0.51434329999999995</v>
      </c>
      <c r="V2378">
        <v>-8.0189510000000006E-2</v>
      </c>
      <c r="W2378">
        <v>0.3560352</v>
      </c>
      <c r="X2378">
        <v>0.93102560000000001</v>
      </c>
      <c r="Y2378">
        <v>-0.132252799999999</v>
      </c>
      <c r="Z2378">
        <v>-5.3065569999999999E-3</v>
      </c>
      <c r="AA2378">
        <v>0.99120180000000002</v>
      </c>
      <c r="AB2378">
        <v>46</v>
      </c>
      <c r="AC2378">
        <v>-11.539300000000001</v>
      </c>
      <c r="AD2378">
        <v>-1.109995775197</v>
      </c>
      <c r="AE2378">
        <v>-1.8677000000000099</v>
      </c>
      <c r="AF2378">
        <v>-1.58912189017498</v>
      </c>
      <c r="AG2378">
        <v>-1.109995775197</v>
      </c>
      <c r="AH2378">
        <v>11.475503932848</v>
      </c>
      <c r="AI2378">
        <v>95.4729788712269</v>
      </c>
      <c r="AJ2378">
        <v>97.8841483082373</v>
      </c>
      <c r="AK2378">
        <v>11.638066399346499</v>
      </c>
      <c r="AL2378">
        <v>69.143098235041194</v>
      </c>
      <c r="AM2378">
        <v>94.922753375511604</v>
      </c>
      <c r="AN2378">
        <v>1.0000000445042101</v>
      </c>
    </row>
    <row r="2379" spans="1:40" x14ac:dyDescent="0.25">
      <c r="A2379" t="str">
        <f>"20190304164416272"</f>
        <v>20190304164416272</v>
      </c>
      <c r="B2379" t="str">
        <f>"1551689056262710"</f>
        <v>1551689056262710</v>
      </c>
      <c r="C2379" t="s">
        <v>40</v>
      </c>
      <c r="D2379">
        <v>5.2270009999999996</v>
      </c>
      <c r="E2379">
        <v>0.48910439999999999</v>
      </c>
      <c r="F2379" t="s">
        <v>45</v>
      </c>
      <c r="G2379">
        <v>-448.9024</v>
      </c>
      <c r="H2379" s="1">
        <v>3.3156239999999999E-6</v>
      </c>
      <c r="I2379">
        <v>281.98559999999998</v>
      </c>
      <c r="J2379">
        <v>-437.63459999999998</v>
      </c>
      <c r="K2379">
        <v>1.1098159999999999</v>
      </c>
      <c r="L2379">
        <v>283.8261</v>
      </c>
      <c r="M2379">
        <v>-0.99965059999999994</v>
      </c>
      <c r="N2379">
        <v>-1.465266E-2</v>
      </c>
      <c r="O2379">
        <v>-2.2005139999999999E-2</v>
      </c>
      <c r="P2379">
        <v>-0.93413279999999999</v>
      </c>
      <c r="Q2379">
        <v>0.34196539999999997</v>
      </c>
      <c r="R2379">
        <v>-0.10225430000000001</v>
      </c>
      <c r="S2379">
        <v>-3.2689210000000002</v>
      </c>
      <c r="T2379">
        <v>-0.30982609999999999</v>
      </c>
      <c r="U2379">
        <v>-0.51635739999999997</v>
      </c>
      <c r="V2379">
        <v>-8.1062560000000006E-2</v>
      </c>
      <c r="W2379">
        <v>0.35578470000000001</v>
      </c>
      <c r="X2379">
        <v>0.93104569999999998</v>
      </c>
      <c r="Y2379">
        <v>-0.1336416</v>
      </c>
      <c r="Z2379">
        <v>-5.5208710000000001E-3</v>
      </c>
      <c r="AA2379">
        <v>0.99101439999999996</v>
      </c>
      <c r="AB2379">
        <v>46</v>
      </c>
      <c r="AC2379">
        <v>-11.267799999999999</v>
      </c>
      <c r="AD2379">
        <v>-1.1098126843759999</v>
      </c>
      <c r="AE2379">
        <v>-1.84050000000002</v>
      </c>
      <c r="AF2379">
        <v>-1.57717540484161</v>
      </c>
      <c r="AG2379">
        <v>-1.1098126843759999</v>
      </c>
      <c r="AH2379">
        <v>11.1997493834827</v>
      </c>
      <c r="AI2379">
        <v>95.604177030994805</v>
      </c>
      <c r="AJ2379">
        <v>98.015818499350303</v>
      </c>
      <c r="AK2379">
        <v>11.364574462110699</v>
      </c>
      <c r="AL2379">
        <v>69.158455367314303</v>
      </c>
      <c r="AM2379">
        <v>94.975974487724997</v>
      </c>
      <c r="AN2379">
        <v>0.99999999343816603</v>
      </c>
    </row>
    <row r="2380" spans="1:40" x14ac:dyDescent="0.25">
      <c r="A2380" t="str">
        <f>"20190304164416295"</f>
        <v>20190304164416295</v>
      </c>
      <c r="B2380" t="str">
        <f>"1551689056282230"</f>
        <v>1551689056282230</v>
      </c>
      <c r="C2380" t="s">
        <v>40</v>
      </c>
      <c r="D2380">
        <v>5.2046590000000004</v>
      </c>
      <c r="E2380">
        <v>0.48920750000000002</v>
      </c>
      <c r="F2380" t="s">
        <v>45</v>
      </c>
      <c r="G2380">
        <v>-449.25940000000003</v>
      </c>
      <c r="H2380" s="1">
        <v>3.5050490000000002E-6</v>
      </c>
      <c r="I2380">
        <v>281.9982</v>
      </c>
      <c r="J2380">
        <v>-438.08150000000001</v>
      </c>
      <c r="K2380">
        <v>1.1096079999999999</v>
      </c>
      <c r="L2380">
        <v>283.81709999999998</v>
      </c>
      <c r="M2380">
        <v>-0.99967410000000001</v>
      </c>
      <c r="N2380">
        <v>-1.465259E-2</v>
      </c>
      <c r="O2380">
        <v>-2.0911610000000001E-2</v>
      </c>
      <c r="P2380">
        <v>-0.9340697</v>
      </c>
      <c r="Q2380">
        <v>0.34227610000000003</v>
      </c>
      <c r="R2380">
        <v>-0.10179009999999999</v>
      </c>
      <c r="S2380">
        <v>-3.2695310000000002</v>
      </c>
      <c r="T2380">
        <v>-0.31213960000000002</v>
      </c>
      <c r="U2380">
        <v>-0.51409910000000003</v>
      </c>
      <c r="V2380">
        <v>-8.1444249999999996E-2</v>
      </c>
      <c r="W2380">
        <v>0.35613549999999999</v>
      </c>
      <c r="X2380">
        <v>0.93087830000000005</v>
      </c>
      <c r="Y2380">
        <v>-0.13401559999999901</v>
      </c>
      <c r="Z2380">
        <v>-5.6595990000000004E-3</v>
      </c>
      <c r="AA2380">
        <v>0.99096300000000004</v>
      </c>
      <c r="AB2380">
        <v>46</v>
      </c>
      <c r="AC2380">
        <v>-11.177899999999999</v>
      </c>
      <c r="AD2380">
        <v>-1.109604494951</v>
      </c>
      <c r="AE2380">
        <v>-1.81889999999998</v>
      </c>
      <c r="AF2380">
        <v>-1.56966066439158</v>
      </c>
      <c r="AG2380">
        <v>-1.109604494951</v>
      </c>
      <c r="AH2380">
        <v>11.1068707130968</v>
      </c>
      <c r="AI2380">
        <v>95.649296493887803</v>
      </c>
      <c r="AJ2380">
        <v>98.043964125803697</v>
      </c>
      <c r="AK2380">
        <v>11.2719844647694</v>
      </c>
      <c r="AL2380">
        <v>69.136948154258306</v>
      </c>
      <c r="AM2380">
        <v>95.000180293320795</v>
      </c>
      <c r="AN2380">
        <v>1.0000000348146001</v>
      </c>
    </row>
    <row r="2381" spans="1:40" x14ac:dyDescent="0.25">
      <c r="A2381" t="str">
        <f>"20190304164416317"</f>
        <v>20190304164416317</v>
      </c>
      <c r="B2381" t="str">
        <f>"1551689056312487"</f>
        <v>1551689056312487</v>
      </c>
      <c r="C2381" t="s">
        <v>40</v>
      </c>
      <c r="D2381">
        <v>5.2020860000000004</v>
      </c>
      <c r="E2381">
        <v>0.48926900000000001</v>
      </c>
      <c r="F2381" t="s">
        <v>45</v>
      </c>
      <c r="G2381">
        <v>-449.67559999999997</v>
      </c>
      <c r="H2381" s="1">
        <v>3.725899E-6</v>
      </c>
      <c r="I2381">
        <v>282.01229999999998</v>
      </c>
      <c r="J2381">
        <v>-438.54050000000001</v>
      </c>
      <c r="K2381">
        <v>1.1093710000000001</v>
      </c>
      <c r="L2381">
        <v>283.80869999999999</v>
      </c>
      <c r="M2381">
        <v>-0.9997026</v>
      </c>
      <c r="N2381">
        <v>-1.465378E-2</v>
      </c>
      <c r="O2381">
        <v>-1.950288E-2</v>
      </c>
      <c r="P2381">
        <v>-0.93405839999999996</v>
      </c>
      <c r="Q2381">
        <v>0.34245130000000001</v>
      </c>
      <c r="R2381">
        <v>-0.1013044</v>
      </c>
      <c r="S2381">
        <v>-3.270966</v>
      </c>
      <c r="T2381">
        <v>-0.31304510000000002</v>
      </c>
      <c r="U2381">
        <v>-0.50918580000000002</v>
      </c>
      <c r="V2381">
        <v>-8.2074190000000005E-2</v>
      </c>
      <c r="W2381">
        <v>0.35635820000000001</v>
      </c>
      <c r="X2381">
        <v>0.9307377</v>
      </c>
      <c r="Y2381">
        <v>-0.13388549999999999</v>
      </c>
      <c r="Z2381">
        <v>-5.7767959999999998E-3</v>
      </c>
      <c r="AA2381">
        <v>0.99097999999999997</v>
      </c>
      <c r="AB2381">
        <v>46</v>
      </c>
      <c r="AC2381">
        <v>-11.1350999999999</v>
      </c>
      <c r="AD2381">
        <v>-1.1093672741009999</v>
      </c>
      <c r="AE2381">
        <v>-1.7964</v>
      </c>
      <c r="AF2381">
        <v>-1.5637409043242101</v>
      </c>
      <c r="AG2381">
        <v>-1.1093672741009999</v>
      </c>
      <c r="AH2381">
        <v>11.061016668001001</v>
      </c>
      <c r="AI2381">
        <v>95.671319144384796</v>
      </c>
      <c r="AJ2381">
        <v>98.0468105748417</v>
      </c>
      <c r="AK2381">
        <v>11.225955241960399</v>
      </c>
      <c r="AL2381">
        <v>69.123291760289007</v>
      </c>
      <c r="AM2381">
        <v>95.039413672661098</v>
      </c>
      <c r="AN2381">
        <v>1.00000000278634</v>
      </c>
    </row>
    <row r="2382" spans="1:40" x14ac:dyDescent="0.25">
      <c r="A2382" t="str">
        <f>"20190304164416349"</f>
        <v>20190304164416349</v>
      </c>
      <c r="B2382" t="str">
        <f>"1551689056342741"</f>
        <v>1551689056342741</v>
      </c>
      <c r="C2382" t="s">
        <v>40</v>
      </c>
      <c r="D2382">
        <v>5.2671469999999996</v>
      </c>
      <c r="E2382">
        <v>0.52468510000000002</v>
      </c>
      <c r="F2382" t="s">
        <v>45</v>
      </c>
      <c r="G2382">
        <v>-450.06310000000002</v>
      </c>
      <c r="H2382" s="1">
        <v>-1.390222E-6</v>
      </c>
      <c r="I2382">
        <v>282.03210000000001</v>
      </c>
      <c r="J2382">
        <v>-439.22</v>
      </c>
      <c r="K2382">
        <v>1.1090199999999999</v>
      </c>
      <c r="L2382">
        <v>283.79759999999999</v>
      </c>
      <c r="M2382">
        <v>-0.99974810000000003</v>
      </c>
      <c r="N2382">
        <v>-1.4655949999999999E-2</v>
      </c>
      <c r="O2382">
        <v>-1.699993E-2</v>
      </c>
      <c r="P2382">
        <v>-0.93461130000000003</v>
      </c>
      <c r="Q2382">
        <v>0.3411187</v>
      </c>
      <c r="R2382">
        <v>-0.10069500000000001</v>
      </c>
      <c r="S2382">
        <v>-3.2726139999999999</v>
      </c>
      <c r="T2382">
        <v>-0.31507810000000003</v>
      </c>
      <c r="U2382">
        <v>-0.50457759999999996</v>
      </c>
      <c r="V2382">
        <v>-8.3501259999999994E-2</v>
      </c>
      <c r="W2382">
        <v>0.35510819999999998</v>
      </c>
      <c r="X2382">
        <v>0.93108840000000004</v>
      </c>
      <c r="Y2382">
        <v>-0.13490729999999901</v>
      </c>
      <c r="Z2382">
        <v>-6.0630040000000003E-3</v>
      </c>
      <c r="AA2382">
        <v>0.99083969999999999</v>
      </c>
      <c r="AB2382">
        <v>45</v>
      </c>
      <c r="AC2382">
        <v>-10.8430999999999</v>
      </c>
      <c r="AD2382">
        <v>-1.1090213902220001</v>
      </c>
      <c r="AE2382">
        <v>-1.7654999999999701</v>
      </c>
      <c r="AF2382">
        <v>-1.56494500114515</v>
      </c>
      <c r="AG2382">
        <v>-1.1090213902220001</v>
      </c>
      <c r="AH2382">
        <v>10.761876953732999</v>
      </c>
      <c r="AI2382">
        <v>95.822800667135496</v>
      </c>
      <c r="AJ2382">
        <v>98.273708714801998</v>
      </c>
      <c r="AK2382">
        <v>10.931467278817999</v>
      </c>
      <c r="AL2382">
        <v>69.199923089178995</v>
      </c>
      <c r="AM2382">
        <v>95.124653153239393</v>
      </c>
      <c r="AN2382">
        <v>0.99999995137169195</v>
      </c>
    </row>
    <row r="2383" spans="1:40" x14ac:dyDescent="0.25">
      <c r="A2383" t="str">
        <f>"20190304164416372"</f>
        <v>20190304164416372</v>
      </c>
      <c r="B2383" t="str">
        <f>"1551689056362261"</f>
        <v>1551689056362261</v>
      </c>
      <c r="C2383" t="s">
        <v>40</v>
      </c>
      <c r="D2383">
        <v>5.205241</v>
      </c>
      <c r="E2383">
        <v>0.52665390000000001</v>
      </c>
      <c r="F2383" t="s">
        <v>41</v>
      </c>
      <c r="G2383">
        <v>-440.0249</v>
      </c>
      <c r="H2383">
        <v>1.0149840000000001</v>
      </c>
      <c r="I2383">
        <v>283.74419999999998</v>
      </c>
      <c r="J2383">
        <v>-439.661</v>
      </c>
      <c r="K2383">
        <v>1.1087880000000001</v>
      </c>
      <c r="L2383">
        <v>283.79149999999998</v>
      </c>
      <c r="M2383">
        <v>-0.99977830000000001</v>
      </c>
      <c r="N2383">
        <v>-1.465702E-2</v>
      </c>
      <c r="O2383">
        <v>-1.511287E-2</v>
      </c>
      <c r="P2383">
        <v>-0.93519680000000005</v>
      </c>
      <c r="Q2383">
        <v>0.33969969999999999</v>
      </c>
      <c r="R2383">
        <v>-0.1000568</v>
      </c>
      <c r="S2383">
        <v>-3.3277589999999901</v>
      </c>
      <c r="T2383">
        <v>-0.38865509999999998</v>
      </c>
      <c r="U2383">
        <v>-0.2225647</v>
      </c>
      <c r="V2383">
        <v>-8.4431770000000003E-2</v>
      </c>
      <c r="W2383">
        <v>0.35374689999999998</v>
      </c>
      <c r="X2383">
        <v>0.93152259999999998</v>
      </c>
      <c r="Y2383">
        <v>-5.1330599999999997E-2</v>
      </c>
      <c r="Z2383">
        <v>-1.82588E-3</v>
      </c>
      <c r="AA2383">
        <v>0.99868009999999996</v>
      </c>
      <c r="AB2383">
        <v>45</v>
      </c>
      <c r="AC2383">
        <v>-0.363900000000001</v>
      </c>
      <c r="AD2383">
        <v>-9.3803999999999693E-2</v>
      </c>
      <c r="AE2383">
        <v>-4.7300000000007003E-2</v>
      </c>
      <c r="AF2383">
        <v>-3.9230944521071197E-2</v>
      </c>
      <c r="AG2383">
        <v>-9.3803999999999693E-2</v>
      </c>
      <c r="AH2383">
        <v>0.34221201137848001</v>
      </c>
      <c r="AI2383">
        <v>105.233777403451</v>
      </c>
      <c r="AJ2383">
        <v>96.539798575701695</v>
      </c>
      <c r="AK2383">
        <v>0.35699764446802801</v>
      </c>
      <c r="AL2383">
        <v>69.283335118819295</v>
      </c>
      <c r="AM2383">
        <v>95.1790493832724</v>
      </c>
      <c r="AN2383">
        <v>0.99999997367785098</v>
      </c>
    </row>
    <row r="2384" spans="1:40" x14ac:dyDescent="0.25">
      <c r="A2384" t="str">
        <f>"20190304164416394"</f>
        <v>20190304164416394</v>
      </c>
      <c r="B2384" t="str">
        <f>"1551689056382758"</f>
        <v>1551689056382758</v>
      </c>
      <c r="C2384" t="s">
        <v>40</v>
      </c>
      <c r="D2384">
        <v>5.2439489999999997</v>
      </c>
      <c r="E2384">
        <v>0.52656879999999995</v>
      </c>
      <c r="F2384" t="s">
        <v>41</v>
      </c>
      <c r="G2384">
        <v>-440.43380000000002</v>
      </c>
      <c r="H2384">
        <v>1.01881</v>
      </c>
      <c r="I2384">
        <v>283.74439999999998</v>
      </c>
      <c r="J2384">
        <v>-440.11439999999999</v>
      </c>
      <c r="K2384">
        <v>1.1085510000000001</v>
      </c>
      <c r="L2384">
        <v>283.78629999999998</v>
      </c>
      <c r="M2384">
        <v>-0.99980869999999999</v>
      </c>
      <c r="N2384">
        <v>-1.466957E-2</v>
      </c>
      <c r="O2384">
        <v>-1.2947739999999999E-2</v>
      </c>
      <c r="P2384">
        <v>-0.93576139999999997</v>
      </c>
      <c r="Q2384">
        <v>0.33868999999999999</v>
      </c>
      <c r="R2384">
        <v>-9.8183610000000004E-2</v>
      </c>
      <c r="S2384">
        <v>-3.3269039999999999</v>
      </c>
      <c r="T2384">
        <v>-0.3873876</v>
      </c>
      <c r="U2384">
        <v>-0.20309450000000001</v>
      </c>
      <c r="V2384">
        <v>-8.43777E-2</v>
      </c>
      <c r="W2384">
        <v>0.35280430000000002</v>
      </c>
      <c r="X2384">
        <v>0.93188490000000002</v>
      </c>
      <c r="Y2384">
        <v>-4.7707100000000002E-2</v>
      </c>
      <c r="Z2384">
        <v>-1.805447E-3</v>
      </c>
      <c r="AA2384">
        <v>0.99885979999999996</v>
      </c>
      <c r="AB2384">
        <v>45</v>
      </c>
      <c r="AC2384">
        <v>-0.31940000000002999</v>
      </c>
      <c r="AD2384">
        <v>-8.9741000000000001E-2</v>
      </c>
      <c r="AE2384">
        <v>-4.1899999999998203E-2</v>
      </c>
      <c r="AF2384">
        <v>-3.5041094751010998E-2</v>
      </c>
      <c r="AG2384">
        <v>-8.9741000000000001E-2</v>
      </c>
      <c r="AH2384">
        <v>0.29687608170422097</v>
      </c>
      <c r="AI2384">
        <v>106.709780302792</v>
      </c>
      <c r="AJ2384">
        <v>96.731631559678405</v>
      </c>
      <c r="AK2384">
        <v>0.31211653799566702</v>
      </c>
      <c r="AL2384">
        <v>69.341064450949304</v>
      </c>
      <c r="AM2384">
        <v>95.173749430266994</v>
      </c>
      <c r="AN2384">
        <v>0.999999968601894</v>
      </c>
    </row>
    <row r="2385" spans="1:40" x14ac:dyDescent="0.25">
      <c r="A2385" t="str">
        <f>"20190304164416416"</f>
        <v>20190304164416416</v>
      </c>
      <c r="B2385" t="str">
        <f>"1551689056412037"</f>
        <v>1551689056412037</v>
      </c>
      <c r="C2385" t="s">
        <v>40</v>
      </c>
      <c r="D2385">
        <v>5.1804739999999896</v>
      </c>
      <c r="E2385">
        <v>0.52658450000000001</v>
      </c>
      <c r="F2385" t="s">
        <v>45</v>
      </c>
      <c r="G2385">
        <v>-449.61329999999998</v>
      </c>
      <c r="H2385" s="1">
        <v>3.6398279999999998E-6</v>
      </c>
      <c r="I2385">
        <v>283.22359999999998</v>
      </c>
      <c r="J2385">
        <v>-440.58159999999998</v>
      </c>
      <c r="K2385">
        <v>1.1083179999999999</v>
      </c>
      <c r="L2385">
        <v>283.78210000000001</v>
      </c>
      <c r="M2385">
        <v>-0.99983679999999997</v>
      </c>
      <c r="N2385">
        <v>-1.473061E-2</v>
      </c>
      <c r="O2385">
        <v>-1.0474239999999999E-2</v>
      </c>
      <c r="P2385">
        <v>-0.93600229999999995</v>
      </c>
      <c r="Q2385">
        <v>0.33858310000000003</v>
      </c>
      <c r="R2385">
        <v>-9.6239549999999993E-2</v>
      </c>
      <c r="S2385">
        <v>-3.3257449999999902</v>
      </c>
      <c r="T2385">
        <v>-0.38812340000000001</v>
      </c>
      <c r="U2385">
        <v>-0.196991</v>
      </c>
      <c r="V2385">
        <v>-8.4532659999999996E-2</v>
      </c>
      <c r="W2385">
        <v>0.35280790000000001</v>
      </c>
      <c r="X2385">
        <v>0.93186959999999996</v>
      </c>
      <c r="Y2385">
        <v>-4.835362E-2</v>
      </c>
      <c r="Z2385">
        <v>-2.1039959999999999E-3</v>
      </c>
      <c r="AA2385">
        <v>0.9988281</v>
      </c>
      <c r="AB2385">
        <v>45</v>
      </c>
      <c r="AC2385">
        <v>-9.0317000000000007</v>
      </c>
      <c r="AD2385">
        <v>-1.108314360172</v>
      </c>
      <c r="AE2385">
        <v>-0.55850000000003697</v>
      </c>
      <c r="AF2385">
        <v>-0.45700326214340098</v>
      </c>
      <c r="AG2385">
        <v>-1.108314360172</v>
      </c>
      <c r="AH2385">
        <v>8.9034908574917893</v>
      </c>
      <c r="AI2385">
        <v>97.086494643398197</v>
      </c>
      <c r="AJ2385">
        <v>92.938330545666403</v>
      </c>
      <c r="AK2385">
        <v>8.9838389429025902</v>
      </c>
      <c r="AL2385">
        <v>69.340846161811101</v>
      </c>
      <c r="AM2385">
        <v>95.183283972966294</v>
      </c>
      <c r="AN2385">
        <v>1.0000000681566199</v>
      </c>
    </row>
    <row r="2386" spans="1:40" x14ac:dyDescent="0.25">
      <c r="A2386" t="str">
        <f>"20190304164416441"</f>
        <v>20190304164416441</v>
      </c>
      <c r="B2386" t="str">
        <f>"1551689056432533"</f>
        <v>1551689056432533</v>
      </c>
      <c r="C2386" t="s">
        <v>40</v>
      </c>
      <c r="D2386">
        <v>5.146763</v>
      </c>
      <c r="E2386">
        <v>0.52667629999999999</v>
      </c>
      <c r="F2386" t="s">
        <v>41</v>
      </c>
      <c r="G2386">
        <v>-441.6343</v>
      </c>
      <c r="H2386">
        <v>0.98791030000000002</v>
      </c>
      <c r="I2386">
        <v>283.72340000000003</v>
      </c>
      <c r="J2386">
        <v>-441.06020000000001</v>
      </c>
      <c r="K2386">
        <v>1.108114</v>
      </c>
      <c r="L2386">
        <v>283.7792</v>
      </c>
      <c r="M2386">
        <v>-0.99985950000000001</v>
      </c>
      <c r="N2386">
        <v>-1.487171E-2</v>
      </c>
      <c r="O2386">
        <v>-7.7491610000000001E-3</v>
      </c>
      <c r="P2386">
        <v>-0.93624169999999995</v>
      </c>
      <c r="Q2386">
        <v>0.3388177</v>
      </c>
      <c r="R2386">
        <v>-9.3027670000000007E-2</v>
      </c>
      <c r="S2386">
        <v>-3.323334</v>
      </c>
      <c r="T2386">
        <v>-0.38003389999999998</v>
      </c>
      <c r="U2386">
        <v>-0.18698119999999999</v>
      </c>
      <c r="V2386">
        <v>-8.3657090000000003E-2</v>
      </c>
      <c r="W2386">
        <v>0.35322100000000001</v>
      </c>
      <c r="X2386">
        <v>0.93179199999999995</v>
      </c>
      <c r="Y2386">
        <v>-4.8119309999999998E-2</v>
      </c>
      <c r="Z2386">
        <v>-2.3319619999999999E-3</v>
      </c>
      <c r="AA2386">
        <v>0.99883889999999997</v>
      </c>
      <c r="AB2386">
        <v>45</v>
      </c>
      <c r="AC2386">
        <v>-0.57409999999998695</v>
      </c>
      <c r="AD2386">
        <v>-0.120203699999999</v>
      </c>
      <c r="AE2386">
        <v>-5.57999999999765E-2</v>
      </c>
      <c r="AF2386">
        <v>-4.9211832326159603E-2</v>
      </c>
      <c r="AG2386">
        <v>-0.120203699999999</v>
      </c>
      <c r="AH2386">
        <v>0.550603215018307</v>
      </c>
      <c r="AI2386">
        <v>102.267763249371</v>
      </c>
      <c r="AJ2386">
        <v>95.107412848722802</v>
      </c>
      <c r="AK2386">
        <v>0.56571603682685601</v>
      </c>
      <c r="AL2386">
        <v>69.315546167787602</v>
      </c>
      <c r="AM2386">
        <v>95.130309578899997</v>
      </c>
      <c r="AN2386">
        <v>0.99999995740613301</v>
      </c>
    </row>
    <row r="2387" spans="1:40" x14ac:dyDescent="0.25">
      <c r="A2387" t="str">
        <f>"20190304164416461"</f>
        <v>20190304164416461</v>
      </c>
      <c r="B2387" t="str">
        <f>"1551689056452054"</f>
        <v>1551689056452054</v>
      </c>
      <c r="C2387" t="s">
        <v>40</v>
      </c>
      <c r="D2387">
        <v>5.1269920000000004</v>
      </c>
      <c r="E2387">
        <v>0.52665010000000001</v>
      </c>
      <c r="F2387" t="s">
        <v>41</v>
      </c>
      <c r="G2387">
        <v>-442.04360000000003</v>
      </c>
      <c r="H2387">
        <v>0.99711819999999896</v>
      </c>
      <c r="I2387">
        <v>283.7276</v>
      </c>
      <c r="J2387">
        <v>-441.48829999999998</v>
      </c>
      <c r="K2387">
        <v>1.107953</v>
      </c>
      <c r="L2387">
        <v>283.77780000000001</v>
      </c>
      <c r="M2387">
        <v>-0.99987320000000002</v>
      </c>
      <c r="N2387">
        <v>-1.506147E-2</v>
      </c>
      <c r="O2387">
        <v>-5.1821910000000001E-3</v>
      </c>
      <c r="P2387">
        <v>-0.93647389999999997</v>
      </c>
      <c r="Q2387">
        <v>0.33914280000000002</v>
      </c>
      <c r="R2387">
        <v>-8.9436340000000003E-2</v>
      </c>
      <c r="S2387">
        <v>-3.322632</v>
      </c>
      <c r="T2387">
        <v>-0.37499539999999998</v>
      </c>
      <c r="U2387">
        <v>-0.1747437</v>
      </c>
      <c r="V2387">
        <v>-8.2290249999999995E-2</v>
      </c>
      <c r="W2387">
        <v>0.35375679999999998</v>
      </c>
      <c r="X2387">
        <v>0.9317105</v>
      </c>
      <c r="Y2387">
        <v>-4.7029840000000003E-2</v>
      </c>
      <c r="Z2387">
        <v>-2.4946069999999998E-3</v>
      </c>
      <c r="AA2387">
        <v>0.99889030000000001</v>
      </c>
      <c r="AB2387">
        <v>45</v>
      </c>
      <c r="AC2387">
        <v>-0.55530000000004498</v>
      </c>
      <c r="AD2387">
        <v>-0.1108348</v>
      </c>
      <c r="AE2387">
        <v>-5.0200000000018001E-2</v>
      </c>
      <c r="AF2387">
        <v>-4.5522506468384898E-2</v>
      </c>
      <c r="AG2387">
        <v>-0.1108348</v>
      </c>
      <c r="AH2387">
        <v>0.53443453077884695</v>
      </c>
      <c r="AI2387">
        <v>101.675205291767</v>
      </c>
      <c r="AJ2387">
        <v>94.868635304222394</v>
      </c>
      <c r="AK2387">
        <v>0.54770148728573897</v>
      </c>
      <c r="AL2387">
        <v>69.2827294062931</v>
      </c>
      <c r="AM2387">
        <v>95.047363157247105</v>
      </c>
      <c r="AN2387">
        <v>1.00000000730077</v>
      </c>
    </row>
    <row r="2388" spans="1:40" x14ac:dyDescent="0.25">
      <c r="A2388" t="str">
        <f>"20190304164416484"</f>
        <v>20190304164416484</v>
      </c>
      <c r="B2388" t="str">
        <f>"1551689056472550"</f>
        <v>1551689056472550</v>
      </c>
      <c r="C2388" t="s">
        <v>40</v>
      </c>
      <c r="D2388">
        <v>5.1005339999999997</v>
      </c>
      <c r="E2388">
        <v>0.52655280000000004</v>
      </c>
      <c r="F2388" t="s">
        <v>41</v>
      </c>
      <c r="G2388">
        <v>-442.4495</v>
      </c>
      <c r="H2388">
        <v>1.0004999999999999</v>
      </c>
      <c r="I2388">
        <v>283.73090000000002</v>
      </c>
      <c r="J2388">
        <v>-441.92840000000001</v>
      </c>
      <c r="K2388">
        <v>1.107812</v>
      </c>
      <c r="L2388">
        <v>283.77760000000001</v>
      </c>
      <c r="M2388">
        <v>-0.99988010000000005</v>
      </c>
      <c r="N2388">
        <v>-1.530309E-2</v>
      </c>
      <c r="O2388">
        <v>-2.43348E-3</v>
      </c>
      <c r="P2388">
        <v>-0.93650140000000004</v>
      </c>
      <c r="Q2388">
        <v>0.33991310000000002</v>
      </c>
      <c r="R2388">
        <v>-8.6165619999999998E-2</v>
      </c>
      <c r="S2388">
        <v>-3.3223880000000001</v>
      </c>
      <c r="T2388">
        <v>-0.37130360000000001</v>
      </c>
      <c r="U2388">
        <v>-0.16363529999999901</v>
      </c>
      <c r="V2388">
        <v>-8.1423830000000003E-2</v>
      </c>
      <c r="W2388">
        <v>0.35478229999999999</v>
      </c>
      <c r="X2388">
        <v>0.93139660000000002</v>
      </c>
      <c r="Y2388">
        <v>-4.6444699999999901E-2</v>
      </c>
      <c r="Z2388">
        <v>-2.70871E-3</v>
      </c>
      <c r="AA2388">
        <v>0.99891719999999895</v>
      </c>
      <c r="AB2388">
        <v>45</v>
      </c>
      <c r="AC2388">
        <v>-0.52109999999998902</v>
      </c>
      <c r="AD2388">
        <v>-0.107312</v>
      </c>
      <c r="AE2388">
        <v>-4.6699999999987002E-2</v>
      </c>
      <c r="AF2388">
        <v>-4.35974490961041E-2</v>
      </c>
      <c r="AG2388">
        <v>-0.107312</v>
      </c>
      <c r="AH2388">
        <v>0.50016959787943405</v>
      </c>
      <c r="AI2388">
        <v>102.06490217783499</v>
      </c>
      <c r="AJ2388">
        <v>94.981614679528803</v>
      </c>
      <c r="AK2388">
        <v>0.51340649543472106</v>
      </c>
      <c r="AL2388">
        <v>69.219896779565104</v>
      </c>
      <c r="AM2388">
        <v>94.996165279839801</v>
      </c>
      <c r="AN2388">
        <v>0.99999997348835901</v>
      </c>
    </row>
    <row r="2389" spans="1:40" x14ac:dyDescent="0.25">
      <c r="A2389" t="str">
        <f>"20190304164416505"</f>
        <v>20190304164416505</v>
      </c>
      <c r="B2389" t="str">
        <f>"1551689056492070"</f>
        <v>1551689056492070</v>
      </c>
      <c r="C2389" t="s">
        <v>40</v>
      </c>
      <c r="D2389">
        <v>5.1112260000000003</v>
      </c>
      <c r="E2389">
        <v>0.52662339999999996</v>
      </c>
      <c r="F2389" t="s">
        <v>41</v>
      </c>
      <c r="G2389">
        <v>-442.85649999999998</v>
      </c>
      <c r="H2389">
        <v>1.0055229999999999</v>
      </c>
      <c r="I2389">
        <v>283.73480000000001</v>
      </c>
      <c r="J2389">
        <v>-442.37560000000002</v>
      </c>
      <c r="K2389">
        <v>1.1077049999999999</v>
      </c>
      <c r="L2389">
        <v>283.77870000000001</v>
      </c>
      <c r="M2389">
        <v>-0.99987820000000005</v>
      </c>
      <c r="N2389">
        <v>-1.559877E-2</v>
      </c>
      <c r="O2389">
        <v>4.4746510000000001E-4</v>
      </c>
      <c r="P2389">
        <v>-0.93658660000000005</v>
      </c>
      <c r="Q2389">
        <v>0.34039360000000002</v>
      </c>
      <c r="R2389">
        <v>-8.3294209999999994E-2</v>
      </c>
      <c r="S2389">
        <v>-3.3221440000000002</v>
      </c>
      <c r="T2389">
        <v>-0.3660679</v>
      </c>
      <c r="U2389">
        <v>-0.1540222</v>
      </c>
      <c r="V2389">
        <v>-8.1096799999999997E-2</v>
      </c>
      <c r="W2389">
        <v>0.35556769999999999</v>
      </c>
      <c r="X2389">
        <v>0.9311256</v>
      </c>
      <c r="Y2389">
        <v>-4.6437100000000002E-2</v>
      </c>
      <c r="Z2389">
        <v>-2.9551989999999999E-3</v>
      </c>
      <c r="AA2389">
        <v>0.9989169</v>
      </c>
      <c r="AB2389">
        <v>45</v>
      </c>
      <c r="AC2389">
        <v>-0.48089999999996202</v>
      </c>
      <c r="AD2389">
        <v>-0.102182</v>
      </c>
      <c r="AE2389">
        <v>-4.3900000000007801E-2</v>
      </c>
      <c r="AF2389">
        <v>-4.2224603246783801E-2</v>
      </c>
      <c r="AG2389">
        <v>-0.102182</v>
      </c>
      <c r="AH2389">
        <v>0.46027166478428599</v>
      </c>
      <c r="AI2389">
        <v>102.46617349475</v>
      </c>
      <c r="AJ2389">
        <v>95.241553927262999</v>
      </c>
      <c r="AK2389">
        <v>0.47336464131433298</v>
      </c>
      <c r="AL2389">
        <v>69.171758192517899</v>
      </c>
      <c r="AM2389">
        <v>94.977640707309902</v>
      </c>
      <c r="AN2389">
        <v>0.99999998161444403</v>
      </c>
    </row>
    <row r="2390" spans="1:40" x14ac:dyDescent="0.25">
      <c r="A2390" t="str">
        <f>"20190304164416529"</f>
        <v>20190304164416529</v>
      </c>
      <c r="B2390" t="str">
        <f>"1551689056522325"</f>
        <v>1551689056522325</v>
      </c>
      <c r="C2390" t="s">
        <v>40</v>
      </c>
      <c r="D2390">
        <v>5.0377429999999999</v>
      </c>
      <c r="E2390">
        <v>0.52643830000000003</v>
      </c>
      <c r="F2390" t="s">
        <v>41</v>
      </c>
      <c r="G2390">
        <v>-443.26229999999998</v>
      </c>
      <c r="H2390">
        <v>1.0104420000000001</v>
      </c>
      <c r="I2390">
        <v>283.74059999999997</v>
      </c>
      <c r="J2390">
        <v>-442.83659999999998</v>
      </c>
      <c r="K2390">
        <v>1.1076109999999999</v>
      </c>
      <c r="L2390">
        <v>283.78129999999999</v>
      </c>
      <c r="M2390">
        <v>-0.99986710000000001</v>
      </c>
      <c r="N2390">
        <v>-1.593116E-2</v>
      </c>
      <c r="O2390">
        <v>3.4898170000000001E-3</v>
      </c>
      <c r="P2390">
        <v>-0.93671839999999995</v>
      </c>
      <c r="Q2390">
        <v>0.34053879999999997</v>
      </c>
      <c r="R2390">
        <v>-8.1191550000000001E-2</v>
      </c>
      <c r="S2390">
        <v>-3.3227540000000002</v>
      </c>
      <c r="T2390">
        <v>-0.3643922</v>
      </c>
      <c r="U2390">
        <v>-0.14416499999999999</v>
      </c>
      <c r="V2390">
        <v>-8.170877E-2</v>
      </c>
      <c r="W2390">
        <v>0.3560566</v>
      </c>
      <c r="X2390">
        <v>0.93088530000000003</v>
      </c>
      <c r="Y2390">
        <v>-4.6498890000000001E-2</v>
      </c>
      <c r="Z2390">
        <v>-3.2386839999999999E-3</v>
      </c>
      <c r="AA2390">
        <v>0.9989131</v>
      </c>
      <c r="AB2390">
        <v>45</v>
      </c>
      <c r="AC2390">
        <v>-0.42570000000000602</v>
      </c>
      <c r="AD2390">
        <v>-9.7169000000000005E-2</v>
      </c>
      <c r="AE2390">
        <v>-4.0700000000015203E-2</v>
      </c>
      <c r="AF2390">
        <v>-4.0114472571180698E-2</v>
      </c>
      <c r="AG2390">
        <v>-9.7169000000000005E-2</v>
      </c>
      <c r="AH2390">
        <v>0.40466288305174503</v>
      </c>
      <c r="AI2390">
        <v>103.438950948578</v>
      </c>
      <c r="AJ2390">
        <v>95.661268895065902</v>
      </c>
      <c r="AK2390">
        <v>0.41809452805605302</v>
      </c>
      <c r="AL2390">
        <v>69.141785883091501</v>
      </c>
      <c r="AM2390">
        <v>95.016299950377203</v>
      </c>
      <c r="AN2390">
        <v>1.0000000336272801</v>
      </c>
    </row>
    <row r="2391" spans="1:40" x14ac:dyDescent="0.25">
      <c r="A2391" t="str">
        <f>"20190304164416550"</f>
        <v>20190304164416550</v>
      </c>
      <c r="B2391" t="str">
        <f>"1551689056541845"</f>
        <v>1551689056541845</v>
      </c>
      <c r="C2391" t="s">
        <v>40</v>
      </c>
      <c r="D2391">
        <v>5.042141</v>
      </c>
      <c r="E2391">
        <v>0.52629519999999996</v>
      </c>
      <c r="F2391" t="s">
        <v>41</v>
      </c>
      <c r="G2391">
        <v>-443.67180000000002</v>
      </c>
      <c r="H2391">
        <v>1.0167520000000001</v>
      </c>
      <c r="I2391">
        <v>283.74639999999999</v>
      </c>
      <c r="J2391">
        <v>-443.27100000000002</v>
      </c>
      <c r="K2391">
        <v>1.107524</v>
      </c>
      <c r="L2391">
        <v>283.7851</v>
      </c>
      <c r="M2391">
        <v>-0.99984759999999995</v>
      </c>
      <c r="N2391">
        <v>-1.6241700000000001E-2</v>
      </c>
      <c r="O2391">
        <v>6.4061309999999998E-3</v>
      </c>
      <c r="P2391">
        <v>-0.93674429999999997</v>
      </c>
      <c r="Q2391">
        <v>0.34094829999999998</v>
      </c>
      <c r="R2391">
        <v>-7.9147449999999994E-2</v>
      </c>
      <c r="S2391">
        <v>-3.3220519999999998</v>
      </c>
      <c r="T2391">
        <v>-0.36136390000000002</v>
      </c>
      <c r="U2391">
        <v>-0.13885500000000001</v>
      </c>
      <c r="V2391">
        <v>-8.2283609999999993E-2</v>
      </c>
      <c r="W2391">
        <v>0.35678179999999998</v>
      </c>
      <c r="X2391">
        <v>0.93055690000000002</v>
      </c>
      <c r="Y2391">
        <v>-4.7810800000000001E-2</v>
      </c>
      <c r="Z2391">
        <v>-3.5721339999999998E-3</v>
      </c>
      <c r="AA2391">
        <v>0.99885000000000002</v>
      </c>
      <c r="AB2391">
        <v>45</v>
      </c>
      <c r="AC2391">
        <v>-0.40080000000006</v>
      </c>
      <c r="AD2391">
        <v>-9.0771999999999797E-2</v>
      </c>
      <c r="AE2391">
        <v>-3.8700000000005702E-2</v>
      </c>
      <c r="AF2391">
        <v>-3.9271423920268597E-2</v>
      </c>
      <c r="AG2391">
        <v>-9.0771999999999797E-2</v>
      </c>
      <c r="AH2391">
        <v>0.38117333294051298</v>
      </c>
      <c r="AI2391">
        <v>103.326829541668</v>
      </c>
      <c r="AJ2391">
        <v>95.882299817539007</v>
      </c>
      <c r="AK2391">
        <v>0.39379551859525302</v>
      </c>
      <c r="AL2391">
        <v>69.097313516723204</v>
      </c>
      <c r="AM2391">
        <v>95.053182267366793</v>
      </c>
      <c r="AN2391">
        <v>0.99999999471174095</v>
      </c>
    </row>
    <row r="2392" spans="1:40" x14ac:dyDescent="0.25">
      <c r="A2392" t="str">
        <f>"20190304164416573"</f>
        <v>20190304164416573</v>
      </c>
      <c r="B2392" t="str">
        <f>"1551689056562342"</f>
        <v>1551689056562342</v>
      </c>
      <c r="C2392" t="s">
        <v>40</v>
      </c>
      <c r="D2392">
        <v>5.0394249999999996</v>
      </c>
      <c r="E2392">
        <v>0.52633339999999995</v>
      </c>
      <c r="F2392" t="s">
        <v>45</v>
      </c>
      <c r="G2392">
        <v>-453.54149999999998</v>
      </c>
      <c r="H2392" s="1">
        <v>4.0231089999999999E-7</v>
      </c>
      <c r="I2392">
        <v>283.37</v>
      </c>
      <c r="J2392">
        <v>-443.71960000000001</v>
      </c>
      <c r="K2392">
        <v>1.1074600000000001</v>
      </c>
      <c r="L2392">
        <v>283.7903</v>
      </c>
      <c r="M2392">
        <v>-0.9998184</v>
      </c>
      <c r="N2392">
        <v>-1.6545850000000001E-2</v>
      </c>
      <c r="O2392">
        <v>9.4512620000000002E-3</v>
      </c>
      <c r="P2392">
        <v>-0.93657279999999998</v>
      </c>
      <c r="Q2392">
        <v>0.34193459999999998</v>
      </c>
      <c r="R2392">
        <v>-7.6889360000000004E-2</v>
      </c>
      <c r="S2392">
        <v>-3.3216860000000001</v>
      </c>
      <c r="T2392">
        <v>-0.3581954</v>
      </c>
      <c r="U2392">
        <v>-0.134246799999999</v>
      </c>
      <c r="V2392">
        <v>-8.2773689999999997E-2</v>
      </c>
      <c r="W2392">
        <v>0.35807030000000001</v>
      </c>
      <c r="X2392">
        <v>0.93001840000000002</v>
      </c>
      <c r="Y2392">
        <v>-4.9455609999999997E-2</v>
      </c>
      <c r="Z2392">
        <v>-3.9283749999999996E-3</v>
      </c>
      <c r="AA2392">
        <v>0.99876860000000001</v>
      </c>
      <c r="AB2392">
        <v>45</v>
      </c>
      <c r="AC2392">
        <v>-9.8218999999999692</v>
      </c>
      <c r="AD2392">
        <v>-1.1074595976891</v>
      </c>
      <c r="AE2392">
        <v>-0.42029999999999701</v>
      </c>
      <c r="AF2392">
        <v>-0.506693221185054</v>
      </c>
      <c r="AG2392">
        <v>-1.1074595976891</v>
      </c>
      <c r="AH2392">
        <v>9.6944631086410507</v>
      </c>
      <c r="AI2392">
        <v>96.508200028023495</v>
      </c>
      <c r="AJ2392">
        <v>92.991913054290904</v>
      </c>
      <c r="AK2392">
        <v>9.7706611723931402</v>
      </c>
      <c r="AL2392">
        <v>69.018266782072004</v>
      </c>
      <c r="AM2392">
        <v>95.086049538122793</v>
      </c>
      <c r="AN2392">
        <v>1.0000000239184299</v>
      </c>
    </row>
    <row r="2393" spans="1:40" x14ac:dyDescent="0.25">
      <c r="A2393" t="str">
        <f>"20190304164416596"</f>
        <v>20190304164416596</v>
      </c>
      <c r="B2393" t="str">
        <f>"1551689056592598"</f>
        <v>1551689056592598</v>
      </c>
      <c r="C2393" t="s">
        <v>40</v>
      </c>
      <c r="D2393">
        <v>4.9828199999999896</v>
      </c>
      <c r="E2393">
        <v>0.52626280000000003</v>
      </c>
      <c r="F2393" t="s">
        <v>45</v>
      </c>
      <c r="G2393">
        <v>-454.08550000000002</v>
      </c>
      <c r="H2393" s="1">
        <v>6.9084139999999995E-7</v>
      </c>
      <c r="I2393">
        <v>283.39150000000001</v>
      </c>
      <c r="J2393">
        <v>-444.16340000000002</v>
      </c>
      <c r="K2393">
        <v>1.107416</v>
      </c>
      <c r="L2393">
        <v>283.7971</v>
      </c>
      <c r="M2393">
        <v>-0.99978060000000002</v>
      </c>
      <c r="N2393">
        <v>-1.6824519999999999E-2</v>
      </c>
      <c r="O2393">
        <v>1.248807E-2</v>
      </c>
      <c r="P2393">
        <v>-0.93649749999999998</v>
      </c>
      <c r="Q2393">
        <v>0.34253919999999999</v>
      </c>
      <c r="R2393">
        <v>-7.5095239999999994E-2</v>
      </c>
      <c r="S2393">
        <v>-3.3222659999999999</v>
      </c>
      <c r="T2393">
        <v>-0.3549408</v>
      </c>
      <c r="U2393">
        <v>-0.12783810000000001</v>
      </c>
      <c r="V2393">
        <v>-8.3744120000000005E-2</v>
      </c>
      <c r="W2393">
        <v>0.35895339999999998</v>
      </c>
      <c r="X2393">
        <v>0.9295909</v>
      </c>
      <c r="Y2393">
        <v>-5.0545159999999999E-2</v>
      </c>
      <c r="Z2393">
        <v>-4.2386139999999999E-3</v>
      </c>
      <c r="AA2393">
        <v>0.99871279999999996</v>
      </c>
      <c r="AB2393">
        <v>45</v>
      </c>
      <c r="AC2393">
        <v>-9.9221000000000004</v>
      </c>
      <c r="AD2393">
        <v>-1.1074153091586001</v>
      </c>
      <c r="AE2393">
        <v>-0.40559999999999202</v>
      </c>
      <c r="AF2393">
        <v>-0.52298974594064795</v>
      </c>
      <c r="AG2393">
        <v>-1.1074153091586001</v>
      </c>
      <c r="AH2393">
        <v>9.7944541097868107</v>
      </c>
      <c r="AI2393">
        <v>96.441683786941894</v>
      </c>
      <c r="AJ2393">
        <v>93.056492453570499</v>
      </c>
      <c r="AK2393">
        <v>9.8707253152966299</v>
      </c>
      <c r="AL2393">
        <v>68.964063839177101</v>
      </c>
      <c r="AM2393">
        <v>95.147713149459605</v>
      </c>
      <c r="AN2393">
        <v>0.99999993118446895</v>
      </c>
    </row>
    <row r="2394" spans="1:40" x14ac:dyDescent="0.25">
      <c r="A2394" t="str">
        <f>"20190304164416617"</f>
        <v>20190304164416617</v>
      </c>
      <c r="B2394" t="str">
        <f>"1551689056612117"</f>
        <v>1551689056612117</v>
      </c>
      <c r="C2394" t="s">
        <v>40</v>
      </c>
      <c r="D2394">
        <v>5.0079820000000002</v>
      </c>
      <c r="E2394">
        <v>0.52620739999999999</v>
      </c>
      <c r="F2394" t="s">
        <v>41</v>
      </c>
      <c r="G2394">
        <v>-445.25170000000003</v>
      </c>
      <c r="H2394">
        <v>0.9917977</v>
      </c>
      <c r="I2394">
        <v>283.75760000000002</v>
      </c>
      <c r="J2394">
        <v>-444.61529999999999</v>
      </c>
      <c r="K2394">
        <v>1.1073919999999999</v>
      </c>
      <c r="L2394">
        <v>283.80540000000002</v>
      </c>
      <c r="M2394">
        <v>-0.99973230000000002</v>
      </c>
      <c r="N2394">
        <v>-1.7083649999999999E-2</v>
      </c>
      <c r="O2394">
        <v>1.5602609999999999E-2</v>
      </c>
      <c r="P2394">
        <v>-0.93643679999999996</v>
      </c>
      <c r="Q2394">
        <v>0.34304459999999998</v>
      </c>
      <c r="R2394">
        <v>-7.3527389999999998E-2</v>
      </c>
      <c r="S2394">
        <v>-3.3228149999999999</v>
      </c>
      <c r="T2394">
        <v>-0.3529795</v>
      </c>
      <c r="U2394">
        <v>-0.12142940000000001</v>
      </c>
      <c r="V2394">
        <v>-8.5032369999999996E-2</v>
      </c>
      <c r="W2394">
        <v>0.35971789999999998</v>
      </c>
      <c r="X2394">
        <v>0.92917839999999996</v>
      </c>
      <c r="Y2394">
        <v>-5.1710399999999997E-2</v>
      </c>
      <c r="Z2394">
        <v>-4.567761E-3</v>
      </c>
      <c r="AA2394">
        <v>0.99865170000000003</v>
      </c>
      <c r="AB2394">
        <v>44</v>
      </c>
      <c r="AC2394">
        <v>-0.63640000000003705</v>
      </c>
      <c r="AD2394">
        <v>-0.1155943</v>
      </c>
      <c r="AE2394">
        <v>-4.7799999999995103E-2</v>
      </c>
      <c r="AF2394">
        <v>-5.5891486405232699E-2</v>
      </c>
      <c r="AG2394">
        <v>-0.1155943</v>
      </c>
      <c r="AH2394">
        <v>0.61538745036509301</v>
      </c>
      <c r="AI2394">
        <v>100.595847427595</v>
      </c>
      <c r="AJ2394">
        <v>95.189550691825403</v>
      </c>
      <c r="AK2394">
        <v>0.62863949487120696</v>
      </c>
      <c r="AL2394">
        <v>68.917127362497197</v>
      </c>
      <c r="AM2394">
        <v>95.228773421168995</v>
      </c>
      <c r="AN2394">
        <v>0.99999998527739298</v>
      </c>
    </row>
    <row r="2395" spans="1:40" x14ac:dyDescent="0.25">
      <c r="A2395" t="str">
        <f>"20190304164416640"</f>
        <v>20190304164416640</v>
      </c>
      <c r="B2395" t="str">
        <f>"1551689056632613"</f>
        <v>1551689056632613</v>
      </c>
      <c r="C2395" t="s">
        <v>40</v>
      </c>
      <c r="D2395">
        <v>5.0330870000000001</v>
      </c>
      <c r="E2395">
        <v>0.52609629999999996</v>
      </c>
      <c r="F2395" t="s">
        <v>41</v>
      </c>
      <c r="G2395">
        <v>-445.65249999999997</v>
      </c>
      <c r="H2395">
        <v>0.99774379999999996</v>
      </c>
      <c r="I2395">
        <v>283.7697</v>
      </c>
      <c r="J2395">
        <v>-445.06040000000002</v>
      </c>
      <c r="K2395">
        <v>1.1073789999999999</v>
      </c>
      <c r="L2395">
        <v>283.81490000000002</v>
      </c>
      <c r="M2395">
        <v>-0.99967550000000005</v>
      </c>
      <c r="N2395">
        <v>-1.7314360000000001E-2</v>
      </c>
      <c r="O2395">
        <v>1.8686020000000001E-2</v>
      </c>
      <c r="P2395">
        <v>-0.93661609999999995</v>
      </c>
      <c r="Q2395">
        <v>0.34306679999999901</v>
      </c>
      <c r="R2395">
        <v>-7.1102730000000003E-2</v>
      </c>
      <c r="S2395">
        <v>-3.323242</v>
      </c>
      <c r="T2395">
        <v>-0.35120489999999999</v>
      </c>
      <c r="U2395">
        <v>-0.115387</v>
      </c>
      <c r="V2395">
        <v>-8.5459149999999998E-2</v>
      </c>
      <c r="W2395">
        <v>0.35996529999999999</v>
      </c>
      <c r="X2395">
        <v>0.92904350000000002</v>
      </c>
      <c r="Y2395">
        <v>-5.2955960000000003E-2</v>
      </c>
      <c r="Z2395">
        <v>-4.895796E-3</v>
      </c>
      <c r="AA2395">
        <v>0.9985849</v>
      </c>
      <c r="AB2395">
        <v>44</v>
      </c>
      <c r="AC2395">
        <v>-0.59209999999995899</v>
      </c>
      <c r="AD2395">
        <v>-0.1096352</v>
      </c>
      <c r="AE2395">
        <v>-4.52000000000225E-2</v>
      </c>
      <c r="AF2395">
        <v>-5.4403320947580103E-2</v>
      </c>
      <c r="AG2395">
        <v>-0.1096352</v>
      </c>
      <c r="AH2395">
        <v>0.57166559709517595</v>
      </c>
      <c r="AI2395">
        <v>100.80880386728001</v>
      </c>
      <c r="AJ2395">
        <v>95.436257524285907</v>
      </c>
      <c r="AK2395">
        <v>0.58462052077510096</v>
      </c>
      <c r="AL2395">
        <v>68.901936204170497</v>
      </c>
      <c r="AM2395">
        <v>95.255628986865801</v>
      </c>
      <c r="AN2395">
        <v>1.00000005420752</v>
      </c>
    </row>
    <row r="2396" spans="1:40" x14ac:dyDescent="0.25">
      <c r="A2396" t="str">
        <f>"20190304164416662"</f>
        <v>20190304164416662</v>
      </c>
      <c r="B2396" t="str">
        <f>"1551689056652133"</f>
        <v>1551689056652133</v>
      </c>
      <c r="C2396" t="s">
        <v>40</v>
      </c>
      <c r="D2396">
        <v>5.0500449999999999</v>
      </c>
      <c r="E2396">
        <v>0.50173690000000004</v>
      </c>
      <c r="F2396" t="s">
        <v>41</v>
      </c>
      <c r="G2396">
        <v>-446.0514</v>
      </c>
      <c r="H2396">
        <v>1.002542</v>
      </c>
      <c r="I2396">
        <v>283.7833</v>
      </c>
      <c r="J2396">
        <v>-445.49889999999999</v>
      </c>
      <c r="K2396">
        <v>1.1073630000000001</v>
      </c>
      <c r="L2396">
        <v>283.82569999999998</v>
      </c>
      <c r="M2396">
        <v>-0.9996102</v>
      </c>
      <c r="N2396">
        <v>-1.751782E-2</v>
      </c>
      <c r="O2396">
        <v>2.173713E-2</v>
      </c>
      <c r="P2396">
        <v>-0.9367162</v>
      </c>
      <c r="Q2396">
        <v>0.34327029999999997</v>
      </c>
      <c r="R2396">
        <v>-6.8762619999999997E-2</v>
      </c>
      <c r="S2396">
        <v>-3.3237610000000002</v>
      </c>
      <c r="T2396">
        <v>-0.35157430000000001</v>
      </c>
      <c r="U2396">
        <v>-0.10632320000000001</v>
      </c>
      <c r="V2396">
        <v>-8.5949910000000004E-2</v>
      </c>
      <c r="W2396">
        <v>0.36036560000000001</v>
      </c>
      <c r="X2396">
        <v>0.92884299999999997</v>
      </c>
      <c r="Y2396">
        <v>-5.326355E-2</v>
      </c>
      <c r="Z2396">
        <v>-5.1891810000000002E-3</v>
      </c>
      <c r="AA2396">
        <v>0.99856699999999998</v>
      </c>
      <c r="AB2396">
        <v>44</v>
      </c>
      <c r="AC2396">
        <v>-0.55250000000000898</v>
      </c>
      <c r="AD2396">
        <v>-0.104820999999999</v>
      </c>
      <c r="AE2396">
        <v>-4.23999999999864E-2</v>
      </c>
      <c r="AF2396">
        <v>-5.2522164040545001E-2</v>
      </c>
      <c r="AG2396">
        <v>-0.104820999999999</v>
      </c>
      <c r="AH2396">
        <v>0.53239664790799301</v>
      </c>
      <c r="AI2396">
        <v>101.085755390982</v>
      </c>
      <c r="AJ2396">
        <v>95.634131076271004</v>
      </c>
      <c r="AK2396">
        <v>0.54515338250823397</v>
      </c>
      <c r="AL2396">
        <v>68.877350325454998</v>
      </c>
      <c r="AM2396">
        <v>95.286774135243604</v>
      </c>
      <c r="AN2396">
        <v>1.00000003567068</v>
      </c>
    </row>
    <row r="2397" spans="1:40" x14ac:dyDescent="0.25">
      <c r="A2397" t="str">
        <f>"20190304164416685"</f>
        <v>20190304164416685</v>
      </c>
      <c r="B2397" t="str">
        <f>"1551689056682390"</f>
        <v>1551689056682390</v>
      </c>
      <c r="C2397" t="s">
        <v>40</v>
      </c>
      <c r="D2397">
        <v>4.9219520000000001</v>
      </c>
      <c r="E2397">
        <v>0.49757800000000002</v>
      </c>
      <c r="F2397" t="s">
        <v>45</v>
      </c>
      <c r="G2397">
        <v>-456.25839999999999</v>
      </c>
      <c r="H2397" s="1">
        <v>1.869505E-6</v>
      </c>
      <c r="I2397">
        <v>282.88040000000001</v>
      </c>
      <c r="J2397">
        <v>-445.94009999999997</v>
      </c>
      <c r="K2397">
        <v>1.107362</v>
      </c>
      <c r="L2397">
        <v>283.83800000000002</v>
      </c>
      <c r="M2397">
        <v>-0.99953550000000002</v>
      </c>
      <c r="N2397">
        <v>-1.7699739999999999E-2</v>
      </c>
      <c r="O2397">
        <v>2.4811550000000002E-2</v>
      </c>
      <c r="P2397">
        <v>-0.93690059999999997</v>
      </c>
      <c r="Q2397">
        <v>0.343120599999999</v>
      </c>
      <c r="R2397">
        <v>-6.697728E-2</v>
      </c>
      <c r="S2397">
        <v>-3.3060610000000001</v>
      </c>
      <c r="T2397">
        <v>-0.34025850000000002</v>
      </c>
      <c r="U2397">
        <v>-0.29046630000000001</v>
      </c>
      <c r="V2397">
        <v>-8.7033890000000003E-2</v>
      </c>
      <c r="W2397">
        <v>0.3603963</v>
      </c>
      <c r="X2397">
        <v>0.9287301</v>
      </c>
      <c r="Y2397">
        <v>-0.1114395</v>
      </c>
      <c r="Z2397">
        <v>-8.8050609999999994E-3</v>
      </c>
      <c r="AA2397">
        <v>0.99373219999999995</v>
      </c>
      <c r="AB2397">
        <v>44</v>
      </c>
      <c r="AC2397">
        <v>-10.318300000000001</v>
      </c>
      <c r="AD2397">
        <v>-1.107360130495</v>
      </c>
      <c r="AE2397">
        <v>-0.95759999999995604</v>
      </c>
      <c r="AF2397">
        <v>-1.1996590347587299</v>
      </c>
      <c r="AG2397">
        <v>-1.107360130495</v>
      </c>
      <c r="AH2397">
        <v>10.1751666185797</v>
      </c>
      <c r="AI2397">
        <v>96.168644303388007</v>
      </c>
      <c r="AJ2397">
        <v>96.724169268138198</v>
      </c>
      <c r="AK2397">
        <v>10.3053114447913</v>
      </c>
      <c r="AL2397">
        <v>68.875463733095501</v>
      </c>
      <c r="AM2397">
        <v>95.353711706082393</v>
      </c>
      <c r="AN2397">
        <v>0.99999999485411595</v>
      </c>
    </row>
    <row r="2398" spans="1:40" x14ac:dyDescent="0.25">
      <c r="A2398" t="str">
        <f>"20190304164416707"</f>
        <v>20190304164416707</v>
      </c>
      <c r="B2398" t="str">
        <f>"1551689056701910"</f>
        <v>1551689056701910</v>
      </c>
      <c r="C2398" t="s">
        <v>40</v>
      </c>
      <c r="D2398">
        <v>5.0587</v>
      </c>
      <c r="E2398">
        <v>0.49587880000000001</v>
      </c>
      <c r="F2398" t="s">
        <v>45</v>
      </c>
      <c r="G2398">
        <v>-456.68729999999999</v>
      </c>
      <c r="H2398" s="1">
        <v>2.100705E-6</v>
      </c>
      <c r="I2398">
        <v>282.81270000000001</v>
      </c>
      <c r="J2398">
        <v>-446.37830000000002</v>
      </c>
      <c r="K2398">
        <v>1.107361</v>
      </c>
      <c r="L2398">
        <v>283.85140000000001</v>
      </c>
      <c r="M2398">
        <v>-0.99945220000000001</v>
      </c>
      <c r="N2398">
        <v>-1.7859110000000001E-2</v>
      </c>
      <c r="O2398">
        <v>2.786019E-2</v>
      </c>
      <c r="P2398">
        <v>-0.93694869999999997</v>
      </c>
      <c r="Q2398">
        <v>0.34326329999999999</v>
      </c>
      <c r="R2398">
        <v>-6.5557270000000001E-2</v>
      </c>
      <c r="S2398">
        <v>-3.3041990000000001</v>
      </c>
      <c r="T2398">
        <v>-0.34045530000000002</v>
      </c>
      <c r="U2398">
        <v>-0.315216099999999</v>
      </c>
      <c r="V2398">
        <v>-8.8461590000000007E-2</v>
      </c>
      <c r="W2398">
        <v>0.36069649999999998</v>
      </c>
      <c r="X2398">
        <v>0.92847869999999999</v>
      </c>
      <c r="Y2398">
        <v>-0.1218176</v>
      </c>
      <c r="Z2398">
        <v>-9.7009190000000006E-3</v>
      </c>
      <c r="AA2398">
        <v>0.99250510000000003</v>
      </c>
      <c r="AB2398">
        <v>44</v>
      </c>
      <c r="AC2398">
        <v>-10.3089999999999</v>
      </c>
      <c r="AD2398">
        <v>-1.1073588992950001</v>
      </c>
      <c r="AE2398">
        <v>-1.0387</v>
      </c>
      <c r="AF2398">
        <v>-1.3105832196915901</v>
      </c>
      <c r="AG2398">
        <v>-1.1073588992950001</v>
      </c>
      <c r="AH2398">
        <v>10.1600025499372</v>
      </c>
      <c r="AI2398">
        <v>96.169509935572293</v>
      </c>
      <c r="AJ2398">
        <v>97.350244582234097</v>
      </c>
      <c r="AK2398">
        <v>10.3038596614238</v>
      </c>
      <c r="AL2398">
        <v>68.857024638182395</v>
      </c>
      <c r="AM2398">
        <v>95.442475318041801</v>
      </c>
      <c r="AN2398">
        <v>1.00000005718563</v>
      </c>
    </row>
    <row r="2399" spans="1:40" x14ac:dyDescent="0.25">
      <c r="A2399" t="str">
        <f>"20190304164416729"</f>
        <v>20190304164416729</v>
      </c>
      <c r="B2399" t="str">
        <f>"1551689056722405"</f>
        <v>1551689056722405</v>
      </c>
      <c r="C2399" t="s">
        <v>40</v>
      </c>
      <c r="D2399">
        <v>5.000909</v>
      </c>
      <c r="E2399">
        <v>0.49498900000000001</v>
      </c>
      <c r="F2399" t="s">
        <v>45</v>
      </c>
      <c r="G2399">
        <v>-457.15839999999997</v>
      </c>
      <c r="H2399" s="1">
        <v>2.351722E-6</v>
      </c>
      <c r="I2399">
        <v>282.80540000000002</v>
      </c>
      <c r="J2399">
        <v>-446.81970000000001</v>
      </c>
      <c r="K2399">
        <v>1.1073809999999999</v>
      </c>
      <c r="L2399">
        <v>283.86619999999999</v>
      </c>
      <c r="M2399">
        <v>-0.99935980000000002</v>
      </c>
      <c r="N2399">
        <v>-1.7999680000000001E-2</v>
      </c>
      <c r="O2399">
        <v>3.0918250000000001E-2</v>
      </c>
      <c r="P2399">
        <v>-0.93728109999999998</v>
      </c>
      <c r="Q2399">
        <v>0.34257080000000001</v>
      </c>
      <c r="R2399">
        <v>-6.4417589999999997E-2</v>
      </c>
      <c r="S2399">
        <v>-3.3038020000000001</v>
      </c>
      <c r="T2399">
        <v>-0.33937309999999998</v>
      </c>
      <c r="U2399">
        <v>-0.32055660000000002</v>
      </c>
      <c r="V2399">
        <v>-9.0205419999999994E-2</v>
      </c>
      <c r="W2399">
        <v>0.36014990000000002</v>
      </c>
      <c r="X2399">
        <v>0.92852310000000005</v>
      </c>
      <c r="Y2399">
        <v>-0.12641939999999999</v>
      </c>
      <c r="Z2399">
        <v>-1.021209E-2</v>
      </c>
      <c r="AA2399">
        <v>0.99192429999999998</v>
      </c>
      <c r="AB2399">
        <v>44</v>
      </c>
      <c r="AC2399">
        <v>-10.3386999999999</v>
      </c>
      <c r="AD2399">
        <v>-1.1073786482779999</v>
      </c>
      <c r="AE2399">
        <v>-1.06079999999997</v>
      </c>
      <c r="AF2399">
        <v>-1.3645076899650299</v>
      </c>
      <c r="AG2399">
        <v>-1.1073786482779999</v>
      </c>
      <c r="AH2399">
        <v>10.1853179157879</v>
      </c>
      <c r="AI2399">
        <v>96.150477831548898</v>
      </c>
      <c r="AJ2399">
        <v>97.6303745742985</v>
      </c>
      <c r="AK2399">
        <v>10.3358052299908</v>
      </c>
      <c r="AL2399">
        <v>68.890599098167996</v>
      </c>
      <c r="AM2399">
        <v>95.548835096469006</v>
      </c>
      <c r="AN2399">
        <v>1.0000000577504899</v>
      </c>
    </row>
    <row r="2400" spans="1:40" x14ac:dyDescent="0.25">
      <c r="A2400" t="str">
        <f>"20190304164416751"</f>
        <v>20190304164416751</v>
      </c>
      <c r="B2400" t="str">
        <f>"1551689056741926"</f>
        <v>1551689056741926</v>
      </c>
      <c r="C2400" t="s">
        <v>40</v>
      </c>
      <c r="D2400">
        <v>5.0622809999999996</v>
      </c>
      <c r="E2400">
        <v>0.49415789999999998</v>
      </c>
      <c r="F2400" t="s">
        <v>45</v>
      </c>
      <c r="G2400">
        <v>-457.4787</v>
      </c>
      <c r="H2400" s="1">
        <v>2.5211599999999998E-6</v>
      </c>
      <c r="I2400">
        <v>282.82830000000001</v>
      </c>
      <c r="J2400">
        <v>-447.24369999999999</v>
      </c>
      <c r="K2400">
        <v>1.1074010000000001</v>
      </c>
      <c r="L2400">
        <v>283.8818</v>
      </c>
      <c r="M2400">
        <v>-0.99926329999999997</v>
      </c>
      <c r="N2400">
        <v>-1.8117029999999999E-2</v>
      </c>
      <c r="O2400">
        <v>3.3834620000000003E-2</v>
      </c>
      <c r="P2400">
        <v>-0.93744380000000005</v>
      </c>
      <c r="Q2400">
        <v>0.3422615</v>
      </c>
      <c r="R2400">
        <v>-6.3690479999999994E-2</v>
      </c>
      <c r="S2400">
        <v>-3.304138</v>
      </c>
      <c r="T2400">
        <v>-0.34327239999999998</v>
      </c>
      <c r="U2400">
        <v>-0.3217468</v>
      </c>
      <c r="V2400">
        <v>-9.2230039999999999E-2</v>
      </c>
      <c r="W2400">
        <v>0.35996119999999998</v>
      </c>
      <c r="X2400">
        <v>0.92839729999999998</v>
      </c>
      <c r="Y2400">
        <v>-0.1296071</v>
      </c>
      <c r="Z2400">
        <v>-1.07677E-2</v>
      </c>
      <c r="AA2400">
        <v>0.99150689999999997</v>
      </c>
      <c r="AB2400">
        <v>44</v>
      </c>
      <c r="AC2400">
        <v>-10.234999999999999</v>
      </c>
      <c r="AD2400">
        <v>-1.10739847884</v>
      </c>
      <c r="AE2400">
        <v>-1.0534999999999799</v>
      </c>
      <c r="AF2400">
        <v>-1.38322759058338</v>
      </c>
      <c r="AG2400">
        <v>-1.10739847884</v>
      </c>
      <c r="AH2400">
        <v>10.076759111901</v>
      </c>
      <c r="AI2400">
        <v>96.213621854609499</v>
      </c>
      <c r="AJ2400">
        <v>97.816091636043794</v>
      </c>
      <c r="AK2400">
        <v>10.231359839120501</v>
      </c>
      <c r="AL2400">
        <v>68.9021867133211</v>
      </c>
      <c r="AM2400">
        <v>95.673336415627404</v>
      </c>
      <c r="AN2400">
        <v>0.99999999621556501</v>
      </c>
    </row>
    <row r="2401" spans="1:40" x14ac:dyDescent="0.25">
      <c r="A2401" t="str">
        <f>"20190304164416774"</f>
        <v>20190304164416774</v>
      </c>
      <c r="B2401" t="str">
        <f>"1551689056762422"</f>
        <v>1551689056762422</v>
      </c>
      <c r="C2401" t="s">
        <v>40</v>
      </c>
      <c r="D2401">
        <v>5.0605330000000004</v>
      </c>
      <c r="E2401">
        <v>0.49349720000000002</v>
      </c>
      <c r="F2401" t="s">
        <v>45</v>
      </c>
      <c r="G2401">
        <v>-457.82940000000002</v>
      </c>
      <c r="H2401" s="1">
        <v>2.7070020000000001E-6</v>
      </c>
      <c r="I2401">
        <v>282.84649999999999</v>
      </c>
      <c r="J2401">
        <v>-447.678</v>
      </c>
      <c r="K2401">
        <v>1.107442</v>
      </c>
      <c r="L2401">
        <v>283.899</v>
      </c>
      <c r="M2401">
        <v>-0.99915670000000001</v>
      </c>
      <c r="N2401">
        <v>-1.8229479999999999E-2</v>
      </c>
      <c r="O2401">
        <v>3.6792940000000003E-2</v>
      </c>
      <c r="P2401">
        <v>-0.93749139999999997</v>
      </c>
      <c r="Q2401">
        <v>0.34223629999999999</v>
      </c>
      <c r="R2401">
        <v>-6.3122780000000003E-2</v>
      </c>
      <c r="S2401">
        <v>-3.3044129999999998</v>
      </c>
      <c r="T2401">
        <v>-0.34568310000000002</v>
      </c>
      <c r="U2401">
        <v>-0.3231812</v>
      </c>
      <c r="V2401">
        <v>-9.4456180000000001E-2</v>
      </c>
      <c r="W2401">
        <v>0.36004930000000002</v>
      </c>
      <c r="X2401">
        <v>0.9281393</v>
      </c>
      <c r="Y2401">
        <v>-0.13291520000000001</v>
      </c>
      <c r="Z2401">
        <v>-1.129836E-2</v>
      </c>
      <c r="AA2401">
        <v>0.99106300000000003</v>
      </c>
      <c r="AB2401">
        <v>44</v>
      </c>
      <c r="AC2401">
        <v>-10.151399999999899</v>
      </c>
      <c r="AD2401">
        <v>-1.1074392929979999</v>
      </c>
      <c r="AE2401">
        <v>-1.0525</v>
      </c>
      <c r="AF2401">
        <v>-1.40876148986951</v>
      </c>
      <c r="AG2401">
        <v>-1.1074392929979999</v>
      </c>
      <c r="AH2401">
        <v>9.9881868798599402</v>
      </c>
      <c r="AI2401">
        <v>96.265312138969904</v>
      </c>
      <c r="AJ2401">
        <v>98.028199479017204</v>
      </c>
      <c r="AK2401">
        <v>10.147655289278401</v>
      </c>
      <c r="AL2401">
        <v>68.896776580002793</v>
      </c>
      <c r="AM2401">
        <v>95.8109508713666</v>
      </c>
      <c r="AN2401">
        <v>1.00000001428758</v>
      </c>
    </row>
    <row r="2402" spans="1:40" x14ac:dyDescent="0.25">
      <c r="A2402" t="str">
        <f>"20190304164416797"</f>
        <v>20190304164416797</v>
      </c>
      <c r="B2402" t="str">
        <f>"1551689056792678"</f>
        <v>1551689056792678</v>
      </c>
      <c r="C2402" t="s">
        <v>40</v>
      </c>
      <c r="D2402">
        <v>5.0887019999999996</v>
      </c>
      <c r="E2402">
        <v>0.4928167</v>
      </c>
      <c r="F2402" t="s">
        <v>45</v>
      </c>
      <c r="G2402">
        <v>-458.28379999999999</v>
      </c>
      <c r="H2402" s="1">
        <v>2.9484049999999999E-6</v>
      </c>
      <c r="I2402">
        <v>282.85520000000002</v>
      </c>
      <c r="J2402">
        <v>-448.12759999999997</v>
      </c>
      <c r="K2402">
        <v>1.1074980000000001</v>
      </c>
      <c r="L2402">
        <v>283.91820000000001</v>
      </c>
      <c r="M2402">
        <v>-0.9990388</v>
      </c>
      <c r="N2402">
        <v>-1.8350849999999998E-2</v>
      </c>
      <c r="O2402">
        <v>3.9810079999999998E-2</v>
      </c>
      <c r="P2402">
        <v>-0.93775810000000004</v>
      </c>
      <c r="Q2402">
        <v>0.34174070000000001</v>
      </c>
      <c r="R2402">
        <v>-6.1829259999999997E-2</v>
      </c>
      <c r="S2402">
        <v>-3.3040769999999902</v>
      </c>
      <c r="T2402">
        <v>-0.34500609999999998</v>
      </c>
      <c r="U2402">
        <v>-0.32516479999999998</v>
      </c>
      <c r="V2402">
        <v>-9.6037369999999997E-2</v>
      </c>
      <c r="W2402">
        <v>0.35966989999999999</v>
      </c>
      <c r="X2402">
        <v>0.92812410000000001</v>
      </c>
      <c r="Y2402">
        <v>-0.1364756</v>
      </c>
      <c r="Z2402">
        <v>-1.175817E-2</v>
      </c>
      <c r="AA2402">
        <v>0.99057360000000005</v>
      </c>
      <c r="AB2402">
        <v>44</v>
      </c>
      <c r="AC2402">
        <v>-10.1562</v>
      </c>
      <c r="AD2402">
        <v>-1.1074950515949999</v>
      </c>
      <c r="AE2402">
        <v>-1.06299999999998</v>
      </c>
      <c r="AF2402">
        <v>-1.44949496244443</v>
      </c>
      <c r="AG2402">
        <v>-1.1074950515949999</v>
      </c>
      <c r="AH2402">
        <v>9.9883358463709992</v>
      </c>
      <c r="AI2402">
        <v>96.261981127271696</v>
      </c>
      <c r="AJ2402">
        <v>98.257051726379899</v>
      </c>
      <c r="AK2402">
        <v>10.153542924288001</v>
      </c>
      <c r="AL2402">
        <v>68.920074698919294</v>
      </c>
      <c r="AM2402">
        <v>95.907639509941305</v>
      </c>
      <c r="AN2402">
        <v>0.99999997920166805</v>
      </c>
    </row>
    <row r="2403" spans="1:40" x14ac:dyDescent="0.25">
      <c r="A2403" t="str">
        <f>"20190304164416819"</f>
        <v>20190304164416819</v>
      </c>
      <c r="B2403" t="str">
        <f>"1551689056812201"</f>
        <v>1551689056812201</v>
      </c>
      <c r="C2403" t="s">
        <v>40</v>
      </c>
      <c r="D2403">
        <v>5.0587359999999997</v>
      </c>
      <c r="E2403">
        <v>0.49232199999999998</v>
      </c>
      <c r="F2403" t="s">
        <v>45</v>
      </c>
      <c r="G2403">
        <v>-458.71660000000003</v>
      </c>
      <c r="H2403" s="1">
        <v>3.177912E-6</v>
      </c>
      <c r="I2403">
        <v>282.87349999999998</v>
      </c>
      <c r="J2403">
        <v>-448.55919999999998</v>
      </c>
      <c r="K2403">
        <v>1.1075710000000001</v>
      </c>
      <c r="L2403">
        <v>283.93790000000001</v>
      </c>
      <c r="M2403">
        <v>-0.9989188</v>
      </c>
      <c r="N2403">
        <v>-1.8487679999999999E-2</v>
      </c>
      <c r="O2403">
        <v>4.2656199999999998E-2</v>
      </c>
      <c r="P2403">
        <v>-0.9378824</v>
      </c>
      <c r="Q2403">
        <v>0.34165050000000002</v>
      </c>
      <c r="R2403">
        <v>-6.0429919999999998E-2</v>
      </c>
      <c r="S2403">
        <v>-3.3034970000000001</v>
      </c>
      <c r="T2403">
        <v>-0.34551219999999999</v>
      </c>
      <c r="U2403">
        <v>-0.32592769999999999</v>
      </c>
      <c r="V2403">
        <v>-9.7349870000000005E-2</v>
      </c>
      <c r="W2403">
        <v>0.35970410000000003</v>
      </c>
      <c r="X2403">
        <v>0.92797410000000002</v>
      </c>
      <c r="Y2403">
        <v>-0.13950699999999999</v>
      </c>
      <c r="Z2403">
        <v>-1.2210199999999999E-2</v>
      </c>
      <c r="AA2403">
        <v>0.99014579999999996</v>
      </c>
      <c r="AB2403">
        <v>43</v>
      </c>
      <c r="AC2403">
        <v>-10.157400000000001</v>
      </c>
      <c r="AD2403">
        <v>-1.1075678220880001</v>
      </c>
      <c r="AE2403">
        <v>-1.06440000000003</v>
      </c>
      <c r="AF2403">
        <v>-1.4793824410358301</v>
      </c>
      <c r="AG2403">
        <v>-1.1075678220880001</v>
      </c>
      <c r="AH2403">
        <v>9.9853066365377394</v>
      </c>
      <c r="AI2403">
        <v>96.261565163902205</v>
      </c>
      <c r="AJ2403">
        <v>98.427405593121904</v>
      </c>
      <c r="AK2403">
        <v>10.1548819546587</v>
      </c>
      <c r="AL2403">
        <v>68.917974727208502</v>
      </c>
      <c r="AM2403">
        <v>95.988754775001695</v>
      </c>
      <c r="AN2403">
        <v>0.99999998350831798</v>
      </c>
    </row>
    <row r="2404" spans="1:40" x14ac:dyDescent="0.25">
      <c r="A2404" t="str">
        <f>"20190304164416841"</f>
        <v>20190304164416841</v>
      </c>
      <c r="B2404" t="str">
        <f>"1551689056832693"</f>
        <v>1551689056832693</v>
      </c>
      <c r="C2404" t="s">
        <v>40</v>
      </c>
      <c r="D2404">
        <v>5.2284110000000004</v>
      </c>
      <c r="E2404">
        <v>0.4919869</v>
      </c>
      <c r="F2404" t="s">
        <v>45</v>
      </c>
      <c r="G2404">
        <v>-459.21159999999998</v>
      </c>
      <c r="H2404" s="1">
        <v>3.4405660000000001E-6</v>
      </c>
      <c r="I2404">
        <v>282.89109999999999</v>
      </c>
      <c r="J2404">
        <v>-448.98320000000001</v>
      </c>
      <c r="K2404">
        <v>1.107653</v>
      </c>
      <c r="L2404">
        <v>283.95850000000002</v>
      </c>
      <c r="M2404">
        <v>-0.99879470000000004</v>
      </c>
      <c r="N2404">
        <v>-1.8644339999999999E-2</v>
      </c>
      <c r="O2404">
        <v>4.5407299999999998E-2</v>
      </c>
      <c r="P2404">
        <v>-0.93792900000000001</v>
      </c>
      <c r="Q2404">
        <v>0.34177089999999999</v>
      </c>
      <c r="R2404">
        <v>-5.9011139999999997E-2</v>
      </c>
      <c r="S2404">
        <v>-3.3028870000000001</v>
      </c>
      <c r="T2404">
        <v>-0.34341369999999999</v>
      </c>
      <c r="U2404">
        <v>-0.32458500000000001</v>
      </c>
      <c r="V2404">
        <v>-9.8552550000000003E-2</v>
      </c>
      <c r="W2404">
        <v>0.35996349999999999</v>
      </c>
      <c r="X2404">
        <v>0.92774650000000003</v>
      </c>
      <c r="Y2404">
        <v>-0.1418394</v>
      </c>
      <c r="Z2404">
        <v>-1.252227E-2</v>
      </c>
      <c r="AA2404">
        <v>0.98981050000000004</v>
      </c>
      <c r="AB2404">
        <v>43</v>
      </c>
      <c r="AC2404">
        <v>-10.228399999999899</v>
      </c>
      <c r="AD2404">
        <v>-1.1076495594339999</v>
      </c>
      <c r="AE2404">
        <v>-1.0674000000000201</v>
      </c>
      <c r="AF2404">
        <v>-1.5132683413766601</v>
      </c>
      <c r="AG2404">
        <v>-1.1076495594339999</v>
      </c>
      <c r="AH2404">
        <v>10.052750893711799</v>
      </c>
      <c r="AI2404">
        <v>96.218199355184396</v>
      </c>
      <c r="AJ2404">
        <v>98.560616497596598</v>
      </c>
      <c r="AK2404">
        <v>10.2261756854921</v>
      </c>
      <c r="AL2404">
        <v>68.902044384515605</v>
      </c>
      <c r="AM2404">
        <v>96.063669581943202</v>
      </c>
      <c r="AN2404">
        <v>0.99999994735300002</v>
      </c>
    </row>
    <row r="2405" spans="1:40" x14ac:dyDescent="0.25">
      <c r="A2405" t="str">
        <f>"20190304164416863"</f>
        <v>20190304164416863</v>
      </c>
      <c r="B2405" t="str">
        <f>"1551689056852213"</f>
        <v>1551689056852213</v>
      </c>
      <c r="C2405" t="s">
        <v>40</v>
      </c>
      <c r="D2405">
        <v>5.1320110000000003</v>
      </c>
      <c r="E2405">
        <v>0.48682340000000002</v>
      </c>
      <c r="F2405" t="s">
        <v>45</v>
      </c>
      <c r="G2405">
        <v>-459.6447</v>
      </c>
      <c r="H2405" s="1">
        <v>3.669623E-6</v>
      </c>
      <c r="I2405">
        <v>282.9239</v>
      </c>
      <c r="J2405">
        <v>-449.41489999999999</v>
      </c>
      <c r="K2405">
        <v>1.107742</v>
      </c>
      <c r="L2405">
        <v>283.98059999999998</v>
      </c>
      <c r="M2405">
        <v>-0.99866270000000001</v>
      </c>
      <c r="N2405">
        <v>-1.8812990000000002E-2</v>
      </c>
      <c r="O2405">
        <v>4.8156259999999999E-2</v>
      </c>
      <c r="P2405">
        <v>-0.93813340000000001</v>
      </c>
      <c r="Q2405">
        <v>0.34139779999999997</v>
      </c>
      <c r="R2405">
        <v>-5.7911440000000002E-2</v>
      </c>
      <c r="S2405">
        <v>-3.303436</v>
      </c>
      <c r="T2405">
        <v>-0.34320030000000001</v>
      </c>
      <c r="U2405">
        <v>-0.32055660000000002</v>
      </c>
      <c r="V2405">
        <v>-0.1000868</v>
      </c>
      <c r="W2405">
        <v>0.35974499999999998</v>
      </c>
      <c r="X2405">
        <v>0.92766709999999997</v>
      </c>
      <c r="Y2405">
        <v>-0.14333360000000001</v>
      </c>
      <c r="Z2405">
        <v>-1.284193E-2</v>
      </c>
      <c r="AA2405">
        <v>0.98959109999999995</v>
      </c>
      <c r="AB2405">
        <v>43</v>
      </c>
      <c r="AC2405">
        <v>-10.229799999999999</v>
      </c>
      <c r="AD2405">
        <v>-1.1077383303769901</v>
      </c>
      <c r="AE2405">
        <v>-1.05669999999997</v>
      </c>
      <c r="AF2405">
        <v>-1.53043367065126</v>
      </c>
      <c r="AG2405">
        <v>-1.1077383303769901</v>
      </c>
      <c r="AH2405">
        <v>10.050427141760199</v>
      </c>
      <c r="AI2405">
        <v>96.218528692165194</v>
      </c>
      <c r="AJ2405">
        <v>98.658229652512503</v>
      </c>
      <c r="AK2405">
        <v>10.226455747749601</v>
      </c>
      <c r="AL2405">
        <v>68.915464463609595</v>
      </c>
      <c r="AM2405">
        <v>96.157871132519006</v>
      </c>
      <c r="AN2405">
        <v>1.00000004049082</v>
      </c>
    </row>
    <row r="2406" spans="1:40" x14ac:dyDescent="0.25">
      <c r="A2406" t="str">
        <f>"20190304164416886"</f>
        <v>20190304164416886</v>
      </c>
      <c r="B2406" t="str">
        <f>"1551689056872710"</f>
        <v>1551689056872710</v>
      </c>
      <c r="C2406" t="s">
        <v>40</v>
      </c>
      <c r="D2406">
        <v>5.1350449999999999</v>
      </c>
      <c r="E2406">
        <v>0.4850409</v>
      </c>
      <c r="F2406" t="s">
        <v>45</v>
      </c>
      <c r="G2406">
        <v>-463.49220000000003</v>
      </c>
      <c r="H2406" s="1">
        <v>4.1558680000000002E-7</v>
      </c>
      <c r="I2406">
        <v>282.46519999999998</v>
      </c>
      <c r="J2406">
        <v>-449.83859999999999</v>
      </c>
      <c r="K2406">
        <v>1.107834</v>
      </c>
      <c r="L2406">
        <v>284.0034</v>
      </c>
      <c r="M2406">
        <v>-0.99852890000000005</v>
      </c>
      <c r="N2406">
        <v>-1.8980299999999999E-2</v>
      </c>
      <c r="O2406">
        <v>5.0791280000000001E-2</v>
      </c>
      <c r="P2406">
        <v>-0.93814600000000004</v>
      </c>
      <c r="Q2406">
        <v>0.34156439999999999</v>
      </c>
      <c r="R2406">
        <v>-5.671035E-2</v>
      </c>
      <c r="S2406">
        <v>-3.2697449999999999</v>
      </c>
      <c r="T2406">
        <v>-0.25729679999999999</v>
      </c>
      <c r="U2406">
        <v>-0.35198970000000002</v>
      </c>
      <c r="V2406">
        <v>-0.1014037</v>
      </c>
      <c r="W2406">
        <v>0.36005870000000001</v>
      </c>
      <c r="X2406">
        <v>0.92740230000000001</v>
      </c>
      <c r="Y2406">
        <v>-0.15671669999999999</v>
      </c>
      <c r="Z2406">
        <v>-1.065408E-2</v>
      </c>
      <c r="AA2406">
        <v>0.98758610000000002</v>
      </c>
      <c r="AB2406">
        <v>43</v>
      </c>
      <c r="AC2406">
        <v>-13.653600000000001</v>
      </c>
      <c r="AD2406">
        <v>-1.1078335844131999</v>
      </c>
      <c r="AE2406">
        <v>-1.53820000000001</v>
      </c>
      <c r="AF2406">
        <v>-2.2154203401089601</v>
      </c>
      <c r="AG2406">
        <v>-1.1078335844131999</v>
      </c>
      <c r="AH2406">
        <v>13.4702599973362</v>
      </c>
      <c r="AI2406">
        <v>94.639538712137707</v>
      </c>
      <c r="AJ2406">
        <v>99.339682642075203</v>
      </c>
      <c r="AK2406">
        <v>13.696104808665799</v>
      </c>
      <c r="AL2406">
        <v>68.896199007880298</v>
      </c>
      <c r="AM2406">
        <v>96.2400262556733</v>
      </c>
      <c r="AN2406">
        <v>1.0000000019323301</v>
      </c>
    </row>
    <row r="2407" spans="1:40" x14ac:dyDescent="0.25">
      <c r="A2407" t="str">
        <f>"20190304164416908"</f>
        <v>20190304164416908</v>
      </c>
      <c r="B2407" t="str">
        <f>"1551689056901990"</f>
        <v>1551689056901990</v>
      </c>
      <c r="C2407" t="s">
        <v>40</v>
      </c>
      <c r="D2407">
        <v>5.1239749999999997</v>
      </c>
      <c r="E2407">
        <v>0.48471609999999998</v>
      </c>
      <c r="F2407" t="s">
        <v>45</v>
      </c>
      <c r="G2407">
        <v>-460.68</v>
      </c>
      <c r="H2407" s="1">
        <v>-1.0953750000000001E-6</v>
      </c>
      <c r="I2407">
        <v>282.79640000000001</v>
      </c>
      <c r="J2407">
        <v>-450.27379999999999</v>
      </c>
      <c r="K2407">
        <v>1.107942</v>
      </c>
      <c r="L2407">
        <v>284.02789999999999</v>
      </c>
      <c r="M2407">
        <v>-0.99838819999999995</v>
      </c>
      <c r="N2407">
        <v>-1.915762E-2</v>
      </c>
      <c r="O2407">
        <v>5.3422650000000002E-2</v>
      </c>
      <c r="P2407">
        <v>-0.938361</v>
      </c>
      <c r="Q2407">
        <v>0.34118730000000003</v>
      </c>
      <c r="R2407">
        <v>-5.5405679999999999E-2</v>
      </c>
      <c r="S2407">
        <v>-3.2983090000000002</v>
      </c>
      <c r="T2407">
        <v>-0.33703860000000002</v>
      </c>
      <c r="U2407">
        <v>-0.36721799999999999</v>
      </c>
      <c r="V2407">
        <v>-0.1026401</v>
      </c>
      <c r="W2407">
        <v>0.35983720000000002</v>
      </c>
      <c r="X2407">
        <v>0.92735219999999896</v>
      </c>
      <c r="Y2407">
        <v>-0.1624206</v>
      </c>
      <c r="Z2407">
        <v>-1.4229530000000001E-2</v>
      </c>
      <c r="AA2407">
        <v>0.98661900000000002</v>
      </c>
      <c r="AB2407">
        <v>43</v>
      </c>
      <c r="AC2407">
        <v>-10.4062</v>
      </c>
      <c r="AD2407">
        <v>-1.107943095375</v>
      </c>
      <c r="AE2407">
        <v>-1.2314999999999801</v>
      </c>
      <c r="AF2407">
        <v>-1.7660268326791</v>
      </c>
      <c r="AG2407">
        <v>-1.107943095375</v>
      </c>
      <c r="AH2407">
        <v>10.2113773595583</v>
      </c>
      <c r="AI2407">
        <v>96.102522445347603</v>
      </c>
      <c r="AJ2407">
        <v>99.812071593917096</v>
      </c>
      <c r="AK2407">
        <v>10.422025535165</v>
      </c>
      <c r="AL2407">
        <v>68.909800675577799</v>
      </c>
      <c r="AM2407">
        <v>96.315837271965293</v>
      </c>
      <c r="AN2407">
        <v>0.999999951738343</v>
      </c>
    </row>
    <row r="2408" spans="1:40" x14ac:dyDescent="0.25">
      <c r="A2408" t="str">
        <f>"20190304164416930"</f>
        <v>20190304164416930</v>
      </c>
      <c r="B2408" t="str">
        <f>"1551689056922485"</f>
        <v>1551689056922485</v>
      </c>
      <c r="C2408" t="s">
        <v>40</v>
      </c>
      <c r="D2408">
        <v>5.1005729999999998</v>
      </c>
      <c r="E2408">
        <v>0.48402539999999999</v>
      </c>
      <c r="F2408" t="s">
        <v>45</v>
      </c>
      <c r="G2408">
        <v>-461.07780000000002</v>
      </c>
      <c r="H2408" s="1">
        <v>-8.8532429999999997E-7</v>
      </c>
      <c r="I2408">
        <v>282.83330000000001</v>
      </c>
      <c r="J2408">
        <v>-450.68810000000002</v>
      </c>
      <c r="K2408">
        <v>1.108058</v>
      </c>
      <c r="L2408">
        <v>284.05239999999998</v>
      </c>
      <c r="M2408">
        <v>-0.99825209999999998</v>
      </c>
      <c r="N2408">
        <v>-1.933959E-2</v>
      </c>
      <c r="O2408">
        <v>5.5846819999999998E-2</v>
      </c>
      <c r="P2408">
        <v>-0.93860639999999995</v>
      </c>
      <c r="Q2408">
        <v>0.34068700000000002</v>
      </c>
      <c r="R2408">
        <v>-5.4321630000000003E-2</v>
      </c>
      <c r="S2408">
        <v>-3.2985530000000001</v>
      </c>
      <c r="T2408">
        <v>-0.33826610000000001</v>
      </c>
      <c r="U2408">
        <v>-0.36474610000000002</v>
      </c>
      <c r="V2408">
        <v>-0.1039172</v>
      </c>
      <c r="W2408">
        <v>0.35949409999999998</v>
      </c>
      <c r="X2408">
        <v>0.92734309999999998</v>
      </c>
      <c r="Y2408">
        <v>-0.16405040000000001</v>
      </c>
      <c r="Z2408">
        <v>-1.45834E-2</v>
      </c>
      <c r="AA2408">
        <v>0.9863442</v>
      </c>
      <c r="AB2408">
        <v>43</v>
      </c>
      <c r="AC2408">
        <v>-10.389699999999999</v>
      </c>
      <c r="AD2408">
        <v>-1.1080588853243001</v>
      </c>
      <c r="AE2408">
        <v>-1.2190999999999601</v>
      </c>
      <c r="AF2408">
        <v>-1.77759285142733</v>
      </c>
      <c r="AG2408">
        <v>-1.1080588853243001</v>
      </c>
      <c r="AH2408">
        <v>10.191043240839001</v>
      </c>
      <c r="AI2408">
        <v>96.113726621672996</v>
      </c>
      <c r="AJ2408">
        <v>99.894386132886694</v>
      </c>
      <c r="AK2408">
        <v>10.4040854079271</v>
      </c>
      <c r="AL2408">
        <v>68.930869963474706</v>
      </c>
      <c r="AM2408">
        <v>96.393837498894101</v>
      </c>
      <c r="AN2408">
        <v>1.0000000087541201</v>
      </c>
    </row>
    <row r="2409" spans="1:40" x14ac:dyDescent="0.25">
      <c r="A2409" t="str">
        <f>"20190304164416952"</f>
        <v>20190304164416952</v>
      </c>
      <c r="B2409" t="str">
        <f>"1551689056942006"</f>
        <v>1551689056942006</v>
      </c>
      <c r="C2409" t="s">
        <v>40</v>
      </c>
      <c r="D2409">
        <v>5.1643169999999996</v>
      </c>
      <c r="E2409">
        <v>0.48314649999999998</v>
      </c>
      <c r="F2409" t="s">
        <v>45</v>
      </c>
      <c r="G2409">
        <v>-461.54239999999999</v>
      </c>
      <c r="H2409" s="1">
        <v>-6.3879620000000001E-7</v>
      </c>
      <c r="I2409">
        <v>282.8503</v>
      </c>
      <c r="J2409">
        <v>-451.1087</v>
      </c>
      <c r="K2409">
        <v>1.108198</v>
      </c>
      <c r="L2409">
        <v>284.07810000000001</v>
      </c>
      <c r="M2409">
        <v>-0.99811249999999996</v>
      </c>
      <c r="N2409">
        <v>-1.9543029999999999E-2</v>
      </c>
      <c r="O2409">
        <v>5.8219939999999998E-2</v>
      </c>
      <c r="P2409">
        <v>-0.93881269999999994</v>
      </c>
      <c r="Q2409">
        <v>0.34035029999999999</v>
      </c>
      <c r="R2409">
        <v>-5.2845040000000003E-2</v>
      </c>
      <c r="S2409">
        <v>-3.297272</v>
      </c>
      <c r="T2409">
        <v>-0.33660079999999998</v>
      </c>
      <c r="U2409">
        <v>-0.36514279999999999</v>
      </c>
      <c r="V2409">
        <v>-0.10476679999999999</v>
      </c>
      <c r="W2409">
        <v>0.35932629999999999</v>
      </c>
      <c r="X2409">
        <v>0.92731249999999998</v>
      </c>
      <c r="Y2409">
        <v>-0.16654040000000001</v>
      </c>
      <c r="Z2409">
        <v>-1.4871000000000001E-2</v>
      </c>
      <c r="AA2409">
        <v>0.98592250000000003</v>
      </c>
      <c r="AB2409">
        <v>43</v>
      </c>
      <c r="AC2409">
        <v>-10.4336999999999</v>
      </c>
      <c r="AD2409">
        <v>-1.1081986387962</v>
      </c>
      <c r="AE2409">
        <v>-1.2278</v>
      </c>
      <c r="AF2409">
        <v>-1.8131071900224001</v>
      </c>
      <c r="AG2409">
        <v>-1.1081986387962</v>
      </c>
      <c r="AH2409">
        <v>10.230660711623701</v>
      </c>
      <c r="AI2409">
        <v>96.0881103208052</v>
      </c>
      <c r="AJ2409">
        <v>100.04977597</v>
      </c>
      <c r="AK2409">
        <v>10.449013374568001</v>
      </c>
      <c r="AL2409">
        <v>68.941171821385694</v>
      </c>
      <c r="AM2409">
        <v>96.445884583439295</v>
      </c>
      <c r="AN2409">
        <v>0.99999997245508898</v>
      </c>
    </row>
    <row r="2410" spans="1:40" x14ac:dyDescent="0.25">
      <c r="A2410" t="str">
        <f>"20190304164416969"</f>
        <v>20190304164416969</v>
      </c>
      <c r="B2410" t="str">
        <f>"1551689056962502"</f>
        <v>1551689056962502</v>
      </c>
      <c r="C2410" t="s">
        <v>40</v>
      </c>
      <c r="D2410">
        <v>5.1379919999999997</v>
      </c>
      <c r="E2410">
        <v>0.48263840000000002</v>
      </c>
      <c r="F2410" t="s">
        <v>45</v>
      </c>
      <c r="G2410">
        <v>-461.95280000000002</v>
      </c>
      <c r="H2410" s="1">
        <v>-4.2140889999999999E-7</v>
      </c>
      <c r="I2410">
        <v>282.87349999999998</v>
      </c>
      <c r="J2410">
        <v>-451.4101</v>
      </c>
      <c r="K2410">
        <v>1.1083080000000001</v>
      </c>
      <c r="L2410">
        <v>284.09730000000002</v>
      </c>
      <c r="M2410">
        <v>-0.99801309999999999</v>
      </c>
      <c r="N2410">
        <v>-1.969427E-2</v>
      </c>
      <c r="O2410">
        <v>5.9850630000000002E-2</v>
      </c>
      <c r="P2410">
        <v>-0.93898230000000005</v>
      </c>
      <c r="Q2410">
        <v>0.34005790000000002</v>
      </c>
      <c r="R2410">
        <v>-5.1699420000000003E-2</v>
      </c>
      <c r="S2410">
        <v>-3.2970890000000002</v>
      </c>
      <c r="T2410">
        <v>-0.33694180000000001</v>
      </c>
      <c r="U2410">
        <v>-0.36627199999999999</v>
      </c>
      <c r="V2410">
        <v>-0.1052353</v>
      </c>
      <c r="W2410">
        <v>0.35915730000000001</v>
      </c>
      <c r="X2410">
        <v>0.92732499999999995</v>
      </c>
      <c r="Y2410">
        <v>-0.16847010000000001</v>
      </c>
      <c r="Z2410">
        <v>-1.514098E-2</v>
      </c>
      <c r="AA2410">
        <v>0.98559050000000004</v>
      </c>
      <c r="AB2410">
        <v>42</v>
      </c>
      <c r="AC2410">
        <v>-10.5427</v>
      </c>
      <c r="AD2410">
        <v>-1.1083084214088901</v>
      </c>
      <c r="AE2410">
        <v>-1.22380000000003</v>
      </c>
      <c r="AF2410">
        <v>-1.8327299482995401</v>
      </c>
      <c r="AG2410">
        <v>-1.1083084214088901</v>
      </c>
      <c r="AH2410">
        <v>10.337805503231699</v>
      </c>
      <c r="AI2410">
        <v>96.026006977293207</v>
      </c>
      <c r="AJ2410">
        <v>100.053184124445</v>
      </c>
      <c r="AK2410">
        <v>10.5573419591774</v>
      </c>
      <c r="AL2410">
        <v>68.951549038778495</v>
      </c>
      <c r="AM2410">
        <v>96.474378776035394</v>
      </c>
      <c r="AN2410">
        <v>1.00000004506718</v>
      </c>
    </row>
    <row r="2411" spans="1:40" x14ac:dyDescent="0.25">
      <c r="A2411" t="str">
        <f>"20190304164416986"</f>
        <v>20190304164416986</v>
      </c>
      <c r="B2411" t="str">
        <f>"1551689056982022"</f>
        <v>1551689056982022</v>
      </c>
      <c r="C2411" t="s">
        <v>40</v>
      </c>
      <c r="D2411">
        <v>5.1419269999999999</v>
      </c>
      <c r="E2411">
        <v>0.47738999999999998</v>
      </c>
      <c r="F2411" t="s">
        <v>45</v>
      </c>
      <c r="G2411">
        <v>-462.23349999999999</v>
      </c>
      <c r="H2411" s="1">
        <v>-2.730957E-7</v>
      </c>
      <c r="I2411">
        <v>282.89679999999998</v>
      </c>
      <c r="J2411">
        <v>-451.74189999999999</v>
      </c>
      <c r="K2411">
        <v>1.1084270000000001</v>
      </c>
      <c r="L2411">
        <v>284.11869999999999</v>
      </c>
      <c r="M2411">
        <v>-0.99790469999999998</v>
      </c>
      <c r="N2411">
        <v>-1.9856510000000001E-2</v>
      </c>
      <c r="O2411">
        <v>6.1580950000000002E-2</v>
      </c>
      <c r="P2411">
        <v>-0.93918210000000002</v>
      </c>
      <c r="Q2411">
        <v>0.33959630000000002</v>
      </c>
      <c r="R2411">
        <v>-5.1105900000000003E-2</v>
      </c>
      <c r="S2411">
        <v>-3.2970890000000002</v>
      </c>
      <c r="T2411">
        <v>-0.33762170000000002</v>
      </c>
      <c r="U2411">
        <v>-0.36569210000000002</v>
      </c>
      <c r="V2411">
        <v>-0.106364</v>
      </c>
      <c r="W2411">
        <v>0.35882839999999999</v>
      </c>
      <c r="X2411">
        <v>0.92732349999999997</v>
      </c>
      <c r="Y2411">
        <v>-0.16998679999999999</v>
      </c>
      <c r="Z2411">
        <v>-1.5409040000000001E-2</v>
      </c>
      <c r="AA2411">
        <v>0.98532589999999998</v>
      </c>
      <c r="AB2411">
        <v>42</v>
      </c>
      <c r="AC2411">
        <v>-10.4916</v>
      </c>
      <c r="AD2411">
        <v>-1.1084272730957001</v>
      </c>
      <c r="AE2411">
        <v>-1.2219</v>
      </c>
      <c r="AF2411">
        <v>-1.8454671221025301</v>
      </c>
      <c r="AG2411">
        <v>-1.1084272730957001</v>
      </c>
      <c r="AH2411">
        <v>10.2831775734972</v>
      </c>
      <c r="AI2411">
        <v>96.056160397787906</v>
      </c>
      <c r="AJ2411">
        <v>100.174261673717</v>
      </c>
      <c r="AK2411">
        <v>10.506098273221101</v>
      </c>
      <c r="AL2411">
        <v>68.9717384604279</v>
      </c>
      <c r="AM2411">
        <v>96.543231111124001</v>
      </c>
      <c r="AN2411">
        <v>0.99999999739740497</v>
      </c>
    </row>
    <row r="2412" spans="1:40" x14ac:dyDescent="0.25">
      <c r="A2412" t="str">
        <f>"20190304164417009"</f>
        <v>20190304164417009</v>
      </c>
      <c r="B2412" t="str">
        <f>"1551689057002517"</f>
        <v>1551689057002517</v>
      </c>
      <c r="C2412" t="s">
        <v>40</v>
      </c>
      <c r="D2412">
        <v>5.1490099999999996</v>
      </c>
      <c r="E2412">
        <v>0.4766746</v>
      </c>
      <c r="F2412" t="s">
        <v>45</v>
      </c>
      <c r="G2412">
        <v>-463.1121</v>
      </c>
      <c r="H2412" s="1">
        <v>2.0217850000000001E-7</v>
      </c>
      <c r="I2412">
        <v>282.72059999999999</v>
      </c>
      <c r="J2412">
        <v>-452.16759999999999</v>
      </c>
      <c r="K2412">
        <v>1.108592</v>
      </c>
      <c r="L2412">
        <v>284.14710000000002</v>
      </c>
      <c r="M2412">
        <v>-0.99776799999999999</v>
      </c>
      <c r="N2412">
        <v>-2.005295E-2</v>
      </c>
      <c r="O2412">
        <v>6.3694169999999994E-2</v>
      </c>
      <c r="P2412">
        <v>-0.93939110000000003</v>
      </c>
      <c r="Q2412">
        <v>0.33913130000000002</v>
      </c>
      <c r="R2412">
        <v>-5.0343230000000003E-2</v>
      </c>
      <c r="S2412">
        <v>-3.288208</v>
      </c>
      <c r="T2412">
        <v>-0.32055139999999999</v>
      </c>
      <c r="U2412">
        <v>-0.4043274</v>
      </c>
      <c r="V2412">
        <v>-0.1077161</v>
      </c>
      <c r="W2412">
        <v>0.35851899999999998</v>
      </c>
      <c r="X2412">
        <v>0.92728710000000003</v>
      </c>
      <c r="Y2412">
        <v>-0.1837992</v>
      </c>
      <c r="Z2412">
        <v>-1.5664230000000001E-2</v>
      </c>
      <c r="AA2412">
        <v>0.98283900000000002</v>
      </c>
      <c r="AB2412">
        <v>42</v>
      </c>
      <c r="AC2412">
        <v>-10.9445</v>
      </c>
      <c r="AD2412">
        <v>-1.1085917978215001</v>
      </c>
      <c r="AE2412">
        <v>-1.4265000000000301</v>
      </c>
      <c r="AF2412">
        <v>-2.0996604452741399</v>
      </c>
      <c r="AG2412">
        <v>-1.1085917978215001</v>
      </c>
      <c r="AH2412">
        <v>10.723206571611501</v>
      </c>
      <c r="AI2412">
        <v>95.793171528123295</v>
      </c>
      <c r="AJ2412">
        <v>101.078651141553</v>
      </c>
      <c r="AK2412">
        <v>10.9829280675555</v>
      </c>
      <c r="AL2412">
        <v>68.990729401604298</v>
      </c>
      <c r="AM2412">
        <v>96.625931514803597</v>
      </c>
      <c r="AN2412">
        <v>0.99999999869331002</v>
      </c>
    </row>
    <row r="2413" spans="1:40" x14ac:dyDescent="0.25">
      <c r="A2413" t="str">
        <f>"20190304164417030"</f>
        <v>20190304164417030</v>
      </c>
      <c r="B2413" t="str">
        <f>"1551689057022038"</f>
        <v>1551689057022038</v>
      </c>
      <c r="C2413" t="s">
        <v>40</v>
      </c>
      <c r="D2413">
        <v>5.1319559999999997</v>
      </c>
      <c r="E2413">
        <v>0.47580319999999998</v>
      </c>
      <c r="F2413" t="s">
        <v>45</v>
      </c>
      <c r="G2413">
        <v>-463.23610000000002</v>
      </c>
      <c r="H2413" s="1">
        <v>2.65719599999999E-7</v>
      </c>
      <c r="I2413">
        <v>282.77690000000001</v>
      </c>
      <c r="J2413">
        <v>-452.57530000000003</v>
      </c>
      <c r="K2413">
        <v>1.1087590000000001</v>
      </c>
      <c r="L2413">
        <v>284.17500000000001</v>
      </c>
      <c r="M2413">
        <v>-0.99764160000000002</v>
      </c>
      <c r="N2413">
        <v>-2.02256E-2</v>
      </c>
      <c r="O2413">
        <v>6.5590720000000005E-2</v>
      </c>
      <c r="P2413">
        <v>-0.93991049999999998</v>
      </c>
      <c r="Q2413">
        <v>0.33792129999999998</v>
      </c>
      <c r="R2413">
        <v>-4.8760409999999997E-2</v>
      </c>
      <c r="S2413">
        <v>-3.2907410000000001</v>
      </c>
      <c r="T2413">
        <v>-0.3295921</v>
      </c>
      <c r="U2413">
        <v>-0.4073792</v>
      </c>
      <c r="V2413">
        <v>-0.10807600000000001</v>
      </c>
      <c r="W2413">
        <v>0.35744239999999999</v>
      </c>
      <c r="X2413">
        <v>0.92766079999999995</v>
      </c>
      <c r="Y2413">
        <v>-0.1863853</v>
      </c>
      <c r="Z2413">
        <v>-1.6386189999999998E-2</v>
      </c>
      <c r="AA2413">
        <v>0.98234010000000005</v>
      </c>
      <c r="AB2413">
        <v>42</v>
      </c>
      <c r="AC2413">
        <v>-10.660799999999901</v>
      </c>
      <c r="AD2413">
        <v>-1.10875873428039</v>
      </c>
      <c r="AE2413">
        <v>-1.3980999999999899</v>
      </c>
      <c r="AF2413">
        <v>-2.0724427810463402</v>
      </c>
      <c r="AG2413">
        <v>-1.10875873428039</v>
      </c>
      <c r="AH2413">
        <v>10.4351472645988</v>
      </c>
      <c r="AI2413">
        <v>95.949710569531803</v>
      </c>
      <c r="AJ2413">
        <v>101.23290184868399</v>
      </c>
      <c r="AK2413">
        <v>10.6965725092395</v>
      </c>
      <c r="AL2413">
        <v>69.056792671103096</v>
      </c>
      <c r="AM2413">
        <v>96.6452181019298</v>
      </c>
      <c r="AN2413">
        <v>1.00000002547519</v>
      </c>
    </row>
    <row r="2414" spans="1:40" x14ac:dyDescent="0.25">
      <c r="A2414" t="str">
        <f>"20190304164417054"</f>
        <v>20190304164417054</v>
      </c>
      <c r="B2414" t="str">
        <f>"1551689057042534"</f>
        <v>1551689057042534</v>
      </c>
      <c r="C2414" t="s">
        <v>40</v>
      </c>
      <c r="D2414">
        <v>5.1382960000000004</v>
      </c>
      <c r="E2414">
        <v>0.47535509999999997</v>
      </c>
      <c r="F2414" t="s">
        <v>45</v>
      </c>
      <c r="G2414">
        <v>-463.54309999999998</v>
      </c>
      <c r="H2414" s="1">
        <v>4.2790410000000001E-7</v>
      </c>
      <c r="I2414">
        <v>282.80360000000002</v>
      </c>
      <c r="J2414">
        <v>-453.00229999999999</v>
      </c>
      <c r="K2414">
        <v>1.108943</v>
      </c>
      <c r="L2414">
        <v>284.20490000000001</v>
      </c>
      <c r="M2414">
        <v>-0.99751579999999995</v>
      </c>
      <c r="N2414">
        <v>-2.039007E-2</v>
      </c>
      <c r="O2414">
        <v>6.7428569999999993E-2</v>
      </c>
      <c r="P2414">
        <v>-0.94045829999999997</v>
      </c>
      <c r="Q2414">
        <v>0.33654679999999998</v>
      </c>
      <c r="R2414">
        <v>-4.7692709999999999E-2</v>
      </c>
      <c r="S2414">
        <v>-3.2900390000000002</v>
      </c>
      <c r="T2414">
        <v>-0.332598</v>
      </c>
      <c r="U2414">
        <v>-0.41137699999999999</v>
      </c>
      <c r="V2414">
        <v>-0.10891820000000001</v>
      </c>
      <c r="W2414">
        <v>0.35619070000000003</v>
      </c>
      <c r="X2414">
        <v>0.92804370000000003</v>
      </c>
      <c r="Y2414">
        <v>-0.18934699999999999</v>
      </c>
      <c r="Z2414">
        <v>-1.6863590000000001E-2</v>
      </c>
      <c r="AA2414">
        <v>0.98176540000000001</v>
      </c>
      <c r="AB2414">
        <v>42</v>
      </c>
      <c r="AC2414">
        <v>-10.5407999999999</v>
      </c>
      <c r="AD2414">
        <v>-1.1089425720958901</v>
      </c>
      <c r="AE2414">
        <v>-1.40129999999999</v>
      </c>
      <c r="AF2414">
        <v>-2.08631782678443</v>
      </c>
      <c r="AG2414">
        <v>-1.1089425720958901</v>
      </c>
      <c r="AH2414">
        <v>10.3101613354041</v>
      </c>
      <c r="AI2414">
        <v>96.017977879706294</v>
      </c>
      <c r="AJ2414">
        <v>101.439642792187</v>
      </c>
      <c r="AK2414">
        <v>10.577424188555</v>
      </c>
      <c r="AL2414">
        <v>69.1335637844697</v>
      </c>
      <c r="AM2414">
        <v>96.693795717263498</v>
      </c>
      <c r="AN2414">
        <v>1.0000000490837</v>
      </c>
    </row>
    <row r="2415" spans="1:40" x14ac:dyDescent="0.25">
      <c r="A2415" t="str">
        <f>"20190304164417076"</f>
        <v>20190304164417076</v>
      </c>
      <c r="B2415" t="str">
        <f>"1551689057072790"</f>
        <v>1551689057072790</v>
      </c>
      <c r="C2415" t="s">
        <v>40</v>
      </c>
      <c r="D2415">
        <v>5.908881</v>
      </c>
      <c r="E2415">
        <v>0.51356950000000001</v>
      </c>
      <c r="F2415" t="s">
        <v>45</v>
      </c>
      <c r="G2415">
        <v>-463.80720000000002</v>
      </c>
      <c r="H2415" s="1">
        <v>5.6653640000000001E-7</v>
      </c>
      <c r="I2415">
        <v>282.84780000000001</v>
      </c>
      <c r="J2415">
        <v>-453.40929999999997</v>
      </c>
      <c r="K2415">
        <v>1.1091390000000001</v>
      </c>
      <c r="L2415">
        <v>284.23419999999999</v>
      </c>
      <c r="M2415">
        <v>-0.9974054</v>
      </c>
      <c r="N2415">
        <v>-2.052882E-2</v>
      </c>
      <c r="O2415">
        <v>6.9000489999999998E-2</v>
      </c>
      <c r="P2415">
        <v>-0.94076740000000003</v>
      </c>
      <c r="Q2415">
        <v>0.33580199999999999</v>
      </c>
      <c r="R2415">
        <v>-4.68371E-2</v>
      </c>
      <c r="S2415">
        <v>-3.2897639999999999</v>
      </c>
      <c r="T2415">
        <v>-0.33763690000000002</v>
      </c>
      <c r="U2415">
        <v>-0.41320800000000002</v>
      </c>
      <c r="V2415">
        <v>-0.10971740000000001</v>
      </c>
      <c r="W2415">
        <v>0.35553509999999999</v>
      </c>
      <c r="X2415">
        <v>0.92820080000000005</v>
      </c>
      <c r="Y2415">
        <v>-0.19138289999999999</v>
      </c>
      <c r="Z2415">
        <v>-1.736733E-2</v>
      </c>
      <c r="AA2415">
        <v>0.98136179999999995</v>
      </c>
      <c r="AB2415">
        <v>42</v>
      </c>
      <c r="AC2415">
        <v>-10.3979</v>
      </c>
      <c r="AD2415">
        <v>-1.1091384334636001</v>
      </c>
      <c r="AE2415">
        <v>-1.3863999999999801</v>
      </c>
      <c r="AF2415">
        <v>-2.0774802629096998</v>
      </c>
      <c r="AG2415">
        <v>-1.1091384334636001</v>
      </c>
      <c r="AH2415">
        <v>10.1637975962234</v>
      </c>
      <c r="AI2415">
        <v>96.1026412394273</v>
      </c>
      <c r="AJ2415">
        <v>101.55213149900101</v>
      </c>
      <c r="AK2415">
        <v>10.4330673286604</v>
      </c>
      <c r="AL2415">
        <v>69.173755279241206</v>
      </c>
      <c r="AM2415">
        <v>96.741330980390401</v>
      </c>
      <c r="AN2415">
        <v>0.99999992015770101</v>
      </c>
    </row>
    <row r="2416" spans="1:40" x14ac:dyDescent="0.25">
      <c r="A2416" t="str">
        <f>"20190304164417098"</f>
        <v>20190304164417098</v>
      </c>
      <c r="B2416" t="str">
        <f>"1551689057092310"</f>
        <v>1551689057092310</v>
      </c>
      <c r="C2416" t="s">
        <v>40</v>
      </c>
      <c r="D2416">
        <v>5.2791649999999999</v>
      </c>
      <c r="E2416">
        <v>0.54115959999999996</v>
      </c>
      <c r="F2416" t="s">
        <v>45</v>
      </c>
      <c r="G2416">
        <v>-463.71429999999998</v>
      </c>
      <c r="H2416" s="1">
        <v>4.7097539999999999E-7</v>
      </c>
      <c r="I2416">
        <v>283.90300000000002</v>
      </c>
      <c r="J2416">
        <v>-453.82799999999997</v>
      </c>
      <c r="K2416">
        <v>1.1093630000000001</v>
      </c>
      <c r="L2416">
        <v>284.2647</v>
      </c>
      <c r="M2416">
        <v>-0.99730390000000002</v>
      </c>
      <c r="N2416">
        <v>-2.0654659999999998E-2</v>
      </c>
      <c r="O2416">
        <v>7.0416090000000001E-2</v>
      </c>
      <c r="P2416">
        <v>-0.94051209999999996</v>
      </c>
      <c r="Q2416">
        <v>0.33669339999999998</v>
      </c>
      <c r="R2416">
        <v>-4.5550319999999998E-2</v>
      </c>
      <c r="S2416">
        <v>-3.3108219999999999</v>
      </c>
      <c r="T2416">
        <v>-0.35634490000000002</v>
      </c>
      <c r="U2416">
        <v>-0.1063843</v>
      </c>
      <c r="V2416">
        <v>-0.1099194</v>
      </c>
      <c r="W2416">
        <v>0.35648030000000003</v>
      </c>
      <c r="X2416">
        <v>0.92781440000000004</v>
      </c>
      <c r="Y2416">
        <v>-0.101467</v>
      </c>
      <c r="Z2416">
        <v>-1.259647E-2</v>
      </c>
      <c r="AA2416">
        <v>0.99475910000000001</v>
      </c>
      <c r="AB2416">
        <v>41</v>
      </c>
      <c r="AC2416">
        <v>-9.8862999999999399</v>
      </c>
      <c r="AD2416">
        <v>-1.1093625290246001</v>
      </c>
      <c r="AE2416">
        <v>-0.36169999999998398</v>
      </c>
      <c r="AF2416">
        <v>-1.0439771405197</v>
      </c>
      <c r="AG2416">
        <v>-1.1093625290246001</v>
      </c>
      <c r="AH2416">
        <v>9.7141214787178694</v>
      </c>
      <c r="AI2416">
        <v>96.478028537322402</v>
      </c>
      <c r="AJ2416">
        <v>96.134037043943394</v>
      </c>
      <c r="AK2416">
        <v>9.8328393454799894</v>
      </c>
      <c r="AL2416">
        <v>69.115804581454697</v>
      </c>
      <c r="AM2416">
        <v>96.756414498155095</v>
      </c>
      <c r="AN2416">
        <v>1.0000000198159</v>
      </c>
    </row>
    <row r="2417" spans="1:40" x14ac:dyDescent="0.25">
      <c r="A2417" t="str">
        <f>"20190304164417119"</f>
        <v>20190304164417119</v>
      </c>
      <c r="B2417" t="str">
        <f>"1551689057111830"</f>
        <v>1551689057111830</v>
      </c>
      <c r="C2417" t="s">
        <v>40</v>
      </c>
      <c r="D2417">
        <v>5.2938710000000002</v>
      </c>
      <c r="E2417">
        <v>0.55455120000000002</v>
      </c>
      <c r="F2417" t="s">
        <v>41</v>
      </c>
      <c r="G2417">
        <v>-454.82619999999997</v>
      </c>
      <c r="H2417">
        <v>1.0000260000000001</v>
      </c>
      <c r="I2417">
        <v>284.30020000000002</v>
      </c>
      <c r="J2417">
        <v>-454.21980000000002</v>
      </c>
      <c r="K2417">
        <v>1.109578</v>
      </c>
      <c r="L2417">
        <v>284.29360000000003</v>
      </c>
      <c r="M2417">
        <v>-0.99721939999999998</v>
      </c>
      <c r="N2417">
        <v>-2.075828E-2</v>
      </c>
      <c r="O2417">
        <v>7.1571670000000004E-2</v>
      </c>
      <c r="P2417">
        <v>-0.94018630000000003</v>
      </c>
      <c r="Q2417">
        <v>0.3376903</v>
      </c>
      <c r="R2417">
        <v>-4.4889970000000001E-2</v>
      </c>
      <c r="S2417">
        <v>-3.3259280000000002</v>
      </c>
      <c r="T2417">
        <v>-0.36436580000000002</v>
      </c>
      <c r="U2417">
        <v>0.1176758</v>
      </c>
      <c r="V2417">
        <v>-0.11049389999999901</v>
      </c>
      <c r="W2417">
        <v>0.35751139999999998</v>
      </c>
      <c r="X2417">
        <v>0.92734930000000004</v>
      </c>
      <c r="Y2417">
        <v>-3.5739569999999998E-2</v>
      </c>
      <c r="Z2417">
        <v>-8.6480229999999995E-3</v>
      </c>
      <c r="AA2417">
        <v>0.99932370000000004</v>
      </c>
      <c r="AB2417">
        <v>41</v>
      </c>
      <c r="AC2417">
        <v>-0.60639999999995098</v>
      </c>
      <c r="AD2417">
        <v>-0.109552</v>
      </c>
      <c r="AE2417">
        <v>6.5999999999917201E-3</v>
      </c>
      <c r="AF2417">
        <v>-3.5663505021587397E-2</v>
      </c>
      <c r="AG2417">
        <v>-0.109552</v>
      </c>
      <c r="AH2417">
        <v>0.58618701775063697</v>
      </c>
      <c r="AI2417">
        <v>100.566744644134</v>
      </c>
      <c r="AJ2417">
        <v>93.481572739212197</v>
      </c>
      <c r="AK2417">
        <v>0.59740166226234304</v>
      </c>
      <c r="AL2417">
        <v>69.052559286288997</v>
      </c>
      <c r="AM2417">
        <v>96.794772594903094</v>
      </c>
      <c r="AN2417">
        <v>1.0000000136388301</v>
      </c>
    </row>
    <row r="2418" spans="1:40" x14ac:dyDescent="0.25">
      <c r="A2418" t="str">
        <f>"20190304164417142"</f>
        <v>20190304164417142</v>
      </c>
      <c r="B2418" t="str">
        <f>"1551689057132326"</f>
        <v>1551689057132326</v>
      </c>
      <c r="C2418" t="s">
        <v>40</v>
      </c>
      <c r="D2418">
        <v>5.2917690000000004</v>
      </c>
      <c r="E2418">
        <v>0.56001959999999995</v>
      </c>
      <c r="F2418" t="s">
        <v>41</v>
      </c>
      <c r="G2418">
        <v>-455.19060000000002</v>
      </c>
      <c r="H2418">
        <v>1.0047759999999999</v>
      </c>
      <c r="I2418">
        <v>284.35939999999999</v>
      </c>
      <c r="J2418">
        <v>-454.62700000000001</v>
      </c>
      <c r="K2418">
        <v>1.1098079999999999</v>
      </c>
      <c r="L2418">
        <v>284.32389999999998</v>
      </c>
      <c r="M2418">
        <v>-0.99714599999999998</v>
      </c>
      <c r="N2418">
        <v>-2.0852240000000001E-2</v>
      </c>
      <c r="O2418">
        <v>7.2562280000000007E-2</v>
      </c>
      <c r="P2418">
        <v>-0.94067190000000001</v>
      </c>
      <c r="Q2418">
        <v>0.33636559999999999</v>
      </c>
      <c r="R2418">
        <v>-4.4661699999999999E-2</v>
      </c>
      <c r="S2418">
        <v>-3.3308110000000002</v>
      </c>
      <c r="T2418">
        <v>-0.35958770000000001</v>
      </c>
      <c r="U2418">
        <v>0.22549440000000001</v>
      </c>
      <c r="V2418">
        <v>-0.111432</v>
      </c>
      <c r="W2418">
        <v>0.356224599999999</v>
      </c>
      <c r="X2418">
        <v>0.92773220000000001</v>
      </c>
      <c r="Y2418">
        <v>-4.7406269999999999E-3</v>
      </c>
      <c r="Z2418">
        <v>-6.5867979999999996E-3</v>
      </c>
      <c r="AA2418">
        <v>0.9999671</v>
      </c>
      <c r="AB2418">
        <v>41</v>
      </c>
      <c r="AC2418">
        <v>-0.56360000000006405</v>
      </c>
      <c r="AD2418">
        <v>-0.105031999999999</v>
      </c>
      <c r="AE2418">
        <v>3.5500000000013097E-2</v>
      </c>
      <c r="AF2418">
        <v>-5.3147621200610598E-3</v>
      </c>
      <c r="AG2418">
        <v>-0.105031999999999</v>
      </c>
      <c r="AH2418">
        <v>0.54580926440901201</v>
      </c>
      <c r="AI2418">
        <v>100.891975371507</v>
      </c>
      <c r="AJ2418">
        <v>90.557894185123999</v>
      </c>
      <c r="AK2418">
        <v>0.55584864921586297</v>
      </c>
      <c r="AL2418">
        <v>69.131485034597603</v>
      </c>
      <c r="AM2418">
        <v>96.849113363388099</v>
      </c>
      <c r="AN2418">
        <v>1.0000000455929901</v>
      </c>
    </row>
    <row r="2419" spans="1:40" x14ac:dyDescent="0.25">
      <c r="A2419" t="str">
        <f>"20190304164417157"</f>
        <v>20190304164417157</v>
      </c>
      <c r="B2419" t="str">
        <f>"1551689057151846"</f>
        <v>1551689057151846</v>
      </c>
      <c r="C2419" t="s">
        <v>40</v>
      </c>
      <c r="D2419">
        <v>5.3741810000000001</v>
      </c>
      <c r="E2419">
        <v>0.56191000000000002</v>
      </c>
      <c r="F2419" t="s">
        <v>41</v>
      </c>
      <c r="G2419">
        <v>-455.55549999999999</v>
      </c>
      <c r="H2419">
        <v>1.0092970000000001</v>
      </c>
      <c r="I2419">
        <v>284.39960000000002</v>
      </c>
      <c r="J2419">
        <v>-454.91129999999998</v>
      </c>
      <c r="K2419">
        <v>1.1099859999999999</v>
      </c>
      <c r="L2419">
        <v>284.34519999999998</v>
      </c>
      <c r="M2419">
        <v>-0.9971042</v>
      </c>
      <c r="N2419">
        <v>-2.0910620000000001E-2</v>
      </c>
      <c r="O2419">
        <v>7.3117180000000004E-2</v>
      </c>
      <c r="P2419">
        <v>-0.94086309999999995</v>
      </c>
      <c r="Q2419">
        <v>0.33581559999999999</v>
      </c>
      <c r="R2419">
        <v>-4.4774719999999997E-2</v>
      </c>
      <c r="S2419">
        <v>-3.3310550000000001</v>
      </c>
      <c r="T2419">
        <v>-0.36081059999999998</v>
      </c>
      <c r="U2419">
        <v>0.26953129999999997</v>
      </c>
      <c r="V2419">
        <v>-0.1122276</v>
      </c>
      <c r="W2419">
        <v>0.35568719999999998</v>
      </c>
      <c r="X2419">
        <v>0.92784239999999996</v>
      </c>
      <c r="Y2419">
        <v>7.7618380000000001E-3</v>
      </c>
      <c r="Z2419">
        <v>-5.8476700000000001E-3</v>
      </c>
      <c r="AA2419">
        <v>0.99995279999999998</v>
      </c>
      <c r="AB2419">
        <v>41</v>
      </c>
      <c r="AC2419">
        <v>-0.64420000000001199</v>
      </c>
      <c r="AD2419">
        <v>-0.100689</v>
      </c>
      <c r="AE2419">
        <v>5.4400000000043698E-2</v>
      </c>
      <c r="AF2419">
        <v>6.9728030421659197E-3</v>
      </c>
      <c r="AG2419">
        <v>-0.100689</v>
      </c>
      <c r="AH2419">
        <v>0.63114375835094005</v>
      </c>
      <c r="AI2419">
        <v>99.063707596315695</v>
      </c>
      <c r="AJ2419">
        <v>89.367028624866407</v>
      </c>
      <c r="AK2419">
        <v>0.63916299830998902</v>
      </c>
      <c r="AL2419">
        <v>69.164432168040406</v>
      </c>
      <c r="AM2419">
        <v>96.896733740908601</v>
      </c>
      <c r="AN2419">
        <v>0.99999996884167897</v>
      </c>
    </row>
    <row r="2420" spans="1:40" x14ac:dyDescent="0.25">
      <c r="A2420" t="str">
        <f>"20190304164417172"</f>
        <v>20190304164417172</v>
      </c>
      <c r="B2420" t="str">
        <f>"1551689057162583"</f>
        <v>1551689057162583</v>
      </c>
      <c r="C2420" t="s">
        <v>40</v>
      </c>
      <c r="D2420">
        <v>5.3721730000000001</v>
      </c>
      <c r="E2420">
        <v>0.56250789999999995</v>
      </c>
      <c r="F2420" t="s">
        <v>41</v>
      </c>
      <c r="G2420">
        <v>-455.91149999999999</v>
      </c>
      <c r="H2420">
        <v>0.99722270000000002</v>
      </c>
      <c r="I2420">
        <v>284.43049999999999</v>
      </c>
      <c r="J2420">
        <v>-455.17500000000001</v>
      </c>
      <c r="K2420">
        <v>1.1101620000000001</v>
      </c>
      <c r="L2420">
        <v>284.36509999999998</v>
      </c>
      <c r="M2420">
        <v>-0.99707369999999995</v>
      </c>
      <c r="N2420">
        <v>-2.0959419999999999E-2</v>
      </c>
      <c r="O2420">
        <v>7.3518730000000004E-2</v>
      </c>
      <c r="P2420">
        <v>-0.94119269999999999</v>
      </c>
      <c r="Q2420">
        <v>0.33488649999999998</v>
      </c>
      <c r="R2420">
        <v>-4.4805110000000002E-2</v>
      </c>
      <c r="S2420">
        <v>-3.336395</v>
      </c>
      <c r="T2420">
        <v>-0.37629410000000002</v>
      </c>
      <c r="U2420">
        <v>0.2836304</v>
      </c>
      <c r="V2420">
        <v>-0.11280519999999999</v>
      </c>
      <c r="W2420">
        <v>0.35476580000000002</v>
      </c>
      <c r="X2420">
        <v>0.92812510000000004</v>
      </c>
      <c r="Y2420">
        <v>1.1425650000000001E-2</v>
      </c>
      <c r="Z2420">
        <v>-5.9406650000000004E-3</v>
      </c>
      <c r="AA2420">
        <v>0.9999171</v>
      </c>
      <c r="AB2420">
        <v>41</v>
      </c>
      <c r="AC2420">
        <v>-0.73649999999997795</v>
      </c>
      <c r="AD2420">
        <v>-0.11293930000000001</v>
      </c>
      <c r="AE2420">
        <v>6.5400000000010894E-2</v>
      </c>
      <c r="AF2420">
        <v>1.08122438200184E-2</v>
      </c>
      <c r="AG2420">
        <v>-0.11293930000000001</v>
      </c>
      <c r="AH2420">
        <v>0.72245950122514702</v>
      </c>
      <c r="AI2420">
        <v>98.883938261585001</v>
      </c>
      <c r="AJ2420">
        <v>89.142582121157005</v>
      </c>
      <c r="AK2420">
        <v>0.73131383209358303</v>
      </c>
      <c r="AL2420">
        <v>69.2209083711696</v>
      </c>
      <c r="AM2420">
        <v>96.929793699443593</v>
      </c>
      <c r="AN2420">
        <v>0.99999999362334402</v>
      </c>
    </row>
    <row r="2421" spans="1:40" x14ac:dyDescent="0.25">
      <c r="A2421" t="str">
        <f>"20190304164417187"</f>
        <v>20190304164417187</v>
      </c>
      <c r="B2421" t="str">
        <f>"1551689057182102"</f>
        <v>1551689057182102</v>
      </c>
      <c r="C2421" t="s">
        <v>40</v>
      </c>
      <c r="D2421">
        <v>5.3717560000000004</v>
      </c>
      <c r="E2421">
        <v>0.56344099999999997</v>
      </c>
      <c r="F2421" t="s">
        <v>41</v>
      </c>
      <c r="G2421">
        <v>-455.9248</v>
      </c>
      <c r="H2421">
        <v>1.0236339999999999</v>
      </c>
      <c r="I2421">
        <v>284.43009999999998</v>
      </c>
      <c r="J2421">
        <v>-455.4606</v>
      </c>
      <c r="K2421">
        <v>1.1103670000000001</v>
      </c>
      <c r="L2421">
        <v>284.38650000000001</v>
      </c>
      <c r="M2421">
        <v>-0.99705270000000001</v>
      </c>
      <c r="N2421">
        <v>-2.1005989999999999E-2</v>
      </c>
      <c r="O2421">
        <v>7.3787759999999994E-2</v>
      </c>
      <c r="P2421">
        <v>-0.94121520000000003</v>
      </c>
      <c r="Q2421">
        <v>0.3347097</v>
      </c>
      <c r="R2421">
        <v>-4.5645199999999997E-2</v>
      </c>
      <c r="S2421">
        <v>-3.3383180000000001</v>
      </c>
      <c r="T2421">
        <v>-0.38535930000000002</v>
      </c>
      <c r="U2421">
        <v>0.28839110000000001</v>
      </c>
      <c r="V2421">
        <v>-0.1140666</v>
      </c>
      <c r="W2421">
        <v>0.35457949999999999</v>
      </c>
      <c r="X2421">
        <v>0.92804209999999998</v>
      </c>
      <c r="Y2421">
        <v>1.252904E-2</v>
      </c>
      <c r="Z2421">
        <v>-6.0641899999999997E-3</v>
      </c>
      <c r="AA2421">
        <v>0.99990310000000004</v>
      </c>
      <c r="AB2421">
        <v>41</v>
      </c>
      <c r="AC2421">
        <v>-0.464200000000005</v>
      </c>
      <c r="AD2421">
        <v>-8.6733000000000102E-2</v>
      </c>
      <c r="AE2421">
        <v>4.3599999999969399E-2</v>
      </c>
      <c r="AF2421">
        <v>8.9128224824370494E-3</v>
      </c>
      <c r="AG2421">
        <v>-8.6733000000000102E-2</v>
      </c>
      <c r="AH2421">
        <v>0.45056005866396998</v>
      </c>
      <c r="AI2421">
        <v>100.894094996563</v>
      </c>
      <c r="AJ2421">
        <v>88.866742607891396</v>
      </c>
      <c r="AK2421">
        <v>0.45891874897075602</v>
      </c>
      <c r="AL2421">
        <v>69.232324347454593</v>
      </c>
      <c r="AM2421">
        <v>97.007137783338194</v>
      </c>
      <c r="AN2421">
        <v>0.99999997521410899</v>
      </c>
    </row>
    <row r="2422" spans="1:40" x14ac:dyDescent="0.25">
      <c r="A2422" t="str">
        <f>"20190304164417210"</f>
        <v>20190304164417210</v>
      </c>
      <c r="B2422" t="str">
        <f>"1551689057202598"</f>
        <v>1551689057202598</v>
      </c>
      <c r="C2422" t="s">
        <v>40</v>
      </c>
      <c r="D2422">
        <v>5.3981269999999997</v>
      </c>
      <c r="E2422">
        <v>0.56405749999999999</v>
      </c>
      <c r="F2422" t="s">
        <v>41</v>
      </c>
      <c r="G2422">
        <v>-456.28070000000002</v>
      </c>
      <c r="H2422">
        <v>1.0138849999999999</v>
      </c>
      <c r="I2422">
        <v>284.45909999999998</v>
      </c>
      <c r="J2422">
        <v>-455.85419999999999</v>
      </c>
      <c r="K2422">
        <v>1.110681</v>
      </c>
      <c r="L2422">
        <v>284.416</v>
      </c>
      <c r="M2422">
        <v>-0.99704309999999996</v>
      </c>
      <c r="N2422">
        <v>-2.1055979999999998E-2</v>
      </c>
      <c r="O2422">
        <v>7.3904349999999994E-2</v>
      </c>
      <c r="P2422">
        <v>-0.94097920000000002</v>
      </c>
      <c r="Q2422">
        <v>0.33527699999999999</v>
      </c>
      <c r="R2422">
        <v>-4.6344429999999999E-2</v>
      </c>
      <c r="S2422">
        <v>-3.3416440000000001</v>
      </c>
      <c r="T2422">
        <v>-0.39347710000000002</v>
      </c>
      <c r="U2422">
        <v>0.29437259999999998</v>
      </c>
      <c r="V2422">
        <v>-0.115116899999999</v>
      </c>
      <c r="W2422">
        <v>0.35510370000000002</v>
      </c>
      <c r="X2422">
        <v>0.92771199999999998</v>
      </c>
      <c r="Y2422">
        <v>1.4102740000000001E-2</v>
      </c>
      <c r="Z2422">
        <v>-6.1162269999999897E-3</v>
      </c>
      <c r="AA2422">
        <v>0.99988189999999999</v>
      </c>
      <c r="AB2422">
        <v>41</v>
      </c>
      <c r="AC2422">
        <v>-0.42650000000003202</v>
      </c>
      <c r="AD2422">
        <v>-9.6795999999999799E-2</v>
      </c>
      <c r="AE2422">
        <v>4.3099999999981202E-2</v>
      </c>
      <c r="AF2422">
        <v>1.0899169079878399E-2</v>
      </c>
      <c r="AG2422">
        <v>-9.6795999999999799E-2</v>
      </c>
      <c r="AH2422">
        <v>0.40772997696770902</v>
      </c>
      <c r="AI2422">
        <v>103.35031671322299</v>
      </c>
      <c r="AJ2422">
        <v>88.468771626866896</v>
      </c>
      <c r="AK2422">
        <v>0.41920399762015698</v>
      </c>
      <c r="AL2422">
        <v>69.200200969955105</v>
      </c>
      <c r="AM2422">
        <v>97.073498294902606</v>
      </c>
      <c r="AN2422">
        <v>1.0000000466816401</v>
      </c>
    </row>
    <row r="2423" spans="1:40" x14ac:dyDescent="0.25">
      <c r="A2423" t="str">
        <f>"20190304164417231"</f>
        <v>20190304164417231</v>
      </c>
      <c r="B2423" t="str">
        <f>"1551689057222118"</f>
        <v>1551689057222118</v>
      </c>
      <c r="C2423" t="s">
        <v>40</v>
      </c>
      <c r="D2423">
        <v>5.3129520000000001</v>
      </c>
      <c r="E2423">
        <v>0.56468569999999996</v>
      </c>
      <c r="F2423" t="s">
        <v>41</v>
      </c>
      <c r="G2423">
        <v>-456.64190000000002</v>
      </c>
      <c r="H2423">
        <v>1.017209</v>
      </c>
      <c r="I2423">
        <v>284.48590000000002</v>
      </c>
      <c r="J2423">
        <v>-456.23840000000001</v>
      </c>
      <c r="K2423">
        <v>1.1110199999999999</v>
      </c>
      <c r="L2423">
        <v>284.44450000000001</v>
      </c>
      <c r="M2423">
        <v>-0.99705929999999998</v>
      </c>
      <c r="N2423">
        <v>-2.1081490000000001E-2</v>
      </c>
      <c r="O2423">
        <v>7.3679209999999995E-2</v>
      </c>
      <c r="P2423">
        <v>-0.94081749999999997</v>
      </c>
      <c r="Q2423">
        <v>0.33540900000000001</v>
      </c>
      <c r="R2423">
        <v>-4.8618410000000001E-2</v>
      </c>
      <c r="S2423">
        <v>-3.3442690000000002</v>
      </c>
      <c r="T2423">
        <v>-0.39706659999999999</v>
      </c>
      <c r="U2423">
        <v>0.29571530000000001</v>
      </c>
      <c r="V2423">
        <v>-0.1174499</v>
      </c>
      <c r="W2423">
        <v>0.35516170000000002</v>
      </c>
      <c r="X2423">
        <v>0.92739729999999998</v>
      </c>
      <c r="Y2423">
        <v>1.46576E-2</v>
      </c>
      <c r="Z2423">
        <v>-6.1183890000000001E-3</v>
      </c>
      <c r="AA2423">
        <v>0.99987389999999998</v>
      </c>
      <c r="AB2423">
        <v>40</v>
      </c>
      <c r="AC2423">
        <v>-0.40350000000000802</v>
      </c>
      <c r="AD2423">
        <v>-9.3811000000000005E-2</v>
      </c>
      <c r="AE2423">
        <v>4.1400000000009998E-2</v>
      </c>
      <c r="AF2423">
        <v>1.09647546683745E-2</v>
      </c>
      <c r="AG2423">
        <v>-9.3811000000000005E-2</v>
      </c>
      <c r="AH2423">
        <v>0.38486725151263401</v>
      </c>
      <c r="AI2423">
        <v>103.69331507491199</v>
      </c>
      <c r="AJ2423">
        <v>88.368101534723294</v>
      </c>
      <c r="AK2423">
        <v>0.39628718229691301</v>
      </c>
      <c r="AL2423">
        <v>69.196645776120107</v>
      </c>
      <c r="AM2423">
        <v>97.2177788858573</v>
      </c>
      <c r="AN2423">
        <v>1.0000000321020901</v>
      </c>
    </row>
    <row r="2424" spans="1:40" x14ac:dyDescent="0.25">
      <c r="A2424" t="str">
        <f>"20190304164417255"</f>
        <v>20190304164417255</v>
      </c>
      <c r="B2424" t="str">
        <f>"1551689057252291"</f>
        <v>1551689057252291</v>
      </c>
      <c r="C2424" t="s">
        <v>40</v>
      </c>
      <c r="D2424">
        <v>5.3133599999999896</v>
      </c>
      <c r="E2424">
        <v>0.56580739999999996</v>
      </c>
      <c r="F2424" t="s">
        <v>41</v>
      </c>
      <c r="G2424">
        <v>-457.0016</v>
      </c>
      <c r="H2424">
        <v>1.020246</v>
      </c>
      <c r="I2424">
        <v>284.512</v>
      </c>
      <c r="J2424">
        <v>-456.64679999999998</v>
      </c>
      <c r="K2424">
        <v>1.1114029999999999</v>
      </c>
      <c r="L2424">
        <v>284.4742</v>
      </c>
      <c r="M2424">
        <v>-0.99710460000000001</v>
      </c>
      <c r="N2424">
        <v>-2.1089940000000001E-2</v>
      </c>
      <c r="O2424">
        <v>7.3058929999999994E-2</v>
      </c>
      <c r="P2424">
        <v>-0.94085430000000003</v>
      </c>
      <c r="Q2424">
        <v>0.33479550000000002</v>
      </c>
      <c r="R2424">
        <v>-5.2011519999999999E-2</v>
      </c>
      <c r="S2424">
        <v>-3.3459469999999998</v>
      </c>
      <c r="T2424">
        <v>-0.39829500000000001</v>
      </c>
      <c r="U2424">
        <v>0.29473880000000002</v>
      </c>
      <c r="V2424">
        <v>-0.120587899999999</v>
      </c>
      <c r="W2424">
        <v>0.35444350000000002</v>
      </c>
      <c r="X2424">
        <v>0.92726929999999996</v>
      </c>
      <c r="Y2424">
        <v>1.49423E-2</v>
      </c>
      <c r="Z2424">
        <v>-6.0580030000000002E-3</v>
      </c>
      <c r="AA2424">
        <v>0.99987000000000004</v>
      </c>
      <c r="AB2424">
        <v>40</v>
      </c>
      <c r="AC2424">
        <v>-0.354800000000011</v>
      </c>
      <c r="AD2424">
        <v>-9.1157000000000099E-2</v>
      </c>
      <c r="AE2424">
        <v>3.7800000000004198E-2</v>
      </c>
      <c r="AF2424">
        <v>1.10505956898512E-2</v>
      </c>
      <c r="AG2424">
        <v>-9.1157000000000099E-2</v>
      </c>
      <c r="AH2424">
        <v>0.334763756222623</v>
      </c>
      <c r="AI2424">
        <v>105.224554821582</v>
      </c>
      <c r="AJ2424">
        <v>88.109345300663406</v>
      </c>
      <c r="AK2424">
        <v>0.34712891955926201</v>
      </c>
      <c r="AL2424">
        <v>69.240658259899703</v>
      </c>
      <c r="AM2424">
        <v>97.409518294690201</v>
      </c>
      <c r="AN2424">
        <v>0.99999999552057495</v>
      </c>
    </row>
    <row r="2425" spans="1:40" x14ac:dyDescent="0.25">
      <c r="A2425" t="str">
        <f>"20190304164417277"</f>
        <v>20190304164417277</v>
      </c>
      <c r="B2425" t="str">
        <f>"1551689057272786"</f>
        <v>1551689057272786</v>
      </c>
      <c r="C2425" t="s">
        <v>40</v>
      </c>
      <c r="D2425">
        <v>5.3259610000000004</v>
      </c>
      <c r="E2425">
        <v>0.56639399999999995</v>
      </c>
      <c r="F2425" t="s">
        <v>41</v>
      </c>
      <c r="G2425">
        <v>-457.69639999999998</v>
      </c>
      <c r="H2425">
        <v>0.98647830000000003</v>
      </c>
      <c r="I2425">
        <v>284.56700000000001</v>
      </c>
      <c r="J2425">
        <v>-457.0487</v>
      </c>
      <c r="K2425">
        <v>1.1118030000000001</v>
      </c>
      <c r="L2425">
        <v>284.50279999999998</v>
      </c>
      <c r="M2425">
        <v>-0.99718070000000003</v>
      </c>
      <c r="N2425">
        <v>-2.1089859999999998E-2</v>
      </c>
      <c r="O2425">
        <v>7.2013590000000002E-2</v>
      </c>
      <c r="P2425">
        <v>-0.94092229999999999</v>
      </c>
      <c r="Q2425">
        <v>0.33405600000000002</v>
      </c>
      <c r="R2425">
        <v>-5.5427379999999998E-2</v>
      </c>
      <c r="S2425">
        <v>-3.3467099999999999</v>
      </c>
      <c r="T2425">
        <v>-0.39853539999999998</v>
      </c>
      <c r="U2425">
        <v>0.29467769999999999</v>
      </c>
      <c r="V2425">
        <v>-0.1233624</v>
      </c>
      <c r="W2425">
        <v>0.3535837</v>
      </c>
      <c r="X2425">
        <v>0.92723259999999996</v>
      </c>
      <c r="Y2425">
        <v>1.593959E-2</v>
      </c>
      <c r="Z2425">
        <v>-5.8899340000000003E-3</v>
      </c>
      <c r="AA2425">
        <v>0.99985559999999996</v>
      </c>
      <c r="AB2425">
        <v>40</v>
      </c>
      <c r="AC2425">
        <v>-0.64769999999998595</v>
      </c>
      <c r="AD2425">
        <v>-0.12532469999999901</v>
      </c>
      <c r="AE2425">
        <v>6.4200000000027999E-2</v>
      </c>
      <c r="AF2425">
        <v>1.6758349946049401E-2</v>
      </c>
      <c r="AG2425">
        <v>-0.12532469999999901</v>
      </c>
      <c r="AH2425">
        <v>0.62738180301762003</v>
      </c>
      <c r="AI2425">
        <v>101.292689695691</v>
      </c>
      <c r="AJ2425">
        <v>88.469903891566503</v>
      </c>
      <c r="AK2425">
        <v>0.63999613239506703</v>
      </c>
      <c r="AL2425">
        <v>69.293332528345701</v>
      </c>
      <c r="AM2425">
        <v>97.578334455717197</v>
      </c>
      <c r="AN2425">
        <v>1.0000000045710999</v>
      </c>
    </row>
    <row r="2426" spans="1:40" x14ac:dyDescent="0.25">
      <c r="A2426" t="str">
        <f>"20190304164417299"</f>
        <v>20190304164417299</v>
      </c>
      <c r="B2426" t="str">
        <f>"1551689057292306"</f>
        <v>1551689057292306</v>
      </c>
      <c r="C2426" t="s">
        <v>40</v>
      </c>
      <c r="D2426">
        <v>5.7340479999999996</v>
      </c>
      <c r="E2426">
        <v>0.56641640000000004</v>
      </c>
      <c r="F2426" t="s">
        <v>41</v>
      </c>
      <c r="G2426">
        <v>-458.05290000000002</v>
      </c>
      <c r="H2426">
        <v>0.99114679999999999</v>
      </c>
      <c r="I2426">
        <v>284.589</v>
      </c>
      <c r="J2426">
        <v>-457.44389999999999</v>
      </c>
      <c r="K2426">
        <v>1.1121749999999999</v>
      </c>
      <c r="L2426">
        <v>284.53019999999998</v>
      </c>
      <c r="M2426">
        <v>-0.99727880000000002</v>
      </c>
      <c r="N2426">
        <v>-2.1085630000000001E-2</v>
      </c>
      <c r="O2426">
        <v>7.0643079999999997E-2</v>
      </c>
      <c r="P2426">
        <v>-0.9412277</v>
      </c>
      <c r="Q2426">
        <v>0.33253070000000001</v>
      </c>
      <c r="R2426">
        <v>-5.9277999999999997E-2</v>
      </c>
      <c r="S2426">
        <v>-3.3480829999999999</v>
      </c>
      <c r="T2426">
        <v>-0.40238869999999999</v>
      </c>
      <c r="U2426">
        <v>0.28662110000000002</v>
      </c>
      <c r="V2426">
        <v>-0.1262617</v>
      </c>
      <c r="W2426">
        <v>0.35194170000000002</v>
      </c>
      <c r="X2426">
        <v>0.92746700000000004</v>
      </c>
      <c r="Y2426">
        <v>1.4897580000000001E-2</v>
      </c>
      <c r="Z2426">
        <v>-5.8997449999999996E-3</v>
      </c>
      <c r="AA2426">
        <v>0.99987159999999997</v>
      </c>
      <c r="AB2426">
        <v>40</v>
      </c>
      <c r="AC2426">
        <v>-0.60900000000003696</v>
      </c>
      <c r="AD2426">
        <v>-0.121028199999999</v>
      </c>
      <c r="AE2426">
        <v>5.8800000000019198E-2</v>
      </c>
      <c r="AF2426">
        <v>1.5033568442282701E-2</v>
      </c>
      <c r="AG2426">
        <v>-0.121028199999999</v>
      </c>
      <c r="AH2426">
        <v>0.58860068310378899</v>
      </c>
      <c r="AI2426">
        <v>101.615539588074</v>
      </c>
      <c r="AJ2426">
        <v>88.536915064529396</v>
      </c>
      <c r="AK2426">
        <v>0.60110281776547603</v>
      </c>
      <c r="AL2426">
        <v>69.393875906118396</v>
      </c>
      <c r="AM2426">
        <v>97.752364309300603</v>
      </c>
      <c r="AN2426">
        <v>1.00000000658739</v>
      </c>
    </row>
    <row r="2427" spans="1:40" x14ac:dyDescent="0.25">
      <c r="A2427" t="str">
        <f>"20190304164417320"</f>
        <v>20190304164417320</v>
      </c>
      <c r="B2427" t="str">
        <f>"1551689057311826"</f>
        <v>1551689057311826</v>
      </c>
      <c r="C2427" t="s">
        <v>40</v>
      </c>
      <c r="D2427">
        <v>5.3900750000000004</v>
      </c>
      <c r="E2427">
        <v>0.51913240000000005</v>
      </c>
      <c r="F2427" t="s">
        <v>41</v>
      </c>
      <c r="G2427">
        <v>-458.40809999999999</v>
      </c>
      <c r="H2427">
        <v>0.99544169999999998</v>
      </c>
      <c r="I2427">
        <v>284.60890000000001</v>
      </c>
      <c r="J2427">
        <v>-457.82100000000003</v>
      </c>
      <c r="K2427">
        <v>1.1125119999999999</v>
      </c>
      <c r="L2427">
        <v>284.55549999999999</v>
      </c>
      <c r="M2427">
        <v>-0.99739370000000005</v>
      </c>
      <c r="N2427">
        <v>-2.1077510000000001E-2</v>
      </c>
      <c r="O2427">
        <v>6.9004350000000006E-2</v>
      </c>
      <c r="P2427">
        <v>-0.9416137</v>
      </c>
      <c r="Q2427">
        <v>0.33037909999999998</v>
      </c>
      <c r="R2427">
        <v>-6.4912940000000002E-2</v>
      </c>
      <c r="S2427">
        <v>-3.3477480000000002</v>
      </c>
      <c r="T2427">
        <v>-0.40550180000000002</v>
      </c>
      <c r="U2427">
        <v>0.27270509999999998</v>
      </c>
      <c r="V2427">
        <v>-0.13066630000000001</v>
      </c>
      <c r="W2427">
        <v>0.3496689</v>
      </c>
      <c r="X2427">
        <v>0.9277166</v>
      </c>
      <c r="Y2427">
        <v>1.243931E-2</v>
      </c>
      <c r="Z2427">
        <v>-5.9724180000000002E-3</v>
      </c>
      <c r="AA2427">
        <v>0.99990480000000004</v>
      </c>
      <c r="AB2427">
        <v>40</v>
      </c>
      <c r="AC2427">
        <v>-0.58710000000002005</v>
      </c>
      <c r="AD2427">
        <v>-0.1170703</v>
      </c>
      <c r="AE2427">
        <v>5.3400000000010502E-2</v>
      </c>
      <c r="AF2427">
        <v>1.2267425738109201E-2</v>
      </c>
      <c r="AG2427">
        <v>-0.1170703</v>
      </c>
      <c r="AH2427">
        <v>0.56702449973359004</v>
      </c>
      <c r="AI2427">
        <v>101.662961596073</v>
      </c>
      <c r="AJ2427">
        <v>88.760614243429899</v>
      </c>
      <c r="AK2427">
        <v>0.57911374372782598</v>
      </c>
      <c r="AL2427">
        <v>69.532936289968404</v>
      </c>
      <c r="AM2427">
        <v>98.017213593921596</v>
      </c>
      <c r="AN2427">
        <v>1.0000000557492199</v>
      </c>
    </row>
    <row r="2428" spans="1:40" x14ac:dyDescent="0.25">
      <c r="A2428" t="str">
        <f>"20190304164417354"</f>
        <v>20190304164417354</v>
      </c>
      <c r="B2428" t="str">
        <f>"1551689057352527"</f>
        <v>1551689057352527</v>
      </c>
      <c r="C2428" t="s">
        <v>40</v>
      </c>
      <c r="D2428">
        <v>5.2455189999999998</v>
      </c>
      <c r="E2428">
        <v>0.490763</v>
      </c>
      <c r="F2428" t="s">
        <v>45</v>
      </c>
      <c r="G2428">
        <v>-468.4255</v>
      </c>
      <c r="H2428" s="1">
        <v>2.9662230000000001E-6</v>
      </c>
      <c r="I2428">
        <v>284.17259999999999</v>
      </c>
      <c r="J2428">
        <v>-458.41149999999999</v>
      </c>
      <c r="K2428">
        <v>1.1130739999999999</v>
      </c>
      <c r="L2428">
        <v>284.59320000000002</v>
      </c>
      <c r="M2428">
        <v>-0.99761350000000004</v>
      </c>
      <c r="N2428">
        <v>-2.106065E-2</v>
      </c>
      <c r="O2428">
        <v>6.5755800000000003E-2</v>
      </c>
      <c r="P2428">
        <v>-0.9409286</v>
      </c>
      <c r="Q2428">
        <v>0.331258099999999</v>
      </c>
      <c r="R2428">
        <v>-7.0155259999999997E-2</v>
      </c>
      <c r="S2428">
        <v>-3.299255</v>
      </c>
      <c r="T2428">
        <v>-0.3461224</v>
      </c>
      <c r="U2428">
        <v>-0.1191101</v>
      </c>
      <c r="V2428">
        <v>-0.1332837</v>
      </c>
      <c r="W2428">
        <v>0.35033309999999901</v>
      </c>
      <c r="X2428">
        <v>0.92709339999999996</v>
      </c>
      <c r="Y2428">
        <v>-0.10083350000000001</v>
      </c>
      <c r="Z2428">
        <v>-1.1832479999999999E-2</v>
      </c>
      <c r="AA2428">
        <v>0.99483290000000002</v>
      </c>
      <c r="AB2428">
        <v>40</v>
      </c>
      <c r="AC2428">
        <v>-10.013999999999999</v>
      </c>
      <c r="AD2428">
        <v>-1.113071033777</v>
      </c>
      <c r="AE2428">
        <v>-0.420600000000035</v>
      </c>
      <c r="AF2428">
        <v>-1.0651772291858701</v>
      </c>
      <c r="AG2428">
        <v>-1.113071033777</v>
      </c>
      <c r="AH2428">
        <v>9.8432586041126093</v>
      </c>
      <c r="AI2428">
        <v>96.414440921531195</v>
      </c>
      <c r="AJ2428">
        <v>96.176165436692003</v>
      </c>
      <c r="AK2428">
        <v>9.9630953826231305</v>
      </c>
      <c r="AL2428">
        <v>69.492309631359703</v>
      </c>
      <c r="AM2428">
        <v>98.181079022997693</v>
      </c>
      <c r="AN2428">
        <v>0.99999999898242897</v>
      </c>
    </row>
    <row r="2429" spans="1:40" x14ac:dyDescent="0.25">
      <c r="A2429" t="str">
        <f>"20190304164417377"</f>
        <v>20190304164417377</v>
      </c>
      <c r="B2429" t="str">
        <f>"1551689057372047"</f>
        <v>1551689057372047</v>
      </c>
      <c r="C2429" t="s">
        <v>40</v>
      </c>
      <c r="D2429">
        <v>5.2120119999999996</v>
      </c>
      <c r="E2429">
        <v>0.4859368</v>
      </c>
      <c r="F2429" t="s">
        <v>45</v>
      </c>
      <c r="G2429">
        <v>-468.60169999999999</v>
      </c>
      <c r="H2429" s="1">
        <v>3.091385E-6</v>
      </c>
      <c r="I2429">
        <v>283.4545</v>
      </c>
      <c r="J2429">
        <v>-458.81</v>
      </c>
      <c r="K2429">
        <v>1.1134759999999999</v>
      </c>
      <c r="L2429">
        <v>284.61689999999999</v>
      </c>
      <c r="M2429">
        <v>-0.99778990000000001</v>
      </c>
      <c r="N2429">
        <v>-2.105419E-2</v>
      </c>
      <c r="O2429">
        <v>6.3026499999999999E-2</v>
      </c>
      <c r="P2429">
        <v>-0.94055160000000004</v>
      </c>
      <c r="Q2429">
        <v>0.33148620000000001</v>
      </c>
      <c r="R2429">
        <v>-7.4026690000000006E-2</v>
      </c>
      <c r="S2429">
        <v>-3.2874150000000002</v>
      </c>
      <c r="T2429">
        <v>-0.35908319999999999</v>
      </c>
      <c r="U2429">
        <v>-0.3673401</v>
      </c>
      <c r="V2429">
        <v>-0.1349023</v>
      </c>
      <c r="W2429">
        <v>0.35041660000000002</v>
      </c>
      <c r="X2429">
        <v>0.92682770000000003</v>
      </c>
      <c r="Y2429">
        <v>-0.17202819999999999</v>
      </c>
      <c r="Z2429">
        <v>-1.6687810000000001E-2</v>
      </c>
      <c r="AA2429">
        <v>0.98495069999999996</v>
      </c>
      <c r="AB2429">
        <v>39</v>
      </c>
      <c r="AC2429">
        <v>-9.7916999999999899</v>
      </c>
      <c r="AD2429">
        <v>-1.1134729086149999</v>
      </c>
      <c r="AE2429">
        <v>-1.1623999999999901</v>
      </c>
      <c r="AF2429">
        <v>-1.7549823945621099</v>
      </c>
      <c r="AG2429">
        <v>-1.1134729086149999</v>
      </c>
      <c r="AH2429">
        <v>9.5768257315061298</v>
      </c>
      <c r="AI2429">
        <v>96.524174708662102</v>
      </c>
      <c r="AJ2429">
        <v>100.384406683203</v>
      </c>
      <c r="AK2429">
        <v>9.7997640897666791</v>
      </c>
      <c r="AL2429">
        <v>69.487201760240097</v>
      </c>
      <c r="AM2429">
        <v>98.281401636369694</v>
      </c>
      <c r="AN2429">
        <v>1.00000000479407</v>
      </c>
    </row>
    <row r="2430" spans="1:40" x14ac:dyDescent="0.25">
      <c r="A2430" t="str">
        <f>"20190304164417399"</f>
        <v>20190304164417399</v>
      </c>
      <c r="B2430" t="str">
        <f>"1551689057392543"</f>
        <v>1551689057392543</v>
      </c>
      <c r="C2430" t="s">
        <v>40</v>
      </c>
      <c r="D2430">
        <v>5.1865249999999996</v>
      </c>
      <c r="E2430">
        <v>0.48364509999999999</v>
      </c>
      <c r="F2430" t="s">
        <v>45</v>
      </c>
      <c r="G2430">
        <v>-469.03820000000002</v>
      </c>
      <c r="H2430" s="1">
        <v>3.32979E-6</v>
      </c>
      <c r="I2430">
        <v>283.31450000000001</v>
      </c>
      <c r="J2430">
        <v>-459.1952</v>
      </c>
      <c r="K2430">
        <v>1.113856</v>
      </c>
      <c r="L2430">
        <v>284.63850000000002</v>
      </c>
      <c r="M2430">
        <v>-0.99797170000000002</v>
      </c>
      <c r="N2430">
        <v>-2.1069589999999999E-2</v>
      </c>
      <c r="O2430">
        <v>6.0071239999999998E-2</v>
      </c>
      <c r="P2430">
        <v>-0.93997410000000003</v>
      </c>
      <c r="Q2430">
        <v>0.33165729999999999</v>
      </c>
      <c r="R2430">
        <v>-8.0324660000000006E-2</v>
      </c>
      <c r="S2430">
        <v>-3.2826840000000002</v>
      </c>
      <c r="T2430">
        <v>-0.35736440000000003</v>
      </c>
      <c r="U2430">
        <v>-0.41799930000000002</v>
      </c>
      <c r="V2430">
        <v>-0.13869870000000001</v>
      </c>
      <c r="W2430">
        <v>0.3504505</v>
      </c>
      <c r="X2430">
        <v>0.92625429999999997</v>
      </c>
      <c r="Y2430">
        <v>-0.18417849999999999</v>
      </c>
      <c r="Z2430">
        <v>-1.715123E-2</v>
      </c>
      <c r="AA2430">
        <v>0.98274309999999998</v>
      </c>
      <c r="AB2430">
        <v>39</v>
      </c>
      <c r="AC2430">
        <v>-9.8430000000000106</v>
      </c>
      <c r="AD2430">
        <v>-1.11385267021</v>
      </c>
      <c r="AE2430">
        <v>-1.3240000000000101</v>
      </c>
      <c r="AF2430">
        <v>-1.8892572696068299</v>
      </c>
      <c r="AG2430">
        <v>-1.11385267021</v>
      </c>
      <c r="AH2430">
        <v>9.6246059117601401</v>
      </c>
      <c r="AI2430">
        <v>96.478895622918301</v>
      </c>
      <c r="AJ2430">
        <v>101.105644372862</v>
      </c>
      <c r="AK2430">
        <v>9.8713220876630494</v>
      </c>
      <c r="AL2430">
        <v>69.485126865450198</v>
      </c>
      <c r="AM2430">
        <v>98.516279515510305</v>
      </c>
      <c r="AN2430">
        <v>0.99999995530021402</v>
      </c>
    </row>
    <row r="2431" spans="1:40" x14ac:dyDescent="0.25">
      <c r="A2431" t="str">
        <f>"20190304164417420"</f>
        <v>20190304164417420</v>
      </c>
      <c r="B2431" t="str">
        <f>"1551689057412063"</f>
        <v>1551689057412063</v>
      </c>
      <c r="C2431" t="s">
        <v>40</v>
      </c>
      <c r="D2431">
        <v>5.2286830000000002</v>
      </c>
      <c r="E2431">
        <v>0.48254170000000002</v>
      </c>
      <c r="F2431" t="s">
        <v>45</v>
      </c>
      <c r="G2431">
        <v>-469.90620000000001</v>
      </c>
      <c r="H2431" s="1">
        <v>3.7982989999999999E-6</v>
      </c>
      <c r="I2431">
        <v>283.1635</v>
      </c>
      <c r="J2431">
        <v>-459.56990000000002</v>
      </c>
      <c r="K2431">
        <v>1.1142319999999999</v>
      </c>
      <c r="L2431">
        <v>284.65800000000002</v>
      </c>
      <c r="M2431">
        <v>-0.99815920000000002</v>
      </c>
      <c r="N2431">
        <v>-2.1096319999999998E-2</v>
      </c>
      <c r="O2431">
        <v>5.6860420000000002E-2</v>
      </c>
      <c r="P2431">
        <v>-0.93932499999999997</v>
      </c>
      <c r="Q2431">
        <v>0.3316267</v>
      </c>
      <c r="R2431">
        <v>-8.7705519999999995E-2</v>
      </c>
      <c r="S2431">
        <v>-3.2731319999999999</v>
      </c>
      <c r="T2431">
        <v>-0.34037859999999998</v>
      </c>
      <c r="U2431">
        <v>-0.4507446</v>
      </c>
      <c r="V2431">
        <v>-0.14332239999999999</v>
      </c>
      <c r="W2431">
        <v>0.35028530000000002</v>
      </c>
      <c r="X2431">
        <v>0.92561269999999995</v>
      </c>
      <c r="Y2431">
        <v>-0.1911292</v>
      </c>
      <c r="Z2431">
        <v>-1.657933E-2</v>
      </c>
      <c r="AA2431">
        <v>0.98142490000000004</v>
      </c>
      <c r="AB2431">
        <v>39</v>
      </c>
      <c r="AC2431">
        <v>-10.3362999999999</v>
      </c>
      <c r="AD2431">
        <v>-1.1142282017009999</v>
      </c>
      <c r="AE2431">
        <v>-1.4945000000000099</v>
      </c>
      <c r="AF2431">
        <v>-2.0565300535441899</v>
      </c>
      <c r="AG2431">
        <v>-1.1142282017009999</v>
      </c>
      <c r="AH2431">
        <v>10.119390422475901</v>
      </c>
      <c r="AI2431">
        <v>96.158532254214094</v>
      </c>
      <c r="AJ2431">
        <v>101.487585873854</v>
      </c>
      <c r="AK2431">
        <v>10.386187118913901</v>
      </c>
      <c r="AL2431">
        <v>69.495233376144398</v>
      </c>
      <c r="AM2431">
        <v>98.801812533015905</v>
      </c>
      <c r="AN2431">
        <v>0.99999998606956897</v>
      </c>
    </row>
    <row r="2432" spans="1:40" x14ac:dyDescent="0.25">
      <c r="A2432" t="str">
        <f>"20190304164417444"</f>
        <v>20190304164417444</v>
      </c>
      <c r="B2432" t="str">
        <f>"1551689057432560"</f>
        <v>1551689057432560</v>
      </c>
      <c r="C2432" t="s">
        <v>40</v>
      </c>
      <c r="D2432">
        <v>5.1926750000000004</v>
      </c>
      <c r="E2432">
        <v>0.4814273</v>
      </c>
      <c r="F2432" t="s">
        <v>47</v>
      </c>
      <c r="G2432">
        <v>-470.37169999999998</v>
      </c>
      <c r="H2432" s="1">
        <v>6.3144909999999998E-6</v>
      </c>
      <c r="I2432">
        <v>283.07440000000003</v>
      </c>
      <c r="J2432">
        <v>-459.96159999999998</v>
      </c>
      <c r="K2432">
        <v>1.1146049999999901</v>
      </c>
      <c r="L2432">
        <v>284.67680000000001</v>
      </c>
      <c r="M2432">
        <v>-0.99836400000000003</v>
      </c>
      <c r="N2432">
        <v>-2.1132979999999999E-2</v>
      </c>
      <c r="O2432">
        <v>5.3129849999999999E-2</v>
      </c>
      <c r="P2432">
        <v>-0.9392741</v>
      </c>
      <c r="Q2432">
        <v>0.32982590000000001</v>
      </c>
      <c r="R2432">
        <v>-9.4757209999999994E-2</v>
      </c>
      <c r="S2432">
        <v>-3.2680660000000001</v>
      </c>
      <c r="T2432">
        <v>-0.33710770000000001</v>
      </c>
      <c r="U2432">
        <v>-0.479126</v>
      </c>
      <c r="V2432">
        <v>-0.14716960000000001</v>
      </c>
      <c r="W2432">
        <v>0.34836719999999999</v>
      </c>
      <c r="X2432">
        <v>0.92573289999999997</v>
      </c>
      <c r="Y2432">
        <v>-0.19602420000000001</v>
      </c>
      <c r="Z2432">
        <v>-1.644574E-2</v>
      </c>
      <c r="AA2432">
        <v>0.98046109999999997</v>
      </c>
      <c r="AB2432">
        <v>39</v>
      </c>
      <c r="AC2432">
        <v>-10.4101</v>
      </c>
      <c r="AD2432">
        <v>-1.11459868550899</v>
      </c>
      <c r="AE2432">
        <v>-1.6023999999999801</v>
      </c>
      <c r="AF2432">
        <v>-2.1294993048132498</v>
      </c>
      <c r="AG2432">
        <v>-1.11459868550899</v>
      </c>
      <c r="AH2432">
        <v>10.1960561937239</v>
      </c>
      <c r="AI2432">
        <v>96.107847097401105</v>
      </c>
      <c r="AJ2432">
        <v>101.796942636255</v>
      </c>
      <c r="AK2432">
        <v>10.475526689599601</v>
      </c>
      <c r="AL2432">
        <v>69.612521742336398</v>
      </c>
      <c r="AM2432">
        <v>99.033078699538905</v>
      </c>
      <c r="AN2432">
        <v>0.99999999967120501</v>
      </c>
    </row>
    <row r="2433" spans="1:40" x14ac:dyDescent="0.25">
      <c r="A2433" t="str">
        <f>"20190304164417466"</f>
        <v>20190304164417466</v>
      </c>
      <c r="B2433" t="str">
        <f>"1551689057462652"</f>
        <v>1551689057462652</v>
      </c>
      <c r="C2433" t="s">
        <v>40</v>
      </c>
      <c r="D2433">
        <v>5.2188179999999997</v>
      </c>
      <c r="E2433">
        <v>0.48094209999999898</v>
      </c>
      <c r="F2433" t="s">
        <v>47</v>
      </c>
      <c r="G2433">
        <v>-470.42660000000001</v>
      </c>
      <c r="H2433" s="1">
        <v>6.2872919999999997E-6</v>
      </c>
      <c r="I2433">
        <v>283.0421</v>
      </c>
      <c r="J2433">
        <v>-460.34780000000001</v>
      </c>
      <c r="K2433">
        <v>1.114968</v>
      </c>
      <c r="L2433">
        <v>284.69349999999997</v>
      </c>
      <c r="M2433">
        <v>-0.99856979999999995</v>
      </c>
      <c r="N2433">
        <v>-2.118658E-2</v>
      </c>
      <c r="O2433">
        <v>4.908738E-2</v>
      </c>
      <c r="P2433">
        <v>-0.93921350000000003</v>
      </c>
      <c r="Q2433">
        <v>0.32802779999999998</v>
      </c>
      <c r="R2433">
        <v>-0.1013696</v>
      </c>
      <c r="S2433">
        <v>-3.2645870000000001</v>
      </c>
      <c r="T2433">
        <v>-0.34770139999999999</v>
      </c>
      <c r="U2433">
        <v>-0.50994870000000003</v>
      </c>
      <c r="V2433">
        <v>-0.15028029999999901</v>
      </c>
      <c r="W2433">
        <v>0.3464718</v>
      </c>
      <c r="X2433">
        <v>0.9259444</v>
      </c>
      <c r="Y2433">
        <v>-0.2011452</v>
      </c>
      <c r="Z2433">
        <v>-1.6923319999999999E-2</v>
      </c>
      <c r="AA2433">
        <v>0.97941520000000004</v>
      </c>
      <c r="AB2433">
        <v>39</v>
      </c>
      <c r="AC2433">
        <v>-10.078799999999999</v>
      </c>
      <c r="AD2433">
        <v>-1.114961712708</v>
      </c>
      <c r="AE2433">
        <v>-1.65139999999996</v>
      </c>
      <c r="AF2433">
        <v>-2.1190073185299898</v>
      </c>
      <c r="AG2433">
        <v>-1.114961712708</v>
      </c>
      <c r="AH2433">
        <v>9.8679587948212504</v>
      </c>
      <c r="AI2433">
        <v>96.303893578922199</v>
      </c>
      <c r="AJ2433">
        <v>102.119428930952</v>
      </c>
      <c r="AK2433">
        <v>10.154306594400101</v>
      </c>
      <c r="AL2433">
        <v>69.7283332071096</v>
      </c>
      <c r="AM2433">
        <v>99.218692837676699</v>
      </c>
      <c r="AN2433">
        <v>0.99999995432734401</v>
      </c>
    </row>
    <row r="2434" spans="1:40" x14ac:dyDescent="0.25">
      <c r="A2434" t="str">
        <f>"20190304164417489"</f>
        <v>20190304164417489</v>
      </c>
      <c r="B2434" t="str">
        <f>"1551689057482170"</f>
        <v>1551689057482170</v>
      </c>
      <c r="C2434" t="s">
        <v>40</v>
      </c>
      <c r="D2434">
        <v>5.2086379999999997</v>
      </c>
      <c r="E2434">
        <v>0.48073280000000002</v>
      </c>
      <c r="F2434" t="s">
        <v>47</v>
      </c>
      <c r="G2434">
        <v>-470.49979999999999</v>
      </c>
      <c r="H2434" s="1">
        <v>6.25347099999999E-6</v>
      </c>
      <c r="I2434">
        <v>283.0265</v>
      </c>
      <c r="J2434">
        <v>-460.72620000000001</v>
      </c>
      <c r="K2434">
        <v>1.1153310000000001</v>
      </c>
      <c r="L2434">
        <v>284.70800000000003</v>
      </c>
      <c r="M2434">
        <v>-0.99877090000000002</v>
      </c>
      <c r="N2434">
        <v>-2.1260680000000001E-2</v>
      </c>
      <c r="O2434">
        <v>4.4773849999999997E-2</v>
      </c>
      <c r="P2434">
        <v>-0.93877829999999995</v>
      </c>
      <c r="Q2434">
        <v>0.32746019999999998</v>
      </c>
      <c r="R2434">
        <v>-0.1070745</v>
      </c>
      <c r="S2434">
        <v>-3.2614749999999999</v>
      </c>
      <c r="T2434">
        <v>-0.35819649999999997</v>
      </c>
      <c r="U2434">
        <v>-0.53555299999999995</v>
      </c>
      <c r="V2434">
        <v>-0.15221699999999999</v>
      </c>
      <c r="W2434">
        <v>0.34582940000000001</v>
      </c>
      <c r="X2434">
        <v>0.92586829999999998</v>
      </c>
      <c r="Y2434">
        <v>-0.2044571</v>
      </c>
      <c r="Z2434">
        <v>-1.724641E-2</v>
      </c>
      <c r="AA2434">
        <v>0.97872360000000003</v>
      </c>
      <c r="AB2434">
        <v>39</v>
      </c>
      <c r="AC2434">
        <v>-9.7735999999999805</v>
      </c>
      <c r="AD2434">
        <v>-1.1153247465289999</v>
      </c>
      <c r="AE2434">
        <v>-1.68149999999997</v>
      </c>
      <c r="AF2434">
        <v>-2.0910655696201799</v>
      </c>
      <c r="AG2434">
        <v>-1.1153247465289999</v>
      </c>
      <c r="AH2434">
        <v>9.5674794270772896</v>
      </c>
      <c r="AI2434">
        <v>96.497206287736404</v>
      </c>
      <c r="AJ2434">
        <v>102.328682175078</v>
      </c>
      <c r="AK2434">
        <v>9.8566306156930796</v>
      </c>
      <c r="AL2434">
        <v>69.767567391925496</v>
      </c>
      <c r="AM2434">
        <v>99.336171699943506</v>
      </c>
      <c r="AN2434">
        <v>1.0000000489691201</v>
      </c>
    </row>
    <row r="2435" spans="1:40" x14ac:dyDescent="0.25">
      <c r="A2435" t="str">
        <f>"20190304164417511"</f>
        <v>20190304164417511</v>
      </c>
      <c r="B2435" t="str">
        <f>"1551689057502666"</f>
        <v>1551689057502666</v>
      </c>
      <c r="C2435" t="s">
        <v>40</v>
      </c>
      <c r="D2435">
        <v>5.1762899999999998</v>
      </c>
      <c r="E2435">
        <v>0.48069070000000003</v>
      </c>
      <c r="F2435" t="s">
        <v>47</v>
      </c>
      <c r="G2435">
        <v>-470.73809999999997</v>
      </c>
      <c r="H2435" s="1">
        <v>6.1456589999999998E-6</v>
      </c>
      <c r="I2435">
        <v>283.00189999999998</v>
      </c>
      <c r="J2435">
        <v>-461.10250000000002</v>
      </c>
      <c r="K2435">
        <v>1.1156980000000001</v>
      </c>
      <c r="L2435">
        <v>284.72050000000002</v>
      </c>
      <c r="M2435">
        <v>-0.99896620000000003</v>
      </c>
      <c r="N2435">
        <v>-2.135573E-2</v>
      </c>
      <c r="O2435">
        <v>4.0132470000000003E-2</v>
      </c>
      <c r="P2435">
        <v>-0.9374692</v>
      </c>
      <c r="Q2435">
        <v>0.32950040000000003</v>
      </c>
      <c r="R2435">
        <v>-0.1121644</v>
      </c>
      <c r="S2435">
        <v>-3.2589109999999999</v>
      </c>
      <c r="T2435">
        <v>-0.3630428</v>
      </c>
      <c r="U2435">
        <v>-0.55535889999999999</v>
      </c>
      <c r="V2435">
        <v>-0.15322469999999999</v>
      </c>
      <c r="W2435">
        <v>0.34780440000000001</v>
      </c>
      <c r="X2435">
        <v>0.92496179999999995</v>
      </c>
      <c r="Y2435">
        <v>-0.2057851</v>
      </c>
      <c r="Z2435">
        <v>-1.71469E-2</v>
      </c>
      <c r="AA2435">
        <v>0.97844699999999996</v>
      </c>
      <c r="AB2435">
        <v>38</v>
      </c>
      <c r="AC2435">
        <v>-9.6355999999999504</v>
      </c>
      <c r="AD2435">
        <v>-1.1156918543409999</v>
      </c>
      <c r="AE2435">
        <v>-1.7186000000000301</v>
      </c>
      <c r="AF2435">
        <v>-2.07701545471904</v>
      </c>
      <c r="AG2435">
        <v>-1.1156918543409999</v>
      </c>
      <c r="AH2435">
        <v>9.4362353967819192</v>
      </c>
      <c r="AI2435">
        <v>96.586813733708397</v>
      </c>
      <c r="AJ2435">
        <v>102.413462867626</v>
      </c>
      <c r="AK2435">
        <v>9.7263199606256308</v>
      </c>
      <c r="AL2435">
        <v>69.646919355407206</v>
      </c>
      <c r="AM2435">
        <v>99.405924568574903</v>
      </c>
      <c r="AN2435">
        <v>1.00000002040434</v>
      </c>
    </row>
    <row r="2436" spans="1:40" x14ac:dyDescent="0.25">
      <c r="A2436" t="str">
        <f>"20190304164417533"</f>
        <v>20190304164417533</v>
      </c>
      <c r="B2436" t="str">
        <f>"1551689057522186"</f>
        <v>1551689057522186</v>
      </c>
      <c r="C2436" t="s">
        <v>40</v>
      </c>
      <c r="D2436">
        <v>5.2028319999999999</v>
      </c>
      <c r="E2436">
        <v>0.48072700000000002</v>
      </c>
      <c r="F2436" t="s">
        <v>47</v>
      </c>
      <c r="G2436">
        <v>-471.27589999999998</v>
      </c>
      <c r="H2436" s="1">
        <v>5.90011999999999E-6</v>
      </c>
      <c r="I2436">
        <v>282.92129999999997</v>
      </c>
      <c r="J2436">
        <v>-461.47859999999997</v>
      </c>
      <c r="K2436">
        <v>1.11607099999999</v>
      </c>
      <c r="L2436">
        <v>284.73090000000002</v>
      </c>
      <c r="M2436">
        <v>-0.99915169999999998</v>
      </c>
      <c r="N2436">
        <v>-2.1470880000000001E-2</v>
      </c>
      <c r="O2436">
        <v>3.5140280000000003E-2</v>
      </c>
      <c r="P2436">
        <v>-0.93598360000000003</v>
      </c>
      <c r="Q2436">
        <v>0.33179779999999998</v>
      </c>
      <c r="R2436">
        <v>-0.1176637</v>
      </c>
      <c r="S2436">
        <v>-3.2567140000000001</v>
      </c>
      <c r="T2436">
        <v>-0.35715720000000001</v>
      </c>
      <c r="U2436">
        <v>-0.57595830000000003</v>
      </c>
      <c r="V2436">
        <v>-0.15432399999999999</v>
      </c>
      <c r="W2436">
        <v>0.3500508</v>
      </c>
      <c r="X2436">
        <v>0.92393110000000001</v>
      </c>
      <c r="Y2436">
        <v>-0.2070726</v>
      </c>
      <c r="Z2436">
        <v>-1.6551139999999999E-2</v>
      </c>
      <c r="AA2436">
        <v>0.97818559999999999</v>
      </c>
      <c r="AB2436">
        <v>38</v>
      </c>
      <c r="AC2436">
        <v>-9.7972999999999999</v>
      </c>
      <c r="AD2436">
        <v>-1.1160650998799999</v>
      </c>
      <c r="AE2436">
        <v>-1.8096000000000401</v>
      </c>
      <c r="AF2436">
        <v>-2.1261606566895699</v>
      </c>
      <c r="AG2436">
        <v>-1.1160650998799999</v>
      </c>
      <c r="AH2436">
        <v>9.6070857761957509</v>
      </c>
      <c r="AI2436">
        <v>96.471201766324199</v>
      </c>
      <c r="AJ2436">
        <v>102.479085044293</v>
      </c>
      <c r="AK2436">
        <v>9.9026389188138797</v>
      </c>
      <c r="AL2436">
        <v>69.509579167544004</v>
      </c>
      <c r="AM2436">
        <v>99.482563078386804</v>
      </c>
      <c r="AN2436">
        <v>1.0000000685519199</v>
      </c>
    </row>
    <row r="2437" spans="1:40" x14ac:dyDescent="0.25">
      <c r="A2437" t="str">
        <f>"20190304164417555"</f>
        <v>20190304164417555</v>
      </c>
      <c r="B2437" t="str">
        <f>"1551689057542214"</f>
        <v>1551689057542214</v>
      </c>
      <c r="C2437" t="s">
        <v>40</v>
      </c>
      <c r="D2437">
        <v>5.174722</v>
      </c>
      <c r="E2437">
        <v>0.48075309999999999</v>
      </c>
      <c r="F2437" t="s">
        <v>47</v>
      </c>
      <c r="G2437">
        <v>-471.84379999999999</v>
      </c>
      <c r="H2437" s="1">
        <v>5.6405109999999997E-6</v>
      </c>
      <c r="I2437">
        <v>282.83249999999998</v>
      </c>
      <c r="J2437">
        <v>-461.85019999999997</v>
      </c>
      <c r="K2437">
        <v>1.11643</v>
      </c>
      <c r="L2437">
        <v>284.73880000000003</v>
      </c>
      <c r="M2437">
        <v>-0.99932149999999997</v>
      </c>
      <c r="N2437">
        <v>-2.160486E-2</v>
      </c>
      <c r="O2437">
        <v>2.9829060000000001E-2</v>
      </c>
      <c r="P2437">
        <v>-0.93537749999999997</v>
      </c>
      <c r="Q2437">
        <v>0.330758</v>
      </c>
      <c r="R2437">
        <v>-0.12517139999999999</v>
      </c>
      <c r="S2437">
        <v>-3.2544559999999998</v>
      </c>
      <c r="T2437">
        <v>-0.35042230000000002</v>
      </c>
      <c r="U2437">
        <v>-0.59606930000000002</v>
      </c>
      <c r="V2437">
        <v>-0.15713460000000001</v>
      </c>
      <c r="W2437">
        <v>0.3489777</v>
      </c>
      <c r="X2437">
        <v>0.9238632</v>
      </c>
      <c r="Y2437">
        <v>-0.2079135</v>
      </c>
      <c r="Z2437">
        <v>-1.5883049999999999E-2</v>
      </c>
      <c r="AA2437">
        <v>0.97801830000000001</v>
      </c>
      <c r="AB2437">
        <v>38</v>
      </c>
      <c r="AC2437">
        <v>-9.9936000000000096</v>
      </c>
      <c r="AD2437">
        <v>-1.116424359489</v>
      </c>
      <c r="AE2437">
        <v>-1.9063000000000401</v>
      </c>
      <c r="AF2437">
        <v>-2.1774006985161298</v>
      </c>
      <c r="AG2437">
        <v>-1.116424359489</v>
      </c>
      <c r="AH2437">
        <v>9.8140947068082305</v>
      </c>
      <c r="AI2437">
        <v>96.337115150902704</v>
      </c>
      <c r="AJ2437">
        <v>102.509283027233</v>
      </c>
      <c r="AK2437">
        <v>10.114540625582499</v>
      </c>
      <c r="AL2437">
        <v>69.575199823717895</v>
      </c>
      <c r="AM2437">
        <v>99.652738070612202</v>
      </c>
      <c r="AN2437">
        <v>0.99999996496434396</v>
      </c>
    </row>
    <row r="2438" spans="1:40" x14ac:dyDescent="0.25">
      <c r="A2438" t="str">
        <f>"20190304164417578"</f>
        <v>20190304164417578</v>
      </c>
      <c r="B2438" t="str">
        <f>"1551689057572476"</f>
        <v>1551689057572476</v>
      </c>
      <c r="C2438" t="s">
        <v>40</v>
      </c>
      <c r="D2438">
        <v>5.1909799999999997</v>
      </c>
      <c r="E2438">
        <v>0.48083239999999999</v>
      </c>
      <c r="F2438" t="s">
        <v>47</v>
      </c>
      <c r="G2438">
        <v>-472.06009999999998</v>
      </c>
      <c r="H2438" s="1">
        <v>5.5413529999999998E-6</v>
      </c>
      <c r="I2438">
        <v>282.79559999999998</v>
      </c>
      <c r="J2438">
        <v>-462.23009999999999</v>
      </c>
      <c r="K2438">
        <v>1.1167940000000001</v>
      </c>
      <c r="L2438">
        <v>284.74439999999998</v>
      </c>
      <c r="M2438">
        <v>-0.99947490000000005</v>
      </c>
      <c r="N2438">
        <v>-2.175026E-2</v>
      </c>
      <c r="O2438">
        <v>2.4020730000000001E-2</v>
      </c>
      <c r="P2438">
        <v>-0.93489060000000002</v>
      </c>
      <c r="Q2438">
        <v>0.32895029999999997</v>
      </c>
      <c r="R2438">
        <v>-0.13330999999999901</v>
      </c>
      <c r="S2438">
        <v>-3.2501530000000001</v>
      </c>
      <c r="T2438">
        <v>-0.35539480000000001</v>
      </c>
      <c r="U2438">
        <v>-0.61859129999999996</v>
      </c>
      <c r="V2438">
        <v>-0.16011129999999901</v>
      </c>
      <c r="W2438">
        <v>0.34714529999999999</v>
      </c>
      <c r="X2438">
        <v>0.92404249999999999</v>
      </c>
      <c r="Y2438">
        <v>-0.20897940000000001</v>
      </c>
      <c r="Z2438">
        <v>-1.567284E-2</v>
      </c>
      <c r="AA2438">
        <v>0.97779450000000001</v>
      </c>
      <c r="AB2438">
        <v>38</v>
      </c>
      <c r="AC2438">
        <v>-9.8299999999999805</v>
      </c>
      <c r="AD2438">
        <v>-1.116788458647</v>
      </c>
      <c r="AE2438">
        <v>-1.9488000000000001</v>
      </c>
      <c r="AF2438">
        <v>-2.1576211959381402</v>
      </c>
      <c r="AG2438">
        <v>-1.116788458647</v>
      </c>
      <c r="AH2438">
        <v>9.6603659235837398</v>
      </c>
      <c r="AI2438">
        <v>96.437193456939397</v>
      </c>
      <c r="AJ2438">
        <v>102.590247449532</v>
      </c>
      <c r="AK2438">
        <v>9.9611854447182395</v>
      </c>
      <c r="AL2438">
        <v>69.687192328549699</v>
      </c>
      <c r="AM2438">
        <v>99.830188885598105</v>
      </c>
      <c r="AN2438">
        <v>1.0000000147530099</v>
      </c>
    </row>
    <row r="2439" spans="1:40" x14ac:dyDescent="0.25">
      <c r="A2439" t="str">
        <f>"20190304164417599"</f>
        <v>20190304164417599</v>
      </c>
      <c r="B2439" t="str">
        <f>"1551689057591996"</f>
        <v>1551689057591996</v>
      </c>
      <c r="C2439" t="s">
        <v>40</v>
      </c>
      <c r="D2439">
        <v>5.2078329999999999</v>
      </c>
      <c r="E2439">
        <v>0.48083019999999999</v>
      </c>
      <c r="F2439" t="s">
        <v>47</v>
      </c>
      <c r="G2439">
        <v>-472.2115</v>
      </c>
      <c r="H2439" s="1">
        <v>5.4721230000000001E-6</v>
      </c>
      <c r="I2439">
        <v>282.77140000000003</v>
      </c>
      <c r="J2439">
        <v>-462.58870000000002</v>
      </c>
      <c r="K2439">
        <v>1.1171139999999999</v>
      </c>
      <c r="L2439">
        <v>284.7473</v>
      </c>
      <c r="M2439">
        <v>-0.99959410000000004</v>
      </c>
      <c r="N2439">
        <v>-2.188532E-2</v>
      </c>
      <c r="O2439">
        <v>1.8245239999999999E-2</v>
      </c>
      <c r="P2439">
        <v>-0.93398179999999997</v>
      </c>
      <c r="Q2439">
        <v>0.32844770000000001</v>
      </c>
      <c r="R2439">
        <v>-0.14071429999999999</v>
      </c>
      <c r="S2439">
        <v>-3.2451780000000001</v>
      </c>
      <c r="T2439">
        <v>-0.3630949</v>
      </c>
      <c r="U2439">
        <v>-0.64144899999999905</v>
      </c>
      <c r="V2439">
        <v>-0.16235939999999999</v>
      </c>
      <c r="W2439">
        <v>0.34662159999999997</v>
      </c>
      <c r="X2439">
        <v>0.92384679999999997</v>
      </c>
      <c r="Y2439">
        <v>-0.21019060000000001</v>
      </c>
      <c r="Z2439">
        <v>-1.5563789999999999E-2</v>
      </c>
      <c r="AA2439">
        <v>0.97753659999999998</v>
      </c>
      <c r="AB2439">
        <v>38</v>
      </c>
      <c r="AC2439">
        <v>-9.6227999999999803</v>
      </c>
      <c r="AD2439">
        <v>-1.1171085278770001</v>
      </c>
      <c r="AE2439">
        <v>-1.97589999999996</v>
      </c>
      <c r="AF2439">
        <v>-2.1237201699042898</v>
      </c>
      <c r="AG2439">
        <v>-1.1171085278770001</v>
      </c>
      <c r="AH2439">
        <v>9.4627692650580304</v>
      </c>
      <c r="AI2439">
        <v>96.570813038602495</v>
      </c>
      <c r="AJ2439">
        <v>102.64924211357901</v>
      </c>
      <c r="AK2439">
        <v>9.7622805218269004</v>
      </c>
      <c r="AL2439">
        <v>69.719184464237998</v>
      </c>
      <c r="AM2439">
        <v>99.967533540011203</v>
      </c>
      <c r="AN2439">
        <v>1.00000000911257</v>
      </c>
    </row>
    <row r="2440" spans="1:40" x14ac:dyDescent="0.25">
      <c r="A2440" t="str">
        <f>"20190304164417622"</f>
        <v>20190304164417622</v>
      </c>
      <c r="B2440" t="str">
        <f>"1551689057612492"</f>
        <v>1551689057612492</v>
      </c>
      <c r="C2440" t="s">
        <v>40</v>
      </c>
      <c r="D2440">
        <v>5.2492580000000002</v>
      </c>
      <c r="E2440">
        <v>0.48088009999999898</v>
      </c>
      <c r="F2440" t="s">
        <v>47</v>
      </c>
      <c r="G2440">
        <v>-472.45440000000002</v>
      </c>
      <c r="H2440" s="1">
        <v>5.3598599999999999E-6</v>
      </c>
      <c r="I2440">
        <v>282.71949999999998</v>
      </c>
      <c r="J2440">
        <v>-462.95830000000001</v>
      </c>
      <c r="K2440">
        <v>1.11741</v>
      </c>
      <c r="L2440">
        <v>284.74779999999998</v>
      </c>
      <c r="M2440">
        <v>-0.99968570000000001</v>
      </c>
      <c r="N2440">
        <v>-2.20161E-2</v>
      </c>
      <c r="O2440">
        <v>1.199384E-2</v>
      </c>
      <c r="P2440">
        <v>-0.93240940000000005</v>
      </c>
      <c r="Q2440">
        <v>0.33029540000000002</v>
      </c>
      <c r="R2440">
        <v>-0.14668809999999999</v>
      </c>
      <c r="S2440">
        <v>-3.2407840000000001</v>
      </c>
      <c r="T2440">
        <v>-0.36696000000000001</v>
      </c>
      <c r="U2440">
        <v>-0.66610719999999901</v>
      </c>
      <c r="V2440">
        <v>-0.16275149999999999</v>
      </c>
      <c r="W2440">
        <v>0.34846149999999998</v>
      </c>
      <c r="X2440">
        <v>0.9230853</v>
      </c>
      <c r="Y2440">
        <v>-0.21145929999999999</v>
      </c>
      <c r="Z2440">
        <v>-1.5251860000000001E-2</v>
      </c>
      <c r="AA2440">
        <v>0.97726780000000002</v>
      </c>
      <c r="AB2440">
        <v>37</v>
      </c>
      <c r="AC2440">
        <v>-9.4961000000000109</v>
      </c>
      <c r="AD2440">
        <v>-1.11740464014</v>
      </c>
      <c r="AE2440">
        <v>-2.0283000000000002</v>
      </c>
      <c r="AF2440">
        <v>-2.1140815461175202</v>
      </c>
      <c r="AG2440">
        <v>-1.11740464014</v>
      </c>
      <c r="AH2440">
        <v>9.3473059970849697</v>
      </c>
      <c r="AI2440">
        <v>96.650542865690994</v>
      </c>
      <c r="AJ2440">
        <v>102.744181235935</v>
      </c>
      <c r="AK2440">
        <v>9.6483191964497994</v>
      </c>
      <c r="AL2440">
        <v>69.606756926248295</v>
      </c>
      <c r="AM2440">
        <v>99.999196719745896</v>
      </c>
      <c r="AN2440">
        <v>0.99999996940529401</v>
      </c>
    </row>
    <row r="2441" spans="1:40" x14ac:dyDescent="0.25">
      <c r="A2441" t="str">
        <f>"20190304164417645"</f>
        <v>20190304164417645</v>
      </c>
      <c r="B2441" t="str">
        <f>"1551689057632012"</f>
        <v>1551689057632012</v>
      </c>
      <c r="C2441" t="s">
        <v>40</v>
      </c>
      <c r="D2441">
        <v>5.1730619999999998</v>
      </c>
      <c r="E2441">
        <v>0.4464959</v>
      </c>
      <c r="F2441" t="s">
        <v>47</v>
      </c>
      <c r="G2441">
        <v>-472.98070000000001</v>
      </c>
      <c r="H2441" s="1">
        <v>5.1174359999999996E-6</v>
      </c>
      <c r="I2441">
        <v>282.61610000000002</v>
      </c>
      <c r="J2441">
        <v>-463.32429999999999</v>
      </c>
      <c r="K2441">
        <v>1.117686</v>
      </c>
      <c r="L2441">
        <v>284.74579999999997</v>
      </c>
      <c r="M2441">
        <v>-0.99973990000000001</v>
      </c>
      <c r="N2441">
        <v>-2.2136739999999999E-2</v>
      </c>
      <c r="O2441">
        <v>5.5002829999999999E-3</v>
      </c>
      <c r="P2441">
        <v>-0.9307356</v>
      </c>
      <c r="Q2441">
        <v>0.33253860000000002</v>
      </c>
      <c r="R2441">
        <v>-0.1521499</v>
      </c>
      <c r="S2441">
        <v>-3.2369690000000002</v>
      </c>
      <c r="T2441">
        <v>-0.3608904</v>
      </c>
      <c r="U2441">
        <v>-0.68847659999999999</v>
      </c>
      <c r="V2441">
        <v>-0.1624099</v>
      </c>
      <c r="W2441">
        <v>0.35070649999999998</v>
      </c>
      <c r="X2441">
        <v>0.92229499999999998</v>
      </c>
      <c r="Y2441">
        <v>-0.21187880000000001</v>
      </c>
      <c r="Z2441">
        <v>-1.451003E-2</v>
      </c>
      <c r="AA2441">
        <v>0.97718819999999995</v>
      </c>
      <c r="AB2441">
        <v>37</v>
      </c>
      <c r="AC2441">
        <v>-9.6564000000000192</v>
      </c>
      <c r="AD2441">
        <v>-1.1176808825640001</v>
      </c>
      <c r="AE2441">
        <v>-2.12969999999995</v>
      </c>
      <c r="AF2441">
        <v>-2.1552591875696501</v>
      </c>
      <c r="AG2441">
        <v>-1.1176808825640001</v>
      </c>
      <c r="AH2441">
        <v>9.5228774507674796</v>
      </c>
      <c r="AI2441">
        <v>96.530381839634501</v>
      </c>
      <c r="AJ2441">
        <v>102.75258712558001</v>
      </c>
      <c r="AK2441">
        <v>9.82748938758969</v>
      </c>
      <c r="AL2441">
        <v>69.469467092188395</v>
      </c>
      <c r="AM2441">
        <v>99.9870100629646</v>
      </c>
      <c r="AN2441">
        <v>1.0000000458926199</v>
      </c>
    </row>
    <row r="2442" spans="1:40" x14ac:dyDescent="0.25">
      <c r="A2442" t="str">
        <f>"20190304164417667"</f>
        <v>20190304164417667</v>
      </c>
      <c r="B2442" t="str">
        <f>"1551689057662775"</f>
        <v>1551689057662775</v>
      </c>
      <c r="C2442" t="s">
        <v>40</v>
      </c>
      <c r="D2442">
        <v>5.1153079999999997</v>
      </c>
      <c r="E2442">
        <v>0.43977129999999998</v>
      </c>
      <c r="F2442" t="s">
        <v>47</v>
      </c>
      <c r="G2442">
        <v>-477.31420000000003</v>
      </c>
      <c r="H2442" s="1">
        <v>3.0039070000000001E-6</v>
      </c>
      <c r="I2442">
        <v>280.42219999999998</v>
      </c>
      <c r="J2442">
        <v>-463.69940000000003</v>
      </c>
      <c r="K2442">
        <v>1.1179330000000001</v>
      </c>
      <c r="L2442">
        <v>284.74099999999999</v>
      </c>
      <c r="M2442">
        <v>-0.99975139999999996</v>
      </c>
      <c r="N2442">
        <v>-2.2251839999999998E-2</v>
      </c>
      <c r="O2442">
        <v>-1.453665E-3</v>
      </c>
      <c r="P2442">
        <v>-0.92935590000000001</v>
      </c>
      <c r="Q2442">
        <v>0.33356750000000002</v>
      </c>
      <c r="R2442">
        <v>-0.15821070000000001</v>
      </c>
      <c r="S2442">
        <v>-3.153931</v>
      </c>
      <c r="T2442">
        <v>-0.25197389999999997</v>
      </c>
      <c r="U2442">
        <v>-0.97473140000000003</v>
      </c>
      <c r="V2442">
        <v>-0.16223000000000001</v>
      </c>
      <c r="W2442">
        <v>0.3517422</v>
      </c>
      <c r="X2442">
        <v>0.92193210000000003</v>
      </c>
      <c r="Y2442">
        <v>-0.29277789999999998</v>
      </c>
      <c r="Z2442">
        <v>-1.4668219999999999E-2</v>
      </c>
      <c r="AA2442">
        <v>0.95606800000000003</v>
      </c>
      <c r="AB2442">
        <v>37</v>
      </c>
      <c r="AC2442">
        <v>-13.614800000000001</v>
      </c>
      <c r="AD2442">
        <v>-1.117929996093</v>
      </c>
      <c r="AE2442">
        <v>-4.3188000000000004</v>
      </c>
      <c r="AF2442">
        <v>-4.2728244245552798</v>
      </c>
      <c r="AG2442">
        <v>-1.117929996093</v>
      </c>
      <c r="AH2442">
        <v>13.5381324605691</v>
      </c>
      <c r="AI2442">
        <v>94.502600349085199</v>
      </c>
      <c r="AJ2442">
        <v>107.516426801715</v>
      </c>
      <c r="AK2442">
        <v>14.240359074094901</v>
      </c>
      <c r="AL2442">
        <v>69.406086480001505</v>
      </c>
      <c r="AM2442">
        <v>99.980017879855794</v>
      </c>
      <c r="AN2442">
        <v>0.99999997258562401</v>
      </c>
    </row>
    <row r="2443" spans="1:40" x14ac:dyDescent="0.25">
      <c r="A2443" t="str">
        <f>"20190304164417691"</f>
        <v>20190304164417691</v>
      </c>
      <c r="B2443" t="str">
        <f>"1551689057682295"</f>
        <v>1551689057682295</v>
      </c>
      <c r="C2443" t="s">
        <v>40</v>
      </c>
      <c r="D2443">
        <v>5.1057259999999998</v>
      </c>
      <c r="E2443">
        <v>0.43801610000000002</v>
      </c>
      <c r="F2443" t="s">
        <v>47</v>
      </c>
      <c r="G2443">
        <v>-476.53030000000001</v>
      </c>
      <c r="H2443" s="1">
        <v>3.3543799999999999E-6</v>
      </c>
      <c r="I2443">
        <v>280.4547</v>
      </c>
      <c r="J2443">
        <v>-464.0711</v>
      </c>
      <c r="K2443">
        <v>1.1181620000000001</v>
      </c>
      <c r="L2443">
        <v>284.73340000000002</v>
      </c>
      <c r="M2443">
        <v>-0.99971290000000002</v>
      </c>
      <c r="N2443">
        <v>-2.2357209999999999E-2</v>
      </c>
      <c r="O2443">
        <v>-8.61508699999999E-3</v>
      </c>
      <c r="P2443">
        <v>-0.92821220000000004</v>
      </c>
      <c r="Q2443">
        <v>0.33305040000000002</v>
      </c>
      <c r="R2443">
        <v>-0.1658297</v>
      </c>
      <c r="S2443">
        <v>-3.147491</v>
      </c>
      <c r="T2443">
        <v>-0.27423520000000001</v>
      </c>
      <c r="U2443">
        <v>-1.051453</v>
      </c>
      <c r="V2443">
        <v>-0.16338349999999999</v>
      </c>
      <c r="W2443">
        <v>0.35121809999999998</v>
      </c>
      <c r="X2443">
        <v>0.92192819999999998</v>
      </c>
      <c r="Y2443">
        <v>-0.30733860000000002</v>
      </c>
      <c r="Z2443">
        <v>-1.6004689999999999E-2</v>
      </c>
      <c r="AA2443">
        <v>0.95146560000000002</v>
      </c>
      <c r="AB2443">
        <v>37</v>
      </c>
      <c r="AC2443">
        <v>-12.459199999999999</v>
      </c>
      <c r="AD2443">
        <v>-1.1181586456199999</v>
      </c>
      <c r="AE2443">
        <v>-4.2787000000000104</v>
      </c>
      <c r="AF2443">
        <v>-4.1413405001941301</v>
      </c>
      <c r="AG2443">
        <v>-1.1181586456199999</v>
      </c>
      <c r="AH2443">
        <v>12.40622608548</v>
      </c>
      <c r="AI2443">
        <v>94.886417514695594</v>
      </c>
      <c r="AJ2443">
        <v>108.459600700454</v>
      </c>
      <c r="AK2443">
        <v>13.126897027834399</v>
      </c>
      <c r="AL2443">
        <v>69.438161564785602</v>
      </c>
      <c r="AM2443">
        <v>100.04957870269401</v>
      </c>
      <c r="AN2443">
        <v>0.99999996389754897</v>
      </c>
    </row>
    <row r="2444" spans="1:40" x14ac:dyDescent="0.25">
      <c r="A2444" t="str">
        <f>"20190304164417711"</f>
        <v>20190304164417711</v>
      </c>
      <c r="B2444" t="str">
        <f>"1551689057702792"</f>
        <v>1551689057702792</v>
      </c>
      <c r="C2444" t="s">
        <v>40</v>
      </c>
      <c r="D2444">
        <v>5.1094169999999997</v>
      </c>
      <c r="E2444">
        <v>0.4373669</v>
      </c>
      <c r="F2444" t="s">
        <v>47</v>
      </c>
      <c r="G2444">
        <v>-476.27159999999998</v>
      </c>
      <c r="H2444" s="1">
        <v>3.473803E-6</v>
      </c>
      <c r="I2444">
        <v>280.5086</v>
      </c>
      <c r="J2444">
        <v>-464.41469999999998</v>
      </c>
      <c r="K2444">
        <v>1.11835</v>
      </c>
      <c r="L2444">
        <v>284.72379999999998</v>
      </c>
      <c r="M2444">
        <v>-0.99962879999999998</v>
      </c>
      <c r="N2444">
        <v>-2.2445920000000001E-2</v>
      </c>
      <c r="O2444">
        <v>-1.5447489999999999E-2</v>
      </c>
      <c r="P2444">
        <v>-0.9267957</v>
      </c>
      <c r="Q2444">
        <v>0.33290140000000001</v>
      </c>
      <c r="R2444">
        <v>-0.17385699999999901</v>
      </c>
      <c r="S2444">
        <v>-3.1409910000000001</v>
      </c>
      <c r="T2444">
        <v>-0.28786659999999997</v>
      </c>
      <c r="U2444">
        <v>-1.087677</v>
      </c>
      <c r="V2444">
        <v>-0.16522899999999999</v>
      </c>
      <c r="W2444">
        <v>0.35104570000000002</v>
      </c>
      <c r="X2444">
        <v>0.92166499999999996</v>
      </c>
      <c r="Y2444">
        <v>-0.311137</v>
      </c>
      <c r="Z2444">
        <v>-1.639154E-2</v>
      </c>
      <c r="AA2444">
        <v>0.9502237</v>
      </c>
      <c r="AB2444">
        <v>37</v>
      </c>
      <c r="AC2444">
        <v>-11.8568999999999</v>
      </c>
      <c r="AD2444">
        <v>-1.118346526197</v>
      </c>
      <c r="AE2444">
        <v>-4.2151999999999799</v>
      </c>
      <c r="AF2444">
        <v>-3.9998996151765698</v>
      </c>
      <c r="AG2444">
        <v>-1.118346526197</v>
      </c>
      <c r="AH2444">
        <v>11.8272025138678</v>
      </c>
      <c r="AI2444">
        <v>95.118511386270001</v>
      </c>
      <c r="AJ2444">
        <v>108.685274851795</v>
      </c>
      <c r="AK2444">
        <v>12.535254891233301</v>
      </c>
      <c r="AL2444">
        <v>69.448712702770905</v>
      </c>
      <c r="AM2444">
        <v>100.163582696167</v>
      </c>
      <c r="AN2444">
        <v>1.0000000390772401</v>
      </c>
    </row>
    <row r="2445" spans="1:40" x14ac:dyDescent="0.25">
      <c r="A2445" t="str">
        <f>"20190304164417735"</f>
        <v>20190304164417735</v>
      </c>
      <c r="B2445" t="str">
        <f>"1551689057722311"</f>
        <v>1551689057722311</v>
      </c>
      <c r="C2445" t="s">
        <v>40</v>
      </c>
      <c r="D2445">
        <v>5.1409339999999997</v>
      </c>
      <c r="E2445">
        <v>0.4371236</v>
      </c>
      <c r="F2445" t="s">
        <v>47</v>
      </c>
      <c r="G2445">
        <v>-476.16090000000003</v>
      </c>
      <c r="H2445" s="1">
        <v>3.5254709999999998E-6</v>
      </c>
      <c r="I2445">
        <v>280.5378</v>
      </c>
      <c r="J2445">
        <v>-464.76990000000001</v>
      </c>
      <c r="K2445">
        <v>1.118514</v>
      </c>
      <c r="L2445">
        <v>284.71120000000002</v>
      </c>
      <c r="M2445">
        <v>-0.99948919999999997</v>
      </c>
      <c r="N2445">
        <v>-2.252726E-2</v>
      </c>
      <c r="O2445">
        <v>-2.2668239999999999E-2</v>
      </c>
      <c r="P2445">
        <v>-0.92446510000000004</v>
      </c>
      <c r="Q2445">
        <v>0.33449659999999998</v>
      </c>
      <c r="R2445">
        <v>-0.18296490000000001</v>
      </c>
      <c r="S2445">
        <v>-3.1346129999999999</v>
      </c>
      <c r="T2445">
        <v>-0.29844579999999998</v>
      </c>
      <c r="U2445">
        <v>-1.1170960000000001</v>
      </c>
      <c r="V2445">
        <v>-0.16782610000000001</v>
      </c>
      <c r="W2445">
        <v>0.3525915</v>
      </c>
      <c r="X2445">
        <v>0.92060509999999995</v>
      </c>
      <c r="Y2445">
        <v>-0.31272139999999998</v>
      </c>
      <c r="Z2445">
        <v>-1.645746E-2</v>
      </c>
      <c r="AA2445">
        <v>0.9497023</v>
      </c>
      <c r="AB2445">
        <v>36</v>
      </c>
      <c r="AC2445">
        <v>-11.391</v>
      </c>
      <c r="AD2445">
        <v>-1.118510474529</v>
      </c>
      <c r="AE2445">
        <v>-4.1734000000000098</v>
      </c>
      <c r="AF2445">
        <v>-3.8810559252069798</v>
      </c>
      <c r="AG2445">
        <v>-1.118510474529</v>
      </c>
      <c r="AH2445">
        <v>11.3859109901416</v>
      </c>
      <c r="AI2445">
        <v>95.312257604819905</v>
      </c>
      <c r="AJ2445">
        <v>108.82243495930101</v>
      </c>
      <c r="AK2445">
        <v>12.0810856238851</v>
      </c>
      <c r="AL2445">
        <v>69.3540962576308</v>
      </c>
      <c r="AM2445">
        <v>100.33155431935199</v>
      </c>
      <c r="AN2445">
        <v>1.0000000579297299</v>
      </c>
    </row>
    <row r="2446" spans="1:40" x14ac:dyDescent="0.25">
      <c r="A2446" t="str">
        <f>"20190304164417757"</f>
        <v>20190304164417757</v>
      </c>
      <c r="B2446" t="str">
        <f>"1551689057752567"</f>
        <v>1551689057752567</v>
      </c>
      <c r="C2446" t="s">
        <v>40</v>
      </c>
      <c r="D2446">
        <v>5.0976869999999996</v>
      </c>
      <c r="E2446">
        <v>0.43716440000000001</v>
      </c>
      <c r="F2446" t="s">
        <v>47</v>
      </c>
      <c r="G2446">
        <v>-476.42649999999998</v>
      </c>
      <c r="H2446" s="1">
        <v>3.398232E-6</v>
      </c>
      <c r="I2446">
        <v>280.4298</v>
      </c>
      <c r="J2446">
        <v>-465.13339999999999</v>
      </c>
      <c r="K2446">
        <v>1.1186290000000001</v>
      </c>
      <c r="L2446">
        <v>284.69529999999997</v>
      </c>
      <c r="M2446">
        <v>-0.99928890000000004</v>
      </c>
      <c r="N2446">
        <v>-2.2597829999999999E-2</v>
      </c>
      <c r="O2446">
        <v>-3.018798E-2</v>
      </c>
      <c r="P2446">
        <v>-0.92281500000000005</v>
      </c>
      <c r="Q2446">
        <v>0.3334762</v>
      </c>
      <c r="R2446">
        <v>-0.19288939999999999</v>
      </c>
      <c r="S2446">
        <v>-3.1263429999999999</v>
      </c>
      <c r="T2446">
        <v>-0.29998849999999999</v>
      </c>
      <c r="U2446">
        <v>-1.148285</v>
      </c>
      <c r="V2446">
        <v>-0.17087759999999999</v>
      </c>
      <c r="W2446">
        <v>0.35154039999999998</v>
      </c>
      <c r="X2446">
        <v>0.92044559999999997</v>
      </c>
      <c r="Y2446">
        <v>-0.31473820000000002</v>
      </c>
      <c r="Z2446">
        <v>-1.6136089999999999E-2</v>
      </c>
      <c r="AA2446">
        <v>0.94904140000000003</v>
      </c>
      <c r="AB2446">
        <v>36</v>
      </c>
      <c r="AC2446">
        <v>-11.2930999999999</v>
      </c>
      <c r="AD2446">
        <v>-1.1186256017680001</v>
      </c>
      <c r="AE2446">
        <v>-4.2654999999999701</v>
      </c>
      <c r="AF2446">
        <v>-3.8891571450365601</v>
      </c>
      <c r="AG2446">
        <v>-1.1186256017680001</v>
      </c>
      <c r="AH2446">
        <v>11.3195528647896</v>
      </c>
      <c r="AI2446">
        <v>95.339351246741899</v>
      </c>
      <c r="AJ2446">
        <v>108.96162926217499</v>
      </c>
      <c r="AK2446">
        <v>12.0211955975471</v>
      </c>
      <c r="AL2446">
        <v>69.418437190601097</v>
      </c>
      <c r="AM2446">
        <v>100.517035691435</v>
      </c>
      <c r="AN2446">
        <v>0.99999995478663894</v>
      </c>
    </row>
    <row r="2447" spans="1:40" x14ac:dyDescent="0.25">
      <c r="A2447" t="str">
        <f>"20190304164417778"</f>
        <v>20190304164417778</v>
      </c>
      <c r="B2447" t="str">
        <f>"1551689057772087"</f>
        <v>1551689057772087</v>
      </c>
      <c r="C2447" t="s">
        <v>40</v>
      </c>
      <c r="D2447">
        <v>5.0887989999999999</v>
      </c>
      <c r="E2447">
        <v>0.4372335</v>
      </c>
      <c r="F2447" t="s">
        <v>47</v>
      </c>
      <c r="G2447">
        <v>-476.38850000000002</v>
      </c>
      <c r="H2447" s="1">
        <v>3.4144930000000001E-6</v>
      </c>
      <c r="I2447">
        <v>280.42329999999998</v>
      </c>
      <c r="J2447">
        <v>-465.48809999999997</v>
      </c>
      <c r="K2447">
        <v>1.118681</v>
      </c>
      <c r="L2447">
        <v>284.6771</v>
      </c>
      <c r="M2447">
        <v>-0.99903600000000004</v>
      </c>
      <c r="N2447">
        <v>-2.2655069999999999E-2</v>
      </c>
      <c r="O2447">
        <v>-3.7600559999999998E-2</v>
      </c>
      <c r="P2447">
        <v>-0.92169990000000002</v>
      </c>
      <c r="Q2447">
        <v>0.3313275</v>
      </c>
      <c r="R2447">
        <v>-0.2017217</v>
      </c>
      <c r="S2447">
        <v>-3.115631</v>
      </c>
      <c r="T2447">
        <v>-0.30965479999999901</v>
      </c>
      <c r="U2447">
        <v>-1.1825559999999999</v>
      </c>
      <c r="V2447">
        <v>-0.172866299999999</v>
      </c>
      <c r="W2447">
        <v>0.34939809999999999</v>
      </c>
      <c r="X2447">
        <v>0.92088990000000004</v>
      </c>
      <c r="Y2447">
        <v>-0.31782349999999998</v>
      </c>
      <c r="Z2447">
        <v>-1.618731E-2</v>
      </c>
      <c r="AA2447">
        <v>0.94801170000000001</v>
      </c>
      <c r="AB2447">
        <v>36</v>
      </c>
      <c r="AC2447">
        <v>-10.900399999999999</v>
      </c>
      <c r="AD2447">
        <v>-1.1186775855069999</v>
      </c>
      <c r="AE2447">
        <v>-4.2538000000000098</v>
      </c>
      <c r="AF2447">
        <v>-3.80603545684908</v>
      </c>
      <c r="AG2447">
        <v>-1.1186775855069999</v>
      </c>
      <c r="AH2447">
        <v>10.9525637169269</v>
      </c>
      <c r="AI2447">
        <v>95.510789937144196</v>
      </c>
      <c r="AJ2447">
        <v>109.162430677957</v>
      </c>
      <c r="AK2447">
        <v>11.6488624943576</v>
      </c>
      <c r="AL2447">
        <v>69.549495329117505</v>
      </c>
      <c r="AM2447">
        <v>100.631642328514</v>
      </c>
      <c r="AN2447">
        <v>0.99999999894065505</v>
      </c>
    </row>
    <row r="2448" spans="1:40" x14ac:dyDescent="0.25">
      <c r="A2448" t="str">
        <f>"20190304164417801"</f>
        <v>20190304164417801</v>
      </c>
      <c r="B2448" t="str">
        <f>"1551689057792583"</f>
        <v>1551689057792583</v>
      </c>
      <c r="C2448" t="s">
        <v>40</v>
      </c>
      <c r="D2448">
        <v>5.0949030000000004</v>
      </c>
      <c r="E2448">
        <v>0.43744899999999998</v>
      </c>
      <c r="F2448" t="s">
        <v>47</v>
      </c>
      <c r="G2448">
        <v>-476.32940000000002</v>
      </c>
      <c r="H2448" s="1">
        <v>3.442772E-6</v>
      </c>
      <c r="I2448">
        <v>280.44659999999999</v>
      </c>
      <c r="J2448">
        <v>-465.83080000000001</v>
      </c>
      <c r="K2448">
        <v>1.11869</v>
      </c>
      <c r="L2448">
        <v>284.65690000000001</v>
      </c>
      <c r="M2448">
        <v>-0.99873889999999999</v>
      </c>
      <c r="N2448">
        <v>-2.269759E-2</v>
      </c>
      <c r="O2448">
        <v>-4.4780279999999999E-2</v>
      </c>
      <c r="P2448">
        <v>-0.92039009999999999</v>
      </c>
      <c r="Q2448">
        <v>0.32962529999999901</v>
      </c>
      <c r="R2448">
        <v>-0.2103071</v>
      </c>
      <c r="S2448">
        <v>-3.104889</v>
      </c>
      <c r="T2448">
        <v>-0.32038489999999997</v>
      </c>
      <c r="U2448">
        <v>-1.211578</v>
      </c>
      <c r="V2448">
        <v>-0.17480490000000001</v>
      </c>
      <c r="W2448">
        <v>0.34770329999999999</v>
      </c>
      <c r="X2448">
        <v>0.92116529999999996</v>
      </c>
      <c r="Y2448">
        <v>-0.31972009999999901</v>
      </c>
      <c r="Z2448">
        <v>-1.618646E-2</v>
      </c>
      <c r="AA2448">
        <v>0.94737369999999999</v>
      </c>
      <c r="AB2448">
        <v>36</v>
      </c>
      <c r="AC2448">
        <v>-10.4986</v>
      </c>
      <c r="AD2448">
        <v>-1.118686557228</v>
      </c>
      <c r="AE2448">
        <v>-4.2103000000000099</v>
      </c>
      <c r="AF2448">
        <v>-3.69963649995218</v>
      </c>
      <c r="AG2448">
        <v>-1.118686557228</v>
      </c>
      <c r="AH2448">
        <v>10.5732325843215</v>
      </c>
      <c r="AI2448">
        <v>95.703024610898495</v>
      </c>
      <c r="AJ2448">
        <v>109.285243107784</v>
      </c>
      <c r="AK2448">
        <v>11.2575315734515</v>
      </c>
      <c r="AL2448">
        <v>69.653095515960203</v>
      </c>
      <c r="AM2448">
        <v>100.744969162914</v>
      </c>
      <c r="AN2448">
        <v>0.99999992390949199</v>
      </c>
    </row>
    <row r="2449" spans="1:40" x14ac:dyDescent="0.25">
      <c r="A2449" t="str">
        <f>"20190304164417823"</f>
        <v>20190304164417823</v>
      </c>
      <c r="B2449" t="str">
        <f>"1551689057812103"</f>
        <v>1551689057812103</v>
      </c>
      <c r="C2449" t="s">
        <v>40</v>
      </c>
      <c r="D2449">
        <v>5.0888689999999999</v>
      </c>
      <c r="E2449">
        <v>0.43784139999999999</v>
      </c>
      <c r="F2449" t="s">
        <v>47</v>
      </c>
      <c r="G2449">
        <v>-476.2842</v>
      </c>
      <c r="H2449" s="1">
        <v>3.4663810000000001E-6</v>
      </c>
      <c r="I2449">
        <v>280.48759999999999</v>
      </c>
      <c r="J2449">
        <v>-466.18310000000002</v>
      </c>
      <c r="K2449">
        <v>1.1186529999999999</v>
      </c>
      <c r="L2449">
        <v>284.6336</v>
      </c>
      <c r="M2449">
        <v>-0.99838190000000004</v>
      </c>
      <c r="N2449">
        <v>-2.2721689999999999E-2</v>
      </c>
      <c r="O2449">
        <v>-5.2128750000000001E-2</v>
      </c>
      <c r="P2449">
        <v>-0.91849250000000005</v>
      </c>
      <c r="Q2449">
        <v>0.3295112</v>
      </c>
      <c r="R2449">
        <v>-0.21861829999999999</v>
      </c>
      <c r="S2449">
        <v>-3.0960390000000002</v>
      </c>
      <c r="T2449">
        <v>-0.33132790000000001</v>
      </c>
      <c r="U2449">
        <v>-1.2348330000000001</v>
      </c>
      <c r="V2449">
        <v>-0.17633579999999999</v>
      </c>
      <c r="W2449">
        <v>0.34759250000000003</v>
      </c>
      <c r="X2449">
        <v>0.92091540000000005</v>
      </c>
      <c r="Y2449">
        <v>-0.31973970000000002</v>
      </c>
      <c r="Z2449">
        <v>-1.6011879999999999E-2</v>
      </c>
      <c r="AA2449">
        <v>0.94737009999999999</v>
      </c>
      <c r="AB2449">
        <v>36</v>
      </c>
      <c r="AC2449">
        <v>-10.101099999999899</v>
      </c>
      <c r="AD2449">
        <v>-1.1186495336190001</v>
      </c>
      <c r="AE2449">
        <v>-4.1460000000000097</v>
      </c>
      <c r="AF2449">
        <v>-3.5761305121318401</v>
      </c>
      <c r="AG2449">
        <v>-1.1186495336190001</v>
      </c>
      <c r="AH2449">
        <v>10.1965157831025</v>
      </c>
      <c r="AI2449">
        <v>95.910573556210196</v>
      </c>
      <c r="AJ2449">
        <v>109.326831447806</v>
      </c>
      <c r="AK2449">
        <v>10.8631956777886</v>
      </c>
      <c r="AL2449">
        <v>69.659868191068</v>
      </c>
      <c r="AM2449">
        <v>100.839723175554</v>
      </c>
      <c r="AN2449">
        <v>1.0000000171875201</v>
      </c>
    </row>
    <row r="2450" spans="1:40" x14ac:dyDescent="0.25">
      <c r="A2450" t="str">
        <f>"20190304164417846"</f>
        <v>20190304164417846</v>
      </c>
      <c r="B2450" t="str">
        <f>"1551689057842359"</f>
        <v>1551689057842359</v>
      </c>
      <c r="C2450" t="s">
        <v>40</v>
      </c>
      <c r="D2450">
        <v>5.0898890000000003</v>
      </c>
      <c r="E2450">
        <v>0.43843189999999999</v>
      </c>
      <c r="F2450" t="s">
        <v>47</v>
      </c>
      <c r="G2450">
        <v>-476.41070000000002</v>
      </c>
      <c r="H2450" s="1">
        <v>3.410085E-6</v>
      </c>
      <c r="I2450">
        <v>280.4853</v>
      </c>
      <c r="J2450">
        <v>-466.53859999999997</v>
      </c>
      <c r="K2450">
        <v>1.1185689999999999</v>
      </c>
      <c r="L2450">
        <v>284.60759999999999</v>
      </c>
      <c r="M2450">
        <v>-0.99797210000000003</v>
      </c>
      <c r="N2450">
        <v>-2.2725809999999999E-2</v>
      </c>
      <c r="O2450">
        <v>-5.9460079999999998E-2</v>
      </c>
      <c r="P2450">
        <v>-0.9166822</v>
      </c>
      <c r="Q2450">
        <v>0.33016450000000003</v>
      </c>
      <c r="R2450">
        <v>-0.22513340000000001</v>
      </c>
      <c r="S2450">
        <v>-3.089172</v>
      </c>
      <c r="T2450">
        <v>-0.33788030000000002</v>
      </c>
      <c r="U2450">
        <v>-1.252991</v>
      </c>
      <c r="V2450">
        <v>-0.17607220000000001</v>
      </c>
      <c r="W2450">
        <v>0.34827960000000002</v>
      </c>
      <c r="X2450">
        <v>0.92070620000000003</v>
      </c>
      <c r="Y2450">
        <v>-0.31826969999999999</v>
      </c>
      <c r="Z2450">
        <v>-1.5548060000000001E-2</v>
      </c>
      <c r="AA2450">
        <v>0.94787270000000001</v>
      </c>
      <c r="AB2450">
        <v>35</v>
      </c>
      <c r="AC2450">
        <v>-9.8721000000000405</v>
      </c>
      <c r="AD2450">
        <v>-1.118565589915</v>
      </c>
      <c r="AE2450">
        <v>-4.1222999999999903</v>
      </c>
      <c r="AF2450">
        <v>-3.4897056173295402</v>
      </c>
      <c r="AG2450">
        <v>-1.118565589915</v>
      </c>
      <c r="AH2450">
        <v>9.9905823897316797</v>
      </c>
      <c r="AI2450">
        <v>96.033722078794</v>
      </c>
      <c r="AJ2450">
        <v>109.254283723344</v>
      </c>
      <c r="AK2450">
        <v>10.6414740877652</v>
      </c>
      <c r="AL2450">
        <v>69.617876249204798</v>
      </c>
      <c r="AM2450">
        <v>100.82630345993999</v>
      </c>
      <c r="AN2450">
        <v>1.0000000030537199</v>
      </c>
    </row>
    <row r="2451" spans="1:40" x14ac:dyDescent="0.25">
      <c r="A2451" t="str">
        <f>"20190304164417868"</f>
        <v>20190304164417868</v>
      </c>
      <c r="B2451" t="str">
        <f>"1551689057861879"</f>
        <v>1551689057861879</v>
      </c>
      <c r="C2451" t="s">
        <v>40</v>
      </c>
      <c r="D2451">
        <v>5.1099889999999997</v>
      </c>
      <c r="E2451">
        <v>0.4388841</v>
      </c>
      <c r="F2451" t="s">
        <v>47</v>
      </c>
      <c r="G2451">
        <v>-476.67469999999997</v>
      </c>
      <c r="H2451" s="1">
        <v>3.2883100000000002E-6</v>
      </c>
      <c r="I2451">
        <v>280.43119999999999</v>
      </c>
      <c r="J2451">
        <v>-466.88260000000002</v>
      </c>
      <c r="K2451">
        <v>1.118452</v>
      </c>
      <c r="L2451">
        <v>284.58</v>
      </c>
      <c r="M2451">
        <v>-0.99753170000000002</v>
      </c>
      <c r="N2451">
        <v>-2.271155E-2</v>
      </c>
      <c r="O2451">
        <v>-6.6445560000000001E-2</v>
      </c>
      <c r="P2451">
        <v>-0.9150838</v>
      </c>
      <c r="Q2451">
        <v>0.33034520000000001</v>
      </c>
      <c r="R2451">
        <v>-0.23128750000000001</v>
      </c>
      <c r="S2451">
        <v>-3.083221</v>
      </c>
      <c r="T2451">
        <v>-0.34024890000000002</v>
      </c>
      <c r="U2451">
        <v>-1.270386</v>
      </c>
      <c r="V2451">
        <v>-0.1757283</v>
      </c>
      <c r="W2451">
        <v>0.34849550000000001</v>
      </c>
      <c r="X2451">
        <v>0.92069020000000001</v>
      </c>
      <c r="Y2451">
        <v>-0.31686320000000001</v>
      </c>
      <c r="Z2451">
        <v>-1.4958279999999999E-2</v>
      </c>
      <c r="AA2451">
        <v>0.94835329999999995</v>
      </c>
      <c r="AB2451">
        <v>35</v>
      </c>
      <c r="AC2451">
        <v>-9.7920999999999392</v>
      </c>
      <c r="AD2451">
        <v>-1.1184487116899999</v>
      </c>
      <c r="AE2451">
        <v>-4.1487999999999898</v>
      </c>
      <c r="AF2451">
        <v>-3.4506510765352401</v>
      </c>
      <c r="AG2451">
        <v>-1.1184487116899999</v>
      </c>
      <c r="AH2451">
        <v>9.9362880466410992</v>
      </c>
      <c r="AI2451">
        <v>96.069599596511097</v>
      </c>
      <c r="AJ2451">
        <v>109.150973115402</v>
      </c>
      <c r="AK2451">
        <v>10.5777001526086</v>
      </c>
      <c r="AL2451">
        <v>69.604679173618393</v>
      </c>
      <c r="AM2451">
        <v>100.80583946353801</v>
      </c>
      <c r="AN2451">
        <v>0.99999999665858996</v>
      </c>
    </row>
    <row r="2452" spans="1:40" x14ac:dyDescent="0.25">
      <c r="A2452" t="str">
        <f>"20190304164417891"</f>
        <v>20190304164417891</v>
      </c>
      <c r="B2452" t="str">
        <f>"1551689057882375"</f>
        <v>1551689057882375</v>
      </c>
      <c r="C2452" t="s">
        <v>40</v>
      </c>
      <c r="D2452">
        <v>5.1289249999999997</v>
      </c>
      <c r="E2452">
        <v>0.43925959999999997</v>
      </c>
      <c r="F2452" t="s">
        <v>47</v>
      </c>
      <c r="G2452">
        <v>-476.9538</v>
      </c>
      <c r="H2452" s="1">
        <v>3.1575210000000002E-6</v>
      </c>
      <c r="I2452">
        <v>280.35129999999998</v>
      </c>
      <c r="J2452">
        <v>-467.22359999999998</v>
      </c>
      <c r="K2452">
        <v>1.1183209999999999</v>
      </c>
      <c r="L2452">
        <v>284.55029999999999</v>
      </c>
      <c r="M2452">
        <v>-0.99705560000000004</v>
      </c>
      <c r="N2452">
        <v>-2.268734E-2</v>
      </c>
      <c r="O2452">
        <v>-7.3249149999999999E-2</v>
      </c>
      <c r="P2452">
        <v>-0.91342710000000005</v>
      </c>
      <c r="Q2452">
        <v>0.33025110000000002</v>
      </c>
      <c r="R2452">
        <v>-0.23787630000000001</v>
      </c>
      <c r="S2452">
        <v>-3.075348</v>
      </c>
      <c r="T2452">
        <v>-0.34152870000000002</v>
      </c>
      <c r="U2452">
        <v>-1.2912600000000001</v>
      </c>
      <c r="V2452">
        <v>-0.1759733</v>
      </c>
      <c r="W2452">
        <v>0.34842709999999999</v>
      </c>
      <c r="X2452">
        <v>0.92066930000000002</v>
      </c>
      <c r="Y2452">
        <v>-0.31674740000000001</v>
      </c>
      <c r="Z2452">
        <v>-1.442862E-2</v>
      </c>
      <c r="AA2452">
        <v>0.94840020000000003</v>
      </c>
      <c r="AB2452">
        <v>35</v>
      </c>
      <c r="AC2452">
        <v>-9.7302000000000195</v>
      </c>
      <c r="AD2452">
        <v>-1.1183178424789999</v>
      </c>
      <c r="AE2452">
        <v>-4.1990000000000096</v>
      </c>
      <c r="AF2452">
        <v>-3.43653365161552</v>
      </c>
      <c r="AG2452">
        <v>-1.1183178424789999</v>
      </c>
      <c r="AH2452">
        <v>9.9014407158019502</v>
      </c>
      <c r="AI2452">
        <v>96.090474710109504</v>
      </c>
      <c r="AJ2452">
        <v>109.14056357552001</v>
      </c>
      <c r="AK2452">
        <v>10.5403475551821</v>
      </c>
      <c r="AL2452">
        <v>69.608860400492006</v>
      </c>
      <c r="AM2452">
        <v>100.82078934616101</v>
      </c>
      <c r="AN2452">
        <v>1.0000000031448899</v>
      </c>
    </row>
    <row r="2453" spans="1:40" x14ac:dyDescent="0.25">
      <c r="A2453" t="str">
        <f>"20190304164417912"</f>
        <v>20190304164417912</v>
      </c>
      <c r="B2453" t="str">
        <f>"1551689057901895"</f>
        <v>1551689057901895</v>
      </c>
      <c r="C2453" t="s">
        <v>40</v>
      </c>
      <c r="D2453">
        <v>5.1103829999999997</v>
      </c>
      <c r="E2453">
        <v>0.43962800000000002</v>
      </c>
      <c r="F2453" t="s">
        <v>47</v>
      </c>
      <c r="G2453">
        <v>-477.19690000000003</v>
      </c>
      <c r="H2453" s="1">
        <v>3.0435429999999999E-6</v>
      </c>
      <c r="I2453">
        <v>280.28059999999999</v>
      </c>
      <c r="J2453">
        <v>-467.55770000000001</v>
      </c>
      <c r="K2453">
        <v>1.1181890000000001</v>
      </c>
      <c r="L2453">
        <v>284.51900000000001</v>
      </c>
      <c r="M2453">
        <v>-0.99655269999999996</v>
      </c>
      <c r="N2453">
        <v>-2.264998E-2</v>
      </c>
      <c r="O2453">
        <v>-7.9810549999999994E-2</v>
      </c>
      <c r="P2453">
        <v>-0.91136010000000001</v>
      </c>
      <c r="Q2453">
        <v>0.33005820000000002</v>
      </c>
      <c r="R2453">
        <v>-0.2459356</v>
      </c>
      <c r="S2453">
        <v>-3.0667420000000001</v>
      </c>
      <c r="T2453">
        <v>-0.34387620000000002</v>
      </c>
      <c r="U2453">
        <v>-1.312897</v>
      </c>
      <c r="V2453">
        <v>-0.17794270000000001</v>
      </c>
      <c r="W2453">
        <v>0.34821570000000002</v>
      </c>
      <c r="X2453">
        <v>0.92037069999999999</v>
      </c>
      <c r="Y2453">
        <v>-0.31712360000000001</v>
      </c>
      <c r="Z2453">
        <v>-1.396932E-2</v>
      </c>
      <c r="AA2453">
        <v>0.94828129999999999</v>
      </c>
      <c r="AB2453">
        <v>35</v>
      </c>
      <c r="AC2453">
        <v>-9.6392000000000095</v>
      </c>
      <c r="AD2453">
        <v>-1.11818595645699</v>
      </c>
      <c r="AE2453">
        <v>-4.2384000000000102</v>
      </c>
      <c r="AF2453">
        <v>-3.41683490460851</v>
      </c>
      <c r="AG2453">
        <v>-1.11818595645699</v>
      </c>
      <c r="AH2453">
        <v>9.8358752902904794</v>
      </c>
      <c r="AI2453">
        <v>96.1294619049293</v>
      </c>
      <c r="AJ2453">
        <v>109.156456775408</v>
      </c>
      <c r="AK2453">
        <v>10.472322728254399</v>
      </c>
      <c r="AL2453">
        <v>69.62178190905</v>
      </c>
      <c r="AM2453">
        <v>100.94244733199</v>
      </c>
      <c r="AN2453">
        <v>1.00000000181413</v>
      </c>
    </row>
    <row r="2454" spans="1:40" x14ac:dyDescent="0.25">
      <c r="A2454" t="str">
        <f>"20190304164417935"</f>
        <v>20190304164417935</v>
      </c>
      <c r="B2454" t="str">
        <f>"1551689057932151"</f>
        <v>1551689057932151</v>
      </c>
      <c r="C2454" t="s">
        <v>40</v>
      </c>
      <c r="D2454">
        <v>5.1366829999999997</v>
      </c>
      <c r="E2454">
        <v>0.44027189999999999</v>
      </c>
      <c r="F2454" t="s">
        <v>47</v>
      </c>
      <c r="G2454">
        <v>-477.38290000000001</v>
      </c>
      <c r="H2454" s="1">
        <v>2.9564249999999998E-6</v>
      </c>
      <c r="I2454">
        <v>280.22739999999999</v>
      </c>
      <c r="J2454">
        <v>-467.90050000000002</v>
      </c>
      <c r="K2454">
        <v>1.1180749999999999</v>
      </c>
      <c r="L2454">
        <v>284.48469999999998</v>
      </c>
      <c r="M2454">
        <v>-0.99600010000000005</v>
      </c>
      <c r="N2454">
        <v>-2.2601030000000001E-2</v>
      </c>
      <c r="O2454">
        <v>-8.6446869999999995E-2</v>
      </c>
      <c r="P2454">
        <v>-0.90874080000000002</v>
      </c>
      <c r="Q2454">
        <v>0.33125969999999999</v>
      </c>
      <c r="R2454">
        <v>-0.25388480000000002</v>
      </c>
      <c r="S2454">
        <v>-3.057404</v>
      </c>
      <c r="T2454">
        <v>-0.3479584</v>
      </c>
      <c r="U2454">
        <v>-1.33548</v>
      </c>
      <c r="V2454">
        <v>-0.17981629999999901</v>
      </c>
      <c r="W2454">
        <v>0.34937620000000003</v>
      </c>
      <c r="X2454">
        <v>0.91956640000000001</v>
      </c>
      <c r="Y2454">
        <v>-0.31773679999999999</v>
      </c>
      <c r="Z2454">
        <v>-1.354644E-2</v>
      </c>
      <c r="AA2454">
        <v>0.94808210000000004</v>
      </c>
      <c r="AB2454">
        <v>35</v>
      </c>
      <c r="AC2454">
        <v>-9.4823999999999806</v>
      </c>
      <c r="AD2454">
        <v>-1.118072043575</v>
      </c>
      <c r="AE2454">
        <v>-4.2572999999999803</v>
      </c>
      <c r="AF2454">
        <v>-3.38228644613943</v>
      </c>
      <c r="AG2454">
        <v>-1.118072043575</v>
      </c>
      <c r="AH2454">
        <v>9.7027425909354292</v>
      </c>
      <c r="AI2454">
        <v>96.209977222982701</v>
      </c>
      <c r="AJ2454">
        <v>109.218082953365</v>
      </c>
      <c r="AK2454">
        <v>10.3360127943184</v>
      </c>
      <c r="AL2454">
        <v>69.550834471486795</v>
      </c>
      <c r="AM2454">
        <v>101.06426953532799</v>
      </c>
      <c r="AN2454">
        <v>0.99999999744054502</v>
      </c>
    </row>
    <row r="2455" spans="1:40" x14ac:dyDescent="0.25">
      <c r="A2455" t="str">
        <f>"20190304164417947"</f>
        <v>20190304164417947</v>
      </c>
      <c r="B2455" t="str">
        <f>"1551689057941911"</f>
        <v>1551689057941911</v>
      </c>
      <c r="C2455" t="s">
        <v>40</v>
      </c>
      <c r="D2455">
        <v>5.14785</v>
      </c>
      <c r="E2455">
        <v>0.44027189999999999</v>
      </c>
      <c r="F2455" t="s">
        <v>47</v>
      </c>
      <c r="G2455">
        <v>-477.69850000000002</v>
      </c>
      <c r="H2455" s="1">
        <v>2.807416E-6</v>
      </c>
      <c r="I2455">
        <v>280.12380000000002</v>
      </c>
      <c r="J2455">
        <v>-468.09820000000002</v>
      </c>
      <c r="K2455">
        <v>1.1180159999999999</v>
      </c>
      <c r="L2455">
        <v>284.46370000000002</v>
      </c>
      <c r="M2455">
        <v>-0.99566460000000001</v>
      </c>
      <c r="N2455">
        <v>-2.256553E-2</v>
      </c>
      <c r="O2455">
        <v>-9.0237990000000004E-2</v>
      </c>
      <c r="P2455">
        <v>-0.90731899999999999</v>
      </c>
      <c r="Q2455">
        <v>0.33193909999999999</v>
      </c>
      <c r="R2455">
        <v>-0.25804890000000003</v>
      </c>
      <c r="S2455">
        <v>-3.0490110000000001</v>
      </c>
      <c r="T2455">
        <v>-0.3479314</v>
      </c>
      <c r="U2455">
        <v>-1.357056</v>
      </c>
      <c r="V2455">
        <v>-0.1805177</v>
      </c>
      <c r="W2455">
        <v>0.35002929999999999</v>
      </c>
      <c r="X2455">
        <v>0.91918049999999996</v>
      </c>
      <c r="Y2455">
        <v>-0.32069160000000002</v>
      </c>
      <c r="Z2455">
        <v>-1.3420649999999999E-2</v>
      </c>
      <c r="AA2455">
        <v>0.94708859999999995</v>
      </c>
      <c r="AB2455">
        <v>34</v>
      </c>
      <c r="AC2455">
        <v>-9.6003000000000007</v>
      </c>
      <c r="AD2455">
        <v>-1.118013192584</v>
      </c>
      <c r="AE2455">
        <v>-4.3399000000000001</v>
      </c>
      <c r="AF2455">
        <v>-3.4171727143460502</v>
      </c>
      <c r="AG2455">
        <v>-1.118013192584</v>
      </c>
      <c r="AH2455">
        <v>9.8420077700088697</v>
      </c>
      <c r="AI2455">
        <v>96.125075574879602</v>
      </c>
      <c r="AJ2455">
        <v>109.147144676233</v>
      </c>
      <c r="AK2455">
        <v>10.4781744499401</v>
      </c>
      <c r="AL2455">
        <v>69.510892140401097</v>
      </c>
      <c r="AM2455">
        <v>101.110903136121</v>
      </c>
      <c r="AN2455">
        <v>0.99999997122601403</v>
      </c>
    </row>
    <row r="2456" spans="1:40" x14ac:dyDescent="0.25">
      <c r="A2456" t="str">
        <f>"20190304164417961"</f>
        <v>20190304164417961</v>
      </c>
      <c r="B2456" t="str">
        <f>"1551689057952647"</f>
        <v>1551689057952647</v>
      </c>
      <c r="C2456" t="s">
        <v>40</v>
      </c>
      <c r="D2456">
        <v>5.1375169999999999</v>
      </c>
      <c r="E2456">
        <v>0.44764310000000002</v>
      </c>
      <c r="F2456" t="s">
        <v>47</v>
      </c>
      <c r="G2456">
        <v>-477.94159999999999</v>
      </c>
      <c r="H2456" s="1">
        <v>2.6912300000000002E-6</v>
      </c>
      <c r="I2456">
        <v>280.02809999999999</v>
      </c>
      <c r="J2456">
        <v>-468.29700000000003</v>
      </c>
      <c r="K2456">
        <v>1.117961</v>
      </c>
      <c r="L2456">
        <v>284.44189999999998</v>
      </c>
      <c r="M2456">
        <v>-0.99531389999999997</v>
      </c>
      <c r="N2456">
        <v>-2.2527869999999998E-2</v>
      </c>
      <c r="O2456">
        <v>-9.4036679999999997E-2</v>
      </c>
      <c r="P2456">
        <v>-0.90583930000000001</v>
      </c>
      <c r="Q2456">
        <v>0.33289580000000002</v>
      </c>
      <c r="R2456">
        <v>-0.26198369999999999</v>
      </c>
      <c r="S2456">
        <v>-3.0429080000000002</v>
      </c>
      <c r="T2456">
        <v>-0.3456128</v>
      </c>
      <c r="U2456">
        <v>-1.3711549999999999</v>
      </c>
      <c r="V2456">
        <v>-0.18100140000000001</v>
      </c>
      <c r="W2456">
        <v>0.35095870000000001</v>
      </c>
      <c r="X2456">
        <v>0.91873090000000002</v>
      </c>
      <c r="Y2456">
        <v>-0.32146639999999999</v>
      </c>
      <c r="Z2456">
        <v>-1.309798E-2</v>
      </c>
      <c r="AA2456">
        <v>0.94683039999999996</v>
      </c>
      <c r="AB2456">
        <v>34</v>
      </c>
      <c r="AC2456">
        <v>-9.64460000000002</v>
      </c>
      <c r="AD2456">
        <v>-1.11795830877</v>
      </c>
      <c r="AE2456">
        <v>-4.4137999999999797</v>
      </c>
      <c r="AF2456">
        <v>-3.44874083145266</v>
      </c>
      <c r="AG2456">
        <v>-1.11795830877</v>
      </c>
      <c r="AH2456">
        <v>9.9069425933374404</v>
      </c>
      <c r="AI2456">
        <v>96.083228882627097</v>
      </c>
      <c r="AJ2456">
        <v>109.19369890955301</v>
      </c>
      <c r="AK2456">
        <v>10.5494623393972</v>
      </c>
      <c r="AL2456">
        <v>69.454035114257394</v>
      </c>
      <c r="AM2456">
        <v>101.145246389937</v>
      </c>
      <c r="AN2456">
        <v>0.99999999126122996</v>
      </c>
    </row>
    <row r="2457" spans="1:40" x14ac:dyDescent="0.25">
      <c r="A2457" t="str">
        <f>"20190304164417979"</f>
        <v>20190304164417979</v>
      </c>
      <c r="B2457" t="str">
        <f>"1551689057972168"</f>
        <v>1551689057972168</v>
      </c>
      <c r="C2457" t="s">
        <v>40</v>
      </c>
      <c r="D2457">
        <v>5.1110629999999997</v>
      </c>
      <c r="E2457">
        <v>0.44814969999999998</v>
      </c>
      <c r="F2457" t="s">
        <v>47</v>
      </c>
      <c r="G2457">
        <v>-477.11720000000003</v>
      </c>
      <c r="H2457" s="1">
        <v>3.1077549999999999E-6</v>
      </c>
      <c r="I2457">
        <v>280.61099999999999</v>
      </c>
      <c r="J2457">
        <v>-468.58159999999998</v>
      </c>
      <c r="K2457">
        <v>1.1178870000000001</v>
      </c>
      <c r="L2457">
        <v>284.40940000000001</v>
      </c>
      <c r="M2457">
        <v>-0.99478880000000003</v>
      </c>
      <c r="N2457">
        <v>-2.2471580000000001E-2</v>
      </c>
      <c r="O2457">
        <v>-9.9450239999999995E-2</v>
      </c>
      <c r="P2457">
        <v>-0.90339020000000003</v>
      </c>
      <c r="Q2457">
        <v>0.33452189999999998</v>
      </c>
      <c r="R2457">
        <v>-0.26829330000000001</v>
      </c>
      <c r="S2457">
        <v>-3.0692750000000002</v>
      </c>
      <c r="T2457">
        <v>-0.38902959999999998</v>
      </c>
      <c r="U2457">
        <v>-1.333099</v>
      </c>
      <c r="V2457">
        <v>-0.1824404</v>
      </c>
      <c r="W2457">
        <v>0.35252319999999998</v>
      </c>
      <c r="X2457">
        <v>0.91784690000000002</v>
      </c>
      <c r="Y2457">
        <v>-0.30317309999999997</v>
      </c>
      <c r="Z2457">
        <v>-1.20921E-2</v>
      </c>
      <c r="AA2457">
        <v>0.95285880000000001</v>
      </c>
      <c r="AB2457">
        <v>34</v>
      </c>
      <c r="AC2457">
        <v>-8.5356000000000396</v>
      </c>
      <c r="AD2457">
        <v>-1.1178838922450001</v>
      </c>
      <c r="AE2457">
        <v>-3.7984000000000102</v>
      </c>
      <c r="AF2457">
        <v>-2.88911424903936</v>
      </c>
      <c r="AG2457">
        <v>-1.1178838922450001</v>
      </c>
      <c r="AH2457">
        <v>8.7458943713830593</v>
      </c>
      <c r="AI2457">
        <v>96.920000259223002</v>
      </c>
      <c r="AJ2457">
        <v>108.280429066534</v>
      </c>
      <c r="AK2457">
        <v>9.2783249509775807</v>
      </c>
      <c r="AL2457">
        <v>69.358277231575499</v>
      </c>
      <c r="AM2457">
        <v>101.24215149529201</v>
      </c>
      <c r="AN2457">
        <v>1.000000018965</v>
      </c>
    </row>
    <row r="2458" spans="1:40" x14ac:dyDescent="0.25">
      <c r="A2458" t="str">
        <f>"20190304164418002"</f>
        <v>20190304164418002</v>
      </c>
      <c r="B2458" t="str">
        <f>"1551689057992664"</f>
        <v>1551689057992664</v>
      </c>
      <c r="C2458" t="s">
        <v>40</v>
      </c>
      <c r="D2458">
        <v>5.1395239999999998</v>
      </c>
      <c r="E2458">
        <v>0.4491019</v>
      </c>
      <c r="F2458" t="s">
        <v>47</v>
      </c>
      <c r="G2458">
        <v>-477.36939999999998</v>
      </c>
      <c r="H2458" s="1">
        <v>2.9891989999999999E-6</v>
      </c>
      <c r="I2458">
        <v>280.53399999999999</v>
      </c>
      <c r="J2458">
        <v>-468.91250000000002</v>
      </c>
      <c r="K2458">
        <v>1.117807</v>
      </c>
      <c r="L2458">
        <v>284.36970000000002</v>
      </c>
      <c r="M2458">
        <v>-0.99414190000000002</v>
      </c>
      <c r="N2458">
        <v>-2.2406570000000001E-2</v>
      </c>
      <c r="O2458">
        <v>-0.1057343</v>
      </c>
      <c r="P2458">
        <v>-0.90099910000000005</v>
      </c>
      <c r="Q2458">
        <v>0.33536510000000003</v>
      </c>
      <c r="R2458">
        <v>-0.27519250000000001</v>
      </c>
      <c r="S2458">
        <v>-3.0638730000000001</v>
      </c>
      <c r="T2458">
        <v>-0.38974979999999998</v>
      </c>
      <c r="U2458">
        <v>-1.3511660000000001</v>
      </c>
      <c r="V2458">
        <v>-0.18364739999999999</v>
      </c>
      <c r="W2458">
        <v>0.3533094</v>
      </c>
      <c r="X2458">
        <v>0.91730370000000006</v>
      </c>
      <c r="Y2458">
        <v>-0.30251240000000001</v>
      </c>
      <c r="Z2458">
        <v>-1.143131E-2</v>
      </c>
      <c r="AA2458">
        <v>0.9530769</v>
      </c>
      <c r="AB2458">
        <v>34</v>
      </c>
      <c r="AC2458">
        <v>-8.4568999999999601</v>
      </c>
      <c r="AD2458">
        <v>-1.1178040108009999</v>
      </c>
      <c r="AE2458">
        <v>-3.8357000000000299</v>
      </c>
      <c r="AF2458">
        <v>-2.8780759353671201</v>
      </c>
      <c r="AG2458">
        <v>-1.1178040108009999</v>
      </c>
      <c r="AH2458">
        <v>8.6892314587884396</v>
      </c>
      <c r="AI2458">
        <v>96.962374412650206</v>
      </c>
      <c r="AJ2458">
        <v>108.326073732377</v>
      </c>
      <c r="AK2458">
        <v>9.2214722382437806</v>
      </c>
      <c r="AL2458">
        <v>69.3101328219511</v>
      </c>
      <c r="AM2458">
        <v>101.321142597831</v>
      </c>
      <c r="AN2458">
        <v>0.999999988844404</v>
      </c>
    </row>
    <row r="2459" spans="1:40" x14ac:dyDescent="0.25">
      <c r="A2459" t="str">
        <f>"20190304164418018"</f>
        <v>20190304164418018</v>
      </c>
      <c r="B2459" t="str">
        <f>"1551689058012184"</f>
        <v>1551689058012184</v>
      </c>
      <c r="C2459" t="s">
        <v>40</v>
      </c>
      <c r="D2459">
        <v>5.1305040000000002</v>
      </c>
      <c r="E2459">
        <v>0.44924180000000002</v>
      </c>
      <c r="F2459" t="s">
        <v>47</v>
      </c>
      <c r="G2459">
        <v>-477.62540000000001</v>
      </c>
      <c r="H2459" s="1">
        <v>2.8705080000000001E-6</v>
      </c>
      <c r="I2459">
        <v>280.4751</v>
      </c>
      <c r="J2459">
        <v>-469.13119999999998</v>
      </c>
      <c r="K2459">
        <v>1.117764</v>
      </c>
      <c r="L2459">
        <v>284.34230000000002</v>
      </c>
      <c r="M2459">
        <v>-0.99369220000000003</v>
      </c>
      <c r="N2459">
        <v>-2.2364579999999998E-2</v>
      </c>
      <c r="O2459">
        <v>-0.1098904</v>
      </c>
      <c r="P2459">
        <v>-0.89977649999999998</v>
      </c>
      <c r="Q2459">
        <v>0.33539219999999997</v>
      </c>
      <c r="R2459">
        <v>-0.27913179999999999</v>
      </c>
      <c r="S2459">
        <v>-3.0581670000000001</v>
      </c>
      <c r="T2459">
        <v>-0.39234010000000002</v>
      </c>
      <c r="U2459">
        <v>-1.3669739999999999</v>
      </c>
      <c r="V2459">
        <v>-0.18378829999999999</v>
      </c>
      <c r="W2459">
        <v>0.35331430000000003</v>
      </c>
      <c r="X2459">
        <v>0.91727360000000002</v>
      </c>
      <c r="Y2459">
        <v>-0.30329099999999998</v>
      </c>
      <c r="Z2459">
        <v>-1.1111029999999999E-2</v>
      </c>
      <c r="AA2459">
        <v>0.95283320000000005</v>
      </c>
      <c r="AB2459">
        <v>34</v>
      </c>
      <c r="AC2459">
        <v>-8.4942000000000295</v>
      </c>
      <c r="AD2459">
        <v>-1.117761129492</v>
      </c>
      <c r="AE2459">
        <v>-3.86720000000002</v>
      </c>
      <c r="AF2459">
        <v>-2.86895291145512</v>
      </c>
      <c r="AG2459">
        <v>-1.117761129492</v>
      </c>
      <c r="AH2459">
        <v>8.7424109710798792</v>
      </c>
      <c r="AI2459">
        <v>96.926407128465698</v>
      </c>
      <c r="AJ2459">
        <v>108.168023290961</v>
      </c>
      <c r="AK2459">
        <v>9.2687663870661794</v>
      </c>
      <c r="AL2459">
        <v>69.309832862229797</v>
      </c>
      <c r="AM2459">
        <v>101.329966120874</v>
      </c>
      <c r="AN2459">
        <v>0.99999999552916996</v>
      </c>
    </row>
    <row r="2460" spans="1:40" x14ac:dyDescent="0.25">
      <c r="A2460" t="str">
        <f>"20190304164418036"</f>
        <v>20190304164418036</v>
      </c>
      <c r="B2460" t="str">
        <f>"1551689058032680"</f>
        <v>1551689058032680</v>
      </c>
      <c r="C2460" t="s">
        <v>40</v>
      </c>
      <c r="D2460">
        <v>5.1563970000000001</v>
      </c>
      <c r="E2460">
        <v>0.4497138</v>
      </c>
      <c r="F2460" t="s">
        <v>47</v>
      </c>
      <c r="G2460">
        <v>-477.72640000000001</v>
      </c>
      <c r="H2460" s="1">
        <v>2.8241260000000001E-6</v>
      </c>
      <c r="I2460">
        <v>280.45670000000001</v>
      </c>
      <c r="J2460">
        <v>-469.4092</v>
      </c>
      <c r="K2460">
        <v>1.11772</v>
      </c>
      <c r="L2460">
        <v>284.30599999999998</v>
      </c>
      <c r="M2460">
        <v>-0.99309239999999999</v>
      </c>
      <c r="N2460">
        <v>-2.2312780000000001E-2</v>
      </c>
      <c r="O2460">
        <v>-0.115194</v>
      </c>
      <c r="P2460">
        <v>-0.8981732</v>
      </c>
      <c r="Q2460">
        <v>0.33572249999999998</v>
      </c>
      <c r="R2460">
        <v>-0.283858</v>
      </c>
      <c r="S2460">
        <v>-3.0539550000000002</v>
      </c>
      <c r="T2460">
        <v>-0.39714919999999998</v>
      </c>
      <c r="U2460">
        <v>-1.380585</v>
      </c>
      <c r="V2460">
        <v>-0.18368609999999999</v>
      </c>
      <c r="W2460">
        <v>0.3536184</v>
      </c>
      <c r="X2460">
        <v>0.91717689999999996</v>
      </c>
      <c r="Y2460">
        <v>-0.30222320000000003</v>
      </c>
      <c r="Z2460">
        <v>-1.055627E-2</v>
      </c>
      <c r="AA2460">
        <v>0.95317879999999999</v>
      </c>
      <c r="AB2460">
        <v>34</v>
      </c>
      <c r="AC2460">
        <v>-8.3172000000000104</v>
      </c>
      <c r="AD2460">
        <v>-1.1177171758740001</v>
      </c>
      <c r="AE2460">
        <v>-3.8492999999999702</v>
      </c>
      <c r="AF2460">
        <v>-2.8233386507901499</v>
      </c>
      <c r="AG2460">
        <v>-1.1177171758740001</v>
      </c>
      <c r="AH2460">
        <v>8.5777480458697504</v>
      </c>
      <c r="AI2460">
        <v>97.055732183469004</v>
      </c>
      <c r="AJ2460">
        <v>108.21879673504699</v>
      </c>
      <c r="AK2460">
        <v>9.0993568102757507</v>
      </c>
      <c r="AL2460">
        <v>69.291207190928901</v>
      </c>
      <c r="AM2460">
        <v>101.324991688689</v>
      </c>
      <c r="AN2460">
        <v>1.0000000110226801</v>
      </c>
    </row>
    <row r="2461" spans="1:40" x14ac:dyDescent="0.25">
      <c r="A2461" t="str">
        <f>"20190304164418049"</f>
        <v>20190304164418049</v>
      </c>
      <c r="B2461" t="str">
        <f>"1551689058042441"</f>
        <v>1551689058042441</v>
      </c>
      <c r="C2461" t="s">
        <v>40</v>
      </c>
      <c r="D2461">
        <v>5.1592349999999998</v>
      </c>
      <c r="E2461">
        <v>0.4499937</v>
      </c>
      <c r="F2461" t="s">
        <v>47</v>
      </c>
      <c r="G2461">
        <v>-477.93959999999998</v>
      </c>
      <c r="H2461" s="1">
        <v>2.7243689999999999E-6</v>
      </c>
      <c r="I2461">
        <v>280.39710000000002</v>
      </c>
      <c r="J2461">
        <v>-469.60520000000002</v>
      </c>
      <c r="K2461">
        <v>1.117694</v>
      </c>
      <c r="L2461">
        <v>284.27940000000001</v>
      </c>
      <c r="M2461">
        <v>-0.99265020000000004</v>
      </c>
      <c r="N2461">
        <v>-2.2277950000000001E-2</v>
      </c>
      <c r="O2461">
        <v>-0.11895210000000001</v>
      </c>
      <c r="P2461">
        <v>-0.8970844</v>
      </c>
      <c r="Q2461">
        <v>0.3357484</v>
      </c>
      <c r="R2461">
        <v>-0.28725030000000001</v>
      </c>
      <c r="S2461">
        <v>-3.0479430000000001</v>
      </c>
      <c r="T2461">
        <v>-0.399366</v>
      </c>
      <c r="U2461">
        <v>-1.3966670000000001</v>
      </c>
      <c r="V2461">
        <v>-0.18365570000000001</v>
      </c>
      <c r="W2461">
        <v>0.35362650000000001</v>
      </c>
      <c r="X2461">
        <v>0.91717990000000005</v>
      </c>
      <c r="Y2461">
        <v>-0.30347689999999999</v>
      </c>
      <c r="Z2461">
        <v>-1.0292519999999999E-2</v>
      </c>
      <c r="AA2461">
        <v>0.95278320000000005</v>
      </c>
      <c r="AB2461">
        <v>34</v>
      </c>
      <c r="AC2461">
        <v>-8.3343999999999596</v>
      </c>
      <c r="AD2461">
        <v>-1.117691275631</v>
      </c>
      <c r="AE2461">
        <v>-3.8822999999999799</v>
      </c>
      <c r="AF2461">
        <v>-2.8213876810145102</v>
      </c>
      <c r="AG2461">
        <v>-1.117691275631</v>
      </c>
      <c r="AH2461">
        <v>8.60988338926159</v>
      </c>
      <c r="AI2461">
        <v>97.032502733388995</v>
      </c>
      <c r="AJ2461">
        <v>108.143542665799</v>
      </c>
      <c r="AK2461">
        <v>9.1290500168902895</v>
      </c>
      <c r="AL2461">
        <v>69.290711737044205</v>
      </c>
      <c r="AM2461">
        <v>101.323129751254</v>
      </c>
      <c r="AN2461">
        <v>1.0000000433043701</v>
      </c>
    </row>
    <row r="2462" spans="1:40" x14ac:dyDescent="0.25">
      <c r="A2462" t="str">
        <f>"20190304164418062"</f>
        <v>20190304164418062</v>
      </c>
      <c r="B2462" t="str">
        <f>"1551689058052200"</f>
        <v>1551689058052200</v>
      </c>
      <c r="C2462" t="s">
        <v>40</v>
      </c>
      <c r="D2462">
        <v>5.1304369999999997</v>
      </c>
      <c r="E2462">
        <v>0.45024409999999998</v>
      </c>
      <c r="F2462" t="s">
        <v>47</v>
      </c>
      <c r="G2462">
        <v>-478.06479999999999</v>
      </c>
      <c r="H2462" s="1">
        <v>2.6664649999999999E-6</v>
      </c>
      <c r="I2462">
        <v>280.3698</v>
      </c>
      <c r="J2462">
        <v>-469.79829999999998</v>
      </c>
      <c r="K2462">
        <v>1.1176729999999999</v>
      </c>
      <c r="L2462">
        <v>284.2525</v>
      </c>
      <c r="M2462">
        <v>-0.99219789999999997</v>
      </c>
      <c r="N2462">
        <v>-2.224512E-2</v>
      </c>
      <c r="O2462">
        <v>-0.12267400000000001</v>
      </c>
      <c r="P2462">
        <v>-0.89575309999999897</v>
      </c>
      <c r="Q2462">
        <v>0.33592109999999997</v>
      </c>
      <c r="R2462">
        <v>-0.2911765</v>
      </c>
      <c r="S2462">
        <v>-3.0441889999999998</v>
      </c>
      <c r="T2462">
        <v>-0.40220020000000001</v>
      </c>
      <c r="U2462">
        <v>-1.4068909999999999</v>
      </c>
      <c r="V2462">
        <v>-0.18422559999999999</v>
      </c>
      <c r="W2462">
        <v>0.35376750000000001</v>
      </c>
      <c r="X2462">
        <v>0.91701120000000003</v>
      </c>
      <c r="Y2462">
        <v>-0.30298999999999998</v>
      </c>
      <c r="Z2462">
        <v>-9.9028940000000006E-3</v>
      </c>
      <c r="AA2462">
        <v>0.95294230000000002</v>
      </c>
      <c r="AB2462">
        <v>34</v>
      </c>
      <c r="AC2462">
        <v>-8.2665000000000006</v>
      </c>
      <c r="AD2462">
        <v>-1.117670333535</v>
      </c>
      <c r="AE2462">
        <v>-3.8826999999999998</v>
      </c>
      <c r="AF2462">
        <v>-2.7971331074979902</v>
      </c>
      <c r="AG2462">
        <v>-1.117670333535</v>
      </c>
      <c r="AH2462">
        <v>8.5523727004138497</v>
      </c>
      <c r="AI2462">
        <v>97.080493955641302</v>
      </c>
      <c r="AJ2462">
        <v>108.110814593949</v>
      </c>
      <c r="AK2462">
        <v>9.0673159977090094</v>
      </c>
      <c r="AL2462">
        <v>69.282074413012893</v>
      </c>
      <c r="AM2462">
        <v>101.359389651494</v>
      </c>
      <c r="AN2462">
        <v>1.00000002833852</v>
      </c>
    </row>
    <row r="2463" spans="1:40" x14ac:dyDescent="0.25">
      <c r="A2463" t="str">
        <f>"20190304164418081"</f>
        <v>20190304164418081</v>
      </c>
      <c r="B2463" t="str">
        <f>"1551689058072696"</f>
        <v>1551689058072696</v>
      </c>
      <c r="C2463" t="s">
        <v>40</v>
      </c>
      <c r="D2463">
        <v>5.1873559999999896</v>
      </c>
      <c r="E2463">
        <v>0.4557407</v>
      </c>
      <c r="F2463" t="s">
        <v>47</v>
      </c>
      <c r="G2463">
        <v>-478.19850000000002</v>
      </c>
      <c r="H2463" s="1">
        <v>2.6035869999999998E-6</v>
      </c>
      <c r="I2463">
        <v>280.32850000000002</v>
      </c>
      <c r="J2463">
        <v>-470.06709999999998</v>
      </c>
      <c r="K2463">
        <v>1.117658</v>
      </c>
      <c r="L2463">
        <v>284.21379999999999</v>
      </c>
      <c r="M2463">
        <v>-0.99153979999999997</v>
      </c>
      <c r="N2463">
        <v>-2.220184E-2</v>
      </c>
      <c r="O2463">
        <v>-0.1278907</v>
      </c>
      <c r="P2463">
        <v>-0.8931846</v>
      </c>
      <c r="Q2463">
        <v>0.33739799999999998</v>
      </c>
      <c r="R2463">
        <v>-0.29729519999999998</v>
      </c>
      <c r="S2463">
        <v>-3.0392760000000001</v>
      </c>
      <c r="T2463">
        <v>-0.40438560000000001</v>
      </c>
      <c r="U2463">
        <v>-1.4197390000000001</v>
      </c>
      <c r="V2463">
        <v>-0.1857528</v>
      </c>
      <c r="W2463">
        <v>0.35517599999999999</v>
      </c>
      <c r="X2463">
        <v>0.91615829999999998</v>
      </c>
      <c r="Y2463">
        <v>-0.30189749999999999</v>
      </c>
      <c r="Z2463">
        <v>-9.3012470000000003E-3</v>
      </c>
      <c r="AA2463">
        <v>0.953295</v>
      </c>
      <c r="AB2463">
        <v>34</v>
      </c>
      <c r="AC2463">
        <v>-8.1314000000000402</v>
      </c>
      <c r="AD2463">
        <v>-1.1176553964129901</v>
      </c>
      <c r="AE2463">
        <v>-3.8852999999999698</v>
      </c>
      <c r="AF2463">
        <v>-2.7705787283013001</v>
      </c>
      <c r="AG2463">
        <v>-1.1176553964129901</v>
      </c>
      <c r="AH2463">
        <v>8.43192075020165</v>
      </c>
      <c r="AI2463">
        <v>97.177294709206805</v>
      </c>
      <c r="AJ2463">
        <v>108.189600622025</v>
      </c>
      <c r="AK2463">
        <v>8.9455322710573206</v>
      </c>
      <c r="AL2463">
        <v>69.195769956900193</v>
      </c>
      <c r="AM2463">
        <v>101.46145770457299</v>
      </c>
      <c r="AN2463">
        <v>1.0000000621713601</v>
      </c>
    </row>
    <row r="2464" spans="1:40" x14ac:dyDescent="0.25">
      <c r="A2464" t="str">
        <f>"20190304164418103"</f>
        <v>20190304164418103</v>
      </c>
      <c r="B2464" t="str">
        <f>"1551689058092215"</f>
        <v>1551689058092215</v>
      </c>
      <c r="C2464" t="s">
        <v>40</v>
      </c>
      <c r="D2464">
        <v>5.1757609999999996</v>
      </c>
      <c r="E2464">
        <v>0.4570824</v>
      </c>
      <c r="F2464" t="s">
        <v>47</v>
      </c>
      <c r="G2464">
        <v>-477.82319999999999</v>
      </c>
      <c r="H2464" s="1">
        <v>2.7982609999999999E-6</v>
      </c>
      <c r="I2464">
        <v>280.65170000000001</v>
      </c>
      <c r="J2464">
        <v>-470.3954</v>
      </c>
      <c r="K2464">
        <v>1.1176569999999999</v>
      </c>
      <c r="L2464">
        <v>284.1644</v>
      </c>
      <c r="M2464">
        <v>-0.99068840000000002</v>
      </c>
      <c r="N2464">
        <v>-2.2148810000000001E-2</v>
      </c>
      <c r="O2464">
        <v>-0.13433589999999901</v>
      </c>
      <c r="P2464">
        <v>-0.89004169999999905</v>
      </c>
      <c r="Q2464">
        <v>0.33918369999999998</v>
      </c>
      <c r="R2464">
        <v>-0.30459920000000001</v>
      </c>
      <c r="S2464">
        <v>-3.0577700000000001</v>
      </c>
      <c r="T2464">
        <v>-0.44062859999999998</v>
      </c>
      <c r="U2464">
        <v>-1.4043270000000001</v>
      </c>
      <c r="V2464">
        <v>-0.1874111</v>
      </c>
      <c r="W2464">
        <v>0.35687489999999999</v>
      </c>
      <c r="X2464">
        <v>0.91515979999999997</v>
      </c>
      <c r="Y2464">
        <v>-0.28938560000000002</v>
      </c>
      <c r="Z2464">
        <v>-7.8160219999999902E-3</v>
      </c>
      <c r="AA2464">
        <v>0.9571807</v>
      </c>
      <c r="AB2464">
        <v>33</v>
      </c>
      <c r="AC2464">
        <v>-7.4277999999999897</v>
      </c>
      <c r="AD2464">
        <v>-1.1176542017390001</v>
      </c>
      <c r="AE2464">
        <v>-3.5126999999999899</v>
      </c>
      <c r="AF2464">
        <v>-2.4376757999666898</v>
      </c>
      <c r="AG2464">
        <v>-1.1176542017390001</v>
      </c>
      <c r="AH2464">
        <v>7.6901479593820596</v>
      </c>
      <c r="AI2464">
        <v>97.887664415754998</v>
      </c>
      <c r="AJ2464">
        <v>107.587930594466</v>
      </c>
      <c r="AK2464">
        <v>8.1443102751304899</v>
      </c>
      <c r="AL2464">
        <v>69.091604308918505</v>
      </c>
      <c r="AM2464">
        <v>101.573309972975</v>
      </c>
      <c r="AN2464">
        <v>1.00000003709462</v>
      </c>
    </row>
    <row r="2465" spans="1:40" x14ac:dyDescent="0.25">
      <c r="A2465" t="str">
        <f>"20190304164418125"</f>
        <v>20190304164418125</v>
      </c>
      <c r="B2465" t="str">
        <f>"1551689058112712"</f>
        <v>1551689058112712</v>
      </c>
      <c r="C2465" t="s">
        <v>40</v>
      </c>
      <c r="D2465">
        <v>5.1586910000000001</v>
      </c>
      <c r="E2465">
        <v>0.45779360000000002</v>
      </c>
      <c r="F2465" t="s">
        <v>47</v>
      </c>
      <c r="G2465">
        <v>-478.1354</v>
      </c>
      <c r="H2465" s="1">
        <v>2.652263E-6</v>
      </c>
      <c r="I2465">
        <v>280.56540000000001</v>
      </c>
      <c r="J2465">
        <v>-470.71719999999999</v>
      </c>
      <c r="K2465">
        <v>1.1176569999999999</v>
      </c>
      <c r="L2465">
        <v>284.11380000000003</v>
      </c>
      <c r="M2465">
        <v>-0.98979989999999995</v>
      </c>
      <c r="N2465">
        <v>-2.208591E-2</v>
      </c>
      <c r="O2465">
        <v>-0.14074389999999901</v>
      </c>
      <c r="P2465">
        <v>-0.88663230000000004</v>
      </c>
      <c r="Q2465">
        <v>0.340887099999999</v>
      </c>
      <c r="R2465">
        <v>-0.31253769999999997</v>
      </c>
      <c r="S2465">
        <v>-3.0528559999999998</v>
      </c>
      <c r="T2465">
        <v>-0.440832</v>
      </c>
      <c r="U2465">
        <v>-1.419556</v>
      </c>
      <c r="V2465">
        <v>-0.18979550000000001</v>
      </c>
      <c r="W2465">
        <v>0.35846289999999997</v>
      </c>
      <c r="X2465">
        <v>0.9140471</v>
      </c>
      <c r="Y2465">
        <v>-0.28776740000000001</v>
      </c>
      <c r="Z2465">
        <v>-6.9528810000000002E-3</v>
      </c>
      <c r="AA2465">
        <v>0.9576751</v>
      </c>
      <c r="AB2465">
        <v>33</v>
      </c>
      <c r="AC2465">
        <v>-7.4182000000000103</v>
      </c>
      <c r="AD2465">
        <v>-1.117654347737</v>
      </c>
      <c r="AE2465">
        <v>-3.5484000000000102</v>
      </c>
      <c r="AF2465">
        <v>-2.4239635863441702</v>
      </c>
      <c r="AG2465">
        <v>-1.117654347737</v>
      </c>
      <c r="AH2465">
        <v>7.7015901953165304</v>
      </c>
      <c r="AI2465">
        <v>97.8811243591569</v>
      </c>
      <c r="AJ2465">
        <v>107.470637811214</v>
      </c>
      <c r="AK2465">
        <v>8.1510270669120999</v>
      </c>
      <c r="AL2465">
        <v>68.994173497315799</v>
      </c>
      <c r="AM2465">
        <v>101.73037691507901</v>
      </c>
      <c r="AN2465">
        <v>1.0000000417575301</v>
      </c>
    </row>
    <row r="2466" spans="1:40" x14ac:dyDescent="0.25">
      <c r="A2466" t="str">
        <f>"20190304164418139"</f>
        <v>20190304164418139</v>
      </c>
      <c r="B2466" t="str">
        <f>"1551689058132232"</f>
        <v>1551689058132232</v>
      </c>
      <c r="C2466" t="s">
        <v>40</v>
      </c>
      <c r="D2466">
        <v>5.1799770000000001</v>
      </c>
      <c r="E2466">
        <v>0.45790350000000002</v>
      </c>
      <c r="F2466" t="s">
        <v>47</v>
      </c>
      <c r="G2466">
        <v>-478.45769999999999</v>
      </c>
      <c r="H2466" s="1">
        <v>2.499755E-6</v>
      </c>
      <c r="I2466">
        <v>280.45600000000002</v>
      </c>
      <c r="J2466">
        <v>-470.91</v>
      </c>
      <c r="K2466">
        <v>1.1176549999999901</v>
      </c>
      <c r="L2466">
        <v>284.08249999999998</v>
      </c>
      <c r="M2466">
        <v>-0.98924129999999999</v>
      </c>
      <c r="N2466">
        <v>-2.204337E-2</v>
      </c>
      <c r="O2466">
        <v>-0.14462259999999999</v>
      </c>
      <c r="P2466">
        <v>-0.88469819999999999</v>
      </c>
      <c r="Q2466">
        <v>0.34136490000000003</v>
      </c>
      <c r="R2466">
        <v>-0.31745790000000002</v>
      </c>
      <c r="S2466">
        <v>-3.0453800000000002</v>
      </c>
      <c r="T2466">
        <v>-0.4397238</v>
      </c>
      <c r="U2466">
        <v>-1.439117</v>
      </c>
      <c r="V2466">
        <v>-0.19133810000000001</v>
      </c>
      <c r="W2466">
        <v>0.35886750000000001</v>
      </c>
      <c r="X2466">
        <v>0.91356660000000001</v>
      </c>
      <c r="Y2466">
        <v>-0.28996450000000001</v>
      </c>
      <c r="Z2466">
        <v>-6.6837190000000003E-3</v>
      </c>
      <c r="AA2466">
        <v>0.95701409999999998</v>
      </c>
      <c r="AB2466">
        <v>33</v>
      </c>
      <c r="AC2466">
        <v>-7.5476999999999599</v>
      </c>
      <c r="AD2466">
        <v>-1.11765250024499</v>
      </c>
      <c r="AE2466">
        <v>-3.62650000000002</v>
      </c>
      <c r="AF2466">
        <v>-2.4528261232696398</v>
      </c>
      <c r="AG2466">
        <v>-1.11765250024499</v>
      </c>
      <c r="AH2466">
        <v>7.8530144123754297</v>
      </c>
      <c r="AI2466">
        <v>97.736221272842798</v>
      </c>
      <c r="AJ2466">
        <v>107.34577624199</v>
      </c>
      <c r="AK2466">
        <v>8.3027307834997295</v>
      </c>
      <c r="AL2466">
        <v>68.969339317025401</v>
      </c>
      <c r="AM2466">
        <v>101.82908797291</v>
      </c>
      <c r="AN2466">
        <v>1.0000000418517001</v>
      </c>
    </row>
    <row r="2467" spans="1:40" x14ac:dyDescent="0.25">
      <c r="A2467" t="str">
        <f>"20190304164418159"</f>
        <v>20190304164418159</v>
      </c>
      <c r="B2467" t="str">
        <f>"1551689058152727"</f>
        <v>1551689058152727</v>
      </c>
      <c r="C2467" t="s">
        <v>40</v>
      </c>
      <c r="D2467">
        <v>5.1060689999999997</v>
      </c>
      <c r="E2467">
        <v>0.42228110000000002</v>
      </c>
      <c r="F2467" t="s">
        <v>47</v>
      </c>
      <c r="G2467">
        <v>-478.61290000000002</v>
      </c>
      <c r="H2467" s="1">
        <v>2.4258760000000001E-6</v>
      </c>
      <c r="I2467">
        <v>280.39800000000002</v>
      </c>
      <c r="J2467">
        <v>-471.2038</v>
      </c>
      <c r="K2467">
        <v>1.117653</v>
      </c>
      <c r="L2467">
        <v>284.03309999999999</v>
      </c>
      <c r="M2467">
        <v>-0.98835019999999996</v>
      </c>
      <c r="N2467">
        <v>-2.1973960000000001E-2</v>
      </c>
      <c r="O2467">
        <v>-0.1506035</v>
      </c>
      <c r="P2467">
        <v>-0.88197800000000004</v>
      </c>
      <c r="Q2467">
        <v>0.34158680000000002</v>
      </c>
      <c r="R2467">
        <v>-0.32470510000000002</v>
      </c>
      <c r="S2467">
        <v>-3.0394899999999998</v>
      </c>
      <c r="T2467">
        <v>-0.44101360000000001</v>
      </c>
      <c r="U2467">
        <v>-1.453857</v>
      </c>
      <c r="V2467">
        <v>-0.1933444</v>
      </c>
      <c r="W2467">
        <v>0.3589832</v>
      </c>
      <c r="X2467">
        <v>0.91309859999999998</v>
      </c>
      <c r="Y2467">
        <v>-0.28871950000000002</v>
      </c>
      <c r="Z2467">
        <v>-5.8950360000000002E-3</v>
      </c>
      <c r="AA2467">
        <v>0.95739560000000001</v>
      </c>
      <c r="AB2467">
        <v>33</v>
      </c>
      <c r="AC2467">
        <v>-7.40910000000002</v>
      </c>
      <c r="AD2467">
        <v>-1.1176505741239999</v>
      </c>
      <c r="AE2467">
        <v>-3.63510000000002</v>
      </c>
      <c r="AF2467">
        <v>-2.4328928624754198</v>
      </c>
      <c r="AG2467">
        <v>-1.1176505741239999</v>
      </c>
      <c r="AH2467">
        <v>7.73036531850817</v>
      </c>
      <c r="AI2467">
        <v>97.852165050658499</v>
      </c>
      <c r="AJ2467">
        <v>107.469779490901</v>
      </c>
      <c r="AK2467">
        <v>8.1808714965899192</v>
      </c>
      <c r="AL2467">
        <v>68.962236546587505</v>
      </c>
      <c r="AM2467">
        <v>101.955523869372</v>
      </c>
      <c r="AN2467">
        <v>1.00000002410777</v>
      </c>
    </row>
    <row r="2468" spans="1:40" x14ac:dyDescent="0.25">
      <c r="A2468" t="str">
        <f>"20190304164418172"</f>
        <v>20190304164418172</v>
      </c>
      <c r="B2468" t="str">
        <f>"1551689058162487"</f>
        <v>1551689058162487</v>
      </c>
      <c r="C2468" t="s">
        <v>40</v>
      </c>
      <c r="D2468">
        <v>5.0661120000000004</v>
      </c>
      <c r="E2468">
        <v>0.41457129999999998</v>
      </c>
      <c r="F2468" t="s">
        <v>47</v>
      </c>
      <c r="G2468">
        <v>-479.5942</v>
      </c>
      <c r="H2468" s="1">
        <v>1.834111E-6</v>
      </c>
      <c r="I2468">
        <v>279.02460000000002</v>
      </c>
      <c r="J2468">
        <v>-471.3981</v>
      </c>
      <c r="K2468">
        <v>1.1176549999999901</v>
      </c>
      <c r="L2468">
        <v>283.99950000000001</v>
      </c>
      <c r="M2468">
        <v>-0.9877338</v>
      </c>
      <c r="N2468">
        <v>-2.1923829999999998E-2</v>
      </c>
      <c r="O2468">
        <v>-0.15460070000000001</v>
      </c>
      <c r="P2468">
        <v>-0.88036250000000005</v>
      </c>
      <c r="Q2468">
        <v>0.34206399999999998</v>
      </c>
      <c r="R2468">
        <v>-0.32856390000000002</v>
      </c>
      <c r="S2468">
        <v>-2.911743</v>
      </c>
      <c r="T2468">
        <v>-0.3878627</v>
      </c>
      <c r="U2468">
        <v>-1.738129</v>
      </c>
      <c r="V2468">
        <v>-0.19369020000000001</v>
      </c>
      <c r="W2468">
        <v>0.359402</v>
      </c>
      <c r="X2468">
        <v>0.91286049999999996</v>
      </c>
      <c r="Y2468">
        <v>-0.37141750000000001</v>
      </c>
      <c r="Z2468">
        <v>-1.163986E-2</v>
      </c>
      <c r="AA2468">
        <v>0.92839300000000002</v>
      </c>
      <c r="AB2468">
        <v>33</v>
      </c>
      <c r="AC2468">
        <v>-8.1960999999999995</v>
      </c>
      <c r="AD2468">
        <v>-1.1176531658890001</v>
      </c>
      <c r="AE2468">
        <v>-4.9748999999999901</v>
      </c>
      <c r="AF2468">
        <v>-3.5987286817483901</v>
      </c>
      <c r="AG2468">
        <v>-1.1176531658890001</v>
      </c>
      <c r="AH2468">
        <v>8.7479457886743806</v>
      </c>
      <c r="AI2468">
        <v>96.738513959716997</v>
      </c>
      <c r="AJ2468">
        <v>112.361278877369</v>
      </c>
      <c r="AK2468">
        <v>9.5250486741877598</v>
      </c>
      <c r="AL2468">
        <v>68.936524474723797</v>
      </c>
      <c r="AM2468">
        <v>101.979323184476</v>
      </c>
      <c r="AN2468">
        <v>0.99999999182014498</v>
      </c>
    </row>
    <row r="2469" spans="1:40" x14ac:dyDescent="0.25">
      <c r="A2469" t="str">
        <f>"20190304164418185"</f>
        <v>20190304164418185</v>
      </c>
      <c r="B2469" t="str">
        <f>"1551689058182008"</f>
        <v>1551689058182008</v>
      </c>
      <c r="C2469" t="s">
        <v>40</v>
      </c>
      <c r="D2469">
        <v>5.0790989999999896</v>
      </c>
      <c r="E2469">
        <v>0.40721220000000002</v>
      </c>
      <c r="F2469" t="s">
        <v>47</v>
      </c>
      <c r="G2469">
        <v>-479.88780000000003</v>
      </c>
      <c r="H2469" s="1">
        <v>1.6278239999999999E-6</v>
      </c>
      <c r="I2469">
        <v>278.66570000000002</v>
      </c>
      <c r="J2469">
        <v>-471.57839999999999</v>
      </c>
      <c r="K2469">
        <v>1.1176549999999901</v>
      </c>
      <c r="L2469">
        <v>283.96730000000002</v>
      </c>
      <c r="M2469">
        <v>-0.98713980000000001</v>
      </c>
      <c r="N2469">
        <v>-2.1875470000000001E-2</v>
      </c>
      <c r="O2469">
        <v>-0.1583561</v>
      </c>
      <c r="P2469">
        <v>-0.87876699999999996</v>
      </c>
      <c r="Q2469">
        <v>0.3427018</v>
      </c>
      <c r="R2469">
        <v>-0.33215080000000002</v>
      </c>
      <c r="S2469">
        <v>-2.879791</v>
      </c>
      <c r="T2469">
        <v>-0.37912050000000003</v>
      </c>
      <c r="U2469">
        <v>-1.8092649999999999</v>
      </c>
      <c r="V2469">
        <v>-0.1939949</v>
      </c>
      <c r="W2469">
        <v>0.35998259999999899</v>
      </c>
      <c r="X2469">
        <v>0.91256700000000002</v>
      </c>
      <c r="Y2469">
        <v>-0.38893040000000001</v>
      </c>
      <c r="Z2469">
        <v>-1.2462839999999999E-2</v>
      </c>
      <c r="AA2469">
        <v>0.92118290000000003</v>
      </c>
      <c r="AB2469">
        <v>33</v>
      </c>
      <c r="AC2469">
        <v>-8.3094000000000392</v>
      </c>
      <c r="AD2469">
        <v>-1.11765337217599</v>
      </c>
      <c r="AE2469">
        <v>-5.3015999999999996</v>
      </c>
      <c r="AF2469">
        <v>-3.8687706839281799</v>
      </c>
      <c r="AG2469">
        <v>-1.11765337217599</v>
      </c>
      <c r="AH2469">
        <v>8.9294331385400998</v>
      </c>
      <c r="AI2469">
        <v>96.551657007835402</v>
      </c>
      <c r="AJ2469">
        <v>113.425179491202</v>
      </c>
      <c r="AK2469">
        <v>9.7954740488052305</v>
      </c>
      <c r="AL2469">
        <v>68.900872819777604</v>
      </c>
      <c r="AM2469">
        <v>102.001369388432</v>
      </c>
      <c r="AN2469">
        <v>1.0000000115088801</v>
      </c>
    </row>
    <row r="2470" spans="1:40" x14ac:dyDescent="0.25">
      <c r="A2470" t="str">
        <f>"20190304164418203"</f>
        <v>20190304164418203</v>
      </c>
      <c r="B2470" t="str">
        <f>"1551689058192743"</f>
        <v>1551689058192743</v>
      </c>
      <c r="C2470" t="s">
        <v>40</v>
      </c>
      <c r="D2470">
        <v>5.1773239999999996</v>
      </c>
      <c r="E2470">
        <v>0.40610810000000003</v>
      </c>
      <c r="F2470" t="s">
        <v>47</v>
      </c>
      <c r="G2470">
        <v>-480.19920000000002</v>
      </c>
      <c r="H2470" s="1">
        <v>1.548183E-6</v>
      </c>
      <c r="I2470">
        <v>278.28550000000001</v>
      </c>
      <c r="J2470">
        <v>-471.82530000000003</v>
      </c>
      <c r="K2470">
        <v>1.1176569999999999</v>
      </c>
      <c r="L2470">
        <v>283.9221</v>
      </c>
      <c r="M2470">
        <v>-0.98629370000000005</v>
      </c>
      <c r="N2470">
        <v>-2.180528E-2</v>
      </c>
      <c r="O2470">
        <v>-0.16355220000000001</v>
      </c>
      <c r="P2470">
        <v>-0.87663169999999901</v>
      </c>
      <c r="Q2470">
        <v>0.34304069999999998</v>
      </c>
      <c r="R2470">
        <v>-0.33740179999999997</v>
      </c>
      <c r="S2470">
        <v>-2.848328</v>
      </c>
      <c r="T2470">
        <v>-0.36927199999999999</v>
      </c>
      <c r="U2470">
        <v>-1.8772580000000001</v>
      </c>
      <c r="V2470">
        <v>-0.1946898</v>
      </c>
      <c r="W2470">
        <v>0.36023630000000001</v>
      </c>
      <c r="X2470">
        <v>0.91231890000000004</v>
      </c>
      <c r="Y2470">
        <v>-0.40410269999999998</v>
      </c>
      <c r="Z2470">
        <v>-1.2938470000000001E-2</v>
      </c>
      <c r="AA2470">
        <v>0.91462209999999999</v>
      </c>
      <c r="AB2470">
        <v>33</v>
      </c>
      <c r="AC2470">
        <v>-8.3738999999999901</v>
      </c>
      <c r="AD2470">
        <v>-1.1176554518170001</v>
      </c>
      <c r="AE2470">
        <v>-5.6365999999999801</v>
      </c>
      <c r="AF2470">
        <v>-4.14001545137734</v>
      </c>
      <c r="AG2470">
        <v>-1.1176554518170001</v>
      </c>
      <c r="AH2470">
        <v>9.0719693264894907</v>
      </c>
      <c r="AI2470">
        <v>96.395000024181002</v>
      </c>
      <c r="AJ2470">
        <v>114.529701390195</v>
      </c>
      <c r="AK2470">
        <v>10.0344162315196</v>
      </c>
      <c r="AL2470">
        <v>68.885292222751204</v>
      </c>
      <c r="AM2470">
        <v>102.046285407179</v>
      </c>
      <c r="AN2470">
        <v>1.00000004267946</v>
      </c>
    </row>
    <row r="2471" spans="1:40" x14ac:dyDescent="0.25">
      <c r="A2471" t="str">
        <f>"20190304164418218"</f>
        <v>20190304164418218</v>
      </c>
      <c r="B2471" t="str">
        <f>"1551689058212264"</f>
        <v>1551689058212264</v>
      </c>
      <c r="C2471" t="s">
        <v>40</v>
      </c>
      <c r="D2471">
        <v>5.0629689999999998</v>
      </c>
      <c r="E2471">
        <v>0.40531329999999999</v>
      </c>
      <c r="F2471" t="s">
        <v>47</v>
      </c>
      <c r="G2471">
        <v>-480.60219999999998</v>
      </c>
      <c r="H2471" s="1">
        <v>1.5375899999999901E-6</v>
      </c>
      <c r="I2471">
        <v>278.0224</v>
      </c>
      <c r="J2471">
        <v>-472.02</v>
      </c>
      <c r="K2471">
        <v>1.1176680000000001</v>
      </c>
      <c r="L2471">
        <v>283.88569999999999</v>
      </c>
      <c r="M2471">
        <v>-0.98559859999999999</v>
      </c>
      <c r="N2471">
        <v>-2.1745560000000001E-2</v>
      </c>
      <c r="O2471">
        <v>-0.16769829999999999</v>
      </c>
      <c r="P2471">
        <v>-0.8750424</v>
      </c>
      <c r="Q2471">
        <v>0.34266530000000001</v>
      </c>
      <c r="R2471">
        <v>-0.3418794</v>
      </c>
      <c r="S2471">
        <v>-2.830902</v>
      </c>
      <c r="T2471">
        <v>-0.3604888</v>
      </c>
      <c r="U2471">
        <v>-1.9028929999999999</v>
      </c>
      <c r="V2471">
        <v>-0.19550699999999999</v>
      </c>
      <c r="W2471">
        <v>0.35978690000000002</v>
      </c>
      <c r="X2471">
        <v>0.91232139999999995</v>
      </c>
      <c r="Y2471">
        <v>-0.40863070000000001</v>
      </c>
      <c r="Z2471">
        <v>-1.276129E-2</v>
      </c>
      <c r="AA2471">
        <v>0.91261060000000005</v>
      </c>
      <c r="AB2471">
        <v>32</v>
      </c>
      <c r="AC2471">
        <v>-8.5822000000000003</v>
      </c>
      <c r="AD2471">
        <v>-1.1176664624099999</v>
      </c>
      <c r="AE2471">
        <v>-5.8632999999999802</v>
      </c>
      <c r="AF2471">
        <v>-4.2910485534157896</v>
      </c>
      <c r="AG2471">
        <v>-1.1176664624099999</v>
      </c>
      <c r="AH2471">
        <v>9.3361482190159606</v>
      </c>
      <c r="AI2471">
        <v>96.207926319952705</v>
      </c>
      <c r="AJ2471">
        <v>114.684296100678</v>
      </c>
      <c r="AK2471">
        <v>10.3356634802223</v>
      </c>
      <c r="AL2471">
        <v>68.912889904366494</v>
      </c>
      <c r="AM2471">
        <v>102.095330934597</v>
      </c>
      <c r="AN2471">
        <v>0.99999996867928398</v>
      </c>
    </row>
    <row r="2472" spans="1:40" x14ac:dyDescent="0.25">
      <c r="A2472" t="str">
        <f>"20190304164418229"</f>
        <v>20190304164418229</v>
      </c>
      <c r="B2472" t="str">
        <f>"1551689058222023"</f>
        <v>1551689058222023</v>
      </c>
      <c r="C2472" t="s">
        <v>40</v>
      </c>
      <c r="D2472">
        <v>5.0425180000000003</v>
      </c>
      <c r="E2472">
        <v>0.40511520000000001</v>
      </c>
      <c r="F2472" t="s">
        <v>41</v>
      </c>
      <c r="G2472">
        <v>-472.9008</v>
      </c>
      <c r="H2472">
        <v>1.005863</v>
      </c>
      <c r="I2472">
        <v>283.28550000000001</v>
      </c>
      <c r="J2472">
        <v>-472.2106</v>
      </c>
      <c r="K2472">
        <v>1.1176839999999999</v>
      </c>
      <c r="L2472">
        <v>283.84899999999999</v>
      </c>
      <c r="M2472">
        <v>-0.98489059999999995</v>
      </c>
      <c r="N2472">
        <v>-2.1681059999999999E-2</v>
      </c>
      <c r="O2472">
        <v>-0.17181479999999999</v>
      </c>
      <c r="P2472">
        <v>-0.87329969999999901</v>
      </c>
      <c r="Q2472">
        <v>0.34236309999999998</v>
      </c>
      <c r="R2472">
        <v>-0.346605</v>
      </c>
      <c r="S2472">
        <v>-2.8178709999999998</v>
      </c>
      <c r="T2472">
        <v>-0.35765469999999999</v>
      </c>
      <c r="U2472">
        <v>-1.9212340000000001</v>
      </c>
      <c r="V2472">
        <v>-0.196629</v>
      </c>
      <c r="W2472">
        <v>0.35939749999999998</v>
      </c>
      <c r="X2472">
        <v>0.91223379999999998</v>
      </c>
      <c r="Y2472">
        <v>-0.41086319999999998</v>
      </c>
      <c r="Z2472">
        <v>-1.2500570000000001E-2</v>
      </c>
      <c r="AA2472">
        <v>0.91161130000000001</v>
      </c>
      <c r="AB2472">
        <v>32</v>
      </c>
      <c r="AC2472">
        <v>-0.69020000000000403</v>
      </c>
      <c r="AD2472">
        <v>-0.111821</v>
      </c>
      <c r="AE2472">
        <v>-0.56349999999997602</v>
      </c>
      <c r="AF2472">
        <v>-0.42973366699781002</v>
      </c>
      <c r="AG2472">
        <v>-0.111821</v>
      </c>
      <c r="AH2472">
        <v>0.76472742309070496</v>
      </c>
      <c r="AI2472">
        <v>97.264598122388506</v>
      </c>
      <c r="AJ2472">
        <v>119.33353000861599</v>
      </c>
      <c r="AK2472">
        <v>0.884298022286228</v>
      </c>
      <c r="AL2472">
        <v>68.936801305714198</v>
      </c>
      <c r="AM2472">
        <v>102.16381733451</v>
      </c>
      <c r="AN2472">
        <v>1.0000000162548399</v>
      </c>
    </row>
    <row r="2473" spans="1:40" x14ac:dyDescent="0.25">
      <c r="A2473" t="str">
        <f>"20190304164418249"</f>
        <v>20190304164418249</v>
      </c>
      <c r="B2473" t="str">
        <f>"1551689058242521"</f>
        <v>1551689058242521</v>
      </c>
      <c r="C2473" t="s">
        <v>40</v>
      </c>
      <c r="D2473">
        <v>5.066516</v>
      </c>
      <c r="E2473">
        <v>0.40490290000000001</v>
      </c>
      <c r="F2473" t="s">
        <v>47</v>
      </c>
      <c r="G2473">
        <v>-480.9511</v>
      </c>
      <c r="H2473" s="1">
        <v>1.533116E-6</v>
      </c>
      <c r="I2473">
        <v>277.82130000000001</v>
      </c>
      <c r="J2473">
        <v>-472.46690000000001</v>
      </c>
      <c r="K2473">
        <v>1.1177170000000001</v>
      </c>
      <c r="L2473">
        <v>283.79829999999998</v>
      </c>
      <c r="M2473">
        <v>-0.98389819999999995</v>
      </c>
      <c r="N2473">
        <v>-2.1593250000000001E-2</v>
      </c>
      <c r="O2473">
        <v>-0.1774213</v>
      </c>
      <c r="P2473">
        <v>-0.87084869999999903</v>
      </c>
      <c r="Q2473">
        <v>0.34133459999999899</v>
      </c>
      <c r="R2473">
        <v>-0.35371370000000002</v>
      </c>
      <c r="S2473">
        <v>-2.8075260000000002</v>
      </c>
      <c r="T2473">
        <v>-0.359012</v>
      </c>
      <c r="U2473">
        <v>-1.9361569999999999</v>
      </c>
      <c r="V2473">
        <v>-0.1988317</v>
      </c>
      <c r="W2473">
        <v>0.35823939999999999</v>
      </c>
      <c r="X2473">
        <v>0.91221180000000002</v>
      </c>
      <c r="Y2473">
        <v>-0.41053970000000001</v>
      </c>
      <c r="Z2473">
        <v>-1.196445E-2</v>
      </c>
      <c r="AA2473">
        <v>0.91176429999999997</v>
      </c>
      <c r="AB2473">
        <v>32</v>
      </c>
      <c r="AC2473">
        <v>-8.48419999999998</v>
      </c>
      <c r="AD2473">
        <v>-1.1177154668839999</v>
      </c>
      <c r="AE2473">
        <v>-5.9769999999999701</v>
      </c>
      <c r="AF2473">
        <v>-4.3263204752361704</v>
      </c>
      <c r="AG2473">
        <v>-1.1177154668839999</v>
      </c>
      <c r="AH2473">
        <v>9.3023310503342902</v>
      </c>
      <c r="AI2473">
        <v>96.217738524035198</v>
      </c>
      <c r="AJ2473">
        <v>114.942157564458</v>
      </c>
      <c r="AK2473">
        <v>10.319869170167401</v>
      </c>
      <c r="AL2473">
        <v>69.007887834033895</v>
      </c>
      <c r="AM2473">
        <v>102.296244252478</v>
      </c>
      <c r="AN2473">
        <v>0.99999994034824302</v>
      </c>
    </row>
    <row r="2474" spans="1:40" x14ac:dyDescent="0.25">
      <c r="A2474" t="str">
        <f>"20190304164418262"</f>
        <v>20190304164418262</v>
      </c>
      <c r="B2474" t="str">
        <f>"1551689058252280"</f>
        <v>1551689058252280</v>
      </c>
      <c r="C2474" t="s">
        <v>40</v>
      </c>
      <c r="D2474">
        <v>5.022742</v>
      </c>
      <c r="E2474">
        <v>0.40452369999999999</v>
      </c>
      <c r="F2474" t="s">
        <v>47</v>
      </c>
      <c r="G2474">
        <v>-480.99200000000002</v>
      </c>
      <c r="H2474" s="1">
        <v>1.5379600000000001E-6</v>
      </c>
      <c r="I2474">
        <v>277.82819999999998</v>
      </c>
      <c r="J2474">
        <v>-472.64190000000002</v>
      </c>
      <c r="K2474">
        <v>1.11774</v>
      </c>
      <c r="L2474">
        <v>283.7627</v>
      </c>
      <c r="M2474">
        <v>-0.98319089999999998</v>
      </c>
      <c r="N2474">
        <v>-2.1534569999999999E-2</v>
      </c>
      <c r="O2474">
        <v>-0.18130599999999999</v>
      </c>
      <c r="P2474">
        <v>-0.86890210000000001</v>
      </c>
      <c r="Q2474">
        <v>0.34100409999999998</v>
      </c>
      <c r="R2474">
        <v>-0.35878300000000002</v>
      </c>
      <c r="S2474">
        <v>-2.7938230000000002</v>
      </c>
      <c r="T2474">
        <v>-0.3662919</v>
      </c>
      <c r="U2474">
        <v>-1.9564820000000001</v>
      </c>
      <c r="V2474">
        <v>-0.20055390000000001</v>
      </c>
      <c r="W2474">
        <v>0.35781160000000001</v>
      </c>
      <c r="X2474">
        <v>0.91200270000000005</v>
      </c>
      <c r="Y2474">
        <v>-0.41341660000000002</v>
      </c>
      <c r="Z2474">
        <v>-1.1870169999999999E-2</v>
      </c>
      <c r="AA2474">
        <v>0.91046459999999996</v>
      </c>
      <c r="AB2474">
        <v>32</v>
      </c>
      <c r="AC2474">
        <v>-8.3500999999999408</v>
      </c>
      <c r="AD2474">
        <v>-1.1177384620399999</v>
      </c>
      <c r="AE2474">
        <v>-5.9345000000000097</v>
      </c>
      <c r="AF2474">
        <v>-4.2709795064788798</v>
      </c>
      <c r="AG2474">
        <v>-1.1177384620399999</v>
      </c>
      <c r="AH2474">
        <v>9.1785858401053808</v>
      </c>
      <c r="AI2474">
        <v>96.300448929804801</v>
      </c>
      <c r="AJ2474">
        <v>114.95350056767001</v>
      </c>
      <c r="AK2474">
        <v>10.1851383514643</v>
      </c>
      <c r="AL2474">
        <v>69.034139691757503</v>
      </c>
      <c r="AM2474">
        <v>102.40222338807</v>
      </c>
      <c r="AN2474">
        <v>0.99999996635352895</v>
      </c>
    </row>
    <row r="2475" spans="1:40" x14ac:dyDescent="0.25">
      <c r="A2475" t="str">
        <f>"20190304164418293"</f>
        <v>20190304164418293</v>
      </c>
      <c r="B2475" t="str">
        <f>"1551689058282535"</f>
        <v>1551689058282535</v>
      </c>
      <c r="C2475" t="s">
        <v>40</v>
      </c>
      <c r="D2475">
        <v>5.0551459999999997</v>
      </c>
      <c r="E2475">
        <v>0.40480759999999899</v>
      </c>
      <c r="F2475" t="s">
        <v>41</v>
      </c>
      <c r="G2475">
        <v>-473.48649999999998</v>
      </c>
      <c r="H2475">
        <v>1.0059340000000001</v>
      </c>
      <c r="I2475">
        <v>283.16419999999999</v>
      </c>
      <c r="J2475">
        <v>-473.072</v>
      </c>
      <c r="K2475">
        <v>1.1178250000000001</v>
      </c>
      <c r="L2475">
        <v>283.67219999999998</v>
      </c>
      <c r="M2475">
        <v>-0.98134880000000002</v>
      </c>
      <c r="N2475">
        <v>-2.1397800000000002E-2</v>
      </c>
      <c r="O2475">
        <v>-0.19104180000000001</v>
      </c>
      <c r="P2475">
        <v>-0.86379740000000005</v>
      </c>
      <c r="Q2475">
        <v>0.34200629999999999</v>
      </c>
      <c r="R2475">
        <v>-0.36998120000000001</v>
      </c>
      <c r="S2475">
        <v>-2.782715</v>
      </c>
      <c r="T2475">
        <v>-0.36836590000000002</v>
      </c>
      <c r="U2475">
        <v>-1.972504</v>
      </c>
      <c r="V2475">
        <v>-0.2034823</v>
      </c>
      <c r="W2475">
        <v>0.35858489999999998</v>
      </c>
      <c r="X2475">
        <v>0.91104980000000002</v>
      </c>
      <c r="Y2475">
        <v>-0.40964889999999998</v>
      </c>
      <c r="Z2475">
        <v>-1.066799E-2</v>
      </c>
      <c r="AA2475">
        <v>0.91218089999999996</v>
      </c>
      <c r="AB2475">
        <v>32</v>
      </c>
      <c r="AC2475">
        <v>-0.41450000000003201</v>
      </c>
      <c r="AD2475">
        <v>-0.11189099999999901</v>
      </c>
      <c r="AE2475">
        <v>-0.50799999999998102</v>
      </c>
      <c r="AF2475">
        <v>-0.40756448469516399</v>
      </c>
      <c r="AG2475">
        <v>-0.11189099999999901</v>
      </c>
      <c r="AH2475">
        <v>0.48967246546368698</v>
      </c>
      <c r="AI2475">
        <v>99.961116790176902</v>
      </c>
      <c r="AJ2475">
        <v>129.77130987219701</v>
      </c>
      <c r="AK2475">
        <v>0.64684428458410304</v>
      </c>
      <c r="AL2475">
        <v>68.986683768328007</v>
      </c>
      <c r="AM2475">
        <v>102.5903287908</v>
      </c>
      <c r="AN2475">
        <v>0.99999995750066895</v>
      </c>
    </row>
    <row r="2476" spans="1:40" x14ac:dyDescent="0.25">
      <c r="A2476" t="str">
        <f>"20190304164418316"</f>
        <v>20190304164418316</v>
      </c>
      <c r="B2476" t="str">
        <f>"1551689058312792"</f>
        <v>1551689058312792</v>
      </c>
      <c r="C2476" t="s">
        <v>40</v>
      </c>
      <c r="D2476">
        <v>5.0680610000000001</v>
      </c>
      <c r="E2476">
        <v>0.40526699999999999</v>
      </c>
      <c r="F2476" t="s">
        <v>47</v>
      </c>
      <c r="G2476">
        <v>-481.45330000000001</v>
      </c>
      <c r="H2476" s="1">
        <v>1.5380510000000001E-6</v>
      </c>
      <c r="I2476">
        <v>277.59640000000002</v>
      </c>
      <c r="J2476">
        <v>-473.38380000000001</v>
      </c>
      <c r="K2476">
        <v>1.117896</v>
      </c>
      <c r="L2476">
        <v>283.6035</v>
      </c>
      <c r="M2476">
        <v>-0.97990909999999998</v>
      </c>
      <c r="N2476">
        <v>-2.1307759999999999E-2</v>
      </c>
      <c r="O2476">
        <v>-0.19830329999999999</v>
      </c>
      <c r="P2476">
        <v>-0.86059269999999999</v>
      </c>
      <c r="Q2476">
        <v>0.34163500000000002</v>
      </c>
      <c r="R2476">
        <v>-0.37771120000000002</v>
      </c>
      <c r="S2476">
        <v>-2.7614749999999999</v>
      </c>
      <c r="T2476">
        <v>-0.3682976</v>
      </c>
      <c r="U2476">
        <v>-2.0018310000000001</v>
      </c>
      <c r="V2476">
        <v>-0.2049414</v>
      </c>
      <c r="W2476">
        <v>0.35807209999999901</v>
      </c>
      <c r="X2476">
        <v>0.91092450000000003</v>
      </c>
      <c r="Y2476">
        <v>-0.41258790000000001</v>
      </c>
      <c r="Z2476">
        <v>-1.0177240000000001E-2</v>
      </c>
      <c r="AA2476">
        <v>0.91086100000000003</v>
      </c>
      <c r="AB2476">
        <v>32</v>
      </c>
      <c r="AC2476">
        <v>-8.0694999999999997</v>
      </c>
      <c r="AD2476">
        <v>-1.1178944619490001</v>
      </c>
      <c r="AE2476">
        <v>-6.0070999999999799</v>
      </c>
      <c r="AF2476">
        <v>-4.2348824816386204</v>
      </c>
      <c r="AG2476">
        <v>-1.1178944619490001</v>
      </c>
      <c r="AH2476">
        <v>8.9896618087068401</v>
      </c>
      <c r="AI2476">
        <v>96.418546080568404</v>
      </c>
      <c r="AJ2476">
        <v>115.224356937256</v>
      </c>
      <c r="AK2476">
        <v>9.9998968542814701</v>
      </c>
      <c r="AL2476">
        <v>69.018156359800201</v>
      </c>
      <c r="AM2476">
        <v>102.67938893589501</v>
      </c>
      <c r="AN2476">
        <v>1.0000000254663</v>
      </c>
    </row>
    <row r="2477" spans="1:40" x14ac:dyDescent="0.25">
      <c r="A2477" t="str">
        <f>"20190304164418338"</f>
        <v>20190304164418338</v>
      </c>
      <c r="B2477" t="str">
        <f>"1551689058332311"</f>
        <v>1551689058332311</v>
      </c>
      <c r="C2477" t="s">
        <v>40</v>
      </c>
      <c r="D2477">
        <v>5.0650919999999999</v>
      </c>
      <c r="E2477">
        <v>0.40536830000000001</v>
      </c>
      <c r="F2477" t="s">
        <v>41</v>
      </c>
      <c r="G2477">
        <v>-474.25599999999997</v>
      </c>
      <c r="H2477">
        <v>0.9996178</v>
      </c>
      <c r="I2477">
        <v>282.96129999999999</v>
      </c>
      <c r="J2477">
        <v>-473.68509999999998</v>
      </c>
      <c r="K2477">
        <v>1.117964</v>
      </c>
      <c r="L2477">
        <v>283.53440000000001</v>
      </c>
      <c r="M2477">
        <v>-0.97842629999999997</v>
      </c>
      <c r="N2477">
        <v>-2.121704E-2</v>
      </c>
      <c r="O2477">
        <v>-0.20550399999999999</v>
      </c>
      <c r="P2477">
        <v>-0.85756650000000001</v>
      </c>
      <c r="Q2477">
        <v>0.34020630000000002</v>
      </c>
      <c r="R2477">
        <v>-0.38579770000000002</v>
      </c>
      <c r="S2477">
        <v>-2.746521</v>
      </c>
      <c r="T2477">
        <v>-0.37241920000000001</v>
      </c>
      <c r="U2477">
        <v>-2.0216370000000001</v>
      </c>
      <c r="V2477">
        <v>-0.206764</v>
      </c>
      <c r="W2477">
        <v>0.35649760000000003</v>
      </c>
      <c r="X2477">
        <v>0.91113010000000005</v>
      </c>
      <c r="Y2477">
        <v>-0.4125143</v>
      </c>
      <c r="Z2477">
        <v>-9.4770719999999996E-3</v>
      </c>
      <c r="AA2477">
        <v>0.91090179999999998</v>
      </c>
      <c r="AB2477">
        <v>32</v>
      </c>
      <c r="AC2477">
        <v>-0.57089999999999397</v>
      </c>
      <c r="AD2477">
        <v>-0.118346199999999</v>
      </c>
      <c r="AE2477">
        <v>-0.57310000000001005</v>
      </c>
      <c r="AF2477">
        <v>-0.434219869991743</v>
      </c>
      <c r="AG2477">
        <v>-0.118346199999999</v>
      </c>
      <c r="AH2477">
        <v>0.66233390692846505</v>
      </c>
      <c r="AI2477">
        <v>98.498862276508106</v>
      </c>
      <c r="AJ2477">
        <v>123.24847128040101</v>
      </c>
      <c r="AK2477">
        <v>0.80077395238432403</v>
      </c>
      <c r="AL2477">
        <v>69.114742677720798</v>
      </c>
      <c r="AM2477">
        <v>102.785666878021</v>
      </c>
      <c r="AN2477">
        <v>0.99999997481388403</v>
      </c>
    </row>
    <row r="2478" spans="1:40" x14ac:dyDescent="0.25">
      <c r="A2478" t="str">
        <f>"20190304164418359"</f>
        <v>20190304164418359</v>
      </c>
      <c r="B2478" t="str">
        <f>"1551689058352808"</f>
        <v>1551689058352808</v>
      </c>
      <c r="C2478" t="s">
        <v>40</v>
      </c>
      <c r="D2478">
        <v>5.0960549999999998</v>
      </c>
      <c r="E2478">
        <v>0.40537099999999998</v>
      </c>
      <c r="F2478" t="s">
        <v>41</v>
      </c>
      <c r="G2478">
        <v>-474.52679999999998</v>
      </c>
      <c r="H2478">
        <v>1.001296</v>
      </c>
      <c r="I2478">
        <v>282.9024</v>
      </c>
      <c r="J2478">
        <v>-473.98430000000002</v>
      </c>
      <c r="K2478">
        <v>1.118039</v>
      </c>
      <c r="L2478">
        <v>283.46339999999998</v>
      </c>
      <c r="M2478">
        <v>-0.97686629999999997</v>
      </c>
      <c r="N2478">
        <v>-2.1130599999999999E-2</v>
      </c>
      <c r="O2478">
        <v>-0.21280499999999999</v>
      </c>
      <c r="P2478">
        <v>-0.85417080000000001</v>
      </c>
      <c r="Q2478">
        <v>0.33945720000000001</v>
      </c>
      <c r="R2478">
        <v>-0.3939049</v>
      </c>
      <c r="S2478">
        <v>-2.7268680000000001</v>
      </c>
      <c r="T2478">
        <v>-0.37792619999999999</v>
      </c>
      <c r="U2478">
        <v>-2.048035</v>
      </c>
      <c r="V2478">
        <v>-0.20860000000000001</v>
      </c>
      <c r="W2478">
        <v>0.35559980000000002</v>
      </c>
      <c r="X2478">
        <v>0.9110625</v>
      </c>
      <c r="Y2478">
        <v>-0.41447260000000002</v>
      </c>
      <c r="Z2478">
        <v>-8.8976909999999992E-3</v>
      </c>
      <c r="AA2478">
        <v>0.91001829999999995</v>
      </c>
      <c r="AB2478">
        <v>32</v>
      </c>
      <c r="AC2478">
        <v>-0.54249999999996101</v>
      </c>
      <c r="AD2478">
        <v>-0.116743</v>
      </c>
      <c r="AE2478">
        <v>-0.56099999999997796</v>
      </c>
      <c r="AF2478">
        <v>-0.42320135478722398</v>
      </c>
      <c r="AG2478">
        <v>-0.116743</v>
      </c>
      <c r="AH2478">
        <v>0.63526248322175605</v>
      </c>
      <c r="AI2478">
        <v>98.695495720207802</v>
      </c>
      <c r="AJ2478">
        <v>123.670895958024</v>
      </c>
      <c r="AK2478">
        <v>0.77219604850828805</v>
      </c>
      <c r="AL2478">
        <v>69.169791409593302</v>
      </c>
      <c r="AM2478">
        <v>102.89634491035601</v>
      </c>
      <c r="AN2478">
        <v>1.0000000283331401</v>
      </c>
    </row>
    <row r="2479" spans="1:40" x14ac:dyDescent="0.25">
      <c r="A2479" t="str">
        <f>"20190304164418382"</f>
        <v>20190304164418382</v>
      </c>
      <c r="B2479" t="str">
        <f>"1551689058372327"</f>
        <v>1551689058372327</v>
      </c>
      <c r="C2479" t="s">
        <v>40</v>
      </c>
      <c r="D2479">
        <v>5.2155509999999996</v>
      </c>
      <c r="E2479">
        <v>0.405644</v>
      </c>
      <c r="F2479" t="s">
        <v>41</v>
      </c>
      <c r="G2479">
        <v>-474.79680000000002</v>
      </c>
      <c r="H2479">
        <v>1.0031080000000001</v>
      </c>
      <c r="I2479">
        <v>282.84089999999998</v>
      </c>
      <c r="J2479">
        <v>-474.28129999999999</v>
      </c>
      <c r="K2479">
        <v>1.1181319999999999</v>
      </c>
      <c r="L2479">
        <v>283.3904</v>
      </c>
      <c r="M2479">
        <v>-0.97522039999999999</v>
      </c>
      <c r="N2479">
        <v>-2.1047139999999999E-2</v>
      </c>
      <c r="O2479">
        <v>-0.22023190000000001</v>
      </c>
      <c r="P2479">
        <v>-0.85011569999999903</v>
      </c>
      <c r="Q2479">
        <v>0.34026869999999998</v>
      </c>
      <c r="R2479">
        <v>-0.40189599999999998</v>
      </c>
      <c r="S2479">
        <v>-2.7077640000000001</v>
      </c>
      <c r="T2479">
        <v>-0.38304630000000001</v>
      </c>
      <c r="U2479">
        <v>-2.0744630000000002</v>
      </c>
      <c r="V2479">
        <v>-0.21037919999999999</v>
      </c>
      <c r="W2479">
        <v>0.35625079999999998</v>
      </c>
      <c r="X2479">
        <v>0.91039879999999995</v>
      </c>
      <c r="Y2479">
        <v>-0.41622439999999999</v>
      </c>
      <c r="Z2479">
        <v>-8.2685989999999997E-3</v>
      </c>
      <c r="AA2479">
        <v>0.90922429999999999</v>
      </c>
      <c r="AB2479">
        <v>31</v>
      </c>
      <c r="AC2479">
        <v>-0.51550000000003104</v>
      </c>
      <c r="AD2479">
        <v>-0.115024</v>
      </c>
      <c r="AE2479">
        <v>-0.54950000000002297</v>
      </c>
      <c r="AF2479">
        <v>-0.412826387310882</v>
      </c>
      <c r="AG2479">
        <v>-0.115024</v>
      </c>
      <c r="AH2479">
        <v>0.60967282078996698</v>
      </c>
      <c r="AI2479">
        <v>98.8790111019146</v>
      </c>
      <c r="AJ2479">
        <v>124.10301921874201</v>
      </c>
      <c r="AK2479">
        <v>0.74522284925124904</v>
      </c>
      <c r="AL2479">
        <v>69.129877659895001</v>
      </c>
      <c r="AM2479">
        <v>103.011774747381</v>
      </c>
      <c r="AN2479">
        <v>1.0000000076673601</v>
      </c>
    </row>
    <row r="2480" spans="1:40" x14ac:dyDescent="0.25">
      <c r="A2480" t="str">
        <f>"20190304164418404"</f>
        <v>20190304164418404</v>
      </c>
      <c r="B2480" t="str">
        <f>"1551689058392824"</f>
        <v>1551689058392824</v>
      </c>
      <c r="C2480" t="s">
        <v>40</v>
      </c>
      <c r="D2480">
        <v>5.129289</v>
      </c>
      <c r="E2480">
        <v>0.46563130000000003</v>
      </c>
      <c r="F2480" t="s">
        <v>41</v>
      </c>
      <c r="G2480">
        <v>-475.08409999999998</v>
      </c>
      <c r="H2480">
        <v>1.0050330000000001</v>
      </c>
      <c r="I2480">
        <v>282.76420000000002</v>
      </c>
      <c r="J2480">
        <v>-474.57749999999999</v>
      </c>
      <c r="K2480">
        <v>1.118241</v>
      </c>
      <c r="L2480">
        <v>283.315</v>
      </c>
      <c r="M2480">
        <v>-0.97346779999999999</v>
      </c>
      <c r="N2480">
        <v>-2.0962310000000001E-2</v>
      </c>
      <c r="O2480">
        <v>-0.2278626</v>
      </c>
      <c r="P2480">
        <v>-0.84580390000000005</v>
      </c>
      <c r="Q2480">
        <v>0.34310560000000001</v>
      </c>
      <c r="R2480">
        <v>-0.40852769999999999</v>
      </c>
      <c r="S2480">
        <v>-2.6886290000000002</v>
      </c>
      <c r="T2480">
        <v>-0.37868750000000001</v>
      </c>
      <c r="U2480">
        <v>-2.0980530000000002</v>
      </c>
      <c r="V2480">
        <v>-0.21076159999999999</v>
      </c>
      <c r="W2480">
        <v>0.3589272</v>
      </c>
      <c r="X2480">
        <v>0.90925840000000002</v>
      </c>
      <c r="Y2480">
        <v>-0.41726530000000001</v>
      </c>
      <c r="Z2480">
        <v>-7.5822119999999996E-3</v>
      </c>
      <c r="AA2480">
        <v>0.90875309999999998</v>
      </c>
      <c r="AB2480">
        <v>31</v>
      </c>
      <c r="AC2480">
        <v>-0.50659999999999095</v>
      </c>
      <c r="AD2480">
        <v>-0.113207999999999</v>
      </c>
      <c r="AE2480">
        <v>-0.55079999999998097</v>
      </c>
      <c r="AF2480">
        <v>-0.41142782233835201</v>
      </c>
      <c r="AG2480">
        <v>-0.113207999999999</v>
      </c>
      <c r="AH2480">
        <v>0.60495704234173897</v>
      </c>
      <c r="AI2480">
        <v>98.796142356994906</v>
      </c>
      <c r="AJ2480">
        <v>124.219395676229</v>
      </c>
      <c r="AK2480">
        <v>0.74031204727259703</v>
      </c>
      <c r="AL2480">
        <v>68.965673957430297</v>
      </c>
      <c r="AM2480">
        <v>103.05040779377001</v>
      </c>
      <c r="AN2480">
        <v>1.0000000124524799</v>
      </c>
    </row>
    <row r="2481" spans="1:40" x14ac:dyDescent="0.25">
      <c r="A2481" t="str">
        <f>"20190304164418427"</f>
        <v>20190304164418427</v>
      </c>
      <c r="B2481" t="str">
        <f>"1551689058422104"</f>
        <v>1551689058422104</v>
      </c>
      <c r="C2481" t="s">
        <v>40</v>
      </c>
      <c r="D2481">
        <v>5.0917240000000001</v>
      </c>
      <c r="E2481">
        <v>0.47411229999999999</v>
      </c>
      <c r="F2481" t="s">
        <v>47</v>
      </c>
      <c r="G2481">
        <v>-483.72449999999998</v>
      </c>
      <c r="H2481" s="1">
        <v>1.8355649999999999E-6</v>
      </c>
      <c r="I2481">
        <v>277.93669999999997</v>
      </c>
      <c r="J2481">
        <v>-474.8879</v>
      </c>
      <c r="K2481">
        <v>1.118379</v>
      </c>
      <c r="L2481">
        <v>283.23320000000001</v>
      </c>
      <c r="M2481">
        <v>-0.97149649999999999</v>
      </c>
      <c r="N2481">
        <v>-2.088164E-2</v>
      </c>
      <c r="O2481">
        <v>-0.23613329999999999</v>
      </c>
      <c r="P2481">
        <v>-0.841946999999999</v>
      </c>
      <c r="Q2481">
        <v>0.34438010000000002</v>
      </c>
      <c r="R2481">
        <v>-0.41536459999999997</v>
      </c>
      <c r="S2481">
        <v>-2.873383</v>
      </c>
      <c r="T2481">
        <v>-0.3512768</v>
      </c>
      <c r="U2481">
        <v>-1.689514</v>
      </c>
      <c r="V2481">
        <v>-0.21065970000000001</v>
      </c>
      <c r="W2481">
        <v>0.36004839999999999</v>
      </c>
      <c r="X2481">
        <v>0.90883860000000005</v>
      </c>
      <c r="Y2481">
        <v>-0.2878809</v>
      </c>
      <c r="Z2481">
        <v>1.885376E-3</v>
      </c>
      <c r="AA2481">
        <v>0.95766439999999997</v>
      </c>
      <c r="AB2481">
        <v>31</v>
      </c>
      <c r="AC2481">
        <v>-8.8365999999999705</v>
      </c>
      <c r="AD2481">
        <v>-1.118377164435</v>
      </c>
      <c r="AE2481">
        <v>-5.2965000000000302</v>
      </c>
      <c r="AF2481">
        <v>-3.0239470499925498</v>
      </c>
      <c r="AG2481">
        <v>-1.118377164435</v>
      </c>
      <c r="AH2481">
        <v>9.7229704658445595</v>
      </c>
      <c r="AI2481">
        <v>96.267945838831395</v>
      </c>
      <c r="AJ2481">
        <v>107.276248493026</v>
      </c>
      <c r="AK2481">
        <v>10.2435920419925</v>
      </c>
      <c r="AL2481">
        <v>68.896831099394603</v>
      </c>
      <c r="AM2481">
        <v>103.050133035621</v>
      </c>
      <c r="AN2481">
        <v>0.99999998019830405</v>
      </c>
    </row>
    <row r="2482" spans="1:40" x14ac:dyDescent="0.25">
      <c r="A2482" t="str">
        <f>"20190304164418449"</f>
        <v>20190304164418449</v>
      </c>
      <c r="B2482" t="str">
        <f>"1551689058442600"</f>
        <v>1551689058442600</v>
      </c>
      <c r="C2482" t="s">
        <v>40</v>
      </c>
      <c r="D2482">
        <v>5.0978130000000004</v>
      </c>
      <c r="E2482">
        <v>0.47626950000000001</v>
      </c>
      <c r="F2482" t="s">
        <v>47</v>
      </c>
      <c r="G2482">
        <v>-484.04109999999997</v>
      </c>
      <c r="H2482" s="1">
        <v>1.9107519999999999E-6</v>
      </c>
      <c r="I2482">
        <v>277.9905</v>
      </c>
      <c r="J2482">
        <v>-475.1746</v>
      </c>
      <c r="K2482">
        <v>1.11854599999999</v>
      </c>
      <c r="L2482">
        <v>283.15460000000002</v>
      </c>
      <c r="M2482">
        <v>-0.96953429999999996</v>
      </c>
      <c r="N2482">
        <v>-2.081829E-2</v>
      </c>
      <c r="O2482">
        <v>-0.24406990000000001</v>
      </c>
      <c r="P2482">
        <v>-0.83820779999999995</v>
      </c>
      <c r="Q2482">
        <v>0.34339330000000001</v>
      </c>
      <c r="R2482">
        <v>-0.42366150000000002</v>
      </c>
      <c r="S2482">
        <v>-2.8907780000000001</v>
      </c>
      <c r="T2482">
        <v>-0.35320699999999999</v>
      </c>
      <c r="U2482">
        <v>-1.6557310000000001</v>
      </c>
      <c r="V2482">
        <v>-0.21225079999999999</v>
      </c>
      <c r="W2482">
        <v>0.3588942</v>
      </c>
      <c r="X2482">
        <v>0.90892490000000004</v>
      </c>
      <c r="Y2482">
        <v>-0.26923859999999999</v>
      </c>
      <c r="Z2482">
        <v>3.8950220000000002E-3</v>
      </c>
      <c r="AA2482">
        <v>0.96306559999999997</v>
      </c>
      <c r="AB2482">
        <v>31</v>
      </c>
      <c r="AC2482">
        <v>-8.8664999999999701</v>
      </c>
      <c r="AD2482">
        <v>-1.1185440892480001</v>
      </c>
      <c r="AE2482">
        <v>-5.1641000000000101</v>
      </c>
      <c r="AF2482">
        <v>-2.8099497453384998</v>
      </c>
      <c r="AG2482">
        <v>-1.1185440892480001</v>
      </c>
      <c r="AH2482">
        <v>9.7431288406358494</v>
      </c>
      <c r="AI2482">
        <v>96.294706034217199</v>
      </c>
      <c r="AJ2482">
        <v>106.087731659601</v>
      </c>
      <c r="AK2482">
        <v>10.2017409326129</v>
      </c>
      <c r="AL2482">
        <v>68.967698563296295</v>
      </c>
      <c r="AM2482">
        <v>103.14408461076501</v>
      </c>
      <c r="AN2482">
        <v>0.99999996136714397</v>
      </c>
    </row>
    <row r="2483" spans="1:40" x14ac:dyDescent="0.25">
      <c r="A2483" t="str">
        <f>"20190304164418471"</f>
        <v>20190304164418471</v>
      </c>
      <c r="B2483" t="str">
        <f>"1551689058462120"</f>
        <v>1551689058462120</v>
      </c>
      <c r="C2483" t="s">
        <v>40</v>
      </c>
      <c r="D2483">
        <v>5.0700770000000004</v>
      </c>
      <c r="E2483">
        <v>0.47751470000000001</v>
      </c>
      <c r="F2483" t="s">
        <v>47</v>
      </c>
      <c r="G2483">
        <v>-484.16340000000002</v>
      </c>
      <c r="H2483" s="1">
        <v>1.92487E-6</v>
      </c>
      <c r="I2483">
        <v>277.96910000000003</v>
      </c>
      <c r="J2483">
        <v>-475.46730000000002</v>
      </c>
      <c r="K2483">
        <v>1.118749</v>
      </c>
      <c r="L2483">
        <v>283.07159999999999</v>
      </c>
      <c r="M2483">
        <v>-0.96736809999999995</v>
      </c>
      <c r="N2483">
        <v>-2.0755929999999999E-2</v>
      </c>
      <c r="O2483">
        <v>-0.25252370000000002</v>
      </c>
      <c r="P2483">
        <v>-0.83368500000000001</v>
      </c>
      <c r="Q2483">
        <v>0.34302169999999998</v>
      </c>
      <c r="R2483">
        <v>-0.43278850000000002</v>
      </c>
      <c r="S2483">
        <v>-2.884979</v>
      </c>
      <c r="T2483">
        <v>-0.35900100000000001</v>
      </c>
      <c r="U2483">
        <v>-1.664307</v>
      </c>
      <c r="V2483">
        <v>-0.21439510000000001</v>
      </c>
      <c r="W2483">
        <v>0.35831649999999998</v>
      </c>
      <c r="X2483">
        <v>0.90864959999999995</v>
      </c>
      <c r="Y2483">
        <v>-0.26386579999999998</v>
      </c>
      <c r="Z2483">
        <v>5.2368459999999999E-3</v>
      </c>
      <c r="AA2483">
        <v>0.96454519999999999</v>
      </c>
      <c r="AB2483">
        <v>31</v>
      </c>
      <c r="AC2483">
        <v>-8.6960999999999995</v>
      </c>
      <c r="AD2483">
        <v>-1.1187470751299999</v>
      </c>
      <c r="AE2483">
        <v>-5.1024999999999601</v>
      </c>
      <c r="AF2483">
        <v>-2.70728299996376</v>
      </c>
      <c r="AG2483">
        <v>-1.1187470751299999</v>
      </c>
      <c r="AH2483">
        <v>9.5849137297349198</v>
      </c>
      <c r="AI2483">
        <v>96.408881486413193</v>
      </c>
      <c r="AJ2483">
        <v>105.772466375185</v>
      </c>
      <c r="AK2483">
        <v>10.022551943814801</v>
      </c>
      <c r="AL2483">
        <v>69.003158287476495</v>
      </c>
      <c r="AM2483">
        <v>103.276076443546</v>
      </c>
      <c r="AN2483">
        <v>1.0000000343282001</v>
      </c>
    </row>
    <row r="2484" spans="1:40" x14ac:dyDescent="0.25">
      <c r="A2484" t="str">
        <f>"20190304164418517"</f>
        <v>20190304164418517</v>
      </c>
      <c r="B2484" t="str">
        <f>"1551689058512872"</f>
        <v>1551689058512872</v>
      </c>
      <c r="C2484" t="s">
        <v>40</v>
      </c>
      <c r="D2484">
        <v>5.1126990000000001</v>
      </c>
      <c r="E2484">
        <v>0.47982639999999999</v>
      </c>
      <c r="F2484" t="s">
        <v>47</v>
      </c>
      <c r="G2484">
        <v>-484.30099999999999</v>
      </c>
      <c r="H2484" s="1">
        <v>1.9243360000000001E-6</v>
      </c>
      <c r="I2484">
        <v>277.89859999999999</v>
      </c>
      <c r="J2484">
        <v>-476.05340000000001</v>
      </c>
      <c r="K2484">
        <v>1.119254</v>
      </c>
      <c r="L2484">
        <v>282.89499999999998</v>
      </c>
      <c r="M2484">
        <v>-0.96243369999999995</v>
      </c>
      <c r="N2484">
        <v>-2.0640539999999999E-2</v>
      </c>
      <c r="O2484">
        <v>-0.27073130000000001</v>
      </c>
      <c r="P2484">
        <v>-0.82284570000000001</v>
      </c>
      <c r="Q2484">
        <v>0.34422239999999998</v>
      </c>
      <c r="R2484">
        <v>-0.4521461</v>
      </c>
      <c r="S2484">
        <v>-2.8744200000000002</v>
      </c>
      <c r="T2484">
        <v>-0.36403249999999998</v>
      </c>
      <c r="U2484">
        <v>-1.6832579999999999</v>
      </c>
      <c r="V2484">
        <v>-0.21911420000000001</v>
      </c>
      <c r="W2484">
        <v>0.35903439999999998</v>
      </c>
      <c r="X2484">
        <v>0.90723940000000003</v>
      </c>
      <c r="Y2484">
        <v>-0.25207099999999999</v>
      </c>
      <c r="Z2484">
        <v>7.9326759999999996E-3</v>
      </c>
      <c r="AA2484">
        <v>0.96767619999999999</v>
      </c>
      <c r="AB2484">
        <v>30</v>
      </c>
      <c r="AC2484">
        <v>-8.2475999999999701</v>
      </c>
      <c r="AD2484">
        <v>-1.1192520756640001</v>
      </c>
      <c r="AE2484">
        <v>-4.9963999999999897</v>
      </c>
      <c r="AF2484">
        <v>-2.5421214035203601</v>
      </c>
      <c r="AG2484">
        <v>-1.1192520756640001</v>
      </c>
      <c r="AH2484">
        <v>9.1689052261030106</v>
      </c>
      <c r="AI2484">
        <v>96.7090359654064</v>
      </c>
      <c r="AJ2484">
        <v>105.49628010043899</v>
      </c>
      <c r="AK2484">
        <v>9.5803929712915998</v>
      </c>
      <c r="AL2484">
        <v>68.959093617964498</v>
      </c>
      <c r="AM2484">
        <v>103.577916405829</v>
      </c>
      <c r="AN2484">
        <v>1.0000000309686701</v>
      </c>
    </row>
    <row r="2485" spans="1:40" x14ac:dyDescent="0.25">
      <c r="A2485" t="str">
        <f>"20190304164418539"</f>
        <v>20190304164418539</v>
      </c>
      <c r="B2485" t="str">
        <f>"1551689058532392"</f>
        <v>1551689058532392</v>
      </c>
      <c r="C2485" t="s">
        <v>40</v>
      </c>
      <c r="D2485">
        <v>5.1585559999999999</v>
      </c>
      <c r="E2485">
        <v>0.48082019999999998</v>
      </c>
      <c r="F2485" t="s">
        <v>47</v>
      </c>
      <c r="G2485">
        <v>-484.76420000000002</v>
      </c>
      <c r="H2485" s="1">
        <v>1.8996410000000001E-6</v>
      </c>
      <c r="I2485">
        <v>277.59629999999999</v>
      </c>
      <c r="J2485">
        <v>-476.32780000000002</v>
      </c>
      <c r="K2485">
        <v>1.119483</v>
      </c>
      <c r="L2485">
        <v>282.80739999999997</v>
      </c>
      <c r="M2485">
        <v>-0.9598293</v>
      </c>
      <c r="N2485">
        <v>-2.057954E-2</v>
      </c>
      <c r="O2485">
        <v>-0.27982879999999999</v>
      </c>
      <c r="P2485">
        <v>-0.81709309999999902</v>
      </c>
      <c r="Q2485">
        <v>0.34420400000000001</v>
      </c>
      <c r="R2485">
        <v>-0.4624742</v>
      </c>
      <c r="S2485">
        <v>-2.8472599999999999</v>
      </c>
      <c r="T2485">
        <v>-0.36584709999999998</v>
      </c>
      <c r="U2485">
        <v>-1.7319639999999901</v>
      </c>
      <c r="V2485">
        <v>-0.2221823</v>
      </c>
      <c r="W2485">
        <v>0.35876380000000002</v>
      </c>
      <c r="X2485">
        <v>0.90659999999999996</v>
      </c>
      <c r="Y2485">
        <v>-0.25908049999999999</v>
      </c>
      <c r="Z2485">
        <v>8.4203279999999995E-3</v>
      </c>
      <c r="AA2485">
        <v>0.96581910000000004</v>
      </c>
      <c r="AB2485">
        <v>30</v>
      </c>
      <c r="AC2485">
        <v>-8.4363999999999901</v>
      </c>
      <c r="AD2485">
        <v>-1.1194811003589999</v>
      </c>
      <c r="AE2485">
        <v>-5.2110999999999796</v>
      </c>
      <c r="AF2485">
        <v>-2.6083339264891401</v>
      </c>
      <c r="AG2485">
        <v>-1.1194811003589999</v>
      </c>
      <c r="AH2485">
        <v>9.4374596182781403</v>
      </c>
      <c r="AI2485">
        <v>96.522564746262702</v>
      </c>
      <c r="AJ2485">
        <v>105.449784179989</v>
      </c>
      <c r="AK2485">
        <v>9.8550640714693394</v>
      </c>
      <c r="AL2485">
        <v>68.975703837998793</v>
      </c>
      <c r="AM2485">
        <v>103.770193796233</v>
      </c>
      <c r="AN2485">
        <v>0.99999999931186401</v>
      </c>
    </row>
    <row r="2486" spans="1:40" x14ac:dyDescent="0.25">
      <c r="A2486" t="str">
        <f>"20190304164418560"</f>
        <v>20190304164418560</v>
      </c>
      <c r="B2486" t="str">
        <f>"1551689058551912"</f>
        <v>1551689058551912</v>
      </c>
      <c r="C2486" t="s">
        <v>40</v>
      </c>
      <c r="D2486">
        <v>5.2009019999999904</v>
      </c>
      <c r="E2486">
        <v>0.48183189999999998</v>
      </c>
      <c r="F2486" t="s">
        <v>47</v>
      </c>
      <c r="G2486">
        <v>-484.92070000000001</v>
      </c>
      <c r="H2486" s="1">
        <v>1.8811910000000001E-6</v>
      </c>
      <c r="I2486">
        <v>277.46550000000002</v>
      </c>
      <c r="J2486">
        <v>-476.59879999999998</v>
      </c>
      <c r="K2486">
        <v>1.1196919999999999</v>
      </c>
      <c r="L2486">
        <v>282.71769999999998</v>
      </c>
      <c r="M2486">
        <v>-0.95705620000000002</v>
      </c>
      <c r="N2486">
        <v>-2.0514089999999999E-2</v>
      </c>
      <c r="O2486">
        <v>-0.28917569999999998</v>
      </c>
      <c r="P2486">
        <v>-0.81163759999999996</v>
      </c>
      <c r="Q2486">
        <v>0.34410000000000002</v>
      </c>
      <c r="R2486">
        <v>-0.4720589</v>
      </c>
      <c r="S2486">
        <v>-2.8308719999999998</v>
      </c>
      <c r="T2486">
        <v>-0.36880350000000001</v>
      </c>
      <c r="U2486">
        <v>-1.759827</v>
      </c>
      <c r="V2486">
        <v>-0.2242073</v>
      </c>
      <c r="W2486">
        <v>0.35843399999999997</v>
      </c>
      <c r="X2486">
        <v>0.90623180000000003</v>
      </c>
      <c r="Y2486">
        <v>-0.25906129999999999</v>
      </c>
      <c r="Z2486">
        <v>9.4672009999999997E-3</v>
      </c>
      <c r="AA2486">
        <v>0.96581450000000002</v>
      </c>
      <c r="AB2486">
        <v>30</v>
      </c>
      <c r="AC2486">
        <v>-8.3219000000000207</v>
      </c>
      <c r="AD2486">
        <v>-1.1196901188089901</v>
      </c>
      <c r="AE2486">
        <v>-5.2521999999999496</v>
      </c>
      <c r="AF2486">
        <v>-2.58721618976463</v>
      </c>
      <c r="AG2486">
        <v>-1.1196901188089901</v>
      </c>
      <c r="AH2486">
        <v>9.3641011323363106</v>
      </c>
      <c r="AI2486">
        <v>96.574584274722397</v>
      </c>
      <c r="AJ2486">
        <v>105.44499293373801</v>
      </c>
      <c r="AK2486">
        <v>9.7792527112945002</v>
      </c>
      <c r="AL2486">
        <v>68.995945422399899</v>
      </c>
      <c r="AM2486">
        <v>103.896282594933</v>
      </c>
      <c r="AN2486">
        <v>0.99999996053026396</v>
      </c>
    </row>
    <row r="2487" spans="1:40" x14ac:dyDescent="0.25">
      <c r="A2487" t="str">
        <f>"20190304164418582"</f>
        <v>20190304164418582</v>
      </c>
      <c r="B2487" t="str">
        <f>"1551689058572408"</f>
        <v>1551689058572408</v>
      </c>
      <c r="C2487" t="s">
        <v>40</v>
      </c>
      <c r="D2487">
        <v>5.1652370000000003</v>
      </c>
      <c r="E2487">
        <v>0.48289569999999998</v>
      </c>
      <c r="F2487" t="s">
        <v>47</v>
      </c>
      <c r="G2487">
        <v>-485.05630000000002</v>
      </c>
      <c r="H2487" s="1">
        <v>1.8634649999999999E-6</v>
      </c>
      <c r="I2487">
        <v>277.34739999999999</v>
      </c>
      <c r="J2487">
        <v>-476.87459999999999</v>
      </c>
      <c r="K2487">
        <v>1.119902</v>
      </c>
      <c r="L2487">
        <v>282.62299999999999</v>
      </c>
      <c r="M2487">
        <v>-0.95400910000000005</v>
      </c>
      <c r="N2487">
        <v>-2.0439329999999999E-2</v>
      </c>
      <c r="O2487">
        <v>-0.29908000000000001</v>
      </c>
      <c r="P2487">
        <v>-0.80593019999999904</v>
      </c>
      <c r="Q2487">
        <v>0.34557490000000002</v>
      </c>
      <c r="R2487">
        <v>-0.48068119999999998</v>
      </c>
      <c r="S2487">
        <v>-2.814667</v>
      </c>
      <c r="T2487">
        <v>-0.37263499999999999</v>
      </c>
      <c r="U2487">
        <v>-1.7872619999999999</v>
      </c>
      <c r="V2487">
        <v>-0.22489129999999999</v>
      </c>
      <c r="W2487">
        <v>0.35969250000000003</v>
      </c>
      <c r="X2487">
        <v>0.90556349999999997</v>
      </c>
      <c r="Y2487">
        <v>-0.25832050000000001</v>
      </c>
      <c r="Z2487">
        <v>1.068264E-2</v>
      </c>
      <c r="AA2487">
        <v>0.96600019999999998</v>
      </c>
      <c r="AB2487">
        <v>30</v>
      </c>
      <c r="AC2487">
        <v>-8.1817000000000295</v>
      </c>
      <c r="AD2487">
        <v>-1.1199001365350001</v>
      </c>
      <c r="AE2487">
        <v>-5.2755999999999901</v>
      </c>
      <c r="AF2487">
        <v>-2.5527459416148002</v>
      </c>
      <c r="AG2487">
        <v>-1.1199001365350001</v>
      </c>
      <c r="AH2487">
        <v>9.26262561548576</v>
      </c>
      <c r="AI2487">
        <v>96.648379194072902</v>
      </c>
      <c r="AJ2487">
        <v>105.408013185671</v>
      </c>
      <c r="AK2487">
        <v>9.6729996097847</v>
      </c>
      <c r="AL2487">
        <v>68.9186878830144</v>
      </c>
      <c r="AM2487">
        <v>103.946910477107</v>
      </c>
      <c r="AN2487">
        <v>1.0000000219520899</v>
      </c>
    </row>
    <row r="2488" spans="1:40" x14ac:dyDescent="0.25">
      <c r="A2488" t="str">
        <f>"20190304164418605"</f>
        <v>20190304164418605</v>
      </c>
      <c r="B2488" t="str">
        <f>"1551689058602664"</f>
        <v>1551689058602664</v>
      </c>
      <c r="C2488" t="s">
        <v>40</v>
      </c>
      <c r="D2488">
        <v>5.1407889999999998</v>
      </c>
      <c r="E2488">
        <v>0.49628119999999998</v>
      </c>
      <c r="F2488" t="s">
        <v>47</v>
      </c>
      <c r="G2488">
        <v>-485.33460000000002</v>
      </c>
      <c r="H2488" s="1">
        <v>1.8391520000000001E-6</v>
      </c>
      <c r="I2488">
        <v>277.13889999999998</v>
      </c>
      <c r="J2488">
        <v>-477.15839999999997</v>
      </c>
      <c r="K2488">
        <v>1.1201410000000001</v>
      </c>
      <c r="L2488">
        <v>282.52179999999998</v>
      </c>
      <c r="M2488">
        <v>-0.95062120000000006</v>
      </c>
      <c r="N2488">
        <v>-2.0353409999999999E-2</v>
      </c>
      <c r="O2488">
        <v>-0.30968590000000001</v>
      </c>
      <c r="P2488">
        <v>-0.79969569999999901</v>
      </c>
      <c r="Q2488">
        <v>0.34728900000000001</v>
      </c>
      <c r="R2488">
        <v>-0.48977290000000001</v>
      </c>
      <c r="S2488">
        <v>-2.7990719999999998</v>
      </c>
      <c r="T2488">
        <v>-0.37052750000000001</v>
      </c>
      <c r="U2488">
        <v>-1.8144530000000001</v>
      </c>
      <c r="V2488">
        <v>-0.22553590000000001</v>
      </c>
      <c r="W2488">
        <v>0.36117060000000001</v>
      </c>
      <c r="X2488">
        <v>0.90481449999999997</v>
      </c>
      <c r="Y2488">
        <v>-0.25668980000000002</v>
      </c>
      <c r="Z2488">
        <v>1.172548E-2</v>
      </c>
      <c r="AA2488">
        <v>0.96642269999999997</v>
      </c>
      <c r="AB2488">
        <v>30</v>
      </c>
      <c r="AC2488">
        <v>-8.1762000000000494</v>
      </c>
      <c r="AD2488">
        <v>-1.120139160848</v>
      </c>
      <c r="AE2488">
        <v>-5.3829000000000002</v>
      </c>
      <c r="AF2488">
        <v>-2.5521630737344898</v>
      </c>
      <c r="AG2488">
        <v>-1.120139160848</v>
      </c>
      <c r="AH2488">
        <v>9.3194065667644992</v>
      </c>
      <c r="AI2488">
        <v>96.612544754828804</v>
      </c>
      <c r="AJ2488">
        <v>105.31522498114199</v>
      </c>
      <c r="AK2488">
        <v>9.7272599868232401</v>
      </c>
      <c r="AL2488">
        <v>68.827895166611398</v>
      </c>
      <c r="AM2488">
        <v>103.996441263474</v>
      </c>
      <c r="AN2488">
        <v>0.99999996195170904</v>
      </c>
    </row>
    <row r="2489" spans="1:40" x14ac:dyDescent="0.25">
      <c r="A2489" t="str">
        <f>"20190304164418629"</f>
        <v>20190304164418629</v>
      </c>
      <c r="B2489" t="str">
        <f>"1551689058622184"</f>
        <v>1551689058622184</v>
      </c>
      <c r="C2489" t="s">
        <v>40</v>
      </c>
      <c r="D2489">
        <v>5.1356279999999996</v>
      </c>
      <c r="E2489">
        <v>0.49628929999999999</v>
      </c>
      <c r="F2489" t="s">
        <v>47</v>
      </c>
      <c r="G2489">
        <v>-484.92500000000001</v>
      </c>
      <c r="H2489" s="1">
        <v>1.9677240000000001E-6</v>
      </c>
      <c r="I2489">
        <v>277.70819999999998</v>
      </c>
      <c r="J2489">
        <v>-477.44240000000002</v>
      </c>
      <c r="K2489">
        <v>1.1203829999999999</v>
      </c>
      <c r="L2489">
        <v>282.41649999999998</v>
      </c>
      <c r="M2489">
        <v>-0.9469571</v>
      </c>
      <c r="N2489">
        <v>-2.02572E-2</v>
      </c>
      <c r="O2489">
        <v>-0.32072119999999998</v>
      </c>
      <c r="P2489">
        <v>-0.79229059999999996</v>
      </c>
      <c r="Q2489">
        <v>0.3494775</v>
      </c>
      <c r="R2489">
        <v>-0.50014139999999996</v>
      </c>
      <c r="S2489">
        <v>-2.8486020000000001</v>
      </c>
      <c r="T2489">
        <v>-0.41083599999999998</v>
      </c>
      <c r="U2489">
        <v>-1.7655029999999901</v>
      </c>
      <c r="V2489">
        <v>-0.22737769999999999</v>
      </c>
      <c r="W2489">
        <v>0.36307289999999998</v>
      </c>
      <c r="X2489">
        <v>0.90359149999999999</v>
      </c>
      <c r="Y2489">
        <v>-0.22598760000000001</v>
      </c>
      <c r="Z2489">
        <v>1.724038E-2</v>
      </c>
      <c r="AA2489">
        <v>0.9739776</v>
      </c>
      <c r="AB2489">
        <v>30</v>
      </c>
      <c r="AC2489">
        <v>-7.4825999999999899</v>
      </c>
      <c r="AD2489">
        <v>-1.1203810322759999</v>
      </c>
      <c r="AE2489">
        <v>-4.7083000000000004</v>
      </c>
      <c r="AF2489">
        <v>-2.0266035552139399</v>
      </c>
      <c r="AG2489">
        <v>-1.1203810322759999</v>
      </c>
      <c r="AH2489">
        <v>8.4616176394327507</v>
      </c>
      <c r="AI2489">
        <v>97.337358517330998</v>
      </c>
      <c r="AJ2489">
        <v>103.468937983738</v>
      </c>
      <c r="AK2489">
        <v>8.7727617489276994</v>
      </c>
      <c r="AL2489">
        <v>68.710967949178297</v>
      </c>
      <c r="AM2489">
        <v>104.124523859793</v>
      </c>
      <c r="AN2489">
        <v>1.0000000740219701</v>
      </c>
    </row>
    <row r="2490" spans="1:40" x14ac:dyDescent="0.25">
      <c r="A2490" t="str">
        <f>"20190304164418650"</f>
        <v>20190304164418650</v>
      </c>
      <c r="B2490" t="str">
        <f>"1551689058642680"</f>
        <v>1551689058642680</v>
      </c>
      <c r="C2490" t="s">
        <v>40</v>
      </c>
      <c r="D2490">
        <v>5.217835</v>
      </c>
      <c r="E2490">
        <v>0.46657700000000002</v>
      </c>
      <c r="F2490" t="s">
        <v>47</v>
      </c>
      <c r="G2490">
        <v>-485.2201</v>
      </c>
      <c r="H2490" s="1">
        <v>1.9320680000000001E-6</v>
      </c>
      <c r="I2490">
        <v>277.45929999999998</v>
      </c>
      <c r="J2490">
        <v>-477.70429999999999</v>
      </c>
      <c r="K2490">
        <v>1.1206179999999999</v>
      </c>
      <c r="L2490">
        <v>282.31560000000002</v>
      </c>
      <c r="M2490">
        <v>-0.94332090000000002</v>
      </c>
      <c r="N2490">
        <v>-2.0165800000000001E-2</v>
      </c>
      <c r="O2490">
        <v>-0.33126889999999998</v>
      </c>
      <c r="P2490">
        <v>-0.78540180000000004</v>
      </c>
      <c r="Q2490">
        <v>0.351137799999999</v>
      </c>
      <c r="R2490">
        <v>-0.50975139999999997</v>
      </c>
      <c r="S2490">
        <v>-2.8283079999999998</v>
      </c>
      <c r="T2490">
        <v>-0.4074198</v>
      </c>
      <c r="U2490">
        <v>-1.802673</v>
      </c>
      <c r="V2490">
        <v>-0.2287931</v>
      </c>
      <c r="W2490">
        <v>0.36447380000000001</v>
      </c>
      <c r="X2490">
        <v>0.90266970000000002</v>
      </c>
      <c r="Y2490">
        <v>-0.22743749999999999</v>
      </c>
      <c r="Z2490">
        <v>1.806781E-2</v>
      </c>
      <c r="AA2490">
        <v>0.97362510000000002</v>
      </c>
      <c r="AB2490">
        <v>30</v>
      </c>
      <c r="AC2490">
        <v>-7.5158000000000103</v>
      </c>
      <c r="AD2490">
        <v>-1.1206160679320001</v>
      </c>
      <c r="AE2490">
        <v>-4.8563000000000303</v>
      </c>
      <c r="AF2490">
        <v>-2.0594250786022998</v>
      </c>
      <c r="AG2490">
        <v>-1.1206160679320001</v>
      </c>
      <c r="AH2490">
        <v>8.5659780369989509</v>
      </c>
      <c r="AI2490">
        <v>97.248940720728996</v>
      </c>
      <c r="AJ2490">
        <v>103.518438184202</v>
      </c>
      <c r="AK2490">
        <v>8.8810467714358907</v>
      </c>
      <c r="AL2490">
        <v>68.624797183205203</v>
      </c>
      <c r="AM2490">
        <v>104.222818452496</v>
      </c>
      <c r="AN2490">
        <v>1.00000001039607</v>
      </c>
    </row>
    <row r="2491" spans="1:40" x14ac:dyDescent="0.25">
      <c r="A2491" t="str">
        <f>"20190304164418671"</f>
        <v>20190304164418671</v>
      </c>
      <c r="B2491" t="str">
        <f>"1551689058662200"</f>
        <v>1551689058662200</v>
      </c>
      <c r="C2491" t="s">
        <v>40</v>
      </c>
      <c r="D2491">
        <v>5.1458870000000001</v>
      </c>
      <c r="E2491">
        <v>0.39511049999999998</v>
      </c>
      <c r="F2491" t="s">
        <v>47</v>
      </c>
      <c r="G2491">
        <v>-489.98579999999998</v>
      </c>
      <c r="H2491" s="1">
        <v>1.175407E-6</v>
      </c>
      <c r="I2491">
        <v>272.94139999999999</v>
      </c>
      <c r="J2491">
        <v>-477.96899999999999</v>
      </c>
      <c r="K2491">
        <v>1.120833</v>
      </c>
      <c r="L2491">
        <v>282.20999999999998</v>
      </c>
      <c r="M2491">
        <v>-0.93938540000000004</v>
      </c>
      <c r="N2491">
        <v>-2.0079739999999999E-2</v>
      </c>
      <c r="O2491">
        <v>-0.3422751</v>
      </c>
      <c r="P2491">
        <v>-0.7786594</v>
      </c>
      <c r="Q2491">
        <v>0.35118519999999998</v>
      </c>
      <c r="R2491">
        <v>-0.51996049999999905</v>
      </c>
      <c r="S2491">
        <v>-2.6259459999999999</v>
      </c>
      <c r="T2491">
        <v>-0.23960239999999999</v>
      </c>
      <c r="U2491">
        <v>-2.0043329999999999</v>
      </c>
      <c r="V2491">
        <v>-0.2302476</v>
      </c>
      <c r="W2491">
        <v>0.3642784</v>
      </c>
      <c r="X2491">
        <v>0.90237869999999998</v>
      </c>
      <c r="Y2491">
        <v>-0.29743750000000002</v>
      </c>
      <c r="Z2491">
        <v>4.6945520000000003E-3</v>
      </c>
      <c r="AA2491">
        <v>0.95472970000000001</v>
      </c>
      <c r="AB2491">
        <v>30</v>
      </c>
      <c r="AC2491">
        <v>-12.0167999999999</v>
      </c>
      <c r="AD2491">
        <v>-1.120831824593</v>
      </c>
      <c r="AE2491">
        <v>-9.2685999999999904</v>
      </c>
      <c r="AF2491">
        <v>-4.5697352845677699</v>
      </c>
      <c r="AG2491">
        <v>-1.120831824593</v>
      </c>
      <c r="AH2491">
        <v>14.3852642878925</v>
      </c>
      <c r="AI2491">
        <v>94.246903519480199</v>
      </c>
      <c r="AJ2491">
        <v>107.6233767799</v>
      </c>
      <c r="AK2491">
        <v>15.1352097171648</v>
      </c>
      <c r="AL2491">
        <v>68.6368193579451</v>
      </c>
      <c r="AM2491">
        <v>104.31395948192799</v>
      </c>
      <c r="AN2491">
        <v>1.0000000141130001</v>
      </c>
    </row>
    <row r="2492" spans="1:40" x14ac:dyDescent="0.25">
      <c r="A2492" t="str">
        <f>"20190304164418696"</f>
        <v>20190304164418696</v>
      </c>
      <c r="B2492" t="str">
        <f>"1551689058692455"</f>
        <v>1551689058692455</v>
      </c>
      <c r="C2492" t="s">
        <v>40</v>
      </c>
      <c r="D2492">
        <v>5.1234270000000004</v>
      </c>
      <c r="E2492">
        <v>0.39316230000000002</v>
      </c>
      <c r="F2492" t="s">
        <v>41</v>
      </c>
      <c r="G2492">
        <v>-478.6155</v>
      </c>
      <c r="H2492">
        <v>1.032724</v>
      </c>
      <c r="I2492">
        <v>281.50290000000001</v>
      </c>
      <c r="J2492">
        <v>-478.2432</v>
      </c>
      <c r="K2492">
        <v>1.1210450000000001</v>
      </c>
      <c r="L2492">
        <v>282.09609999999998</v>
      </c>
      <c r="M2492">
        <v>-0.93500380000000005</v>
      </c>
      <c r="N2492">
        <v>-1.9977129999999999E-2</v>
      </c>
      <c r="O2492">
        <v>-0.35407450000000001</v>
      </c>
      <c r="P2492">
        <v>-0.77136640000000001</v>
      </c>
      <c r="Q2492">
        <v>0.35018949999999999</v>
      </c>
      <c r="R2492">
        <v>-0.53137699999999999</v>
      </c>
      <c r="S2492">
        <v>-2.308411</v>
      </c>
      <c r="T2492">
        <v>-0.31458340000000001</v>
      </c>
      <c r="U2492">
        <v>-2.5252080000000001</v>
      </c>
      <c r="V2492">
        <v>-0.23222010000000001</v>
      </c>
      <c r="W2492">
        <v>0.36301739999999999</v>
      </c>
      <c r="X2492">
        <v>0.9023814</v>
      </c>
      <c r="Y2492">
        <v>-0.44999070000000002</v>
      </c>
      <c r="Z2492">
        <v>5.7792849999999997E-4</v>
      </c>
      <c r="AA2492">
        <v>0.89303310000000002</v>
      </c>
      <c r="AB2492">
        <v>30</v>
      </c>
      <c r="AC2492">
        <v>-0.37229999999999502</v>
      </c>
      <c r="AD2492">
        <v>-8.8321000000000094E-2</v>
      </c>
      <c r="AE2492">
        <v>-0.59319999999996698</v>
      </c>
      <c r="AF2492">
        <v>-0.416286287408839</v>
      </c>
      <c r="AG2492">
        <v>-8.8321000000000094E-2</v>
      </c>
      <c r="AH2492">
        <v>0.54951114012018698</v>
      </c>
      <c r="AI2492">
        <v>97.300676394594703</v>
      </c>
      <c r="AJ2492">
        <v>127.14602218215801</v>
      </c>
      <c r="AK2492">
        <v>0.69502328395660395</v>
      </c>
      <c r="AL2492">
        <v>68.714379044395599</v>
      </c>
      <c r="AM2492">
        <v>104.43144317709201</v>
      </c>
      <c r="AN2492">
        <v>0.99999999930636496</v>
      </c>
    </row>
    <row r="2493" spans="1:40" x14ac:dyDescent="0.25">
      <c r="A2493" t="str">
        <f>"20190304164418718"</f>
        <v>20190304164418718</v>
      </c>
      <c r="B2493" t="str">
        <f>"1551689058711975"</f>
        <v>1551689058711975</v>
      </c>
      <c r="C2493" t="s">
        <v>40</v>
      </c>
      <c r="D2493">
        <v>5.1000920000000001</v>
      </c>
      <c r="E2493">
        <v>0.39408989999999999</v>
      </c>
      <c r="F2493" t="s">
        <v>41</v>
      </c>
      <c r="G2493">
        <v>-478.95839999999998</v>
      </c>
      <c r="H2493">
        <v>1.018559</v>
      </c>
      <c r="I2493">
        <v>281.28660000000002</v>
      </c>
      <c r="J2493">
        <v>-478.52010000000001</v>
      </c>
      <c r="K2493">
        <v>1.1212390000000001</v>
      </c>
      <c r="L2493">
        <v>281.97629999999998</v>
      </c>
      <c r="M2493">
        <v>-0.93024410000000002</v>
      </c>
      <c r="N2493">
        <v>-1.982014E-2</v>
      </c>
      <c r="O2493">
        <v>-0.36640600000000001</v>
      </c>
      <c r="P2493">
        <v>-0.76319539999999997</v>
      </c>
      <c r="Q2493">
        <v>0.35058</v>
      </c>
      <c r="R2493">
        <v>-0.54279509999999997</v>
      </c>
      <c r="S2493">
        <v>-2.2678219999999998</v>
      </c>
      <c r="T2493">
        <v>-0.32495059999999998</v>
      </c>
      <c r="U2493">
        <v>-2.5678100000000001</v>
      </c>
      <c r="V2493">
        <v>-0.23399819999999999</v>
      </c>
      <c r="W2493">
        <v>0.36309019999999997</v>
      </c>
      <c r="X2493">
        <v>0.90189269999999999</v>
      </c>
      <c r="Y2493">
        <v>-0.45345220000000003</v>
      </c>
      <c r="Z2493">
        <v>1.8833750000000001E-3</v>
      </c>
      <c r="AA2493">
        <v>0.89127860000000003</v>
      </c>
      <c r="AB2493">
        <v>29</v>
      </c>
      <c r="AC2493">
        <v>-0.43829999999996899</v>
      </c>
      <c r="AD2493">
        <v>-0.10267999999999899</v>
      </c>
      <c r="AE2493">
        <v>-0.68969999999995901</v>
      </c>
      <c r="AF2493">
        <v>-0.47361063058360697</v>
      </c>
      <c r="AG2493">
        <v>-0.10267999999999899</v>
      </c>
      <c r="AH2493">
        <v>0.65029889105418104</v>
      </c>
      <c r="AI2493">
        <v>97.273590911080404</v>
      </c>
      <c r="AJ2493">
        <v>126.06573302558</v>
      </c>
      <c r="AK2493">
        <v>0.81101101071939796</v>
      </c>
      <c r="AL2493">
        <v>68.709903523108807</v>
      </c>
      <c r="AM2493">
        <v>104.544822253731</v>
      </c>
      <c r="AN2493">
        <v>1.0000000466262799</v>
      </c>
    </row>
    <row r="2494" spans="1:40" x14ac:dyDescent="0.25">
      <c r="A2494" t="str">
        <f>"20190304164418740"</f>
        <v>20190304164418740</v>
      </c>
      <c r="B2494" t="str">
        <f>"1551689058732472"</f>
        <v>1551689058732472</v>
      </c>
      <c r="C2494" t="s">
        <v>40</v>
      </c>
      <c r="D2494">
        <v>5.1108260000000003</v>
      </c>
      <c r="E2494">
        <v>0.39558890000000002</v>
      </c>
      <c r="F2494" t="s">
        <v>41</v>
      </c>
      <c r="G2494">
        <v>-479.19589999999999</v>
      </c>
      <c r="H2494">
        <v>1.021247</v>
      </c>
      <c r="I2494">
        <v>281.19319999999999</v>
      </c>
      <c r="J2494">
        <v>-478.76659999999998</v>
      </c>
      <c r="K2494">
        <v>1.1213759999999999</v>
      </c>
      <c r="L2494">
        <v>281.86579999999998</v>
      </c>
      <c r="M2494">
        <v>-0.92574109999999998</v>
      </c>
      <c r="N2494">
        <v>-1.9619020000000001E-2</v>
      </c>
      <c r="O2494">
        <v>-0.3776487</v>
      </c>
      <c r="P2494">
        <v>-0.75535430000000003</v>
      </c>
      <c r="Q2494">
        <v>0.35225479999999998</v>
      </c>
      <c r="R2494">
        <v>-0.55259040000000004</v>
      </c>
      <c r="S2494">
        <v>-2.237946</v>
      </c>
      <c r="T2494">
        <v>-0.3311635</v>
      </c>
      <c r="U2494">
        <v>-2.5941770000000002</v>
      </c>
      <c r="V2494">
        <v>-0.23519780000000001</v>
      </c>
      <c r="W2494">
        <v>0.36443789999999998</v>
      </c>
      <c r="X2494">
        <v>0.90103670000000002</v>
      </c>
      <c r="Y2494">
        <v>-0.45303490000000002</v>
      </c>
      <c r="Z2494">
        <v>3.2756460000000001E-3</v>
      </c>
      <c r="AA2494">
        <v>0.89148680000000002</v>
      </c>
      <c r="AB2494">
        <v>29</v>
      </c>
      <c r="AC2494">
        <v>-0.42930000000001201</v>
      </c>
      <c r="AD2494">
        <v>-0.100128999999999</v>
      </c>
      <c r="AE2494">
        <v>-0.67259999999998799</v>
      </c>
      <c r="AF2494">
        <v>-0.45347671956329499</v>
      </c>
      <c r="AG2494">
        <v>-0.100128999999999</v>
      </c>
      <c r="AH2494">
        <v>0.64145175428394396</v>
      </c>
      <c r="AI2494">
        <v>97.263880143447295</v>
      </c>
      <c r="AJ2494">
        <v>125.258543687588</v>
      </c>
      <c r="AK2494">
        <v>0.79191369788685695</v>
      </c>
      <c r="AL2494">
        <v>68.6270071682451</v>
      </c>
      <c r="AM2494">
        <v>104.629491510268</v>
      </c>
      <c r="AN2494">
        <v>1.0000000614140601</v>
      </c>
    </row>
    <row r="2495" spans="1:40" x14ac:dyDescent="0.25">
      <c r="A2495" t="str">
        <f>"20190304164418761"</f>
        <v>20190304164418761</v>
      </c>
      <c r="B2495" t="str">
        <f>"1551689058751992"</f>
        <v>1551689058751992</v>
      </c>
      <c r="C2495" t="s">
        <v>40</v>
      </c>
      <c r="D2495">
        <v>5.1115719999999998</v>
      </c>
      <c r="E2495">
        <v>0.3974221</v>
      </c>
      <c r="F2495" t="s">
        <v>41</v>
      </c>
      <c r="G2495">
        <v>-479.42540000000002</v>
      </c>
      <c r="H2495">
        <v>1.0223850000000001</v>
      </c>
      <c r="I2495">
        <v>281.08789999999999</v>
      </c>
      <c r="J2495">
        <v>-479.0213</v>
      </c>
      <c r="K2495">
        <v>1.121491</v>
      </c>
      <c r="L2495">
        <v>281.74759999999998</v>
      </c>
      <c r="M2495">
        <v>-0.92081780000000002</v>
      </c>
      <c r="N2495">
        <v>-1.9361420000000001E-2</v>
      </c>
      <c r="O2495">
        <v>-0.38951269999999999</v>
      </c>
      <c r="P2495">
        <v>-0.74725769999999903</v>
      </c>
      <c r="Q2495">
        <v>0.35423270000000001</v>
      </c>
      <c r="R2495">
        <v>-0.56225119999999995</v>
      </c>
      <c r="S2495">
        <v>-2.213654</v>
      </c>
      <c r="T2495">
        <v>-0.33259260000000002</v>
      </c>
      <c r="U2495">
        <v>-2.6150509999999998</v>
      </c>
      <c r="V2495">
        <v>-0.23574970000000001</v>
      </c>
      <c r="W2495">
        <v>0.36606379999999999</v>
      </c>
      <c r="X2495">
        <v>0.90023299999999995</v>
      </c>
      <c r="Y2495">
        <v>-0.44997189999999998</v>
      </c>
      <c r="Z2495">
        <v>4.745455E-3</v>
      </c>
      <c r="AA2495">
        <v>0.8930302</v>
      </c>
      <c r="AB2495">
        <v>29</v>
      </c>
      <c r="AC2495">
        <v>-0.40410000000002799</v>
      </c>
      <c r="AD2495">
        <v>-9.9105999999999903E-2</v>
      </c>
      <c r="AE2495">
        <v>-0.65969999999998596</v>
      </c>
      <c r="AF2495">
        <v>-0.44287763816582099</v>
      </c>
      <c r="AG2495">
        <v>-9.9105999999999903E-2</v>
      </c>
      <c r="AH2495">
        <v>0.61902301852069597</v>
      </c>
      <c r="AI2495">
        <v>97.418618326074693</v>
      </c>
      <c r="AJ2495">
        <v>125.581679687828</v>
      </c>
      <c r="AK2495">
        <v>0.76756243985868</v>
      </c>
      <c r="AL2495">
        <v>68.526935470726997</v>
      </c>
      <c r="AM2495">
        <v>104.674867822732</v>
      </c>
      <c r="AN2495">
        <v>1.00000004050476</v>
      </c>
    </row>
    <row r="2496" spans="1:40" x14ac:dyDescent="0.25">
      <c r="A2496" t="str">
        <f>"20190304164418784"</f>
        <v>20190304164418784</v>
      </c>
      <c r="B2496" t="str">
        <f>"1551689058772488"</f>
        <v>1551689058772488</v>
      </c>
      <c r="C2496" t="s">
        <v>40</v>
      </c>
      <c r="D2496">
        <v>5.0956869999999999</v>
      </c>
      <c r="E2496">
        <v>0.39874850000000001</v>
      </c>
      <c r="F2496" t="s">
        <v>41</v>
      </c>
      <c r="G2496">
        <v>-479.65600000000001</v>
      </c>
      <c r="H2496">
        <v>1.0256719999999999</v>
      </c>
      <c r="I2496">
        <v>280.98360000000002</v>
      </c>
      <c r="J2496">
        <v>-479.28160000000003</v>
      </c>
      <c r="K2496">
        <v>1.1215649999999999</v>
      </c>
      <c r="L2496">
        <v>281.62240000000003</v>
      </c>
      <c r="M2496">
        <v>-0.91548350000000001</v>
      </c>
      <c r="N2496">
        <v>-1.9021860000000002E-2</v>
      </c>
      <c r="O2496">
        <v>-0.40190569999999998</v>
      </c>
      <c r="P2496">
        <v>-0.73842280000000005</v>
      </c>
      <c r="Q2496">
        <v>0.35579250000000001</v>
      </c>
      <c r="R2496">
        <v>-0.57283809999999902</v>
      </c>
      <c r="S2496">
        <v>-2.1885379999999999</v>
      </c>
      <c r="T2496">
        <v>-0.33042840000000001</v>
      </c>
      <c r="U2496">
        <v>-2.6351930000000001</v>
      </c>
      <c r="V2496">
        <v>-0.23689450000000001</v>
      </c>
      <c r="W2496">
        <v>0.36719160000000001</v>
      </c>
      <c r="X2496">
        <v>0.89947279999999996</v>
      </c>
      <c r="Y2496">
        <v>-0.44639099999999998</v>
      </c>
      <c r="Z2496">
        <v>6.175229E-3</v>
      </c>
      <c r="AA2496">
        <v>0.89481679999999997</v>
      </c>
      <c r="AB2496">
        <v>29</v>
      </c>
      <c r="AC2496">
        <v>-0.37439999999998003</v>
      </c>
      <c r="AD2496">
        <v>-9.5892999999999895E-2</v>
      </c>
      <c r="AE2496">
        <v>-0.63880000000000303</v>
      </c>
      <c r="AF2496">
        <v>-0.42724982746145801</v>
      </c>
      <c r="AG2496">
        <v>-9.5892999999999895E-2</v>
      </c>
      <c r="AH2496">
        <v>0.58971180505162502</v>
      </c>
      <c r="AI2496">
        <v>97.501639083318693</v>
      </c>
      <c r="AJ2496">
        <v>125.92356055060699</v>
      </c>
      <c r="AK2496">
        <v>0.73450520456433299</v>
      </c>
      <c r="AL2496">
        <v>68.457480023891804</v>
      </c>
      <c r="AM2496">
        <v>104.754948654137</v>
      </c>
      <c r="AN2496">
        <v>0.99999999659032501</v>
      </c>
    </row>
    <row r="2497" spans="1:40" x14ac:dyDescent="0.25">
      <c r="A2497" t="str">
        <f>"20190304164418807"</f>
        <v>20190304164418807</v>
      </c>
      <c r="B2497" t="str">
        <f>"1551689058802744"</f>
        <v>1551689058802744</v>
      </c>
      <c r="C2497" t="s">
        <v>40</v>
      </c>
      <c r="D2497">
        <v>5.1050259999999996</v>
      </c>
      <c r="E2497">
        <v>0.4012037</v>
      </c>
      <c r="F2497" t="s">
        <v>41</v>
      </c>
      <c r="G2497">
        <v>-479.88560000000001</v>
      </c>
      <c r="H2497">
        <v>1.02952</v>
      </c>
      <c r="I2497">
        <v>280.87740000000002</v>
      </c>
      <c r="J2497">
        <v>-479.54070000000002</v>
      </c>
      <c r="K2497">
        <v>1.1216299999999999</v>
      </c>
      <c r="L2497">
        <v>281.49329999999998</v>
      </c>
      <c r="M2497">
        <v>-0.90987180000000001</v>
      </c>
      <c r="N2497">
        <v>-1.8651190000000002E-2</v>
      </c>
      <c r="O2497">
        <v>-0.41447020000000001</v>
      </c>
      <c r="P2497">
        <v>-0.72891349999999999</v>
      </c>
      <c r="Q2497">
        <v>0.35679090000000002</v>
      </c>
      <c r="R2497">
        <v>-0.58428179999999996</v>
      </c>
      <c r="S2497">
        <v>-2.1571660000000001</v>
      </c>
      <c r="T2497">
        <v>-0.32868249999999999</v>
      </c>
      <c r="U2497">
        <v>-2.6605530000000002</v>
      </c>
      <c r="V2497">
        <v>-0.2388904</v>
      </c>
      <c r="W2497">
        <v>0.36771569999999998</v>
      </c>
      <c r="X2497">
        <v>0.89873049999999999</v>
      </c>
      <c r="Y2497">
        <v>-0.44468419999999997</v>
      </c>
      <c r="Z2497">
        <v>7.5363849999999996E-3</v>
      </c>
      <c r="AA2497">
        <v>0.89565569999999906</v>
      </c>
      <c r="AB2497">
        <v>29</v>
      </c>
      <c r="AC2497">
        <v>-0.34489999999999499</v>
      </c>
      <c r="AD2497">
        <v>-9.21099999999999E-2</v>
      </c>
      <c r="AE2497">
        <v>-0.61589999999995304</v>
      </c>
      <c r="AF2497">
        <v>-0.410522006863908</v>
      </c>
      <c r="AG2497">
        <v>-9.21099999999999E-2</v>
      </c>
      <c r="AH2497">
        <v>0.55965680783029903</v>
      </c>
      <c r="AI2497">
        <v>97.559463060241399</v>
      </c>
      <c r="AJ2497">
        <v>126.260961510947</v>
      </c>
      <c r="AK2497">
        <v>0.70016306155807095</v>
      </c>
      <c r="AL2497">
        <v>68.4251922786802</v>
      </c>
      <c r="AM2497">
        <v>104.885513949009</v>
      </c>
      <c r="AN2497">
        <v>0.99999998543444901</v>
      </c>
    </row>
    <row r="2498" spans="1:40" x14ac:dyDescent="0.25">
      <c r="A2498" t="str">
        <f>"20190304164418829"</f>
        <v>20190304164418829</v>
      </c>
      <c r="B2498" t="str">
        <f>"1551689058822264"</f>
        <v>1551689058822264</v>
      </c>
      <c r="C2498" t="s">
        <v>40</v>
      </c>
      <c r="D2498">
        <v>5.0909149999999999</v>
      </c>
      <c r="E2498">
        <v>0.40165630000000002</v>
      </c>
      <c r="F2498" t="s">
        <v>41</v>
      </c>
      <c r="G2498">
        <v>-480.13819999999998</v>
      </c>
      <c r="H2498">
        <v>1.027504</v>
      </c>
      <c r="I2498">
        <v>280.74200000000002</v>
      </c>
      <c r="J2498">
        <v>-479.7944</v>
      </c>
      <c r="K2498">
        <v>1.12169599999999</v>
      </c>
      <c r="L2498">
        <v>281.36250000000001</v>
      </c>
      <c r="M2498">
        <v>-0.90408460000000002</v>
      </c>
      <c r="N2498">
        <v>-1.8294919999999999E-2</v>
      </c>
      <c r="O2498">
        <v>-0.42696200000000001</v>
      </c>
      <c r="P2498">
        <v>-0.7203794</v>
      </c>
      <c r="Q2498">
        <v>0.3573017</v>
      </c>
      <c r="R2498">
        <v>-0.59446569999999899</v>
      </c>
      <c r="S2498">
        <v>-2.1315</v>
      </c>
      <c r="T2498">
        <v>-0.3358082</v>
      </c>
      <c r="U2498">
        <v>-2.6804809999999999</v>
      </c>
      <c r="V2498">
        <v>-0.2393643</v>
      </c>
      <c r="W2498">
        <v>0.36782179999999998</v>
      </c>
      <c r="X2498">
        <v>0.898561099999999</v>
      </c>
      <c r="Y2498">
        <v>-0.44089080000000003</v>
      </c>
      <c r="Z2498">
        <v>9.5641719999999993E-3</v>
      </c>
      <c r="AA2498">
        <v>0.89750980000000002</v>
      </c>
      <c r="AB2498">
        <v>29</v>
      </c>
      <c r="AC2498">
        <v>-0.343799999999987</v>
      </c>
      <c r="AD2498">
        <v>-9.4191999999999595E-2</v>
      </c>
      <c r="AE2498">
        <v>-0.62049999999999195</v>
      </c>
      <c r="AF2498">
        <v>-0.40708699041247498</v>
      </c>
      <c r="AG2498">
        <v>-9.4191999999999595E-2</v>
      </c>
      <c r="AH2498">
        <v>0.56587373218857295</v>
      </c>
      <c r="AI2498">
        <v>97.695309170154403</v>
      </c>
      <c r="AJ2498">
        <v>125.731068582727</v>
      </c>
      <c r="AK2498">
        <v>0.70342379218228801</v>
      </c>
      <c r="AL2498">
        <v>68.418657590520596</v>
      </c>
      <c r="AM2498">
        <v>104.91641480858701</v>
      </c>
      <c r="AN2498">
        <v>1.00000009755146</v>
      </c>
    </row>
    <row r="2499" spans="1:40" x14ac:dyDescent="0.25">
      <c r="A2499" t="str">
        <f>"20190304164418851"</f>
        <v>20190304164418851</v>
      </c>
      <c r="B2499" t="str">
        <f>"1551689058842760"</f>
        <v>1551689058842760</v>
      </c>
      <c r="C2499" t="s">
        <v>40</v>
      </c>
      <c r="D2499">
        <v>5.0790480000000002</v>
      </c>
      <c r="E2499">
        <v>0.40244360000000001</v>
      </c>
      <c r="F2499" t="s">
        <v>41</v>
      </c>
      <c r="G2499">
        <v>-480.39210000000003</v>
      </c>
      <c r="H2499">
        <v>1.027182</v>
      </c>
      <c r="I2499">
        <v>280.58980000000003</v>
      </c>
      <c r="J2499">
        <v>-480.03750000000002</v>
      </c>
      <c r="K2499">
        <v>1.121766</v>
      </c>
      <c r="L2499">
        <v>281.2328</v>
      </c>
      <c r="M2499">
        <v>-0.8982443</v>
      </c>
      <c r="N2499">
        <v>-1.796992E-2</v>
      </c>
      <c r="O2499">
        <v>-0.4391293</v>
      </c>
      <c r="P2499">
        <v>-0.71252349999999998</v>
      </c>
      <c r="Q2499">
        <v>0.35647909999999999</v>
      </c>
      <c r="R2499">
        <v>-0.60434560000000004</v>
      </c>
      <c r="S2499">
        <v>-2.094147</v>
      </c>
      <c r="T2499">
        <v>-0.3311595</v>
      </c>
      <c r="U2499">
        <v>-2.7078549999999999</v>
      </c>
      <c r="V2499">
        <v>-0.23952200000000001</v>
      </c>
      <c r="W2499">
        <v>0.366645</v>
      </c>
      <c r="X2499">
        <v>0.89899979999999902</v>
      </c>
      <c r="Y2499">
        <v>-0.44097619999999998</v>
      </c>
      <c r="Z2499">
        <v>1.0594009999999999E-2</v>
      </c>
      <c r="AA2499">
        <v>0.89745629999999998</v>
      </c>
      <c r="AB2499">
        <v>29</v>
      </c>
      <c r="AC2499">
        <v>-0.35460000000000402</v>
      </c>
      <c r="AD2499">
        <v>-9.4584000000000001E-2</v>
      </c>
      <c r="AE2499">
        <v>-0.64299999999997204</v>
      </c>
      <c r="AF2499">
        <v>-0.41503768388569101</v>
      </c>
      <c r="AG2499">
        <v>-9.4584000000000001E-2</v>
      </c>
      <c r="AH2499">
        <v>0.59116601844060102</v>
      </c>
      <c r="AI2499">
        <v>97.460224717633906</v>
      </c>
      <c r="AJ2499">
        <v>125.07139605259501</v>
      </c>
      <c r="AK2499">
        <v>0.72847764101591395</v>
      </c>
      <c r="AL2499">
        <v>68.491145898934505</v>
      </c>
      <c r="AM2499">
        <v>104.91884494848399</v>
      </c>
      <c r="AN2499">
        <v>0.99999999245451998</v>
      </c>
    </row>
    <row r="2500" spans="1:40" x14ac:dyDescent="0.25">
      <c r="A2500" t="str">
        <f>"20190304164418873"</f>
        <v>20190304164418873</v>
      </c>
      <c r="B2500" t="str">
        <f>"1551689058862280"</f>
        <v>1551689058862280</v>
      </c>
      <c r="C2500" t="s">
        <v>40</v>
      </c>
      <c r="D2500">
        <v>5.09368</v>
      </c>
      <c r="E2500">
        <v>0.40344000000000002</v>
      </c>
      <c r="F2500" t="s">
        <v>47</v>
      </c>
      <c r="G2500">
        <v>-486.99380000000002</v>
      </c>
      <c r="H2500" s="1">
        <v>5.7969309999999999E-7</v>
      </c>
      <c r="I2500">
        <v>271.99979999999999</v>
      </c>
      <c r="J2500">
        <v>-480.28629999999998</v>
      </c>
      <c r="K2500">
        <v>1.12185</v>
      </c>
      <c r="L2500">
        <v>281.09550000000002</v>
      </c>
      <c r="M2500">
        <v>-0.89196369999999903</v>
      </c>
      <c r="N2500">
        <v>-1.765949E-2</v>
      </c>
      <c r="O2500">
        <v>-0.4517621</v>
      </c>
      <c r="P2500">
        <v>-0.703287199999999</v>
      </c>
      <c r="Q2500">
        <v>0.35608099999999998</v>
      </c>
      <c r="R2500">
        <v>-0.6152995</v>
      </c>
      <c r="S2500">
        <v>-2.0587770000000001</v>
      </c>
      <c r="T2500">
        <v>-0.3319935</v>
      </c>
      <c r="U2500">
        <v>-2.7325439999999999</v>
      </c>
      <c r="V2500">
        <v>-0.24075640000000001</v>
      </c>
      <c r="W2500">
        <v>0.36586639999999998</v>
      </c>
      <c r="X2500">
        <v>0.89898729999999905</v>
      </c>
      <c r="Y2500">
        <v>-0.43966899999999998</v>
      </c>
      <c r="Z2500">
        <v>1.21081E-2</v>
      </c>
      <c r="AA2500">
        <v>0.8980783</v>
      </c>
      <c r="AB2500">
        <v>29</v>
      </c>
      <c r="AC2500">
        <v>-6.7075000000000404</v>
      </c>
      <c r="AD2500">
        <v>-1.1218494203068901</v>
      </c>
      <c r="AE2500">
        <v>-9.0957000000000203</v>
      </c>
      <c r="AF2500">
        <v>-5.0340282966127603</v>
      </c>
      <c r="AG2500">
        <v>-1.1218494203068901</v>
      </c>
      <c r="AH2500">
        <v>9.99502391287532</v>
      </c>
      <c r="AI2500">
        <v>95.724451317084601</v>
      </c>
      <c r="AJ2500">
        <v>116.73226823834401</v>
      </c>
      <c r="AK2500">
        <v>11.247243663755601</v>
      </c>
      <c r="AL2500">
        <v>68.539088199209999</v>
      </c>
      <c r="AM2500">
        <v>104.99247624463</v>
      </c>
      <c r="AN2500">
        <v>1.0000000161756</v>
      </c>
    </row>
    <row r="2501" spans="1:40" x14ac:dyDescent="0.25">
      <c r="A2501" t="str">
        <f>"20190304164418886"</f>
        <v>20190304164418886</v>
      </c>
      <c r="B2501" t="str">
        <f>"1551689058882776"</f>
        <v>1551689058882776</v>
      </c>
      <c r="C2501" t="s">
        <v>40</v>
      </c>
      <c r="D2501">
        <v>5.0706910000000001</v>
      </c>
      <c r="E2501">
        <v>0.40451160000000003</v>
      </c>
      <c r="F2501" t="s">
        <v>47</v>
      </c>
      <c r="G2501">
        <v>-487.06029999999998</v>
      </c>
      <c r="H2501" s="1">
        <v>5.37974E-7</v>
      </c>
      <c r="I2501">
        <v>271.86520000000002</v>
      </c>
      <c r="J2501">
        <v>-480.42059999999998</v>
      </c>
      <c r="K2501">
        <v>1.121901</v>
      </c>
      <c r="L2501">
        <v>281.01889999999997</v>
      </c>
      <c r="M2501">
        <v>-0.88842980000000005</v>
      </c>
      <c r="N2501">
        <v>-1.7507109999999999E-2</v>
      </c>
      <c r="O2501">
        <v>-0.4586789</v>
      </c>
      <c r="P2501">
        <v>-0.698021</v>
      </c>
      <c r="Q2501">
        <v>0.35619709999999899</v>
      </c>
      <c r="R2501">
        <v>-0.62120129999999996</v>
      </c>
      <c r="S2501">
        <v>-2.023285</v>
      </c>
      <c r="T2501">
        <v>-0.33507920000000002</v>
      </c>
      <c r="U2501">
        <v>-2.756958</v>
      </c>
      <c r="V2501">
        <v>-0.2414345</v>
      </c>
      <c r="W2501">
        <v>0.3657861</v>
      </c>
      <c r="X2501">
        <v>0.89883809999999997</v>
      </c>
      <c r="Y2501">
        <v>-0.44398500000000002</v>
      </c>
      <c r="Z2501">
        <v>1.282877E-2</v>
      </c>
      <c r="AA2501">
        <v>0.89594229999999997</v>
      </c>
      <c r="AB2501">
        <v>29</v>
      </c>
      <c r="AC2501">
        <v>-6.6397000000000004</v>
      </c>
      <c r="AD2501">
        <v>-1.121900462026</v>
      </c>
      <c r="AE2501">
        <v>-9.1536999999999509</v>
      </c>
      <c r="AF2501">
        <v>-5.0381190776620297</v>
      </c>
      <c r="AG2501">
        <v>-1.121900462026</v>
      </c>
      <c r="AH2501">
        <v>10.0006279391274</v>
      </c>
      <c r="AI2501">
        <v>95.721233795087798</v>
      </c>
      <c r="AJ2501">
        <v>116.738064006534</v>
      </c>
      <c r="AK2501">
        <v>11.2540598747408</v>
      </c>
      <c r="AL2501">
        <v>68.544031566307794</v>
      </c>
      <c r="AM2501">
        <v>105.035176594539</v>
      </c>
      <c r="AN2501">
        <v>1.0000000093775301</v>
      </c>
    </row>
    <row r="2502" spans="1:40" x14ac:dyDescent="0.25">
      <c r="A2502" t="str">
        <f>"20190304164418897"</f>
        <v>20190304164418897</v>
      </c>
      <c r="B2502" t="str">
        <f>"1551689058892537"</f>
        <v>1551689058892537</v>
      </c>
      <c r="C2502" t="s">
        <v>40</v>
      </c>
      <c r="D2502">
        <v>5.0692069999999996</v>
      </c>
      <c r="E2502">
        <v>0.40451160000000003</v>
      </c>
      <c r="F2502" t="s">
        <v>41</v>
      </c>
      <c r="G2502">
        <v>-480.9898</v>
      </c>
      <c r="H2502">
        <v>1.0264850000000001</v>
      </c>
      <c r="I2502">
        <v>280.23360000000002</v>
      </c>
      <c r="J2502">
        <v>-480.54570000000001</v>
      </c>
      <c r="K2502">
        <v>1.121947</v>
      </c>
      <c r="L2502">
        <v>280.947</v>
      </c>
      <c r="M2502">
        <v>-0.88507199999999997</v>
      </c>
      <c r="N2502">
        <v>-1.7368649999999999E-2</v>
      </c>
      <c r="O2502">
        <v>-0.46513009999999999</v>
      </c>
      <c r="P2502">
        <v>-0.69296849999999999</v>
      </c>
      <c r="Q2502">
        <v>0.35657909999999998</v>
      </c>
      <c r="R2502">
        <v>-0.62661519999999904</v>
      </c>
      <c r="S2502">
        <v>-2.0061650000000002</v>
      </c>
      <c r="T2502">
        <v>-0.3362907</v>
      </c>
      <c r="U2502">
        <v>-2.7679140000000002</v>
      </c>
      <c r="V2502">
        <v>-0.24204999999999999</v>
      </c>
      <c r="W2502">
        <v>0.3659866</v>
      </c>
      <c r="X2502">
        <v>0.89859089999999997</v>
      </c>
      <c r="Y2502">
        <v>-0.44281189999999998</v>
      </c>
      <c r="Z2502">
        <v>1.370043E-2</v>
      </c>
      <c r="AA2502">
        <v>0.89650980000000002</v>
      </c>
      <c r="AB2502">
        <v>29</v>
      </c>
      <c r="AC2502">
        <v>-0.444099999999991</v>
      </c>
      <c r="AD2502">
        <v>-9.5461999999999894E-2</v>
      </c>
      <c r="AE2502">
        <v>-0.71339999999997805</v>
      </c>
      <c r="AF2502">
        <v>-0.41949658780482202</v>
      </c>
      <c r="AG2502">
        <v>-9.5461999999999894E-2</v>
      </c>
      <c r="AH2502">
        <v>0.71575682258011397</v>
      </c>
      <c r="AI2502">
        <v>96.563917930277697</v>
      </c>
      <c r="AJ2502">
        <v>120.37406187833</v>
      </c>
      <c r="AK2502">
        <v>0.835103711938745</v>
      </c>
      <c r="AL2502">
        <v>68.531687625578201</v>
      </c>
      <c r="AM2502">
        <v>105.075722125887</v>
      </c>
      <c r="AN2502">
        <v>0.99999999972118403</v>
      </c>
    </row>
    <row r="2503" spans="1:40" x14ac:dyDescent="0.25">
      <c r="A2503" t="str">
        <f>"20190304164418911"</f>
        <v>20190304164418911</v>
      </c>
      <c r="B2503" t="str">
        <f>"1551689058902296"</f>
        <v>1551689058902296</v>
      </c>
      <c r="C2503" t="s">
        <v>40</v>
      </c>
      <c r="D2503">
        <v>5.0695730000000001</v>
      </c>
      <c r="E2503">
        <v>0.41998629999999998</v>
      </c>
      <c r="F2503" t="s">
        <v>41</v>
      </c>
      <c r="G2503">
        <v>-481.15429999999998</v>
      </c>
      <c r="H2503">
        <v>1.0191319999999999</v>
      </c>
      <c r="I2503">
        <v>280.09429999999998</v>
      </c>
      <c r="J2503">
        <v>-480.70339999999999</v>
      </c>
      <c r="K2503">
        <v>1.1219969999999999</v>
      </c>
      <c r="L2503">
        <v>280.85410000000002</v>
      </c>
      <c r="M2503">
        <v>-0.88071139999999903</v>
      </c>
      <c r="N2503">
        <v>-1.720611E-2</v>
      </c>
      <c r="O2503">
        <v>-0.4733407</v>
      </c>
      <c r="P2503">
        <v>-0.686758599999999</v>
      </c>
      <c r="Q2503">
        <v>0.35669650000000003</v>
      </c>
      <c r="R2503">
        <v>-0.63334799999999902</v>
      </c>
      <c r="S2503">
        <v>-1.9854430000000001</v>
      </c>
      <c r="T2503">
        <v>-0.33542820000000001</v>
      </c>
      <c r="U2503">
        <v>-2.782867</v>
      </c>
      <c r="V2503">
        <v>-0.24256649999999999</v>
      </c>
      <c r="W2503">
        <v>0.36589650000000001</v>
      </c>
      <c r="X2503">
        <v>0.89848830000000002</v>
      </c>
      <c r="Y2503">
        <v>-0.44121939999999998</v>
      </c>
      <c r="Z2503">
        <v>1.4618819999999999E-2</v>
      </c>
      <c r="AA2503">
        <v>0.89728019999999997</v>
      </c>
      <c r="AB2503">
        <v>29</v>
      </c>
      <c r="AC2503">
        <v>-0.45089999999998998</v>
      </c>
      <c r="AD2503">
        <v>-0.102864999999999</v>
      </c>
      <c r="AE2503">
        <v>-0.759800000000041</v>
      </c>
      <c r="AF2503">
        <v>-0.44970684281950402</v>
      </c>
      <c r="AG2503">
        <v>-0.102864999999999</v>
      </c>
      <c r="AH2503">
        <v>0.74674683133609998</v>
      </c>
      <c r="AI2503">
        <v>96.730040058996096</v>
      </c>
      <c r="AJ2503">
        <v>121.057246266736</v>
      </c>
      <c r="AK2503">
        <v>0.87775183441231996</v>
      </c>
      <c r="AL2503">
        <v>68.5372345256485</v>
      </c>
      <c r="AM2503">
        <v>105.108068939164</v>
      </c>
      <c r="AN2503">
        <v>0.99999999043569499</v>
      </c>
    </row>
    <row r="2504" spans="1:40" x14ac:dyDescent="0.25">
      <c r="A2504" t="str">
        <f>"20190304164418924"</f>
        <v>20190304164418924</v>
      </c>
      <c r="B2504" t="str">
        <f>"1551689058912058"</f>
        <v>1551689058912058</v>
      </c>
      <c r="C2504" t="s">
        <v>40</v>
      </c>
      <c r="D2504">
        <v>5.0793809999999997</v>
      </c>
      <c r="E2504">
        <v>0.42077290000000001</v>
      </c>
      <c r="F2504" t="s">
        <v>47</v>
      </c>
      <c r="G2504">
        <v>-487.15949999999998</v>
      </c>
      <c r="H2504" s="1">
        <v>6.9828559999999896E-7</v>
      </c>
      <c r="I2504">
        <v>272.29379999999998</v>
      </c>
      <c r="J2504">
        <v>-480.84280000000001</v>
      </c>
      <c r="K2504">
        <v>1.122047</v>
      </c>
      <c r="L2504">
        <v>280.77</v>
      </c>
      <c r="M2504">
        <v>-0.87674159999999901</v>
      </c>
      <c r="N2504">
        <v>-1.7073850000000002E-2</v>
      </c>
      <c r="O2504">
        <v>-0.4806588</v>
      </c>
      <c r="P2504">
        <v>-0.68126350000000002</v>
      </c>
      <c r="Q2504">
        <v>0.35669079999999997</v>
      </c>
      <c r="R2504">
        <v>-0.63925869999999996</v>
      </c>
      <c r="S2504">
        <v>-2.0484010000000001</v>
      </c>
      <c r="T2504">
        <v>-0.35599019999999998</v>
      </c>
      <c r="U2504">
        <v>-2.7160340000000001</v>
      </c>
      <c r="V2504">
        <v>-0.2429074</v>
      </c>
      <c r="W2504">
        <v>0.36572260000000001</v>
      </c>
      <c r="X2504">
        <v>0.89846709999999996</v>
      </c>
      <c r="Y2504">
        <v>-0.4098791</v>
      </c>
      <c r="Z2504">
        <v>1.9132550000000002E-2</v>
      </c>
      <c r="AA2504">
        <v>0.91193919999999995</v>
      </c>
      <c r="AB2504">
        <v>29</v>
      </c>
      <c r="AC2504">
        <v>-6.31669999999996</v>
      </c>
      <c r="AD2504">
        <v>-1.1220463017144</v>
      </c>
      <c r="AE2504">
        <v>-8.4762000000000004</v>
      </c>
      <c r="AF2504">
        <v>-4.3469255766074602</v>
      </c>
      <c r="AG2504">
        <v>-1.1220463017144</v>
      </c>
      <c r="AH2504">
        <v>9.5065687906711194</v>
      </c>
      <c r="AI2504">
        <v>96.126635586821095</v>
      </c>
      <c r="AJ2504">
        <v>114.57248308202</v>
      </c>
      <c r="AK2504">
        <v>10.5133058570326</v>
      </c>
      <c r="AL2504">
        <v>68.547942239739101</v>
      </c>
      <c r="AM2504">
        <v>105.128669691281</v>
      </c>
      <c r="AN2504">
        <v>1.0000000774539599</v>
      </c>
    </row>
    <row r="2505" spans="1:40" x14ac:dyDescent="0.25">
      <c r="A2505" t="str">
        <f>"20190304164418939"</f>
        <v>20190304164418939</v>
      </c>
      <c r="B2505" t="str">
        <f>"1551689058932552"</f>
        <v>1551689058932552</v>
      </c>
      <c r="C2505" t="s">
        <v>40</v>
      </c>
      <c r="D2505">
        <v>5.0567659999999997</v>
      </c>
      <c r="E2505">
        <v>0.42270950000000002</v>
      </c>
      <c r="F2505" t="s">
        <v>47</v>
      </c>
      <c r="G2505">
        <v>-487.19650000000001</v>
      </c>
      <c r="H2505" s="1">
        <v>6.7812680000000004E-7</v>
      </c>
      <c r="I2505">
        <v>272.22739999999999</v>
      </c>
      <c r="J2505">
        <v>-480.99889999999999</v>
      </c>
      <c r="K2505">
        <v>1.122104</v>
      </c>
      <c r="L2505">
        <v>280.67439999999999</v>
      </c>
      <c r="M2505">
        <v>-0.87218370000000001</v>
      </c>
      <c r="N2505">
        <v>-1.6933170000000001E-2</v>
      </c>
      <c r="O2505">
        <v>-0.48888540000000003</v>
      </c>
      <c r="P2505">
        <v>-0.67524569999999995</v>
      </c>
      <c r="Q2505">
        <v>0.35644029999999999</v>
      </c>
      <c r="R2505">
        <v>-0.64575059999999995</v>
      </c>
      <c r="S2505">
        <v>-2.03009</v>
      </c>
      <c r="T2505">
        <v>-0.35850850000000001</v>
      </c>
      <c r="U2505">
        <v>-2.7294619999999998</v>
      </c>
      <c r="V2505">
        <v>-0.24304919999999999</v>
      </c>
      <c r="W2505">
        <v>0.36530000000000001</v>
      </c>
      <c r="X2505">
        <v>0.89860059999999997</v>
      </c>
      <c r="Y2505">
        <v>-0.40742970000000001</v>
      </c>
      <c r="Z2505">
        <v>2.0436800000000001E-2</v>
      </c>
      <c r="AA2505">
        <v>0.91300789999999998</v>
      </c>
      <c r="AB2505">
        <v>29</v>
      </c>
      <c r="AC2505">
        <v>-6.19760000000002</v>
      </c>
      <c r="AD2505">
        <v>-1.1221033218731999</v>
      </c>
      <c r="AE2505">
        <v>-8.4469999999999992</v>
      </c>
      <c r="AF2505">
        <v>-4.28884267795795</v>
      </c>
      <c r="AG2505">
        <v>-1.1221033218731999</v>
      </c>
      <c r="AH2505">
        <v>9.4282728696151796</v>
      </c>
      <c r="AI2505">
        <v>96.182904757508595</v>
      </c>
      <c r="AJ2505">
        <v>114.460392059353</v>
      </c>
      <c r="AK2505">
        <v>10.4185227688551</v>
      </c>
      <c r="AL2505">
        <v>68.573954092893004</v>
      </c>
      <c r="AM2505">
        <v>105.134950425626</v>
      </c>
      <c r="AN2505">
        <v>1.00000002097049</v>
      </c>
    </row>
    <row r="2506" spans="1:40" x14ac:dyDescent="0.25">
      <c r="A2506" t="str">
        <f>"20190304164418951"</f>
        <v>20190304164418951</v>
      </c>
      <c r="B2506" t="str">
        <f>"1551689058942313"</f>
        <v>1551689058942313</v>
      </c>
      <c r="C2506" t="s">
        <v>40</v>
      </c>
      <c r="D2506">
        <v>5.0705869999999997</v>
      </c>
      <c r="E2506">
        <v>0.42355080000000001</v>
      </c>
      <c r="F2506" t="s">
        <v>41</v>
      </c>
      <c r="G2506">
        <v>-481.6601</v>
      </c>
      <c r="H2506">
        <v>1.00254</v>
      </c>
      <c r="I2506">
        <v>279.77569999999997</v>
      </c>
      <c r="J2506">
        <v>-481.13709999999998</v>
      </c>
      <c r="K2506">
        <v>1.12216</v>
      </c>
      <c r="L2506">
        <v>280.58800000000002</v>
      </c>
      <c r="M2506">
        <v>-0.86803799999999898</v>
      </c>
      <c r="N2506">
        <v>-1.6817080000000002E-2</v>
      </c>
      <c r="O2506">
        <v>-0.49621320000000002</v>
      </c>
      <c r="P2506">
        <v>-0.67020139999999995</v>
      </c>
      <c r="Q2506">
        <v>0.35487750000000001</v>
      </c>
      <c r="R2506">
        <v>-0.65183800000000003</v>
      </c>
      <c r="S2506">
        <v>-2.0151979999999998</v>
      </c>
      <c r="T2506">
        <v>-0.36442419999999998</v>
      </c>
      <c r="U2506">
        <v>-2.7396850000000001</v>
      </c>
      <c r="V2506">
        <v>-0.24322240000000001</v>
      </c>
      <c r="W2506">
        <v>0.36360160000000002</v>
      </c>
      <c r="X2506">
        <v>0.89924230000000005</v>
      </c>
      <c r="Y2506">
        <v>-0.40462320000000002</v>
      </c>
      <c r="Z2506">
        <v>2.1984139999999999E-2</v>
      </c>
      <c r="AA2506">
        <v>0.91421920000000001</v>
      </c>
      <c r="AB2506">
        <v>29</v>
      </c>
      <c r="AC2506">
        <v>-0.523000000000024</v>
      </c>
      <c r="AD2506">
        <v>-0.11962</v>
      </c>
      <c r="AE2506">
        <v>-0.81229999999999303</v>
      </c>
      <c r="AF2506">
        <v>-0.43892179346325799</v>
      </c>
      <c r="AG2506">
        <v>-0.11962</v>
      </c>
      <c r="AH2506">
        <v>0.84423631431714297</v>
      </c>
      <c r="AI2506">
        <v>97.1653408641818</v>
      </c>
      <c r="AJ2506">
        <v>117.47009948716099</v>
      </c>
      <c r="AK2506">
        <v>0.95900794552954405</v>
      </c>
      <c r="AL2506">
        <v>68.678451612435296</v>
      </c>
      <c r="AM2506">
        <v>105.13492881699899</v>
      </c>
      <c r="AN2506">
        <v>0.99999998674680401</v>
      </c>
    </row>
    <row r="2507" spans="1:40" x14ac:dyDescent="0.25">
      <c r="A2507" t="str">
        <f>"20190304164418963"</f>
        <v>20190304164418963</v>
      </c>
      <c r="B2507" t="str">
        <f>"1551689058952072"</f>
        <v>1551689058952072</v>
      </c>
      <c r="C2507" t="s">
        <v>40</v>
      </c>
      <c r="D2507">
        <v>5.0678850000000004</v>
      </c>
      <c r="E2507">
        <v>0.42355080000000001</v>
      </c>
      <c r="F2507" t="s">
        <v>47</v>
      </c>
      <c r="G2507">
        <v>-487.18110000000001</v>
      </c>
      <c r="H2507" s="1">
        <v>6.8067459999999998E-7</v>
      </c>
      <c r="I2507">
        <v>272.23849999999999</v>
      </c>
      <c r="J2507">
        <v>-481.25900000000001</v>
      </c>
      <c r="K2507">
        <v>1.122201</v>
      </c>
      <c r="L2507">
        <v>280.50990000000002</v>
      </c>
      <c r="M2507">
        <v>-0.86427960000000004</v>
      </c>
      <c r="N2507">
        <v>-1.6723700000000001E-2</v>
      </c>
      <c r="O2507">
        <v>-0.50273380000000001</v>
      </c>
      <c r="P2507">
        <v>-0.6657518</v>
      </c>
      <c r="Q2507">
        <v>0.35379939999999999</v>
      </c>
      <c r="R2507">
        <v>-0.65696350000000003</v>
      </c>
      <c r="S2507">
        <v>-1.993652</v>
      </c>
      <c r="T2507">
        <v>-0.37015130000000002</v>
      </c>
      <c r="U2507">
        <v>-2.7541199999999999</v>
      </c>
      <c r="V2507">
        <v>-0.2430833</v>
      </c>
      <c r="W2507">
        <v>0.36242099999999999</v>
      </c>
      <c r="X2507">
        <v>0.89975640000000001</v>
      </c>
      <c r="Y2507">
        <v>-0.40472770000000002</v>
      </c>
      <c r="Z2507">
        <v>2.327092E-2</v>
      </c>
      <c r="AA2507">
        <v>0.91414110000000004</v>
      </c>
      <c r="AB2507">
        <v>29</v>
      </c>
      <c r="AC2507">
        <v>-5.9221000000000004</v>
      </c>
      <c r="AD2507">
        <v>-1.12220031932539</v>
      </c>
      <c r="AE2507">
        <v>-8.2714000000000194</v>
      </c>
      <c r="AF2507">
        <v>-4.1219852527604299</v>
      </c>
      <c r="AG2507">
        <v>-1.12220031932539</v>
      </c>
      <c r="AH2507">
        <v>9.1664134983874295</v>
      </c>
      <c r="AI2507">
        <v>96.370996346755106</v>
      </c>
      <c r="AJ2507">
        <v>114.212664998704</v>
      </c>
      <c r="AK2507">
        <v>10.1130229112806</v>
      </c>
      <c r="AL2507">
        <v>68.751048007370201</v>
      </c>
      <c r="AM2507">
        <v>105.118422537569</v>
      </c>
      <c r="AN2507">
        <v>1.00000002566042</v>
      </c>
    </row>
    <row r="2508" spans="1:40" x14ac:dyDescent="0.25">
      <c r="A2508" t="str">
        <f>"20190304164418976"</f>
        <v>20190304164418976</v>
      </c>
      <c r="B2508" t="str">
        <f>"1551689058972569"</f>
        <v>1551689058972569</v>
      </c>
      <c r="C2508" t="s">
        <v>40</v>
      </c>
      <c r="D2508">
        <v>5.028594</v>
      </c>
      <c r="E2508">
        <v>0.43077799999999999</v>
      </c>
      <c r="F2508" t="s">
        <v>47</v>
      </c>
      <c r="G2508">
        <v>-487.18549999999999</v>
      </c>
      <c r="H2508" s="1">
        <v>6.6378039999999995E-7</v>
      </c>
      <c r="I2508">
        <v>272.18970000000002</v>
      </c>
      <c r="J2508">
        <v>-481.39179999999999</v>
      </c>
      <c r="K2508">
        <v>1.122241</v>
      </c>
      <c r="L2508">
        <v>280.42399999999998</v>
      </c>
      <c r="M2508">
        <v>-0.8601084</v>
      </c>
      <c r="N2508">
        <v>-1.662541E-2</v>
      </c>
      <c r="O2508">
        <v>-0.50984019999999997</v>
      </c>
      <c r="P2508">
        <v>-0.66050969999999998</v>
      </c>
      <c r="Q2508">
        <v>0.35289150000000002</v>
      </c>
      <c r="R2508">
        <v>-0.66271780000000002</v>
      </c>
      <c r="S2508">
        <v>-1.9722599999999999</v>
      </c>
      <c r="T2508">
        <v>-0.37345699999999998</v>
      </c>
      <c r="U2508">
        <v>-2.7688899999999999</v>
      </c>
      <c r="V2508">
        <v>-0.2432542</v>
      </c>
      <c r="W2508">
        <v>0.3613942</v>
      </c>
      <c r="X2508">
        <v>0.90012309999999995</v>
      </c>
      <c r="Y2508">
        <v>-0.4042115</v>
      </c>
      <c r="Z2508">
        <v>2.445406E-2</v>
      </c>
      <c r="AA2508">
        <v>0.9143386</v>
      </c>
      <c r="AB2508">
        <v>29</v>
      </c>
      <c r="AC2508">
        <v>-5.7937000000000003</v>
      </c>
      <c r="AD2508">
        <v>-1.1222403362196001</v>
      </c>
      <c r="AE2508">
        <v>-8.2343000000000099</v>
      </c>
      <c r="AF2508">
        <v>-4.0784301525966802</v>
      </c>
      <c r="AG2508">
        <v>-1.1222403362196001</v>
      </c>
      <c r="AH2508">
        <v>9.0699720093966096</v>
      </c>
      <c r="AI2508">
        <v>96.438450515795793</v>
      </c>
      <c r="AJ2508">
        <v>114.21168265450299</v>
      </c>
      <c r="AK2508">
        <v>10.0078673119244</v>
      </c>
      <c r="AL2508">
        <v>68.814156323954506</v>
      </c>
      <c r="AM2508">
        <v>105.12268365865999</v>
      </c>
      <c r="AN2508">
        <v>0.99999998438244397</v>
      </c>
    </row>
    <row r="2509" spans="1:40" x14ac:dyDescent="0.25">
      <c r="A2509" t="str">
        <f>"20190304164418987"</f>
        <v>20190304164418987</v>
      </c>
      <c r="B2509" t="str">
        <f>"1551689058982329"</f>
        <v>1551689058982329</v>
      </c>
      <c r="C2509" t="s">
        <v>40</v>
      </c>
      <c r="D2509">
        <v>5.083018</v>
      </c>
      <c r="E2509">
        <v>0.43077799999999999</v>
      </c>
      <c r="F2509" t="s">
        <v>47</v>
      </c>
      <c r="G2509">
        <v>-486.97879999999998</v>
      </c>
      <c r="H2509" s="1">
        <v>8.3325689999999996E-7</v>
      </c>
      <c r="I2509">
        <v>272.72089999999997</v>
      </c>
      <c r="J2509">
        <v>-481.5147</v>
      </c>
      <c r="K2509">
        <v>1.1222799999999999</v>
      </c>
      <c r="L2509">
        <v>280.34249999999997</v>
      </c>
      <c r="M2509">
        <v>-0.85614249999999903</v>
      </c>
      <c r="N2509">
        <v>-1.6543410000000001E-2</v>
      </c>
      <c r="O2509">
        <v>-0.51647529999999997</v>
      </c>
      <c r="P2509">
        <v>-0.65572730000000001</v>
      </c>
      <c r="Q2509">
        <v>0.35189959999999998</v>
      </c>
      <c r="R2509">
        <v>-0.66797379999999995</v>
      </c>
      <c r="S2509">
        <v>-1.995544</v>
      </c>
      <c r="T2509">
        <v>-0.40083970000000002</v>
      </c>
      <c r="U2509">
        <v>-2.7513730000000001</v>
      </c>
      <c r="V2509">
        <v>-0.2432241</v>
      </c>
      <c r="W2509">
        <v>0.36030960000000001</v>
      </c>
      <c r="X2509">
        <v>0.90056599999999998</v>
      </c>
      <c r="Y2509">
        <v>-0.38936130000000002</v>
      </c>
      <c r="Z2509">
        <v>2.8882919999999999E-2</v>
      </c>
      <c r="AA2509">
        <v>0.92063209999999995</v>
      </c>
      <c r="AB2509">
        <v>29</v>
      </c>
      <c r="AC2509">
        <v>-5.46409999999997</v>
      </c>
      <c r="AD2509">
        <v>-1.1222791667431</v>
      </c>
      <c r="AE2509">
        <v>-7.6215999999999999</v>
      </c>
      <c r="AF2509">
        <v>-3.65131661033177</v>
      </c>
      <c r="AG2509">
        <v>-1.1222791667431</v>
      </c>
      <c r="AH2509">
        <v>8.4939472905359299</v>
      </c>
      <c r="AI2509">
        <v>96.921075798962605</v>
      </c>
      <c r="AJ2509">
        <v>113.26155209985799</v>
      </c>
      <c r="AK2509">
        <v>9.3133648103890394</v>
      </c>
      <c r="AL2509">
        <v>68.880790174499694</v>
      </c>
      <c r="AM2509">
        <v>105.11380187544501</v>
      </c>
      <c r="AN2509">
        <v>1.00000004551448</v>
      </c>
    </row>
    <row r="2510" spans="1:40" x14ac:dyDescent="0.25">
      <c r="A2510" t="str">
        <f>"20190304164419007"</f>
        <v>20190304164419007</v>
      </c>
      <c r="B2510" t="str">
        <f>"1551689059002824"</f>
        <v>1551689059002824</v>
      </c>
      <c r="C2510" t="s">
        <v>40</v>
      </c>
      <c r="D2510">
        <v>5.0400130000000001</v>
      </c>
      <c r="E2510">
        <v>0.4369325</v>
      </c>
      <c r="F2510" t="s">
        <v>47</v>
      </c>
      <c r="G2510">
        <v>-486.99400000000003</v>
      </c>
      <c r="H2510" s="1">
        <v>8.1529399999999999E-7</v>
      </c>
      <c r="I2510">
        <v>272.66629999999998</v>
      </c>
      <c r="J2510">
        <v>-481.72750000000002</v>
      </c>
      <c r="K2510">
        <v>1.1223479999999999</v>
      </c>
      <c r="L2510">
        <v>280.19850000000002</v>
      </c>
      <c r="M2510">
        <v>-0.84908099999999997</v>
      </c>
      <c r="N2510">
        <v>-1.6412050000000001E-2</v>
      </c>
      <c r="O2510">
        <v>-0.52800760000000002</v>
      </c>
      <c r="P2510">
        <v>-0.64646110000000001</v>
      </c>
      <c r="Q2510">
        <v>0.35178609999999999</v>
      </c>
      <c r="R2510">
        <v>-0.67700400000000005</v>
      </c>
      <c r="S2510">
        <v>-1.974396</v>
      </c>
      <c r="T2510">
        <v>-0.4043968</v>
      </c>
      <c r="U2510">
        <v>-2.766022</v>
      </c>
      <c r="V2510">
        <v>-0.24356179999999999</v>
      </c>
      <c r="W2510">
        <v>0.36002709999999999</v>
      </c>
      <c r="X2510">
        <v>0.90058769999999999</v>
      </c>
      <c r="Y2510">
        <v>-0.38395649999999998</v>
      </c>
      <c r="Z2510">
        <v>3.1052260000000002E-2</v>
      </c>
      <c r="AA2510">
        <v>0.92282889999999995</v>
      </c>
      <c r="AB2510">
        <v>29</v>
      </c>
      <c r="AC2510">
        <v>-5.2664999999999997</v>
      </c>
      <c r="AD2510">
        <v>-1.12234718470599</v>
      </c>
      <c r="AE2510">
        <v>-7.5322000000000404</v>
      </c>
      <c r="AF2510">
        <v>-3.5620635170330899</v>
      </c>
      <c r="AG2510">
        <v>-1.12234718470599</v>
      </c>
      <c r="AH2510">
        <v>8.3257246246788696</v>
      </c>
      <c r="AI2510">
        <v>97.065095866633499</v>
      </c>
      <c r="AJ2510">
        <v>113.163091915565</v>
      </c>
      <c r="AK2510">
        <v>9.1250013823768708</v>
      </c>
      <c r="AL2510">
        <v>68.898140421039002</v>
      </c>
      <c r="AM2510">
        <v>105.133476550672</v>
      </c>
      <c r="AN2510">
        <v>1.00000003427246</v>
      </c>
    </row>
    <row r="2511" spans="1:40" x14ac:dyDescent="0.25">
      <c r="A2511" t="str">
        <f>"20190304164419019"</f>
        <v>20190304164419019</v>
      </c>
      <c r="B2511" t="str">
        <f>"1551689059012585"</f>
        <v>1551689059012585</v>
      </c>
      <c r="C2511" t="s">
        <v>40</v>
      </c>
      <c r="D2511">
        <v>5.0879909999999997</v>
      </c>
      <c r="E2511">
        <v>0.43811709999999898</v>
      </c>
      <c r="F2511" t="s">
        <v>47</v>
      </c>
      <c r="G2511">
        <v>-487.053</v>
      </c>
      <c r="H2511" s="1">
        <v>8.5326959999999999E-7</v>
      </c>
      <c r="I2511">
        <v>272.75889999999998</v>
      </c>
      <c r="J2511">
        <v>-481.84949999999998</v>
      </c>
      <c r="K2511">
        <v>1.1223829999999999</v>
      </c>
      <c r="L2511">
        <v>280.11410000000001</v>
      </c>
      <c r="M2511">
        <v>-0.84491340000000004</v>
      </c>
      <c r="N2511">
        <v>-1.6343590000000002E-2</v>
      </c>
      <c r="O2511">
        <v>-0.53465339999999995</v>
      </c>
      <c r="P2511">
        <v>-0.64078219999999997</v>
      </c>
      <c r="Q2511">
        <v>0.3526688</v>
      </c>
      <c r="R2511">
        <v>-0.68192589999999997</v>
      </c>
      <c r="S2511">
        <v>-1.9761960000000001</v>
      </c>
      <c r="T2511">
        <v>-0.41648269999999998</v>
      </c>
      <c r="U2511">
        <v>-2.7607119999999998</v>
      </c>
      <c r="V2511">
        <v>-0.24369279999999999</v>
      </c>
      <c r="W2511">
        <v>0.36081839999999998</v>
      </c>
      <c r="X2511">
        <v>0.90023549999999997</v>
      </c>
      <c r="Y2511">
        <v>-0.37555519999999998</v>
      </c>
      <c r="Z2511">
        <v>3.3770359999999999E-2</v>
      </c>
      <c r="AA2511">
        <v>0.92618449999999997</v>
      </c>
      <c r="AB2511">
        <v>29</v>
      </c>
      <c r="AC2511">
        <v>-5.2035000000000702</v>
      </c>
      <c r="AD2511">
        <v>-1.1223821467303901</v>
      </c>
      <c r="AE2511">
        <v>-7.3552000000000204</v>
      </c>
      <c r="AF2511">
        <v>-3.38043634747903</v>
      </c>
      <c r="AG2511">
        <v>-1.1223821467303901</v>
      </c>
      <c r="AH2511">
        <v>8.2028046726204806</v>
      </c>
      <c r="AI2511">
        <v>97.210049451152102</v>
      </c>
      <c r="AJ2511">
        <v>112.39692052077</v>
      </c>
      <c r="AK2511">
        <v>8.9427678086720395</v>
      </c>
      <c r="AL2511">
        <v>68.849535326452894</v>
      </c>
      <c r="AM2511">
        <v>105.146894111834</v>
      </c>
      <c r="AN2511">
        <v>1.00000002700532</v>
      </c>
    </row>
    <row r="2512" spans="1:40" x14ac:dyDescent="0.25">
      <c r="A2512" t="str">
        <f>"20190304164419031"</f>
        <v>20190304164419031</v>
      </c>
      <c r="B2512" t="str">
        <f>"1551689059022345"</f>
        <v>1551689059022345</v>
      </c>
      <c r="C2512" t="s">
        <v>40</v>
      </c>
      <c r="D2512">
        <v>5.1001979999999998</v>
      </c>
      <c r="E2512">
        <v>0.43922699999999998</v>
      </c>
      <c r="F2512" t="s">
        <v>47</v>
      </c>
      <c r="G2512">
        <v>-487.1354</v>
      </c>
      <c r="H2512" s="1">
        <v>8.2506949999999995E-7</v>
      </c>
      <c r="I2512">
        <v>272.6585</v>
      </c>
      <c r="J2512">
        <v>-481.9744</v>
      </c>
      <c r="K2512">
        <v>1.1224160000000001</v>
      </c>
      <c r="L2512">
        <v>280.02620000000002</v>
      </c>
      <c r="M2512">
        <v>-0.840561</v>
      </c>
      <c r="N2512">
        <v>-1.6277739999999999E-2</v>
      </c>
      <c r="O2512">
        <v>-0.54147270000000003</v>
      </c>
      <c r="P2512">
        <v>-0.6351057</v>
      </c>
      <c r="Q2512">
        <v>0.35352129999999998</v>
      </c>
      <c r="R2512">
        <v>-0.68677790000000005</v>
      </c>
      <c r="S2512">
        <v>-1.963684</v>
      </c>
      <c r="T2512">
        <v>-0.4169583</v>
      </c>
      <c r="U2512">
        <v>-2.769714</v>
      </c>
      <c r="V2512">
        <v>-0.2435573</v>
      </c>
      <c r="W2512">
        <v>0.36159249999999998</v>
      </c>
      <c r="X2512">
        <v>0.89996149999999997</v>
      </c>
      <c r="Y2512">
        <v>-0.37231550000000002</v>
      </c>
      <c r="Z2512">
        <v>3.4916900000000001E-2</v>
      </c>
      <c r="AA2512">
        <v>0.92744919999999997</v>
      </c>
      <c r="AB2512">
        <v>29</v>
      </c>
      <c r="AC2512">
        <v>-5.1609999999999996</v>
      </c>
      <c r="AD2512">
        <v>-1.1224151749305</v>
      </c>
      <c r="AE2512">
        <v>-7.3677000000000099</v>
      </c>
      <c r="AF2512">
        <v>-3.34680430031458</v>
      </c>
      <c r="AG2512">
        <v>-1.1224151749305</v>
      </c>
      <c r="AH2512">
        <v>8.2009656256973695</v>
      </c>
      <c r="AI2512">
        <v>97.221908100351399</v>
      </c>
      <c r="AJ2512">
        <v>112.200312755003</v>
      </c>
      <c r="AK2512">
        <v>8.9284238274954397</v>
      </c>
      <c r="AL2512">
        <v>68.801970802255198</v>
      </c>
      <c r="AM2512">
        <v>105.143256165933</v>
      </c>
      <c r="AN2512">
        <v>0.999999997960895</v>
      </c>
    </row>
    <row r="2513" spans="1:40" x14ac:dyDescent="0.25">
      <c r="A2513" t="str">
        <f>"20190304164419042"</f>
        <v>20190304164419042</v>
      </c>
      <c r="B2513" t="str">
        <f>"1551689059033081"</f>
        <v>1551689059033081</v>
      </c>
      <c r="C2513" t="s">
        <v>40</v>
      </c>
      <c r="D2513">
        <v>5.1011230000000003</v>
      </c>
      <c r="E2513">
        <v>0.4400811</v>
      </c>
      <c r="F2513" t="s">
        <v>47</v>
      </c>
      <c r="G2513">
        <v>-487.21550000000002</v>
      </c>
      <c r="H2513" s="1">
        <v>7.9558300000000001E-7</v>
      </c>
      <c r="I2513">
        <v>272.55500000000001</v>
      </c>
      <c r="J2513">
        <v>-482.08350000000002</v>
      </c>
      <c r="K2513">
        <v>1.1224400000000001</v>
      </c>
      <c r="L2513">
        <v>279.9477</v>
      </c>
      <c r="M2513">
        <v>-0.836669</v>
      </c>
      <c r="N2513">
        <v>-1.622527E-2</v>
      </c>
      <c r="O2513">
        <v>-0.54746870000000003</v>
      </c>
      <c r="P2513">
        <v>-0.62997289999999995</v>
      </c>
      <c r="Q2513">
        <v>0.35444360000000003</v>
      </c>
      <c r="R2513">
        <v>-0.69101669999999904</v>
      </c>
      <c r="S2513">
        <v>-1.9501040000000001</v>
      </c>
      <c r="T2513">
        <v>-0.41762199999999999</v>
      </c>
      <c r="U2513">
        <v>-2.7798769999999999</v>
      </c>
      <c r="V2513">
        <v>-0.243478</v>
      </c>
      <c r="W2513">
        <v>0.36245080000000002</v>
      </c>
      <c r="X2513">
        <v>0.89963760000000004</v>
      </c>
      <c r="Y2513">
        <v>-0.37035380000000001</v>
      </c>
      <c r="Z2513">
        <v>3.588773E-2</v>
      </c>
      <c r="AA2513">
        <v>0.92819719999999994</v>
      </c>
      <c r="AB2513">
        <v>29</v>
      </c>
      <c r="AC2513">
        <v>-5.1319999999999997</v>
      </c>
      <c r="AD2513">
        <v>-1.122439204417</v>
      </c>
      <c r="AE2513">
        <v>-7.3926999999999898</v>
      </c>
      <c r="AF2513">
        <v>-3.3243638182468702</v>
      </c>
      <c r="AG2513">
        <v>-1.122439204417</v>
      </c>
      <c r="AH2513">
        <v>8.2143716895628192</v>
      </c>
      <c r="AI2513">
        <v>97.218859001439995</v>
      </c>
      <c r="AJ2513">
        <v>112.033224809158</v>
      </c>
      <c r="AK2513">
        <v>8.9323662496548106</v>
      </c>
      <c r="AL2513">
        <v>68.749214686029802</v>
      </c>
      <c r="AM2513">
        <v>105.143752099571</v>
      </c>
      <c r="AN2513">
        <v>0.99999996511919897</v>
      </c>
    </row>
    <row r="2514" spans="1:40" x14ac:dyDescent="0.25">
      <c r="A2514" t="str">
        <f>"20190304164419055"</f>
        <v>20190304164419055</v>
      </c>
      <c r="B2514" t="str">
        <f>"1551689059042841"</f>
        <v>1551689059042841</v>
      </c>
      <c r="C2514" t="s">
        <v>40</v>
      </c>
      <c r="D2514">
        <v>5.1012240000000002</v>
      </c>
      <c r="E2514">
        <v>0.4400811</v>
      </c>
      <c r="F2514" t="s">
        <v>47</v>
      </c>
      <c r="G2514">
        <v>-487.2867</v>
      </c>
      <c r="H2514" s="1">
        <v>7.6550999999999998E-7</v>
      </c>
      <c r="I2514">
        <v>272.452</v>
      </c>
      <c r="J2514">
        <v>-482.21030000000002</v>
      </c>
      <c r="K2514">
        <v>1.1224559999999999</v>
      </c>
      <c r="L2514">
        <v>279.85579999999999</v>
      </c>
      <c r="M2514">
        <v>-0.83207739999999997</v>
      </c>
      <c r="N2514">
        <v>-1.6166050000000001E-2</v>
      </c>
      <c r="O2514">
        <v>-0.55442400000000003</v>
      </c>
      <c r="P2514">
        <v>-0.62429889999999999</v>
      </c>
      <c r="Q2514">
        <v>0.35401939999999998</v>
      </c>
      <c r="R2514">
        <v>-0.69636290000000001</v>
      </c>
      <c r="S2514">
        <v>-1.9367369999999999</v>
      </c>
      <c r="T2514">
        <v>-0.4177979</v>
      </c>
      <c r="U2514">
        <v>-2.7900700000000001</v>
      </c>
      <c r="V2514">
        <v>-0.24352599999999999</v>
      </c>
      <c r="W2514">
        <v>0.36196060000000002</v>
      </c>
      <c r="X2514">
        <v>0.89982199999999901</v>
      </c>
      <c r="Y2514">
        <v>-0.36725400000000002</v>
      </c>
      <c r="Z2514">
        <v>3.699935E-2</v>
      </c>
      <c r="AA2514">
        <v>0.92938449999999995</v>
      </c>
      <c r="AB2514">
        <v>29</v>
      </c>
      <c r="AC2514">
        <v>-5.0763999999999703</v>
      </c>
      <c r="AD2514">
        <v>-1.1224552344899901</v>
      </c>
      <c r="AE2514">
        <v>-7.4037999999999897</v>
      </c>
      <c r="AF2514">
        <v>-3.2949791527357202</v>
      </c>
      <c r="AG2514">
        <v>-1.1224552344899901</v>
      </c>
      <c r="AH2514">
        <v>8.2016630774630208</v>
      </c>
      <c r="AI2514">
        <v>97.237365508215305</v>
      </c>
      <c r="AJ2514">
        <v>111.88756037197101</v>
      </c>
      <c r="AK2514">
        <v>8.9097738807793103</v>
      </c>
      <c r="AL2514">
        <v>68.7793481279936</v>
      </c>
      <c r="AM2514">
        <v>105.14363901659399</v>
      </c>
      <c r="AN2514">
        <v>1.0000000101561799</v>
      </c>
    </row>
    <row r="2515" spans="1:40" x14ac:dyDescent="0.25">
      <c r="A2515" t="str">
        <f>"20190304164419067"</f>
        <v>20190304164419067</v>
      </c>
      <c r="B2515" t="str">
        <f>"1551689059062361"</f>
        <v>1551689059062361</v>
      </c>
      <c r="C2515" t="s">
        <v>40</v>
      </c>
      <c r="D2515">
        <v>5.1499639999999998</v>
      </c>
      <c r="E2515">
        <v>0.4455209</v>
      </c>
      <c r="F2515" t="s">
        <v>47</v>
      </c>
      <c r="G2515">
        <v>-487.33150000000001</v>
      </c>
      <c r="H2515" s="1">
        <v>7.3135089999999998E-7</v>
      </c>
      <c r="I2515">
        <v>272.3442</v>
      </c>
      <c r="J2515">
        <v>-482.3374</v>
      </c>
      <c r="K2515">
        <v>1.1224590000000001</v>
      </c>
      <c r="L2515">
        <v>279.76119999999997</v>
      </c>
      <c r="M2515">
        <v>-0.82736089999999995</v>
      </c>
      <c r="N2515">
        <v>-1.6112660000000001E-2</v>
      </c>
      <c r="O2515">
        <v>-0.56143959999999904</v>
      </c>
      <c r="P2515">
        <v>-0.61885990000000002</v>
      </c>
      <c r="Q2515">
        <v>0.35287639999999998</v>
      </c>
      <c r="R2515">
        <v>-0.70177699999999998</v>
      </c>
      <c r="S2515">
        <v>-1.9131469999999999</v>
      </c>
      <c r="T2515">
        <v>-0.41932639999999999</v>
      </c>
      <c r="U2515">
        <v>-2.8061829999999999</v>
      </c>
      <c r="V2515">
        <v>-0.24337819999999999</v>
      </c>
      <c r="W2515">
        <v>0.36076989999999998</v>
      </c>
      <c r="X2515">
        <v>0.90033999999999903</v>
      </c>
      <c r="Y2515">
        <v>-0.36724380000000001</v>
      </c>
      <c r="Z2515">
        <v>3.8088169999999998E-2</v>
      </c>
      <c r="AA2515">
        <v>0.92934450000000002</v>
      </c>
      <c r="AB2515">
        <v>29</v>
      </c>
      <c r="AC2515">
        <v>-4.9941000000000004</v>
      </c>
      <c r="AD2515">
        <v>-1.1224582686491</v>
      </c>
      <c r="AE2515">
        <v>-7.4169999999999696</v>
      </c>
      <c r="AF2515">
        <v>-3.2813743250755101</v>
      </c>
      <c r="AG2515">
        <v>-1.1224582686491</v>
      </c>
      <c r="AH2515">
        <v>8.1684769542278897</v>
      </c>
      <c r="AI2515">
        <v>97.266557525767894</v>
      </c>
      <c r="AJ2515">
        <v>111.88591483205801</v>
      </c>
      <c r="AK2515">
        <v>8.8741955003186508</v>
      </c>
      <c r="AL2515">
        <v>68.852514087118095</v>
      </c>
      <c r="AM2515">
        <v>105.126561277159</v>
      </c>
      <c r="AN2515">
        <v>0.99999999229062397</v>
      </c>
    </row>
    <row r="2516" spans="1:40" x14ac:dyDescent="0.25">
      <c r="A2516" t="str">
        <f>"20190304164419078"</f>
        <v>20190304164419078</v>
      </c>
      <c r="B2516" t="str">
        <f>"1551689059072121"</f>
        <v>1551689059072121</v>
      </c>
      <c r="C2516" t="s">
        <v>40</v>
      </c>
      <c r="D2516">
        <v>5.1368489999999998</v>
      </c>
      <c r="E2516">
        <v>0.44760820000000001</v>
      </c>
      <c r="F2516" t="s">
        <v>47</v>
      </c>
      <c r="G2516">
        <v>-487.44690000000003</v>
      </c>
      <c r="H2516" s="1">
        <v>7.3823269999999896E-7</v>
      </c>
      <c r="I2516">
        <v>272.3347</v>
      </c>
      <c r="J2516">
        <v>-482.44819999999999</v>
      </c>
      <c r="K2516">
        <v>1.1224590000000001</v>
      </c>
      <c r="L2516">
        <v>279.67759999999998</v>
      </c>
      <c r="M2516">
        <v>-0.82317410000000002</v>
      </c>
      <c r="N2516">
        <v>-1.6068099999999998E-2</v>
      </c>
      <c r="O2516">
        <v>-0.56756169999999995</v>
      </c>
      <c r="P2516">
        <v>-0.61446029999999996</v>
      </c>
      <c r="Q2516">
        <v>0.3505508</v>
      </c>
      <c r="R2516">
        <v>-0.70679060000000005</v>
      </c>
      <c r="S2516">
        <v>-1.9213560000000001</v>
      </c>
      <c r="T2516">
        <v>-0.4220854</v>
      </c>
      <c r="U2516">
        <v>-2.7926329999999999</v>
      </c>
      <c r="V2516">
        <v>-0.24322179999999999</v>
      </c>
      <c r="W2516">
        <v>0.35841529999999999</v>
      </c>
      <c r="X2516">
        <v>0.90132219999999996</v>
      </c>
      <c r="Y2516">
        <v>-0.3564737</v>
      </c>
      <c r="Z2516">
        <v>3.9999069999999998E-2</v>
      </c>
      <c r="AA2516">
        <v>0.93344870000000002</v>
      </c>
      <c r="AB2516">
        <v>29</v>
      </c>
      <c r="AC2516">
        <v>-4.9987000000000403</v>
      </c>
      <c r="AD2516">
        <v>-1.1224582617673</v>
      </c>
      <c r="AE2516">
        <v>-7.3428999999999798</v>
      </c>
      <c r="AF2516">
        <v>-3.1574127051540399</v>
      </c>
      <c r="AG2516">
        <v>-1.1224582617673</v>
      </c>
      <c r="AH2516">
        <v>8.1532321779467996</v>
      </c>
      <c r="AI2516">
        <v>97.315614202806898</v>
      </c>
      <c r="AJ2516">
        <v>111.16934396351201</v>
      </c>
      <c r="AK2516">
        <v>8.8150077984982502</v>
      </c>
      <c r="AL2516">
        <v>68.997094849655397</v>
      </c>
      <c r="AM2516">
        <v>105.1015646684</v>
      </c>
      <c r="AN2516">
        <v>1.00000003974108</v>
      </c>
    </row>
    <row r="2517" spans="1:40" x14ac:dyDescent="0.25">
      <c r="A2517" t="str">
        <f>"20190304164419090"</f>
        <v>20190304164419090</v>
      </c>
      <c r="B2517" t="str">
        <f>"1551689059082857"</f>
        <v>1551689059082857</v>
      </c>
      <c r="C2517" t="s">
        <v>40</v>
      </c>
      <c r="D2517">
        <v>5.0844339999999999</v>
      </c>
      <c r="E2517">
        <v>0.44930809999999999</v>
      </c>
      <c r="F2517" t="s">
        <v>47</v>
      </c>
      <c r="G2517">
        <v>-487.44529999999997</v>
      </c>
      <c r="H2517" s="1">
        <v>7.5104910000000001E-7</v>
      </c>
      <c r="I2517">
        <v>272.37130000000002</v>
      </c>
      <c r="J2517">
        <v>-482.57060000000001</v>
      </c>
      <c r="K2517">
        <v>1.122455</v>
      </c>
      <c r="L2517">
        <v>279.58390000000003</v>
      </c>
      <c r="M2517">
        <v>-0.81846730000000001</v>
      </c>
      <c r="N2517">
        <v>-1.6022020000000001E-2</v>
      </c>
      <c r="O2517">
        <v>-0.57432969999999905</v>
      </c>
      <c r="P2517">
        <v>-0.60941829999999997</v>
      </c>
      <c r="Q2517">
        <v>0.34890779999999999</v>
      </c>
      <c r="R2517">
        <v>-0.71194999999999997</v>
      </c>
      <c r="S2517">
        <v>-1.911896</v>
      </c>
      <c r="T2517">
        <v>-0.42945270000000002</v>
      </c>
      <c r="U2517">
        <v>-2.7953800000000002</v>
      </c>
      <c r="V2517">
        <v>-0.24281839999999999</v>
      </c>
      <c r="W2517">
        <v>0.35674630000000002</v>
      </c>
      <c r="X2517">
        <v>0.90209280000000003</v>
      </c>
      <c r="Y2517">
        <v>-0.35142679999999998</v>
      </c>
      <c r="Z2517">
        <v>4.2162789999999999E-2</v>
      </c>
      <c r="AA2517">
        <v>0.93526549999999997</v>
      </c>
      <c r="AB2517">
        <v>29</v>
      </c>
      <c r="AC2517">
        <v>-4.8746999999999598</v>
      </c>
      <c r="AD2517">
        <v>-1.12245424895089</v>
      </c>
      <c r="AE2517">
        <v>-7.2126000000000001</v>
      </c>
      <c r="AF2517">
        <v>-3.0532310957592901</v>
      </c>
      <c r="AG2517">
        <v>-1.12245424895089</v>
      </c>
      <c r="AH2517">
        <v>8.0002340161376306</v>
      </c>
      <c r="AI2517">
        <v>97.467811269701301</v>
      </c>
      <c r="AJ2517">
        <v>110.88899105354101</v>
      </c>
      <c r="AK2517">
        <v>8.6363110167516002</v>
      </c>
      <c r="AL2517">
        <v>69.099492197566704</v>
      </c>
      <c r="AM2517">
        <v>105.065364857809</v>
      </c>
      <c r="AN2517">
        <v>1.0000000588770399</v>
      </c>
    </row>
    <row r="2518" spans="1:40" x14ac:dyDescent="0.25">
      <c r="A2518" t="str">
        <f>"20190304164419104"</f>
        <v>20190304164419104</v>
      </c>
      <c r="B2518" t="str">
        <f>"1551689059092616"</f>
        <v>1551689059092616</v>
      </c>
      <c r="C2518" t="s">
        <v>40</v>
      </c>
      <c r="D2518">
        <v>5.1160119999999996</v>
      </c>
      <c r="E2518">
        <v>0.45080239999999999</v>
      </c>
      <c r="F2518" t="s">
        <v>47</v>
      </c>
      <c r="G2518">
        <v>-487.47840000000002</v>
      </c>
      <c r="H2518" s="1">
        <v>7.4275310000000003E-7</v>
      </c>
      <c r="I2518">
        <v>272.33960000000002</v>
      </c>
      <c r="J2518">
        <v>-482.6934</v>
      </c>
      <c r="K2518">
        <v>1.122452</v>
      </c>
      <c r="L2518">
        <v>279.48779999999999</v>
      </c>
      <c r="M2518">
        <v>-0.81364399999999903</v>
      </c>
      <c r="N2518">
        <v>-1.597964E-2</v>
      </c>
      <c r="O2518">
        <v>-0.58114399999999999</v>
      </c>
      <c r="P2518">
        <v>-0.60383019999999998</v>
      </c>
      <c r="Q2518">
        <v>0.34795479999999901</v>
      </c>
      <c r="R2518">
        <v>-0.71715879999999999</v>
      </c>
      <c r="S2518">
        <v>-1.8980710000000001</v>
      </c>
      <c r="T2518">
        <v>-0.43410789999999999</v>
      </c>
      <c r="U2518">
        <v>-2.8017270000000001</v>
      </c>
      <c r="V2518">
        <v>-0.2426961</v>
      </c>
      <c r="W2518">
        <v>0.35576069999999999</v>
      </c>
      <c r="X2518">
        <v>0.90251479999999995</v>
      </c>
      <c r="Y2518">
        <v>-0.34782200000000002</v>
      </c>
      <c r="Z2518">
        <v>4.3927569999999999E-2</v>
      </c>
      <c r="AA2518">
        <v>0.93653090000000005</v>
      </c>
      <c r="AB2518">
        <v>29</v>
      </c>
      <c r="AC2518">
        <v>-4.7850000000000197</v>
      </c>
      <c r="AD2518">
        <v>-1.1224512572468901</v>
      </c>
      <c r="AE2518">
        <v>-7.1481999999999699</v>
      </c>
      <c r="AF2518">
        <v>-2.9848789494685199</v>
      </c>
      <c r="AG2518">
        <v>-1.1224512572468901</v>
      </c>
      <c r="AH2518">
        <v>7.9136982081534599</v>
      </c>
      <c r="AI2518">
        <v>97.559569686251606</v>
      </c>
      <c r="AJ2518">
        <v>110.665410496346</v>
      </c>
      <c r="AK2518">
        <v>8.5320582802514195</v>
      </c>
      <c r="AL2518">
        <v>69.159927278696799</v>
      </c>
      <c r="AM2518">
        <v>105.051400239751</v>
      </c>
      <c r="AN2518">
        <v>1.00000001841936</v>
      </c>
    </row>
    <row r="2519" spans="1:40" x14ac:dyDescent="0.25">
      <c r="A2519" t="str">
        <f>"20190304164419118"</f>
        <v>20190304164419118</v>
      </c>
      <c r="B2519" t="str">
        <f>"1551689059112150"</f>
        <v>1551689059112150</v>
      </c>
      <c r="C2519" t="s">
        <v>40</v>
      </c>
      <c r="D2519">
        <v>5.1424729999999998</v>
      </c>
      <c r="E2519">
        <v>0.4701669</v>
      </c>
      <c r="F2519" t="s">
        <v>47</v>
      </c>
      <c r="G2519">
        <v>-487.53579999999999</v>
      </c>
      <c r="H2519" s="1">
        <v>7.1959369999999998E-7</v>
      </c>
      <c r="I2519">
        <v>272.25959999999998</v>
      </c>
      <c r="J2519">
        <v>-482.83240000000001</v>
      </c>
      <c r="K2519">
        <v>1.1224559999999999</v>
      </c>
      <c r="L2519">
        <v>279.37759999999997</v>
      </c>
      <c r="M2519">
        <v>-0.80808159999999996</v>
      </c>
      <c r="N2519">
        <v>-1.5934179999999999E-2</v>
      </c>
      <c r="O2519">
        <v>-0.58885500000000002</v>
      </c>
      <c r="P2519">
        <v>-0.59729690000000002</v>
      </c>
      <c r="Q2519">
        <v>0.34774080000000002</v>
      </c>
      <c r="R2519">
        <v>-0.72271249999999998</v>
      </c>
      <c r="S2519">
        <v>-1.8824460000000001</v>
      </c>
      <c r="T2519">
        <v>-0.43634220000000001</v>
      </c>
      <c r="U2519">
        <v>-2.8098749999999999</v>
      </c>
      <c r="V2519">
        <v>-0.2423836</v>
      </c>
      <c r="W2519">
        <v>0.35551379999999999</v>
      </c>
      <c r="X2519">
        <v>0.9026961</v>
      </c>
      <c r="Y2519">
        <v>-0.3438232</v>
      </c>
      <c r="Z2519">
        <v>4.554126E-2</v>
      </c>
      <c r="AA2519">
        <v>0.93792949999999997</v>
      </c>
      <c r="AB2519">
        <v>29</v>
      </c>
      <c r="AC2519">
        <v>-4.7033999999999798</v>
      </c>
      <c r="AD2519">
        <v>-1.1224552804062999</v>
      </c>
      <c r="AE2519">
        <v>-7.1179999999999897</v>
      </c>
      <c r="AF2519">
        <v>-2.9319332767320798</v>
      </c>
      <c r="AG2519">
        <v>-1.1224552804062999</v>
      </c>
      <c r="AH2519">
        <v>7.8572130787079804</v>
      </c>
      <c r="AI2519">
        <v>97.623277757819096</v>
      </c>
      <c r="AJ2519">
        <v>110.463150697716</v>
      </c>
      <c r="AK2519">
        <v>8.4612018035229895</v>
      </c>
      <c r="AL2519">
        <v>69.175064038162304</v>
      </c>
      <c r="AM2519">
        <v>105.030014949337</v>
      </c>
      <c r="AN2519">
        <v>1.0000000602473</v>
      </c>
    </row>
    <row r="2520" spans="1:40" x14ac:dyDescent="0.25">
      <c r="A2520" t="str">
        <f>"20190304164419130"</f>
        <v>20190304164419130</v>
      </c>
      <c r="B2520" t="str">
        <f>"1551689059121975"</f>
        <v>1551689059121975</v>
      </c>
      <c r="C2520" t="s">
        <v>40</v>
      </c>
      <c r="D2520">
        <v>5.1226479999999999</v>
      </c>
      <c r="E2520">
        <v>0.4716323</v>
      </c>
      <c r="F2520" t="s">
        <v>47</v>
      </c>
      <c r="G2520">
        <v>-487.97089999999997</v>
      </c>
      <c r="H2520" s="1">
        <v>7.6390269999999995E-7</v>
      </c>
      <c r="I2520">
        <v>272.2758</v>
      </c>
      <c r="J2520">
        <v>-482.964</v>
      </c>
      <c r="K2520">
        <v>1.1224670000000001</v>
      </c>
      <c r="L2520">
        <v>279.27100000000002</v>
      </c>
      <c r="M2520">
        <v>-0.80269840000000003</v>
      </c>
      <c r="N2520">
        <v>-1.5894419999999999E-2</v>
      </c>
      <c r="O2520">
        <v>-0.59617319999999996</v>
      </c>
      <c r="P2520">
        <v>-0.59064559999999999</v>
      </c>
      <c r="Q2520">
        <v>0.3502691</v>
      </c>
      <c r="R2520">
        <v>-0.72694519999999996</v>
      </c>
      <c r="S2520">
        <v>-1.9734499999999999</v>
      </c>
      <c r="T2520">
        <v>-0.43107489999999998</v>
      </c>
      <c r="U2520">
        <v>-2.727417</v>
      </c>
      <c r="V2520">
        <v>-0.24155599999999999</v>
      </c>
      <c r="W2520">
        <v>0.35801680000000002</v>
      </c>
      <c r="X2520">
        <v>0.90192830000000002</v>
      </c>
      <c r="Y2520">
        <v>-0.30139919999999998</v>
      </c>
      <c r="Z2520">
        <v>4.8745129999999998E-2</v>
      </c>
      <c r="AA2520">
        <v>0.95225130000000002</v>
      </c>
      <c r="AB2520">
        <v>29</v>
      </c>
      <c r="AC2520">
        <v>-5.0068999999999697</v>
      </c>
      <c r="AD2520">
        <v>-1.1224662360972999</v>
      </c>
      <c r="AE2520">
        <v>-6.9951999999999499</v>
      </c>
      <c r="AF2520">
        <v>-2.5863543654239298</v>
      </c>
      <c r="AG2520">
        <v>-1.1224662360972999</v>
      </c>
      <c r="AH2520">
        <v>8.0533039097556394</v>
      </c>
      <c r="AI2520">
        <v>97.559209264923496</v>
      </c>
      <c r="AJ2520">
        <v>107.804652367874</v>
      </c>
      <c r="AK2520">
        <v>8.5325765872690198</v>
      </c>
      <c r="AL2520">
        <v>69.021549099848798</v>
      </c>
      <c r="AM2520">
        <v>104.99318607553199</v>
      </c>
      <c r="AN2520">
        <v>0.99999999427956499</v>
      </c>
    </row>
    <row r="2521" spans="1:40" x14ac:dyDescent="0.25">
      <c r="A2521" t="str">
        <f>"20190304164419145"</f>
        <v>20190304164419145</v>
      </c>
      <c r="B2521" t="str">
        <f>"1551689059132711"</f>
        <v>1551689059132711</v>
      </c>
      <c r="C2521" t="s">
        <v>40</v>
      </c>
      <c r="D2521">
        <v>5.1252170000000001</v>
      </c>
      <c r="E2521">
        <v>0.47228799999999999</v>
      </c>
      <c r="F2521" t="s">
        <v>47</v>
      </c>
      <c r="G2521">
        <v>-488.14429999999999</v>
      </c>
      <c r="H2521" s="1">
        <v>6.9738699999999899E-7</v>
      </c>
      <c r="I2521">
        <v>272.04419999999999</v>
      </c>
      <c r="J2521">
        <v>-483.09160000000003</v>
      </c>
      <c r="K2521">
        <v>1.1224689999999999</v>
      </c>
      <c r="L2521">
        <v>279.1653</v>
      </c>
      <c r="M2521">
        <v>-0.79736249999999997</v>
      </c>
      <c r="N2521">
        <v>-1.585918E-2</v>
      </c>
      <c r="O2521">
        <v>-0.60329219999999995</v>
      </c>
      <c r="P2521">
        <v>-0.58361790000000002</v>
      </c>
      <c r="Q2521">
        <v>0.35183550000000002</v>
      </c>
      <c r="R2521">
        <v>-0.73184859999999996</v>
      </c>
      <c r="S2521">
        <v>-1.9622189999999999</v>
      </c>
      <c r="T2521">
        <v>-0.42517450000000001</v>
      </c>
      <c r="U2521">
        <v>-2.7374269999999998</v>
      </c>
      <c r="V2521">
        <v>-0.2416642</v>
      </c>
      <c r="W2521">
        <v>0.359539</v>
      </c>
      <c r="X2521">
        <v>0.90129360000000003</v>
      </c>
      <c r="Y2521">
        <v>-0.29717450000000001</v>
      </c>
      <c r="Z2521">
        <v>4.9079240000000003E-2</v>
      </c>
      <c r="AA2521">
        <v>0.95356090000000004</v>
      </c>
      <c r="AB2521">
        <v>29</v>
      </c>
      <c r="AC2521">
        <v>-5.05269999999995</v>
      </c>
      <c r="AD2521">
        <v>-1.122468302613</v>
      </c>
      <c r="AE2521">
        <v>-7.12110000000001</v>
      </c>
      <c r="AF2521">
        <v>-2.5874149848225798</v>
      </c>
      <c r="AG2521">
        <v>-1.122468302613</v>
      </c>
      <c r="AH2521">
        <v>8.1906271032570608</v>
      </c>
      <c r="AI2521">
        <v>97.445094113195793</v>
      </c>
      <c r="AJ2521">
        <v>107.531300446274</v>
      </c>
      <c r="AK2521">
        <v>8.6626222207057193</v>
      </c>
      <c r="AL2521">
        <v>68.928113206626094</v>
      </c>
      <c r="AM2521">
        <v>105.009685699364</v>
      </c>
      <c r="AN2521">
        <v>1.0000000157417901</v>
      </c>
    </row>
    <row r="2522" spans="1:40" x14ac:dyDescent="0.25">
      <c r="A2522" t="str">
        <f>"20190304164419160"</f>
        <v>20190304164419160</v>
      </c>
      <c r="B2522" t="str">
        <f>"1551689059152230"</f>
        <v>1551689059152230</v>
      </c>
      <c r="C2522" t="s">
        <v>40</v>
      </c>
      <c r="D2522">
        <v>5.1223179999999999</v>
      </c>
      <c r="E2522">
        <v>0.47321570000000002</v>
      </c>
      <c r="F2522" t="s">
        <v>47</v>
      </c>
      <c r="G2522">
        <v>-488.2602</v>
      </c>
      <c r="H2522" s="1">
        <v>6.3555969999999897E-7</v>
      </c>
      <c r="I2522">
        <v>271.84010000000001</v>
      </c>
      <c r="J2522">
        <v>-483.23809999999997</v>
      </c>
      <c r="K2522">
        <v>1.122465</v>
      </c>
      <c r="L2522">
        <v>279.0421</v>
      </c>
      <c r="M2522">
        <v>-0.79111880000000001</v>
      </c>
      <c r="N2522">
        <v>-1.582128E-2</v>
      </c>
      <c r="O2522">
        <v>-0.61145819999999995</v>
      </c>
      <c r="P2522">
        <v>-0.57627799999999996</v>
      </c>
      <c r="Q2522">
        <v>0.35293099999999999</v>
      </c>
      <c r="R2522">
        <v>-0.73711870000000002</v>
      </c>
      <c r="S2522">
        <v>-1.9425049999999999</v>
      </c>
      <c r="T2522">
        <v>-0.4218539</v>
      </c>
      <c r="U2522">
        <v>-2.7529910000000002</v>
      </c>
      <c r="V2522">
        <v>-0.24101259999999999</v>
      </c>
      <c r="W2522">
        <v>0.36061700000000002</v>
      </c>
      <c r="X2522">
        <v>0.90103739999999999</v>
      </c>
      <c r="Y2522">
        <v>-0.29449429999999999</v>
      </c>
      <c r="Z2522">
        <v>4.9794980000000003E-2</v>
      </c>
      <c r="AA2522">
        <v>0.95435510000000001</v>
      </c>
      <c r="AB2522">
        <v>29</v>
      </c>
      <c r="AC2522">
        <v>-5.0221000000000204</v>
      </c>
      <c r="AD2522">
        <v>-1.1224643644403001</v>
      </c>
      <c r="AE2522">
        <v>-7.2019999999999902</v>
      </c>
      <c r="AF2522">
        <v>-2.5849150790701101</v>
      </c>
      <c r="AG2522">
        <v>-1.1224643644403001</v>
      </c>
      <c r="AH2522">
        <v>8.2431249914668303</v>
      </c>
      <c r="AI2522">
        <v>97.403032048638394</v>
      </c>
      <c r="AJ2522">
        <v>107.410608914184</v>
      </c>
      <c r="AK2522">
        <v>8.7115338397085704</v>
      </c>
      <c r="AL2522">
        <v>68.861908064477007</v>
      </c>
      <c r="AM2522">
        <v>104.975100042845</v>
      </c>
      <c r="AN2522">
        <v>1.00000004512325</v>
      </c>
    </row>
    <row r="2523" spans="1:40" x14ac:dyDescent="0.25">
      <c r="A2523" t="str">
        <f>"20190304164419171"</f>
        <v>20190304164419171</v>
      </c>
      <c r="B2523" t="str">
        <f>"1551689059161991"</f>
        <v>1551689059161991</v>
      </c>
      <c r="C2523" t="s">
        <v>40</v>
      </c>
      <c r="D2523">
        <v>5.1616549999999997</v>
      </c>
      <c r="E2523">
        <v>0.47367589999999998</v>
      </c>
      <c r="F2523" t="s">
        <v>47</v>
      </c>
      <c r="G2523">
        <v>-488.37549999999999</v>
      </c>
      <c r="H2523" s="1">
        <v>5.7716419999999905E-7</v>
      </c>
      <c r="I2523">
        <v>271.64609999999999</v>
      </c>
      <c r="J2523">
        <v>-483.3519</v>
      </c>
      <c r="K2523">
        <v>1.1224559999999999</v>
      </c>
      <c r="L2523">
        <v>278.94479999999999</v>
      </c>
      <c r="M2523">
        <v>-0.78617360000000003</v>
      </c>
      <c r="N2523">
        <v>-1.579378E-2</v>
      </c>
      <c r="O2523">
        <v>-0.61780419999999903</v>
      </c>
      <c r="P2523">
        <v>-0.57089100000000004</v>
      </c>
      <c r="Q2523">
        <v>0.35320069999999998</v>
      </c>
      <c r="R2523">
        <v>-0.74116990000000005</v>
      </c>
      <c r="S2523">
        <v>-1.922607</v>
      </c>
      <c r="T2523">
        <v>-0.42006749999999998</v>
      </c>
      <c r="U2523">
        <v>-2.7678829999999999</v>
      </c>
      <c r="V2523">
        <v>-0.2402271</v>
      </c>
      <c r="W2523">
        <v>0.36088769999999998</v>
      </c>
      <c r="X2523">
        <v>0.90113869999999896</v>
      </c>
      <c r="Y2523">
        <v>-0.29386259999999997</v>
      </c>
      <c r="Z2523">
        <v>5.037034E-2</v>
      </c>
      <c r="AA2523">
        <v>0.95451960000000002</v>
      </c>
      <c r="AB2523">
        <v>28</v>
      </c>
      <c r="AC2523">
        <v>-5.0235999999999796</v>
      </c>
      <c r="AD2523">
        <v>-1.1224554228357999</v>
      </c>
      <c r="AE2523">
        <v>-7.2986999999999904</v>
      </c>
      <c r="AF2523">
        <v>-2.5931566541653401</v>
      </c>
      <c r="AG2523">
        <v>-1.1224554228357999</v>
      </c>
      <c r="AH2523">
        <v>8.3260248737628295</v>
      </c>
      <c r="AI2523">
        <v>97.334473145381907</v>
      </c>
      <c r="AJ2523">
        <v>107.29930172791499</v>
      </c>
      <c r="AK2523">
        <v>8.7924432217565602</v>
      </c>
      <c r="AL2523">
        <v>68.845276700570196</v>
      </c>
      <c r="AM2523">
        <v>104.92687284922999</v>
      </c>
      <c r="AN2523">
        <v>0.99999997411169395</v>
      </c>
    </row>
    <row r="2524" spans="1:40" x14ac:dyDescent="0.25">
      <c r="A2524" t="str">
        <f>"20190304164419183"</f>
        <v>20190304164419183</v>
      </c>
      <c r="B2524" t="str">
        <f>"1551689059172727"</f>
        <v>1551689059172727</v>
      </c>
      <c r="C2524" t="s">
        <v>40</v>
      </c>
      <c r="D2524">
        <v>5.1743800000000002</v>
      </c>
      <c r="E2524">
        <v>0.47439199999999998</v>
      </c>
      <c r="F2524" t="s">
        <v>47</v>
      </c>
      <c r="G2524">
        <v>-488.4366</v>
      </c>
      <c r="H2524" s="1">
        <v>5.4070539999999997E-7</v>
      </c>
      <c r="I2524">
        <v>271.52760000000001</v>
      </c>
      <c r="J2524">
        <v>-483.45749999999998</v>
      </c>
      <c r="K2524">
        <v>1.1224419999999999</v>
      </c>
      <c r="L2524">
        <v>278.85239999999999</v>
      </c>
      <c r="M2524">
        <v>-0.78149409999999997</v>
      </c>
      <c r="N2524">
        <v>-1.5770240000000001E-2</v>
      </c>
      <c r="O2524">
        <v>-0.62371330000000003</v>
      </c>
      <c r="P2524">
        <v>-0.566046099999999</v>
      </c>
      <c r="Q2524">
        <v>0.35259079999999998</v>
      </c>
      <c r="R2524">
        <v>-0.74516559999999998</v>
      </c>
      <c r="S2524">
        <v>-1.905823</v>
      </c>
      <c r="T2524">
        <v>-0.42071940000000002</v>
      </c>
      <c r="U2524">
        <v>-2.7801209999999998</v>
      </c>
      <c r="V2524">
        <v>-0.23950730000000001</v>
      </c>
      <c r="W2524">
        <v>0.36028649999999901</v>
      </c>
      <c r="X2524">
        <v>0.90157080000000001</v>
      </c>
      <c r="Y2524">
        <v>-0.29257369999999999</v>
      </c>
      <c r="Z2524">
        <v>5.1286100000000001E-2</v>
      </c>
      <c r="AA2524">
        <v>0.95486660000000001</v>
      </c>
      <c r="AB2524">
        <v>28</v>
      </c>
      <c r="AC2524">
        <v>-4.9791000000000096</v>
      </c>
      <c r="AD2524">
        <v>-1.1224414592945999</v>
      </c>
      <c r="AE2524">
        <v>-7.3247999999999802</v>
      </c>
      <c r="AF2524">
        <v>-2.5776831520323</v>
      </c>
      <c r="AG2524">
        <v>-1.1224414592945999</v>
      </c>
      <c r="AH2524">
        <v>8.3270259509954094</v>
      </c>
      <c r="AI2524">
        <v>97.337405926857997</v>
      </c>
      <c r="AJ2524">
        <v>107.20023881536299</v>
      </c>
      <c r="AK2524">
        <v>8.7888387429947503</v>
      </c>
      <c r="AL2524">
        <v>68.882208171701606</v>
      </c>
      <c r="AM2524">
        <v>104.877317800749</v>
      </c>
      <c r="AN2524">
        <v>1.0000000081240801</v>
      </c>
    </row>
    <row r="2525" spans="1:40" x14ac:dyDescent="0.25">
      <c r="A2525" t="str">
        <f>"20190304164419199"</f>
        <v>20190304164419199</v>
      </c>
      <c r="B2525" t="str">
        <f>"1551689059192247"</f>
        <v>1551689059192247</v>
      </c>
      <c r="C2525" t="s">
        <v>40</v>
      </c>
      <c r="D2525">
        <v>5.1815189999999998</v>
      </c>
      <c r="E2525">
        <v>0.47539140000000002</v>
      </c>
      <c r="F2525" t="s">
        <v>47</v>
      </c>
      <c r="G2525">
        <v>-488.43200000000002</v>
      </c>
      <c r="H2525" s="1">
        <v>5.3466219999999898E-7</v>
      </c>
      <c r="I2525">
        <v>271.51159999999999</v>
      </c>
      <c r="J2525">
        <v>-483.60840000000002</v>
      </c>
      <c r="K2525">
        <v>1.122411</v>
      </c>
      <c r="L2525">
        <v>278.71859999999998</v>
      </c>
      <c r="M2525">
        <v>-0.77468870000000001</v>
      </c>
      <c r="N2525">
        <v>-1.5738229999999999E-2</v>
      </c>
      <c r="O2525">
        <v>-0.63214669999999995</v>
      </c>
      <c r="P2525">
        <v>-0.55918440000000003</v>
      </c>
      <c r="Q2525">
        <v>0.3497922</v>
      </c>
      <c r="R2525">
        <v>-0.75163669999999905</v>
      </c>
      <c r="S2525">
        <v>-1.8913880000000001</v>
      </c>
      <c r="T2525">
        <v>-0.42677189999999998</v>
      </c>
      <c r="U2525">
        <v>-2.7911069999999998</v>
      </c>
      <c r="V2525">
        <v>-0.23892579999999999</v>
      </c>
      <c r="W2525">
        <v>0.35749989999999998</v>
      </c>
      <c r="X2525">
        <v>0.90283349999999996</v>
      </c>
      <c r="Y2525">
        <v>-0.28743489999999999</v>
      </c>
      <c r="Z2525">
        <v>5.3560759999999999E-2</v>
      </c>
      <c r="AA2525">
        <v>0.95630150000000003</v>
      </c>
      <c r="AB2525">
        <v>28</v>
      </c>
      <c r="AC2525">
        <v>-4.8235999999999404</v>
      </c>
      <c r="AD2525">
        <v>-1.1224104653378</v>
      </c>
      <c r="AE2525">
        <v>-7.2069999999999901</v>
      </c>
      <c r="AF2525">
        <v>-2.4925207641263998</v>
      </c>
      <c r="AG2525">
        <v>-1.1224104653378</v>
      </c>
      <c r="AH2525">
        <v>8.1570594924710598</v>
      </c>
      <c r="AI2525">
        <v>97.496676173991304</v>
      </c>
      <c r="AJ2525">
        <v>106.991375258999</v>
      </c>
      <c r="AK2525">
        <v>8.6029114011486403</v>
      </c>
      <c r="AL2525">
        <v>69.053265011230906</v>
      </c>
      <c r="AM2525">
        <v>104.822948901846</v>
      </c>
      <c r="AN2525">
        <v>1.00000002256394</v>
      </c>
    </row>
    <row r="2526" spans="1:40" x14ac:dyDescent="0.25">
      <c r="A2526" t="str">
        <f>"20190304164419211"</f>
        <v>20190304164419211</v>
      </c>
      <c r="B2526" t="str">
        <f>"1551689059202006"</f>
        <v>1551689059202006</v>
      </c>
      <c r="C2526" t="s">
        <v>40</v>
      </c>
      <c r="D2526">
        <v>5.1821390000000003</v>
      </c>
      <c r="E2526">
        <v>0.47592259999999997</v>
      </c>
      <c r="F2526" t="s">
        <v>47</v>
      </c>
      <c r="G2526">
        <v>-488.34620000000001</v>
      </c>
      <c r="H2526" s="1">
        <v>5.6029819999999999E-7</v>
      </c>
      <c r="I2526">
        <v>271.60570000000001</v>
      </c>
      <c r="J2526">
        <v>-483.72500000000002</v>
      </c>
      <c r="K2526">
        <v>1.1223909999999999</v>
      </c>
      <c r="L2526">
        <v>278.61329999999998</v>
      </c>
      <c r="M2526">
        <v>-0.76932880000000003</v>
      </c>
      <c r="N2526">
        <v>-1.5715010000000001E-2</v>
      </c>
      <c r="O2526">
        <v>-0.63866000000000001</v>
      </c>
      <c r="P2526">
        <v>-0.55312099999999997</v>
      </c>
      <c r="Q2526">
        <v>0.34809289999999998</v>
      </c>
      <c r="R2526">
        <v>-0.75689410000000001</v>
      </c>
      <c r="S2526">
        <v>-1.8694459999999999</v>
      </c>
      <c r="T2526">
        <v>-0.4428822</v>
      </c>
      <c r="U2526">
        <v>-2.80661</v>
      </c>
      <c r="V2526">
        <v>-0.23911399999999999</v>
      </c>
      <c r="W2526">
        <v>0.35578880000000002</v>
      </c>
      <c r="X2526">
        <v>0.90345940000000002</v>
      </c>
      <c r="Y2526">
        <v>-0.28709499999999999</v>
      </c>
      <c r="Z2526">
        <v>5.688518E-2</v>
      </c>
      <c r="AA2526">
        <v>0.95621160000000005</v>
      </c>
      <c r="AB2526">
        <v>28</v>
      </c>
      <c r="AC2526">
        <v>-4.6211999999999804</v>
      </c>
      <c r="AD2526">
        <v>-1.1223904397018001</v>
      </c>
      <c r="AE2526">
        <v>-7.0075999999999601</v>
      </c>
      <c r="AF2526">
        <v>-2.3972149641737999</v>
      </c>
      <c r="AG2526">
        <v>-1.1223904397018001</v>
      </c>
      <c r="AH2526">
        <v>7.8906133965181802</v>
      </c>
      <c r="AI2526">
        <v>97.750415206974594</v>
      </c>
      <c r="AJ2526">
        <v>106.89909136835399</v>
      </c>
      <c r="AK2526">
        <v>8.3227507265870297</v>
      </c>
      <c r="AL2526">
        <v>69.158204833829899</v>
      </c>
      <c r="AM2526">
        <v>104.824286077883</v>
      </c>
      <c r="AN2526">
        <v>1.00000003132489</v>
      </c>
    </row>
    <row r="2527" spans="1:40" x14ac:dyDescent="0.25">
      <c r="A2527" t="str">
        <f>"20190304164419232"</f>
        <v>20190304164419232</v>
      </c>
      <c r="B2527" t="str">
        <f>"1551689059222503"</f>
        <v>1551689059222503</v>
      </c>
      <c r="C2527" t="s">
        <v>40</v>
      </c>
      <c r="D2527">
        <v>5.2041089999999999</v>
      </c>
      <c r="E2527">
        <v>0.4766707</v>
      </c>
      <c r="F2527" t="s">
        <v>47</v>
      </c>
      <c r="G2527">
        <v>-488.32190000000003</v>
      </c>
      <c r="H2527" s="1">
        <v>5.5844779999999999E-7</v>
      </c>
      <c r="I2527">
        <v>271.60649999999998</v>
      </c>
      <c r="J2527">
        <v>-483.90410000000003</v>
      </c>
      <c r="K2527">
        <v>1.1223540000000001</v>
      </c>
      <c r="L2527">
        <v>278.44749999999999</v>
      </c>
      <c r="M2527">
        <v>-0.76089659999999903</v>
      </c>
      <c r="N2527">
        <v>-1.5681250000000001E-2</v>
      </c>
      <c r="O2527">
        <v>-0.64868369999999997</v>
      </c>
      <c r="P2527">
        <v>-0.54316009999999904</v>
      </c>
      <c r="Q2527">
        <v>0.34605269999999999</v>
      </c>
      <c r="R2527">
        <v>-0.76500000000000001</v>
      </c>
      <c r="S2527">
        <v>-1.8497920000000001</v>
      </c>
      <c r="T2527">
        <v>-0.45164739999999998</v>
      </c>
      <c r="U2527">
        <v>-2.8195190000000001</v>
      </c>
      <c r="V2527">
        <v>-0.23973839999999999</v>
      </c>
      <c r="W2527">
        <v>0.3537228</v>
      </c>
      <c r="X2527">
        <v>0.90410489999999999</v>
      </c>
      <c r="Y2527">
        <v>-0.28134490000000001</v>
      </c>
      <c r="Z2527">
        <v>5.9960289999999999E-2</v>
      </c>
      <c r="AA2527">
        <v>0.95773160000000002</v>
      </c>
      <c r="AB2527">
        <v>28</v>
      </c>
      <c r="AC2527">
        <v>-4.4177999999999997</v>
      </c>
      <c r="AD2527">
        <v>-1.1223534415522001</v>
      </c>
      <c r="AE2527">
        <v>-6.8410000000000002</v>
      </c>
      <c r="AF2527">
        <v>-2.2962098807711899</v>
      </c>
      <c r="AG2527">
        <v>-1.1223534415522001</v>
      </c>
      <c r="AH2527">
        <v>7.6546920538912904</v>
      </c>
      <c r="AI2527">
        <v>97.994351439512897</v>
      </c>
      <c r="AJ2527">
        <v>106.697886371111</v>
      </c>
      <c r="AK2527">
        <v>8.0701033143462197</v>
      </c>
      <c r="AL2527">
        <v>69.284811855350796</v>
      </c>
      <c r="AM2527">
        <v>104.851144495924</v>
      </c>
      <c r="AN2527">
        <v>0.99999999493920499</v>
      </c>
    </row>
    <row r="2528" spans="1:40" x14ac:dyDescent="0.25">
      <c r="A2528" t="str">
        <f>"20190304164419244"</f>
        <v>20190304164419244</v>
      </c>
      <c r="B2528" t="str">
        <f>"1551689059232263"</f>
        <v>1551689059232263</v>
      </c>
      <c r="C2528" t="s">
        <v>40</v>
      </c>
      <c r="D2528">
        <v>5.1861569999999997</v>
      </c>
      <c r="E2528">
        <v>0.48552659999999997</v>
      </c>
      <c r="F2528" t="s">
        <v>47</v>
      </c>
      <c r="G2528">
        <v>-488.31360000000001</v>
      </c>
      <c r="H2528" s="1">
        <v>5.3756999999999996E-7</v>
      </c>
      <c r="I2528">
        <v>271.5496</v>
      </c>
      <c r="J2528">
        <v>-484.01519999999999</v>
      </c>
      <c r="K2528">
        <v>1.122323</v>
      </c>
      <c r="L2528">
        <v>278.34230000000002</v>
      </c>
      <c r="M2528">
        <v>-0.75555519999999998</v>
      </c>
      <c r="N2528">
        <v>-1.5661109999999999E-2</v>
      </c>
      <c r="O2528">
        <v>-0.65489770000000003</v>
      </c>
      <c r="P2528">
        <v>-0.5367073</v>
      </c>
      <c r="Q2528">
        <v>0.34556779999999998</v>
      </c>
      <c r="R2528">
        <v>-0.76975859999999996</v>
      </c>
      <c r="S2528">
        <v>-1.8161929999999999</v>
      </c>
      <c r="T2528">
        <v>-0.4622773</v>
      </c>
      <c r="U2528">
        <v>-2.8411559999999998</v>
      </c>
      <c r="V2528">
        <v>-0.24006710000000001</v>
      </c>
      <c r="W2528">
        <v>0.3532228</v>
      </c>
      <c r="X2528">
        <v>0.90421309999999999</v>
      </c>
      <c r="Y2528">
        <v>-0.28490529999999997</v>
      </c>
      <c r="Z2528">
        <v>6.2293969999999997E-2</v>
      </c>
      <c r="AA2528">
        <v>0.95652939999999997</v>
      </c>
      <c r="AB2528">
        <v>28</v>
      </c>
      <c r="AC2528">
        <v>-4.2984000000000098</v>
      </c>
      <c r="AD2528">
        <v>-1.1223224624299999</v>
      </c>
      <c r="AE2528">
        <v>-6.7927000000000204</v>
      </c>
      <c r="AF2528">
        <v>-2.27321899445676</v>
      </c>
      <c r="AG2528">
        <v>-1.1223224624299999</v>
      </c>
      <c r="AH2528">
        <v>7.5499714631641996</v>
      </c>
      <c r="AI2528">
        <v>98.101093657614996</v>
      </c>
      <c r="AJ2528">
        <v>106.75650949733</v>
      </c>
      <c r="AK2528">
        <v>7.9642451871491096</v>
      </c>
      <c r="AL2528">
        <v>69.315435651833894</v>
      </c>
      <c r="AM2528">
        <v>104.86890435226699</v>
      </c>
      <c r="AN2528">
        <v>0.99999994457692798</v>
      </c>
    </row>
    <row r="2529" spans="1:40" x14ac:dyDescent="0.25">
      <c r="A2529" t="str">
        <f>"20190304164419257"</f>
        <v>20190304164419257</v>
      </c>
      <c r="B2529" t="str">
        <f>"1551689059252759"</f>
        <v>1551689059252759</v>
      </c>
      <c r="C2529" t="s">
        <v>40</v>
      </c>
      <c r="D2529">
        <v>5.2036379999999998</v>
      </c>
      <c r="E2529">
        <v>0.48733929999999998</v>
      </c>
      <c r="F2529" t="s">
        <v>47</v>
      </c>
      <c r="G2529">
        <v>-488.2867</v>
      </c>
      <c r="H2529" s="1">
        <v>6.3946419999999897E-7</v>
      </c>
      <c r="I2529">
        <v>271.84449999999998</v>
      </c>
      <c r="J2529">
        <v>-484.13589999999999</v>
      </c>
      <c r="K2529">
        <v>1.122295</v>
      </c>
      <c r="L2529">
        <v>278.22649999999999</v>
      </c>
      <c r="M2529">
        <v>-0.74966440000000001</v>
      </c>
      <c r="N2529">
        <v>-1.5639549999999999E-2</v>
      </c>
      <c r="O2529">
        <v>-0.66163359999999904</v>
      </c>
      <c r="P2529">
        <v>-0.52955859999999899</v>
      </c>
      <c r="Q2529">
        <v>0.34587400000000001</v>
      </c>
      <c r="R2529">
        <v>-0.77455719999999995</v>
      </c>
      <c r="S2529">
        <v>-1.8554379999999999</v>
      </c>
      <c r="T2529">
        <v>-0.48750280000000001</v>
      </c>
      <c r="U2529">
        <v>-2.8224179999999999</v>
      </c>
      <c r="V2529">
        <v>-0.24023</v>
      </c>
      <c r="W2529">
        <v>0.35351680000000002</v>
      </c>
      <c r="X2529">
        <v>0.90405500000000005</v>
      </c>
      <c r="Y2529">
        <v>-0.26438820000000002</v>
      </c>
      <c r="Z2529">
        <v>6.8468409999999993E-2</v>
      </c>
      <c r="AA2529">
        <v>0.96198280000000003</v>
      </c>
      <c r="AB2529">
        <v>28</v>
      </c>
      <c r="AC2529">
        <v>-4.1508000000000003</v>
      </c>
      <c r="AD2529">
        <v>-1.1222943605358</v>
      </c>
      <c r="AE2529">
        <v>-6.3819999999999997</v>
      </c>
      <c r="AF2529">
        <v>-1.9949450172602501</v>
      </c>
      <c r="AG2529">
        <v>-1.1222943605358</v>
      </c>
      <c r="AH2529">
        <v>7.1791342966976597</v>
      </c>
      <c r="AI2529">
        <v>98.565509759365497</v>
      </c>
      <c r="AJ2529">
        <v>105.529601393364</v>
      </c>
      <c r="AK2529">
        <v>7.53520533917973</v>
      </c>
      <c r="AL2529">
        <v>69.297430424960197</v>
      </c>
      <c r="AM2529">
        <v>104.88103294981001</v>
      </c>
      <c r="AN2529">
        <v>1.0000000119036201</v>
      </c>
    </row>
    <row r="2530" spans="1:40" x14ac:dyDescent="0.25">
      <c r="A2530" t="str">
        <f>"20190304164419269"</f>
        <v>20190304164419269</v>
      </c>
      <c r="B2530" t="str">
        <f>"1551689059262519"</f>
        <v>1551689059262519</v>
      </c>
      <c r="C2530" t="s">
        <v>40</v>
      </c>
      <c r="D2530">
        <v>5.1833269999999896</v>
      </c>
      <c r="E2530">
        <v>0.488344</v>
      </c>
      <c r="F2530" t="s">
        <v>47</v>
      </c>
      <c r="G2530">
        <v>-488.327</v>
      </c>
      <c r="H2530" s="1">
        <v>6.228993E-7</v>
      </c>
      <c r="I2530">
        <v>271.7876</v>
      </c>
      <c r="J2530">
        <v>-484.24290000000002</v>
      </c>
      <c r="K2530">
        <v>1.122268</v>
      </c>
      <c r="L2530">
        <v>278.12180000000001</v>
      </c>
      <c r="M2530">
        <v>-0.74435410000000002</v>
      </c>
      <c r="N2530">
        <v>-1.5620500000000001E-2</v>
      </c>
      <c r="O2530">
        <v>-0.66760249999999999</v>
      </c>
      <c r="P2530">
        <v>-0.52334979999999998</v>
      </c>
      <c r="Q2530">
        <v>0.34607310000000002</v>
      </c>
      <c r="R2530">
        <v>-0.77867730000000002</v>
      </c>
      <c r="S2530">
        <v>-1.8439939999999999</v>
      </c>
      <c r="T2530">
        <v>-0.49378660000000002</v>
      </c>
      <c r="U2530">
        <v>-2.8329770000000001</v>
      </c>
      <c r="V2530">
        <v>-0.2401481</v>
      </c>
      <c r="W2530">
        <v>0.35371609999999998</v>
      </c>
      <c r="X2530">
        <v>0.90399879999999999</v>
      </c>
      <c r="Y2530">
        <v>-0.26115549999999998</v>
      </c>
      <c r="Z2530">
        <v>7.0531410000000003E-2</v>
      </c>
      <c r="AA2530">
        <v>0.96271660000000003</v>
      </c>
      <c r="AB2530">
        <v>28</v>
      </c>
      <c r="AC2530">
        <v>-4.0840999999999701</v>
      </c>
      <c r="AD2530">
        <v>-1.1222673771006999</v>
      </c>
      <c r="AE2530">
        <v>-6.3342000000000098</v>
      </c>
      <c r="AF2530">
        <v>-1.9454381818898501</v>
      </c>
      <c r="AG2530">
        <v>-1.1222673771006999</v>
      </c>
      <c r="AH2530">
        <v>7.1119361017699703</v>
      </c>
      <c r="AI2530">
        <v>98.654483984284298</v>
      </c>
      <c r="AJ2530">
        <v>105.298745484037</v>
      </c>
      <c r="AK2530">
        <v>7.4581397748311504</v>
      </c>
      <c r="AL2530">
        <v>69.2852225931682</v>
      </c>
      <c r="AM2530">
        <v>104.877068457498</v>
      </c>
      <c r="AN2530">
        <v>1.00000000986713</v>
      </c>
    </row>
    <row r="2531" spans="1:40" x14ac:dyDescent="0.25">
      <c r="A2531" t="str">
        <f>"20190304164419281"</f>
        <v>20190304164419281</v>
      </c>
      <c r="B2531" t="str">
        <f>"1551689059272279"</f>
        <v>1551689059272279</v>
      </c>
      <c r="C2531" t="s">
        <v>40</v>
      </c>
      <c r="D2531">
        <v>5.2065340000000004</v>
      </c>
      <c r="E2531">
        <v>0.48900529999999998</v>
      </c>
      <c r="F2531" t="s">
        <v>47</v>
      </c>
      <c r="G2531">
        <v>-488.37619999999998</v>
      </c>
      <c r="H2531" s="1">
        <v>5.9647409999999999E-7</v>
      </c>
      <c r="I2531">
        <v>271.70049999999998</v>
      </c>
      <c r="J2531">
        <v>-484.3451</v>
      </c>
      <c r="K2531">
        <v>1.1222379999999901</v>
      </c>
      <c r="L2531">
        <v>278.02010000000001</v>
      </c>
      <c r="M2531">
        <v>-0.73920859999999899</v>
      </c>
      <c r="N2531">
        <v>-1.560221E-2</v>
      </c>
      <c r="O2531">
        <v>-0.67329600000000001</v>
      </c>
      <c r="P2531">
        <v>-0.51719129999999902</v>
      </c>
      <c r="Q2531">
        <v>0.346641799999999</v>
      </c>
      <c r="R2531">
        <v>-0.78252980000000005</v>
      </c>
      <c r="S2531">
        <v>-1.8302609999999999</v>
      </c>
      <c r="T2531">
        <v>-0.49694470000000002</v>
      </c>
      <c r="U2531">
        <v>-2.8433839999999999</v>
      </c>
      <c r="V2531">
        <v>-0.24014479999999999</v>
      </c>
      <c r="W2531">
        <v>0.35428300000000001</v>
      </c>
      <c r="X2531">
        <v>0.90377770000000002</v>
      </c>
      <c r="Y2531">
        <v>-0.2587121</v>
      </c>
      <c r="Z2531">
        <v>7.2037409999999996E-2</v>
      </c>
      <c r="AA2531">
        <v>0.96326460000000003</v>
      </c>
      <c r="AB2531">
        <v>28</v>
      </c>
      <c r="AC2531">
        <v>-4.0310999999999799</v>
      </c>
      <c r="AD2531">
        <v>-1.1222374035259</v>
      </c>
      <c r="AE2531">
        <v>-6.3196000000000296</v>
      </c>
      <c r="AF2531">
        <v>-1.91469976174092</v>
      </c>
      <c r="AG2531">
        <v>-1.1222374035259</v>
      </c>
      <c r="AH2531">
        <v>7.0770353234943402</v>
      </c>
      <c r="AI2531">
        <v>98.702781895364197</v>
      </c>
      <c r="AJ2531">
        <v>105.139001808164</v>
      </c>
      <c r="AK2531">
        <v>7.4168673264033798</v>
      </c>
      <c r="AL2531">
        <v>69.250493573845802</v>
      </c>
      <c r="AM2531">
        <v>104.880351121803</v>
      </c>
      <c r="AN2531">
        <v>1.0000000500366599</v>
      </c>
    </row>
    <row r="2532" spans="1:40" x14ac:dyDescent="0.25">
      <c r="A2532" t="str">
        <f>"20190304164419291"</f>
        <v>20190304164419291</v>
      </c>
      <c r="B2532" t="str">
        <f>"1551689059282039"</f>
        <v>1551689059282039</v>
      </c>
      <c r="C2532" t="s">
        <v>40</v>
      </c>
      <c r="D2532">
        <v>5.2098659999999999</v>
      </c>
      <c r="E2532">
        <v>0.48900529999999998</v>
      </c>
      <c r="F2532" t="s">
        <v>47</v>
      </c>
      <c r="G2532">
        <v>-488.44479999999999</v>
      </c>
      <c r="H2532" s="1">
        <v>5.5488259999999996E-7</v>
      </c>
      <c r="I2532">
        <v>271.56560000000002</v>
      </c>
      <c r="J2532">
        <v>-484.44110000000001</v>
      </c>
      <c r="K2532">
        <v>1.1222049999999999</v>
      </c>
      <c r="L2532">
        <v>277.9237</v>
      </c>
      <c r="M2532">
        <v>-0.73431689999999905</v>
      </c>
      <c r="N2532">
        <v>-1.558522E-2</v>
      </c>
      <c r="O2532">
        <v>-0.67862800000000001</v>
      </c>
      <c r="P2532">
        <v>-0.51169120000000001</v>
      </c>
      <c r="Q2532">
        <v>0.34707070000000001</v>
      </c>
      <c r="R2532">
        <v>-0.78594799999999998</v>
      </c>
      <c r="S2532">
        <v>-1.8134459999999999</v>
      </c>
      <c r="T2532">
        <v>-0.4964073</v>
      </c>
      <c r="U2532">
        <v>-2.8550719999999998</v>
      </c>
      <c r="V2532">
        <v>-0.23978559999999999</v>
      </c>
      <c r="W2532">
        <v>0.35472300000000001</v>
      </c>
      <c r="X2532">
        <v>0.90370039999999996</v>
      </c>
      <c r="Y2532">
        <v>-0.25758219999999998</v>
      </c>
      <c r="Z2532">
        <v>7.2806819999999994E-2</v>
      </c>
      <c r="AA2532">
        <v>0.96350950000000002</v>
      </c>
      <c r="AB2532">
        <v>28</v>
      </c>
      <c r="AC2532">
        <v>-4.0036999999999798</v>
      </c>
      <c r="AD2532">
        <v>-1.12220444511739</v>
      </c>
      <c r="AE2532">
        <v>-6.3580999999999701</v>
      </c>
      <c r="AF2532">
        <v>-1.9094795233945201</v>
      </c>
      <c r="AG2532">
        <v>-1.12220444511739</v>
      </c>
      <c r="AH2532">
        <v>7.0973297487138698</v>
      </c>
      <c r="AI2532">
        <v>98.681269239771197</v>
      </c>
      <c r="AJ2532">
        <v>105.05840098335599</v>
      </c>
      <c r="AK2532">
        <v>7.4348869815810303</v>
      </c>
      <c r="AL2532">
        <v>69.223530846281804</v>
      </c>
      <c r="AM2532">
        <v>104.86029372559101</v>
      </c>
      <c r="AN2532">
        <v>0.99999997682825903</v>
      </c>
    </row>
    <row r="2533" spans="1:40" x14ac:dyDescent="0.25">
      <c r="A2533" t="str">
        <f>"20190304164419303"</f>
        <v>20190304164419303</v>
      </c>
      <c r="B2533" t="str">
        <f>"1551689059292775"</f>
        <v>1551689059292775</v>
      </c>
      <c r="C2533" t="s">
        <v>40</v>
      </c>
      <c r="D2533">
        <v>5.205241</v>
      </c>
      <c r="E2533">
        <v>0.49042000000000002</v>
      </c>
      <c r="F2533" t="s">
        <v>47</v>
      </c>
      <c r="G2533">
        <v>-488.50869999999998</v>
      </c>
      <c r="H2533" s="1">
        <v>5.0937459999999897E-7</v>
      </c>
      <c r="I2533">
        <v>271.42090000000002</v>
      </c>
      <c r="J2533">
        <v>-484.53489999999999</v>
      </c>
      <c r="K2533">
        <v>1.122166</v>
      </c>
      <c r="L2533">
        <v>277.82740000000001</v>
      </c>
      <c r="M2533">
        <v>-0.72946840000000002</v>
      </c>
      <c r="N2533">
        <v>-1.5568129999999999E-2</v>
      </c>
      <c r="O2533">
        <v>-0.68383769999999999</v>
      </c>
      <c r="P2533">
        <v>-0.50626800000000005</v>
      </c>
      <c r="Q2533">
        <v>0.34679450000000001</v>
      </c>
      <c r="R2533">
        <v>-0.78957379999999999</v>
      </c>
      <c r="S2533">
        <v>-1.793793</v>
      </c>
      <c r="T2533">
        <v>-0.49488900000000002</v>
      </c>
      <c r="U2533">
        <v>-2.867737</v>
      </c>
      <c r="V2533">
        <v>-0.2396221</v>
      </c>
      <c r="W2533">
        <v>0.35445910000000003</v>
      </c>
      <c r="X2533">
        <v>0.90384730000000002</v>
      </c>
      <c r="Y2533">
        <v>-0.25738179999999999</v>
      </c>
      <c r="Z2533">
        <v>7.3345800000000003E-2</v>
      </c>
      <c r="AA2533">
        <v>0.9635222</v>
      </c>
      <c r="AB2533">
        <v>28</v>
      </c>
      <c r="AC2533">
        <v>-3.9737999999999798</v>
      </c>
      <c r="AD2533">
        <v>-1.1221654906253999</v>
      </c>
      <c r="AE2533">
        <v>-6.4064999999999896</v>
      </c>
      <c r="AF2533">
        <v>-1.9137396557211499</v>
      </c>
      <c r="AG2533">
        <v>-1.1221654906253999</v>
      </c>
      <c r="AH2533">
        <v>7.1228305364982996</v>
      </c>
      <c r="AI2533">
        <v>98.651144243230902</v>
      </c>
      <c r="AJ2533">
        <v>105.03889169246899</v>
      </c>
      <c r="AK2533">
        <v>7.4603196788008299</v>
      </c>
      <c r="AL2533">
        <v>69.2397018970007</v>
      </c>
      <c r="AM2533">
        <v>104.848301992035</v>
      </c>
      <c r="AN2533">
        <v>0.99999997304925403</v>
      </c>
    </row>
    <row r="2534" spans="1:40" x14ac:dyDescent="0.25">
      <c r="A2534" t="str">
        <f>"20190304164419317"</f>
        <v>20190304164419317</v>
      </c>
      <c r="B2534" t="str">
        <f>"1551689059312295"</f>
        <v>1551689059312295</v>
      </c>
      <c r="C2534" t="s">
        <v>40</v>
      </c>
      <c r="D2534">
        <v>5.2142999999999997</v>
      </c>
      <c r="E2534">
        <v>0.49105969999999999</v>
      </c>
      <c r="F2534" t="s">
        <v>47</v>
      </c>
      <c r="G2534">
        <v>-488.52850000000001</v>
      </c>
      <c r="H2534" s="1">
        <v>5.0132439999999997E-7</v>
      </c>
      <c r="I2534">
        <v>271.3931</v>
      </c>
      <c r="J2534">
        <v>-484.64620000000002</v>
      </c>
      <c r="K2534">
        <v>1.1221080000000001</v>
      </c>
      <c r="L2534">
        <v>277.7122</v>
      </c>
      <c r="M2534">
        <v>-0.72365259999999998</v>
      </c>
      <c r="N2534">
        <v>-1.554811E-2</v>
      </c>
      <c r="O2534">
        <v>-0.68998939999999997</v>
      </c>
      <c r="P2534">
        <v>-0.50022299999999997</v>
      </c>
      <c r="Q2534">
        <v>0.34595500000000001</v>
      </c>
      <c r="R2534">
        <v>-0.79378369999999998</v>
      </c>
      <c r="S2534">
        <v>-1.7846979999999999</v>
      </c>
      <c r="T2534">
        <v>-0.50148420000000005</v>
      </c>
      <c r="U2534">
        <v>-2.8754270000000002</v>
      </c>
      <c r="V2534">
        <v>-0.23906939999999999</v>
      </c>
      <c r="W2534">
        <v>0.35364970000000001</v>
      </c>
      <c r="X2534">
        <v>0.90431059999999996</v>
      </c>
      <c r="Y2534">
        <v>-0.25267309999999998</v>
      </c>
      <c r="Z2534">
        <v>7.5660649999999996E-2</v>
      </c>
      <c r="AA2534">
        <v>0.96458889999999997</v>
      </c>
      <c r="AB2534">
        <v>28</v>
      </c>
      <c r="AC2534">
        <v>-3.8822999999999799</v>
      </c>
      <c r="AD2534">
        <v>-1.1221074986755999</v>
      </c>
      <c r="AE2534">
        <v>-6.3190999999999899</v>
      </c>
      <c r="AF2534">
        <v>-1.85192221639032</v>
      </c>
      <c r="AG2534">
        <v>-1.1221074986755999</v>
      </c>
      <c r="AH2534">
        <v>7.0099441464296799</v>
      </c>
      <c r="AI2534">
        <v>98.797526720987705</v>
      </c>
      <c r="AJ2534">
        <v>104.798587189203</v>
      </c>
      <c r="AK2534">
        <v>7.3367607341529002</v>
      </c>
      <c r="AL2534">
        <v>69.289289163535102</v>
      </c>
      <c r="AM2534">
        <v>104.808304886356</v>
      </c>
      <c r="AN2534">
        <v>0.99999997479940395</v>
      </c>
    </row>
    <row r="2535" spans="1:40" x14ac:dyDescent="0.25">
      <c r="A2535" t="str">
        <f>"20190304164419329"</f>
        <v>20190304164419329</v>
      </c>
      <c r="B2535" t="str">
        <f>"1551689059322055"</f>
        <v>1551689059322055</v>
      </c>
      <c r="C2535" t="s">
        <v>40</v>
      </c>
      <c r="D2535">
        <v>5.2077960000000001</v>
      </c>
      <c r="E2535">
        <v>0.49797170000000002</v>
      </c>
      <c r="F2535" t="s">
        <v>47</v>
      </c>
      <c r="G2535">
        <v>-488.56740000000002</v>
      </c>
      <c r="H2535" s="1">
        <v>4.738794E-7</v>
      </c>
      <c r="I2535">
        <v>271.3057</v>
      </c>
      <c r="J2535">
        <v>-484.76459999999997</v>
      </c>
      <c r="K2535">
        <v>1.122042</v>
      </c>
      <c r="L2535">
        <v>277.58699999999999</v>
      </c>
      <c r="M2535">
        <v>-0.71737519999999999</v>
      </c>
      <c r="N2535">
        <v>-1.552603E-2</v>
      </c>
      <c r="O2535">
        <v>-0.69651439999999998</v>
      </c>
      <c r="P2535">
        <v>-0.49341499999999999</v>
      </c>
      <c r="Q2535">
        <v>0.3449065</v>
      </c>
      <c r="R2535">
        <v>-0.79848719999999995</v>
      </c>
      <c r="S2535">
        <v>-1.7666630000000001</v>
      </c>
      <c r="T2535">
        <v>-0.50556469999999998</v>
      </c>
      <c r="U2535">
        <v>-2.8864139999999998</v>
      </c>
      <c r="V2535">
        <v>-0.23886019999999999</v>
      </c>
      <c r="W2535">
        <v>0.35262539999999998</v>
      </c>
      <c r="X2535">
        <v>0.90476579999999995</v>
      </c>
      <c r="Y2535">
        <v>-0.25002020000000003</v>
      </c>
      <c r="Z2535">
        <v>7.7542109999999997E-2</v>
      </c>
      <c r="AA2535">
        <v>0.96513059999999995</v>
      </c>
      <c r="AB2535">
        <v>28</v>
      </c>
      <c r="AC2535">
        <v>-3.8028000000000399</v>
      </c>
      <c r="AD2535">
        <v>-1.1220415261206</v>
      </c>
      <c r="AE2535">
        <v>-6.2812999999999803</v>
      </c>
      <c r="AF2535">
        <v>-1.8151815079203699</v>
      </c>
      <c r="AG2535">
        <v>-1.1220415261206</v>
      </c>
      <c r="AH2535">
        <v>6.9418085093558703</v>
      </c>
      <c r="AI2535">
        <v>98.887795277308996</v>
      </c>
      <c r="AJ2535">
        <v>104.65390500295899</v>
      </c>
      <c r="AK2535">
        <v>7.2624077600752202</v>
      </c>
      <c r="AL2535">
        <v>69.352019587158793</v>
      </c>
      <c r="AM2535">
        <v>104.788797720269</v>
      </c>
      <c r="AN2535">
        <v>1.00000001035942</v>
      </c>
    </row>
    <row r="2536" spans="1:40" x14ac:dyDescent="0.25">
      <c r="A2536" t="str">
        <f>"20190304164419343"</f>
        <v>20190304164419343</v>
      </c>
      <c r="B2536" t="str">
        <f>"1551689059332790"</f>
        <v>1551689059332790</v>
      </c>
      <c r="C2536" t="s">
        <v>40</v>
      </c>
      <c r="D2536">
        <v>5.2202630000000001</v>
      </c>
      <c r="E2536">
        <v>0.49927769999999999</v>
      </c>
      <c r="F2536" t="s">
        <v>47</v>
      </c>
      <c r="G2536">
        <v>-488.63630000000001</v>
      </c>
      <c r="H2536" s="1">
        <v>5.0088269999999997E-7</v>
      </c>
      <c r="I2536">
        <v>271.3648</v>
      </c>
      <c r="J2536">
        <v>-484.87700000000001</v>
      </c>
      <c r="K2536">
        <v>1.121977</v>
      </c>
      <c r="L2536">
        <v>277.46609999999998</v>
      </c>
      <c r="M2536">
        <v>-0.71133279999999999</v>
      </c>
      <c r="N2536">
        <v>-1.550437E-2</v>
      </c>
      <c r="O2536">
        <v>-0.70268430000000004</v>
      </c>
      <c r="P2536">
        <v>-0.487765</v>
      </c>
      <c r="Q2536">
        <v>0.34166920000000001</v>
      </c>
      <c r="R2536">
        <v>-0.80333509999999997</v>
      </c>
      <c r="S2536">
        <v>-1.78918499999999</v>
      </c>
      <c r="T2536">
        <v>-0.51852330000000002</v>
      </c>
      <c r="U2536">
        <v>-2.8754270000000002</v>
      </c>
      <c r="V2536">
        <v>-0.23827180000000001</v>
      </c>
      <c r="W2536">
        <v>0.349437</v>
      </c>
      <c r="X2536">
        <v>0.90615690000000004</v>
      </c>
      <c r="Y2536">
        <v>-0.23477680000000001</v>
      </c>
      <c r="Z2536">
        <v>8.1671450000000007E-2</v>
      </c>
      <c r="AA2536">
        <v>0.96861220000000003</v>
      </c>
      <c r="AB2536">
        <v>28</v>
      </c>
      <c r="AC2536">
        <v>-3.7593000000000498</v>
      </c>
      <c r="AD2536">
        <v>-1.1219764991173</v>
      </c>
      <c r="AE2536">
        <v>-6.1012999999999797</v>
      </c>
      <c r="AF2536">
        <v>-1.6580185484962899</v>
      </c>
      <c r="AG2536">
        <v>-1.1219764991173</v>
      </c>
      <c r="AH2536">
        <v>6.7956706802558697</v>
      </c>
      <c r="AI2536">
        <v>99.112437214006903</v>
      </c>
      <c r="AJ2536">
        <v>103.711241395781</v>
      </c>
      <c r="AK2536">
        <v>7.0844192963303998</v>
      </c>
      <c r="AL2536">
        <v>69.547116554010501</v>
      </c>
      <c r="AM2536">
        <v>104.732294688078</v>
      </c>
      <c r="AN2536">
        <v>0.99999999753092506</v>
      </c>
    </row>
    <row r="2537" spans="1:40" x14ac:dyDescent="0.25">
      <c r="A2537" t="str">
        <f>"20190304164419358"</f>
        <v>20190304164419358</v>
      </c>
      <c r="B2537" t="str">
        <f>"1551689059352311"</f>
        <v>1551689059352311</v>
      </c>
      <c r="C2537" t="s">
        <v>40</v>
      </c>
      <c r="D2537">
        <v>5.2110399999999997</v>
      </c>
      <c r="E2537">
        <v>0.50120399999999998</v>
      </c>
      <c r="F2537" t="s">
        <v>47</v>
      </c>
      <c r="G2537">
        <v>-488.5772</v>
      </c>
      <c r="H2537" s="1">
        <v>5.235311E-7</v>
      </c>
      <c r="I2537">
        <v>271.44369999999998</v>
      </c>
      <c r="J2537">
        <v>-484.99459999999999</v>
      </c>
      <c r="K2537">
        <v>1.121907</v>
      </c>
      <c r="L2537">
        <v>277.33760000000001</v>
      </c>
      <c r="M2537">
        <v>-0.70492580000000005</v>
      </c>
      <c r="N2537">
        <v>-1.5481669999999999E-2</v>
      </c>
      <c r="O2537">
        <v>-0.70911219999999997</v>
      </c>
      <c r="P2537">
        <v>-0.48135519999999998</v>
      </c>
      <c r="Q2537">
        <v>0.34079959999999998</v>
      </c>
      <c r="R2537">
        <v>-0.8075601</v>
      </c>
      <c r="S2537">
        <v>-1.7734380000000001</v>
      </c>
      <c r="T2537">
        <v>-0.537740199999999</v>
      </c>
      <c r="U2537">
        <v>-2.8863829999999999</v>
      </c>
      <c r="V2537">
        <v>-0.2374348</v>
      </c>
      <c r="W2537">
        <v>0.34861300000000001</v>
      </c>
      <c r="X2537">
        <v>0.90669379999999999</v>
      </c>
      <c r="Y2537">
        <v>-0.23168349999999999</v>
      </c>
      <c r="Z2537">
        <v>8.6313799999999996E-2</v>
      </c>
      <c r="AA2537">
        <v>0.96895439999999999</v>
      </c>
      <c r="AB2537">
        <v>28</v>
      </c>
      <c r="AC2537">
        <v>-3.58260000000001</v>
      </c>
      <c r="AD2537">
        <v>-1.12190647646889</v>
      </c>
      <c r="AE2537">
        <v>-5.8939000000000297</v>
      </c>
      <c r="AF2537">
        <v>-1.5728754917472401</v>
      </c>
      <c r="AG2537">
        <v>-1.12190647646889</v>
      </c>
      <c r="AH2537">
        <v>6.5328621493377801</v>
      </c>
      <c r="AI2537">
        <v>99.478773389678096</v>
      </c>
      <c r="AJ2537">
        <v>103.53709503552101</v>
      </c>
      <c r="AK2537">
        <v>6.8125545367895803</v>
      </c>
      <c r="AL2537">
        <v>69.597496074447804</v>
      </c>
      <c r="AM2537">
        <v>104.67446389097501</v>
      </c>
      <c r="AN2537">
        <v>0.99999997748923897</v>
      </c>
    </row>
    <row r="2538" spans="1:40" x14ac:dyDescent="0.25">
      <c r="A2538" t="str">
        <f>"20190304164419369"</f>
        <v>20190304164419369</v>
      </c>
      <c r="B2538" t="str">
        <f>"1551689059362071"</f>
        <v>1551689059362071</v>
      </c>
      <c r="C2538" t="s">
        <v>40</v>
      </c>
      <c r="D2538">
        <v>5.1903309999999996</v>
      </c>
      <c r="E2538">
        <v>0.50181209999999998</v>
      </c>
      <c r="F2538" t="s">
        <v>47</v>
      </c>
      <c r="G2538">
        <v>-488.58730000000003</v>
      </c>
      <c r="H2538" s="1">
        <v>5.221581E-7</v>
      </c>
      <c r="I2538">
        <v>271.43729999999999</v>
      </c>
      <c r="J2538">
        <v>-485.10359999999997</v>
      </c>
      <c r="K2538">
        <v>1.1218399999999999</v>
      </c>
      <c r="L2538">
        <v>277.21629999999999</v>
      </c>
      <c r="M2538">
        <v>-0.6989052</v>
      </c>
      <c r="N2538">
        <v>-1.54605E-2</v>
      </c>
      <c r="O2538">
        <v>-0.71504769999999995</v>
      </c>
      <c r="P2538">
        <v>-0.47497250000000002</v>
      </c>
      <c r="Q2538">
        <v>0.34045639999999999</v>
      </c>
      <c r="R2538">
        <v>-0.81147460000000005</v>
      </c>
      <c r="S2538">
        <v>-1.763458</v>
      </c>
      <c r="T2538">
        <v>-0.55068139999999999</v>
      </c>
      <c r="U2538">
        <v>-2.8961489999999999</v>
      </c>
      <c r="V2538">
        <v>-0.2369539</v>
      </c>
      <c r="W2538">
        <v>0.34830100000000003</v>
      </c>
      <c r="X2538">
        <v>0.90693950000000001</v>
      </c>
      <c r="Y2538">
        <v>-0.2275471</v>
      </c>
      <c r="Z2538">
        <v>8.9816049999999995E-2</v>
      </c>
      <c r="AA2538">
        <v>0.96961609999999998</v>
      </c>
      <c r="AB2538">
        <v>28</v>
      </c>
      <c r="AC2538">
        <v>-3.48370000000005</v>
      </c>
      <c r="AD2538">
        <v>-1.1218394778419001</v>
      </c>
      <c r="AE2538">
        <v>-5.7789999999999901</v>
      </c>
      <c r="AF2538">
        <v>-1.50650640119141</v>
      </c>
      <c r="AG2538">
        <v>-1.1218394778419001</v>
      </c>
      <c r="AH2538">
        <v>6.3911686236167604</v>
      </c>
      <c r="AI2538">
        <v>99.695229623761193</v>
      </c>
      <c r="AJ2538">
        <v>103.263470186695</v>
      </c>
      <c r="AK2538">
        <v>6.6614654338500197</v>
      </c>
      <c r="AL2538">
        <v>69.616568090476804</v>
      </c>
      <c r="AM2538">
        <v>104.64222413272</v>
      </c>
      <c r="AN2538">
        <v>0.99999999699322994</v>
      </c>
    </row>
    <row r="2539" spans="1:40" x14ac:dyDescent="0.25">
      <c r="A2539" t="str">
        <f>"20190304164419381"</f>
        <v>20190304164419381</v>
      </c>
      <c r="B2539" t="str">
        <f>"1551689059372808"</f>
        <v>1551689059372808</v>
      </c>
      <c r="C2539" t="s">
        <v>40</v>
      </c>
      <c r="D2539">
        <v>5.1931059999999896</v>
      </c>
      <c r="E2539">
        <v>0.50265059999999995</v>
      </c>
      <c r="F2539" t="s">
        <v>47</v>
      </c>
      <c r="G2539">
        <v>-488.61169999999998</v>
      </c>
      <c r="H2539" s="1">
        <v>4.9713659999999997E-7</v>
      </c>
      <c r="I2539">
        <v>271.36040000000003</v>
      </c>
      <c r="J2539">
        <v>-485.19420000000002</v>
      </c>
      <c r="K2539">
        <v>1.1217820000000001</v>
      </c>
      <c r="L2539">
        <v>277.11369999999999</v>
      </c>
      <c r="M2539">
        <v>-0.6938394</v>
      </c>
      <c r="N2539">
        <v>-1.5442849999999999E-2</v>
      </c>
      <c r="O2539">
        <v>-0.71996439999999995</v>
      </c>
      <c r="P2539">
        <v>-0.46984310000000001</v>
      </c>
      <c r="Q2539">
        <v>0.3404163</v>
      </c>
      <c r="R2539">
        <v>-0.81447199999999997</v>
      </c>
      <c r="S2539">
        <v>-1.74353</v>
      </c>
      <c r="T2539">
        <v>-0.55755900000000003</v>
      </c>
      <c r="U2539">
        <v>-2.910431</v>
      </c>
      <c r="V2539">
        <v>-0.23623520000000001</v>
      </c>
      <c r="W2539">
        <v>0.34829520000000003</v>
      </c>
      <c r="X2539">
        <v>0.90712919999999997</v>
      </c>
      <c r="Y2539">
        <v>-0.22776150000000001</v>
      </c>
      <c r="Z2539">
        <v>9.1833869999999998E-2</v>
      </c>
      <c r="AA2539">
        <v>0.96937669999999998</v>
      </c>
      <c r="AB2539">
        <v>28</v>
      </c>
      <c r="AC2539">
        <v>-3.41749999999996</v>
      </c>
      <c r="AD2539">
        <v>-1.12178150286339</v>
      </c>
      <c r="AE2539">
        <v>-5.7532999999999603</v>
      </c>
      <c r="AF2539">
        <v>-1.4897067678726501</v>
      </c>
      <c r="AG2539">
        <v>-1.12178150286339</v>
      </c>
      <c r="AH2539">
        <v>6.3360873517007104</v>
      </c>
      <c r="AI2539">
        <v>99.778685346967606</v>
      </c>
      <c r="AJ2539">
        <v>103.230774562128</v>
      </c>
      <c r="AK2539">
        <v>6.6048181597068796</v>
      </c>
      <c r="AL2539">
        <v>69.616922684858807</v>
      </c>
      <c r="AM2539">
        <v>104.596790684385</v>
      </c>
      <c r="AN2539">
        <v>1.00000000077736</v>
      </c>
    </row>
    <row r="2540" spans="1:40" x14ac:dyDescent="0.25">
      <c r="A2540" t="str">
        <f>"20190304164419393"</f>
        <v>20190304164419393</v>
      </c>
      <c r="B2540" t="str">
        <f>"1551689059382567"</f>
        <v>1551689059382567</v>
      </c>
      <c r="C2540" t="s">
        <v>40</v>
      </c>
      <c r="D2540">
        <v>5.2008900000000002</v>
      </c>
      <c r="E2540">
        <v>0.50333570000000005</v>
      </c>
      <c r="F2540" t="s">
        <v>47</v>
      </c>
      <c r="G2540">
        <v>-488.65789999999998</v>
      </c>
      <c r="H2540" s="1">
        <v>4.6703290000000001E-7</v>
      </c>
      <c r="I2540">
        <v>271.2636</v>
      </c>
      <c r="J2540">
        <v>-485.28829999999999</v>
      </c>
      <c r="K2540">
        <v>1.121729</v>
      </c>
      <c r="L2540">
        <v>277.00639999999999</v>
      </c>
      <c r="M2540">
        <v>-0.68853030000000004</v>
      </c>
      <c r="N2540">
        <v>-1.5424999999999999E-2</v>
      </c>
      <c r="O2540">
        <v>-0.72504369999999996</v>
      </c>
      <c r="P2540">
        <v>-0.46457290000000001</v>
      </c>
      <c r="Q2540">
        <v>0.34092800000000001</v>
      </c>
      <c r="R2540">
        <v>-0.81727640000000001</v>
      </c>
      <c r="S2540">
        <v>-1.728882</v>
      </c>
      <c r="T2540">
        <v>-0.55993800000000005</v>
      </c>
      <c r="U2540">
        <v>-2.9200740000000001</v>
      </c>
      <c r="V2540">
        <v>-0.23524439999999999</v>
      </c>
      <c r="W2540">
        <v>0.34884759999999998</v>
      </c>
      <c r="X2540">
        <v>0.90717440000000005</v>
      </c>
      <c r="Y2540">
        <v>-0.225685</v>
      </c>
      <c r="Z2540">
        <v>9.3249739999999998E-2</v>
      </c>
      <c r="AA2540">
        <v>0.96972720000000001</v>
      </c>
      <c r="AB2540">
        <v>28</v>
      </c>
      <c r="AC2540">
        <v>-3.3695999999999899</v>
      </c>
      <c r="AD2540">
        <v>-1.1217285329671001</v>
      </c>
      <c r="AE2540">
        <v>-5.7427999999999804</v>
      </c>
      <c r="AF2540">
        <v>-1.4694583491570301</v>
      </c>
      <c r="AG2540">
        <v>-1.1217285329671001</v>
      </c>
      <c r="AH2540">
        <v>6.30565771918591</v>
      </c>
      <c r="AI2540">
        <v>99.828942682214205</v>
      </c>
      <c r="AJ2540">
        <v>103.117977794754</v>
      </c>
      <c r="AK2540">
        <v>6.5710655158131397</v>
      </c>
      <c r="AL2540">
        <v>69.583154278875398</v>
      </c>
      <c r="AM2540">
        <v>104.53747544460801</v>
      </c>
      <c r="AN2540">
        <v>0.99999998388623901</v>
      </c>
    </row>
    <row r="2541" spans="1:40" x14ac:dyDescent="0.25">
      <c r="A2541" t="str">
        <f>"20190304164419405"</f>
        <v>20190304164419405</v>
      </c>
      <c r="B2541" t="str">
        <f>"1551689059392327"</f>
        <v>1551689059392327</v>
      </c>
      <c r="C2541" t="s">
        <v>40</v>
      </c>
      <c r="D2541">
        <v>5.1956899999999999</v>
      </c>
      <c r="E2541">
        <v>0.50412290000000004</v>
      </c>
      <c r="F2541" t="s">
        <v>47</v>
      </c>
      <c r="G2541">
        <v>-488.72149999999999</v>
      </c>
      <c r="H2541" s="1">
        <v>4.2720519999999998E-7</v>
      </c>
      <c r="I2541">
        <v>271.13499999999999</v>
      </c>
      <c r="J2541">
        <v>-485.37889999999999</v>
      </c>
      <c r="K2541">
        <v>1.1216790000000001</v>
      </c>
      <c r="L2541">
        <v>276.9006</v>
      </c>
      <c r="M2541">
        <v>-0.68334569999999994</v>
      </c>
      <c r="N2541">
        <v>-1.5407580000000001E-2</v>
      </c>
      <c r="O2541">
        <v>-0.72993249999999998</v>
      </c>
      <c r="P2541">
        <v>-0.45959990000000001</v>
      </c>
      <c r="Q2541">
        <v>0.34249180000000001</v>
      </c>
      <c r="R2541">
        <v>-0.81943149999999998</v>
      </c>
      <c r="S2541">
        <v>-1.7134400000000001</v>
      </c>
      <c r="T2541">
        <v>-0.5598263</v>
      </c>
      <c r="U2541">
        <v>-2.9302670000000002</v>
      </c>
      <c r="V2541">
        <v>-0.23383760000000001</v>
      </c>
      <c r="W2541">
        <v>0.35045680000000001</v>
      </c>
      <c r="X2541">
        <v>0.90691790000000005</v>
      </c>
      <c r="Y2541">
        <v>-0.22406229999999999</v>
      </c>
      <c r="Z2541">
        <v>9.4141509999999998E-2</v>
      </c>
      <c r="AA2541">
        <v>0.97001729999999997</v>
      </c>
      <c r="AB2541">
        <v>28</v>
      </c>
      <c r="AC2541">
        <v>-3.3426</v>
      </c>
      <c r="AD2541">
        <v>-1.1216785727948</v>
      </c>
      <c r="AE2541">
        <v>-5.7656000000000001</v>
      </c>
      <c r="AF2541">
        <v>-1.4588773901049401</v>
      </c>
      <c r="AG2541">
        <v>-1.1216785727948</v>
      </c>
      <c r="AH2541">
        <v>6.3145459384916602</v>
      </c>
      <c r="AI2541">
        <v>99.819195023803402</v>
      </c>
      <c r="AJ2541">
        <v>103.00904134107</v>
      </c>
      <c r="AK2541">
        <v>6.57723167216633</v>
      </c>
      <c r="AL2541">
        <v>69.484743159542305</v>
      </c>
      <c r="AM2541">
        <v>104.45810775154099</v>
      </c>
      <c r="AN2541">
        <v>1.0000000345902</v>
      </c>
    </row>
    <row r="2542" spans="1:40" x14ac:dyDescent="0.25">
      <c r="A2542" t="str">
        <f>"20190304164419416"</f>
        <v>20190304164419416</v>
      </c>
      <c r="B2542" t="str">
        <f>"1551689059412825"</f>
        <v>1551689059412825</v>
      </c>
      <c r="C2542" t="s">
        <v>40</v>
      </c>
      <c r="D2542">
        <v>5.3454860000000002</v>
      </c>
      <c r="E2542">
        <v>0.50463170000000002</v>
      </c>
      <c r="F2542" t="s">
        <v>47</v>
      </c>
      <c r="G2542">
        <v>-488.8032</v>
      </c>
      <c r="H2542" s="1">
        <v>3.7810900000000001E-7</v>
      </c>
      <c r="I2542">
        <v>270.97559999999999</v>
      </c>
      <c r="J2542">
        <v>-485.4708</v>
      </c>
      <c r="K2542">
        <v>1.1216390000000001</v>
      </c>
      <c r="L2542">
        <v>276.79250000000002</v>
      </c>
      <c r="M2542">
        <v>-0.67803519999999995</v>
      </c>
      <c r="N2542">
        <v>-1.5390579999999999E-2</v>
      </c>
      <c r="O2542">
        <v>-0.73486850000000004</v>
      </c>
      <c r="P2542">
        <v>-0.45442389999999999</v>
      </c>
      <c r="Q2542">
        <v>0.34331260000000002</v>
      </c>
      <c r="R2542">
        <v>-0.82197070000000005</v>
      </c>
      <c r="S2542">
        <v>-1.6994929999999999</v>
      </c>
      <c r="T2542">
        <v>-0.55668930000000005</v>
      </c>
      <c r="U2542">
        <v>-2.9405519999999998</v>
      </c>
      <c r="V2542">
        <v>-0.2327215</v>
      </c>
      <c r="W2542">
        <v>0.35131810000000002</v>
      </c>
      <c r="X2542">
        <v>0.90687169999999895</v>
      </c>
      <c r="Y2542">
        <v>-0.22192519999999999</v>
      </c>
      <c r="Z2542">
        <v>9.4473669999999996E-2</v>
      </c>
      <c r="AA2542">
        <v>0.97047620000000001</v>
      </c>
      <c r="AB2542">
        <v>28</v>
      </c>
      <c r="AC2542">
        <v>-3.3323999999999998</v>
      </c>
      <c r="AD2542">
        <v>-1.1216386218909999</v>
      </c>
      <c r="AE2542">
        <v>-5.8169000000000297</v>
      </c>
      <c r="AF2542">
        <v>-1.4546431264127999</v>
      </c>
      <c r="AG2542">
        <v>-1.1216386218909999</v>
      </c>
      <c r="AH2542">
        <v>6.3569589318016702</v>
      </c>
      <c r="AI2542">
        <v>99.759217655190497</v>
      </c>
      <c r="AJ2542">
        <v>102.888910780526</v>
      </c>
      <c r="AK2542">
        <v>6.6170224938374398</v>
      </c>
      <c r="AL2542">
        <v>69.432042624425705</v>
      </c>
      <c r="AM2542">
        <v>104.39267508554801</v>
      </c>
      <c r="AN2542">
        <v>0.99999999210537405</v>
      </c>
    </row>
    <row r="2543" spans="1:40" x14ac:dyDescent="0.25">
      <c r="A2543" t="str">
        <f>"20190304164419428"</f>
        <v>20190304164419428</v>
      </c>
      <c r="B2543" t="str">
        <f>"1551689059422583"</f>
        <v>1551689059422583</v>
      </c>
      <c r="C2543" t="s">
        <v>40</v>
      </c>
      <c r="D2543">
        <v>5.2926129999999896</v>
      </c>
      <c r="E2543">
        <v>0.4785663</v>
      </c>
      <c r="F2543" t="s">
        <v>47</v>
      </c>
      <c r="G2543">
        <v>-488.87889999999999</v>
      </c>
      <c r="H2543" s="1">
        <v>3.2909720000000001E-7</v>
      </c>
      <c r="I2543">
        <v>270.81799999999998</v>
      </c>
      <c r="J2543">
        <v>-485.56270000000001</v>
      </c>
      <c r="K2543">
        <v>1.1215919999999999</v>
      </c>
      <c r="L2543">
        <v>276.6823</v>
      </c>
      <c r="M2543">
        <v>-0.67265540000000001</v>
      </c>
      <c r="N2543">
        <v>-1.537384E-2</v>
      </c>
      <c r="O2543">
        <v>-0.73979600000000001</v>
      </c>
      <c r="P2543">
        <v>-0.4494185</v>
      </c>
      <c r="Q2543">
        <v>0.34409869999999998</v>
      </c>
      <c r="R2543">
        <v>-0.82439010000000001</v>
      </c>
      <c r="S2543">
        <v>-1.683136</v>
      </c>
      <c r="T2543">
        <v>-0.55393819999999905</v>
      </c>
      <c r="U2543">
        <v>-2.9505919999999999</v>
      </c>
      <c r="V2543">
        <v>-0.23137170000000001</v>
      </c>
      <c r="W2543">
        <v>0.35215059999999998</v>
      </c>
      <c r="X2543">
        <v>0.90689419999999998</v>
      </c>
      <c r="Y2543">
        <v>-0.220303</v>
      </c>
      <c r="Z2543">
        <v>9.487437E-2</v>
      </c>
      <c r="AA2543">
        <v>0.97080659999999996</v>
      </c>
      <c r="AB2543">
        <v>28</v>
      </c>
      <c r="AC2543">
        <v>-3.3161999999999798</v>
      </c>
      <c r="AD2543">
        <v>-1.1215916709028</v>
      </c>
      <c r="AE2543">
        <v>-5.8643000000000098</v>
      </c>
      <c r="AF2543">
        <v>-1.45129344630283</v>
      </c>
      <c r="AG2543">
        <v>-1.1215916709028</v>
      </c>
      <c r="AH2543">
        <v>6.3926419828137</v>
      </c>
      <c r="AI2543">
        <v>99.709099653782005</v>
      </c>
      <c r="AJ2543">
        <v>102.790801996456</v>
      </c>
      <c r="AK2543">
        <v>6.6505708073782897</v>
      </c>
      <c r="AL2543">
        <v>69.3810880247797</v>
      </c>
      <c r="AM2543">
        <v>104.31229516110599</v>
      </c>
      <c r="AN2543">
        <v>0.99999999931744499</v>
      </c>
    </row>
    <row r="2544" spans="1:40" x14ac:dyDescent="0.25">
      <c r="A2544" t="str">
        <f>"20190304164419439"</f>
        <v>20190304164419439</v>
      </c>
      <c r="B2544" t="str">
        <f>"1551689059432343"</f>
        <v>1551689059432343</v>
      </c>
      <c r="C2544" t="s">
        <v>40</v>
      </c>
      <c r="D2544">
        <v>5.2448300000000003</v>
      </c>
      <c r="E2544">
        <v>0.46984860000000001</v>
      </c>
      <c r="F2544" t="s">
        <v>42</v>
      </c>
      <c r="G2544">
        <v>-489.06310000000002</v>
      </c>
      <c r="H2544" s="1">
        <v>-4.3741969999999997E-6</v>
      </c>
      <c r="I2544">
        <v>269.44170000000003</v>
      </c>
      <c r="J2544">
        <v>-485.65269999999998</v>
      </c>
      <c r="K2544">
        <v>1.121545</v>
      </c>
      <c r="L2544">
        <v>276.5729</v>
      </c>
      <c r="M2544">
        <v>-0.66732279999999999</v>
      </c>
      <c r="N2544">
        <v>-1.5358129999999999E-2</v>
      </c>
      <c r="O2544">
        <v>-0.74461029999999995</v>
      </c>
      <c r="P2544">
        <v>-0.44454129999999997</v>
      </c>
      <c r="Q2544">
        <v>0.34441889999999997</v>
      </c>
      <c r="R2544">
        <v>-0.82689679999999999</v>
      </c>
      <c r="S2544">
        <v>-1.4674069999999999</v>
      </c>
      <c r="T2544">
        <v>-0.47018670000000001</v>
      </c>
      <c r="U2544">
        <v>-3.0353089999999998</v>
      </c>
      <c r="V2544">
        <v>-0.23008799999999999</v>
      </c>
      <c r="W2544">
        <v>0.35251559999999998</v>
      </c>
      <c r="X2544">
        <v>0.90707899999999997</v>
      </c>
      <c r="Y2544">
        <v>-0.2779565</v>
      </c>
      <c r="Z2544">
        <v>7.7154970000000003E-2</v>
      </c>
      <c r="AA2544">
        <v>0.95749010000000001</v>
      </c>
      <c r="AB2544">
        <v>28</v>
      </c>
      <c r="AC2544">
        <v>-3.4104000000000299</v>
      </c>
      <c r="AD2544">
        <v>-1.121549374197</v>
      </c>
      <c r="AE2544">
        <v>-7.1311999999999696</v>
      </c>
      <c r="AF2544">
        <v>-2.17585329945575</v>
      </c>
      <c r="AG2544">
        <v>-1.121549374197</v>
      </c>
      <c r="AH2544">
        <v>7.4369842854009702</v>
      </c>
      <c r="AI2544">
        <v>98.235766133900597</v>
      </c>
      <c r="AJ2544">
        <v>106.307997623388</v>
      </c>
      <c r="AK2544">
        <v>7.8294920550962397</v>
      </c>
      <c r="AL2544">
        <v>69.358742662029599</v>
      </c>
      <c r="AM2544">
        <v>104.233341512012</v>
      </c>
      <c r="AN2544">
        <v>1.00000002411417</v>
      </c>
    </row>
    <row r="2545" spans="1:40" x14ac:dyDescent="0.25">
      <c r="A2545" t="str">
        <f>"20190304164419458"</f>
        <v>20190304164419458</v>
      </c>
      <c r="B2545" t="str">
        <f>"1551689059452336"</f>
        <v>1551689059452336</v>
      </c>
      <c r="C2545" t="s">
        <v>40</v>
      </c>
      <c r="D2545">
        <v>5.230658</v>
      </c>
      <c r="E2545">
        <v>0.4632211</v>
      </c>
      <c r="F2545" t="s">
        <v>42</v>
      </c>
      <c r="G2545">
        <v>-489.06990000000002</v>
      </c>
      <c r="H2545" s="1">
        <v>-4.1789839999999997E-6</v>
      </c>
      <c r="I2545">
        <v>268.98950000000002</v>
      </c>
      <c r="J2545">
        <v>-485.77719999999999</v>
      </c>
      <c r="K2545">
        <v>1.1214770000000001</v>
      </c>
      <c r="L2545">
        <v>276.4194</v>
      </c>
      <c r="M2545">
        <v>-0.65984240000000005</v>
      </c>
      <c r="N2545">
        <v>-1.5337430000000001E-2</v>
      </c>
      <c r="O2545">
        <v>-0.75124749999999996</v>
      </c>
      <c r="P2545">
        <v>-0.43846449999999998</v>
      </c>
      <c r="Q2545">
        <v>0.34275450000000002</v>
      </c>
      <c r="R2545">
        <v>-0.83082400000000001</v>
      </c>
      <c r="S2545">
        <v>-1.384674</v>
      </c>
      <c r="T2545">
        <v>-0.4544665</v>
      </c>
      <c r="U2545">
        <v>-3.0729060000000001</v>
      </c>
      <c r="V2545">
        <v>-0.2280189</v>
      </c>
      <c r="W2545">
        <v>0.35093239999999998</v>
      </c>
      <c r="X2545">
        <v>0.90821470000000004</v>
      </c>
      <c r="Y2545">
        <v>-0.29396549999999999</v>
      </c>
      <c r="Z2545">
        <v>7.4328619999999998E-2</v>
      </c>
      <c r="AA2545">
        <v>0.95292160000000004</v>
      </c>
      <c r="AB2545">
        <v>28</v>
      </c>
      <c r="AC2545">
        <v>-3.2927000000000199</v>
      </c>
      <c r="AD2545">
        <v>-1.121481178984</v>
      </c>
      <c r="AE2545">
        <v>-7.4298999999999698</v>
      </c>
      <c r="AF2545">
        <v>-2.3838202997795999</v>
      </c>
      <c r="AG2545">
        <v>-1.121481178984</v>
      </c>
      <c r="AH2545">
        <v>7.6103429253712704</v>
      </c>
      <c r="AI2545">
        <v>98.004750214635095</v>
      </c>
      <c r="AJ2545">
        <v>107.392344869474</v>
      </c>
      <c r="AK2545">
        <v>8.0534240356636602</v>
      </c>
      <c r="AL2545">
        <v>69.455645709576402</v>
      </c>
      <c r="AM2545">
        <v>104.09353955927401</v>
      </c>
      <c r="AN2545">
        <v>1.00000005471152</v>
      </c>
    </row>
    <row r="2546" spans="1:40" x14ac:dyDescent="0.25">
      <c r="A2546" t="str">
        <f>"20190304164419469"</f>
        <v>20190304164419469</v>
      </c>
      <c r="B2546" t="str">
        <f>"1551689059462096"</f>
        <v>1551689059462096</v>
      </c>
      <c r="C2546" t="s">
        <v>40</v>
      </c>
      <c r="D2546">
        <v>5.2037129999999996</v>
      </c>
      <c r="E2546">
        <v>0.462254</v>
      </c>
      <c r="F2546" t="s">
        <v>42</v>
      </c>
      <c r="G2546">
        <v>-489.0256</v>
      </c>
      <c r="H2546" s="1">
        <v>-4.0753569999999998E-6</v>
      </c>
      <c r="I2546">
        <v>268.7296</v>
      </c>
      <c r="J2546">
        <v>-485.88929999999999</v>
      </c>
      <c r="K2546">
        <v>1.1214309999999901</v>
      </c>
      <c r="L2546">
        <v>276.27800000000002</v>
      </c>
      <c r="M2546">
        <v>-0.65297349999999998</v>
      </c>
      <c r="N2546">
        <v>-1.5319930000000001E-2</v>
      </c>
      <c r="O2546">
        <v>-0.75722599999999995</v>
      </c>
      <c r="P2546">
        <v>-0.43208950000000002</v>
      </c>
      <c r="Q2546">
        <v>0.3417713</v>
      </c>
      <c r="R2546">
        <v>-0.83456079999999999</v>
      </c>
      <c r="S2546">
        <v>-1.3118289999999999</v>
      </c>
      <c r="T2546">
        <v>-0.45289109999999999</v>
      </c>
      <c r="U2546">
        <v>-3.1053769999999998</v>
      </c>
      <c r="V2546">
        <v>-0.2268964</v>
      </c>
      <c r="W2546">
        <v>0.34999409999999997</v>
      </c>
      <c r="X2546">
        <v>0.90885760000000004</v>
      </c>
      <c r="Y2546">
        <v>-0.30772310000000003</v>
      </c>
      <c r="Z2546">
        <v>7.4168780000000004E-2</v>
      </c>
      <c r="AA2546">
        <v>0.94858070000000005</v>
      </c>
      <c r="AB2546">
        <v>28</v>
      </c>
      <c r="AC2546">
        <v>-3.1362999999999999</v>
      </c>
      <c r="AD2546">
        <v>-1.1214350753569999</v>
      </c>
      <c r="AE2546">
        <v>-7.5484000000000098</v>
      </c>
      <c r="AF2546">
        <v>-2.5071263813034901</v>
      </c>
      <c r="AG2546">
        <v>-1.1214350753569999</v>
      </c>
      <c r="AH2546">
        <v>7.6212254502074099</v>
      </c>
      <c r="AI2546">
        <v>97.957094017807293</v>
      </c>
      <c r="AJ2546">
        <v>108.209463548488</v>
      </c>
      <c r="AK2546">
        <v>8.1010108432811005</v>
      </c>
      <c r="AL2546">
        <v>69.513045577911498</v>
      </c>
      <c r="AM2546">
        <v>104.017373954112</v>
      </c>
      <c r="AN2546">
        <v>0.99999999172276499</v>
      </c>
    </row>
    <row r="2547" spans="1:40" x14ac:dyDescent="0.25">
      <c r="A2547" t="str">
        <f>"20190304164419481"</f>
        <v>20190304164419481</v>
      </c>
      <c r="B2547" t="str">
        <f>"1551689059472833"</f>
        <v>1551689059472833</v>
      </c>
      <c r="C2547" t="s">
        <v>40</v>
      </c>
      <c r="D2547">
        <v>5.1555119999999999</v>
      </c>
      <c r="E2547">
        <v>0.46158139999999998</v>
      </c>
      <c r="F2547" t="s">
        <v>42</v>
      </c>
      <c r="G2547">
        <v>-489.0412</v>
      </c>
      <c r="H2547" s="1">
        <v>-4.0155890000000001E-6</v>
      </c>
      <c r="I2547">
        <v>268.59679999999997</v>
      </c>
      <c r="J2547">
        <v>-485.97140000000002</v>
      </c>
      <c r="K2547">
        <v>1.1214090000000001</v>
      </c>
      <c r="L2547">
        <v>276.17259999999999</v>
      </c>
      <c r="M2547">
        <v>-0.64786650000000001</v>
      </c>
      <c r="N2547">
        <v>-1.5307869999999999E-2</v>
      </c>
      <c r="O2547">
        <v>-0.7616001</v>
      </c>
      <c r="P2547">
        <v>-0.427344</v>
      </c>
      <c r="Q2547">
        <v>0.34135260000000001</v>
      </c>
      <c r="R2547">
        <v>-0.8371712</v>
      </c>
      <c r="S2547">
        <v>-1.2796940000000001</v>
      </c>
      <c r="T2547">
        <v>-0.45531250000000001</v>
      </c>
      <c r="U2547">
        <v>-3.1186219999999998</v>
      </c>
      <c r="V2547">
        <v>-0.2260153</v>
      </c>
      <c r="W2547">
        <v>0.34960720000000001</v>
      </c>
      <c r="X2547">
        <v>0.90922590000000003</v>
      </c>
      <c r="Y2547">
        <v>-0.31111709999999998</v>
      </c>
      <c r="Z2547">
        <v>7.5104030000000002E-2</v>
      </c>
      <c r="AA2547">
        <v>0.94739930000000006</v>
      </c>
      <c r="AB2547">
        <v>28</v>
      </c>
      <c r="AC2547">
        <v>-3.0697999999999799</v>
      </c>
      <c r="AD2547">
        <v>-1.1214130155890001</v>
      </c>
      <c r="AE2547">
        <v>-7.5758000000000099</v>
      </c>
      <c r="AF2547">
        <v>-2.5229629065461698</v>
      </c>
      <c r="AG2547">
        <v>-1.1214130155890001</v>
      </c>
      <c r="AH2547">
        <v>7.6161149879861396</v>
      </c>
      <c r="AI2547">
        <v>97.956830326085594</v>
      </c>
      <c r="AJ2547">
        <v>108.328298320426</v>
      </c>
      <c r="AK2547">
        <v>8.1011182246383395</v>
      </c>
      <c r="AL2547">
        <v>69.5367067681305</v>
      </c>
      <c r="AM2547">
        <v>103.959639391115</v>
      </c>
      <c r="AN2547">
        <v>0.99999992367836699</v>
      </c>
    </row>
    <row r="2548" spans="1:40" x14ac:dyDescent="0.25">
      <c r="A2548" t="str">
        <f>"20190304164419495"</f>
        <v>20190304164419495</v>
      </c>
      <c r="B2548" t="str">
        <f>"1551689059482593"</f>
        <v>1551689059482593</v>
      </c>
      <c r="C2548" t="s">
        <v>40</v>
      </c>
      <c r="D2548">
        <v>5.1605569999999998</v>
      </c>
      <c r="E2548">
        <v>0.46097919999999998</v>
      </c>
      <c r="F2548" t="s">
        <v>42</v>
      </c>
      <c r="G2548">
        <v>-489.06349999999998</v>
      </c>
      <c r="H2548" s="1">
        <v>-3.9606069999999998E-6</v>
      </c>
      <c r="I2548">
        <v>268.4778</v>
      </c>
      <c r="J2548">
        <v>-486.07139999999998</v>
      </c>
      <c r="K2548">
        <v>1.1213820000000001</v>
      </c>
      <c r="L2548">
        <v>276.04309999999998</v>
      </c>
      <c r="M2548">
        <v>-0.64157280000000005</v>
      </c>
      <c r="N2548">
        <v>-1.5293910000000001E-2</v>
      </c>
      <c r="O2548">
        <v>-0.76690979999999997</v>
      </c>
      <c r="P2548">
        <v>-0.4214311</v>
      </c>
      <c r="Q2548">
        <v>0.34127099999999999</v>
      </c>
      <c r="R2548">
        <v>-0.84019650000000001</v>
      </c>
      <c r="S2548">
        <v>-1.256866</v>
      </c>
      <c r="T2548">
        <v>-0.45583089999999998</v>
      </c>
      <c r="U2548">
        <v>-3.127777</v>
      </c>
      <c r="V2548">
        <v>-0.2249236</v>
      </c>
      <c r="W2548">
        <v>0.34956209999999999</v>
      </c>
      <c r="X2548">
        <v>0.90951400000000004</v>
      </c>
      <c r="Y2548">
        <v>-0.3102297</v>
      </c>
      <c r="Z2548">
        <v>7.6043340000000001E-2</v>
      </c>
      <c r="AA2548">
        <v>0.9476154</v>
      </c>
      <c r="AB2548">
        <v>28</v>
      </c>
      <c r="AC2548">
        <v>-2.99209999999999</v>
      </c>
      <c r="AD2548">
        <v>-1.12138596060699</v>
      </c>
      <c r="AE2548">
        <v>-7.5652999999999704</v>
      </c>
      <c r="AF2548">
        <v>-2.5115999200061001</v>
      </c>
      <c r="AG2548">
        <v>-1.12138596060699</v>
      </c>
      <c r="AH2548">
        <v>7.5784682923929596</v>
      </c>
      <c r="AI2548">
        <v>97.995311672769503</v>
      </c>
      <c r="AJ2548">
        <v>108.335847162047</v>
      </c>
      <c r="AK2548">
        <v>8.0621847094709196</v>
      </c>
      <c r="AL2548">
        <v>69.539466500457905</v>
      </c>
      <c r="AM2548">
        <v>103.890599306437</v>
      </c>
      <c r="AN2548">
        <v>1.00000000189468</v>
      </c>
    </row>
    <row r="2549" spans="1:40" x14ac:dyDescent="0.25">
      <c r="A2549" t="str">
        <f>"20190304164419510"</f>
        <v>20190304164419510</v>
      </c>
      <c r="B2549" t="str">
        <f>"1551689059502112"</f>
        <v>1551689059502112</v>
      </c>
      <c r="C2549" t="s">
        <v>40</v>
      </c>
      <c r="D2549">
        <v>5.1739319999999998</v>
      </c>
      <c r="E2549">
        <v>0.46096130000000002</v>
      </c>
      <c r="F2549" t="s">
        <v>42</v>
      </c>
      <c r="G2549">
        <v>-489.09249999999997</v>
      </c>
      <c r="H2549" s="1">
        <v>-3.8946430000000001E-6</v>
      </c>
      <c r="I2549">
        <v>268.33609999999999</v>
      </c>
      <c r="J2549">
        <v>-486.19690000000003</v>
      </c>
      <c r="K2549">
        <v>1.1213610000000001</v>
      </c>
      <c r="L2549">
        <v>275.87639999999999</v>
      </c>
      <c r="M2549">
        <v>-0.63349659999999997</v>
      </c>
      <c r="N2549">
        <v>-1.527772E-2</v>
      </c>
      <c r="O2549">
        <v>-0.77359469999999997</v>
      </c>
      <c r="P2549">
        <v>-0.4130315</v>
      </c>
      <c r="Q2549">
        <v>0.34260930000000001</v>
      </c>
      <c r="R2549">
        <v>-0.84381509999999904</v>
      </c>
      <c r="S2549">
        <v>-1.230469</v>
      </c>
      <c r="T2549">
        <v>-0.45672190000000001</v>
      </c>
      <c r="U2549">
        <v>-3.1389469999999999</v>
      </c>
      <c r="V2549">
        <v>-0.22411500000000001</v>
      </c>
      <c r="W2549">
        <v>0.35092030000000002</v>
      </c>
      <c r="X2549">
        <v>0.90919050000000001</v>
      </c>
      <c r="Y2549">
        <v>-0.30835410000000002</v>
      </c>
      <c r="Z2549">
        <v>7.7294790000000002E-2</v>
      </c>
      <c r="AA2549">
        <v>0.94812620000000003</v>
      </c>
      <c r="AB2549">
        <v>28</v>
      </c>
      <c r="AC2549">
        <v>-2.89559999999994</v>
      </c>
      <c r="AD2549">
        <v>-1.1213648946429999</v>
      </c>
      <c r="AE2549">
        <v>-7.5403000000000002</v>
      </c>
      <c r="AF2549">
        <v>-2.48905507441741</v>
      </c>
      <c r="AG2549">
        <v>-1.1213648946429999</v>
      </c>
      <c r="AH2549">
        <v>7.5233765523821896</v>
      </c>
      <c r="AI2549">
        <v>98.054296064295499</v>
      </c>
      <c r="AJ2549">
        <v>108.30642642474</v>
      </c>
      <c r="AK2549">
        <v>8.0033773583003605</v>
      </c>
      <c r="AL2549">
        <v>69.456384420483701</v>
      </c>
      <c r="AM2549">
        <v>103.847322329622</v>
      </c>
      <c r="AN2549">
        <v>0.999999977733669</v>
      </c>
    </row>
    <row r="2550" spans="1:40" x14ac:dyDescent="0.25">
      <c r="A2550" t="str">
        <f>"20190304164419524"</f>
        <v>20190304164419524</v>
      </c>
      <c r="B2550" t="str">
        <f>"1551689059512849"</f>
        <v>1551689059512849</v>
      </c>
      <c r="C2550" t="s">
        <v>40</v>
      </c>
      <c r="D2550">
        <v>5.2092589999999896</v>
      </c>
      <c r="E2550">
        <v>0.46128819999999998</v>
      </c>
      <c r="F2550" t="s">
        <v>42</v>
      </c>
      <c r="G2550">
        <v>-489.15429999999998</v>
      </c>
      <c r="H2550" s="1">
        <v>-3.7932719999999998E-6</v>
      </c>
      <c r="I2550">
        <v>268.12529999999998</v>
      </c>
      <c r="J2550">
        <v>-486.28859999999997</v>
      </c>
      <c r="K2550">
        <v>1.1213439999999999</v>
      </c>
      <c r="L2550">
        <v>275.75200000000001</v>
      </c>
      <c r="M2550">
        <v>-0.62747039999999998</v>
      </c>
      <c r="N2550">
        <v>-1.5266409999999999E-2</v>
      </c>
      <c r="O2550">
        <v>-0.77849080000000004</v>
      </c>
      <c r="P2550">
        <v>-0.40680729999999998</v>
      </c>
      <c r="Q2550">
        <v>0.34339829999999999</v>
      </c>
      <c r="R2550">
        <v>-0.84651379999999998</v>
      </c>
      <c r="S2550">
        <v>-1.202545</v>
      </c>
      <c r="T2550">
        <v>-0.45596789999999998</v>
      </c>
      <c r="U2550">
        <v>-3.1517330000000001</v>
      </c>
      <c r="V2550">
        <v>-0.22354660000000001</v>
      </c>
      <c r="W2550">
        <v>0.35172350000000002</v>
      </c>
      <c r="X2550">
        <v>0.9090201</v>
      </c>
      <c r="Y2550">
        <v>-0.30959189999999998</v>
      </c>
      <c r="Z2550">
        <v>7.7767760000000005E-2</v>
      </c>
      <c r="AA2550">
        <v>0.94768399999999997</v>
      </c>
      <c r="AB2550">
        <v>28</v>
      </c>
      <c r="AC2550">
        <v>-2.8656999999999999</v>
      </c>
      <c r="AD2550">
        <v>-1.121347793272</v>
      </c>
      <c r="AE2550">
        <v>-7.62670000000002</v>
      </c>
      <c r="AF2550">
        <v>-2.5074069495311799</v>
      </c>
      <c r="AG2550">
        <v>-1.121347793272</v>
      </c>
      <c r="AH2550">
        <v>7.5925327358518304</v>
      </c>
      <c r="AI2550">
        <v>97.983163806416002</v>
      </c>
      <c r="AJ2550">
        <v>108.275622614341</v>
      </c>
      <c r="AK2550">
        <v>8.0740983291643698</v>
      </c>
      <c r="AL2550">
        <v>69.407232123405194</v>
      </c>
      <c r="AM2550">
        <v>103.816039748771</v>
      </c>
      <c r="AN2550">
        <v>1.0000000225139001</v>
      </c>
    </row>
    <row r="2551" spans="1:40" x14ac:dyDescent="0.25">
      <c r="A2551" t="str">
        <f>"20190304164419539"</f>
        <v>20190304164419539</v>
      </c>
      <c r="B2551" t="str">
        <f>"1551689059532368"</f>
        <v>1551689059532368</v>
      </c>
      <c r="C2551" t="s">
        <v>40</v>
      </c>
      <c r="D2551">
        <v>5.2094009999999997</v>
      </c>
      <c r="E2551">
        <v>0.46188770000000001</v>
      </c>
      <c r="F2551" t="s">
        <v>42</v>
      </c>
      <c r="G2551">
        <v>-489.2038</v>
      </c>
      <c r="H2551" s="1">
        <v>-3.7162239999999999E-6</v>
      </c>
      <c r="I2551">
        <v>267.96620000000001</v>
      </c>
      <c r="J2551">
        <v>-486.39</v>
      </c>
      <c r="K2551">
        <v>1.121327</v>
      </c>
      <c r="L2551">
        <v>275.61279999999999</v>
      </c>
      <c r="M2551">
        <v>-0.6207165</v>
      </c>
      <c r="N2551">
        <v>-1.525456E-2</v>
      </c>
      <c r="O2551">
        <v>-0.78388669999999905</v>
      </c>
      <c r="P2551">
        <v>-0.39991949999999998</v>
      </c>
      <c r="Q2551">
        <v>0.34415869999999998</v>
      </c>
      <c r="R2551">
        <v>-0.8494815</v>
      </c>
      <c r="S2551">
        <v>-1.1831670000000001</v>
      </c>
      <c r="T2551">
        <v>-0.45511829999999998</v>
      </c>
      <c r="U2551">
        <v>-3.1600039999999998</v>
      </c>
      <c r="V2551">
        <v>-0.2228735</v>
      </c>
      <c r="W2551">
        <v>0.35250130000000002</v>
      </c>
      <c r="X2551">
        <v>0.90888400000000003</v>
      </c>
      <c r="Y2551">
        <v>-0.307307</v>
      </c>
      <c r="Z2551">
        <v>7.8498529999999997E-2</v>
      </c>
      <c r="AA2551">
        <v>0.94836719999999997</v>
      </c>
      <c r="AB2551">
        <v>28</v>
      </c>
      <c r="AC2551">
        <v>-2.8138000000000098</v>
      </c>
      <c r="AD2551">
        <v>-1.121330716224</v>
      </c>
      <c r="AE2551">
        <v>-7.6465999999999701</v>
      </c>
      <c r="AF2551">
        <v>-2.49373487585446</v>
      </c>
      <c r="AG2551">
        <v>-1.121330716224</v>
      </c>
      <c r="AH2551">
        <v>7.5976420656024404</v>
      </c>
      <c r="AI2551">
        <v>97.982474690741</v>
      </c>
      <c r="AJ2551">
        <v>108.171120925407</v>
      </c>
      <c r="AK2551">
        <v>8.0746678670526197</v>
      </c>
      <c r="AL2551">
        <v>69.359616474520095</v>
      </c>
      <c r="AM2551">
        <v>103.778010934744</v>
      </c>
      <c r="AN2551">
        <v>0.99999994447996798</v>
      </c>
    </row>
    <row r="2552" spans="1:40" x14ac:dyDescent="0.25">
      <c r="A2552" t="str">
        <f>"20190304164419551"</f>
        <v>20190304164419551</v>
      </c>
      <c r="B2552" t="str">
        <f>"1551689059542128"</f>
        <v>1551689059542128</v>
      </c>
      <c r="C2552" t="s">
        <v>40</v>
      </c>
      <c r="D2552">
        <v>5.2075199999999997</v>
      </c>
      <c r="E2552">
        <v>0.46235670000000001</v>
      </c>
      <c r="F2552" t="s">
        <v>42</v>
      </c>
      <c r="G2552">
        <v>-489.25459999999998</v>
      </c>
      <c r="H2552" s="1">
        <v>-3.6409749999999999E-6</v>
      </c>
      <c r="I2552">
        <v>267.81180000000001</v>
      </c>
      <c r="J2552">
        <v>-486.48540000000003</v>
      </c>
      <c r="K2552">
        <v>1.1213010000000001</v>
      </c>
      <c r="L2552">
        <v>275.47930000000002</v>
      </c>
      <c r="M2552">
        <v>-0.61423809999999901</v>
      </c>
      <c r="N2552">
        <v>-1.5244189999999999E-2</v>
      </c>
      <c r="O2552">
        <v>-0.78897359999999905</v>
      </c>
      <c r="P2552">
        <v>-0.39310319999999999</v>
      </c>
      <c r="Q2552">
        <v>0.34460760000000001</v>
      </c>
      <c r="R2552">
        <v>-0.85247609999999996</v>
      </c>
      <c r="S2552">
        <v>-1.1634519999999999</v>
      </c>
      <c r="T2552">
        <v>-0.45542250000000001</v>
      </c>
      <c r="U2552">
        <v>-3.1683349999999999</v>
      </c>
      <c r="V2552">
        <v>-0.22254599999999999</v>
      </c>
      <c r="W2552">
        <v>0.35295919999999997</v>
      </c>
      <c r="X2552">
        <v>0.9087866</v>
      </c>
      <c r="Y2552">
        <v>-0.30550229999999901</v>
      </c>
      <c r="Z2552">
        <v>7.9385070000000002E-2</v>
      </c>
      <c r="AA2552">
        <v>0.94887639999999995</v>
      </c>
      <c r="AB2552">
        <v>28</v>
      </c>
      <c r="AC2552">
        <v>-2.7691999999999499</v>
      </c>
      <c r="AD2552">
        <v>-1.121304640975</v>
      </c>
      <c r="AE2552">
        <v>-7.6675000000000102</v>
      </c>
      <c r="AF2552">
        <v>-2.4782526112852601</v>
      </c>
      <c r="AG2552">
        <v>-1.121304640975</v>
      </c>
      <c r="AH2552">
        <v>7.6073808477530296</v>
      </c>
      <c r="AI2552">
        <v>97.977914342295904</v>
      </c>
      <c r="AJ2552">
        <v>108.044029368495</v>
      </c>
      <c r="AK2552">
        <v>8.0790657545271891</v>
      </c>
      <c r="AL2552">
        <v>69.331579838129699</v>
      </c>
      <c r="AM2552">
        <v>103.759953371176</v>
      </c>
      <c r="AN2552">
        <v>1.0000000016600901</v>
      </c>
    </row>
    <row r="2553" spans="1:40" x14ac:dyDescent="0.25">
      <c r="A2553" t="str">
        <f>"20190304164419568"</f>
        <v>20190304164419568</v>
      </c>
      <c r="B2553" t="str">
        <f>"1551689059562156"</f>
        <v>1551689059562156</v>
      </c>
      <c r="C2553" t="s">
        <v>40</v>
      </c>
      <c r="D2553">
        <v>5.1868100000000004</v>
      </c>
      <c r="E2553">
        <v>0.46306449999999999</v>
      </c>
      <c r="F2553" t="s">
        <v>42</v>
      </c>
      <c r="G2553">
        <v>-489.28980000000001</v>
      </c>
      <c r="H2553" s="1">
        <v>-3.5806410000000001E-6</v>
      </c>
      <c r="I2553">
        <v>267.6857</v>
      </c>
      <c r="J2553">
        <v>-486.60059999999999</v>
      </c>
      <c r="K2553">
        <v>1.1212660000000001</v>
      </c>
      <c r="L2553">
        <v>275.31450000000001</v>
      </c>
      <c r="M2553">
        <v>-0.6062438</v>
      </c>
      <c r="N2553">
        <v>-1.5232290000000001E-2</v>
      </c>
      <c r="O2553">
        <v>-0.79513319999999998</v>
      </c>
      <c r="P2553">
        <v>-0.38478309999999999</v>
      </c>
      <c r="Q2553">
        <v>0.34437770000000001</v>
      </c>
      <c r="R2553">
        <v>-0.85635669999999897</v>
      </c>
      <c r="S2553">
        <v>-1.143097</v>
      </c>
      <c r="T2553">
        <v>-0.45705960000000001</v>
      </c>
      <c r="U2553">
        <v>-3.1767880000000002</v>
      </c>
      <c r="V2553">
        <v>-0.22225</v>
      </c>
      <c r="W2553">
        <v>0.35274090000000002</v>
      </c>
      <c r="X2553">
        <v>0.90894379999999997</v>
      </c>
      <c r="Y2553">
        <v>-0.30212240000000001</v>
      </c>
      <c r="Z2553">
        <v>8.0780569999999996E-2</v>
      </c>
      <c r="AA2553">
        <v>0.94984020000000002</v>
      </c>
      <c r="AB2553">
        <v>28</v>
      </c>
      <c r="AC2553">
        <v>-2.68920000000002</v>
      </c>
      <c r="AD2553">
        <v>-1.121269580641</v>
      </c>
      <c r="AE2553">
        <v>-7.6288000000000098</v>
      </c>
      <c r="AF2553">
        <v>-2.44004311326974</v>
      </c>
      <c r="AG2553">
        <v>-1.121269580641</v>
      </c>
      <c r="AH2553">
        <v>7.5520027475425202</v>
      </c>
      <c r="AI2553">
        <v>98.041625612294894</v>
      </c>
      <c r="AJ2553">
        <v>107.905583090023</v>
      </c>
      <c r="AK2553">
        <v>8.0152231014473792</v>
      </c>
      <c r="AL2553">
        <v>69.344947663086799</v>
      </c>
      <c r="AM2553">
        <v>103.74005945418401</v>
      </c>
      <c r="AN2553">
        <v>1.0000000182956199</v>
      </c>
    </row>
    <row r="2554" spans="1:40" x14ac:dyDescent="0.25">
      <c r="A2554" t="str">
        <f>"20190304164419580"</f>
        <v>20190304164419580</v>
      </c>
      <c r="B2554" t="str">
        <f>"1551689059572894"</f>
        <v>1551689059572894</v>
      </c>
      <c r="C2554" t="s">
        <v>40</v>
      </c>
      <c r="D2554">
        <v>5.1876379999999997</v>
      </c>
      <c r="E2554">
        <v>0.46342559999999999</v>
      </c>
      <c r="F2554" t="s">
        <v>42</v>
      </c>
      <c r="G2554">
        <v>-489.30939999999998</v>
      </c>
      <c r="H2554" s="1">
        <v>-3.5355599999999998E-6</v>
      </c>
      <c r="I2554">
        <v>267.58870000000002</v>
      </c>
      <c r="J2554">
        <v>-486.68790000000001</v>
      </c>
      <c r="K2554">
        <v>1.121243</v>
      </c>
      <c r="L2554">
        <v>275.18740000000003</v>
      </c>
      <c r="M2554">
        <v>-0.60006550000000003</v>
      </c>
      <c r="N2554">
        <v>-1.5223789999999999E-2</v>
      </c>
      <c r="O2554">
        <v>-0.79980609999999996</v>
      </c>
      <c r="P2554">
        <v>-0.37819770000000003</v>
      </c>
      <c r="Q2554">
        <v>0.34344639999999999</v>
      </c>
      <c r="R2554">
        <v>-0.85965769999999997</v>
      </c>
      <c r="S2554">
        <v>-1.117432</v>
      </c>
      <c r="T2554">
        <v>-0.46256029999999998</v>
      </c>
      <c r="U2554">
        <v>-3.1871640000000001</v>
      </c>
      <c r="V2554">
        <v>-0.22236900000000001</v>
      </c>
      <c r="W2554">
        <v>0.35181319999999999</v>
      </c>
      <c r="X2554">
        <v>0.90927420000000003</v>
      </c>
      <c r="Y2554">
        <v>-0.30256060000000001</v>
      </c>
      <c r="Z2554">
        <v>8.255854E-2</v>
      </c>
      <c r="AA2554">
        <v>0.9495479</v>
      </c>
      <c r="AB2554">
        <v>28</v>
      </c>
      <c r="AC2554">
        <v>-2.6214999999999602</v>
      </c>
      <c r="AD2554">
        <v>-1.1212465355600001</v>
      </c>
      <c r="AE2554">
        <v>-7.5987</v>
      </c>
      <c r="AF2554">
        <v>-2.4162963527156101</v>
      </c>
      <c r="AG2554">
        <v>-1.1212465355600001</v>
      </c>
      <c r="AH2554">
        <v>7.5054083829195797</v>
      </c>
      <c r="AI2554">
        <v>98.093427229242394</v>
      </c>
      <c r="AJ2554">
        <v>107.845479518383</v>
      </c>
      <c r="AK2554">
        <v>7.9640967379892897</v>
      </c>
      <c r="AL2554">
        <v>69.401742064592995</v>
      </c>
      <c r="AM2554">
        <v>103.742331457593</v>
      </c>
      <c r="AN2554">
        <v>1.0000000353204299</v>
      </c>
    </row>
    <row r="2555" spans="1:40" x14ac:dyDescent="0.25">
      <c r="A2555" t="str">
        <f>"20190304164419592"</f>
        <v>20190304164419592</v>
      </c>
      <c r="B2555" t="str">
        <f>"1551689059582653"</f>
        <v>1551689059582653</v>
      </c>
      <c r="C2555" t="s">
        <v>40</v>
      </c>
      <c r="D2555">
        <v>5.2007079999999997</v>
      </c>
      <c r="E2555">
        <v>0.4637772</v>
      </c>
      <c r="F2555" t="s">
        <v>42</v>
      </c>
      <c r="G2555">
        <v>-489.3075</v>
      </c>
      <c r="H2555" s="1">
        <v>-3.5125179999999999E-6</v>
      </c>
      <c r="I2555">
        <v>267.5342</v>
      </c>
      <c r="J2555">
        <v>-486.76859999999999</v>
      </c>
      <c r="K2555">
        <v>1.121221</v>
      </c>
      <c r="L2555">
        <v>275.0686</v>
      </c>
      <c r="M2555">
        <v>-0.59428219999999898</v>
      </c>
      <c r="N2555">
        <v>-1.521635E-2</v>
      </c>
      <c r="O2555">
        <v>-0.80411259999999996</v>
      </c>
      <c r="P2555">
        <v>-0.37203760000000002</v>
      </c>
      <c r="Q2555">
        <v>0.342306</v>
      </c>
      <c r="R2555">
        <v>-0.86279470000000003</v>
      </c>
      <c r="S2555">
        <v>-1.0938110000000001</v>
      </c>
      <c r="T2555">
        <v>-0.46818419999999999</v>
      </c>
      <c r="U2555">
        <v>-3.1956479999999998</v>
      </c>
      <c r="V2555">
        <v>-0.2225432</v>
      </c>
      <c r="W2555">
        <v>0.35067609999999999</v>
      </c>
      <c r="X2555">
        <v>0.90967070000000005</v>
      </c>
      <c r="Y2555">
        <v>-0.30278759999999999</v>
      </c>
      <c r="Z2555">
        <v>8.435898E-2</v>
      </c>
      <c r="AA2555">
        <v>0.94931730000000003</v>
      </c>
      <c r="AB2555">
        <v>28</v>
      </c>
      <c r="AC2555">
        <v>-2.5389000000000101</v>
      </c>
      <c r="AD2555">
        <v>-1.121224512518</v>
      </c>
      <c r="AE2555">
        <v>-7.5343999999999998</v>
      </c>
      <c r="AF2555">
        <v>-2.38877401749814</v>
      </c>
      <c r="AG2555">
        <v>-1.121224512518</v>
      </c>
      <c r="AH2555">
        <v>7.4206286656979197</v>
      </c>
      <c r="AI2555">
        <v>98.184561598791205</v>
      </c>
      <c r="AJ2555">
        <v>107.843882346386</v>
      </c>
      <c r="AK2555">
        <v>7.8758564936343998</v>
      </c>
      <c r="AL2555">
        <v>69.471325863703896</v>
      </c>
      <c r="AM2555">
        <v>103.74692140180299</v>
      </c>
      <c r="AN2555">
        <v>0.99999999270797002</v>
      </c>
    </row>
    <row r="2556" spans="1:40" x14ac:dyDescent="0.25">
      <c r="A2556" t="str">
        <f>"20190304164419605"</f>
        <v>20190304164419605</v>
      </c>
      <c r="B2556" t="str">
        <f>"1551689059592413"</f>
        <v>1551689059592413</v>
      </c>
      <c r="C2556" t="s">
        <v>40</v>
      </c>
      <c r="D2556">
        <v>5.1801159999999999</v>
      </c>
      <c r="E2556">
        <v>0.46413500000000002</v>
      </c>
      <c r="F2556" t="s">
        <v>42</v>
      </c>
      <c r="G2556">
        <v>-489.29930000000002</v>
      </c>
      <c r="H2556" s="1">
        <v>-3.5037360000000002E-6</v>
      </c>
      <c r="I2556">
        <v>267.51029999999997</v>
      </c>
      <c r="J2556">
        <v>-486.84800000000001</v>
      </c>
      <c r="K2556">
        <v>1.1211990000000001</v>
      </c>
      <c r="L2556">
        <v>274.9486</v>
      </c>
      <c r="M2556">
        <v>-0.58845449999999999</v>
      </c>
      <c r="N2556">
        <v>-1.5209159999999999E-2</v>
      </c>
      <c r="O2556">
        <v>-0.80838730000000003</v>
      </c>
      <c r="P2556">
        <v>-0.36550820000000001</v>
      </c>
      <c r="Q2556">
        <v>0.34167700000000001</v>
      </c>
      <c r="R2556">
        <v>-0.86582950000000003</v>
      </c>
      <c r="S2556">
        <v>-1.0725100000000001</v>
      </c>
      <c r="T2556">
        <v>-0.47517159999999897</v>
      </c>
      <c r="U2556">
        <v>-3.2031559999999999</v>
      </c>
      <c r="V2556">
        <v>-0.2229585</v>
      </c>
      <c r="W2556">
        <v>0.35004099999999999</v>
      </c>
      <c r="X2556">
        <v>0.9098136</v>
      </c>
      <c r="Y2556">
        <v>-0.302301599999999</v>
      </c>
      <c r="Z2556">
        <v>8.6489979999999994E-2</v>
      </c>
      <c r="AA2556">
        <v>0.94928040000000002</v>
      </c>
      <c r="AB2556">
        <v>28</v>
      </c>
      <c r="AC2556">
        <v>-2.4512999999999998</v>
      </c>
      <c r="AD2556">
        <v>-1.1212025037360001</v>
      </c>
      <c r="AE2556">
        <v>-7.4383000000000203</v>
      </c>
      <c r="AF2556">
        <v>-2.3476634134444598</v>
      </c>
      <c r="AG2556">
        <v>-1.1212025037360001</v>
      </c>
      <c r="AH2556">
        <v>7.3066201157292401</v>
      </c>
      <c r="AI2556">
        <v>98.311779645902007</v>
      </c>
      <c r="AJ2556">
        <v>107.8125414771</v>
      </c>
      <c r="AK2556">
        <v>7.7559858221111204</v>
      </c>
      <c r="AL2556">
        <v>69.510176920537802</v>
      </c>
      <c r="AM2556">
        <v>103.769518721658</v>
      </c>
      <c r="AN2556">
        <v>0.99999999057410505</v>
      </c>
    </row>
    <row r="2557" spans="1:40" x14ac:dyDescent="0.25">
      <c r="A2557" t="str">
        <f>"20190304164419616"</f>
        <v>20190304164419616</v>
      </c>
      <c r="B2557" t="str">
        <f>"1551689059612909"</f>
        <v>1551689059612909</v>
      </c>
      <c r="C2557" t="s">
        <v>40</v>
      </c>
      <c r="D2557">
        <v>5.1776989999999996</v>
      </c>
      <c r="E2557">
        <v>0.46497250000000001</v>
      </c>
      <c r="F2557" t="s">
        <v>42</v>
      </c>
      <c r="G2557">
        <v>-489.30419999999998</v>
      </c>
      <c r="H2557" s="1">
        <v>-3.4731869999999999E-6</v>
      </c>
      <c r="I2557">
        <v>267.44119999999998</v>
      </c>
      <c r="J2557">
        <v>-486.93040000000002</v>
      </c>
      <c r="K2557">
        <v>1.1211850000000001</v>
      </c>
      <c r="L2557">
        <v>274.82339999999999</v>
      </c>
      <c r="M2557">
        <v>-0.58234989999999998</v>
      </c>
      <c r="N2557">
        <v>-1.5201910000000001E-2</v>
      </c>
      <c r="O2557">
        <v>-0.81279619999999997</v>
      </c>
      <c r="P2557">
        <v>-0.35856860000000002</v>
      </c>
      <c r="Q2557">
        <v>0.34115469999999998</v>
      </c>
      <c r="R2557">
        <v>-0.86893140000000002</v>
      </c>
      <c r="S2557">
        <v>-1.0504150000000001</v>
      </c>
      <c r="T2557">
        <v>-0.47948800000000003</v>
      </c>
      <c r="U2557">
        <v>-3.2106020000000002</v>
      </c>
      <c r="V2557">
        <v>-0.2234796</v>
      </c>
      <c r="W2557">
        <v>0.34950890000000001</v>
      </c>
      <c r="X2557">
        <v>0.90989039999999999</v>
      </c>
      <c r="Y2557">
        <v>-0.30171690000000001</v>
      </c>
      <c r="Z2557">
        <v>8.8115219999999994E-2</v>
      </c>
      <c r="AA2557">
        <v>0.94931690000000002</v>
      </c>
      <c r="AB2557">
        <v>28</v>
      </c>
      <c r="AC2557">
        <v>-2.3737999999999602</v>
      </c>
      <c r="AD2557">
        <v>-1.1211884731870001</v>
      </c>
      <c r="AE2557">
        <v>-7.3822000000000099</v>
      </c>
      <c r="AF2557">
        <v>-2.3213532596670401</v>
      </c>
      <c r="AG2557">
        <v>-1.1211884731870001</v>
      </c>
      <c r="AH2557">
        <v>7.2322673446502002</v>
      </c>
      <c r="AI2557">
        <v>98.396721286532397</v>
      </c>
      <c r="AJ2557">
        <v>107.79516101870099</v>
      </c>
      <c r="AK2557">
        <v>7.6779838169318797</v>
      </c>
      <c r="AL2557">
        <v>69.542721332500804</v>
      </c>
      <c r="AM2557">
        <v>103.799351618095</v>
      </c>
      <c r="AN2557">
        <v>1.00000007140376</v>
      </c>
    </row>
    <row r="2558" spans="1:40" x14ac:dyDescent="0.25">
      <c r="A2558" t="str">
        <f>"20190304164419628"</f>
        <v>20190304164419628</v>
      </c>
      <c r="B2558" t="str">
        <f>"1551689059622670"</f>
        <v>1551689059622670</v>
      </c>
      <c r="C2558" t="s">
        <v>40</v>
      </c>
      <c r="D2558">
        <v>5.186229</v>
      </c>
      <c r="E2558">
        <v>0.46532899999999999</v>
      </c>
      <c r="F2558" t="s">
        <v>42</v>
      </c>
      <c r="G2558">
        <v>-489.3082</v>
      </c>
      <c r="H2558" s="1">
        <v>-3.4556279999999999E-6</v>
      </c>
      <c r="I2558">
        <v>267.40190000000001</v>
      </c>
      <c r="J2558">
        <v>-487.0102</v>
      </c>
      <c r="K2558">
        <v>1.121164</v>
      </c>
      <c r="L2558">
        <v>274.69920000000002</v>
      </c>
      <c r="M2558">
        <v>-0.57630919999999997</v>
      </c>
      <c r="N2558">
        <v>-1.519481E-2</v>
      </c>
      <c r="O2558">
        <v>-0.81709030000000005</v>
      </c>
      <c r="P2558">
        <v>-0.35156739999999997</v>
      </c>
      <c r="Q2558">
        <v>0.34122019999999997</v>
      </c>
      <c r="R2558">
        <v>-0.87176219999999904</v>
      </c>
      <c r="S2558">
        <v>-1.0310060000000001</v>
      </c>
      <c r="T2558">
        <v>-0.48614239999999997</v>
      </c>
      <c r="U2558">
        <v>-3.2179259999999998</v>
      </c>
      <c r="V2558">
        <v>-0.224028</v>
      </c>
      <c r="W2558">
        <v>0.34956159999999997</v>
      </c>
      <c r="X2558">
        <v>0.90973519999999997</v>
      </c>
      <c r="Y2558">
        <v>-0.300529299999999</v>
      </c>
      <c r="Z2558">
        <v>9.0232140000000002E-2</v>
      </c>
      <c r="AA2558">
        <v>0.94949479999999997</v>
      </c>
      <c r="AB2558">
        <v>28</v>
      </c>
      <c r="AC2558">
        <v>-2.298</v>
      </c>
      <c r="AD2558">
        <v>-1.121167455628</v>
      </c>
      <c r="AE2558">
        <v>-7.2972999999999999</v>
      </c>
      <c r="AF2558">
        <v>-2.2791498207011101</v>
      </c>
      <c r="AG2558">
        <v>-1.121167455628</v>
      </c>
      <c r="AH2558">
        <v>7.1345331270821797</v>
      </c>
      <c r="AI2558">
        <v>98.513614388096997</v>
      </c>
      <c r="AJ2558">
        <v>107.716250699445</v>
      </c>
      <c r="AK2558">
        <v>7.5731831689319602</v>
      </c>
      <c r="AL2558">
        <v>69.539496941686593</v>
      </c>
      <c r="AM2558">
        <v>103.834184205222</v>
      </c>
      <c r="AN2558">
        <v>0.99999999554879904</v>
      </c>
    </row>
    <row r="2559" spans="1:40" x14ac:dyDescent="0.25">
      <c r="A2559" t="str">
        <f>"20190304164419640"</f>
        <v>20190304164419640</v>
      </c>
      <c r="B2559" t="str">
        <f>"1551689059632429"</f>
        <v>1551689059632429</v>
      </c>
      <c r="C2559" t="s">
        <v>40</v>
      </c>
      <c r="D2559">
        <v>5.1840909999999996</v>
      </c>
      <c r="E2559">
        <v>0.46532899999999999</v>
      </c>
      <c r="F2559" t="s">
        <v>42</v>
      </c>
      <c r="G2559">
        <v>-489.33080000000001</v>
      </c>
      <c r="H2559" s="1">
        <v>-3.399253E-6</v>
      </c>
      <c r="I2559">
        <v>267.27980000000002</v>
      </c>
      <c r="J2559">
        <v>-487.08519999999999</v>
      </c>
      <c r="K2559">
        <v>1.1211469999999999</v>
      </c>
      <c r="L2559">
        <v>274.58080000000001</v>
      </c>
      <c r="M2559">
        <v>-0.57054450000000001</v>
      </c>
      <c r="N2559">
        <v>-1.518799E-2</v>
      </c>
      <c r="O2559">
        <v>-0.82112629999999998</v>
      </c>
      <c r="P2559">
        <v>-0.34516609999999998</v>
      </c>
      <c r="Q2559">
        <v>0.3416344</v>
      </c>
      <c r="R2559">
        <v>-0.87415489999999996</v>
      </c>
      <c r="S2559">
        <v>-1.0087889999999999</v>
      </c>
      <c r="T2559">
        <v>-0.48738120000000001</v>
      </c>
      <c r="U2559">
        <v>-3.2252809999999998</v>
      </c>
      <c r="V2559">
        <v>-0.22419900000000001</v>
      </c>
      <c r="W2559">
        <v>0.34997260000000002</v>
      </c>
      <c r="X2559">
        <v>0.90953510000000004</v>
      </c>
      <c r="Y2559">
        <v>-0.30041329999999999</v>
      </c>
      <c r="Z2559">
        <v>9.1148640000000003E-2</v>
      </c>
      <c r="AA2559">
        <v>0.94944390000000001</v>
      </c>
      <c r="AB2559">
        <v>28</v>
      </c>
      <c r="AC2559">
        <v>-2.24560000000002</v>
      </c>
      <c r="AD2559">
        <v>-1.1211503992530001</v>
      </c>
      <c r="AE2559">
        <v>-7.3009999999999797</v>
      </c>
      <c r="AF2559">
        <v>-2.2729261514917698</v>
      </c>
      <c r="AG2559">
        <v>-1.1211503992530001</v>
      </c>
      <c r="AH2559">
        <v>7.1236322047977998</v>
      </c>
      <c r="AI2559">
        <v>98.527259885708503</v>
      </c>
      <c r="AJ2559">
        <v>107.696241482356</v>
      </c>
      <c r="AK2559">
        <v>7.5610387710362099</v>
      </c>
      <c r="AL2559">
        <v>69.514361964518699</v>
      </c>
      <c r="AM2559">
        <v>103.847266285331</v>
      </c>
      <c r="AN2559">
        <v>1.00000005524188</v>
      </c>
    </row>
    <row r="2560" spans="1:40" x14ac:dyDescent="0.25">
      <c r="A2560" t="str">
        <f>"20190304164419658"</f>
        <v>20190304164419658</v>
      </c>
      <c r="B2560" t="str">
        <f>"1551689059652405"</f>
        <v>1551689059652405</v>
      </c>
      <c r="C2560" t="s">
        <v>40</v>
      </c>
      <c r="D2560">
        <v>5.1721899999999996</v>
      </c>
      <c r="E2560">
        <v>0.47585640000000001</v>
      </c>
      <c r="F2560" t="s">
        <v>42</v>
      </c>
      <c r="G2560">
        <v>-489.35919999999999</v>
      </c>
      <c r="H2560" s="1">
        <v>-3.327564E-6</v>
      </c>
      <c r="I2560">
        <v>267.12450000000001</v>
      </c>
      <c r="J2560">
        <v>-487.19420000000002</v>
      </c>
      <c r="K2560">
        <v>1.1211230000000001</v>
      </c>
      <c r="L2560">
        <v>274.4058</v>
      </c>
      <c r="M2560">
        <v>-0.56201919999999905</v>
      </c>
      <c r="N2560">
        <v>-1.517784E-2</v>
      </c>
      <c r="O2560">
        <v>-0.82698490000000002</v>
      </c>
      <c r="P2560">
        <v>-0.33572459999999998</v>
      </c>
      <c r="Q2560">
        <v>0.34254000000000001</v>
      </c>
      <c r="R2560">
        <v>-0.877470999999999</v>
      </c>
      <c r="S2560">
        <v>-0.98583980000000004</v>
      </c>
      <c r="T2560">
        <v>-0.48605670000000001</v>
      </c>
      <c r="U2560">
        <v>-3.2325740000000001</v>
      </c>
      <c r="V2560">
        <v>-0.2243928</v>
      </c>
      <c r="W2560">
        <v>0.35087390000000002</v>
      </c>
      <c r="X2560">
        <v>0.9091399</v>
      </c>
      <c r="Y2560">
        <v>-0.2973344</v>
      </c>
      <c r="Z2560">
        <v>9.1966989999999998E-2</v>
      </c>
      <c r="AA2560">
        <v>0.95033380000000001</v>
      </c>
      <c r="AB2560">
        <v>28</v>
      </c>
      <c r="AC2560">
        <v>-2.1649999999999601</v>
      </c>
      <c r="AD2560">
        <v>-1.12112632756399</v>
      </c>
      <c r="AE2560">
        <v>-7.2812999999999803</v>
      </c>
      <c r="AF2560">
        <v>-2.25299834785468</v>
      </c>
      <c r="AG2560">
        <v>-1.12112632756399</v>
      </c>
      <c r="AH2560">
        <v>7.08480894028256</v>
      </c>
      <c r="AI2560">
        <v>98.575713556622304</v>
      </c>
      <c r="AJ2560">
        <v>107.640877765425</v>
      </c>
      <c r="AK2560">
        <v>7.5184734832345299</v>
      </c>
      <c r="AL2560">
        <v>69.459223733460604</v>
      </c>
      <c r="AM2560">
        <v>103.86456673324</v>
      </c>
      <c r="AN2560">
        <v>0.99999999008253004</v>
      </c>
    </row>
    <row r="2561" spans="1:40" x14ac:dyDescent="0.25">
      <c r="A2561" t="str">
        <f>"20190304164419669"</f>
        <v>20190304164419669</v>
      </c>
      <c r="B2561" t="str">
        <f>"1551689059662165"</f>
        <v>1551689059662165</v>
      </c>
      <c r="C2561" t="s">
        <v>40</v>
      </c>
      <c r="D2561">
        <v>5.1727290000000004</v>
      </c>
      <c r="E2561">
        <v>0.47652840000000002</v>
      </c>
      <c r="F2561" t="s">
        <v>42</v>
      </c>
      <c r="G2561">
        <v>-489.32209999999998</v>
      </c>
      <c r="H2561" s="1">
        <v>-3.6193140000000002E-6</v>
      </c>
      <c r="I2561">
        <v>267.78919999999999</v>
      </c>
      <c r="J2561">
        <v>-487.27890000000002</v>
      </c>
      <c r="K2561">
        <v>1.1210960000000001</v>
      </c>
      <c r="L2561">
        <v>274.26670000000001</v>
      </c>
      <c r="M2561">
        <v>-0.5552551</v>
      </c>
      <c r="N2561">
        <v>-1.516954E-2</v>
      </c>
      <c r="O2561">
        <v>-0.83154189999999994</v>
      </c>
      <c r="P2561">
        <v>-0.32845730000000001</v>
      </c>
      <c r="Q2561">
        <v>0.34279140000000002</v>
      </c>
      <c r="R2561">
        <v>-0.8801196</v>
      </c>
      <c r="S2561">
        <v>-1.040314</v>
      </c>
      <c r="T2561">
        <v>-0.54811739999999998</v>
      </c>
      <c r="U2561">
        <v>-3.2348330000000001</v>
      </c>
      <c r="V2561">
        <v>-0.2244235</v>
      </c>
      <c r="W2561">
        <v>0.3511302</v>
      </c>
      <c r="X2561">
        <v>0.90903339999999999</v>
      </c>
      <c r="Y2561">
        <v>-0.27559119999999998</v>
      </c>
      <c r="Z2561">
        <v>0.106544</v>
      </c>
      <c r="AA2561">
        <v>0.95535219999999998</v>
      </c>
      <c r="AB2561">
        <v>28</v>
      </c>
      <c r="AC2561">
        <v>-2.0431999999999499</v>
      </c>
      <c r="AD2561">
        <v>-1.1210996193139999</v>
      </c>
      <c r="AE2561">
        <v>-6.4775000000000196</v>
      </c>
      <c r="AF2561">
        <v>-1.8475411729756801</v>
      </c>
      <c r="AG2561">
        <v>-1.1210996193139999</v>
      </c>
      <c r="AH2561">
        <v>6.3485947175835298</v>
      </c>
      <c r="AI2561">
        <v>99.623331452380796</v>
      </c>
      <c r="AJ2561">
        <v>106.22582882711001</v>
      </c>
      <c r="AK2561">
        <v>6.7063348880290699</v>
      </c>
      <c r="AL2561">
        <v>69.443541724822097</v>
      </c>
      <c r="AM2561">
        <v>103.867952240265</v>
      </c>
      <c r="AN2561">
        <v>1.00000002350992</v>
      </c>
    </row>
    <row r="2562" spans="1:40" x14ac:dyDescent="0.25">
      <c r="A2562" t="str">
        <f>"20190304164419681"</f>
        <v>20190304164419681</v>
      </c>
      <c r="B2562" t="str">
        <f>"1551689059672901"</f>
        <v>1551689059672901</v>
      </c>
      <c r="C2562" t="s">
        <v>40</v>
      </c>
      <c r="D2562">
        <v>5.1604289999999997</v>
      </c>
      <c r="E2562">
        <v>0.47706749999999998</v>
      </c>
      <c r="F2562" t="s">
        <v>42</v>
      </c>
      <c r="G2562">
        <v>-489.35930000000002</v>
      </c>
      <c r="H2562" s="1">
        <v>-3.555084E-6</v>
      </c>
      <c r="I2562">
        <v>267.65480000000002</v>
      </c>
      <c r="J2562">
        <v>-487.34739999999999</v>
      </c>
      <c r="K2562">
        <v>1.121065</v>
      </c>
      <c r="L2562">
        <v>274.15219999999999</v>
      </c>
      <c r="M2562">
        <v>-0.54969539999999995</v>
      </c>
      <c r="N2562">
        <v>-1.51621E-2</v>
      </c>
      <c r="O2562">
        <v>-0.83522770000000002</v>
      </c>
      <c r="P2562">
        <v>-0.32248090000000001</v>
      </c>
      <c r="Q2562">
        <v>0.34265590000000001</v>
      </c>
      <c r="R2562">
        <v>-0.88237949999999998</v>
      </c>
      <c r="S2562">
        <v>-1.020081</v>
      </c>
      <c r="T2562">
        <v>-0.549724199999999</v>
      </c>
      <c r="U2562">
        <v>-3.2420650000000002</v>
      </c>
      <c r="V2562">
        <v>-0.22452849999999999</v>
      </c>
      <c r="W2562">
        <v>0.35099849999999999</v>
      </c>
      <c r="X2562">
        <v>0.90905829999999999</v>
      </c>
      <c r="Y2562">
        <v>-0.27524300000000002</v>
      </c>
      <c r="Z2562">
        <v>0.107554399999999</v>
      </c>
      <c r="AA2562">
        <v>0.95533939999999995</v>
      </c>
      <c r="AB2562">
        <v>28</v>
      </c>
      <c r="AC2562">
        <v>-2.0119000000000198</v>
      </c>
      <c r="AD2562">
        <v>-1.1210685550839901</v>
      </c>
      <c r="AE2562">
        <v>-6.4973999999999696</v>
      </c>
      <c r="AF2562">
        <v>-1.84139072818515</v>
      </c>
      <c r="AG2562">
        <v>-1.1210685550839901</v>
      </c>
      <c r="AH2562">
        <v>6.3606977996310103</v>
      </c>
      <c r="AI2562">
        <v>99.608938584807305</v>
      </c>
      <c r="AJ2562">
        <v>106.145469962764</v>
      </c>
      <c r="AK2562">
        <v>6.7160993900682504</v>
      </c>
      <c r="AL2562">
        <v>69.451599866379198</v>
      </c>
      <c r="AM2562">
        <v>103.873824606363</v>
      </c>
      <c r="AN2562">
        <v>0.999999993556695</v>
      </c>
    </row>
    <row r="2563" spans="1:40" x14ac:dyDescent="0.25">
      <c r="A2563" t="str">
        <f>"20190304164419694"</f>
        <v>20190304164419694</v>
      </c>
      <c r="B2563" t="str">
        <f>"1551689059682661"</f>
        <v>1551689059682661</v>
      </c>
      <c r="C2563" t="s">
        <v>40</v>
      </c>
      <c r="D2563">
        <v>5.1540119999999998</v>
      </c>
      <c r="E2563">
        <v>0.47755500000000001</v>
      </c>
      <c r="F2563" t="s">
        <v>42</v>
      </c>
      <c r="G2563">
        <v>-489.39769999999999</v>
      </c>
      <c r="H2563" s="1">
        <v>-3.4883519999999999E-6</v>
      </c>
      <c r="I2563">
        <v>267.51519999999999</v>
      </c>
      <c r="J2563">
        <v>-487.42469999999997</v>
      </c>
      <c r="K2563">
        <v>1.1210340000000001</v>
      </c>
      <c r="L2563">
        <v>274.02159999999998</v>
      </c>
      <c r="M2563">
        <v>-0.5433462</v>
      </c>
      <c r="N2563">
        <v>-1.515361E-2</v>
      </c>
      <c r="O2563">
        <v>-0.83937209999999995</v>
      </c>
      <c r="P2563">
        <v>-0.31565199999999999</v>
      </c>
      <c r="Q2563">
        <v>0.3425974</v>
      </c>
      <c r="R2563">
        <v>-0.88486779999999998</v>
      </c>
      <c r="S2563">
        <v>-1.002869</v>
      </c>
      <c r="T2563">
        <v>-0.54834539999999998</v>
      </c>
      <c r="U2563">
        <v>-3.2463380000000002</v>
      </c>
      <c r="V2563">
        <v>-0.2246465</v>
      </c>
      <c r="W2563">
        <v>0.3509449</v>
      </c>
      <c r="X2563">
        <v>0.90904989999999997</v>
      </c>
      <c r="Y2563">
        <v>-0.27294889999999999</v>
      </c>
      <c r="Z2563">
        <v>0.1081662</v>
      </c>
      <c r="AA2563">
        <v>0.95592829999999995</v>
      </c>
      <c r="AB2563">
        <v>28</v>
      </c>
      <c r="AC2563">
        <v>-1.9730000000000101</v>
      </c>
      <c r="AD2563">
        <v>-1.121037488352</v>
      </c>
      <c r="AE2563">
        <v>-6.5063999999999798</v>
      </c>
      <c r="AF2563">
        <v>-1.8296210236518899</v>
      </c>
      <c r="AG2563">
        <v>-1.121037488352</v>
      </c>
      <c r="AH2563">
        <v>6.3611250341600796</v>
      </c>
      <c r="AI2563">
        <v>99.612741125668705</v>
      </c>
      <c r="AJ2563">
        <v>106.046578534931</v>
      </c>
      <c r="AK2563">
        <v>6.7132815999850397</v>
      </c>
      <c r="AL2563">
        <v>69.454880696133102</v>
      </c>
      <c r="AM2563">
        <v>103.880957340545</v>
      </c>
      <c r="AN2563">
        <v>1.0000000467441299</v>
      </c>
    </row>
    <row r="2564" spans="1:40" x14ac:dyDescent="0.25">
      <c r="A2564" t="str">
        <f>"20190304164419718"</f>
        <v>20190304164419718</v>
      </c>
      <c r="B2564" t="str">
        <f>"1551689059712917"</f>
        <v>1551689059712917</v>
      </c>
      <c r="C2564" t="s">
        <v>40</v>
      </c>
      <c r="D2564">
        <v>5.18621</v>
      </c>
      <c r="E2564">
        <v>0.47866399999999998</v>
      </c>
      <c r="F2564" t="s">
        <v>42</v>
      </c>
      <c r="G2564">
        <v>-489.43340000000001</v>
      </c>
      <c r="H2564" s="1">
        <v>-3.4196930000000001E-6</v>
      </c>
      <c r="I2564">
        <v>267.36989999999997</v>
      </c>
      <c r="J2564">
        <v>-487.57209999999998</v>
      </c>
      <c r="K2564">
        <v>1.120965</v>
      </c>
      <c r="L2564">
        <v>273.7647</v>
      </c>
      <c r="M2564">
        <v>-0.53092600000000001</v>
      </c>
      <c r="N2564">
        <v>-1.5134999999999999E-2</v>
      </c>
      <c r="O2564">
        <v>-0.84728309999999996</v>
      </c>
      <c r="P2564">
        <v>-0.30277009999999899</v>
      </c>
      <c r="Q2564">
        <v>0.34176800000000002</v>
      </c>
      <c r="R2564">
        <v>-0.88967719999999995</v>
      </c>
      <c r="S2564">
        <v>-0.98208620000000002</v>
      </c>
      <c r="T2564">
        <v>-0.54810950000000003</v>
      </c>
      <c r="U2564">
        <v>-3.2522280000000001</v>
      </c>
      <c r="V2564">
        <v>-0.22454589999999999</v>
      </c>
      <c r="W2564">
        <v>0.35014329999999999</v>
      </c>
      <c r="X2564">
        <v>0.90938379999999996</v>
      </c>
      <c r="Y2564">
        <v>-0.2649164</v>
      </c>
      <c r="Z2564">
        <v>0.1099777</v>
      </c>
      <c r="AA2564">
        <v>0.95797929999999998</v>
      </c>
      <c r="AB2564">
        <v>28</v>
      </c>
      <c r="AC2564">
        <v>-1.8613000000000199</v>
      </c>
      <c r="AD2564">
        <v>-1.1209684196930001</v>
      </c>
      <c r="AE2564">
        <v>-6.3948000000000302</v>
      </c>
      <c r="AF2564">
        <v>-1.76823515380452</v>
      </c>
      <c r="AG2564">
        <v>-1.1209684196930001</v>
      </c>
      <c r="AH2564">
        <v>6.2306501870046196</v>
      </c>
      <c r="AI2564">
        <v>99.819308534777306</v>
      </c>
      <c r="AJ2564">
        <v>105.84374310561699</v>
      </c>
      <c r="AK2564">
        <v>6.5729922797703004</v>
      </c>
      <c r="AL2564">
        <v>69.503920705578807</v>
      </c>
      <c r="AM2564">
        <v>103.870083728118</v>
      </c>
      <c r="AN2564">
        <v>1.00000004372206</v>
      </c>
    </row>
    <row r="2565" spans="1:40" x14ac:dyDescent="0.25">
      <c r="A2565" t="str">
        <f>"20190304164419736"</f>
        <v>20190304164419736</v>
      </c>
      <c r="B2565" t="str">
        <f>"1551689059722677"</f>
        <v>1551689059722677</v>
      </c>
      <c r="C2565" t="s">
        <v>40</v>
      </c>
      <c r="D2565">
        <v>5.1441350000000003</v>
      </c>
      <c r="E2565">
        <v>0.47866399999999998</v>
      </c>
      <c r="F2565" t="s">
        <v>42</v>
      </c>
      <c r="G2565">
        <v>-489.48070000000001</v>
      </c>
      <c r="H2565" s="1">
        <v>-3.3187410000000002E-6</v>
      </c>
      <c r="I2565">
        <v>267.15410000000003</v>
      </c>
      <c r="J2565">
        <v>-487.6721</v>
      </c>
      <c r="K2565">
        <v>1.1209119999999999</v>
      </c>
      <c r="L2565">
        <v>273.58600000000001</v>
      </c>
      <c r="M2565">
        <v>-0.52230889999999996</v>
      </c>
      <c r="N2565">
        <v>-1.512108E-2</v>
      </c>
      <c r="O2565">
        <v>-0.85262229999999894</v>
      </c>
      <c r="P2565">
        <v>-0.29338320000000001</v>
      </c>
      <c r="Q2565">
        <v>0.34094799999999997</v>
      </c>
      <c r="R2565">
        <v>-0.89312990000000003</v>
      </c>
      <c r="S2565">
        <v>-0.94238279999999996</v>
      </c>
      <c r="T2565">
        <v>-0.55346499999999998</v>
      </c>
      <c r="U2565">
        <v>-3.2638850000000001</v>
      </c>
      <c r="V2565">
        <v>-0.22500300000000001</v>
      </c>
      <c r="W2565">
        <v>0.34933019999999998</v>
      </c>
      <c r="X2565">
        <v>0.90958340000000004</v>
      </c>
      <c r="Y2565">
        <v>-0.2668585</v>
      </c>
      <c r="Z2565">
        <v>0.11206099999999999</v>
      </c>
      <c r="AA2565">
        <v>0.9571984</v>
      </c>
      <c r="AB2565">
        <v>28</v>
      </c>
      <c r="AC2565">
        <v>-1.80860000000001</v>
      </c>
      <c r="AD2565">
        <v>-1.1209153187409999</v>
      </c>
      <c r="AE2565">
        <v>-6.4318999999999802</v>
      </c>
      <c r="AF2565">
        <v>-1.76783606630295</v>
      </c>
      <c r="AG2565">
        <v>-1.1209153187409999</v>
      </c>
      <c r="AH2565">
        <v>6.25335681483973</v>
      </c>
      <c r="AI2565">
        <v>99.786642904522395</v>
      </c>
      <c r="AJ2565">
        <v>105.785700249313</v>
      </c>
      <c r="AK2565">
        <v>6.5944042159100498</v>
      </c>
      <c r="AL2565">
        <v>69.553646299989794</v>
      </c>
      <c r="AM2565">
        <v>103.894293708226</v>
      </c>
      <c r="AN2565">
        <v>0.99999995009829801</v>
      </c>
    </row>
    <row r="2566" spans="1:40" x14ac:dyDescent="0.25">
      <c r="A2566" t="str">
        <f>"20190304164419750"</f>
        <v>20190304164419750</v>
      </c>
      <c r="B2566" t="str">
        <f>"1551689059742197"</f>
        <v>1551689059742197</v>
      </c>
      <c r="C2566" t="s">
        <v>40</v>
      </c>
      <c r="D2566">
        <v>5.2157090000000004</v>
      </c>
      <c r="E2566">
        <v>0.48490230000000001</v>
      </c>
      <c r="F2566" t="s">
        <v>42</v>
      </c>
      <c r="G2566">
        <v>-489.49930000000001</v>
      </c>
      <c r="H2566" s="1">
        <v>-3.2452529999999998E-6</v>
      </c>
      <c r="I2566">
        <v>266.9905</v>
      </c>
      <c r="J2566">
        <v>-487.75490000000002</v>
      </c>
      <c r="K2566">
        <v>1.1208549999999999</v>
      </c>
      <c r="L2566">
        <v>273.43419999999998</v>
      </c>
      <c r="M2566">
        <v>-0.5150228</v>
      </c>
      <c r="N2566">
        <v>-1.510831E-2</v>
      </c>
      <c r="O2566">
        <v>-0.85704340000000001</v>
      </c>
      <c r="P2566">
        <v>-0.28551749999999998</v>
      </c>
      <c r="Q2566">
        <v>0.34065079999999998</v>
      </c>
      <c r="R2566">
        <v>-0.89578860000000005</v>
      </c>
      <c r="S2566">
        <v>-0.90689090000000006</v>
      </c>
      <c r="T2566">
        <v>-0.55632950000000003</v>
      </c>
      <c r="U2566">
        <v>-3.2734679999999998</v>
      </c>
      <c r="V2566">
        <v>-0.2252586</v>
      </c>
      <c r="W2566">
        <v>0.34904200000000002</v>
      </c>
      <c r="X2566">
        <v>0.90963079999999996</v>
      </c>
      <c r="Y2566">
        <v>-0.26902969999999998</v>
      </c>
      <c r="Z2566">
        <v>0.11344129999999999</v>
      </c>
      <c r="AA2566">
        <v>0.95642780000000005</v>
      </c>
      <c r="AB2566">
        <v>28</v>
      </c>
      <c r="AC2566">
        <v>-1.74439999999998</v>
      </c>
      <c r="AD2566">
        <v>-1.120858245253</v>
      </c>
      <c r="AE2566">
        <v>-6.4436999999999696</v>
      </c>
      <c r="AF2566">
        <v>-1.7738274341812299</v>
      </c>
      <c r="AG2566">
        <v>-1.120858245253</v>
      </c>
      <c r="AH2566">
        <v>6.2455972766262304</v>
      </c>
      <c r="AI2566">
        <v>99.794774812604004</v>
      </c>
      <c r="AJ2566">
        <v>105.855206946172</v>
      </c>
      <c r="AK2566">
        <v>6.5886472294399399</v>
      </c>
      <c r="AL2566">
        <v>69.571268681160802</v>
      </c>
      <c r="AM2566">
        <v>103.908768198407</v>
      </c>
      <c r="AN2566">
        <v>0.99999997347329905</v>
      </c>
    </row>
    <row r="2567" spans="1:40" x14ac:dyDescent="0.25">
      <c r="A2567" t="str">
        <f>"20190304164419765"</f>
        <v>20190304164419765</v>
      </c>
      <c r="B2567" t="str">
        <f>"1551689059752464"</f>
        <v>1551689059752464</v>
      </c>
      <c r="C2567" t="s">
        <v>40</v>
      </c>
      <c r="D2567">
        <v>5.095631</v>
      </c>
      <c r="E2567">
        <v>0.44876939999999998</v>
      </c>
      <c r="F2567" t="s">
        <v>42</v>
      </c>
      <c r="G2567">
        <v>-489.54849999999999</v>
      </c>
      <c r="H2567" s="1">
        <v>-3.2844639999999999E-6</v>
      </c>
      <c r="I2567">
        <v>267.10230000000001</v>
      </c>
      <c r="J2567">
        <v>-487.84140000000002</v>
      </c>
      <c r="K2567">
        <v>1.1207990000000001</v>
      </c>
      <c r="L2567">
        <v>273.2724</v>
      </c>
      <c r="M2567">
        <v>-0.50729029999999997</v>
      </c>
      <c r="N2567">
        <v>-1.509428E-2</v>
      </c>
      <c r="O2567">
        <v>-0.86164300000000005</v>
      </c>
      <c r="P2567">
        <v>-0.2772232</v>
      </c>
      <c r="Q2567">
        <v>0.34101690000000001</v>
      </c>
      <c r="R2567">
        <v>-0.89825089999999996</v>
      </c>
      <c r="S2567">
        <v>-0.92730710000000005</v>
      </c>
      <c r="T2567">
        <v>-0.57951430000000004</v>
      </c>
      <c r="U2567">
        <v>-3.2737729999999998</v>
      </c>
      <c r="V2567">
        <v>-0.22537570000000001</v>
      </c>
      <c r="W2567">
        <v>0.3494196</v>
      </c>
      <c r="X2567">
        <v>0.90945679999999995</v>
      </c>
      <c r="Y2567">
        <v>-0.25507360000000001</v>
      </c>
      <c r="Z2567">
        <v>0.11999840000000001</v>
      </c>
      <c r="AA2567">
        <v>0.95944660000000004</v>
      </c>
      <c r="AB2567">
        <v>28</v>
      </c>
      <c r="AC2567">
        <v>-1.7070999999999601</v>
      </c>
      <c r="AD2567">
        <v>-1.120802284464</v>
      </c>
      <c r="AE2567">
        <v>-6.1700999999999899</v>
      </c>
      <c r="AF2567">
        <v>-1.6099637014305299</v>
      </c>
      <c r="AG2567">
        <v>-1.120802284464</v>
      </c>
      <c r="AH2567">
        <v>5.9992424174564496</v>
      </c>
      <c r="AI2567">
        <v>100.228363068188</v>
      </c>
      <c r="AJ2567">
        <v>105.022020985734</v>
      </c>
      <c r="AK2567">
        <v>6.3118214854503201</v>
      </c>
      <c r="AL2567">
        <v>69.5481799215367</v>
      </c>
      <c r="AM2567">
        <v>103.91827658964399</v>
      </c>
      <c r="AN2567">
        <v>0.99999996704044403</v>
      </c>
    </row>
    <row r="2568" spans="1:40" x14ac:dyDescent="0.25">
      <c r="A2568" t="str">
        <f>"20190304164419780"</f>
        <v>20190304164419780</v>
      </c>
      <c r="B2568" t="str">
        <f>"1551689059771984"</f>
        <v>1551689059771984</v>
      </c>
      <c r="C2568" t="s">
        <v>40</v>
      </c>
      <c r="D2568">
        <v>5.0841409999999998</v>
      </c>
      <c r="E2568">
        <v>0.44060100000000002</v>
      </c>
      <c r="F2568" t="s">
        <v>42</v>
      </c>
      <c r="G2568">
        <v>-489.55430000000001</v>
      </c>
      <c r="H2568" s="1">
        <v>-1.8864630000000001E-6</v>
      </c>
      <c r="I2568">
        <v>263.84589999999997</v>
      </c>
      <c r="J2568">
        <v>-487.92759999999998</v>
      </c>
      <c r="K2568">
        <v>1.1207510000000001</v>
      </c>
      <c r="L2568">
        <v>273.10820000000001</v>
      </c>
      <c r="M2568">
        <v>-0.49945830000000002</v>
      </c>
      <c r="N2568">
        <v>-1.5079820000000001E-2</v>
      </c>
      <c r="O2568">
        <v>-0.866206699999999</v>
      </c>
      <c r="P2568">
        <v>-0.26944859999999998</v>
      </c>
      <c r="Q2568">
        <v>0.34200340000000001</v>
      </c>
      <c r="R2568">
        <v>-0.90023929999999996</v>
      </c>
      <c r="S2568">
        <v>-0.60034180000000004</v>
      </c>
      <c r="T2568">
        <v>-0.39280999999999999</v>
      </c>
      <c r="U2568">
        <v>-3.303741</v>
      </c>
      <c r="V2568">
        <v>-0.2247778</v>
      </c>
      <c r="W2568">
        <v>0.35043449999999998</v>
      </c>
      <c r="X2568">
        <v>0.90921430000000003</v>
      </c>
      <c r="Y2568">
        <v>-0.3367194</v>
      </c>
      <c r="Z2568">
        <v>7.635583E-2</v>
      </c>
      <c r="AA2568">
        <v>0.938504</v>
      </c>
      <c r="AB2568">
        <v>28</v>
      </c>
      <c r="AC2568">
        <v>-1.62670000000002</v>
      </c>
      <c r="AD2568">
        <v>-1.1207528864630001</v>
      </c>
      <c r="AE2568">
        <v>-9.26230000000003</v>
      </c>
      <c r="AF2568">
        <v>-3.1723816998535299</v>
      </c>
      <c r="AG2568">
        <v>-1.1207528864630001</v>
      </c>
      <c r="AH2568">
        <v>8.7127894659939606</v>
      </c>
      <c r="AI2568">
        <v>96.891922881880106</v>
      </c>
      <c r="AJ2568">
        <v>110.006884689724</v>
      </c>
      <c r="AK2568">
        <v>9.3398497290275504</v>
      </c>
      <c r="AL2568">
        <v>69.486107072537706</v>
      </c>
      <c r="AM2568">
        <v>103.88634228118801</v>
      </c>
      <c r="AN2568">
        <v>1.00000002074378</v>
      </c>
    </row>
    <row r="2569" spans="1:40" x14ac:dyDescent="0.25">
      <c r="A2569" t="str">
        <f>"20190304164419791"</f>
        <v>20190304164419791</v>
      </c>
      <c r="B2569" t="str">
        <f>"1551689059782721"</f>
        <v>1551689059782721</v>
      </c>
      <c r="C2569" t="s">
        <v>40</v>
      </c>
      <c r="D2569">
        <v>5.0764579999999997</v>
      </c>
      <c r="E2569">
        <v>0.43930970000000003</v>
      </c>
      <c r="F2569" t="s">
        <v>42</v>
      </c>
      <c r="G2569">
        <v>-489.5711</v>
      </c>
      <c r="H2569" s="1">
        <v>-1.20666E-6</v>
      </c>
      <c r="I2569">
        <v>262.26819999999998</v>
      </c>
      <c r="J2569">
        <v>-487.99220000000003</v>
      </c>
      <c r="K2569">
        <v>1.120706</v>
      </c>
      <c r="L2569">
        <v>272.98270000000002</v>
      </c>
      <c r="M2569">
        <v>-0.49349589999999999</v>
      </c>
      <c r="N2569">
        <v>-1.5068730000000001E-2</v>
      </c>
      <c r="O2569">
        <v>-0.86961759999999999</v>
      </c>
      <c r="P2569">
        <v>-0.26334259999999998</v>
      </c>
      <c r="Q2569">
        <v>0.34248889999999999</v>
      </c>
      <c r="R2569">
        <v>-0.90186040000000001</v>
      </c>
      <c r="S2569">
        <v>-0.50219729999999996</v>
      </c>
      <c r="T2569">
        <v>-0.34245959999999998</v>
      </c>
      <c r="U2569">
        <v>-3.3122859999999998</v>
      </c>
      <c r="V2569">
        <v>-0.22457350000000001</v>
      </c>
      <c r="W2569">
        <v>0.35093679999999999</v>
      </c>
      <c r="X2569">
        <v>0.90907099999999996</v>
      </c>
      <c r="Y2569">
        <v>-0.35753550000000001</v>
      </c>
      <c r="Z2569">
        <v>6.4779340000000005E-2</v>
      </c>
      <c r="AA2569">
        <v>0.93165019999999998</v>
      </c>
      <c r="AB2569">
        <v>28</v>
      </c>
      <c r="AC2569">
        <v>-1.57889999999997</v>
      </c>
      <c r="AD2569">
        <v>-1.1207072066599999</v>
      </c>
      <c r="AE2569">
        <v>-10.714499999999999</v>
      </c>
      <c r="AF2569">
        <v>-3.8734894765103101</v>
      </c>
      <c r="AG2569">
        <v>-1.1207072066599999</v>
      </c>
      <c r="AH2569">
        <v>9.9908620481645301</v>
      </c>
      <c r="AI2569">
        <v>95.970732318656403</v>
      </c>
      <c r="AJ2569">
        <v>111.191472791173</v>
      </c>
      <c r="AK2569">
        <v>10.7739143227125</v>
      </c>
      <c r="AL2569">
        <v>69.455375069521395</v>
      </c>
      <c r="AM2569">
        <v>103.876311377165</v>
      </c>
      <c r="AN2569">
        <v>0.99999998876874496</v>
      </c>
    </row>
    <row r="2570" spans="1:40" x14ac:dyDescent="0.25">
      <c r="A2570" t="str">
        <f>"20190304164419804"</f>
        <v>20190304164419804</v>
      </c>
      <c r="B2570" t="str">
        <f>"1551689059792480"</f>
        <v>1551689059792480</v>
      </c>
      <c r="C2570" t="s">
        <v>40</v>
      </c>
      <c r="D2570">
        <v>5.0814680000000001</v>
      </c>
      <c r="E2570">
        <v>0.43907200000000002</v>
      </c>
      <c r="F2570" t="s">
        <v>42</v>
      </c>
      <c r="G2570">
        <v>-489.57780000000002</v>
      </c>
      <c r="H2570" s="1">
        <v>-9.9269190000000009E-7</v>
      </c>
      <c r="I2570">
        <v>261.7722</v>
      </c>
      <c r="J2570">
        <v>-488.05759999999998</v>
      </c>
      <c r="K2570">
        <v>1.1206579999999999</v>
      </c>
      <c r="L2570">
        <v>272.85300000000001</v>
      </c>
      <c r="M2570">
        <v>-0.48737180000000002</v>
      </c>
      <c r="N2570">
        <v>-1.50565E-2</v>
      </c>
      <c r="O2570">
        <v>-0.87306479999999997</v>
      </c>
      <c r="P2570">
        <v>-0.2571717</v>
      </c>
      <c r="Q2570">
        <v>0.34294560000000002</v>
      </c>
      <c r="R2570">
        <v>-0.9034662</v>
      </c>
      <c r="S2570">
        <v>-0.4689026</v>
      </c>
      <c r="T2570">
        <v>-0.33143899999999998</v>
      </c>
      <c r="U2570">
        <v>-3.3153990000000002</v>
      </c>
      <c r="V2570">
        <v>-0.22428239999999999</v>
      </c>
      <c r="W2570">
        <v>0.35141230000000001</v>
      </c>
      <c r="X2570">
        <v>0.90895919999999997</v>
      </c>
      <c r="Y2570">
        <v>-0.36024790000000001</v>
      </c>
      <c r="Z2570">
        <v>6.2633419999999995E-2</v>
      </c>
      <c r="AA2570">
        <v>0.93075160000000001</v>
      </c>
      <c r="AB2570">
        <v>28</v>
      </c>
      <c r="AC2570">
        <v>-1.52020000000004</v>
      </c>
      <c r="AD2570">
        <v>-1.1206589926918999</v>
      </c>
      <c r="AE2570">
        <v>-11.0808</v>
      </c>
      <c r="AF2570">
        <v>-4.0332070107037703</v>
      </c>
      <c r="AG2570">
        <v>-1.1206589926918999</v>
      </c>
      <c r="AH2570">
        <v>10.312805114638</v>
      </c>
      <c r="AI2570">
        <v>95.778805354788304</v>
      </c>
      <c r="AJ2570">
        <v>111.359836410911</v>
      </c>
      <c r="AK2570">
        <v>11.129985835642101</v>
      </c>
      <c r="AL2570">
        <v>69.426278245197906</v>
      </c>
      <c r="AM2570">
        <v>103.860657172168</v>
      </c>
      <c r="AN2570">
        <v>1.0000000134028399</v>
      </c>
    </row>
    <row r="2571" spans="1:40" x14ac:dyDescent="0.25">
      <c r="A2571" t="str">
        <f>"20190304164419818"</f>
        <v>20190304164419818</v>
      </c>
      <c r="B2571" t="str">
        <f>"1551689059812001"</f>
        <v>1551689059812001</v>
      </c>
      <c r="C2571" t="s">
        <v>40</v>
      </c>
      <c r="D2571">
        <v>5.0742729999999998</v>
      </c>
      <c r="E2571">
        <v>0.44009569999999998</v>
      </c>
      <c r="F2571" t="s">
        <v>42</v>
      </c>
      <c r="G2571">
        <v>-489.5813</v>
      </c>
      <c r="H2571" s="1">
        <v>-8.5027849999999997E-7</v>
      </c>
      <c r="I2571">
        <v>261.44170000000003</v>
      </c>
      <c r="J2571">
        <v>-488.13119999999998</v>
      </c>
      <c r="K2571">
        <v>1.120598</v>
      </c>
      <c r="L2571">
        <v>272.70490000000001</v>
      </c>
      <c r="M2571">
        <v>-0.4803886</v>
      </c>
      <c r="N2571">
        <v>-1.50426E-2</v>
      </c>
      <c r="O2571">
        <v>-0.87692680000000001</v>
      </c>
      <c r="P2571">
        <v>-0.24996109999999999</v>
      </c>
      <c r="Q2571">
        <v>0.34329480000000001</v>
      </c>
      <c r="R2571">
        <v>-0.90535520000000003</v>
      </c>
      <c r="S2571">
        <v>-0.44305420000000001</v>
      </c>
      <c r="T2571">
        <v>-0.325858799999999</v>
      </c>
      <c r="U2571">
        <v>-3.3181150000000001</v>
      </c>
      <c r="V2571">
        <v>-0.22417139999999999</v>
      </c>
      <c r="W2571">
        <v>0.3517788</v>
      </c>
      <c r="X2571">
        <v>0.90884480000000001</v>
      </c>
      <c r="Y2571">
        <v>-0.36002519999999999</v>
      </c>
      <c r="Z2571">
        <v>6.1844580000000003E-2</v>
      </c>
      <c r="AA2571">
        <v>0.93089049999999995</v>
      </c>
      <c r="AB2571">
        <v>28</v>
      </c>
      <c r="AC2571">
        <v>-1.4501000000000199</v>
      </c>
      <c r="AD2571">
        <v>-1.1205988502785</v>
      </c>
      <c r="AE2571">
        <v>-11.2631999999999</v>
      </c>
      <c r="AF2571">
        <v>-4.0996303061854604</v>
      </c>
      <c r="AG2571">
        <v>-1.1205988502785</v>
      </c>
      <c r="AH2571">
        <v>10.472832663171999</v>
      </c>
      <c r="AI2571">
        <v>95.690081342649194</v>
      </c>
      <c r="AJ2571">
        <v>111.378048595498</v>
      </c>
      <c r="AK2571">
        <v>11.3023419883421</v>
      </c>
      <c r="AL2571">
        <v>69.4038469943184</v>
      </c>
      <c r="AM2571">
        <v>103.85573837559301</v>
      </c>
      <c r="AN2571">
        <v>1.00000000559722</v>
      </c>
    </row>
    <row r="2572" spans="1:40" x14ac:dyDescent="0.25">
      <c r="A2572" t="str">
        <f>"20190304164419831"</f>
        <v>20190304164419831</v>
      </c>
      <c r="B2572" t="str">
        <f>"1551689059822736"</f>
        <v>1551689059822736</v>
      </c>
      <c r="C2572" t="s">
        <v>40</v>
      </c>
      <c r="D2572">
        <v>5.0753279999999998</v>
      </c>
      <c r="E2572">
        <v>0.44082949999999999</v>
      </c>
      <c r="F2572" t="s">
        <v>42</v>
      </c>
      <c r="G2572">
        <v>-489.60079999999999</v>
      </c>
      <c r="H2572" s="1">
        <v>-7.4407509999999999E-7</v>
      </c>
      <c r="I2572">
        <v>261.2022</v>
      </c>
      <c r="J2572">
        <v>-488.20549999999997</v>
      </c>
      <c r="K2572">
        <v>1.120539</v>
      </c>
      <c r="L2572">
        <v>272.55239999999998</v>
      </c>
      <c r="M2572">
        <v>-0.47323720000000002</v>
      </c>
      <c r="N2572">
        <v>-1.5027820000000001E-2</v>
      </c>
      <c r="O2572">
        <v>-0.88080700000000001</v>
      </c>
      <c r="P2572">
        <v>-0.2428775</v>
      </c>
      <c r="Q2572">
        <v>0.34336169999999999</v>
      </c>
      <c r="R2572">
        <v>-0.90725610000000001</v>
      </c>
      <c r="S2572">
        <v>-0.42404170000000002</v>
      </c>
      <c r="T2572">
        <v>-0.32335350000000002</v>
      </c>
      <c r="U2572">
        <v>-3.319153</v>
      </c>
      <c r="V2572">
        <v>-0.22381760000000001</v>
      </c>
      <c r="W2572">
        <v>0.35187210000000002</v>
      </c>
      <c r="X2572">
        <v>0.90889589999999998</v>
      </c>
      <c r="Y2572">
        <v>-0.357720599999999</v>
      </c>
      <c r="Z2572">
        <v>6.1838089999999998E-2</v>
      </c>
      <c r="AA2572">
        <v>0.93177900000000002</v>
      </c>
      <c r="AB2572">
        <v>28</v>
      </c>
      <c r="AC2572">
        <v>-1.39530000000002</v>
      </c>
      <c r="AD2572">
        <v>-1.1205397440750999</v>
      </c>
      <c r="AE2572">
        <v>-11.3501999999999</v>
      </c>
      <c r="AF2572">
        <v>-4.1034157228691202</v>
      </c>
      <c r="AG2572">
        <v>-1.1205397440750999</v>
      </c>
      <c r="AH2572">
        <v>10.5574794397735</v>
      </c>
      <c r="AI2572">
        <v>95.649740516036999</v>
      </c>
      <c r="AJ2572">
        <v>111.239800305888</v>
      </c>
      <c r="AK2572">
        <v>11.382179142588701</v>
      </c>
      <c r="AL2572">
        <v>69.398136597271403</v>
      </c>
      <c r="AM2572">
        <v>103.833963279942</v>
      </c>
      <c r="AN2572">
        <v>1.0000000249324801</v>
      </c>
    </row>
    <row r="2573" spans="1:40" x14ac:dyDescent="0.25">
      <c r="A2573" t="str">
        <f>"20190304164419848"</f>
        <v>20190304164419848</v>
      </c>
      <c r="B2573" t="str">
        <f>"1551689059842256"</f>
        <v>1551689059842256</v>
      </c>
      <c r="C2573" t="s">
        <v>40</v>
      </c>
      <c r="D2573">
        <v>5.0781299999999998</v>
      </c>
      <c r="E2573">
        <v>0.44282529999999998</v>
      </c>
      <c r="F2573" t="s">
        <v>42</v>
      </c>
      <c r="G2573">
        <v>-489.6035</v>
      </c>
      <c r="H2573" s="1">
        <v>-6.772278E-7</v>
      </c>
      <c r="I2573">
        <v>261.04750000000001</v>
      </c>
      <c r="J2573">
        <v>-488.28899999999999</v>
      </c>
      <c r="K2573">
        <v>1.120474</v>
      </c>
      <c r="L2573">
        <v>272.37670000000003</v>
      </c>
      <c r="M2573">
        <v>-0.46504529999999999</v>
      </c>
      <c r="N2573">
        <v>-1.501019E-2</v>
      </c>
      <c r="O2573">
        <v>-0.88515979999999905</v>
      </c>
      <c r="P2573">
        <v>-0.23545269999999999</v>
      </c>
      <c r="Q2573">
        <v>0.34317029999999998</v>
      </c>
      <c r="R2573">
        <v>-0.90928359999999997</v>
      </c>
      <c r="S2573">
        <v>-0.4035339</v>
      </c>
      <c r="T2573">
        <v>-0.32345689999999999</v>
      </c>
      <c r="U2573">
        <v>-3.3210449999999998</v>
      </c>
      <c r="V2573">
        <v>-0.2227806</v>
      </c>
      <c r="W2573">
        <v>0.35172880000000001</v>
      </c>
      <c r="X2573">
        <v>0.90920610000000002</v>
      </c>
      <c r="Y2573">
        <v>-0.354798</v>
      </c>
      <c r="Z2573">
        <v>6.2499510000000001E-2</v>
      </c>
      <c r="AA2573">
        <v>0.93285169999999995</v>
      </c>
      <c r="AB2573">
        <v>28</v>
      </c>
      <c r="AC2573">
        <v>-1.3145</v>
      </c>
      <c r="AD2573">
        <v>-1.1204746772278</v>
      </c>
      <c r="AE2573">
        <v>-11.3292</v>
      </c>
      <c r="AF2573">
        <v>-4.0662647081443399</v>
      </c>
      <c r="AG2573">
        <v>-1.1204746772278</v>
      </c>
      <c r="AH2573">
        <v>10.538934318484401</v>
      </c>
      <c r="AI2573">
        <v>95.664673269623407</v>
      </c>
      <c r="AJ2573">
        <v>111.09824157767299</v>
      </c>
      <c r="AK2573">
        <v>11.3516126056318</v>
      </c>
      <c r="AL2573">
        <v>69.406908069460698</v>
      </c>
      <c r="AM2573">
        <v>103.767793171538</v>
      </c>
      <c r="AN2573">
        <v>1.0000000383815</v>
      </c>
    </row>
    <row r="2574" spans="1:40" x14ac:dyDescent="0.25">
      <c r="A2574" t="str">
        <f>"20190304164419860"</f>
        <v>20190304164419860</v>
      </c>
      <c r="B2574" t="str">
        <f>"1551689059852523"</f>
        <v>1551689059852523</v>
      </c>
      <c r="C2574" t="s">
        <v>40</v>
      </c>
      <c r="D2574">
        <v>5.0403010000000004</v>
      </c>
      <c r="E2574">
        <v>0.4438378</v>
      </c>
      <c r="F2574" t="s">
        <v>42</v>
      </c>
      <c r="G2574">
        <v>-489.62220000000002</v>
      </c>
      <c r="H2574" s="1">
        <v>-6.4868389999999997E-7</v>
      </c>
      <c r="I2574">
        <v>260.98860000000002</v>
      </c>
      <c r="J2574">
        <v>-488.3519</v>
      </c>
      <c r="K2574">
        <v>1.1204229999999999</v>
      </c>
      <c r="L2574">
        <v>272.24209999999999</v>
      </c>
      <c r="M2574">
        <v>-0.45879500000000001</v>
      </c>
      <c r="N2574">
        <v>-1.499672E-2</v>
      </c>
      <c r="O2574">
        <v>-0.88841559999999897</v>
      </c>
      <c r="P2574">
        <v>-0.22936970000000001</v>
      </c>
      <c r="Q2574">
        <v>0.34308820000000001</v>
      </c>
      <c r="R2574">
        <v>-0.91086789999999995</v>
      </c>
      <c r="S2574">
        <v>-0.3888855</v>
      </c>
      <c r="T2574">
        <v>-0.32684609999999997</v>
      </c>
      <c r="U2574">
        <v>-3.32193</v>
      </c>
      <c r="V2574">
        <v>-0.22241549999999999</v>
      </c>
      <c r="W2574">
        <v>0.35167169999999998</v>
      </c>
      <c r="X2574">
        <v>0.90931759999999995</v>
      </c>
      <c r="Y2574">
        <v>-0.35230289999999997</v>
      </c>
      <c r="Z2574">
        <v>6.3800560000000006E-2</v>
      </c>
      <c r="AA2574">
        <v>0.93370880000000001</v>
      </c>
      <c r="AB2574">
        <v>27</v>
      </c>
      <c r="AC2574">
        <v>-1.27030000000002</v>
      </c>
      <c r="AD2574">
        <v>-1.1204236486839001</v>
      </c>
      <c r="AE2574">
        <v>-11.253499999999899</v>
      </c>
      <c r="AF2574">
        <v>-3.9958379413484999</v>
      </c>
      <c r="AG2574">
        <v>-1.1204236486839001</v>
      </c>
      <c r="AH2574">
        <v>10.4792123611201</v>
      </c>
      <c r="AI2574">
        <v>95.705049760690898</v>
      </c>
      <c r="AJ2574">
        <v>110.872394445666</v>
      </c>
      <c r="AK2574">
        <v>11.271023099768</v>
      </c>
      <c r="AL2574">
        <v>69.410403583117301</v>
      </c>
      <c r="AM2574">
        <v>103.744465012977</v>
      </c>
      <c r="AN2574">
        <v>1.00000006844544</v>
      </c>
    </row>
    <row r="2575" spans="1:40" x14ac:dyDescent="0.25">
      <c r="A2575" t="str">
        <f>"20190304164419872"</f>
        <v>20190304164419872</v>
      </c>
      <c r="B2575" t="str">
        <f>"1551689059862282"</f>
        <v>1551689059862282</v>
      </c>
      <c r="C2575" t="s">
        <v>40</v>
      </c>
      <c r="D2575">
        <v>5.0753279999999998</v>
      </c>
      <c r="E2575">
        <v>0.44484030000000002</v>
      </c>
      <c r="F2575" t="s">
        <v>42</v>
      </c>
      <c r="G2575">
        <v>-489.62740000000002</v>
      </c>
      <c r="H2575" s="1">
        <v>-6.0659019999999997E-7</v>
      </c>
      <c r="I2575">
        <v>260.89269999999999</v>
      </c>
      <c r="J2575">
        <v>-488.41309999999999</v>
      </c>
      <c r="K2575">
        <v>1.120371</v>
      </c>
      <c r="L2575">
        <v>272.10879999999997</v>
      </c>
      <c r="M2575">
        <v>-0.4526271</v>
      </c>
      <c r="N2575">
        <v>-1.498357E-2</v>
      </c>
      <c r="O2575">
        <v>-0.89157399999999998</v>
      </c>
      <c r="P2575">
        <v>-0.22353339999999999</v>
      </c>
      <c r="Q2575">
        <v>0.3432383</v>
      </c>
      <c r="R2575">
        <v>-0.91226090000000004</v>
      </c>
      <c r="S2575">
        <v>-0.37347409999999998</v>
      </c>
      <c r="T2575">
        <v>-0.3280593</v>
      </c>
      <c r="U2575">
        <v>-3.3230900000000001</v>
      </c>
      <c r="V2575">
        <v>-0.22186439999999999</v>
      </c>
      <c r="W2575">
        <v>0.35185110000000003</v>
      </c>
      <c r="X2575">
        <v>0.90938280000000005</v>
      </c>
      <c r="Y2575">
        <v>-0.35013569999999999</v>
      </c>
      <c r="Z2575">
        <v>6.4563949999999995E-2</v>
      </c>
      <c r="AA2575">
        <v>0.93447119999999995</v>
      </c>
      <c r="AB2575">
        <v>27</v>
      </c>
      <c r="AC2575">
        <v>-1.2143000000000299</v>
      </c>
      <c r="AD2575">
        <v>-1.1203716065901901</v>
      </c>
      <c r="AE2575">
        <v>-11.2160999999999</v>
      </c>
      <c r="AF2575">
        <v>-3.9555103817083501</v>
      </c>
      <c r="AG2575">
        <v>-1.1203716065901901</v>
      </c>
      <c r="AH2575">
        <v>10.4477534616003</v>
      </c>
      <c r="AI2575">
        <v>95.726970053761605</v>
      </c>
      <c r="AJ2575">
        <v>110.736622196856</v>
      </c>
      <c r="AK2575">
        <v>11.227504055267</v>
      </c>
      <c r="AL2575">
        <v>69.399422391676694</v>
      </c>
      <c r="AM2575">
        <v>103.71075003808799</v>
      </c>
      <c r="AN2575">
        <v>1.0000000427472</v>
      </c>
    </row>
    <row r="2576" spans="1:40" x14ac:dyDescent="0.25">
      <c r="A2576" t="str">
        <f>"20190304164419884"</f>
        <v>20190304164419884</v>
      </c>
      <c r="B2576" t="str">
        <f>"1551689059872043"</f>
        <v>1551689059872043</v>
      </c>
      <c r="C2576" t="s">
        <v>40</v>
      </c>
      <c r="D2576">
        <v>5.0449669999999998</v>
      </c>
      <c r="E2576">
        <v>0.44484030000000002</v>
      </c>
      <c r="F2576" t="s">
        <v>42</v>
      </c>
      <c r="G2576">
        <v>-489.6361</v>
      </c>
      <c r="H2576" s="1">
        <v>-5.6303190000000004E-7</v>
      </c>
      <c r="I2576">
        <v>260.79469999999998</v>
      </c>
      <c r="J2576">
        <v>-488.4717</v>
      </c>
      <c r="K2576">
        <v>1.1203240000000001</v>
      </c>
      <c r="L2576">
        <v>271.97800000000001</v>
      </c>
      <c r="M2576">
        <v>-0.44661869999999998</v>
      </c>
      <c r="N2576">
        <v>-1.496984E-2</v>
      </c>
      <c r="O2576">
        <v>-0.89459920000000004</v>
      </c>
      <c r="P2576">
        <v>-0.21759819999999999</v>
      </c>
      <c r="Q2576">
        <v>0.34331980000000001</v>
      </c>
      <c r="R2576">
        <v>-0.91366449999999999</v>
      </c>
      <c r="S2576">
        <v>-0.35934450000000001</v>
      </c>
      <c r="T2576">
        <v>-0.32919140000000002</v>
      </c>
      <c r="U2576">
        <v>-3.324341</v>
      </c>
      <c r="V2576">
        <v>-0.22159980000000001</v>
      </c>
      <c r="W2576">
        <v>0.35195470000000001</v>
      </c>
      <c r="X2576">
        <v>0.90940719999999997</v>
      </c>
      <c r="Y2576">
        <v>-0.34780409999999901</v>
      </c>
      <c r="Z2576">
        <v>6.529356E-2</v>
      </c>
      <c r="AA2576">
        <v>0.93529090000000004</v>
      </c>
      <c r="AB2576">
        <v>27</v>
      </c>
      <c r="AC2576">
        <v>-1.1644000000000001</v>
      </c>
      <c r="AD2576">
        <v>-1.1203245630319001</v>
      </c>
      <c r="AE2576">
        <v>-11.183299999999999</v>
      </c>
      <c r="AF2576">
        <v>-3.9145782068755599</v>
      </c>
      <c r="AG2576">
        <v>-1.1203245630319001</v>
      </c>
      <c r="AH2576">
        <v>10.4223194949711</v>
      </c>
      <c r="AI2576">
        <v>95.746270139828496</v>
      </c>
      <c r="AJ2576">
        <v>110.58596164559199</v>
      </c>
      <c r="AK2576">
        <v>11.189450090131</v>
      </c>
      <c r="AL2576">
        <v>69.393080411335305</v>
      </c>
      <c r="AM2576">
        <v>103.694660780403</v>
      </c>
      <c r="AN2576">
        <v>1.00000001881198</v>
      </c>
    </row>
    <row r="2577" spans="1:40" x14ac:dyDescent="0.25">
      <c r="A2577" t="str">
        <f>"20190304164419897"</f>
        <v>20190304164419897</v>
      </c>
      <c r="B2577" t="str">
        <f>"1551689059892538"</f>
        <v>1551689059892538</v>
      </c>
      <c r="C2577" t="s">
        <v>40</v>
      </c>
      <c r="D2577">
        <v>5.0973649999999999</v>
      </c>
      <c r="E2577">
        <v>0.46157540000000002</v>
      </c>
      <c r="F2577" t="s">
        <v>42</v>
      </c>
      <c r="G2577">
        <v>-489.61970000000002</v>
      </c>
      <c r="H2577" s="1">
        <v>-5.0021869999999996E-7</v>
      </c>
      <c r="I2577">
        <v>260.64150000000001</v>
      </c>
      <c r="J2577">
        <v>-488.53640000000001</v>
      </c>
      <c r="K2577">
        <v>1.1202639999999999</v>
      </c>
      <c r="L2577">
        <v>271.83179999999999</v>
      </c>
      <c r="M2577">
        <v>-0.43991930000000001</v>
      </c>
      <c r="N2577">
        <v>-1.495459E-2</v>
      </c>
      <c r="O2577">
        <v>-0.89791290000000001</v>
      </c>
      <c r="P2577">
        <v>-0.21076700000000001</v>
      </c>
      <c r="Q2577">
        <v>0.34356910000000002</v>
      </c>
      <c r="R2577">
        <v>-0.91517079999999995</v>
      </c>
      <c r="S2577">
        <v>-0.3368835</v>
      </c>
      <c r="T2577">
        <v>-0.32876899999999998</v>
      </c>
      <c r="U2577">
        <v>-3.3267820000000001</v>
      </c>
      <c r="V2577">
        <v>-0.2215078</v>
      </c>
      <c r="W2577">
        <v>0.35222199999999998</v>
      </c>
      <c r="X2577">
        <v>0.90932610000000003</v>
      </c>
      <c r="Y2577">
        <v>-0.34711989999999998</v>
      </c>
      <c r="Z2577">
        <v>6.5633070000000002E-2</v>
      </c>
      <c r="AA2577">
        <v>0.9355213</v>
      </c>
      <c r="AB2577">
        <v>27</v>
      </c>
      <c r="AC2577">
        <v>-1.0832999999999999</v>
      </c>
      <c r="AD2577">
        <v>-1.1202645002186999</v>
      </c>
      <c r="AE2577">
        <v>-11.190299999999899</v>
      </c>
      <c r="AF2577">
        <v>-3.9117216842908902</v>
      </c>
      <c r="AG2577">
        <v>-1.1202645002186999</v>
      </c>
      <c r="AH2577">
        <v>10.4221732414366</v>
      </c>
      <c r="AI2577">
        <v>95.7465491294153</v>
      </c>
      <c r="AJ2577">
        <v>110.572462872069</v>
      </c>
      <c r="AK2577">
        <v>11.188308815916599</v>
      </c>
      <c r="AL2577">
        <v>69.376717060616798</v>
      </c>
      <c r="AM2577">
        <v>103.690364173505</v>
      </c>
      <c r="AN2577">
        <v>0.99999999944302498</v>
      </c>
    </row>
    <row r="2578" spans="1:40" x14ac:dyDescent="0.25">
      <c r="A2578" t="str">
        <f>"20190304164419914"</f>
        <v>20190304164419914</v>
      </c>
      <c r="B2578" t="str">
        <f>"1551689059902299"</f>
        <v>1551689059902299</v>
      </c>
      <c r="C2578" t="s">
        <v>40</v>
      </c>
      <c r="D2578">
        <v>5.0609820000000001</v>
      </c>
      <c r="E2578">
        <v>0.46280209999999999</v>
      </c>
      <c r="F2578" t="s">
        <v>42</v>
      </c>
      <c r="G2578">
        <v>-489.87880000000001</v>
      </c>
      <c r="H2578" s="1">
        <v>-9.745066999999999E-7</v>
      </c>
      <c r="I2578">
        <v>261.85419999999999</v>
      </c>
      <c r="J2578">
        <v>-488.61360000000002</v>
      </c>
      <c r="K2578">
        <v>1.120193</v>
      </c>
      <c r="L2578">
        <v>271.65339999999998</v>
      </c>
      <c r="M2578">
        <v>-0.4317916</v>
      </c>
      <c r="N2578">
        <v>-1.4935399999999901E-2</v>
      </c>
      <c r="O2578">
        <v>-0.90184989999999998</v>
      </c>
      <c r="P2578">
        <v>-0.20226649999999999</v>
      </c>
      <c r="Q2578">
        <v>0.34456779999999998</v>
      </c>
      <c r="R2578">
        <v>-0.91671239999999998</v>
      </c>
      <c r="S2578">
        <v>-0.44601439999999998</v>
      </c>
      <c r="T2578">
        <v>-0.37221460000000001</v>
      </c>
      <c r="U2578">
        <v>-3.3150940000000002</v>
      </c>
      <c r="V2578">
        <v>-0.2215287</v>
      </c>
      <c r="W2578">
        <v>0.35323670000000001</v>
      </c>
      <c r="X2578">
        <v>0.90892729999999999</v>
      </c>
      <c r="Y2578">
        <v>-0.3077954</v>
      </c>
      <c r="Z2578">
        <v>7.7838909999999997E-2</v>
      </c>
      <c r="AA2578">
        <v>0.94826319999999997</v>
      </c>
      <c r="AB2578">
        <v>27</v>
      </c>
      <c r="AC2578">
        <v>-1.2651999999999901</v>
      </c>
      <c r="AD2578">
        <v>-1.1201939745067</v>
      </c>
      <c r="AE2578">
        <v>-9.7991999999999795</v>
      </c>
      <c r="AF2578">
        <v>-3.0513155881120202</v>
      </c>
      <c r="AG2578">
        <v>-1.1201939745067</v>
      </c>
      <c r="AH2578">
        <v>9.2656584817043495</v>
      </c>
      <c r="AI2578">
        <v>96.5506415340449</v>
      </c>
      <c r="AJ2578">
        <v>108.227463035735</v>
      </c>
      <c r="AK2578">
        <v>9.8192560033006693</v>
      </c>
      <c r="AL2578">
        <v>69.3145852146029</v>
      </c>
      <c r="AM2578">
        <v>103.697388368766</v>
      </c>
      <c r="AN2578">
        <v>0.99999998391793399</v>
      </c>
    </row>
    <row r="2579" spans="1:40" x14ac:dyDescent="0.25">
      <c r="A2579" t="str">
        <f>"20190304164419925"</f>
        <v>20190304164419925</v>
      </c>
      <c r="B2579" t="str">
        <f>"1551689059922795"</f>
        <v>1551689059922795</v>
      </c>
      <c r="C2579" t="s">
        <v>40</v>
      </c>
      <c r="D2579">
        <v>5.1113629999999999</v>
      </c>
      <c r="E2579">
        <v>0.46512330000000002</v>
      </c>
      <c r="F2579" t="s">
        <v>42</v>
      </c>
      <c r="G2579">
        <v>-489.88740000000001</v>
      </c>
      <c r="H2579" s="1">
        <v>-9.0498369999999997E-7</v>
      </c>
      <c r="I2579">
        <v>261.69580000000002</v>
      </c>
      <c r="J2579">
        <v>-488.66840000000002</v>
      </c>
      <c r="K2579">
        <v>1.1201399999999999</v>
      </c>
      <c r="L2579">
        <v>271.52330000000001</v>
      </c>
      <c r="M2579">
        <v>-0.42592010000000002</v>
      </c>
      <c r="N2579">
        <v>-1.49207E-2</v>
      </c>
      <c r="O2579">
        <v>-0.90463789999999999</v>
      </c>
      <c r="P2579">
        <v>-0.19651740000000001</v>
      </c>
      <c r="Q2579">
        <v>0.34509770000000001</v>
      </c>
      <c r="R2579">
        <v>-0.917763</v>
      </c>
      <c r="S2579">
        <v>-0.4245911</v>
      </c>
      <c r="T2579">
        <v>-0.3734034</v>
      </c>
      <c r="U2579">
        <v>-3.3192750000000002</v>
      </c>
      <c r="V2579">
        <v>-0.22119340000000001</v>
      </c>
      <c r="W2579">
        <v>0.3537884</v>
      </c>
      <c r="X2579">
        <v>0.9087944</v>
      </c>
      <c r="Y2579">
        <v>-0.30779069999999997</v>
      </c>
      <c r="Z2579">
        <v>7.849122E-2</v>
      </c>
      <c r="AA2579">
        <v>0.94821100000000003</v>
      </c>
      <c r="AB2579">
        <v>27</v>
      </c>
      <c r="AC2579">
        <v>-1.2189999999999901</v>
      </c>
      <c r="AD2579">
        <v>-1.1201409049836999</v>
      </c>
      <c r="AE2579">
        <v>-9.8274999999999793</v>
      </c>
      <c r="AF2579">
        <v>-3.0443673838921299</v>
      </c>
      <c r="AG2579">
        <v>-1.1201409049836999</v>
      </c>
      <c r="AH2579">
        <v>9.2916879756023505</v>
      </c>
      <c r="AI2579">
        <v>96.535350500870607</v>
      </c>
      <c r="AJ2579">
        <v>108.14108123413</v>
      </c>
      <c r="AK2579">
        <v>9.84166418097454</v>
      </c>
      <c r="AL2579">
        <v>69.280793668710302</v>
      </c>
      <c r="AM2579">
        <v>103.679360620941</v>
      </c>
      <c r="AN2579">
        <v>1.0000000068247299</v>
      </c>
    </row>
    <row r="2580" spans="1:40" x14ac:dyDescent="0.25">
      <c r="A2580" t="str">
        <f>"20190304164419938"</f>
        <v>20190304164419938</v>
      </c>
      <c r="B2580" t="str">
        <f>"1551689059932555"</f>
        <v>1551689059932555</v>
      </c>
      <c r="C2580" t="s">
        <v>40</v>
      </c>
      <c r="D2580">
        <v>5.1210610000000001</v>
      </c>
      <c r="E2580">
        <v>0.46595599999999998</v>
      </c>
      <c r="F2580" t="s">
        <v>42</v>
      </c>
      <c r="G2580">
        <v>-489.93169999999998</v>
      </c>
      <c r="H2580" s="1">
        <v>-8.4979619999999998E-7</v>
      </c>
      <c r="I2580">
        <v>261.58539999999999</v>
      </c>
      <c r="J2580">
        <v>-488.7251</v>
      </c>
      <c r="K2580">
        <v>1.12008</v>
      </c>
      <c r="L2580">
        <v>271.38720000000001</v>
      </c>
      <c r="M2580">
        <v>-0.41978280000000001</v>
      </c>
      <c r="N2580">
        <v>-1.49056E-2</v>
      </c>
      <c r="O2580">
        <v>-0.90750220000000004</v>
      </c>
      <c r="P2580">
        <v>-0.19029840000000001</v>
      </c>
      <c r="Q2580">
        <v>0.34560619999999997</v>
      </c>
      <c r="R2580">
        <v>-0.91888170000000002</v>
      </c>
      <c r="S2580">
        <v>-0.42193599999999998</v>
      </c>
      <c r="T2580">
        <v>-0.37411179999999999</v>
      </c>
      <c r="U2580">
        <v>-3.3191220000000001</v>
      </c>
      <c r="V2580">
        <v>-0.2210695</v>
      </c>
      <c r="W2580">
        <v>0.35431509999999999</v>
      </c>
      <c r="X2580">
        <v>0.90861930000000002</v>
      </c>
      <c r="Y2580">
        <v>-0.30209730000000001</v>
      </c>
      <c r="Z2580">
        <v>7.9252699999999995E-2</v>
      </c>
      <c r="AA2580">
        <v>0.94997699999999996</v>
      </c>
      <c r="AB2580">
        <v>27</v>
      </c>
      <c r="AC2580">
        <v>-1.2065999999999799</v>
      </c>
      <c r="AD2580">
        <v>-1.1200808497962</v>
      </c>
      <c r="AE2580">
        <v>-9.8018000000000107</v>
      </c>
      <c r="AF2580">
        <v>-2.9816166799388202</v>
      </c>
      <c r="AG2580">
        <v>-1.1200808497962</v>
      </c>
      <c r="AH2580">
        <v>9.2832948796442398</v>
      </c>
      <c r="AI2580">
        <v>96.553172834384299</v>
      </c>
      <c r="AJ2580">
        <v>107.806024467711</v>
      </c>
      <c r="AK2580">
        <v>9.81448842062583</v>
      </c>
      <c r="AL2580">
        <v>69.248525129345893</v>
      </c>
      <c r="AM2580">
        <v>103.674521684364</v>
      </c>
      <c r="AN2580">
        <v>0.99999997312537403</v>
      </c>
    </row>
    <row r="2581" spans="1:40" x14ac:dyDescent="0.25">
      <c r="A2581" t="str">
        <f>"20190304164419951"</f>
        <v>20190304164419951</v>
      </c>
      <c r="B2581" t="str">
        <f>"1551689059942314"</f>
        <v>1551689059942314</v>
      </c>
      <c r="C2581" t="s">
        <v>40</v>
      </c>
      <c r="D2581">
        <v>5.1099209999999999</v>
      </c>
      <c r="E2581">
        <v>0.4667173</v>
      </c>
      <c r="F2581" t="s">
        <v>42</v>
      </c>
      <c r="G2581">
        <v>-489.93790000000001</v>
      </c>
      <c r="H2581" s="1">
        <v>-7.8980790000000001E-7</v>
      </c>
      <c r="I2581">
        <v>261.44819999999999</v>
      </c>
      <c r="J2581">
        <v>-488.78739999999999</v>
      </c>
      <c r="K2581">
        <v>1.1200019999999999</v>
      </c>
      <c r="L2581">
        <v>271.23450000000003</v>
      </c>
      <c r="M2581">
        <v>-0.4129507</v>
      </c>
      <c r="N2581">
        <v>-1.488832E-2</v>
      </c>
      <c r="O2581">
        <v>-0.91063170000000004</v>
      </c>
      <c r="P2581">
        <v>-0.18344289999999999</v>
      </c>
      <c r="Q2581">
        <v>0.34562480000000001</v>
      </c>
      <c r="R2581">
        <v>-0.92026770000000002</v>
      </c>
      <c r="S2581">
        <v>-0.405304</v>
      </c>
      <c r="T2581">
        <v>-0.37433830000000001</v>
      </c>
      <c r="U2581">
        <v>-3.3216860000000001</v>
      </c>
      <c r="V2581">
        <v>-0.22094910000000001</v>
      </c>
      <c r="W2581">
        <v>0.35435830000000001</v>
      </c>
      <c r="X2581">
        <v>0.90863179999999999</v>
      </c>
      <c r="Y2581">
        <v>-0.2997167</v>
      </c>
      <c r="Z2581">
        <v>7.9812270000000005E-2</v>
      </c>
      <c r="AA2581">
        <v>0.95068390000000003</v>
      </c>
      <c r="AB2581">
        <v>27</v>
      </c>
      <c r="AC2581">
        <v>-1.1505000000000201</v>
      </c>
      <c r="AD2581">
        <v>-1.1200027898078999</v>
      </c>
      <c r="AE2581">
        <v>-9.7863000000000397</v>
      </c>
      <c r="AF2581">
        <v>-2.9557234866376101</v>
      </c>
      <c r="AG2581">
        <v>-1.1200027898078999</v>
      </c>
      <c r="AH2581">
        <v>9.2681172953476398</v>
      </c>
      <c r="AI2581">
        <v>96.567642170037203</v>
      </c>
      <c r="AJ2581">
        <v>107.68816064685601</v>
      </c>
      <c r="AK2581">
        <v>9.7922778646727995</v>
      </c>
      <c r="AL2581">
        <v>69.245879422378707</v>
      </c>
      <c r="AM2581">
        <v>103.66717261629501</v>
      </c>
      <c r="AN2581">
        <v>1.00000002877046</v>
      </c>
    </row>
    <row r="2582" spans="1:40" x14ac:dyDescent="0.25">
      <c r="A2582" t="str">
        <f>"20190304164419965"</f>
        <v>20190304164419965</v>
      </c>
      <c r="B2582" t="str">
        <f>"1551689059952583"</f>
        <v>1551689059952583</v>
      </c>
      <c r="C2582" t="s">
        <v>40</v>
      </c>
      <c r="D2582">
        <v>5.0712659999999996</v>
      </c>
      <c r="E2582">
        <v>0.4667173</v>
      </c>
      <c r="F2582" t="s">
        <v>42</v>
      </c>
      <c r="G2582">
        <v>-489.93990000000002</v>
      </c>
      <c r="H2582" s="1">
        <v>-7.4819800000000004E-7</v>
      </c>
      <c r="I2582">
        <v>261.35199999999998</v>
      </c>
      <c r="J2582">
        <v>-488.84719999999999</v>
      </c>
      <c r="K2582">
        <v>1.1199269999999999</v>
      </c>
      <c r="L2582">
        <v>271.08429999999998</v>
      </c>
      <c r="M2582">
        <v>-0.40629110000000002</v>
      </c>
      <c r="N2582">
        <v>-1.487021E-2</v>
      </c>
      <c r="O2582">
        <v>-0.91362290000000002</v>
      </c>
      <c r="P2582">
        <v>-0.1766441</v>
      </c>
      <c r="Q2582">
        <v>0.34515220000000002</v>
      </c>
      <c r="R2582">
        <v>-0.92177370000000003</v>
      </c>
      <c r="S2582">
        <v>-0.38766479999999998</v>
      </c>
      <c r="T2582">
        <v>-0.37672359999999999</v>
      </c>
      <c r="U2582">
        <v>-3.3240660000000002</v>
      </c>
      <c r="V2582">
        <v>-0.22102060000000001</v>
      </c>
      <c r="W2582">
        <v>0.35390830000000001</v>
      </c>
      <c r="X2582">
        <v>0.90878979999999998</v>
      </c>
      <c r="Y2582">
        <v>-0.29781740000000001</v>
      </c>
      <c r="Z2582">
        <v>8.0887810000000004E-2</v>
      </c>
      <c r="AA2582">
        <v>0.95118979999999997</v>
      </c>
      <c r="AB2582">
        <v>27</v>
      </c>
      <c r="AC2582">
        <v>-1.09270000000003</v>
      </c>
      <c r="AD2582">
        <v>-1.1199277481979999</v>
      </c>
      <c r="AE2582">
        <v>-9.7322999999999507</v>
      </c>
      <c r="AF2582">
        <v>-2.9179987043109601</v>
      </c>
      <c r="AG2582">
        <v>-1.1199277481979999</v>
      </c>
      <c r="AH2582">
        <v>9.2161176619727492</v>
      </c>
      <c r="AI2582">
        <v>96.608268550563196</v>
      </c>
      <c r="AJ2582">
        <v>107.568780770887</v>
      </c>
      <c r="AK2582">
        <v>9.7316894401162592</v>
      </c>
      <c r="AL2582">
        <v>69.273449545055399</v>
      </c>
      <c r="AM2582">
        <v>103.66914171309899</v>
      </c>
      <c r="AN2582">
        <v>1.00000004550864</v>
      </c>
    </row>
    <row r="2583" spans="1:40" x14ac:dyDescent="0.25">
      <c r="A2583" t="str">
        <f>"20190304164419983"</f>
        <v>20190304164419983</v>
      </c>
      <c r="B2583" t="str">
        <f>"1551689059972103"</f>
        <v>1551689059972103</v>
      </c>
      <c r="C2583" t="s">
        <v>40</v>
      </c>
      <c r="D2583">
        <v>5.0895060000000001</v>
      </c>
      <c r="E2583">
        <v>0.47834480000000001</v>
      </c>
      <c r="F2583" t="s">
        <v>42</v>
      </c>
      <c r="G2583">
        <v>-489.9228</v>
      </c>
      <c r="H2583" s="1">
        <v>-7.0451650000000002E-7</v>
      </c>
      <c r="I2583">
        <v>261.24310000000003</v>
      </c>
      <c r="J2583">
        <v>-488.92680000000001</v>
      </c>
      <c r="K2583">
        <v>1.119818</v>
      </c>
      <c r="L2583">
        <v>270.87990000000002</v>
      </c>
      <c r="M2583">
        <v>-0.39729150000000002</v>
      </c>
      <c r="N2583">
        <v>-1.484483E-2</v>
      </c>
      <c r="O2583">
        <v>-0.91757259999999996</v>
      </c>
      <c r="P2583">
        <v>-0.16760539999999999</v>
      </c>
      <c r="Q2583">
        <v>0.34354479999999998</v>
      </c>
      <c r="R2583">
        <v>-0.92405950000000003</v>
      </c>
      <c r="S2583">
        <v>-0.36358639999999998</v>
      </c>
      <c r="T2583">
        <v>-0.37857970000000002</v>
      </c>
      <c r="U2583">
        <v>-3.326721</v>
      </c>
      <c r="V2583">
        <v>-0.22110189999999999</v>
      </c>
      <c r="W2583">
        <v>0.35233940000000002</v>
      </c>
      <c r="X2583">
        <v>0.90937939999999995</v>
      </c>
      <c r="Y2583">
        <v>-0.29533090000000001</v>
      </c>
      <c r="Z2583">
        <v>8.20052E-2</v>
      </c>
      <c r="AA2583">
        <v>0.95186910000000002</v>
      </c>
      <c r="AB2583">
        <v>27</v>
      </c>
      <c r="AC2583">
        <v>-0.99599999999998001</v>
      </c>
      <c r="AD2583">
        <v>-1.1198187045165</v>
      </c>
      <c r="AE2583">
        <v>-9.6367999999999903</v>
      </c>
      <c r="AF2583">
        <v>-2.8766048563328801</v>
      </c>
      <c r="AG2583">
        <v>-1.1198187045165</v>
      </c>
      <c r="AH2583">
        <v>9.1173717346971799</v>
      </c>
      <c r="AI2583">
        <v>96.680665022295699</v>
      </c>
      <c r="AJ2583">
        <v>107.510908842758</v>
      </c>
      <c r="AK2583">
        <v>9.6257631790480893</v>
      </c>
      <c r="AL2583">
        <v>69.369529762009506</v>
      </c>
      <c r="AM2583">
        <v>103.665447961311</v>
      </c>
      <c r="AN2583">
        <v>0.99999999806016404</v>
      </c>
    </row>
    <row r="2584" spans="1:40" x14ac:dyDescent="0.25">
      <c r="A2584" t="str">
        <f>"20190304164420005"</f>
        <v>20190304164420005</v>
      </c>
      <c r="B2584" t="str">
        <f>"1551689060002359"</f>
        <v>1551689060002359</v>
      </c>
      <c r="C2584" t="s">
        <v>40</v>
      </c>
      <c r="D2584">
        <v>5.0970559999999896</v>
      </c>
      <c r="E2584">
        <v>0.48056460000000001</v>
      </c>
      <c r="F2584" t="s">
        <v>42</v>
      </c>
      <c r="G2584">
        <v>-490.05840000000001</v>
      </c>
      <c r="H2584" s="1">
        <v>-1.0538589999999999E-6</v>
      </c>
      <c r="I2584">
        <v>262.0095</v>
      </c>
      <c r="J2584">
        <v>-489.01940000000002</v>
      </c>
      <c r="K2584">
        <v>1.1196759999999999</v>
      </c>
      <c r="L2584">
        <v>270.63490000000002</v>
      </c>
      <c r="M2584">
        <v>-0.38663219999999998</v>
      </c>
      <c r="N2584">
        <v>-1.48129E-2</v>
      </c>
      <c r="O2584">
        <v>-0.92211529999999997</v>
      </c>
      <c r="P2584">
        <v>-0.1570183</v>
      </c>
      <c r="Q2584">
        <v>0.34202290000000002</v>
      </c>
      <c r="R2584">
        <v>-0.92648050000000004</v>
      </c>
      <c r="S2584">
        <v>-0.4242554</v>
      </c>
      <c r="T2584">
        <v>-0.41984320000000003</v>
      </c>
      <c r="U2584">
        <v>-3.3257140000000001</v>
      </c>
      <c r="V2584">
        <v>-0.2210394</v>
      </c>
      <c r="W2584">
        <v>0.35086810000000002</v>
      </c>
      <c r="X2584">
        <v>0.90996330000000003</v>
      </c>
      <c r="Y2584">
        <v>-0.26712780000000003</v>
      </c>
      <c r="Z2584">
        <v>9.3753719999999999E-2</v>
      </c>
      <c r="AA2584">
        <v>0.95908970000000004</v>
      </c>
      <c r="AB2584">
        <v>27</v>
      </c>
      <c r="AC2584">
        <v>-1.0389999999999799</v>
      </c>
      <c r="AD2584">
        <v>-1.119677053859</v>
      </c>
      <c r="AE2584">
        <v>-8.6254000000000097</v>
      </c>
      <c r="AF2584">
        <v>-2.33820215108106</v>
      </c>
      <c r="AG2584">
        <v>-1.119677053859</v>
      </c>
      <c r="AH2584">
        <v>8.2197091766191708</v>
      </c>
      <c r="AI2584">
        <v>97.464411247440793</v>
      </c>
      <c r="AJ2584">
        <v>105.87908512404</v>
      </c>
      <c r="AK2584">
        <v>8.6188447574170794</v>
      </c>
      <c r="AL2584">
        <v>69.459579331328399</v>
      </c>
      <c r="AM2584">
        <v>103.65329169138001</v>
      </c>
      <c r="AN2584">
        <v>1.0000000236484201</v>
      </c>
    </row>
    <row r="2585" spans="1:40" x14ac:dyDescent="0.25">
      <c r="A2585" t="str">
        <f>"20190304164420016"</f>
        <v>20190304164420016</v>
      </c>
      <c r="B2585" t="str">
        <f>"1551689060012119"</f>
        <v>1551689060012119</v>
      </c>
      <c r="C2585" t="s">
        <v>40</v>
      </c>
      <c r="D2585">
        <v>5.1342739999999996</v>
      </c>
      <c r="E2585">
        <v>0.48099249999999999</v>
      </c>
      <c r="F2585" t="s">
        <v>42</v>
      </c>
      <c r="G2585">
        <v>-490.0797</v>
      </c>
      <c r="H2585" s="1">
        <v>-1.008603E-6</v>
      </c>
      <c r="I2585">
        <v>261.89080000000001</v>
      </c>
      <c r="J2585">
        <v>-489.06880000000001</v>
      </c>
      <c r="K2585">
        <v>1.1195980000000001</v>
      </c>
      <c r="L2585">
        <v>270.50119999999998</v>
      </c>
      <c r="M2585">
        <v>-0.38086560000000003</v>
      </c>
      <c r="N2585">
        <v>-1.4795239999999999E-2</v>
      </c>
      <c r="O2585">
        <v>-0.92451229999999995</v>
      </c>
      <c r="P2585">
        <v>-0.15124689999999999</v>
      </c>
      <c r="Q2585">
        <v>0.34167360000000002</v>
      </c>
      <c r="R2585">
        <v>-0.92756899999999998</v>
      </c>
      <c r="S2585">
        <v>-0.40341189999999999</v>
      </c>
      <c r="T2585">
        <v>-0.42601129999999998</v>
      </c>
      <c r="U2585">
        <v>-3.3269350000000002</v>
      </c>
      <c r="V2585">
        <v>-0.22099769999999999</v>
      </c>
      <c r="W2585">
        <v>0.3505452</v>
      </c>
      <c r="X2585">
        <v>0.91009779999999996</v>
      </c>
      <c r="Y2585">
        <v>-0.26708890000000002</v>
      </c>
      <c r="Z2585">
        <v>9.5759469999999999E-2</v>
      </c>
      <c r="AA2585">
        <v>0.95890229999999999</v>
      </c>
      <c r="AB2585">
        <v>27</v>
      </c>
      <c r="AC2585">
        <v>-1.0108999999999899</v>
      </c>
      <c r="AD2585">
        <v>-1.1195990086030001</v>
      </c>
      <c r="AE2585">
        <v>-8.6103999999999701</v>
      </c>
      <c r="AF2585">
        <v>-2.3066032195127999</v>
      </c>
      <c r="AG2585">
        <v>-1.1195990086030001</v>
      </c>
      <c r="AH2585">
        <v>8.2094357118843906</v>
      </c>
      <c r="AI2585">
        <v>97.479891461527103</v>
      </c>
      <c r="AJ2585">
        <v>105.69375741517401</v>
      </c>
      <c r="AK2585">
        <v>8.6005090000472908</v>
      </c>
      <c r="AL2585">
        <v>69.479333607867005</v>
      </c>
      <c r="AM2585">
        <v>103.64887038457</v>
      </c>
      <c r="AN2585">
        <v>0.99999996310658401</v>
      </c>
    </row>
    <row r="2586" spans="1:40" x14ac:dyDescent="0.25">
      <c r="A2586" t="str">
        <f>"20190304164420029"</f>
        <v>20190304164420029</v>
      </c>
      <c r="B2586" t="str">
        <f>"1551689060022854"</f>
        <v>1551689060022854</v>
      </c>
      <c r="C2586" t="s">
        <v>40</v>
      </c>
      <c r="D2586">
        <v>5.1380330000000001</v>
      </c>
      <c r="E2586">
        <v>0.48099249999999999</v>
      </c>
      <c r="F2586" t="s">
        <v>42</v>
      </c>
      <c r="G2586">
        <v>-490.077</v>
      </c>
      <c r="H2586" s="1">
        <v>-9.7505479999999993E-7</v>
      </c>
      <c r="I2586">
        <v>261.8143</v>
      </c>
      <c r="J2586">
        <v>-489.12079999999997</v>
      </c>
      <c r="K2586">
        <v>1.119515</v>
      </c>
      <c r="L2586">
        <v>270.3571</v>
      </c>
      <c r="M2586">
        <v>-0.37471409999999999</v>
      </c>
      <c r="N2586">
        <v>-1.477583E-2</v>
      </c>
      <c r="O2586">
        <v>-0.92702280000000004</v>
      </c>
      <c r="P2586">
        <v>-0.1450649</v>
      </c>
      <c r="Q2586">
        <v>0.34127299999999999</v>
      </c>
      <c r="R2586">
        <v>-0.92870299999999995</v>
      </c>
      <c r="S2586">
        <v>-0.38638309999999998</v>
      </c>
      <c r="T2586">
        <v>-0.42909069999999999</v>
      </c>
      <c r="U2586">
        <v>-3.329285</v>
      </c>
      <c r="V2586">
        <v>-0.22098809999999999</v>
      </c>
      <c r="W2586">
        <v>0.35017179999999998</v>
      </c>
      <c r="X2586">
        <v>0.91024389999999999</v>
      </c>
      <c r="Y2586">
        <v>-0.26561639999999997</v>
      </c>
      <c r="Z2586">
        <v>9.6993389999999999E-2</v>
      </c>
      <c r="AA2586">
        <v>0.95918729999999996</v>
      </c>
      <c r="AB2586">
        <v>27</v>
      </c>
      <c r="AC2586">
        <v>-0.95620000000002403</v>
      </c>
      <c r="AD2586">
        <v>-1.1195159750548</v>
      </c>
      <c r="AE2586">
        <v>-8.5427999999999997</v>
      </c>
      <c r="AF2586">
        <v>-2.2763318458869901</v>
      </c>
      <c r="AG2586">
        <v>-1.1195159750548</v>
      </c>
      <c r="AH2586">
        <v>8.1405031799457692</v>
      </c>
      <c r="AI2586">
        <v>97.544546347184607</v>
      </c>
      <c r="AJ2586">
        <v>105.62260553935501</v>
      </c>
      <c r="AK2586">
        <v>8.5265933826886204</v>
      </c>
      <c r="AL2586">
        <v>69.502176337234602</v>
      </c>
      <c r="AM2586">
        <v>103.646190936916</v>
      </c>
      <c r="AN2586">
        <v>0.99999999367202996</v>
      </c>
    </row>
    <row r="2587" spans="1:40" x14ac:dyDescent="0.25">
      <c r="A2587" t="str">
        <f>"20190304164420050"</f>
        <v>20190304164420050</v>
      </c>
      <c r="B2587" t="str">
        <f>"1551689060042375"</f>
        <v>1551689060042375</v>
      </c>
      <c r="C2587" t="s">
        <v>40</v>
      </c>
      <c r="D2587">
        <v>5.0487769999999896</v>
      </c>
      <c r="E2587">
        <v>0.46719040000000001</v>
      </c>
      <c r="F2587" t="s">
        <v>42</v>
      </c>
      <c r="G2587">
        <v>-490.06819999999999</v>
      </c>
      <c r="H2587" s="1">
        <v>-9.2032109999999999E-7</v>
      </c>
      <c r="I2587">
        <v>261.69209999999998</v>
      </c>
      <c r="J2587">
        <v>-489.20060000000001</v>
      </c>
      <c r="K2587">
        <v>1.1193850000000001</v>
      </c>
      <c r="L2587">
        <v>270.13049999999998</v>
      </c>
      <c r="M2587">
        <v>-0.3651413</v>
      </c>
      <c r="N2587">
        <v>-1.474495E-2</v>
      </c>
      <c r="O2587">
        <v>-0.93083539999999998</v>
      </c>
      <c r="P2587">
        <v>-0.13528679999999901</v>
      </c>
      <c r="Q2587">
        <v>0.34071170000000001</v>
      </c>
      <c r="R2587">
        <v>-0.93038330000000002</v>
      </c>
      <c r="S2587">
        <v>-0.36428830000000001</v>
      </c>
      <c r="T2587">
        <v>-0.43044209999999999</v>
      </c>
      <c r="U2587">
        <v>-3.331604</v>
      </c>
      <c r="V2587">
        <v>-0.22113379999999999</v>
      </c>
      <c r="W2587">
        <v>0.3496515</v>
      </c>
      <c r="X2587">
        <v>0.91040860000000001</v>
      </c>
      <c r="Y2587">
        <v>-0.26205329999999999</v>
      </c>
      <c r="Z2587">
        <v>9.8084149999999995E-2</v>
      </c>
      <c r="AA2587">
        <v>0.96005600000000002</v>
      </c>
      <c r="AB2587">
        <v>27</v>
      </c>
      <c r="AC2587">
        <v>-0.86759999999998105</v>
      </c>
      <c r="AD2587">
        <v>-1.1193859203211001</v>
      </c>
      <c r="AE2587">
        <v>-8.4383999999999997</v>
      </c>
      <c r="AF2587">
        <v>-2.2349455908712899</v>
      </c>
      <c r="AG2587">
        <v>-1.1193859203211001</v>
      </c>
      <c r="AH2587">
        <v>8.0325750628045895</v>
      </c>
      <c r="AI2587">
        <v>97.646576201024303</v>
      </c>
      <c r="AJ2587">
        <v>105.548442155475</v>
      </c>
      <c r="AK2587">
        <v>8.4125066878046706</v>
      </c>
      <c r="AL2587">
        <v>69.534000796460006</v>
      </c>
      <c r="AM2587">
        <v>103.65247349376401</v>
      </c>
      <c r="AN2587">
        <v>1.00000007395432</v>
      </c>
    </row>
    <row r="2588" spans="1:40" x14ac:dyDescent="0.25">
      <c r="A2588" t="str">
        <f>"20190304164420062"</f>
        <v>20190304164420062</v>
      </c>
      <c r="B2588" t="str">
        <f>"1551689060052644"</f>
        <v>1551689060052644</v>
      </c>
      <c r="C2588" t="s">
        <v>40</v>
      </c>
      <c r="D2588">
        <v>5.0704719999999996</v>
      </c>
      <c r="E2588">
        <v>0.46698729999999999</v>
      </c>
      <c r="F2588" t="s">
        <v>42</v>
      </c>
      <c r="G2588">
        <v>-489.99540000000002</v>
      </c>
      <c r="H2588" s="1">
        <v>-3.5333850000000001E-6</v>
      </c>
      <c r="I2588">
        <v>257.82830000000001</v>
      </c>
      <c r="J2588">
        <v>-489.2491</v>
      </c>
      <c r="K2588">
        <v>1.1193</v>
      </c>
      <c r="L2588">
        <v>269.9889</v>
      </c>
      <c r="M2588">
        <v>-0.35924060000000002</v>
      </c>
      <c r="N2588">
        <v>-1.472506E-2</v>
      </c>
      <c r="O2588">
        <v>-0.93312890000000004</v>
      </c>
      <c r="P2588">
        <v>-0.12946199999999999</v>
      </c>
      <c r="Q2588">
        <v>0.34046290000000001</v>
      </c>
      <c r="R2588">
        <v>-0.93130290000000004</v>
      </c>
      <c r="S2588">
        <v>-0.21343989999999999</v>
      </c>
      <c r="T2588">
        <v>-0.30058940000000001</v>
      </c>
      <c r="U2588">
        <v>-3.3034970000000001</v>
      </c>
      <c r="V2588">
        <v>-0.22102060000000001</v>
      </c>
      <c r="W2588">
        <v>0.34943289999999999</v>
      </c>
      <c r="X2588">
        <v>0.91051990000000005</v>
      </c>
      <c r="Y2588">
        <v>-0.29823359999999999</v>
      </c>
      <c r="Z2588">
        <v>6.4947309999999994E-2</v>
      </c>
      <c r="AA2588">
        <v>0.95228069999999998</v>
      </c>
      <c r="AB2588">
        <v>27</v>
      </c>
      <c r="AC2588">
        <v>-0.74630000000001895</v>
      </c>
      <c r="AD2588">
        <v>-1.1193035333850001</v>
      </c>
      <c r="AE2588">
        <v>-12.160599999999899</v>
      </c>
      <c r="AF2588">
        <v>-3.6418470468345698</v>
      </c>
      <c r="AG2588">
        <v>-1.1193035333850001</v>
      </c>
      <c r="AH2588">
        <v>11.5195396943787</v>
      </c>
      <c r="AI2588">
        <v>95.293115706644997</v>
      </c>
      <c r="AJ2588">
        <v>107.544099284822</v>
      </c>
      <c r="AK2588">
        <v>12.1332470955945</v>
      </c>
      <c r="AL2588">
        <v>69.547366742522996</v>
      </c>
      <c r="AM2588">
        <v>103.644140378353</v>
      </c>
      <c r="AN2588">
        <v>0.99999997276138897</v>
      </c>
    </row>
    <row r="2589" spans="1:40" x14ac:dyDescent="0.25">
      <c r="A2589" t="str">
        <f>"20190304164420075"</f>
        <v>20190304164420075</v>
      </c>
      <c r="B2589" t="str">
        <f>"1551689060062404"</f>
        <v>1551689060062404</v>
      </c>
      <c r="C2589" t="s">
        <v>40</v>
      </c>
      <c r="D2589">
        <v>5.0663780000000003</v>
      </c>
      <c r="E2589">
        <v>0.4673891</v>
      </c>
      <c r="F2589" t="s">
        <v>42</v>
      </c>
      <c r="G2589">
        <v>-489.98469999999998</v>
      </c>
      <c r="H2589" s="1">
        <v>-3.2971709999999998E-6</v>
      </c>
      <c r="I2589">
        <v>257.28440000000001</v>
      </c>
      <c r="J2589">
        <v>-489.29539999999997</v>
      </c>
      <c r="K2589">
        <v>1.1192150000000001</v>
      </c>
      <c r="L2589">
        <v>269.85210000000001</v>
      </c>
      <c r="M2589">
        <v>-0.35356330000000002</v>
      </c>
      <c r="N2589">
        <v>-1.4706149999999999E-2</v>
      </c>
      <c r="O2589">
        <v>-0.93529510000000005</v>
      </c>
      <c r="P2589">
        <v>-0.12401089999999999</v>
      </c>
      <c r="Q2589">
        <v>0.3403041</v>
      </c>
      <c r="R2589">
        <v>-0.9321024</v>
      </c>
      <c r="S2589">
        <v>-0.19113160000000001</v>
      </c>
      <c r="T2589">
        <v>-0.29082599999999997</v>
      </c>
      <c r="U2589">
        <v>-3.3009949999999999</v>
      </c>
      <c r="V2589">
        <v>-0.22075890000000001</v>
      </c>
      <c r="W2589">
        <v>0.34930739999999999</v>
      </c>
      <c r="X2589">
        <v>0.91063150000000004</v>
      </c>
      <c r="Y2589">
        <v>-0.2987977</v>
      </c>
      <c r="Z2589">
        <v>6.2725859999999994E-2</v>
      </c>
      <c r="AA2589">
        <v>0.95225280000000001</v>
      </c>
      <c r="AB2589">
        <v>27</v>
      </c>
      <c r="AC2589">
        <v>-0.68930000000000202</v>
      </c>
      <c r="AD2589">
        <v>-1.1192182971709901</v>
      </c>
      <c r="AE2589">
        <v>-12.5677</v>
      </c>
      <c r="AF2589">
        <v>-3.76938439403615</v>
      </c>
      <c r="AG2589">
        <v>-1.1192182971709901</v>
      </c>
      <c r="AH2589">
        <v>11.9053796200646</v>
      </c>
      <c r="AI2589">
        <v>95.121427853754696</v>
      </c>
      <c r="AJ2589">
        <v>107.568404772477</v>
      </c>
      <c r="AK2589">
        <v>12.5379014274549</v>
      </c>
      <c r="AL2589">
        <v>69.555040259883995</v>
      </c>
      <c r="AM2589">
        <v>103.626979913281</v>
      </c>
      <c r="AN2589">
        <v>0.99999994020810801</v>
      </c>
    </row>
    <row r="2590" spans="1:40" x14ac:dyDescent="0.25">
      <c r="A2590" t="str">
        <f>"20190304164420087"</f>
        <v>20190304164420087</v>
      </c>
      <c r="B2590" t="str">
        <f>"1551689060082900"</f>
        <v>1551689060082900</v>
      </c>
      <c r="C2590" t="s">
        <v>40</v>
      </c>
      <c r="D2590">
        <v>5.0871570000000004</v>
      </c>
      <c r="E2590">
        <v>0.46769159999999999</v>
      </c>
      <c r="F2590" t="s">
        <v>42</v>
      </c>
      <c r="G2590">
        <v>-489.97449999999998</v>
      </c>
      <c r="H2590" s="1">
        <v>-3.15272E-6</v>
      </c>
      <c r="I2590">
        <v>256.95400000000001</v>
      </c>
      <c r="J2590">
        <v>-489.34350000000001</v>
      </c>
      <c r="K2590">
        <v>1.1191230000000001</v>
      </c>
      <c r="L2590">
        <v>269.70569999999998</v>
      </c>
      <c r="M2590">
        <v>-0.34758509999999998</v>
      </c>
      <c r="N2590">
        <v>-1.468477E-2</v>
      </c>
      <c r="O2590">
        <v>-0.93753339999999996</v>
      </c>
      <c r="P2590">
        <v>-0.11830019999999999</v>
      </c>
      <c r="Q2590">
        <v>0.34006799999999998</v>
      </c>
      <c r="R2590">
        <v>-0.93293040000000005</v>
      </c>
      <c r="S2590">
        <v>-0.17373659999999999</v>
      </c>
      <c r="T2590">
        <v>-0.28635070000000001</v>
      </c>
      <c r="U2590">
        <v>-3.299957</v>
      </c>
      <c r="V2590">
        <v>-0.2204682</v>
      </c>
      <c r="W2590">
        <v>0.34910730000000001</v>
      </c>
      <c r="X2590">
        <v>0.9107788</v>
      </c>
      <c r="Y2590">
        <v>-0.29769479999999998</v>
      </c>
      <c r="Z2590">
        <v>6.1884399999999999E-2</v>
      </c>
      <c r="AA2590">
        <v>0.95265319999999998</v>
      </c>
      <c r="AB2590">
        <v>27</v>
      </c>
      <c r="AC2590">
        <v>-0.63099999999997103</v>
      </c>
      <c r="AD2590">
        <v>-1.1191261527199901</v>
      </c>
      <c r="AE2590">
        <v>-12.7516999999999</v>
      </c>
      <c r="AF2590">
        <v>-3.8118433300804502</v>
      </c>
      <c r="AG2590">
        <v>-1.1191261527199901</v>
      </c>
      <c r="AH2590">
        <v>12.082944764125401</v>
      </c>
      <c r="AI2590">
        <v>95.047786992445097</v>
      </c>
      <c r="AJ2590">
        <v>107.50908067705301</v>
      </c>
      <c r="AK2590">
        <v>12.719282491229</v>
      </c>
      <c r="AL2590">
        <v>69.567278352019699</v>
      </c>
      <c r="AM2590">
        <v>103.607584181894</v>
      </c>
      <c r="AN2590">
        <v>1.00000007832698</v>
      </c>
    </row>
    <row r="2591" spans="1:40" x14ac:dyDescent="0.25">
      <c r="A2591" t="str">
        <f>"20190304164420104"</f>
        <v>20190304164420104</v>
      </c>
      <c r="B2591" t="str">
        <f>"1551689060092659"</f>
        <v>1551689060092659</v>
      </c>
      <c r="C2591" t="s">
        <v>40</v>
      </c>
      <c r="D2591">
        <v>5.0951149999999998</v>
      </c>
      <c r="E2591">
        <v>0.46797230000000001</v>
      </c>
      <c r="F2591" t="s">
        <v>42</v>
      </c>
      <c r="G2591">
        <v>-489.96409999999997</v>
      </c>
      <c r="H2591" s="1">
        <v>-2.9804720000000002E-6</v>
      </c>
      <c r="I2591">
        <v>256.55889999999999</v>
      </c>
      <c r="J2591">
        <v>-489.40550000000002</v>
      </c>
      <c r="K2591">
        <v>1.119008</v>
      </c>
      <c r="L2591">
        <v>269.51339999999999</v>
      </c>
      <c r="M2591">
        <v>-0.33979559999999998</v>
      </c>
      <c r="N2591">
        <v>-1.4656840000000001E-2</v>
      </c>
      <c r="O2591">
        <v>-0.94038520000000003</v>
      </c>
      <c r="P2591">
        <v>-0.11112130000000001</v>
      </c>
      <c r="Q2591">
        <v>0.34016729999999901</v>
      </c>
      <c r="R2591">
        <v>-0.93377639999999995</v>
      </c>
      <c r="S2591">
        <v>-0.1557007</v>
      </c>
      <c r="T2591">
        <v>-0.28076430000000002</v>
      </c>
      <c r="U2591">
        <v>-3.2982480000000001</v>
      </c>
      <c r="V2591">
        <v>-0.21980230000000001</v>
      </c>
      <c r="W2591">
        <v>0.3492574</v>
      </c>
      <c r="X2591">
        <v>0.91088210000000003</v>
      </c>
      <c r="Y2591">
        <v>-0.29494959999999998</v>
      </c>
      <c r="Z2591">
        <v>6.085612E-2</v>
      </c>
      <c r="AA2591">
        <v>0.95357289999999995</v>
      </c>
      <c r="AB2591">
        <v>27</v>
      </c>
      <c r="AC2591">
        <v>-0.55859999999995502</v>
      </c>
      <c r="AD2591">
        <v>-1.1190109804719901</v>
      </c>
      <c r="AE2591">
        <v>-12.9544999999999</v>
      </c>
      <c r="AF2591">
        <v>-3.8483378380417501</v>
      </c>
      <c r="AG2591">
        <v>-1.1190109804719901</v>
      </c>
      <c r="AH2591">
        <v>12.2818863084188</v>
      </c>
      <c r="AI2591">
        <v>94.968951222611395</v>
      </c>
      <c r="AJ2591">
        <v>107.397570069683</v>
      </c>
      <c r="AK2591">
        <v>12.919234535491899</v>
      </c>
      <c r="AL2591">
        <v>69.558098700039693</v>
      </c>
      <c r="AM2591">
        <v>103.56652368985</v>
      </c>
      <c r="AN2591">
        <v>0.99999999132022999</v>
      </c>
    </row>
    <row r="2592" spans="1:40" x14ac:dyDescent="0.25">
      <c r="A2592" t="str">
        <f>"20190304164420117"</f>
        <v>20190304164420117</v>
      </c>
      <c r="B2592" t="str">
        <f>"1551689060112180"</f>
        <v>1551689060112180</v>
      </c>
      <c r="C2592" t="s">
        <v>40</v>
      </c>
      <c r="D2592">
        <v>5.3542630000000004</v>
      </c>
      <c r="E2592">
        <v>0.46925899999999998</v>
      </c>
      <c r="F2592" t="s">
        <v>42</v>
      </c>
      <c r="G2592">
        <v>-489.9282</v>
      </c>
      <c r="H2592" s="1">
        <v>-2.8895940000000001E-6</v>
      </c>
      <c r="I2592">
        <v>256.33879999999999</v>
      </c>
      <c r="J2592">
        <v>-489.4522</v>
      </c>
      <c r="K2592">
        <v>1.118919</v>
      </c>
      <c r="L2592">
        <v>269.36540000000002</v>
      </c>
      <c r="M2592">
        <v>-0.33385769999999998</v>
      </c>
      <c r="N2592">
        <v>-1.46356E-2</v>
      </c>
      <c r="O2592">
        <v>-0.94250990000000001</v>
      </c>
      <c r="P2592">
        <v>-0.10564759999999999</v>
      </c>
      <c r="Q2592">
        <v>0.34017619999999998</v>
      </c>
      <c r="R2592">
        <v>-0.93440829999999997</v>
      </c>
      <c r="S2592">
        <v>-0.130889899999999</v>
      </c>
      <c r="T2592">
        <v>-0.28022930000000001</v>
      </c>
      <c r="U2592">
        <v>-3.299255</v>
      </c>
      <c r="V2592">
        <v>-0.21931519999999999</v>
      </c>
      <c r="W2592">
        <v>0.34930430000000001</v>
      </c>
      <c r="X2592">
        <v>0.9109815</v>
      </c>
      <c r="Y2592">
        <v>-0.29609410000000003</v>
      </c>
      <c r="Z2592">
        <v>6.0952819999999998E-2</v>
      </c>
      <c r="AA2592">
        <v>0.95321199999999995</v>
      </c>
      <c r="AB2592">
        <v>27</v>
      </c>
      <c r="AC2592">
        <v>-0.47599999999999898</v>
      </c>
      <c r="AD2592">
        <v>-1.1189218895940001</v>
      </c>
      <c r="AE2592">
        <v>-13.0266</v>
      </c>
      <c r="AF2592">
        <v>-3.87228213622131</v>
      </c>
      <c r="AG2592">
        <v>-1.1189218895940001</v>
      </c>
      <c r="AH2592">
        <v>12.346973202411901</v>
      </c>
      <c r="AI2592">
        <v>94.942092369875894</v>
      </c>
      <c r="AJ2592">
        <v>107.412571155704</v>
      </c>
      <c r="AK2592">
        <v>12.988237078163801</v>
      </c>
      <c r="AL2592">
        <v>69.555230499428305</v>
      </c>
      <c r="AM2592">
        <v>103.53614403647001</v>
      </c>
      <c r="AN2592">
        <v>0.99999997214588898</v>
      </c>
    </row>
    <row r="2593" spans="1:40" x14ac:dyDescent="0.25">
      <c r="A2593" t="str">
        <f>"20190304164420128"</f>
        <v>20190304164420128</v>
      </c>
      <c r="B2593" t="str">
        <f>"1551689060122915"</f>
        <v>1551689060122915</v>
      </c>
      <c r="C2593" t="s">
        <v>40</v>
      </c>
      <c r="D2593">
        <v>5.0318379999999996</v>
      </c>
      <c r="E2593">
        <v>0.46976709999999999</v>
      </c>
      <c r="F2593" t="s">
        <v>42</v>
      </c>
      <c r="G2593">
        <v>-489.94830000000002</v>
      </c>
      <c r="H2593" s="1">
        <v>-2.65003E-6</v>
      </c>
      <c r="I2593">
        <v>255.78870000000001</v>
      </c>
      <c r="J2593">
        <v>-489.49529999999999</v>
      </c>
      <c r="K2593">
        <v>1.1188359999999999</v>
      </c>
      <c r="L2593">
        <v>269.22579999999999</v>
      </c>
      <c r="M2593">
        <v>-0.32832220000000001</v>
      </c>
      <c r="N2593">
        <v>-1.461576E-2</v>
      </c>
      <c r="O2593">
        <v>-0.94445270000000003</v>
      </c>
      <c r="P2593">
        <v>-0.1007064</v>
      </c>
      <c r="Q2593">
        <v>0.34022190000000002</v>
      </c>
      <c r="R2593">
        <v>-0.93493680000000001</v>
      </c>
      <c r="S2593">
        <v>-0.1204224</v>
      </c>
      <c r="T2593">
        <v>-0.27163150000000003</v>
      </c>
      <c r="U2593">
        <v>-3.2958980000000002</v>
      </c>
      <c r="V2593">
        <v>-0.21870700000000001</v>
      </c>
      <c r="W2593">
        <v>0.3493887</v>
      </c>
      <c r="X2593">
        <v>0.9110954</v>
      </c>
      <c r="Y2593">
        <v>-0.2934794</v>
      </c>
      <c r="Z2593">
        <v>5.9009279999999997E-2</v>
      </c>
      <c r="AA2593">
        <v>0.9541425</v>
      </c>
      <c r="AB2593">
        <v>27</v>
      </c>
      <c r="AC2593">
        <v>-0.45300000000003099</v>
      </c>
      <c r="AD2593">
        <v>-1.11883865003</v>
      </c>
      <c r="AE2593">
        <v>-13.4370999999999</v>
      </c>
      <c r="AF2593">
        <v>-3.9568846623491298</v>
      </c>
      <c r="AG2593">
        <v>-1.11883865003</v>
      </c>
      <c r="AH2593">
        <v>12.752493796965901</v>
      </c>
      <c r="AI2593">
        <v>94.789847752766306</v>
      </c>
      <c r="AJ2593">
        <v>107.238238873331</v>
      </c>
      <c r="AK2593">
        <v>13.399060944618</v>
      </c>
      <c r="AL2593">
        <v>69.550070622662005</v>
      </c>
      <c r="AM2593">
        <v>103.498355750892</v>
      </c>
      <c r="AN2593">
        <v>1.00000002171892</v>
      </c>
    </row>
    <row r="2594" spans="1:40" x14ac:dyDescent="0.25">
      <c r="A2594" t="str">
        <f>"20190304164420143"</f>
        <v>20190304164420143</v>
      </c>
      <c r="B2594" t="str">
        <f>"1551689060132675"</f>
        <v>1551689060132675</v>
      </c>
      <c r="C2594" t="s">
        <v>40</v>
      </c>
      <c r="D2594">
        <v>5.0259229999999997</v>
      </c>
      <c r="E2594">
        <v>0.4704758</v>
      </c>
      <c r="F2594" t="s">
        <v>42</v>
      </c>
      <c r="G2594">
        <v>-489.93</v>
      </c>
      <c r="H2594" s="1">
        <v>-2.5979300000000001E-6</v>
      </c>
      <c r="I2594">
        <v>255.65969999999999</v>
      </c>
      <c r="J2594">
        <v>-489.54270000000002</v>
      </c>
      <c r="K2594">
        <v>1.1187450000000001</v>
      </c>
      <c r="L2594">
        <v>269.0684</v>
      </c>
      <c r="M2594">
        <v>-0.32214759999999998</v>
      </c>
      <c r="N2594">
        <v>-1.45933E-2</v>
      </c>
      <c r="O2594">
        <v>-0.94657709999999995</v>
      </c>
      <c r="P2594">
        <v>-9.5068829999999993E-2</v>
      </c>
      <c r="Q2594">
        <v>0.33960279999999998</v>
      </c>
      <c r="R2594">
        <v>-0.93575229999999998</v>
      </c>
      <c r="S2594">
        <v>-0.1056213</v>
      </c>
      <c r="T2594">
        <v>-0.27185540000000002</v>
      </c>
      <c r="U2594">
        <v>-3.2962950000000002</v>
      </c>
      <c r="V2594">
        <v>-0.21822749999999999</v>
      </c>
      <c r="W2594">
        <v>0.34881099999999998</v>
      </c>
      <c r="X2594">
        <v>0.91143169999999996</v>
      </c>
      <c r="Y2594">
        <v>-0.29152250000000002</v>
      </c>
      <c r="Z2594">
        <v>5.9359769999999999E-2</v>
      </c>
      <c r="AA2594">
        <v>0.95472040000000002</v>
      </c>
      <c r="AB2594">
        <v>27</v>
      </c>
      <c r="AC2594">
        <v>-0.38729999999998199</v>
      </c>
      <c r="AD2594">
        <v>-1.1187475979299999</v>
      </c>
      <c r="AE2594">
        <v>-13.4087</v>
      </c>
      <c r="AF2594">
        <v>-3.9260838157265998</v>
      </c>
      <c r="AG2594">
        <v>-1.1187475979299999</v>
      </c>
      <c r="AH2594">
        <v>12.7299562769527</v>
      </c>
      <c r="AI2594">
        <v>94.800421840857197</v>
      </c>
      <c r="AJ2594">
        <v>107.140441918202</v>
      </c>
      <c r="AK2594">
        <v>13.368527111432799</v>
      </c>
      <c r="AL2594">
        <v>69.585393256702403</v>
      </c>
      <c r="AM2594">
        <v>103.46505200454</v>
      </c>
      <c r="AN2594">
        <v>1.0000000496210599</v>
      </c>
    </row>
    <row r="2595" spans="1:40" x14ac:dyDescent="0.25">
      <c r="A2595" t="str">
        <f>"20190304164420162"</f>
        <v>20190304164420162</v>
      </c>
      <c r="B2595" t="str">
        <f>"1551689060152702"</f>
        <v>1551689060152702</v>
      </c>
      <c r="C2595" t="s">
        <v>40</v>
      </c>
      <c r="D2595">
        <v>4.9712189999999996</v>
      </c>
      <c r="E2595">
        <v>0.47190700000000002</v>
      </c>
      <c r="F2595" t="s">
        <v>42</v>
      </c>
      <c r="G2595">
        <v>-489.90910000000002</v>
      </c>
      <c r="H2595" s="1">
        <v>-2.6268840000000002E-6</v>
      </c>
      <c r="I2595">
        <v>255.71850000000001</v>
      </c>
      <c r="J2595">
        <v>-489.60379999999998</v>
      </c>
      <c r="K2595">
        <v>1.1186199999999999</v>
      </c>
      <c r="L2595">
        <v>268.86130000000003</v>
      </c>
      <c r="M2595">
        <v>-0.31410979999999999</v>
      </c>
      <c r="N2595">
        <v>-1.456383E-2</v>
      </c>
      <c r="O2595">
        <v>-0.94927510000000004</v>
      </c>
      <c r="P2595">
        <v>-8.8190589999999999E-2</v>
      </c>
      <c r="Q2595">
        <v>0.33835189999999998</v>
      </c>
      <c r="R2595">
        <v>-0.9368784</v>
      </c>
      <c r="S2595">
        <v>-9.0484620000000002E-2</v>
      </c>
      <c r="T2595">
        <v>-0.27629979999999998</v>
      </c>
      <c r="U2595">
        <v>-3.2970579999999998</v>
      </c>
      <c r="V2595">
        <v>-0.2172046</v>
      </c>
      <c r="W2595">
        <v>0.34762599999999999</v>
      </c>
      <c r="X2595">
        <v>0.91212839999999995</v>
      </c>
      <c r="Y2595">
        <v>-0.28779929999999998</v>
      </c>
      <c r="Z2595">
        <v>6.094666E-2</v>
      </c>
      <c r="AA2595">
        <v>0.95574950000000003</v>
      </c>
      <c r="AB2595">
        <v>27</v>
      </c>
      <c r="AC2595">
        <v>-0.30530000000004498</v>
      </c>
      <c r="AD2595">
        <v>-1.118622626884</v>
      </c>
      <c r="AE2595">
        <v>-13.142799999999999</v>
      </c>
      <c r="AF2595">
        <v>-3.8112803362388998</v>
      </c>
      <c r="AG2595">
        <v>-1.118622626884</v>
      </c>
      <c r="AH2595">
        <v>12.482981562538001</v>
      </c>
      <c r="AI2595">
        <v>94.898625996807894</v>
      </c>
      <c r="AJ2595">
        <v>106.978379553488</v>
      </c>
      <c r="AK2595">
        <v>13.0996947702396</v>
      </c>
      <c r="AL2595">
        <v>69.657819616684904</v>
      </c>
      <c r="AM2595">
        <v>103.394350742101</v>
      </c>
      <c r="AN2595">
        <v>0.99999994611185805</v>
      </c>
    </row>
    <row r="2596" spans="1:40" x14ac:dyDescent="0.25">
      <c r="A2596" t="str">
        <f>"20190304164420179"</f>
        <v>20190304164420179</v>
      </c>
      <c r="B2596" t="str">
        <f>"1551689060172222"</f>
        <v>1551689060172222</v>
      </c>
      <c r="C2596" t="s">
        <v>40</v>
      </c>
      <c r="D2596">
        <v>5.0701309999999999</v>
      </c>
      <c r="E2596">
        <v>0.47310429999999998</v>
      </c>
      <c r="F2596" t="s">
        <v>42</v>
      </c>
      <c r="G2596">
        <v>-489.911</v>
      </c>
      <c r="H2596" s="1">
        <v>-2.6966140000000001E-6</v>
      </c>
      <c r="I2596">
        <v>255.8819</v>
      </c>
      <c r="J2596">
        <v>-489.65809999999999</v>
      </c>
      <c r="K2596">
        <v>1.118509</v>
      </c>
      <c r="L2596">
        <v>268.67189999999999</v>
      </c>
      <c r="M2596">
        <v>-0.30685759999999901</v>
      </c>
      <c r="N2596">
        <v>-1.453693E-2</v>
      </c>
      <c r="O2596">
        <v>-0.95164439999999995</v>
      </c>
      <c r="P2596">
        <v>-8.1497249999999993E-2</v>
      </c>
      <c r="Q2596">
        <v>0.33802729999999998</v>
      </c>
      <c r="R2596">
        <v>-0.93760140000000003</v>
      </c>
      <c r="S2596">
        <v>-7.8063960000000002E-2</v>
      </c>
      <c r="T2596">
        <v>-0.28418599999999999</v>
      </c>
      <c r="U2596">
        <v>-3.2974239999999999</v>
      </c>
      <c r="V2596">
        <v>-0.21669169999999999</v>
      </c>
      <c r="W2596">
        <v>0.3473465</v>
      </c>
      <c r="X2596">
        <v>0.91235690000000003</v>
      </c>
      <c r="Y2596">
        <v>-0.28409259999999997</v>
      </c>
      <c r="Z2596">
        <v>6.3448389999999993E-2</v>
      </c>
      <c r="AA2596">
        <v>0.95669519999999997</v>
      </c>
      <c r="AB2596">
        <v>27</v>
      </c>
      <c r="AC2596">
        <v>-0.252900000000011</v>
      </c>
      <c r="AD2596">
        <v>-1.1185116966140001</v>
      </c>
      <c r="AE2596">
        <v>-12.7899999999999</v>
      </c>
      <c r="AF2596">
        <v>-3.6564739321198698</v>
      </c>
      <c r="AG2596">
        <v>-1.1185116966140001</v>
      </c>
      <c r="AH2596">
        <v>12.1574883522402</v>
      </c>
      <c r="AI2596">
        <v>95.034951600316703</v>
      </c>
      <c r="AJ2596">
        <v>106.739132217452</v>
      </c>
      <c r="AK2596">
        <v>12.744622123334601</v>
      </c>
      <c r="AL2596">
        <v>69.674899138634501</v>
      </c>
      <c r="AM2596">
        <v>103.360630780433</v>
      </c>
      <c r="AN2596">
        <v>0.99999999844437504</v>
      </c>
    </row>
    <row r="2597" spans="1:40" x14ac:dyDescent="0.25">
      <c r="A2597" t="str">
        <f>"20190304164420194"</f>
        <v>20190304164420194</v>
      </c>
      <c r="B2597" t="str">
        <f>"1551689060181981"</f>
        <v>1551689060181981</v>
      </c>
      <c r="C2597" t="s">
        <v>40</v>
      </c>
      <c r="D2597">
        <v>5.1190480000000003</v>
      </c>
      <c r="E2597">
        <v>0.47384039999999999</v>
      </c>
      <c r="F2597" t="s">
        <v>42</v>
      </c>
      <c r="G2597">
        <v>-489.90719999999999</v>
      </c>
      <c r="H2597" s="1">
        <v>-2.7348940000000001E-6</v>
      </c>
      <c r="I2597">
        <v>255.96950000000001</v>
      </c>
      <c r="J2597">
        <v>-489.71109999999999</v>
      </c>
      <c r="K2597">
        <v>1.1183940000000001</v>
      </c>
      <c r="L2597">
        <v>268.4821</v>
      </c>
      <c r="M2597">
        <v>-0.29967969999999999</v>
      </c>
      <c r="N2597">
        <v>-1.451002E-2</v>
      </c>
      <c r="O2597">
        <v>-0.95392969999999999</v>
      </c>
      <c r="P2597">
        <v>-7.5655319999999998E-2</v>
      </c>
      <c r="Q2597">
        <v>0.33797969999999999</v>
      </c>
      <c r="R2597">
        <v>-0.93810760000000004</v>
      </c>
      <c r="S2597">
        <v>-6.4697270000000001E-2</v>
      </c>
      <c r="T2597">
        <v>-0.2904735</v>
      </c>
      <c r="U2597">
        <v>-3.2987669999999998</v>
      </c>
      <c r="V2597">
        <v>-0.2154045</v>
      </c>
      <c r="W2597">
        <v>0.34735909999999998</v>
      </c>
      <c r="X2597">
        <v>0.91265689999999999</v>
      </c>
      <c r="Y2597">
        <v>-0.28075359999999899</v>
      </c>
      <c r="Z2597">
        <v>6.5490220000000002E-2</v>
      </c>
      <c r="AA2597">
        <v>0.95754300000000003</v>
      </c>
      <c r="AB2597">
        <v>27</v>
      </c>
      <c r="AC2597">
        <v>-0.196100000000001</v>
      </c>
      <c r="AD2597">
        <v>-1.118396734894</v>
      </c>
      <c r="AE2597">
        <v>-12.5125999999999</v>
      </c>
      <c r="AF2597">
        <v>-3.5348478676805999</v>
      </c>
      <c r="AG2597">
        <v>-1.118396734894</v>
      </c>
      <c r="AH2597">
        <v>11.9011132719912</v>
      </c>
      <c r="AI2597">
        <v>95.147566042803405</v>
      </c>
      <c r="AJ2597">
        <v>106.542380532281</v>
      </c>
      <c r="AK2597">
        <v>12.465250010209701</v>
      </c>
      <c r="AL2597">
        <v>69.674129946633698</v>
      </c>
      <c r="AM2597">
        <v>103.279875282006</v>
      </c>
      <c r="AN2597">
        <v>1.00000003004533</v>
      </c>
    </row>
    <row r="2598" spans="1:40" x14ac:dyDescent="0.25">
      <c r="A2598" t="str">
        <f>"20190304164420217"</f>
        <v>20190304164420217</v>
      </c>
      <c r="B2598" t="str">
        <f>"1551689060212238"</f>
        <v>1551689060212238</v>
      </c>
      <c r="C2598" t="s">
        <v>40</v>
      </c>
      <c r="D2598">
        <v>5.1435389999999996</v>
      </c>
      <c r="E2598">
        <v>0.49003619999999998</v>
      </c>
      <c r="F2598" t="s">
        <v>42</v>
      </c>
      <c r="G2598">
        <v>-489.90179999999998</v>
      </c>
      <c r="H2598" s="1">
        <v>-2.669822E-6</v>
      </c>
      <c r="I2598">
        <v>255.81559999999999</v>
      </c>
      <c r="J2598">
        <v>-489.78039999999999</v>
      </c>
      <c r="K2598">
        <v>1.118247</v>
      </c>
      <c r="L2598">
        <v>268.22449999999998</v>
      </c>
      <c r="M2598">
        <v>-0.29009669999999999</v>
      </c>
      <c r="N2598">
        <v>-1.4473969999999999E-2</v>
      </c>
      <c r="O2598">
        <v>-0.95688799999999996</v>
      </c>
      <c r="P2598">
        <v>-6.7913680000000004E-2</v>
      </c>
      <c r="Q2598">
        <v>0.33759329999999999</v>
      </c>
      <c r="R2598">
        <v>-0.93883930000000004</v>
      </c>
      <c r="S2598">
        <v>-4.9682619999999997E-2</v>
      </c>
      <c r="T2598">
        <v>-0.29127710000000001</v>
      </c>
      <c r="U2598">
        <v>-3.298889</v>
      </c>
      <c r="V2598">
        <v>-0.2136796</v>
      </c>
      <c r="W2598">
        <v>0.34705279999999999</v>
      </c>
      <c r="X2598">
        <v>0.91317870000000001</v>
      </c>
      <c r="Y2598">
        <v>-0.27548679999999998</v>
      </c>
      <c r="Z2598">
        <v>6.6189680000000001E-2</v>
      </c>
      <c r="AA2598">
        <v>0.95902339999999997</v>
      </c>
      <c r="AB2598">
        <v>27</v>
      </c>
      <c r="AC2598">
        <v>-0.121399999999994</v>
      </c>
      <c r="AD2598">
        <v>-1.1182496698219999</v>
      </c>
      <c r="AE2598">
        <v>-12.4088999999999</v>
      </c>
      <c r="AF2598">
        <v>-3.45591637903944</v>
      </c>
      <c r="AG2598">
        <v>-1.1182496698219999</v>
      </c>
      <c r="AH2598">
        <v>11.814455158309199</v>
      </c>
      <c r="AI2598">
        <v>95.190739543337799</v>
      </c>
      <c r="AJ2598">
        <v>106.305038970392</v>
      </c>
      <c r="AK2598">
        <v>12.3602261723104</v>
      </c>
      <c r="AL2598">
        <v>69.692842748270195</v>
      </c>
      <c r="AM2598">
        <v>103.16999111656401</v>
      </c>
      <c r="AN2598">
        <v>0.99999997778884397</v>
      </c>
    </row>
    <row r="2599" spans="1:40" x14ac:dyDescent="0.25">
      <c r="A2599" t="str">
        <f>"20190304164420230"</f>
        <v>20190304164420230</v>
      </c>
      <c r="B2599" t="str">
        <f>"1551689060221998"</f>
        <v>1551689060221998</v>
      </c>
      <c r="C2599" t="s">
        <v>40</v>
      </c>
      <c r="D2599">
        <v>5.148123</v>
      </c>
      <c r="E2599">
        <v>0.49095889999999998</v>
      </c>
      <c r="F2599" t="s">
        <v>42</v>
      </c>
      <c r="G2599">
        <v>-490.30529999999999</v>
      </c>
      <c r="H2599" s="1">
        <v>-3.151062E-6</v>
      </c>
      <c r="I2599">
        <v>256.74489999999997</v>
      </c>
      <c r="J2599">
        <v>-489.82220000000001</v>
      </c>
      <c r="K2599">
        <v>1.1181589999999999</v>
      </c>
      <c r="L2599">
        <v>268.06450000000001</v>
      </c>
      <c r="M2599">
        <v>-0.28421590000000002</v>
      </c>
      <c r="N2599">
        <v>-1.4452390000000001E-2</v>
      </c>
      <c r="O2599">
        <v>-0.95865140000000004</v>
      </c>
      <c r="P2599">
        <v>-6.3129729999999995E-2</v>
      </c>
      <c r="Q2599">
        <v>0.33734979999999998</v>
      </c>
      <c r="R2599">
        <v>-0.93926019999999999</v>
      </c>
      <c r="S2599">
        <v>-0.1509094</v>
      </c>
      <c r="T2599">
        <v>-0.32147249999999999</v>
      </c>
      <c r="U2599">
        <v>-3.3001399999999999</v>
      </c>
      <c r="V2599">
        <v>-0.2126653</v>
      </c>
      <c r="W2599">
        <v>0.34685650000000001</v>
      </c>
      <c r="X2599">
        <v>0.91349009999999997</v>
      </c>
      <c r="Y2599">
        <v>-0.24007049999999999</v>
      </c>
      <c r="Z2599">
        <v>7.5214420000000004E-2</v>
      </c>
      <c r="AA2599">
        <v>0.96783730000000001</v>
      </c>
      <c r="AB2599">
        <v>27</v>
      </c>
      <c r="AC2599">
        <v>-0.48309999999997899</v>
      </c>
      <c r="AD2599">
        <v>-1.1181621510619999</v>
      </c>
      <c r="AE2599">
        <v>-11.319599999999999</v>
      </c>
      <c r="AF2599">
        <v>-2.7278046991545</v>
      </c>
      <c r="AG2599">
        <v>-1.1181621510619999</v>
      </c>
      <c r="AH2599">
        <v>10.8839929523111</v>
      </c>
      <c r="AI2599">
        <v>95.690877920689303</v>
      </c>
      <c r="AJ2599">
        <v>104.069961549547</v>
      </c>
      <c r="AK2599">
        <v>11.276192072626101</v>
      </c>
      <c r="AL2599">
        <v>69.704836622317202</v>
      </c>
      <c r="AM2599">
        <v>103.105324804265</v>
      </c>
      <c r="AN2599">
        <v>1.0000000621071701</v>
      </c>
    </row>
    <row r="2600" spans="1:40" x14ac:dyDescent="0.25">
      <c r="A2600" t="str">
        <f>"20190304164420243"</f>
        <v>20190304164420243</v>
      </c>
      <c r="B2600" t="str">
        <f>"1551689060232735"</f>
        <v>1551689060232735</v>
      </c>
      <c r="C2600" t="s">
        <v>40</v>
      </c>
      <c r="D2600">
        <v>5.1533670000000003</v>
      </c>
      <c r="E2600">
        <v>0.49154680000000001</v>
      </c>
      <c r="F2600" t="s">
        <v>42</v>
      </c>
      <c r="G2600">
        <v>-490.30239999999998</v>
      </c>
      <c r="H2600" s="1">
        <v>-3.1693159999999999E-6</v>
      </c>
      <c r="I2600">
        <v>256.78930000000003</v>
      </c>
      <c r="J2600">
        <v>-489.85770000000002</v>
      </c>
      <c r="K2600">
        <v>1.1180870000000001</v>
      </c>
      <c r="L2600">
        <v>267.92509999999999</v>
      </c>
      <c r="M2600">
        <v>-0.27914919999999999</v>
      </c>
      <c r="N2600">
        <v>-1.44338E-2</v>
      </c>
      <c r="O2600">
        <v>-0.96013950000000003</v>
      </c>
      <c r="P2600">
        <v>-5.9243249999999997E-2</v>
      </c>
      <c r="Q2600">
        <v>0.33707920000000002</v>
      </c>
      <c r="R2600">
        <v>-0.93961079999999997</v>
      </c>
      <c r="S2600">
        <v>-0.140625</v>
      </c>
      <c r="T2600">
        <v>-0.32747510000000002</v>
      </c>
      <c r="U2600">
        <v>-3.302155</v>
      </c>
      <c r="V2600">
        <v>-0.21157409999999999</v>
      </c>
      <c r="W2600">
        <v>0.3466301</v>
      </c>
      <c r="X2600">
        <v>0.91382929999999996</v>
      </c>
      <c r="Y2600">
        <v>-0.23798359999999999</v>
      </c>
      <c r="Z2600">
        <v>7.707725E-2</v>
      </c>
      <c r="AA2600">
        <v>0.96820600000000001</v>
      </c>
      <c r="AB2600">
        <v>27</v>
      </c>
      <c r="AC2600">
        <v>-0.44469999999995402</v>
      </c>
      <c r="AD2600">
        <v>-1.1180901693159999</v>
      </c>
      <c r="AE2600">
        <v>-11.1357999999999</v>
      </c>
      <c r="AF2600">
        <v>-2.6551301788884598</v>
      </c>
      <c r="AG2600">
        <v>-1.1180901693159999</v>
      </c>
      <c r="AH2600">
        <v>10.7093921349929</v>
      </c>
      <c r="AI2600">
        <v>95.786306207433</v>
      </c>
      <c r="AJ2600">
        <v>103.92431450087901</v>
      </c>
      <c r="AK2600">
        <v>11.090127221750601</v>
      </c>
      <c r="AL2600">
        <v>69.718665233077502</v>
      </c>
      <c r="AM2600">
        <v>103.035709310177</v>
      </c>
      <c r="AN2600">
        <v>1.0000000077776501</v>
      </c>
    </row>
    <row r="2601" spans="1:40" x14ac:dyDescent="0.25">
      <c r="A2601" t="str">
        <f>"20190304164420257"</f>
        <v>20190304164420257</v>
      </c>
      <c r="B2601" t="str">
        <f>"1551689060252763"</f>
        <v>1551689060252763</v>
      </c>
      <c r="C2601" t="s">
        <v>40</v>
      </c>
      <c r="D2601">
        <v>5.1583940000000004</v>
      </c>
      <c r="E2601">
        <v>0.49241439999999997</v>
      </c>
      <c r="F2601" t="s">
        <v>42</v>
      </c>
      <c r="G2601">
        <v>-490.29790000000003</v>
      </c>
      <c r="H2601" s="1">
        <v>-3.174619E-6</v>
      </c>
      <c r="I2601">
        <v>256.80439999999999</v>
      </c>
      <c r="J2601">
        <v>-489.89949999999999</v>
      </c>
      <c r="K2601">
        <v>1.117999</v>
      </c>
      <c r="L2601">
        <v>267.75839999999999</v>
      </c>
      <c r="M2601">
        <v>-0.27313219999999999</v>
      </c>
      <c r="N2601">
        <v>-1.4412049999999999E-2</v>
      </c>
      <c r="O2601">
        <v>-0.96186870000000002</v>
      </c>
      <c r="P2601">
        <v>-5.4629690000000002E-2</v>
      </c>
      <c r="Q2601">
        <v>0.33675850000000002</v>
      </c>
      <c r="R2601">
        <v>-0.94000510000000004</v>
      </c>
      <c r="S2601">
        <v>-0.13076779999999999</v>
      </c>
      <c r="T2601">
        <v>-0.33216390000000001</v>
      </c>
      <c r="U2601">
        <v>-3.303741</v>
      </c>
      <c r="V2601">
        <v>-0.21028269999999999</v>
      </c>
      <c r="W2601">
        <v>0.34636169999999999</v>
      </c>
      <c r="X2601">
        <v>0.91422899999999996</v>
      </c>
      <c r="Y2601">
        <v>-0.23481070000000001</v>
      </c>
      <c r="Z2601">
        <v>7.8645660000000006E-2</v>
      </c>
      <c r="AA2601">
        <v>0.9688544</v>
      </c>
      <c r="AB2601">
        <v>27</v>
      </c>
      <c r="AC2601">
        <v>-0.398400000000037</v>
      </c>
      <c r="AD2601">
        <v>-1.1180021746190001</v>
      </c>
      <c r="AE2601">
        <v>-10.954000000000001</v>
      </c>
      <c r="AF2601">
        <v>-2.5820902724297401</v>
      </c>
      <c r="AG2601">
        <v>-1.1180021746190001</v>
      </c>
      <c r="AH2601">
        <v>10.536615499308599</v>
      </c>
      <c r="AI2601">
        <v>95.883960006489204</v>
      </c>
      <c r="AJ2601">
        <v>103.769478461931</v>
      </c>
      <c r="AK2601">
        <v>10.905841793172099</v>
      </c>
      <c r="AL2601">
        <v>69.735057825889697</v>
      </c>
      <c r="AM2601">
        <v>102.953361521725</v>
      </c>
      <c r="AN2601">
        <v>0.999999952793588</v>
      </c>
    </row>
    <row r="2602" spans="1:40" x14ac:dyDescent="0.25">
      <c r="A2602" t="str">
        <f>"20190304164420272"</f>
        <v>20190304164420272</v>
      </c>
      <c r="B2602" t="str">
        <f>"1551689060262523"</f>
        <v>1551689060262523</v>
      </c>
      <c r="C2602" t="s">
        <v>40</v>
      </c>
      <c r="D2602">
        <v>5.1491939999999996</v>
      </c>
      <c r="E2602">
        <v>0.49310670000000001</v>
      </c>
      <c r="F2602" t="s">
        <v>42</v>
      </c>
      <c r="G2602">
        <v>-490.30250000000001</v>
      </c>
      <c r="H2602" s="1">
        <v>-3.1091130000000002E-6</v>
      </c>
      <c r="I2602">
        <v>256.64890000000003</v>
      </c>
      <c r="J2602">
        <v>-489.94150000000002</v>
      </c>
      <c r="K2602">
        <v>1.1179049999999999</v>
      </c>
      <c r="L2602">
        <v>267.58659999999998</v>
      </c>
      <c r="M2602">
        <v>-0.26701340000000001</v>
      </c>
      <c r="N2602">
        <v>-1.4389799999999999E-2</v>
      </c>
      <c r="O2602">
        <v>-0.96358549999999998</v>
      </c>
      <c r="P2602">
        <v>-5.1188289999999997E-2</v>
      </c>
      <c r="Q2602">
        <v>0.33587139999999999</v>
      </c>
      <c r="R2602">
        <v>-0.94051609999999997</v>
      </c>
      <c r="S2602">
        <v>-0.1198425</v>
      </c>
      <c r="T2602">
        <v>-0.33246199999999998</v>
      </c>
      <c r="U2602">
        <v>-3.3036500000000002</v>
      </c>
      <c r="V2602">
        <v>-0.20779429999999999</v>
      </c>
      <c r="W2602">
        <v>0.3455569</v>
      </c>
      <c r="X2602">
        <v>0.91510219999999998</v>
      </c>
      <c r="Y2602">
        <v>-0.2318345</v>
      </c>
      <c r="Z2602">
        <v>7.9041940000000005E-2</v>
      </c>
      <c r="AA2602">
        <v>0.96953860000000003</v>
      </c>
      <c r="AB2602">
        <v>27</v>
      </c>
      <c r="AC2602">
        <v>-0.36099999999999</v>
      </c>
      <c r="AD2602">
        <v>-1.1179081091130001</v>
      </c>
      <c r="AE2602">
        <v>-10.9376999999999</v>
      </c>
      <c r="AF2602">
        <v>-2.5463533050806402</v>
      </c>
      <c r="AG2602">
        <v>-1.1179081091130001</v>
      </c>
      <c r="AH2602">
        <v>10.527052518931299</v>
      </c>
      <c r="AI2602">
        <v>95.893040457090507</v>
      </c>
      <c r="AJ2602">
        <v>103.59789839103099</v>
      </c>
      <c r="AK2602">
        <v>10.888180216686999</v>
      </c>
      <c r="AL2602">
        <v>69.784206117695007</v>
      </c>
      <c r="AM2602">
        <v>102.79334233567999</v>
      </c>
      <c r="AN2602">
        <v>1.00000003934746</v>
      </c>
    </row>
    <row r="2603" spans="1:40" x14ac:dyDescent="0.25">
      <c r="A2603" t="str">
        <f>"20190304164420285"</f>
        <v>20190304164420285</v>
      </c>
      <c r="B2603" t="str">
        <f>"1551689060282043"</f>
        <v>1551689060282043</v>
      </c>
      <c r="C2603" t="s">
        <v>40</v>
      </c>
      <c r="D2603">
        <v>5.1247939999999996</v>
      </c>
      <c r="E2603">
        <v>0.49438209999999999</v>
      </c>
      <c r="F2603" t="s">
        <v>42</v>
      </c>
      <c r="G2603">
        <v>-490.31110000000001</v>
      </c>
      <c r="H2603" s="1">
        <v>-3.0815390000000001E-6</v>
      </c>
      <c r="I2603">
        <v>256.57929999999999</v>
      </c>
      <c r="J2603">
        <v>-489.97829999999999</v>
      </c>
      <c r="K2603">
        <v>1.117815</v>
      </c>
      <c r="L2603">
        <v>267.43060000000003</v>
      </c>
      <c r="M2603">
        <v>-0.2615442</v>
      </c>
      <c r="N2603">
        <v>-1.43684E-2</v>
      </c>
      <c r="O2603">
        <v>-0.96508490000000002</v>
      </c>
      <c r="P2603">
        <v>-4.680873E-2</v>
      </c>
      <c r="Q2603">
        <v>0.3359762</v>
      </c>
      <c r="R2603">
        <v>-0.94070679999999995</v>
      </c>
      <c r="S2603">
        <v>-0.1109314</v>
      </c>
      <c r="T2603">
        <v>-0.33550799999999997</v>
      </c>
      <c r="U2603">
        <v>-3.303528</v>
      </c>
      <c r="V2603">
        <v>-0.2067754</v>
      </c>
      <c r="W2603">
        <v>0.34570630000000002</v>
      </c>
      <c r="X2603">
        <v>0.91527650000000005</v>
      </c>
      <c r="Y2603">
        <v>-0.228932</v>
      </c>
      <c r="Z2603">
        <v>8.0172170000000001E-2</v>
      </c>
      <c r="AA2603">
        <v>0.97013530000000003</v>
      </c>
      <c r="AB2603">
        <v>27</v>
      </c>
      <c r="AC2603">
        <v>-0.33280000000002002</v>
      </c>
      <c r="AD2603">
        <v>-1.117818081539</v>
      </c>
      <c r="AE2603">
        <v>-10.8513</v>
      </c>
      <c r="AF2603">
        <v>-2.4907672545061899</v>
      </c>
      <c r="AG2603">
        <v>-1.117818081539</v>
      </c>
      <c r="AH2603">
        <v>10.4497702196338</v>
      </c>
      <c r="AI2603">
        <v>95.9405638566909</v>
      </c>
      <c r="AJ2603">
        <v>103.406645410839</v>
      </c>
      <c r="AK2603">
        <v>10.800515562818299</v>
      </c>
      <c r="AL2603">
        <v>69.775082924611397</v>
      </c>
      <c r="AM2603">
        <v>102.730315438012</v>
      </c>
      <c r="AN2603">
        <v>0.99999999167855003</v>
      </c>
    </row>
    <row r="2604" spans="1:40" x14ac:dyDescent="0.25">
      <c r="A2604" t="str">
        <f>"20190304164420299"</f>
        <v>20190304164420299</v>
      </c>
      <c r="B2604" t="str">
        <f>"1551689060292780"</f>
        <v>1551689060292780</v>
      </c>
      <c r="C2604" t="s">
        <v>40</v>
      </c>
      <c r="D2604">
        <v>5.1491899999999999</v>
      </c>
      <c r="E2604">
        <v>0.4950946</v>
      </c>
      <c r="F2604" t="s">
        <v>42</v>
      </c>
      <c r="G2604">
        <v>-490.32830000000001</v>
      </c>
      <c r="H2604" s="1">
        <v>-3.0265620000000002E-6</v>
      </c>
      <c r="I2604">
        <v>256.44040000000001</v>
      </c>
      <c r="J2604">
        <v>-490.01429999999999</v>
      </c>
      <c r="K2604">
        <v>1.117723</v>
      </c>
      <c r="L2604">
        <v>267.27589999999998</v>
      </c>
      <c r="M2604">
        <v>-0.25617780000000001</v>
      </c>
      <c r="N2604">
        <v>-1.434712E-2</v>
      </c>
      <c r="O2604">
        <v>-0.96652320000000003</v>
      </c>
      <c r="P2604">
        <v>-4.2179609999999999E-2</v>
      </c>
      <c r="Q2604">
        <v>0.33615719999999999</v>
      </c>
      <c r="R2604">
        <v>-0.94086099999999995</v>
      </c>
      <c r="S2604">
        <v>-0.1052246</v>
      </c>
      <c r="T2604">
        <v>-0.33604250000000002</v>
      </c>
      <c r="U2604">
        <v>-3.3038940000000001</v>
      </c>
      <c r="V2604">
        <v>-0.20609759999999999</v>
      </c>
      <c r="W2604">
        <v>0.34592600000000001</v>
      </c>
      <c r="X2604">
        <v>0.91534629999999995</v>
      </c>
      <c r="Y2604">
        <v>-0.2252044</v>
      </c>
      <c r="Z2604">
        <v>8.0591070000000001E-2</v>
      </c>
      <c r="AA2604">
        <v>0.97097279999999997</v>
      </c>
      <c r="AB2604">
        <v>27</v>
      </c>
      <c r="AC2604">
        <v>-0.31400000000002098</v>
      </c>
      <c r="AD2604">
        <v>-1.1177260265619999</v>
      </c>
      <c r="AE2604">
        <v>-10.8354999999999</v>
      </c>
      <c r="AF2604">
        <v>-2.4465692342533099</v>
      </c>
      <c r="AG2604">
        <v>-1.1177260265619999</v>
      </c>
      <c r="AH2604">
        <v>10.443257262858699</v>
      </c>
      <c r="AI2604">
        <v>95.949152039602495</v>
      </c>
      <c r="AJ2604">
        <v>103.18505005947</v>
      </c>
      <c r="AK2604">
        <v>10.7840917441711</v>
      </c>
      <c r="AL2604">
        <v>69.761666102609993</v>
      </c>
      <c r="AM2604">
        <v>102.689003164442</v>
      </c>
      <c r="AN2604">
        <v>0.99999993356272199</v>
      </c>
    </row>
    <row r="2605" spans="1:40" x14ac:dyDescent="0.25">
      <c r="A2605" t="str">
        <f>"20190304164420313"</f>
        <v>20190304164420313</v>
      </c>
      <c r="B2605" t="str">
        <f>"1551689060302539"</f>
        <v>1551689060302539</v>
      </c>
      <c r="C2605" t="s">
        <v>40</v>
      </c>
      <c r="D2605">
        <v>5.1616339999999896</v>
      </c>
      <c r="E2605">
        <v>0.4950946</v>
      </c>
      <c r="F2605" t="s">
        <v>42</v>
      </c>
      <c r="G2605">
        <v>-490.3297</v>
      </c>
      <c r="H2605" s="1">
        <v>-2.9648029999999998E-6</v>
      </c>
      <c r="I2605">
        <v>256.29570000000001</v>
      </c>
      <c r="J2605">
        <v>-490.05079999999998</v>
      </c>
      <c r="K2605">
        <v>1.117623</v>
      </c>
      <c r="L2605">
        <v>267.11540000000002</v>
      </c>
      <c r="M2605">
        <v>-0.25067479999999998</v>
      </c>
      <c r="N2605">
        <v>-1.432486E-2</v>
      </c>
      <c r="O2605">
        <v>-0.96796550000000003</v>
      </c>
      <c r="P2605">
        <v>-3.7346669999999998E-2</v>
      </c>
      <c r="Q2605">
        <v>0.33620939999999999</v>
      </c>
      <c r="R2605">
        <v>-0.94104659999999996</v>
      </c>
      <c r="S2605">
        <v>-9.4909670000000002E-2</v>
      </c>
      <c r="T2605">
        <v>-0.33637889999999998</v>
      </c>
      <c r="U2605">
        <v>-3.3045040000000001</v>
      </c>
      <c r="V2605">
        <v>-0.20549700000000001</v>
      </c>
      <c r="W2605">
        <v>0.34601900000000002</v>
      </c>
      <c r="X2605">
        <v>0.91544619999999999</v>
      </c>
      <c r="Y2605">
        <v>-0.22269800000000001</v>
      </c>
      <c r="Z2605">
        <v>8.0934000000000006E-2</v>
      </c>
      <c r="AA2605">
        <v>0.9715222</v>
      </c>
      <c r="AB2605">
        <v>27</v>
      </c>
      <c r="AC2605">
        <v>-0.27890000000002102</v>
      </c>
      <c r="AD2605">
        <v>-1.117625964803</v>
      </c>
      <c r="AE2605">
        <v>-10.819699999999999</v>
      </c>
      <c r="AF2605">
        <v>-2.4167414506836602</v>
      </c>
      <c r="AG2605">
        <v>-1.117625964803</v>
      </c>
      <c r="AH2605">
        <v>10.432845942015099</v>
      </c>
      <c r="AI2605">
        <v>95.957947320769307</v>
      </c>
      <c r="AJ2605">
        <v>103.042377973584</v>
      </c>
      <c r="AK2605">
        <v>10.7672652742688</v>
      </c>
      <c r="AL2605">
        <v>69.755987329736698</v>
      </c>
      <c r="AM2605">
        <v>102.651881364334</v>
      </c>
      <c r="AN2605">
        <v>0.99999995523221896</v>
      </c>
    </row>
    <row r="2606" spans="1:40" x14ac:dyDescent="0.25">
      <c r="A2606" t="str">
        <f>"20190304164420329"</f>
        <v>20190304164420329</v>
      </c>
      <c r="B2606" t="str">
        <f>"1551689060322058"</f>
        <v>1551689060322058</v>
      </c>
      <c r="C2606" t="s">
        <v>40</v>
      </c>
      <c r="D2606">
        <v>5.1805839999999996</v>
      </c>
      <c r="E2606">
        <v>0.50488180000000005</v>
      </c>
      <c r="F2606" t="s">
        <v>42</v>
      </c>
      <c r="G2606">
        <v>-490.3134</v>
      </c>
      <c r="H2606" s="1">
        <v>-2.8885509999999999E-6</v>
      </c>
      <c r="I2606">
        <v>256.12799999999999</v>
      </c>
      <c r="J2606">
        <v>-490.09359999999998</v>
      </c>
      <c r="K2606">
        <v>1.1174949999999999</v>
      </c>
      <c r="L2606">
        <v>266.92090000000002</v>
      </c>
      <c r="M2606">
        <v>-0.24414150000000001</v>
      </c>
      <c r="N2606">
        <v>-1.4296929999999999E-2</v>
      </c>
      <c r="O2606">
        <v>-0.9696342</v>
      </c>
      <c r="P2606">
        <v>-3.1283480000000002E-2</v>
      </c>
      <c r="Q2606">
        <v>0.33720840000000002</v>
      </c>
      <c r="R2606">
        <v>-0.94091029999999998</v>
      </c>
      <c r="S2606">
        <v>-7.8979489999999999E-2</v>
      </c>
      <c r="T2606">
        <v>-0.33617079999999999</v>
      </c>
      <c r="U2606">
        <v>-3.3049010000000001</v>
      </c>
      <c r="V2606">
        <v>-0.20503560000000001</v>
      </c>
      <c r="W2606">
        <v>0.34706120000000001</v>
      </c>
      <c r="X2606">
        <v>0.9151551</v>
      </c>
      <c r="Y2606">
        <v>-0.22080929999999999</v>
      </c>
      <c r="Z2606">
        <v>8.1161239999999996E-2</v>
      </c>
      <c r="AA2606">
        <v>0.97193419999999997</v>
      </c>
      <c r="AB2606">
        <v>27</v>
      </c>
      <c r="AC2606">
        <v>-0.21980000000002001</v>
      </c>
      <c r="AD2606">
        <v>-1.1174978885510001</v>
      </c>
      <c r="AE2606">
        <v>-10.792899999999999</v>
      </c>
      <c r="AF2606">
        <v>-2.3964363393704202</v>
      </c>
      <c r="AG2606">
        <v>-1.1174978885510001</v>
      </c>
      <c r="AH2606">
        <v>10.408365534183099</v>
      </c>
      <c r="AI2606">
        <v>95.973007517973599</v>
      </c>
      <c r="AJ2606">
        <v>102.965898475934</v>
      </c>
      <c r="AK2606">
        <v>10.7389842048837</v>
      </c>
      <c r="AL2606">
        <v>69.692329304444698</v>
      </c>
      <c r="AM2606">
        <v>102.62827263925099</v>
      </c>
      <c r="AN2606">
        <v>0.99999996543440395</v>
      </c>
    </row>
    <row r="2607" spans="1:40" x14ac:dyDescent="0.25">
      <c r="A2607" t="str">
        <f>"20190304164420344"</f>
        <v>20190304164420344</v>
      </c>
      <c r="B2607" t="str">
        <f>"1551689060332795"</f>
        <v>1551689060332795</v>
      </c>
      <c r="C2607" t="s">
        <v>40</v>
      </c>
      <c r="D2607">
        <v>5.1602030000000001</v>
      </c>
      <c r="E2607">
        <v>0.50546629999999904</v>
      </c>
      <c r="F2607" t="s">
        <v>42</v>
      </c>
      <c r="G2607">
        <v>-490.53559999999999</v>
      </c>
      <c r="H2607" s="1">
        <v>-3.0236440000000001E-6</v>
      </c>
      <c r="I2607">
        <v>256.30509999999998</v>
      </c>
      <c r="J2607">
        <v>-490.12729999999999</v>
      </c>
      <c r="K2607">
        <v>1.117378</v>
      </c>
      <c r="L2607">
        <v>266.76369999999997</v>
      </c>
      <c r="M2607">
        <v>-0.23896629999999999</v>
      </c>
      <c r="N2607">
        <v>-1.42738E-2</v>
      </c>
      <c r="O2607">
        <v>-0.97092299999999998</v>
      </c>
      <c r="P2607">
        <v>-2.5960179999999999E-2</v>
      </c>
      <c r="Q2607">
        <v>0.33770029999999901</v>
      </c>
      <c r="R2607">
        <v>-0.94089590000000001</v>
      </c>
      <c r="S2607">
        <v>-0.1377563</v>
      </c>
      <c r="T2607">
        <v>-0.34829759999999998</v>
      </c>
      <c r="U2607">
        <v>-3.3086850000000001</v>
      </c>
      <c r="V2607">
        <v>-0.2051993</v>
      </c>
      <c r="W2607">
        <v>0.34758270000000002</v>
      </c>
      <c r="X2607">
        <v>0.91492050000000003</v>
      </c>
      <c r="Y2607">
        <v>-0.19836119999999999</v>
      </c>
      <c r="Z2607">
        <v>8.4938529999999998E-2</v>
      </c>
      <c r="AA2607">
        <v>0.97644160000000002</v>
      </c>
      <c r="AB2607">
        <v>27</v>
      </c>
      <c r="AC2607">
        <v>-0.408299999999997</v>
      </c>
      <c r="AD2607">
        <v>-1.117381023644</v>
      </c>
      <c r="AE2607">
        <v>-10.458599999999899</v>
      </c>
      <c r="AF2607">
        <v>-2.07934078260211</v>
      </c>
      <c r="AG2607">
        <v>-1.117381023644</v>
      </c>
      <c r="AH2607">
        <v>10.137570401849899</v>
      </c>
      <c r="AI2607">
        <v>96.162573556144693</v>
      </c>
      <c r="AJ2607">
        <v>101.59130308291699</v>
      </c>
      <c r="AK2607">
        <v>10.4087718821509</v>
      </c>
      <c r="AL2607">
        <v>69.660466742034302</v>
      </c>
      <c r="AM2607">
        <v>102.64116774652599</v>
      </c>
      <c r="AN2607">
        <v>1.0000000036900101</v>
      </c>
    </row>
    <row r="2608" spans="1:40" x14ac:dyDescent="0.25">
      <c r="A2608" t="str">
        <f>"20190304164420385"</f>
        <v>20190304164420385</v>
      </c>
      <c r="B2608" t="str">
        <f>"1551689060372343"</f>
        <v>1551689060372343</v>
      </c>
      <c r="C2608" t="s">
        <v>40</v>
      </c>
      <c r="D2608">
        <v>5.1480350000000001</v>
      </c>
      <c r="E2608">
        <v>0.46857379999999998</v>
      </c>
      <c r="F2608" t="s">
        <v>42</v>
      </c>
      <c r="G2608">
        <v>-490.53019999999998</v>
      </c>
      <c r="H2608" s="1">
        <v>-2.9618620000000002E-6</v>
      </c>
      <c r="I2608">
        <v>256.1644</v>
      </c>
      <c r="J2608">
        <v>-490.22449999999998</v>
      </c>
      <c r="K2608">
        <v>1.1169899999999999</v>
      </c>
      <c r="L2608">
        <v>266.29000000000002</v>
      </c>
      <c r="M2608">
        <v>-0.2239264</v>
      </c>
      <c r="N2608">
        <v>-1.420162E-2</v>
      </c>
      <c r="O2608">
        <v>-0.9745026</v>
      </c>
      <c r="P2608">
        <v>-9.2183760000000003E-3</v>
      </c>
      <c r="Q2608">
        <v>0.33782139999999999</v>
      </c>
      <c r="R2608">
        <v>-0.94116500000000003</v>
      </c>
      <c r="S2608">
        <v>-0.12582399999999999</v>
      </c>
      <c r="T2608">
        <v>-0.34896110000000002</v>
      </c>
      <c r="U2608">
        <v>-3.310181</v>
      </c>
      <c r="V2608">
        <v>-0.20700450000000001</v>
      </c>
      <c r="W2608">
        <v>0.34779139999999997</v>
      </c>
      <c r="X2608">
        <v>0.91443439999999998</v>
      </c>
      <c r="Y2608">
        <v>-0.1867412</v>
      </c>
      <c r="Z2608">
        <v>8.5828360000000006E-2</v>
      </c>
      <c r="AA2608">
        <v>0.97865279999999999</v>
      </c>
      <c r="AB2608">
        <v>27</v>
      </c>
      <c r="AC2608">
        <v>-0.30570000000000103</v>
      </c>
      <c r="AD2608">
        <v>-1.116992961862</v>
      </c>
      <c r="AE2608">
        <v>-10.1256</v>
      </c>
      <c r="AF2608">
        <v>-1.9460224895776299</v>
      </c>
      <c r="AG2608">
        <v>-1.116992961862</v>
      </c>
      <c r="AH2608">
        <v>9.8175179601265903</v>
      </c>
      <c r="AI2608">
        <v>96.368092157501806</v>
      </c>
      <c r="AJ2608">
        <v>101.211801813931</v>
      </c>
      <c r="AK2608">
        <v>10.070667093306101</v>
      </c>
      <c r="AL2608">
        <v>69.647713288161299</v>
      </c>
      <c r="AM2608">
        <v>102.755311923265</v>
      </c>
      <c r="AN2608">
        <v>0.99999999641878401</v>
      </c>
    </row>
    <row r="2609" spans="1:40" x14ac:dyDescent="0.25">
      <c r="A2609" t="str">
        <f>"20190304164420399"</f>
        <v>20190304164420399</v>
      </c>
      <c r="B2609" t="str">
        <f>"1551689060392838"</f>
        <v>1551689060392838</v>
      </c>
      <c r="C2609" t="s">
        <v>40</v>
      </c>
      <c r="D2609">
        <v>5.1185739999999997</v>
      </c>
      <c r="E2609">
        <v>0.46529670000000001</v>
      </c>
      <c r="F2609" t="s">
        <v>42</v>
      </c>
      <c r="G2609">
        <v>-489.30399999999997</v>
      </c>
      <c r="H2609" s="1">
        <v>-1.3767610000000001E-6</v>
      </c>
      <c r="I2609">
        <v>252.55420000000001</v>
      </c>
      <c r="J2609">
        <v>-490.25790000000001</v>
      </c>
      <c r="K2609">
        <v>1.116846</v>
      </c>
      <c r="L2609">
        <v>266.11970000000002</v>
      </c>
      <c r="M2609">
        <v>-0.2187344</v>
      </c>
      <c r="N2609">
        <v>-1.4175449999999999E-2</v>
      </c>
      <c r="O2609">
        <v>-0.97568149999999998</v>
      </c>
      <c r="P2609">
        <v>-4.343408E-3</v>
      </c>
      <c r="Q2609">
        <v>0.33691500000000002</v>
      </c>
      <c r="R2609">
        <v>-0.94152519999999995</v>
      </c>
      <c r="S2609">
        <v>0.2201843</v>
      </c>
      <c r="T2609">
        <v>-0.26718649999999999</v>
      </c>
      <c r="U2609">
        <v>-3.2856139999999998</v>
      </c>
      <c r="V2609">
        <v>-0.2068073</v>
      </c>
      <c r="W2609">
        <v>0.34693960000000001</v>
      </c>
      <c r="X2609">
        <v>0.91480260000000002</v>
      </c>
      <c r="Y2609">
        <v>-0.28317219999999999</v>
      </c>
      <c r="Z2609">
        <v>6.2117659999999998E-2</v>
      </c>
      <c r="AA2609">
        <v>0.95705530000000005</v>
      </c>
      <c r="AB2609">
        <v>27</v>
      </c>
      <c r="AC2609">
        <v>0.95389999999997599</v>
      </c>
      <c r="AD2609">
        <v>-1.1168473767610001</v>
      </c>
      <c r="AE2609">
        <v>-13.5655</v>
      </c>
      <c r="AF2609">
        <v>-3.8722180137755</v>
      </c>
      <c r="AG2609">
        <v>-1.1168473767610001</v>
      </c>
      <c r="AH2609">
        <v>12.940979928995</v>
      </c>
      <c r="AI2609">
        <v>94.726528682013196</v>
      </c>
      <c r="AJ2609">
        <v>106.658307930715</v>
      </c>
      <c r="AK2609">
        <v>13.5539802984894</v>
      </c>
      <c r="AL2609">
        <v>69.699760298322403</v>
      </c>
      <c r="AM2609">
        <v>102.738595948588</v>
      </c>
      <c r="AN2609">
        <v>1.0000000711740999</v>
      </c>
    </row>
    <row r="2610" spans="1:40" x14ac:dyDescent="0.25">
      <c r="A2610" t="str">
        <f>"20190304164420411"</f>
        <v>20190304164420411</v>
      </c>
      <c r="B2610" t="str">
        <f>"1551689060402598"</f>
        <v>1551689060402598</v>
      </c>
      <c r="C2610" t="s">
        <v>40</v>
      </c>
      <c r="D2610">
        <v>5.0917009999999996</v>
      </c>
      <c r="E2610">
        <v>0.46497060000000001</v>
      </c>
      <c r="F2610" t="s">
        <v>42</v>
      </c>
      <c r="G2610">
        <v>-489.24700000000001</v>
      </c>
      <c r="H2610" s="1">
        <v>-1.78456799999999E-6</v>
      </c>
      <c r="I2610">
        <v>253.4813</v>
      </c>
      <c r="J2610">
        <v>-490.28699999999998</v>
      </c>
      <c r="K2610">
        <v>1.116722</v>
      </c>
      <c r="L2610">
        <v>265.96789999999999</v>
      </c>
      <c r="M2610">
        <v>-0.21420120000000001</v>
      </c>
      <c r="N2610">
        <v>-1.415255E-2</v>
      </c>
      <c r="O2610">
        <v>-0.97668730000000004</v>
      </c>
      <c r="P2610">
        <v>-7.2188369999999903E-4</v>
      </c>
      <c r="Q2610">
        <v>0.33582689999999998</v>
      </c>
      <c r="R2610">
        <v>-0.94192370000000003</v>
      </c>
      <c r="S2610">
        <v>0.26327509999999998</v>
      </c>
      <c r="T2610">
        <v>-0.29088190000000003</v>
      </c>
      <c r="U2610">
        <v>-3.2916560000000001</v>
      </c>
      <c r="V2610">
        <v>-0.20603340000000001</v>
      </c>
      <c r="W2610">
        <v>0.34591169999999999</v>
      </c>
      <c r="X2610">
        <v>0.91536620000000002</v>
      </c>
      <c r="Y2610">
        <v>-0.290995</v>
      </c>
      <c r="Z2610">
        <v>6.8690619999999994E-2</v>
      </c>
      <c r="AA2610">
        <v>0.95425550000000003</v>
      </c>
      <c r="AB2610">
        <v>27</v>
      </c>
      <c r="AC2610">
        <v>1.04000000000002</v>
      </c>
      <c r="AD2610">
        <v>-1.116723784568</v>
      </c>
      <c r="AE2610">
        <v>-12.4865999999999</v>
      </c>
      <c r="AF2610">
        <v>-3.6616823261496099</v>
      </c>
      <c r="AG2610">
        <v>-1.116723784568</v>
      </c>
      <c r="AH2610">
        <v>11.8795675015665</v>
      </c>
      <c r="AI2610">
        <v>95.133279859617303</v>
      </c>
      <c r="AJ2610">
        <v>107.13105821444</v>
      </c>
      <c r="AK2610">
        <v>12.4811503273108</v>
      </c>
      <c r="AL2610">
        <v>69.762540177576895</v>
      </c>
      <c r="AM2610">
        <v>102.684911575764</v>
      </c>
      <c r="AN2610">
        <v>0.99999997310744404</v>
      </c>
    </row>
    <row r="2611" spans="1:40" x14ac:dyDescent="0.25">
      <c r="A2611" t="str">
        <f>"20190304164420429"</f>
        <v>20190304164420429</v>
      </c>
      <c r="B2611" t="str">
        <f>"1551689060422118"</f>
        <v>1551689060422118</v>
      </c>
      <c r="C2611" t="s">
        <v>40</v>
      </c>
      <c r="D2611">
        <v>5.1011309999999996</v>
      </c>
      <c r="E2611">
        <v>0.4656132</v>
      </c>
      <c r="F2611" t="s">
        <v>42</v>
      </c>
      <c r="G2611">
        <v>-489.24430000000001</v>
      </c>
      <c r="H2611" s="1">
        <v>-1.8761600000000001E-6</v>
      </c>
      <c r="I2611">
        <v>253.6936</v>
      </c>
      <c r="J2611">
        <v>-490.32580000000002</v>
      </c>
      <c r="K2611">
        <v>1.1165419999999999</v>
      </c>
      <c r="L2611">
        <v>265.75940000000003</v>
      </c>
      <c r="M2611">
        <v>-0.20816280000000001</v>
      </c>
      <c r="N2611">
        <v>-1.412097E-2</v>
      </c>
      <c r="O2611">
        <v>-0.97799239999999998</v>
      </c>
      <c r="P2611">
        <v>2.931805E-3</v>
      </c>
      <c r="Q2611">
        <v>0.33274049999999999</v>
      </c>
      <c r="R2611">
        <v>-0.94301420000000002</v>
      </c>
      <c r="S2611">
        <v>0.2796631</v>
      </c>
      <c r="T2611">
        <v>-0.29950700000000002</v>
      </c>
      <c r="U2611">
        <v>-3.2919619999999998</v>
      </c>
      <c r="V2611">
        <v>-0.20395450000000001</v>
      </c>
      <c r="W2611">
        <v>0.34293289999999998</v>
      </c>
      <c r="X2611">
        <v>0.91695119999999997</v>
      </c>
      <c r="Y2611">
        <v>-0.28977560000000002</v>
      </c>
      <c r="Z2611">
        <v>7.1329240000000002E-2</v>
      </c>
      <c r="AA2611">
        <v>0.95443299999999998</v>
      </c>
      <c r="AB2611">
        <v>27</v>
      </c>
      <c r="AC2611">
        <v>1.0814999999999999</v>
      </c>
      <c r="AD2611">
        <v>-1.1165438761599999</v>
      </c>
      <c r="AE2611">
        <v>-12.065799999999999</v>
      </c>
      <c r="AF2611">
        <v>-3.5396356462384002</v>
      </c>
      <c r="AG2611">
        <v>-1.1165438761599999</v>
      </c>
      <c r="AH2611">
        <v>11.4787728563317</v>
      </c>
      <c r="AI2611">
        <v>95.310462294012396</v>
      </c>
      <c r="AJ2611">
        <v>107.13785774702001</v>
      </c>
      <c r="AK2611">
        <v>12.063909690592499</v>
      </c>
      <c r="AL2611">
        <v>69.944335845747105</v>
      </c>
      <c r="AM2611">
        <v>102.539975810467</v>
      </c>
      <c r="AN2611">
        <v>0.99999995757704896</v>
      </c>
    </row>
    <row r="2612" spans="1:40" x14ac:dyDescent="0.25">
      <c r="A2612" t="str">
        <f>"20190304164420453"</f>
        <v>20190304164420453</v>
      </c>
      <c r="B2612" t="str">
        <f>"1551689060442615"</f>
        <v>1551689060442615</v>
      </c>
      <c r="C2612" t="s">
        <v>40</v>
      </c>
      <c r="D2612">
        <v>5.1470469999999997</v>
      </c>
      <c r="E2612">
        <v>0.46618520000000002</v>
      </c>
      <c r="F2612" t="s">
        <v>42</v>
      </c>
      <c r="G2612">
        <v>-489.30500000000001</v>
      </c>
      <c r="H2612" s="1">
        <v>-2.0744360000000001E-6</v>
      </c>
      <c r="I2612">
        <v>254.18090000000001</v>
      </c>
      <c r="J2612">
        <v>-490.3732</v>
      </c>
      <c r="K2612">
        <v>1.1163080000000001</v>
      </c>
      <c r="L2612">
        <v>265.4966</v>
      </c>
      <c r="M2612">
        <v>-0.2007999</v>
      </c>
      <c r="N2612">
        <v>-1.408096E-2</v>
      </c>
      <c r="O2612">
        <v>-0.97953120000000005</v>
      </c>
      <c r="P2612">
        <v>7.8842349999999999E-3</v>
      </c>
      <c r="Q2612">
        <v>0.33108330000000002</v>
      </c>
      <c r="R2612">
        <v>-0.94356859999999998</v>
      </c>
      <c r="S2612">
        <v>0.29028320000000002</v>
      </c>
      <c r="T2612">
        <v>-0.31749759999999999</v>
      </c>
      <c r="U2612">
        <v>-3.2924190000000002</v>
      </c>
      <c r="V2612">
        <v>-0.20177020000000001</v>
      </c>
      <c r="W2612">
        <v>0.34138990000000002</v>
      </c>
      <c r="X2612">
        <v>0.91800970000000004</v>
      </c>
      <c r="Y2612">
        <v>-0.28557490000000002</v>
      </c>
      <c r="Z2612">
        <v>7.6724899999999902E-2</v>
      </c>
      <c r="AA2612">
        <v>0.95528020000000002</v>
      </c>
      <c r="AB2612">
        <v>27</v>
      </c>
      <c r="AC2612">
        <v>1.06819999999999</v>
      </c>
      <c r="AD2612">
        <v>-1.1163100744359999</v>
      </c>
      <c r="AE2612">
        <v>-11.3156999999999</v>
      </c>
      <c r="AF2612">
        <v>-3.28714698582001</v>
      </c>
      <c r="AG2612">
        <v>-1.1163100744359999</v>
      </c>
      <c r="AH2612">
        <v>10.766804974696999</v>
      </c>
      <c r="AI2612">
        <v>95.663061543523099</v>
      </c>
      <c r="AJ2612">
        <v>106.977632066046</v>
      </c>
      <c r="AK2612">
        <v>11.3126289098438</v>
      </c>
      <c r="AL2612">
        <v>70.038423976208094</v>
      </c>
      <c r="AM2612">
        <v>102.395991867196</v>
      </c>
      <c r="AN2612">
        <v>1.0000000433620599</v>
      </c>
    </row>
    <row r="2613" spans="1:40" x14ac:dyDescent="0.25">
      <c r="A2613" t="str">
        <f>"20190304164420475"</f>
        <v>20190304164420475</v>
      </c>
      <c r="B2613" t="str">
        <f>"1551689060462135"</f>
        <v>1551689060462135</v>
      </c>
      <c r="C2613" t="s">
        <v>40</v>
      </c>
      <c r="D2613">
        <v>5.1199370000000002</v>
      </c>
      <c r="E2613">
        <v>0.4668872</v>
      </c>
      <c r="F2613" t="s">
        <v>42</v>
      </c>
      <c r="G2613">
        <v>-489.33359999999999</v>
      </c>
      <c r="H2613" s="1">
        <v>-2.0901979999999999E-6</v>
      </c>
      <c r="I2613">
        <v>254.2296</v>
      </c>
      <c r="J2613">
        <v>-490.4178</v>
      </c>
      <c r="K2613">
        <v>1.116107</v>
      </c>
      <c r="L2613">
        <v>265.24</v>
      </c>
      <c r="M2613">
        <v>-0.1938916</v>
      </c>
      <c r="N2613">
        <v>-1.4042519999999999E-2</v>
      </c>
      <c r="O2613">
        <v>-0.98092259999999998</v>
      </c>
      <c r="P2613">
        <v>1.2309509999999999E-2</v>
      </c>
      <c r="Q2613">
        <v>0.33132089999999997</v>
      </c>
      <c r="R2613">
        <v>-0.9434382</v>
      </c>
      <c r="S2613">
        <v>0.30368040000000002</v>
      </c>
      <c r="T2613">
        <v>-0.32609389999999999</v>
      </c>
      <c r="U2613">
        <v>-3.29129</v>
      </c>
      <c r="V2613">
        <v>-0.19940630000000001</v>
      </c>
      <c r="W2613">
        <v>0.34172909999999901</v>
      </c>
      <c r="X2613">
        <v>0.91839990000000005</v>
      </c>
      <c r="Y2613">
        <v>-0.2826842</v>
      </c>
      <c r="Z2613">
        <v>7.9465140000000004E-2</v>
      </c>
      <c r="AA2613">
        <v>0.95591570000000003</v>
      </c>
      <c r="AB2613">
        <v>27</v>
      </c>
      <c r="AC2613">
        <v>1.0842000000000001</v>
      </c>
      <c r="AD2613">
        <v>-1.116109090198</v>
      </c>
      <c r="AE2613">
        <v>-11.010400000000001</v>
      </c>
      <c r="AF2613">
        <v>-3.1664307732234098</v>
      </c>
      <c r="AG2613">
        <v>-1.116109090198</v>
      </c>
      <c r="AH2613">
        <v>10.4844760250317</v>
      </c>
      <c r="AI2613">
        <v>95.818774564555</v>
      </c>
      <c r="AJ2613">
        <v>106.804912175342</v>
      </c>
      <c r="AK2613">
        <v>11.0089155170845</v>
      </c>
      <c r="AL2613">
        <v>70.017745031251593</v>
      </c>
      <c r="AM2613">
        <v>102.250127193046</v>
      </c>
      <c r="AN2613">
        <v>1.0000000132932501</v>
      </c>
    </row>
    <row r="2614" spans="1:40" x14ac:dyDescent="0.25">
      <c r="A2614" t="str">
        <f>"20190304164420497"</f>
        <v>20190304164420497</v>
      </c>
      <c r="B2614" t="str">
        <f>"1551689060492390"</f>
        <v>1551689060492390</v>
      </c>
      <c r="C2614" t="s">
        <v>40</v>
      </c>
      <c r="D2614">
        <v>5.1371159999999998</v>
      </c>
      <c r="E2614">
        <v>0.46848040000000002</v>
      </c>
      <c r="F2614" t="s">
        <v>42</v>
      </c>
      <c r="G2614">
        <v>-489.35199999999998</v>
      </c>
      <c r="H2614" s="1">
        <v>-2.035621E-6</v>
      </c>
      <c r="I2614">
        <v>254.10990000000001</v>
      </c>
      <c r="J2614">
        <v>-490.45979999999997</v>
      </c>
      <c r="K2614">
        <v>1.1159319999999999</v>
      </c>
      <c r="L2614">
        <v>264.98880000000003</v>
      </c>
      <c r="M2614">
        <v>-0.18735969999999999</v>
      </c>
      <c r="N2614">
        <v>-1.400682E-2</v>
      </c>
      <c r="O2614">
        <v>-0.9821915</v>
      </c>
      <c r="P2614">
        <v>1.6468010000000002E-2</v>
      </c>
      <c r="Q2614">
        <v>0.33265</v>
      </c>
      <c r="R2614">
        <v>-0.94290649999999998</v>
      </c>
      <c r="S2614">
        <v>0.315216099999999</v>
      </c>
      <c r="T2614">
        <v>-0.33008219999999999</v>
      </c>
      <c r="U2614">
        <v>-3.2916560000000001</v>
      </c>
      <c r="V2614">
        <v>-0.1971041</v>
      </c>
      <c r="W2614">
        <v>0.34314210000000001</v>
      </c>
      <c r="X2614">
        <v>0.91837000000000002</v>
      </c>
      <c r="Y2614">
        <v>-0.27960239999999997</v>
      </c>
      <c r="Z2614">
        <v>8.084442E-2</v>
      </c>
      <c r="AA2614">
        <v>0.95670619999999995</v>
      </c>
      <c r="AB2614">
        <v>27</v>
      </c>
      <c r="AC2614">
        <v>1.1077999999999899</v>
      </c>
      <c r="AD2614">
        <v>-1.1159340356209999</v>
      </c>
      <c r="AE2614">
        <v>-10.8789</v>
      </c>
      <c r="AF2614">
        <v>-3.0944199417756399</v>
      </c>
      <c r="AG2614">
        <v>-1.1159340356209999</v>
      </c>
      <c r="AH2614">
        <v>10.3706319577665</v>
      </c>
      <c r="AI2614">
        <v>95.887126966058702</v>
      </c>
      <c r="AJ2614">
        <v>106.614207258568</v>
      </c>
      <c r="AK2614">
        <v>10.8798322942664</v>
      </c>
      <c r="AL2614">
        <v>69.931575998445695</v>
      </c>
      <c r="AM2614">
        <v>102.113278682082</v>
      </c>
      <c r="AN2614">
        <v>0.99999999196460998</v>
      </c>
    </row>
    <row r="2615" spans="1:40" x14ac:dyDescent="0.25">
      <c r="A2615" t="str">
        <f>"20190304164420519"</f>
        <v>20190304164420519</v>
      </c>
      <c r="B2615" t="str">
        <f>"1551689060512887"</f>
        <v>1551689060512887</v>
      </c>
      <c r="C2615" t="s">
        <v>40</v>
      </c>
      <c r="D2615">
        <v>5.2143490000000003</v>
      </c>
      <c r="E2615">
        <v>0.46889209999999898</v>
      </c>
      <c r="F2615" t="s">
        <v>42</v>
      </c>
      <c r="G2615">
        <v>-489.36860000000001</v>
      </c>
      <c r="H2615" s="1">
        <v>-1.8949649999999999E-6</v>
      </c>
      <c r="I2615">
        <v>253.78890000000001</v>
      </c>
      <c r="J2615">
        <v>-490.50330000000002</v>
      </c>
      <c r="K2615">
        <v>1.115785</v>
      </c>
      <c r="L2615">
        <v>264.71879999999999</v>
      </c>
      <c r="M2615">
        <v>-0.18053130000000001</v>
      </c>
      <c r="N2615">
        <v>-1.3971910000000001E-2</v>
      </c>
      <c r="O2615">
        <v>-0.98346999999999996</v>
      </c>
      <c r="P2615">
        <v>2.126047E-2</v>
      </c>
      <c r="Q2615">
        <v>0.33364070000000001</v>
      </c>
      <c r="R2615">
        <v>-0.94246079999999999</v>
      </c>
      <c r="S2615">
        <v>0.32073970000000002</v>
      </c>
      <c r="T2615">
        <v>-0.32798739999999998</v>
      </c>
      <c r="U2615">
        <v>-3.2918090000000002</v>
      </c>
      <c r="V2615">
        <v>-0.19519259999999999</v>
      </c>
      <c r="W2615">
        <v>0.34420119999999998</v>
      </c>
      <c r="X2615">
        <v>0.91838189999999997</v>
      </c>
      <c r="Y2615">
        <v>-0.27452559999999998</v>
      </c>
      <c r="Z2615">
        <v>8.053544E-2</v>
      </c>
      <c r="AA2615">
        <v>0.95820130000000003</v>
      </c>
      <c r="AB2615">
        <v>27</v>
      </c>
      <c r="AC2615">
        <v>1.1347</v>
      </c>
      <c r="AD2615">
        <v>-1.1157868949650001</v>
      </c>
      <c r="AE2615">
        <v>-10.9298999999999</v>
      </c>
      <c r="AF2615">
        <v>-3.05790586696956</v>
      </c>
      <c r="AG2615">
        <v>-1.1157868949650001</v>
      </c>
      <c r="AH2615">
        <v>10.4377916733439</v>
      </c>
      <c r="AI2615">
        <v>95.8573079056018</v>
      </c>
      <c r="AJ2615">
        <v>106.32872872826501</v>
      </c>
      <c r="AK2615">
        <v>10.933584211151899</v>
      </c>
      <c r="AL2615">
        <v>69.866957600913494</v>
      </c>
      <c r="AM2615">
        <v>101.99907484976301</v>
      </c>
      <c r="AN2615">
        <v>0.99999996571190397</v>
      </c>
    </row>
    <row r="2616" spans="1:40" x14ac:dyDescent="0.25">
      <c r="A2616" t="str">
        <f>"20190304164420532"</f>
        <v>20190304164420532</v>
      </c>
      <c r="B2616" t="str">
        <f>"1551689060522648"</f>
        <v>1551689060522648</v>
      </c>
      <c r="C2616" t="s">
        <v>40</v>
      </c>
      <c r="D2616">
        <v>5.1633690000000003</v>
      </c>
      <c r="E2616">
        <v>0.47701909999999997</v>
      </c>
      <c r="F2616" t="s">
        <v>42</v>
      </c>
      <c r="G2616">
        <v>-489.34890000000001</v>
      </c>
      <c r="H2616" s="1">
        <v>-1.742852E-6</v>
      </c>
      <c r="I2616">
        <v>253.42619999999999</v>
      </c>
      <c r="J2616">
        <v>-490.52730000000003</v>
      </c>
      <c r="K2616">
        <v>1.115707</v>
      </c>
      <c r="L2616">
        <v>264.56560000000002</v>
      </c>
      <c r="M2616">
        <v>-0.17671999999999999</v>
      </c>
      <c r="N2616">
        <v>-1.3953699999999999E-2</v>
      </c>
      <c r="O2616">
        <v>-0.98416230000000005</v>
      </c>
      <c r="P2616">
        <v>2.410934E-2</v>
      </c>
      <c r="Q2616">
        <v>0.33412760000000002</v>
      </c>
      <c r="R2616">
        <v>-0.94221940000000004</v>
      </c>
      <c r="S2616">
        <v>0.33639530000000001</v>
      </c>
      <c r="T2616">
        <v>-0.32513769999999997</v>
      </c>
      <c r="U2616">
        <v>-3.2906490000000002</v>
      </c>
      <c r="V2616">
        <v>-0.1943146</v>
      </c>
      <c r="W2616">
        <v>0.3447191</v>
      </c>
      <c r="X2616">
        <v>0.91837389999999997</v>
      </c>
      <c r="Y2616">
        <v>-0.27535510000000002</v>
      </c>
      <c r="Z2616">
        <v>7.9836359999999995E-2</v>
      </c>
      <c r="AA2616">
        <v>0.95802180000000003</v>
      </c>
      <c r="AB2616">
        <v>27</v>
      </c>
      <c r="AC2616">
        <v>1.1784000000000101</v>
      </c>
      <c r="AD2616">
        <v>-1.1157087428520001</v>
      </c>
      <c r="AE2616">
        <v>-11.1394</v>
      </c>
      <c r="AF2616">
        <v>-3.0978629080377802</v>
      </c>
      <c r="AG2616">
        <v>-1.1157087428520001</v>
      </c>
      <c r="AH2616">
        <v>10.6501200244013</v>
      </c>
      <c r="AI2616">
        <v>95.744126284354707</v>
      </c>
      <c r="AJ2616">
        <v>106.218438678711</v>
      </c>
      <c r="AK2616">
        <v>11.147493760035299</v>
      </c>
      <c r="AL2616">
        <v>69.835350905908697</v>
      </c>
      <c r="AM2616">
        <v>101.94675678395301</v>
      </c>
      <c r="AN2616">
        <v>1.0000000209395801</v>
      </c>
    </row>
    <row r="2617" spans="1:40" x14ac:dyDescent="0.25">
      <c r="A2617" t="str">
        <f>"20190304164420546"</f>
        <v>20190304164420546</v>
      </c>
      <c r="B2617" t="str">
        <f>"1551689060542167"</f>
        <v>1551689060542167</v>
      </c>
      <c r="C2617" t="s">
        <v>40</v>
      </c>
      <c r="D2617">
        <v>5.1590720000000001</v>
      </c>
      <c r="E2617">
        <v>0.47531600000000002</v>
      </c>
      <c r="F2617" t="s">
        <v>42</v>
      </c>
      <c r="G2617">
        <v>-489.24860000000001</v>
      </c>
      <c r="H2617" s="1">
        <v>-2.27767E-7</v>
      </c>
      <c r="I2617">
        <v>249.72989999999999</v>
      </c>
      <c r="J2617">
        <v>-490.5489</v>
      </c>
      <c r="K2617">
        <v>1.115642</v>
      </c>
      <c r="L2617">
        <v>264.42349999999999</v>
      </c>
      <c r="M2617">
        <v>-0.1732621</v>
      </c>
      <c r="N2617">
        <v>-1.3937450000000001E-2</v>
      </c>
      <c r="O2617">
        <v>-0.98477720000000002</v>
      </c>
      <c r="P2617">
        <v>2.6435299999999998E-2</v>
      </c>
      <c r="Q2617">
        <v>0.33460129999999999</v>
      </c>
      <c r="R2617">
        <v>-0.94198890000000002</v>
      </c>
      <c r="S2617">
        <v>0.28131099999999998</v>
      </c>
      <c r="T2617">
        <v>-0.24544940000000001</v>
      </c>
      <c r="U2617">
        <v>-3.263763</v>
      </c>
      <c r="V2617">
        <v>-0.1932701</v>
      </c>
      <c r="W2617">
        <v>0.34522209999999998</v>
      </c>
      <c r="X2617">
        <v>0.91840540000000004</v>
      </c>
      <c r="Y2617">
        <v>-0.25689960000000001</v>
      </c>
      <c r="Z2617">
        <v>5.7886809999999997E-2</v>
      </c>
      <c r="AA2617">
        <v>0.96470290000000003</v>
      </c>
      <c r="AB2617">
        <v>27</v>
      </c>
      <c r="AC2617">
        <v>1.30029999999999</v>
      </c>
      <c r="AD2617">
        <v>-1.1156422277669999</v>
      </c>
      <c r="AE2617">
        <v>-14.6936</v>
      </c>
      <c r="AF2617">
        <v>-3.8049563758214</v>
      </c>
      <c r="AG2617">
        <v>-1.1156422277669999</v>
      </c>
      <c r="AH2617">
        <v>14.1649867603585</v>
      </c>
      <c r="AI2617">
        <v>94.349778228694305</v>
      </c>
      <c r="AJ2617">
        <v>105.035693966254</v>
      </c>
      <c r="AK2617">
        <v>14.709493550881101</v>
      </c>
      <c r="AL2617">
        <v>69.804646982581104</v>
      </c>
      <c r="AM2617">
        <v>101.883974148997</v>
      </c>
      <c r="AN2617">
        <v>1.0000000543157801</v>
      </c>
    </row>
    <row r="2618" spans="1:40" x14ac:dyDescent="0.25">
      <c r="A2618" t="str">
        <f>"20190304164420564"</f>
        <v>20190304164420564</v>
      </c>
      <c r="B2618" t="str">
        <f>"1551689060552902"</f>
        <v>1551689060552902</v>
      </c>
      <c r="C2618" t="s">
        <v>40</v>
      </c>
      <c r="D2618">
        <v>5.1511630000000004</v>
      </c>
      <c r="E2618">
        <v>0.47531600000000002</v>
      </c>
      <c r="F2618" t="s">
        <v>42</v>
      </c>
      <c r="G2618">
        <v>-489.58019999999999</v>
      </c>
      <c r="H2618" s="1">
        <v>-1.9320680000000001E-6</v>
      </c>
      <c r="I2618">
        <v>253.96289999999999</v>
      </c>
      <c r="J2618">
        <v>-490.58260000000001</v>
      </c>
      <c r="K2618">
        <v>1.1155330000000001</v>
      </c>
      <c r="L2618">
        <v>264.197</v>
      </c>
      <c r="M2618">
        <v>-0.167846</v>
      </c>
      <c r="N2618">
        <v>-1.3911679999999999E-2</v>
      </c>
      <c r="O2618">
        <v>-0.98571520000000001</v>
      </c>
      <c r="P2618">
        <v>3.0416289999999999E-2</v>
      </c>
      <c r="Q2618">
        <v>0.33595570000000002</v>
      </c>
      <c r="R2618">
        <v>-0.94138690000000003</v>
      </c>
      <c r="S2618">
        <v>0.30569459999999998</v>
      </c>
      <c r="T2618">
        <v>-0.35208400000000001</v>
      </c>
      <c r="U2618">
        <v>-3.3012389999999998</v>
      </c>
      <c r="V2618">
        <v>-0.19193450000000001</v>
      </c>
      <c r="W2618">
        <v>0.34661710000000001</v>
      </c>
      <c r="X2618">
        <v>0.91815999999999998</v>
      </c>
      <c r="Y2618">
        <v>-0.25745119999999999</v>
      </c>
      <c r="Z2618">
        <v>8.7835769999999994E-2</v>
      </c>
      <c r="AA2618">
        <v>0.96229089999999995</v>
      </c>
      <c r="AB2618">
        <v>27</v>
      </c>
      <c r="AC2618">
        <v>1.0024000000000199</v>
      </c>
      <c r="AD2618">
        <v>-1.1155349320679999</v>
      </c>
      <c r="AE2618">
        <v>-10.2341</v>
      </c>
      <c r="AF2618">
        <v>-2.6746189697685101</v>
      </c>
      <c r="AG2618">
        <v>-1.1155349320679999</v>
      </c>
      <c r="AH2618">
        <v>9.8052251841389495</v>
      </c>
      <c r="AI2618">
        <v>96.263672427301699</v>
      </c>
      <c r="AJ2618">
        <v>105.25765669444201</v>
      </c>
      <c r="AK2618">
        <v>10.2245022240587</v>
      </c>
      <c r="AL2618">
        <v>69.719459692169295</v>
      </c>
      <c r="AM2618">
        <v>101.807227759949</v>
      </c>
      <c r="AN2618">
        <v>1.00000002595132</v>
      </c>
    </row>
    <row r="2619" spans="1:40" x14ac:dyDescent="0.25">
      <c r="A2619" t="str">
        <f>"20190304164420586"</f>
        <v>20190304164420586</v>
      </c>
      <c r="B2619" t="str">
        <f>"1551689060582182"</f>
        <v>1551689060582182</v>
      </c>
      <c r="C2619" t="s">
        <v>40</v>
      </c>
      <c r="D2619">
        <v>5.2201320000000004</v>
      </c>
      <c r="E2619">
        <v>0.4838866</v>
      </c>
      <c r="F2619" t="s">
        <v>42</v>
      </c>
      <c r="G2619">
        <v>-489.55889999999999</v>
      </c>
      <c r="H2619" s="1">
        <v>-1.7793299999999901E-6</v>
      </c>
      <c r="I2619">
        <v>253.59800000000001</v>
      </c>
      <c r="J2619">
        <v>-490.61880000000002</v>
      </c>
      <c r="K2619">
        <v>1.1153900000000001</v>
      </c>
      <c r="L2619">
        <v>263.94409999999999</v>
      </c>
      <c r="M2619">
        <v>-0.16198129999999999</v>
      </c>
      <c r="N2619">
        <v>-1.388197E-2</v>
      </c>
      <c r="O2619">
        <v>-0.98669629999999997</v>
      </c>
      <c r="P2619">
        <v>3.4662859999999997E-2</v>
      </c>
      <c r="Q2619">
        <v>0.33759029999999901</v>
      </c>
      <c r="R2619">
        <v>-0.94065480000000001</v>
      </c>
      <c r="S2619">
        <v>0.31878659999999998</v>
      </c>
      <c r="T2619">
        <v>-0.34737630000000003</v>
      </c>
      <c r="U2619">
        <v>-3.3005070000000001</v>
      </c>
      <c r="V2619">
        <v>-0.19040760000000001</v>
      </c>
      <c r="W2619">
        <v>0.34830499999999998</v>
      </c>
      <c r="X2619">
        <v>0.91783910000000002</v>
      </c>
      <c r="Y2619">
        <v>-0.25552390000000003</v>
      </c>
      <c r="Z2619">
        <v>8.6700739999999998E-2</v>
      </c>
      <c r="AA2619">
        <v>0.96290730000000002</v>
      </c>
      <c r="AB2619">
        <v>27</v>
      </c>
      <c r="AC2619">
        <v>1.05990000000002</v>
      </c>
      <c r="AD2619">
        <v>-1.1153917793300001</v>
      </c>
      <c r="AE2619">
        <v>-10.3461</v>
      </c>
      <c r="AF2619">
        <v>-2.69098481012055</v>
      </c>
      <c r="AG2619">
        <v>-1.1153917793300001</v>
      </c>
      <c r="AH2619">
        <v>9.9236009398416201</v>
      </c>
      <c r="AI2619">
        <v>96.191246066540998</v>
      </c>
      <c r="AJ2619">
        <v>105.172048341341</v>
      </c>
      <c r="AK2619">
        <v>10.342308914498799</v>
      </c>
      <c r="AL2619">
        <v>69.616324094449894</v>
      </c>
      <c r="AM2619">
        <v>101.71988684783599</v>
      </c>
      <c r="AN2619">
        <v>1.0000000203257799</v>
      </c>
    </row>
    <row r="2620" spans="1:40" x14ac:dyDescent="0.25">
      <c r="A2620" t="str">
        <f>"20190304164420608"</f>
        <v>20190304164420608</v>
      </c>
      <c r="B2620" t="str">
        <f>"1551689060602679"</f>
        <v>1551689060602679</v>
      </c>
      <c r="C2620" t="s">
        <v>40</v>
      </c>
      <c r="D2620">
        <v>5.1662530000000002</v>
      </c>
      <c r="E2620">
        <v>0.50234160000000005</v>
      </c>
      <c r="F2620" t="s">
        <v>42</v>
      </c>
      <c r="G2620">
        <v>-489.75650000000002</v>
      </c>
      <c r="H2620" s="1">
        <v>-1.578223E-6</v>
      </c>
      <c r="I2620">
        <v>253.21100000000001</v>
      </c>
      <c r="J2620">
        <v>-490.65460000000002</v>
      </c>
      <c r="K2620">
        <v>1.115219</v>
      </c>
      <c r="L2620">
        <v>263.68490000000003</v>
      </c>
      <c r="M2620">
        <v>-0.1561729</v>
      </c>
      <c r="N2620">
        <v>-1.385109E-2</v>
      </c>
      <c r="O2620">
        <v>-0.98763270000000003</v>
      </c>
      <c r="P2620">
        <v>3.8981309999999998E-2</v>
      </c>
      <c r="Q2620">
        <v>0.33903430000000001</v>
      </c>
      <c r="R2620">
        <v>-0.93996630000000003</v>
      </c>
      <c r="S2620">
        <v>0.26531979999999999</v>
      </c>
      <c r="T2620">
        <v>-0.34321550000000001</v>
      </c>
      <c r="U2620">
        <v>-3.302673</v>
      </c>
      <c r="V2620">
        <v>-0.18899959999999999</v>
      </c>
      <c r="W2620">
        <v>0.34981099999999998</v>
      </c>
      <c r="X2620">
        <v>0.91755739999999997</v>
      </c>
      <c r="Y2620">
        <v>-0.2342775</v>
      </c>
      <c r="Z2620">
        <v>8.5988079999999995E-2</v>
      </c>
      <c r="AA2620">
        <v>0.96835950000000004</v>
      </c>
      <c r="AB2620">
        <v>27</v>
      </c>
      <c r="AC2620">
        <v>0.89809999999999901</v>
      </c>
      <c r="AD2620">
        <v>-1.115220578223</v>
      </c>
      <c r="AE2620">
        <v>-10.4739</v>
      </c>
      <c r="AF2620">
        <v>-2.4948954624970998</v>
      </c>
      <c r="AG2620">
        <v>-1.115220578223</v>
      </c>
      <c r="AH2620">
        <v>10.0915111923764</v>
      </c>
      <c r="AI2620">
        <v>96.123318094169505</v>
      </c>
      <c r="AJ2620">
        <v>103.886618557472</v>
      </c>
      <c r="AK2620">
        <v>10.454990122077501</v>
      </c>
      <c r="AL2620">
        <v>69.524246315040998</v>
      </c>
      <c r="AM2620">
        <v>101.63906864959201</v>
      </c>
      <c r="AN2620">
        <v>1.0000000834079501</v>
      </c>
    </row>
    <row r="2621" spans="1:40" x14ac:dyDescent="0.25">
      <c r="A2621" t="str">
        <f>"20190304164420621"</f>
        <v>20190304164420621</v>
      </c>
      <c r="B2621" t="str">
        <f>"1551689060612439"</f>
        <v>1551689060612439</v>
      </c>
      <c r="C2621" t="s">
        <v>40</v>
      </c>
      <c r="D2621">
        <v>5.246346</v>
      </c>
      <c r="E2621">
        <v>0.50234780000000001</v>
      </c>
      <c r="F2621" t="s">
        <v>42</v>
      </c>
      <c r="G2621">
        <v>-490.25009999999997</v>
      </c>
      <c r="H2621" s="1">
        <v>-1.8970499999999999E-6</v>
      </c>
      <c r="I2621">
        <v>253.8561</v>
      </c>
      <c r="J2621">
        <v>-490.67520000000002</v>
      </c>
      <c r="K2621">
        <v>1.1151059999999999</v>
      </c>
      <c r="L2621">
        <v>263.53120000000001</v>
      </c>
      <c r="M2621">
        <v>-0.15284329999999999</v>
      </c>
      <c r="N2621">
        <v>-1.3833059999999999E-2</v>
      </c>
      <c r="O2621">
        <v>-0.98815379999999997</v>
      </c>
      <c r="P2621">
        <v>4.1307490000000002E-2</v>
      </c>
      <c r="Q2621">
        <v>0.33911930000000001</v>
      </c>
      <c r="R2621">
        <v>-0.93983640000000002</v>
      </c>
      <c r="S2621">
        <v>0.136718799999999</v>
      </c>
      <c r="T2621">
        <v>-0.376911</v>
      </c>
      <c r="U2621">
        <v>-3.3218380000000001</v>
      </c>
      <c r="V2621">
        <v>-0.18807119999999999</v>
      </c>
      <c r="W2621">
        <v>0.34994320000000001</v>
      </c>
      <c r="X2621">
        <v>0.91769769999999995</v>
      </c>
      <c r="Y2621">
        <v>-0.1929969</v>
      </c>
      <c r="Z2621">
        <v>9.5850560000000001E-2</v>
      </c>
      <c r="AA2621">
        <v>0.97650650000000006</v>
      </c>
      <c r="AB2621">
        <v>27</v>
      </c>
      <c r="AC2621">
        <v>0.425100000000043</v>
      </c>
      <c r="AD2621">
        <v>-1.1151078970499999</v>
      </c>
      <c r="AE2621">
        <v>-9.6751000000000094</v>
      </c>
      <c r="AF2621">
        <v>-1.8741715697091501</v>
      </c>
      <c r="AG2621">
        <v>-1.1151078970499999</v>
      </c>
      <c r="AH2621">
        <v>9.3721618682504602</v>
      </c>
      <c r="AI2621">
        <v>96.654667635474098</v>
      </c>
      <c r="AJ2621">
        <v>101.308399389897</v>
      </c>
      <c r="AK2621">
        <v>9.6225465849460807</v>
      </c>
      <c r="AL2621">
        <v>69.516159929271296</v>
      </c>
      <c r="AM2621">
        <v>101.581721230989</v>
      </c>
      <c r="AN2621">
        <v>1.0000000440404799</v>
      </c>
    </row>
    <row r="2622" spans="1:40" x14ac:dyDescent="0.25">
      <c r="A2622" t="str">
        <f>"20190304164420634"</f>
        <v>20190304164420634</v>
      </c>
      <c r="B2622" t="str">
        <f>"1551689060622199"</f>
        <v>1551689060622199</v>
      </c>
      <c r="C2622" t="s">
        <v>40</v>
      </c>
      <c r="D2622">
        <v>5.2494199999999998</v>
      </c>
      <c r="E2622">
        <v>0.50253519999999996</v>
      </c>
      <c r="F2622" t="s">
        <v>42</v>
      </c>
      <c r="G2622">
        <v>-490.24209999999999</v>
      </c>
      <c r="H2622" s="1">
        <v>-1.8426289999999999E-6</v>
      </c>
      <c r="I2622">
        <v>253.73419999999999</v>
      </c>
      <c r="J2622">
        <v>-490.69499999999999</v>
      </c>
      <c r="K2622">
        <v>1.114987</v>
      </c>
      <c r="L2622">
        <v>263.38099999999997</v>
      </c>
      <c r="M2622">
        <v>-0.1496458</v>
      </c>
      <c r="N2622">
        <v>-1.3815930000000001E-2</v>
      </c>
      <c r="O2622">
        <v>-0.9886431</v>
      </c>
      <c r="P2622">
        <v>4.3811709999999997E-2</v>
      </c>
      <c r="Q2622">
        <v>0.33892489999999997</v>
      </c>
      <c r="R2622">
        <v>-0.93979259999999998</v>
      </c>
      <c r="S2622">
        <v>0.1468506</v>
      </c>
      <c r="T2622">
        <v>-0.37811850000000002</v>
      </c>
      <c r="U2622">
        <v>-3.3220519999999998</v>
      </c>
      <c r="V2622">
        <v>-0.1874535</v>
      </c>
      <c r="W2622">
        <v>0.34979440000000001</v>
      </c>
      <c r="X2622">
        <v>0.91788080000000005</v>
      </c>
      <c r="Y2622">
        <v>-0.1927915</v>
      </c>
      <c r="Z2622">
        <v>9.6283729999999998E-2</v>
      </c>
      <c r="AA2622">
        <v>0.97650440000000005</v>
      </c>
      <c r="AB2622">
        <v>27</v>
      </c>
      <c r="AC2622">
        <v>0.45289999999999903</v>
      </c>
      <c r="AD2622">
        <v>-1.114988842629</v>
      </c>
      <c r="AE2622">
        <v>-9.6467999999999794</v>
      </c>
      <c r="AF2622">
        <v>-1.8666582955306401</v>
      </c>
      <c r="AG2622">
        <v>-1.114988842629</v>
      </c>
      <c r="AH2622">
        <v>9.3457958656790794</v>
      </c>
      <c r="AI2622">
        <v>96.672871083870305</v>
      </c>
      <c r="AJ2622">
        <v>101.295189409035</v>
      </c>
      <c r="AK2622">
        <v>9.5953902304390297</v>
      </c>
      <c r="AL2622">
        <v>69.525260849611499</v>
      </c>
      <c r="AM2622">
        <v>101.542464005507</v>
      </c>
      <c r="AN2622">
        <v>1.0000000499711199</v>
      </c>
    </row>
    <row r="2623" spans="1:40" x14ac:dyDescent="0.25">
      <c r="A2623" t="str">
        <f>"20190304164420652"</f>
        <v>20190304164420652</v>
      </c>
      <c r="B2623" t="str">
        <f>"1551689060642695"</f>
        <v>1551689060642695</v>
      </c>
      <c r="C2623" t="s">
        <v>40</v>
      </c>
      <c r="D2623">
        <v>5.2417819999999997</v>
      </c>
      <c r="E2623">
        <v>0.50306289999999998</v>
      </c>
      <c r="F2623" t="s">
        <v>42</v>
      </c>
      <c r="G2623">
        <v>-490.2389</v>
      </c>
      <c r="H2623" s="1">
        <v>-1.7844550000000001E-6</v>
      </c>
      <c r="I2623">
        <v>253.60050000000001</v>
      </c>
      <c r="J2623">
        <v>-490.72230000000002</v>
      </c>
      <c r="K2623">
        <v>1.1147990000000001</v>
      </c>
      <c r="L2623">
        <v>263.1678</v>
      </c>
      <c r="M2623">
        <v>-0.14532590000000001</v>
      </c>
      <c r="N2623">
        <v>-1.3790999999999999E-2</v>
      </c>
      <c r="O2623">
        <v>-0.9892879</v>
      </c>
      <c r="P2623">
        <v>4.7958140000000003E-2</v>
      </c>
      <c r="Q2623">
        <v>0.33800619999999998</v>
      </c>
      <c r="R2623">
        <v>-0.93992129999999996</v>
      </c>
      <c r="S2623">
        <v>0.15490719999999999</v>
      </c>
      <c r="T2623">
        <v>-0.37865890000000002</v>
      </c>
      <c r="U2623">
        <v>-3.3215029999999999</v>
      </c>
      <c r="V2623">
        <v>-0.1873766</v>
      </c>
      <c r="W2623">
        <v>0.34894059999999999</v>
      </c>
      <c r="X2623">
        <v>0.91822139999999997</v>
      </c>
      <c r="Y2623">
        <v>-0.19087689999999999</v>
      </c>
      <c r="Z2623">
        <v>9.6605460000000004E-2</v>
      </c>
      <c r="AA2623">
        <v>0.97684870000000001</v>
      </c>
      <c r="AB2623">
        <v>27</v>
      </c>
      <c r="AC2623">
        <v>0.48340000000001698</v>
      </c>
      <c r="AD2623">
        <v>-1.1148007844550001</v>
      </c>
      <c r="AE2623">
        <v>-9.5672999999999799</v>
      </c>
      <c r="AF2623">
        <v>-1.84380535449801</v>
      </c>
      <c r="AG2623">
        <v>-1.1148007844550001</v>
      </c>
      <c r="AH2623">
        <v>9.2699148176387407</v>
      </c>
      <c r="AI2623">
        <v>96.726931497698999</v>
      </c>
      <c r="AJ2623">
        <v>101.24943310326</v>
      </c>
      <c r="AK2623">
        <v>9.5170226279323007</v>
      </c>
      <c r="AL2623">
        <v>69.577469599974293</v>
      </c>
      <c r="AM2623">
        <v>101.533690798346</v>
      </c>
      <c r="AN2623">
        <v>1.0000000359869301</v>
      </c>
    </row>
    <row r="2624" spans="1:40" x14ac:dyDescent="0.25">
      <c r="A2624" t="str">
        <f>"20190304164420666"</f>
        <v>20190304164420666</v>
      </c>
      <c r="B2624" t="str">
        <f>"1551689060662215"</f>
        <v>1551689060662215</v>
      </c>
      <c r="C2624" t="s">
        <v>40</v>
      </c>
      <c r="D2624">
        <v>5.2481559999999998</v>
      </c>
      <c r="E2624">
        <v>0.50346389999999996</v>
      </c>
      <c r="F2624" t="s">
        <v>42</v>
      </c>
      <c r="G2624">
        <v>-490.2527</v>
      </c>
      <c r="H2624" s="1">
        <v>-1.7858549999999999E-6</v>
      </c>
      <c r="I2624">
        <v>253.59520000000001</v>
      </c>
      <c r="J2624">
        <v>-490.73970000000003</v>
      </c>
      <c r="K2624">
        <v>1.1146769999999999</v>
      </c>
      <c r="L2624">
        <v>263.02839999999998</v>
      </c>
      <c r="M2624">
        <v>-0.1426316</v>
      </c>
      <c r="N2624">
        <v>-1.377448E-2</v>
      </c>
      <c r="O2624">
        <v>-0.98967989999999995</v>
      </c>
      <c r="P2624">
        <v>5.1012809999999999E-2</v>
      </c>
      <c r="Q2624">
        <v>0.33783980000000002</v>
      </c>
      <c r="R2624">
        <v>-0.93982019999999999</v>
      </c>
      <c r="S2624">
        <v>0.16299439999999901</v>
      </c>
      <c r="T2624">
        <v>-0.38694129999999999</v>
      </c>
      <c r="U2624">
        <v>-3.3226010000000001</v>
      </c>
      <c r="V2624">
        <v>-0.18776509999999999</v>
      </c>
      <c r="W2624">
        <v>0.34881010000000001</v>
      </c>
      <c r="X2624">
        <v>0.9181916</v>
      </c>
      <c r="Y2624">
        <v>-0.19054679999999999</v>
      </c>
      <c r="Z2624">
        <v>9.9034590000000006E-2</v>
      </c>
      <c r="AA2624">
        <v>0.97666989999999998</v>
      </c>
      <c r="AB2624">
        <v>27</v>
      </c>
      <c r="AC2624">
        <v>0.48700000000002303</v>
      </c>
      <c r="AD2624">
        <v>-1.114678785855</v>
      </c>
      <c r="AE2624">
        <v>-9.4331999999999692</v>
      </c>
      <c r="AF2624">
        <v>-1.80251826828592</v>
      </c>
      <c r="AG2624">
        <v>-1.114678785855</v>
      </c>
      <c r="AH2624">
        <v>9.1399837859758808</v>
      </c>
      <c r="AI2624">
        <v>96.823101051743393</v>
      </c>
      <c r="AJ2624">
        <v>101.15627652821</v>
      </c>
      <c r="AK2624">
        <v>9.3824775252084507</v>
      </c>
      <c r="AL2624">
        <v>69.585447571827501</v>
      </c>
      <c r="AM2624">
        <v>101.55732660275299</v>
      </c>
      <c r="AN2624">
        <v>1.00000001647528</v>
      </c>
    </row>
    <row r="2625" spans="1:40" x14ac:dyDescent="0.25">
      <c r="A2625" t="str">
        <f>"20190304164420685"</f>
        <v>20190304164420685</v>
      </c>
      <c r="B2625" t="str">
        <f>"1551689060671975"</f>
        <v>1551689060671975</v>
      </c>
      <c r="C2625" t="s">
        <v>40</v>
      </c>
      <c r="D2625">
        <v>5.2393489999999998</v>
      </c>
      <c r="E2625">
        <v>0.50356299999999998</v>
      </c>
      <c r="F2625" t="s">
        <v>42</v>
      </c>
      <c r="G2625">
        <v>-490.25740000000002</v>
      </c>
      <c r="H2625" s="1">
        <v>-1.7678710000000001E-6</v>
      </c>
      <c r="I2625">
        <v>253.5504</v>
      </c>
      <c r="J2625">
        <v>-490.77019999999999</v>
      </c>
      <c r="K2625">
        <v>1.1144499999999999</v>
      </c>
      <c r="L2625">
        <v>262.77999999999997</v>
      </c>
      <c r="M2625">
        <v>-0.13803389999999999</v>
      </c>
      <c r="N2625">
        <v>-1.3745479999999999E-2</v>
      </c>
      <c r="O2625">
        <v>-0.99033210000000005</v>
      </c>
      <c r="P2625">
        <v>5.5218030000000001E-2</v>
      </c>
      <c r="Q2625">
        <v>0.3373602</v>
      </c>
      <c r="R2625">
        <v>-0.93975489999999995</v>
      </c>
      <c r="S2625">
        <v>0.16912839999999901</v>
      </c>
      <c r="T2625">
        <v>-0.39086120000000002</v>
      </c>
      <c r="U2625">
        <v>-3.3234560000000002</v>
      </c>
      <c r="V2625">
        <v>-0.18743070000000001</v>
      </c>
      <c r="W2625">
        <v>0.34841409999999901</v>
      </c>
      <c r="X2625">
        <v>0.91841019999999896</v>
      </c>
      <c r="Y2625">
        <v>-0.18776860000000001</v>
      </c>
      <c r="Z2625">
        <v>0.1003033</v>
      </c>
      <c r="AA2625">
        <v>0.97707840000000001</v>
      </c>
      <c r="AB2625">
        <v>27</v>
      </c>
      <c r="AC2625">
        <v>0.51279999999996995</v>
      </c>
      <c r="AD2625">
        <v>-1.114451767871</v>
      </c>
      <c r="AE2625">
        <v>-9.2295999999999694</v>
      </c>
      <c r="AF2625">
        <v>-1.75647777776925</v>
      </c>
      <c r="AG2625">
        <v>-1.114451767871</v>
      </c>
      <c r="AH2625">
        <v>8.9404914524137595</v>
      </c>
      <c r="AI2625">
        <v>96.973438042220195</v>
      </c>
      <c r="AJ2625">
        <v>101.114952226488</v>
      </c>
      <c r="AK2625">
        <v>9.1793030420283905</v>
      </c>
      <c r="AL2625">
        <v>69.609654416676506</v>
      </c>
      <c r="AM2625">
        <v>101.53462346487299</v>
      </c>
      <c r="AN2625">
        <v>0.99999997392266904</v>
      </c>
    </row>
    <row r="2626" spans="1:40" x14ac:dyDescent="0.25">
      <c r="A2626" t="str">
        <f>"20190304164420700"</f>
        <v>20190304164420700</v>
      </c>
      <c r="B2626" t="str">
        <f>"1551689060692471"</f>
        <v>1551689060692471</v>
      </c>
      <c r="C2626" t="s">
        <v>40</v>
      </c>
      <c r="D2626">
        <v>5.266648</v>
      </c>
      <c r="E2626">
        <v>0.50390210000000002</v>
      </c>
      <c r="F2626" t="s">
        <v>42</v>
      </c>
      <c r="G2626">
        <v>-490.2561</v>
      </c>
      <c r="H2626" s="1">
        <v>-1.6954229999999999E-6</v>
      </c>
      <c r="I2626">
        <v>253.38239999999999</v>
      </c>
      <c r="J2626">
        <v>-490.7894</v>
      </c>
      <c r="K2626">
        <v>1.1142920000000001</v>
      </c>
      <c r="L2626">
        <v>262.6191</v>
      </c>
      <c r="M2626">
        <v>-0.1352294</v>
      </c>
      <c r="N2626">
        <v>-1.3726820000000001E-2</v>
      </c>
      <c r="O2626">
        <v>-0.99071929999999997</v>
      </c>
      <c r="P2626">
        <v>5.7333740000000001E-2</v>
      </c>
      <c r="Q2626">
        <v>0.33684999999999998</v>
      </c>
      <c r="R2626">
        <v>-0.93981119999999996</v>
      </c>
      <c r="S2626">
        <v>0.18179319999999999</v>
      </c>
      <c r="T2626">
        <v>-0.39408470000000001</v>
      </c>
      <c r="U2626">
        <v>-3.3231199999999999</v>
      </c>
      <c r="V2626">
        <v>-0.18678139999999999</v>
      </c>
      <c r="W2626">
        <v>0.34796759999999999</v>
      </c>
      <c r="X2626">
        <v>0.91871179999999997</v>
      </c>
      <c r="Y2626">
        <v>-0.1886987</v>
      </c>
      <c r="Z2626">
        <v>0.1013058</v>
      </c>
      <c r="AA2626">
        <v>0.97679570000000004</v>
      </c>
      <c r="AB2626">
        <v>26</v>
      </c>
      <c r="AC2626">
        <v>0.533299999999997</v>
      </c>
      <c r="AD2626">
        <v>-1.1142936954230001</v>
      </c>
      <c r="AE2626">
        <v>-9.2367000000000097</v>
      </c>
      <c r="AF2626">
        <v>-1.75217588716905</v>
      </c>
      <c r="AG2626">
        <v>-1.1142936954230001</v>
      </c>
      <c r="AH2626">
        <v>8.9498949135819803</v>
      </c>
      <c r="AI2626">
        <v>96.966099843724805</v>
      </c>
      <c r="AJ2626">
        <v>101.07704333161399</v>
      </c>
      <c r="AK2626">
        <v>9.1876215498570009</v>
      </c>
      <c r="AL2626">
        <v>69.636946471149898</v>
      </c>
      <c r="AM2626">
        <v>101.492057139579</v>
      </c>
      <c r="AN2626">
        <v>1.0000000567474701</v>
      </c>
    </row>
    <row r="2627" spans="1:40" x14ac:dyDescent="0.25">
      <c r="A2627" t="str">
        <f>"20190304164420720"</f>
        <v>20190304164420720</v>
      </c>
      <c r="B2627" t="str">
        <f>"1551689060711990"</f>
        <v>1551689060711990</v>
      </c>
      <c r="C2627" t="s">
        <v>40</v>
      </c>
      <c r="D2627">
        <v>5.2665259999999998</v>
      </c>
      <c r="E2627">
        <v>0.50429629999999903</v>
      </c>
      <c r="F2627" t="s">
        <v>42</v>
      </c>
      <c r="G2627">
        <v>-490.25880000000001</v>
      </c>
      <c r="H2627" s="1">
        <v>-1.642901E-6</v>
      </c>
      <c r="I2627">
        <v>253.25819999999999</v>
      </c>
      <c r="J2627">
        <v>-490.81849999999997</v>
      </c>
      <c r="K2627">
        <v>1.114034</v>
      </c>
      <c r="L2627">
        <v>262.37110000000001</v>
      </c>
      <c r="M2627">
        <v>-0.131186</v>
      </c>
      <c r="N2627">
        <v>-1.369833E-2</v>
      </c>
      <c r="O2627">
        <v>-0.99126329999999996</v>
      </c>
      <c r="P2627">
        <v>6.0698729999999999E-2</v>
      </c>
      <c r="Q2627">
        <v>0.33585379999999998</v>
      </c>
      <c r="R2627">
        <v>-0.93995649999999997</v>
      </c>
      <c r="S2627">
        <v>0.18832399999999999</v>
      </c>
      <c r="T2627">
        <v>-0.3954877</v>
      </c>
      <c r="U2627">
        <v>-3.3223880000000001</v>
      </c>
      <c r="V2627">
        <v>-0.18614839999999999</v>
      </c>
      <c r="W2627">
        <v>0.34706749999999997</v>
      </c>
      <c r="X2627">
        <v>0.91918060000000001</v>
      </c>
      <c r="Y2627">
        <v>-0.18661649999999999</v>
      </c>
      <c r="Z2627">
        <v>0.10187690000000001</v>
      </c>
      <c r="AA2627">
        <v>0.97713629999999996</v>
      </c>
      <c r="AB2627">
        <v>26</v>
      </c>
      <c r="AC2627">
        <v>0.559699999999963</v>
      </c>
      <c r="AD2627">
        <v>-1.1140356429010001</v>
      </c>
      <c r="AE2627">
        <v>-9.1129000000000193</v>
      </c>
      <c r="AF2627">
        <v>-1.7247795969290201</v>
      </c>
      <c r="AG2627">
        <v>-1.1140356429010001</v>
      </c>
      <c r="AH2627">
        <v>8.8292438986973796</v>
      </c>
      <c r="AI2627">
        <v>97.059281078237902</v>
      </c>
      <c r="AJ2627">
        <v>101.053444151184</v>
      </c>
      <c r="AK2627">
        <v>9.0648490276629197</v>
      </c>
      <c r="AL2627">
        <v>69.691945698949695</v>
      </c>
      <c r="AM2627">
        <v>101.44845422529799</v>
      </c>
      <c r="AN2627">
        <v>1.0000000258975801</v>
      </c>
    </row>
    <row r="2628" spans="1:40" x14ac:dyDescent="0.25">
      <c r="A2628" t="str">
        <f>"20190304164420744"</f>
        <v>20190304164420744</v>
      </c>
      <c r="B2628" t="str">
        <f>"1551689060732487"</f>
        <v>1551689060732487</v>
      </c>
      <c r="C2628" t="s">
        <v>40</v>
      </c>
      <c r="D2628">
        <v>5.2741089999999904</v>
      </c>
      <c r="E2628">
        <v>0.50468990000000002</v>
      </c>
      <c r="F2628" t="s">
        <v>42</v>
      </c>
      <c r="G2628">
        <v>-490.26490000000001</v>
      </c>
      <c r="H2628" s="1">
        <v>-1.574205E-6</v>
      </c>
      <c r="I2628">
        <v>253.0943</v>
      </c>
      <c r="J2628">
        <v>-490.84989999999999</v>
      </c>
      <c r="K2628">
        <v>1.113756</v>
      </c>
      <c r="L2628">
        <v>262.09649999999999</v>
      </c>
      <c r="M2628">
        <v>-0.1270857</v>
      </c>
      <c r="N2628">
        <v>-1.3668090000000001E-2</v>
      </c>
      <c r="O2628">
        <v>-0.99179759999999995</v>
      </c>
      <c r="P2628">
        <v>6.5786979999999995E-2</v>
      </c>
      <c r="Q2628">
        <v>0.33450079999999999</v>
      </c>
      <c r="R2628">
        <v>-0.94009670000000001</v>
      </c>
      <c r="S2628">
        <v>0.19821169999999999</v>
      </c>
      <c r="T2628">
        <v>-0.39885710000000002</v>
      </c>
      <c r="U2628">
        <v>-3.3213499999999998</v>
      </c>
      <c r="V2628">
        <v>-0.18714980000000001</v>
      </c>
      <c r="W2628">
        <v>0.34580569999999999</v>
      </c>
      <c r="X2628">
        <v>0.91945279999999996</v>
      </c>
      <c r="Y2628">
        <v>-0.18546389999999999</v>
      </c>
      <c r="Z2628">
        <v>0.1030124</v>
      </c>
      <c r="AA2628">
        <v>0.97723669999999996</v>
      </c>
      <c r="AB2628">
        <v>26</v>
      </c>
      <c r="AC2628">
        <v>0.58499999999997898</v>
      </c>
      <c r="AD2628">
        <v>-1.1137575742050001</v>
      </c>
      <c r="AE2628">
        <v>-9.0021999999999807</v>
      </c>
      <c r="AF2628">
        <v>-1.69852389274487</v>
      </c>
      <c r="AG2628">
        <v>-1.1137575742050001</v>
      </c>
      <c r="AH2628">
        <v>8.7218992190013793</v>
      </c>
      <c r="AI2628">
        <v>97.144310534275604</v>
      </c>
      <c r="AJ2628">
        <v>101.01999152816499</v>
      </c>
      <c r="AK2628">
        <v>8.9552758380041695</v>
      </c>
      <c r="AL2628">
        <v>69.769014414959798</v>
      </c>
      <c r="AM2628">
        <v>101.50508697159501</v>
      </c>
      <c r="AN2628">
        <v>1.0000000406101801</v>
      </c>
    </row>
    <row r="2629" spans="1:40" x14ac:dyDescent="0.25">
      <c r="A2629" t="str">
        <f>"20190304164420759"</f>
        <v>20190304164420759</v>
      </c>
      <c r="B2629" t="str">
        <f>"1551689060752007"</f>
        <v>1551689060752007</v>
      </c>
      <c r="C2629" t="s">
        <v>40</v>
      </c>
      <c r="D2629">
        <v>5.2643769999999996</v>
      </c>
      <c r="E2629">
        <v>0.50507020000000002</v>
      </c>
      <c r="F2629" t="s">
        <v>42</v>
      </c>
      <c r="G2629">
        <v>-490.27100000000002</v>
      </c>
      <c r="H2629" s="1">
        <v>-1.523058E-6</v>
      </c>
      <c r="I2629">
        <v>252.97130000000001</v>
      </c>
      <c r="J2629">
        <v>-490.8691</v>
      </c>
      <c r="K2629">
        <v>1.113588</v>
      </c>
      <c r="L2629">
        <v>261.92590000000001</v>
      </c>
      <c r="M2629">
        <v>-0.1247185</v>
      </c>
      <c r="N2629">
        <v>-1.365012E-2</v>
      </c>
      <c r="O2629">
        <v>-0.99209829999999999</v>
      </c>
      <c r="P2629">
        <v>6.9261039999999996E-2</v>
      </c>
      <c r="Q2629">
        <v>0.33403919999999998</v>
      </c>
      <c r="R2629">
        <v>-0.94001109999999999</v>
      </c>
      <c r="S2629">
        <v>0.21066280000000001</v>
      </c>
      <c r="T2629">
        <v>-0.4052944</v>
      </c>
      <c r="U2629">
        <v>-3.3206479999999998</v>
      </c>
      <c r="V2629">
        <v>-0.18823899999999999</v>
      </c>
      <c r="W2629">
        <v>0.34539360000000002</v>
      </c>
      <c r="X2629">
        <v>0.91938529999999996</v>
      </c>
      <c r="Y2629">
        <v>-0.18676509999999999</v>
      </c>
      <c r="Z2629">
        <v>0.104937</v>
      </c>
      <c r="AA2629">
        <v>0.97678410000000004</v>
      </c>
      <c r="AB2629">
        <v>26</v>
      </c>
      <c r="AC2629">
        <v>0.59810000000004404</v>
      </c>
      <c r="AD2629">
        <v>-1.113589523058</v>
      </c>
      <c r="AE2629">
        <v>-8.9545999999999992</v>
      </c>
      <c r="AF2629">
        <v>-1.68440348386212</v>
      </c>
      <c r="AG2629">
        <v>-1.113589523058</v>
      </c>
      <c r="AH2629">
        <v>8.6764815378934497</v>
      </c>
      <c r="AI2629">
        <v>97.181055742000396</v>
      </c>
      <c r="AJ2629">
        <v>100.98642245158101</v>
      </c>
      <c r="AK2629">
        <v>8.9083460080823809</v>
      </c>
      <c r="AL2629">
        <v>69.794175474078898</v>
      </c>
      <c r="AM2629">
        <v>101.57107184522</v>
      </c>
      <c r="AN2629">
        <v>0.99999999494902403</v>
      </c>
    </row>
    <row r="2630" spans="1:40" x14ac:dyDescent="0.25">
      <c r="A2630" t="str">
        <f>"20190304164420777"</f>
        <v>20190304164420777</v>
      </c>
      <c r="B2630" t="str">
        <f>"1551689060772503"</f>
        <v>1551689060772503</v>
      </c>
      <c r="C2630" t="s">
        <v>40</v>
      </c>
      <c r="D2630">
        <v>5.2425839999999999</v>
      </c>
      <c r="E2630">
        <v>0.50507020000000002</v>
      </c>
      <c r="F2630" t="s">
        <v>42</v>
      </c>
      <c r="G2630">
        <v>-490.27280000000002</v>
      </c>
      <c r="H2630" s="1">
        <v>-1.4851350000000001E-6</v>
      </c>
      <c r="I2630">
        <v>252.8818</v>
      </c>
      <c r="J2630">
        <v>-490.89170000000001</v>
      </c>
      <c r="K2630">
        <v>1.1133980000000001</v>
      </c>
      <c r="L2630">
        <v>261.72190000000001</v>
      </c>
      <c r="M2630">
        <v>-0.1220755</v>
      </c>
      <c r="N2630">
        <v>-1.362943E-2</v>
      </c>
      <c r="O2630">
        <v>-0.99242759999999997</v>
      </c>
      <c r="P2630">
        <v>7.3363830000000005E-2</v>
      </c>
      <c r="Q2630">
        <v>0.33312059999999999</v>
      </c>
      <c r="R2630">
        <v>-0.94002620000000003</v>
      </c>
      <c r="S2630">
        <v>0.21896360000000001</v>
      </c>
      <c r="T2630">
        <v>-0.40886060000000002</v>
      </c>
      <c r="U2630">
        <v>-3.3205870000000002</v>
      </c>
      <c r="V2630">
        <v>-0.18968579999999999</v>
      </c>
      <c r="W2630">
        <v>0.34453250000000002</v>
      </c>
      <c r="X2630">
        <v>0.91941110000000004</v>
      </c>
      <c r="Y2630">
        <v>-0.18657270000000001</v>
      </c>
      <c r="Z2630">
        <v>0.106041</v>
      </c>
      <c r="AA2630">
        <v>0.97670159999999995</v>
      </c>
      <c r="AB2630">
        <v>26</v>
      </c>
      <c r="AC2630">
        <v>0.61889999999999601</v>
      </c>
      <c r="AD2630">
        <v>-1.113399485135</v>
      </c>
      <c r="AE2630">
        <v>-8.8400999999999996</v>
      </c>
      <c r="AF2630">
        <v>-1.6672116304629601</v>
      </c>
      <c r="AG2630">
        <v>-1.113399485135</v>
      </c>
      <c r="AH2630">
        <v>8.5632347123910009</v>
      </c>
      <c r="AI2630">
        <v>97.273029930459003</v>
      </c>
      <c r="AJ2630">
        <v>101.017325585374</v>
      </c>
      <c r="AK2630">
        <v>8.7947849191295209</v>
      </c>
      <c r="AL2630">
        <v>69.846740782565803</v>
      </c>
      <c r="AM2630">
        <v>101.65726330515101</v>
      </c>
      <c r="AN2630">
        <v>1.00000005854054</v>
      </c>
    </row>
    <row r="2631" spans="1:40" x14ac:dyDescent="0.25">
      <c r="A2631" t="str">
        <f>"20190304164420799"</f>
        <v>20190304164420799</v>
      </c>
      <c r="B2631" t="str">
        <f>"1551689060792023"</f>
        <v>1551689060792023</v>
      </c>
      <c r="C2631" t="s">
        <v>40</v>
      </c>
      <c r="D2631">
        <v>5.2348489999999996</v>
      </c>
      <c r="E2631">
        <v>0.51056899999999905</v>
      </c>
      <c r="F2631" t="s">
        <v>42</v>
      </c>
      <c r="G2631">
        <v>-490.26</v>
      </c>
      <c r="H2631" s="1">
        <v>-1.4264570000000001E-6</v>
      </c>
      <c r="I2631">
        <v>252.75290000000001</v>
      </c>
      <c r="J2631">
        <v>-490.92079999999999</v>
      </c>
      <c r="K2631">
        <v>1.1131580000000001</v>
      </c>
      <c r="L2631">
        <v>261.45409999999998</v>
      </c>
      <c r="M2631">
        <v>-0.1189351</v>
      </c>
      <c r="N2631">
        <v>-1.360333E-2</v>
      </c>
      <c r="O2631">
        <v>-0.9928091</v>
      </c>
      <c r="P2631">
        <v>7.7792769999999997E-2</v>
      </c>
      <c r="Q2631">
        <v>0.33206599999999997</v>
      </c>
      <c r="R2631">
        <v>-0.94004310000000002</v>
      </c>
      <c r="S2631">
        <v>0.23376459999999999</v>
      </c>
      <c r="T2631">
        <v>-0.41204459999999998</v>
      </c>
      <c r="U2631">
        <v>-3.3192140000000001</v>
      </c>
      <c r="V2631">
        <v>-0.19095290000000001</v>
      </c>
      <c r="W2631">
        <v>0.34355819999999998</v>
      </c>
      <c r="X2631">
        <v>0.91951329999999998</v>
      </c>
      <c r="Y2631">
        <v>-0.1878166</v>
      </c>
      <c r="Z2631">
        <v>0.1070707</v>
      </c>
      <c r="AA2631">
        <v>0.97635070000000002</v>
      </c>
      <c r="AB2631">
        <v>26</v>
      </c>
      <c r="AC2631">
        <v>0.66079999999999395</v>
      </c>
      <c r="AD2631">
        <v>-1.1131594264569999</v>
      </c>
      <c r="AE2631">
        <v>-8.7011999999999698</v>
      </c>
      <c r="AF2631">
        <v>-1.66400458207977</v>
      </c>
      <c r="AG2631">
        <v>-1.1131594264569999</v>
      </c>
      <c r="AH2631">
        <v>8.4237512006298196</v>
      </c>
      <c r="AI2631">
        <v>97.386638610609893</v>
      </c>
      <c r="AJ2631">
        <v>101.17418995693301</v>
      </c>
      <c r="AK2631">
        <v>8.6583843439757899</v>
      </c>
      <c r="AL2631">
        <v>69.906191774936005</v>
      </c>
      <c r="AM2631">
        <v>101.73171389113899</v>
      </c>
      <c r="AN2631">
        <v>0.99999997784126904</v>
      </c>
    </row>
    <row r="2632" spans="1:40" x14ac:dyDescent="0.25">
      <c r="A2632" t="str">
        <f>"20190304164420822"</f>
        <v>20190304164420822</v>
      </c>
      <c r="B2632" t="str">
        <f>"1551689060812519"</f>
        <v>1551689060812519</v>
      </c>
      <c r="C2632" t="s">
        <v>40</v>
      </c>
      <c r="D2632">
        <v>5.247973</v>
      </c>
      <c r="E2632">
        <v>0.51158789999999998</v>
      </c>
      <c r="F2632" t="s">
        <v>42</v>
      </c>
      <c r="G2632">
        <v>-490.37450000000001</v>
      </c>
      <c r="H2632" s="1">
        <v>-1.426922E-6</v>
      </c>
      <c r="I2632">
        <v>252.68299999999999</v>
      </c>
      <c r="J2632">
        <v>-490.94880000000001</v>
      </c>
      <c r="K2632">
        <v>1.11294</v>
      </c>
      <c r="L2632">
        <v>261.19150000000002</v>
      </c>
      <c r="M2632">
        <v>-0.1161402</v>
      </c>
      <c r="N2632">
        <v>-1.357939E-2</v>
      </c>
      <c r="O2632">
        <v>-0.99314020000000003</v>
      </c>
      <c r="P2632">
        <v>8.2029069999999996E-2</v>
      </c>
      <c r="Q2632">
        <v>0.33131959999999999</v>
      </c>
      <c r="R2632">
        <v>-0.93994630000000001</v>
      </c>
      <c r="S2632">
        <v>0.20697019999999999</v>
      </c>
      <c r="T2632">
        <v>-0.42175669999999998</v>
      </c>
      <c r="U2632">
        <v>-3.3232119999999998</v>
      </c>
      <c r="V2632">
        <v>-0.19236210000000001</v>
      </c>
      <c r="W2632">
        <v>0.34288190000000002</v>
      </c>
      <c r="X2632">
        <v>0.91947199999999996</v>
      </c>
      <c r="Y2632">
        <v>-0.1771095</v>
      </c>
      <c r="Z2632">
        <v>0.1099801</v>
      </c>
      <c r="AA2632">
        <v>0.97802690000000003</v>
      </c>
      <c r="AB2632">
        <v>26</v>
      </c>
      <c r="AC2632">
        <v>0.57429999999999304</v>
      </c>
      <c r="AD2632">
        <v>-1.1129414269219999</v>
      </c>
      <c r="AE2632">
        <v>-8.5085000000000193</v>
      </c>
      <c r="AF2632">
        <v>-1.5325798794146199</v>
      </c>
      <c r="AG2632">
        <v>-1.1129414269219999</v>
      </c>
      <c r="AH2632">
        <v>8.2437974537644898</v>
      </c>
      <c r="AI2632">
        <v>97.560637523496197</v>
      </c>
      <c r="AJ2632">
        <v>100.531459049391</v>
      </c>
      <c r="AK2632">
        <v>8.4585835791366204</v>
      </c>
      <c r="AL2632">
        <v>69.947446727519903</v>
      </c>
      <c r="AM2632">
        <v>101.81638235402001</v>
      </c>
      <c r="AN2632">
        <v>0.99999996682400905</v>
      </c>
    </row>
    <row r="2633" spans="1:40" x14ac:dyDescent="0.25">
      <c r="A2633" t="str">
        <f>"20190304164420842"</f>
        <v>20190304164420842</v>
      </c>
      <c r="B2633" t="str">
        <f>"1551689060832039"</f>
        <v>1551689060832039</v>
      </c>
      <c r="C2633" t="s">
        <v>40</v>
      </c>
      <c r="D2633">
        <v>5.2603429999999998</v>
      </c>
      <c r="E2633">
        <v>0.5123856</v>
      </c>
      <c r="F2633" t="s">
        <v>42</v>
      </c>
      <c r="G2633">
        <v>-490.38819999999998</v>
      </c>
      <c r="H2633" s="1">
        <v>-1.3489009999999999E-6</v>
      </c>
      <c r="I2633">
        <v>252.49270000000001</v>
      </c>
      <c r="J2633">
        <v>-490.9744</v>
      </c>
      <c r="K2633">
        <v>1.1127739999999999</v>
      </c>
      <c r="L2633">
        <v>260.9477</v>
      </c>
      <c r="M2633">
        <v>-0.1137497</v>
      </c>
      <c r="N2633">
        <v>-1.355903E-2</v>
      </c>
      <c r="O2633">
        <v>-0.99341690000000005</v>
      </c>
      <c r="P2633">
        <v>8.6038690000000001E-2</v>
      </c>
      <c r="Q2633">
        <v>0.33198240000000001</v>
      </c>
      <c r="R2633">
        <v>-0.93935349999999995</v>
      </c>
      <c r="S2633">
        <v>0.21414179999999999</v>
      </c>
      <c r="T2633">
        <v>-0.4251316</v>
      </c>
      <c r="U2633">
        <v>-3.322845</v>
      </c>
      <c r="V2633">
        <v>-0.19391120000000001</v>
      </c>
      <c r="W2633">
        <v>0.343591799999999</v>
      </c>
      <c r="X2633">
        <v>0.91888150000000002</v>
      </c>
      <c r="Y2633">
        <v>-0.176842</v>
      </c>
      <c r="Z2633">
        <v>0.1110346</v>
      </c>
      <c r="AA2633">
        <v>0.97795609999999999</v>
      </c>
      <c r="AB2633">
        <v>26</v>
      </c>
      <c r="AC2633">
        <v>0.58620000000001904</v>
      </c>
      <c r="AD2633">
        <v>-1.1127753489009999</v>
      </c>
      <c r="AE2633">
        <v>-8.4549999999999805</v>
      </c>
      <c r="AF2633">
        <v>-1.51806713196369</v>
      </c>
      <c r="AG2633">
        <v>-1.1127753489009999</v>
      </c>
      <c r="AH2633">
        <v>8.1922028391384902</v>
      </c>
      <c r="AI2633">
        <v>97.6073868505364</v>
      </c>
      <c r="AJ2633">
        <v>100.498188414544</v>
      </c>
      <c r="AK2633">
        <v>8.4056519171245103</v>
      </c>
      <c r="AL2633">
        <v>69.904143251036999</v>
      </c>
      <c r="AM2633">
        <v>101.91626776089301</v>
      </c>
      <c r="AN2633">
        <v>1.00000004477746</v>
      </c>
    </row>
    <row r="2634" spans="1:40" x14ac:dyDescent="0.25">
      <c r="A2634" t="str">
        <f>"20190304164420856"</f>
        <v>20190304164420856</v>
      </c>
      <c r="B2634" t="str">
        <f>"1551689060852535"</f>
        <v>1551689060852535</v>
      </c>
      <c r="C2634" t="s">
        <v>40</v>
      </c>
      <c r="D2634">
        <v>5.2990750000000002</v>
      </c>
      <c r="E2634">
        <v>0.51268979999999997</v>
      </c>
      <c r="F2634" t="s">
        <v>42</v>
      </c>
      <c r="G2634">
        <v>-490.38729999999998</v>
      </c>
      <c r="H2634" s="1">
        <v>-1.2086590000000001E-6</v>
      </c>
      <c r="I2634">
        <v>252.16630000000001</v>
      </c>
      <c r="J2634">
        <v>-490.99020000000002</v>
      </c>
      <c r="K2634">
        <v>1.112684</v>
      </c>
      <c r="L2634">
        <v>260.7946</v>
      </c>
      <c r="M2634">
        <v>-0.11232209999999999</v>
      </c>
      <c r="N2634">
        <v>-1.3547099999999999E-2</v>
      </c>
      <c r="O2634">
        <v>-0.99357960000000001</v>
      </c>
      <c r="P2634">
        <v>8.9282700000000007E-2</v>
      </c>
      <c r="Q2634">
        <v>0.33288279999999998</v>
      </c>
      <c r="R2634">
        <v>-0.93873189999999995</v>
      </c>
      <c r="S2634">
        <v>0.2221069</v>
      </c>
      <c r="T2634">
        <v>-0.42097309999999999</v>
      </c>
      <c r="U2634">
        <v>-3.3220830000000001</v>
      </c>
      <c r="V2634">
        <v>-0.19566130000000001</v>
      </c>
      <c r="W2634">
        <v>0.34450920000000002</v>
      </c>
      <c r="X2634">
        <v>0.9181667</v>
      </c>
      <c r="Y2634">
        <v>-0.17778649999999999</v>
      </c>
      <c r="Z2634">
        <v>0.10988239999999901</v>
      </c>
      <c r="AA2634">
        <v>0.97791499999999998</v>
      </c>
      <c r="AB2634">
        <v>26</v>
      </c>
      <c r="AC2634">
        <v>0.60290000000003297</v>
      </c>
      <c r="AD2634">
        <v>-1.112685208659</v>
      </c>
      <c r="AE2634">
        <v>-8.6282999999999905</v>
      </c>
      <c r="AF2634">
        <v>-1.5427896339340801</v>
      </c>
      <c r="AG2634">
        <v>-1.112685208659</v>
      </c>
      <c r="AH2634">
        <v>8.3674877518836901</v>
      </c>
      <c r="AI2634">
        <v>97.450457810362096</v>
      </c>
      <c r="AJ2634">
        <v>100.446815135454</v>
      </c>
      <c r="AK2634">
        <v>8.5809742748750004</v>
      </c>
      <c r="AL2634">
        <v>69.848161836446295</v>
      </c>
      <c r="AM2634">
        <v>102.029786053564</v>
      </c>
      <c r="AN2634">
        <v>1.00000001109561</v>
      </c>
    </row>
    <row r="2635" spans="1:40" x14ac:dyDescent="0.25">
      <c r="A2635" t="str">
        <f>"20190304164420869"</f>
        <v>20190304164420869</v>
      </c>
      <c r="B2635" t="str">
        <f>"1551689060862296"</f>
        <v>1551689060862296</v>
      </c>
      <c r="C2635" t="s">
        <v>40</v>
      </c>
      <c r="D2635">
        <v>5.266311</v>
      </c>
      <c r="E2635">
        <v>0.51648579999999999</v>
      </c>
      <c r="F2635" t="s">
        <v>42</v>
      </c>
      <c r="G2635">
        <v>-490.37310000000002</v>
      </c>
      <c r="H2635" s="1">
        <v>-1.12457E-6</v>
      </c>
      <c r="I2635">
        <v>251.97909999999999</v>
      </c>
      <c r="J2635">
        <v>-491.00670000000002</v>
      </c>
      <c r="K2635">
        <v>1.112611</v>
      </c>
      <c r="L2635">
        <v>260.6343</v>
      </c>
      <c r="M2635">
        <v>-0.1108996</v>
      </c>
      <c r="N2635">
        <v>-1.3535419999999999E-2</v>
      </c>
      <c r="O2635">
        <v>-0.9937395</v>
      </c>
      <c r="P2635">
        <v>9.2417799999999994E-2</v>
      </c>
      <c r="Q2635">
        <v>0.33418530000000002</v>
      </c>
      <c r="R2635">
        <v>-0.93796550000000001</v>
      </c>
      <c r="S2635">
        <v>0.23257449999999999</v>
      </c>
      <c r="T2635">
        <v>-0.41934589999999999</v>
      </c>
      <c r="U2635">
        <v>-3.3223880000000001</v>
      </c>
      <c r="V2635">
        <v>-0.1973086</v>
      </c>
      <c r="W2635">
        <v>0.34582079999999998</v>
      </c>
      <c r="X2635">
        <v>0.91732069999999999</v>
      </c>
      <c r="Y2635">
        <v>-0.1794412</v>
      </c>
      <c r="Z2635">
        <v>0.1094091</v>
      </c>
      <c r="AA2635">
        <v>0.97766580000000003</v>
      </c>
      <c r="AB2635">
        <v>26</v>
      </c>
      <c r="AC2635">
        <v>0.63360000000000105</v>
      </c>
      <c r="AD2635">
        <v>-1.11261212457</v>
      </c>
      <c r="AE2635">
        <v>-8.6552000000000007</v>
      </c>
      <c r="AF2635">
        <v>-1.5639313622729201</v>
      </c>
      <c r="AG2635">
        <v>-1.11261212457</v>
      </c>
      <c r="AH2635">
        <v>8.39356737898534</v>
      </c>
      <c r="AI2635">
        <v>97.424524503968001</v>
      </c>
      <c r="AJ2635">
        <v>100.55460481926001</v>
      </c>
      <c r="AK2635">
        <v>8.6102125636483393</v>
      </c>
      <c r="AL2635">
        <v>69.768091250084694</v>
      </c>
      <c r="AM2635">
        <v>102.138933673374</v>
      </c>
      <c r="AN2635">
        <v>0.99999998799754497</v>
      </c>
    </row>
    <row r="2636" spans="1:40" x14ac:dyDescent="0.25">
      <c r="A2636" t="str">
        <f>"20190304164420887"</f>
        <v>20190304164420887</v>
      </c>
      <c r="B2636" t="str">
        <f>"1551689060882791"</f>
        <v>1551689060882791</v>
      </c>
      <c r="C2636" t="s">
        <v>40</v>
      </c>
      <c r="D2636">
        <v>5.253692</v>
      </c>
      <c r="E2636">
        <v>0.51701900000000001</v>
      </c>
      <c r="F2636" t="s">
        <v>42</v>
      </c>
      <c r="G2636">
        <v>-490.45359999999999</v>
      </c>
      <c r="H2636" s="1">
        <v>-1.161055E-6</v>
      </c>
      <c r="I2636">
        <v>252.01419999999999</v>
      </c>
      <c r="J2636">
        <v>-491.02730000000003</v>
      </c>
      <c r="K2636">
        <v>1.112538</v>
      </c>
      <c r="L2636">
        <v>260.43110000000001</v>
      </c>
      <c r="M2636">
        <v>-0.10915900000000001</v>
      </c>
      <c r="N2636">
        <v>-1.35218E-2</v>
      </c>
      <c r="O2636">
        <v>-0.9939325</v>
      </c>
      <c r="P2636">
        <v>9.4963160000000005E-2</v>
      </c>
      <c r="Q2636">
        <v>0.33615780000000001</v>
      </c>
      <c r="R2636">
        <v>-0.93700620000000001</v>
      </c>
      <c r="S2636">
        <v>0.21368409999999999</v>
      </c>
      <c r="T2636">
        <v>-0.4298749</v>
      </c>
      <c r="U2636">
        <v>-3.330505</v>
      </c>
      <c r="V2636">
        <v>-0.1980576</v>
      </c>
      <c r="W2636">
        <v>0.34780440000000001</v>
      </c>
      <c r="X2636">
        <v>0.91640889999999997</v>
      </c>
      <c r="Y2636">
        <v>-0.17201040000000001</v>
      </c>
      <c r="Z2636">
        <v>0.11231240000000001</v>
      </c>
      <c r="AA2636">
        <v>0.97867170000000003</v>
      </c>
      <c r="AB2636">
        <v>26</v>
      </c>
      <c r="AC2636">
        <v>0.57370000000002996</v>
      </c>
      <c r="AD2636">
        <v>-1.1125391610549999</v>
      </c>
      <c r="AE2636">
        <v>-8.4169000000000196</v>
      </c>
      <c r="AF2636">
        <v>-1.4636811328346699</v>
      </c>
      <c r="AG2636">
        <v>-1.1125391610549999</v>
      </c>
      <c r="AH2636">
        <v>8.1620216696575092</v>
      </c>
      <c r="AI2636">
        <v>97.641545689441799</v>
      </c>
      <c r="AJ2636">
        <v>100.166689288584</v>
      </c>
      <c r="AK2636">
        <v>8.3665227890358302</v>
      </c>
      <c r="AL2636">
        <v>69.646918768433096</v>
      </c>
      <c r="AM2636">
        <v>102.19539967449499</v>
      </c>
      <c r="AN2636">
        <v>0.99999999278816498</v>
      </c>
    </row>
    <row r="2637" spans="1:40" x14ac:dyDescent="0.25">
      <c r="A2637" t="str">
        <f>"20190304164420911"</f>
        <v>20190304164420911</v>
      </c>
      <c r="B2637" t="str">
        <f>"1551689060902311"</f>
        <v>1551689060902311</v>
      </c>
      <c r="C2637" t="s">
        <v>40</v>
      </c>
      <c r="D2637">
        <v>5.2613580000000004</v>
      </c>
      <c r="E2637">
        <v>0.51739060000000003</v>
      </c>
      <c r="F2637" t="s">
        <v>42</v>
      </c>
      <c r="G2637">
        <v>-490.43439999999998</v>
      </c>
      <c r="H2637" s="1">
        <v>-9.3632829999999999E-7</v>
      </c>
      <c r="I2637">
        <v>251.50229999999999</v>
      </c>
      <c r="J2637">
        <v>-491.05459999999999</v>
      </c>
      <c r="K2637">
        <v>1.1124780000000001</v>
      </c>
      <c r="L2637">
        <v>260.1576</v>
      </c>
      <c r="M2637">
        <v>-0.10688839999999999</v>
      </c>
      <c r="N2637">
        <v>-1.350524E-2</v>
      </c>
      <c r="O2637">
        <v>-0.99417940000000005</v>
      </c>
      <c r="P2637">
        <v>9.7354899999999994E-2</v>
      </c>
      <c r="Q2637">
        <v>0.3385803</v>
      </c>
      <c r="R2637">
        <v>-0.93588789999999999</v>
      </c>
      <c r="S2637">
        <v>0.2209778</v>
      </c>
      <c r="T2637">
        <v>-0.41467949999999998</v>
      </c>
      <c r="U2637">
        <v>-3.3280639999999999</v>
      </c>
      <c r="V2637">
        <v>-0.19815630000000001</v>
      </c>
      <c r="W2637">
        <v>0.35023520000000002</v>
      </c>
      <c r="X2637">
        <v>0.91546130000000003</v>
      </c>
      <c r="Y2637">
        <v>-0.17197950000000001</v>
      </c>
      <c r="Z2637">
        <v>0.10806880000000001</v>
      </c>
      <c r="AA2637">
        <v>0.97915479999999999</v>
      </c>
      <c r="AB2637">
        <v>26</v>
      </c>
      <c r="AC2637">
        <v>0.62020000000001096</v>
      </c>
      <c r="AD2637">
        <v>-1.1124789363283001</v>
      </c>
      <c r="AE2637">
        <v>-8.6553000000000093</v>
      </c>
      <c r="AF2637">
        <v>-1.5169491762862699</v>
      </c>
      <c r="AG2637">
        <v>-1.1124789363283001</v>
      </c>
      <c r="AH2637">
        <v>8.4013228775749909</v>
      </c>
      <c r="AI2637">
        <v>97.424375516180007</v>
      </c>
      <c r="AJ2637">
        <v>100.23509109582901</v>
      </c>
      <c r="AK2637">
        <v>8.60935365056371</v>
      </c>
      <c r="AL2637">
        <v>69.498298399787501</v>
      </c>
      <c r="AM2637">
        <v>102.21354578922301</v>
      </c>
      <c r="AN2637">
        <v>1.0000000031732099</v>
      </c>
    </row>
    <row r="2638" spans="1:40" x14ac:dyDescent="0.25">
      <c r="A2638" t="str">
        <f>"20190304164420932"</f>
        <v>20190304164420932</v>
      </c>
      <c r="B2638" t="str">
        <f>"1551689060922807"</f>
        <v>1551689060922807</v>
      </c>
      <c r="C2638" t="s">
        <v>40</v>
      </c>
      <c r="D2638">
        <v>5.260427</v>
      </c>
      <c r="E2638">
        <v>0.517849</v>
      </c>
      <c r="F2638" t="s">
        <v>42</v>
      </c>
      <c r="G2638">
        <v>-490.42869999999999</v>
      </c>
      <c r="H2638" s="1">
        <v>-7.131758E-7</v>
      </c>
      <c r="I2638">
        <v>250.98560000000001</v>
      </c>
      <c r="J2638">
        <v>-491.07870000000003</v>
      </c>
      <c r="K2638">
        <v>1.112447</v>
      </c>
      <c r="L2638">
        <v>259.91079999999999</v>
      </c>
      <c r="M2638">
        <v>-0.1048781</v>
      </c>
      <c r="N2638">
        <v>-1.3492219999999999E-2</v>
      </c>
      <c r="O2638">
        <v>-0.99439359999999999</v>
      </c>
      <c r="P2638">
        <v>0.10072730000000001</v>
      </c>
      <c r="Q2638">
        <v>0.34175070000000002</v>
      </c>
      <c r="R2638">
        <v>-0.93437689999999995</v>
      </c>
      <c r="S2638">
        <v>0.22708130000000001</v>
      </c>
      <c r="T2638">
        <v>-0.40364810000000001</v>
      </c>
      <c r="U2638">
        <v>-3.3279109999999998</v>
      </c>
      <c r="V2638">
        <v>-0.1994696</v>
      </c>
      <c r="W2638">
        <v>0.35338789999999998</v>
      </c>
      <c r="X2638">
        <v>0.91396330000000003</v>
      </c>
      <c r="Y2638">
        <v>-0.1718064</v>
      </c>
      <c r="Z2638">
        <v>0.1049292</v>
      </c>
      <c r="AA2638">
        <v>0.97952660000000003</v>
      </c>
      <c r="AB2638">
        <v>26</v>
      </c>
      <c r="AC2638">
        <v>0.650000000000034</v>
      </c>
      <c r="AD2638">
        <v>-1.1124477131757999</v>
      </c>
      <c r="AE2638">
        <v>-8.9251999999999896</v>
      </c>
      <c r="AF2638">
        <v>-1.55847401146299</v>
      </c>
      <c r="AG2638">
        <v>-1.1124477131757999</v>
      </c>
      <c r="AH2638">
        <v>8.6737527685757492</v>
      </c>
      <c r="AI2638">
        <v>97.194566282579302</v>
      </c>
      <c r="AJ2638">
        <v>100.186047835606</v>
      </c>
      <c r="AK2638">
        <v>8.8825879252237598</v>
      </c>
      <c r="AL2638">
        <v>69.305325662093495</v>
      </c>
      <c r="AM2638">
        <v>102.311571832933</v>
      </c>
      <c r="AN2638">
        <v>1.0000000214687199</v>
      </c>
    </row>
    <row r="2639" spans="1:40" x14ac:dyDescent="0.25">
      <c r="A2639" t="str">
        <f>"20190304164420955"</f>
        <v>20190304164420955</v>
      </c>
      <c r="B2639" t="str">
        <f>"1551689060942327"</f>
        <v>1551689060942327</v>
      </c>
      <c r="C2639" t="s">
        <v>40</v>
      </c>
      <c r="D2639">
        <v>5.2849969999999997</v>
      </c>
      <c r="E2639">
        <v>0.51844880000000004</v>
      </c>
      <c r="F2639" t="s">
        <v>42</v>
      </c>
      <c r="G2639">
        <v>-490.42180000000002</v>
      </c>
      <c r="H2639" s="1">
        <v>-5.3499009999999899E-7</v>
      </c>
      <c r="I2639">
        <v>250.5746</v>
      </c>
      <c r="J2639">
        <v>-491.10359999999997</v>
      </c>
      <c r="K2639">
        <v>1.1124419999999999</v>
      </c>
      <c r="L2639">
        <v>259.65089999999998</v>
      </c>
      <c r="M2639">
        <v>-0.1027716</v>
      </c>
      <c r="N2639">
        <v>-1.348017E-2</v>
      </c>
      <c r="O2639">
        <v>-0.99461390000000005</v>
      </c>
      <c r="P2639">
        <v>0.10417609999999999</v>
      </c>
      <c r="Q2639">
        <v>0.3455027</v>
      </c>
      <c r="R2639">
        <v>-0.93261780000000005</v>
      </c>
      <c r="S2639">
        <v>0.234375</v>
      </c>
      <c r="T2639">
        <v>-0.3968489</v>
      </c>
      <c r="U2639">
        <v>-3.3305359999999999</v>
      </c>
      <c r="V2639">
        <v>-0.200769</v>
      </c>
      <c r="W2639">
        <v>0.3571106</v>
      </c>
      <c r="X2639">
        <v>0.91223010000000004</v>
      </c>
      <c r="Y2639">
        <v>-0.1718201</v>
      </c>
      <c r="Z2639">
        <v>0.1029114</v>
      </c>
      <c r="AA2639">
        <v>0.97973829999999995</v>
      </c>
      <c r="AB2639">
        <v>26</v>
      </c>
      <c r="AC2639">
        <v>0.681799999999952</v>
      </c>
      <c r="AD2639">
        <v>-1.1124425349900999</v>
      </c>
      <c r="AE2639">
        <v>-9.0762999999999696</v>
      </c>
      <c r="AF2639">
        <v>-1.5873477193457699</v>
      </c>
      <c r="AG2639">
        <v>-1.1124425349900999</v>
      </c>
      <c r="AH2639">
        <v>8.8263082763478895</v>
      </c>
      <c r="AI2639">
        <v>97.071249338472299</v>
      </c>
      <c r="AJ2639">
        <v>100.19524752367199</v>
      </c>
      <c r="AK2639">
        <v>9.0366431247944501</v>
      </c>
      <c r="AL2639">
        <v>69.077145456895096</v>
      </c>
      <c r="AM2639">
        <v>102.41211398116199</v>
      </c>
      <c r="AN2639">
        <v>0.99999996366968402</v>
      </c>
    </row>
    <row r="2640" spans="1:40" x14ac:dyDescent="0.25">
      <c r="A2640" t="str">
        <f>"20190304164420979"</f>
        <v>20190304164420979</v>
      </c>
      <c r="B2640" t="str">
        <f>"1551689060972583"</f>
        <v>1551689060972583</v>
      </c>
      <c r="C2640" t="s">
        <v>40</v>
      </c>
      <c r="D2640">
        <v>5.2390040000000004</v>
      </c>
      <c r="E2640">
        <v>0.51898559999999905</v>
      </c>
      <c r="F2640" t="s">
        <v>42</v>
      </c>
      <c r="G2640">
        <v>-490.41140000000001</v>
      </c>
      <c r="H2640" s="1">
        <v>-3.1129929999999999E-7</v>
      </c>
      <c r="I2640">
        <v>250.05959999999999</v>
      </c>
      <c r="J2640">
        <v>-491.12909999999999</v>
      </c>
      <c r="K2640">
        <v>1.112452</v>
      </c>
      <c r="L2640">
        <v>259.37869999999998</v>
      </c>
      <c r="M2640">
        <v>-0.10056229999999999</v>
      </c>
      <c r="N2640">
        <v>-1.3469490000000001E-2</v>
      </c>
      <c r="O2640">
        <v>-0.9948399</v>
      </c>
      <c r="P2640">
        <v>0.10796600000000001</v>
      </c>
      <c r="Q2640">
        <v>0.34920220000000002</v>
      </c>
      <c r="R2640">
        <v>-0.93080689999999999</v>
      </c>
      <c r="S2640">
        <v>0.24057010000000001</v>
      </c>
      <c r="T2640">
        <v>-0.3865923</v>
      </c>
      <c r="U2640">
        <v>-3.3331300000000001</v>
      </c>
      <c r="V2640">
        <v>-0.20232449999999999</v>
      </c>
      <c r="W2640">
        <v>0.36077619999999999</v>
      </c>
      <c r="X2640">
        <v>0.91044239999999999</v>
      </c>
      <c r="Y2640">
        <v>-0.1714176</v>
      </c>
      <c r="Z2640">
        <v>9.9899059999999998E-2</v>
      </c>
      <c r="AA2640">
        <v>0.98012049999999995</v>
      </c>
      <c r="AB2640">
        <v>26</v>
      </c>
      <c r="AC2640">
        <v>0.71769999999997902</v>
      </c>
      <c r="AD2640">
        <v>-1.1124523112992999</v>
      </c>
      <c r="AE2640">
        <v>-9.3190999999999899</v>
      </c>
      <c r="AF2640">
        <v>-1.62823052741168</v>
      </c>
      <c r="AG2640">
        <v>-1.1124523112992999</v>
      </c>
      <c r="AH2640">
        <v>9.0711686349992604</v>
      </c>
      <c r="AI2640">
        <v>96.882701368024996</v>
      </c>
      <c r="AJ2640">
        <v>100.175951752323</v>
      </c>
      <c r="AK2640">
        <v>9.2830374985725896</v>
      </c>
      <c r="AL2640">
        <v>68.852127600908602</v>
      </c>
      <c r="AM2640">
        <v>102.529045591138</v>
      </c>
      <c r="AN2640">
        <v>1.0000000167522201</v>
      </c>
    </row>
    <row r="2641" spans="1:40" x14ac:dyDescent="0.25">
      <c r="A2641" t="str">
        <f>"20190304164421000"</f>
        <v>20190304164421000</v>
      </c>
      <c r="B2641" t="str">
        <f>"1551689060992103"</f>
        <v>1551689060992103</v>
      </c>
      <c r="C2641" t="s">
        <v>40</v>
      </c>
      <c r="D2641">
        <v>5.2544250000000003</v>
      </c>
      <c r="E2641">
        <v>0.51913229999999999</v>
      </c>
      <c r="F2641" t="s">
        <v>42</v>
      </c>
      <c r="G2641">
        <v>-490.40129999999999</v>
      </c>
      <c r="H2641" s="1">
        <v>-1.22882E-7</v>
      </c>
      <c r="I2641">
        <v>249.6266</v>
      </c>
      <c r="J2641">
        <v>-491.15339999999998</v>
      </c>
      <c r="K2641">
        <v>1.1124609999999999</v>
      </c>
      <c r="L2641">
        <v>259.11320000000001</v>
      </c>
      <c r="M2641">
        <v>-9.8400219999999997E-2</v>
      </c>
      <c r="N2641">
        <v>-1.3460049999999999E-2</v>
      </c>
      <c r="O2641">
        <v>-0.99505600000000005</v>
      </c>
      <c r="P2641">
        <v>0.11155660000000001</v>
      </c>
      <c r="Q2641">
        <v>0.35188930000000002</v>
      </c>
      <c r="R2641">
        <v>-0.92937060000000005</v>
      </c>
      <c r="S2641">
        <v>0.24902340000000001</v>
      </c>
      <c r="T2641">
        <v>-0.38065660000000001</v>
      </c>
      <c r="U2641">
        <v>-3.3369450000000001</v>
      </c>
      <c r="V2641">
        <v>-0.2037706</v>
      </c>
      <c r="W2641">
        <v>0.36343409999999998</v>
      </c>
      <c r="X2641">
        <v>0.90906169999999997</v>
      </c>
      <c r="Y2641">
        <v>-0.1716819</v>
      </c>
      <c r="Z2641">
        <v>9.8085720000000001E-2</v>
      </c>
      <c r="AA2641">
        <v>0.98025739999999995</v>
      </c>
      <c r="AB2641">
        <v>26</v>
      </c>
      <c r="AC2641">
        <v>0.752099999999984</v>
      </c>
      <c r="AD2641">
        <v>-1.1124611228820001</v>
      </c>
      <c r="AE2641">
        <v>-9.4866000000000099</v>
      </c>
      <c r="AF2641">
        <v>-1.65934150826587</v>
      </c>
      <c r="AG2641">
        <v>-1.1124611228820001</v>
      </c>
      <c r="AH2641">
        <v>9.2402655565375404</v>
      </c>
      <c r="AI2641">
        <v>96.757880879256405</v>
      </c>
      <c r="AJ2641">
        <v>100.180510542109</v>
      </c>
      <c r="AK2641">
        <v>9.4537554202714595</v>
      </c>
      <c r="AL2641">
        <v>68.688753469404105</v>
      </c>
      <c r="AM2641">
        <v>102.63428560688</v>
      </c>
      <c r="AN2641">
        <v>0.99999998843702997</v>
      </c>
    </row>
    <row r="2642" spans="1:40" x14ac:dyDescent="0.25">
      <c r="A2642" t="str">
        <f>"20190304164421022"</f>
        <v>20190304164421022</v>
      </c>
      <c r="B2642" t="str">
        <f>"1551689061012599"</f>
        <v>1551689061012599</v>
      </c>
      <c r="C2642" t="s">
        <v>40</v>
      </c>
      <c r="D2642">
        <v>5.265161</v>
      </c>
      <c r="E2642">
        <v>0.52081429999999995</v>
      </c>
      <c r="F2642" t="s">
        <v>42</v>
      </c>
      <c r="G2642">
        <v>-490.38389999999998</v>
      </c>
      <c r="H2642" s="1">
        <v>-4.2098099999999998E-6</v>
      </c>
      <c r="I2642">
        <v>249.16419999999999</v>
      </c>
      <c r="J2642">
        <v>-491.17579999999998</v>
      </c>
      <c r="K2642">
        <v>1.1124540000000001</v>
      </c>
      <c r="L2642">
        <v>258.86149999999998</v>
      </c>
      <c r="M2642">
        <v>-9.6361879999999997E-2</v>
      </c>
      <c r="N2642">
        <v>-1.3451950000000001E-2</v>
      </c>
      <c r="O2642">
        <v>-0.99525560000000002</v>
      </c>
      <c r="P2642">
        <v>0.1157482</v>
      </c>
      <c r="Q2642">
        <v>0.35348980000000002</v>
      </c>
      <c r="R2642">
        <v>-0.9282494</v>
      </c>
      <c r="S2642">
        <v>0.25820920000000003</v>
      </c>
      <c r="T2642">
        <v>-0.37328090000000003</v>
      </c>
      <c r="U2642">
        <v>-3.338333</v>
      </c>
      <c r="V2642">
        <v>-0.20595640000000001</v>
      </c>
      <c r="W2642">
        <v>0.36501099999999997</v>
      </c>
      <c r="X2642">
        <v>0.90793659999999998</v>
      </c>
      <c r="Y2642">
        <v>-0.1723345</v>
      </c>
      <c r="Z2642">
        <v>9.5926719999999993E-2</v>
      </c>
      <c r="AA2642">
        <v>0.98035649999999996</v>
      </c>
      <c r="AB2642">
        <v>26</v>
      </c>
      <c r="AC2642">
        <v>0.79189999999999805</v>
      </c>
      <c r="AD2642">
        <v>-1.11245820981</v>
      </c>
      <c r="AE2642">
        <v>-9.6972999999999807</v>
      </c>
      <c r="AF2642">
        <v>-1.7005175403549699</v>
      </c>
      <c r="AG2642">
        <v>-1.11245820981</v>
      </c>
      <c r="AH2642">
        <v>9.4522775283583709</v>
      </c>
      <c r="AI2642">
        <v>96.607267499071895</v>
      </c>
      <c r="AJ2642">
        <v>100.198733953718</v>
      </c>
      <c r="AK2642">
        <v>9.6682404628110792</v>
      </c>
      <c r="AL2642">
        <v>68.591739644536204</v>
      </c>
      <c r="AM2642">
        <v>102.78069186847399</v>
      </c>
      <c r="AN2642">
        <v>0.99999996922075896</v>
      </c>
    </row>
    <row r="2643" spans="1:40" x14ac:dyDescent="0.25">
      <c r="A2643" t="str">
        <f>"20190304164421043"</f>
        <v>20190304164421043</v>
      </c>
      <c r="B2643" t="str">
        <f>"1551689061032119"</f>
        <v>1551689061032119</v>
      </c>
      <c r="C2643" t="s">
        <v>40</v>
      </c>
      <c r="D2643">
        <v>5.2891450000000004</v>
      </c>
      <c r="E2643">
        <v>0.52173230000000004</v>
      </c>
      <c r="F2643" t="s">
        <v>42</v>
      </c>
      <c r="G2643">
        <v>-490.50119999999998</v>
      </c>
      <c r="H2643" s="1">
        <v>-3.6095989999999998E-7</v>
      </c>
      <c r="I2643">
        <v>250.11959999999999</v>
      </c>
      <c r="J2643">
        <v>-491.19670000000002</v>
      </c>
      <c r="K2643">
        <v>1.112425</v>
      </c>
      <c r="L2643">
        <v>258.62360000000001</v>
      </c>
      <c r="M2643">
        <v>-9.447382E-2</v>
      </c>
      <c r="N2643">
        <v>-1.3444660000000001E-2</v>
      </c>
      <c r="O2643">
        <v>-0.99543669999999995</v>
      </c>
      <c r="P2643">
        <v>0.1210522</v>
      </c>
      <c r="Q2643">
        <v>0.35396250000000001</v>
      </c>
      <c r="R2643">
        <v>-0.92739300000000002</v>
      </c>
      <c r="S2643">
        <v>0.25949100000000003</v>
      </c>
      <c r="T2643">
        <v>-0.42789529999999998</v>
      </c>
      <c r="U2643">
        <v>-3.3624879999999999</v>
      </c>
      <c r="V2643">
        <v>-0.20940220000000001</v>
      </c>
      <c r="W2643">
        <v>0.36546469999999998</v>
      </c>
      <c r="X2643">
        <v>0.90696540000000003</v>
      </c>
      <c r="Y2643">
        <v>-0.1701589</v>
      </c>
      <c r="Z2643">
        <v>0.1108908</v>
      </c>
      <c r="AA2643">
        <v>0.97915739999999996</v>
      </c>
      <c r="AB2643">
        <v>26</v>
      </c>
      <c r="AC2643">
        <v>0.69550000000003798</v>
      </c>
      <c r="AD2643">
        <v>-1.1124253609599</v>
      </c>
      <c r="AE2643">
        <v>-8.5040000000000102</v>
      </c>
      <c r="AF2643">
        <v>-1.47086469369534</v>
      </c>
      <c r="AG2643">
        <v>-1.1124253609599</v>
      </c>
      <c r="AH2643">
        <v>8.2598436664349908</v>
      </c>
      <c r="AI2643">
        <v>97.552954574531</v>
      </c>
      <c r="AJ2643">
        <v>100.0970581472</v>
      </c>
      <c r="AK2643">
        <v>8.4632115963629602</v>
      </c>
      <c r="AL2643">
        <v>68.563815678753997</v>
      </c>
      <c r="AM2643">
        <v>103.000764017243</v>
      </c>
      <c r="AN2643">
        <v>0.99999998255404399</v>
      </c>
    </row>
    <row r="2644" spans="1:40" x14ac:dyDescent="0.25">
      <c r="A2644" t="str">
        <f>"20190304164421057"</f>
        <v>20190304164421057</v>
      </c>
      <c r="B2644" t="str">
        <f>"1551689061052616"</f>
        <v>1551689061052616</v>
      </c>
      <c r="C2644" t="s">
        <v>40</v>
      </c>
      <c r="D2644">
        <v>5.5304180000000001</v>
      </c>
      <c r="E2644">
        <v>0.50183429999999996</v>
      </c>
      <c r="F2644" t="s">
        <v>42</v>
      </c>
      <c r="G2644">
        <v>-490.51440000000002</v>
      </c>
      <c r="H2644" s="1">
        <v>-2.7707929999999999E-7</v>
      </c>
      <c r="I2644">
        <v>249.91589999999999</v>
      </c>
      <c r="J2644">
        <v>-491.21100000000001</v>
      </c>
      <c r="K2644">
        <v>1.112395</v>
      </c>
      <c r="L2644">
        <v>258.45850000000002</v>
      </c>
      <c r="M2644">
        <v>-9.3197989999999994E-2</v>
      </c>
      <c r="N2644">
        <v>-1.3439599999999999E-2</v>
      </c>
      <c r="O2644">
        <v>-0.99555720000000003</v>
      </c>
      <c r="P2644">
        <v>0.124021699999999</v>
      </c>
      <c r="Q2644">
        <v>0.3538404</v>
      </c>
      <c r="R2644">
        <v>-0.92704690000000001</v>
      </c>
      <c r="S2644">
        <v>0.26364140000000003</v>
      </c>
      <c r="T2644">
        <v>-0.4298283</v>
      </c>
      <c r="U2644">
        <v>-3.3645480000000001</v>
      </c>
      <c r="V2644">
        <v>-0.2111314</v>
      </c>
      <c r="W2644">
        <v>0.36534220000000001</v>
      </c>
      <c r="X2644">
        <v>0.90661380000000003</v>
      </c>
      <c r="Y2644">
        <v>-0.170046</v>
      </c>
      <c r="Z2644">
        <v>0.1113922</v>
      </c>
      <c r="AA2644">
        <v>0.97912010000000005</v>
      </c>
      <c r="AB2644">
        <v>26</v>
      </c>
      <c r="AC2644">
        <v>0.69659999999998901</v>
      </c>
      <c r="AD2644">
        <v>-1.1123952770793</v>
      </c>
      <c r="AE2644">
        <v>-8.5426000000000197</v>
      </c>
      <c r="AF2644">
        <v>-1.4651131816526499</v>
      </c>
      <c r="AG2644">
        <v>-1.1123952770793</v>
      </c>
      <c r="AH2644">
        <v>8.3006637879097998</v>
      </c>
      <c r="AI2644">
        <v>97.518039809849796</v>
      </c>
      <c r="AJ2644">
        <v>100.009922147981</v>
      </c>
      <c r="AK2644">
        <v>8.5020585276412799</v>
      </c>
      <c r="AL2644">
        <v>68.571355912771196</v>
      </c>
      <c r="AM2644">
        <v>103.10933761696801</v>
      </c>
      <c r="AN2644">
        <v>0.99999998675861901</v>
      </c>
    </row>
    <row r="2645" spans="1:40" x14ac:dyDescent="0.25">
      <c r="A2645" t="str">
        <f>"20190304164421077"</f>
        <v>20190304164421077</v>
      </c>
      <c r="B2645" t="str">
        <f>"1551689061072135"</f>
        <v>1551689061072135</v>
      </c>
      <c r="C2645" t="s">
        <v>40</v>
      </c>
      <c r="D2645">
        <v>5.264723</v>
      </c>
      <c r="E2645">
        <v>0.43774190000000002</v>
      </c>
      <c r="F2645" t="s">
        <v>42</v>
      </c>
      <c r="G2645">
        <v>-490.08800000000002</v>
      </c>
      <c r="H2645" s="1">
        <v>-7.7587810000000005E-8</v>
      </c>
      <c r="I2645">
        <v>249.71539999999999</v>
      </c>
      <c r="J2645">
        <v>-491.2303</v>
      </c>
      <c r="K2645">
        <v>1.112333</v>
      </c>
      <c r="L2645">
        <v>258.23160000000001</v>
      </c>
      <c r="M2645">
        <v>-9.1520589999999999E-2</v>
      </c>
      <c r="N2645">
        <v>-1.343221E-2</v>
      </c>
      <c r="O2645">
        <v>-0.99571270000000001</v>
      </c>
      <c r="P2645">
        <v>0.13126879999999999</v>
      </c>
      <c r="Q2645">
        <v>0.35427530000000002</v>
      </c>
      <c r="R2645">
        <v>-0.92588219999999999</v>
      </c>
      <c r="S2645">
        <v>0.42913820000000003</v>
      </c>
      <c r="T2645">
        <v>-0.42507020000000001</v>
      </c>
      <c r="U2645">
        <v>-3.3409119999999999</v>
      </c>
      <c r="V2645">
        <v>-0.21665429999999999</v>
      </c>
      <c r="W2645">
        <v>0.36576340000000002</v>
      </c>
      <c r="X2645">
        <v>0.90513980000000005</v>
      </c>
      <c r="Y2645">
        <v>-0.2166631</v>
      </c>
      <c r="Z2645">
        <v>0.1100053</v>
      </c>
      <c r="AA2645">
        <v>0.97002880000000002</v>
      </c>
      <c r="AB2645">
        <v>26</v>
      </c>
      <c r="AC2645">
        <v>1.1422999999999699</v>
      </c>
      <c r="AD2645">
        <v>-1.11233307758781</v>
      </c>
      <c r="AE2645">
        <v>-8.5162000000000209</v>
      </c>
      <c r="AF2645">
        <v>-1.88538683497946</v>
      </c>
      <c r="AG2645">
        <v>-1.11233307758781</v>
      </c>
      <c r="AH2645">
        <v>8.2378457127237592</v>
      </c>
      <c r="AI2645">
        <v>97.498388502117393</v>
      </c>
      <c r="AJ2645">
        <v>102.891199107627</v>
      </c>
      <c r="AK2645">
        <v>8.5237357056428706</v>
      </c>
      <c r="AL2645">
        <v>68.545428898489206</v>
      </c>
      <c r="AM2645">
        <v>103.461058310913</v>
      </c>
      <c r="AN2645">
        <v>1.0000000040160399</v>
      </c>
    </row>
    <row r="2646" spans="1:40" x14ac:dyDescent="0.25">
      <c r="A2646" t="str">
        <f>"20190304164421100"</f>
        <v>20190304164421100</v>
      </c>
      <c r="B2646" t="str">
        <f>"1551689061092631"</f>
        <v>1551689061092631</v>
      </c>
      <c r="C2646" t="s">
        <v>40</v>
      </c>
      <c r="D2646">
        <v>5.2990240000000002</v>
      </c>
      <c r="E2646">
        <v>0.42495040000000001</v>
      </c>
      <c r="F2646" t="s">
        <v>42</v>
      </c>
      <c r="G2646">
        <v>-487.86939999999998</v>
      </c>
      <c r="H2646" s="1">
        <v>-3.4636339999999998E-6</v>
      </c>
      <c r="I2646">
        <v>246.82560000000001</v>
      </c>
      <c r="J2646">
        <v>-491.25290000000001</v>
      </c>
      <c r="K2646">
        <v>1.1122339999999999</v>
      </c>
      <c r="L2646">
        <v>257.96170000000001</v>
      </c>
      <c r="M2646">
        <v>-8.966681E-2</v>
      </c>
      <c r="N2646">
        <v>-1.342139E-2</v>
      </c>
      <c r="O2646">
        <v>-0.99588169999999998</v>
      </c>
      <c r="P2646">
        <v>0.1378443</v>
      </c>
      <c r="Q2646">
        <v>0.35418490000000002</v>
      </c>
      <c r="R2646">
        <v>-0.92496100000000003</v>
      </c>
      <c r="S2646">
        <v>0.95050049999999997</v>
      </c>
      <c r="T2646">
        <v>-0.31458570000000002</v>
      </c>
      <c r="U2646">
        <v>-3.2257690000000001</v>
      </c>
      <c r="V2646">
        <v>-0.22134000000000001</v>
      </c>
      <c r="W2646">
        <v>0.36568440000000002</v>
      </c>
      <c r="X2646">
        <v>0.90403739999999999</v>
      </c>
      <c r="Y2646">
        <v>-0.366396</v>
      </c>
      <c r="Z2646">
        <v>7.7635029999999994E-2</v>
      </c>
      <c r="AA2646">
        <v>0.92721450000000005</v>
      </c>
      <c r="AB2646">
        <v>26</v>
      </c>
      <c r="AC2646">
        <v>3.3835000000000202</v>
      </c>
      <c r="AD2646">
        <v>-1.112237463634</v>
      </c>
      <c r="AE2646">
        <v>-11.136100000000001</v>
      </c>
      <c r="AF2646">
        <v>-4.3289628896855197</v>
      </c>
      <c r="AG2646">
        <v>-1.112237463634</v>
      </c>
      <c r="AH2646">
        <v>10.6901924877145</v>
      </c>
      <c r="AI2646">
        <v>95.508337700542199</v>
      </c>
      <c r="AJ2646">
        <v>112.045345606845</v>
      </c>
      <c r="AK2646">
        <v>11.586941240041501</v>
      </c>
      <c r="AL2646">
        <v>68.550293173377099</v>
      </c>
      <c r="AM2646">
        <v>103.757382062697</v>
      </c>
      <c r="AN2646">
        <v>1.00000004830105</v>
      </c>
    </row>
    <row r="2647" spans="1:40" x14ac:dyDescent="0.25">
      <c r="A2647" t="str">
        <f>"20190304164421121"</f>
        <v>20190304164421121</v>
      </c>
      <c r="B2647" t="str">
        <f>"1551689061112151"</f>
        <v>1551689061112151</v>
      </c>
      <c r="C2647" t="s">
        <v>40</v>
      </c>
      <c r="D2647">
        <v>5.2687869999999997</v>
      </c>
      <c r="E2647">
        <v>0.42131930000000001</v>
      </c>
      <c r="F2647" t="s">
        <v>42</v>
      </c>
      <c r="G2647">
        <v>-487.17469999999997</v>
      </c>
      <c r="H2647" s="1">
        <v>-3.1433520000000002E-6</v>
      </c>
      <c r="I2647">
        <v>245.79179999999999</v>
      </c>
      <c r="J2647">
        <v>-491.27379999999999</v>
      </c>
      <c r="K2647">
        <v>1.11212</v>
      </c>
      <c r="L2647">
        <v>257.70890000000003</v>
      </c>
      <c r="M2647">
        <v>-8.8074509999999995E-2</v>
      </c>
      <c r="N2647">
        <v>-1.3408939999999999E-2</v>
      </c>
      <c r="O2647">
        <v>-0.99602369999999996</v>
      </c>
      <c r="P2647">
        <v>0.1433355</v>
      </c>
      <c r="Q2647">
        <v>0.3532901</v>
      </c>
      <c r="R2647">
        <v>-0.92446779999999995</v>
      </c>
      <c r="S2647">
        <v>1.070862</v>
      </c>
      <c r="T2647">
        <v>-0.29205550000000002</v>
      </c>
      <c r="U2647">
        <v>-3.1956329999999999</v>
      </c>
      <c r="V2647">
        <v>-0.22521840000000001</v>
      </c>
      <c r="W2647">
        <v>0.36481520000000001</v>
      </c>
      <c r="X2647">
        <v>0.90343039999999997</v>
      </c>
      <c r="Y2647">
        <v>-0.39894380000000002</v>
      </c>
      <c r="Z2647">
        <v>7.085603E-2</v>
      </c>
      <c r="AA2647">
        <v>0.91423370000000004</v>
      </c>
      <c r="AB2647">
        <v>26</v>
      </c>
      <c r="AC2647">
        <v>4.0991000000000204</v>
      </c>
      <c r="AD2647">
        <v>-1.112123143352</v>
      </c>
      <c r="AE2647">
        <v>-11.9171</v>
      </c>
      <c r="AF2647">
        <v>-5.0931911402825198</v>
      </c>
      <c r="AG2647">
        <v>-1.112123143352</v>
      </c>
      <c r="AH2647">
        <v>11.420781919915401</v>
      </c>
      <c r="AI2647">
        <v>95.082190790939606</v>
      </c>
      <c r="AJ2647">
        <v>114.034872929786</v>
      </c>
      <c r="AK2647">
        <v>12.554348789949101</v>
      </c>
      <c r="AL2647">
        <v>68.603789146902301</v>
      </c>
      <c r="AM2647">
        <v>103.998083499966</v>
      </c>
      <c r="AN2647">
        <v>0.99999997274687902</v>
      </c>
    </row>
    <row r="2648" spans="1:40" x14ac:dyDescent="0.25">
      <c r="A2648" t="str">
        <f>"20190304164421143"</f>
        <v>20190304164421143</v>
      </c>
      <c r="B2648" t="str">
        <f>"1551689061132647"</f>
        <v>1551689061132647</v>
      </c>
      <c r="C2648" t="s">
        <v>40</v>
      </c>
      <c r="D2648">
        <v>5.2557010000000002</v>
      </c>
      <c r="E2648">
        <v>0.42037239999999998</v>
      </c>
      <c r="F2648" t="s">
        <v>42</v>
      </c>
      <c r="G2648">
        <v>-486.99889999999999</v>
      </c>
      <c r="H2648" s="1">
        <v>-3.0702470000000001E-6</v>
      </c>
      <c r="I2648">
        <v>245.5487</v>
      </c>
      <c r="J2648">
        <v>-491.29360000000003</v>
      </c>
      <c r="K2648">
        <v>1.1120049999999999</v>
      </c>
      <c r="L2648">
        <v>257.46559999999999</v>
      </c>
      <c r="M2648">
        <v>-8.6684170000000005E-2</v>
      </c>
      <c r="N2648">
        <v>-1.339314E-2</v>
      </c>
      <c r="O2648">
        <v>-0.99614570000000002</v>
      </c>
      <c r="P2648">
        <v>0.1483902</v>
      </c>
      <c r="Q2648">
        <v>0.35298210000000002</v>
      </c>
      <c r="R2648">
        <v>-0.92378740000000004</v>
      </c>
      <c r="S2648">
        <v>1.118927</v>
      </c>
      <c r="T2648">
        <v>-0.29109190000000001</v>
      </c>
      <c r="U2648">
        <v>-3.182877</v>
      </c>
      <c r="V2648">
        <v>-0.22883519999999999</v>
      </c>
      <c r="W2648">
        <v>0.36452889999999999</v>
      </c>
      <c r="X2648">
        <v>0.90263680000000002</v>
      </c>
      <c r="Y2648">
        <v>-0.4110781</v>
      </c>
      <c r="Z2648">
        <v>7.0485500000000006E-2</v>
      </c>
      <c r="AA2648">
        <v>0.90887110000000004</v>
      </c>
      <c r="AB2648">
        <v>26</v>
      </c>
      <c r="AC2648">
        <v>4.2947000000000299</v>
      </c>
      <c r="AD2648">
        <v>-1.1120080702470001</v>
      </c>
      <c r="AE2648">
        <v>-11.916899999999901</v>
      </c>
      <c r="AF2648">
        <v>-5.2710094777437702</v>
      </c>
      <c r="AG2648">
        <v>-1.1120080702470001</v>
      </c>
      <c r="AH2648">
        <v>11.4117740355419</v>
      </c>
      <c r="AI2648">
        <v>95.055408946115804</v>
      </c>
      <c r="AJ2648">
        <v>114.791847090072</v>
      </c>
      <c r="AK2648">
        <v>12.6193775401573</v>
      </c>
      <c r="AL2648">
        <v>68.621407391535698</v>
      </c>
      <c r="AM2648">
        <v>104.22582680469201</v>
      </c>
      <c r="AN2648">
        <v>1.00000003020424</v>
      </c>
    </row>
    <row r="2649" spans="1:40" x14ac:dyDescent="0.25">
      <c r="A2649" t="str">
        <f>"20190304164421166"</f>
        <v>20190304164421166</v>
      </c>
      <c r="B2649" t="str">
        <f>"1551689061162903"</f>
        <v>1551689061162903</v>
      </c>
      <c r="C2649" t="s">
        <v>40</v>
      </c>
      <c r="D2649">
        <v>5.2597940000000003</v>
      </c>
      <c r="E2649">
        <v>0.4202727</v>
      </c>
      <c r="F2649" t="s">
        <v>42</v>
      </c>
      <c r="G2649">
        <v>-486.92599999999999</v>
      </c>
      <c r="H2649" s="1">
        <v>-2.9952749999999999E-6</v>
      </c>
      <c r="I2649">
        <v>245.34379999999999</v>
      </c>
      <c r="J2649">
        <v>-491.31549999999999</v>
      </c>
      <c r="K2649">
        <v>1.1118920000000001</v>
      </c>
      <c r="L2649">
        <v>257.19529999999997</v>
      </c>
      <c r="M2649">
        <v>-8.5295259999999998E-2</v>
      </c>
      <c r="N2649">
        <v>-1.3375730000000001E-2</v>
      </c>
      <c r="O2649">
        <v>-0.99626619999999999</v>
      </c>
      <c r="P2649">
        <v>0.1540764</v>
      </c>
      <c r="Q2649">
        <v>0.3526765</v>
      </c>
      <c r="R2649">
        <v>-0.9229735</v>
      </c>
      <c r="S2649">
        <v>1.144012</v>
      </c>
      <c r="T2649">
        <v>-0.29126859999999999</v>
      </c>
      <c r="U2649">
        <v>-3.1750639999999999</v>
      </c>
      <c r="V2649">
        <v>-0.23307</v>
      </c>
      <c r="W2649">
        <v>0.36424420000000002</v>
      </c>
      <c r="X2649">
        <v>0.90166769999999996</v>
      </c>
      <c r="Y2649">
        <v>-0.41686519999999999</v>
      </c>
      <c r="Z2649">
        <v>7.0538030000000002E-2</v>
      </c>
      <c r="AA2649">
        <v>0.90622720000000001</v>
      </c>
      <c r="AB2649">
        <v>26</v>
      </c>
      <c r="AC2649">
        <v>4.3894999999999902</v>
      </c>
      <c r="AD2649">
        <v>-1.1118949952749999</v>
      </c>
      <c r="AE2649">
        <v>-11.8514999999999</v>
      </c>
      <c r="AF2649">
        <v>-5.3431107301601903</v>
      </c>
      <c r="AG2649">
        <v>-1.1118949952749999</v>
      </c>
      <c r="AH2649">
        <v>11.346044408884699</v>
      </c>
      <c r="AI2649">
        <v>95.0665629615321</v>
      </c>
      <c r="AJ2649">
        <v>115.216814218853</v>
      </c>
      <c r="AK2649">
        <v>12.5903878607315</v>
      </c>
      <c r="AL2649">
        <v>68.638924271896997</v>
      </c>
      <c r="AM2649">
        <v>104.49302389221199</v>
      </c>
      <c r="AN2649">
        <v>1.00000005167846</v>
      </c>
    </row>
    <row r="2650" spans="1:40" x14ac:dyDescent="0.25">
      <c r="A2650" t="str">
        <f>"20190304164421191"</f>
        <v>20190304164421191</v>
      </c>
      <c r="B2650" t="str">
        <f>"1551689061182423"</f>
        <v>1551689061182423</v>
      </c>
      <c r="C2650" t="s">
        <v>40</v>
      </c>
      <c r="D2650">
        <v>5.2653100000000004</v>
      </c>
      <c r="E2650">
        <v>0.4206452</v>
      </c>
      <c r="F2650" t="s">
        <v>42</v>
      </c>
      <c r="G2650">
        <v>-486.91410000000002</v>
      </c>
      <c r="H2650" s="1">
        <v>-2.9361370000000001E-6</v>
      </c>
      <c r="I2650">
        <v>245.20099999999999</v>
      </c>
      <c r="J2650">
        <v>-491.33730000000003</v>
      </c>
      <c r="K2650">
        <v>1.111812</v>
      </c>
      <c r="L2650">
        <v>256.9221</v>
      </c>
      <c r="M2650">
        <v>-8.4026459999999997E-2</v>
      </c>
      <c r="N2650">
        <v>-1.336001E-2</v>
      </c>
      <c r="O2650">
        <v>-0.99637419999999999</v>
      </c>
      <c r="P2650">
        <v>0.15946749999999901</v>
      </c>
      <c r="Q2650">
        <v>0.35288999999999998</v>
      </c>
      <c r="R2650">
        <v>-0.92197560000000001</v>
      </c>
      <c r="S2650">
        <v>1.16272</v>
      </c>
      <c r="T2650">
        <v>-0.2937304</v>
      </c>
      <c r="U2650">
        <v>-3.168533</v>
      </c>
      <c r="V2650">
        <v>-0.2371248</v>
      </c>
      <c r="W2650">
        <v>0.36447069999999998</v>
      </c>
      <c r="X2650">
        <v>0.90051809999999999</v>
      </c>
      <c r="Y2650">
        <v>-0.42100090000000001</v>
      </c>
      <c r="Z2650">
        <v>7.1269180000000001E-2</v>
      </c>
      <c r="AA2650">
        <v>0.90425599999999995</v>
      </c>
      <c r="AB2650">
        <v>26</v>
      </c>
      <c r="AC2650">
        <v>4.4231999999999996</v>
      </c>
      <c r="AD2650">
        <v>-1.111814936137</v>
      </c>
      <c r="AE2650">
        <v>-11.7211</v>
      </c>
      <c r="AF2650">
        <v>-5.3503851410821399</v>
      </c>
      <c r="AG2650">
        <v>-1.111814936137</v>
      </c>
      <c r="AH2650">
        <v>11.2195766885864</v>
      </c>
      <c r="AI2650">
        <v>95.111271234285297</v>
      </c>
      <c r="AJ2650">
        <v>115.495513274795</v>
      </c>
      <c r="AK2650">
        <v>12.4796496217322</v>
      </c>
      <c r="AL2650">
        <v>68.624986681884096</v>
      </c>
      <c r="AM2650">
        <v>104.75227113372399</v>
      </c>
      <c r="AN2650">
        <v>0.99999995518056894</v>
      </c>
    </row>
    <row r="2651" spans="1:40" x14ac:dyDescent="0.25">
      <c r="A2651" t="str">
        <f>"20190304164421211"</f>
        <v>20190304164421211</v>
      </c>
      <c r="B2651" t="str">
        <f>"1551689061202919"</f>
        <v>1551689061202919</v>
      </c>
      <c r="C2651" t="s">
        <v>40</v>
      </c>
      <c r="D2651">
        <v>5.2620399999999998</v>
      </c>
      <c r="E2651">
        <v>0.42087639999999998</v>
      </c>
      <c r="F2651" t="s">
        <v>42</v>
      </c>
      <c r="G2651">
        <v>-486.8929</v>
      </c>
      <c r="H2651" s="1">
        <v>-2.8481260000000002E-6</v>
      </c>
      <c r="I2651">
        <v>244.9871</v>
      </c>
      <c r="J2651">
        <v>-491.35629999999998</v>
      </c>
      <c r="K2651">
        <v>1.1117629999999901</v>
      </c>
      <c r="L2651">
        <v>256.68099999999998</v>
      </c>
      <c r="M2651">
        <v>-8.2986679999999993E-2</v>
      </c>
      <c r="N2651">
        <v>-1.334669E-2</v>
      </c>
      <c r="O2651">
        <v>-0.9964615</v>
      </c>
      <c r="P2651">
        <v>0.16391819999999999</v>
      </c>
      <c r="Q2651">
        <v>0.3532071</v>
      </c>
      <c r="R2651">
        <v>-0.92107329999999998</v>
      </c>
      <c r="S2651">
        <v>1.1777949999999999</v>
      </c>
      <c r="T2651">
        <v>-0.29464319999999999</v>
      </c>
      <c r="U2651">
        <v>-3.162903</v>
      </c>
      <c r="V2651">
        <v>-0.2404915</v>
      </c>
      <c r="W2651">
        <v>0.36478729999999998</v>
      </c>
      <c r="X2651">
        <v>0.89949659999999998</v>
      </c>
      <c r="Y2651">
        <v>-0.42435329999999899</v>
      </c>
      <c r="Z2651">
        <v>7.1559129999999999E-2</v>
      </c>
      <c r="AA2651">
        <v>0.90266469999999999</v>
      </c>
      <c r="AB2651">
        <v>26</v>
      </c>
      <c r="AC2651">
        <v>4.4633999999999698</v>
      </c>
      <c r="AD2651">
        <v>-1.11176584812599</v>
      </c>
      <c r="AE2651">
        <v>-11.6938999999999</v>
      </c>
      <c r="AF2651">
        <v>-5.3761114350899399</v>
      </c>
      <c r="AG2651">
        <v>-1.11176584812599</v>
      </c>
      <c r="AH2651">
        <v>11.194800831459601</v>
      </c>
      <c r="AI2651">
        <v>95.115649484136796</v>
      </c>
      <c r="AJ2651">
        <v>115.651849274922</v>
      </c>
      <c r="AK2651">
        <v>12.4684467003558</v>
      </c>
      <c r="AL2651">
        <v>68.605507405300003</v>
      </c>
      <c r="AM2651">
        <v>104.96862268527801</v>
      </c>
      <c r="AN2651">
        <v>1.0000000346125399</v>
      </c>
    </row>
    <row r="2652" spans="1:40" x14ac:dyDescent="0.25">
      <c r="A2652" t="str">
        <f>"20190304164421233"</f>
        <v>20190304164421233</v>
      </c>
      <c r="B2652" t="str">
        <f>"1551689061222439"</f>
        <v>1551689061222439</v>
      </c>
      <c r="C2652" t="s">
        <v>40</v>
      </c>
      <c r="D2652">
        <v>5.2789229999999998</v>
      </c>
      <c r="E2652">
        <v>0.42119849999999998</v>
      </c>
      <c r="F2652" t="s">
        <v>42</v>
      </c>
      <c r="G2652">
        <v>-486.83640000000003</v>
      </c>
      <c r="H2652" s="1">
        <v>-2.7383449999999999E-6</v>
      </c>
      <c r="I2652">
        <v>244.70779999999999</v>
      </c>
      <c r="J2652">
        <v>-491.3759</v>
      </c>
      <c r="K2652">
        <v>1.111731</v>
      </c>
      <c r="L2652">
        <v>256.43</v>
      </c>
      <c r="M2652">
        <v>-8.1942559999999998E-2</v>
      </c>
      <c r="N2652">
        <v>-1.3328039999999999E-2</v>
      </c>
      <c r="O2652">
        <v>-0.99654799999999999</v>
      </c>
      <c r="P2652">
        <v>0.1691105</v>
      </c>
      <c r="Q2652">
        <v>0.3529041</v>
      </c>
      <c r="R2652">
        <v>-0.92025009999999996</v>
      </c>
      <c r="S2652">
        <v>1.1919249999999999</v>
      </c>
      <c r="T2652">
        <v>-0.29317490000000002</v>
      </c>
      <c r="U2652">
        <v>-3.1573639999999998</v>
      </c>
      <c r="V2652">
        <v>-0.24462200000000001</v>
      </c>
      <c r="W2652">
        <v>0.36446630000000002</v>
      </c>
      <c r="X2652">
        <v>0.89851229999999904</v>
      </c>
      <c r="Y2652">
        <v>-0.42747030000000003</v>
      </c>
      <c r="Z2652">
        <v>7.1177229999999994E-2</v>
      </c>
      <c r="AA2652">
        <v>0.901223</v>
      </c>
      <c r="AB2652">
        <v>26</v>
      </c>
      <c r="AC2652">
        <v>4.5394999999999701</v>
      </c>
      <c r="AD2652">
        <v>-1.1117337383449899</v>
      </c>
      <c r="AE2652">
        <v>-11.722200000000001</v>
      </c>
      <c r="AF2652">
        <v>-5.4422958637930101</v>
      </c>
      <c r="AG2652">
        <v>-1.1117337383449899</v>
      </c>
      <c r="AH2652">
        <v>11.222978525796201</v>
      </c>
      <c r="AI2652">
        <v>95.093414314636107</v>
      </c>
      <c r="AJ2652">
        <v>115.869877332925</v>
      </c>
      <c r="AK2652">
        <v>12.5223713075645</v>
      </c>
      <c r="AL2652">
        <v>68.625257961055496</v>
      </c>
      <c r="AM2652">
        <v>105.229783369432</v>
      </c>
      <c r="AN2652">
        <v>0.99999997998548895</v>
      </c>
    </row>
    <row r="2653" spans="1:40" x14ac:dyDescent="0.25">
      <c r="A2653" t="str">
        <f>"20190304164421256"</f>
        <v>20190304164421256</v>
      </c>
      <c r="B2653" t="str">
        <f>"1551689061252695"</f>
        <v>1551689061252695</v>
      </c>
      <c r="C2653" t="s">
        <v>40</v>
      </c>
      <c r="D2653">
        <v>5.2879849999999999</v>
      </c>
      <c r="E2653">
        <v>0.42192950000000001</v>
      </c>
      <c r="F2653" t="s">
        <v>42</v>
      </c>
      <c r="G2653">
        <v>-486.8304</v>
      </c>
      <c r="H2653" s="1">
        <v>-2.676335E-6</v>
      </c>
      <c r="I2653">
        <v>244.5608</v>
      </c>
      <c r="J2653">
        <v>-491.39589999999998</v>
      </c>
      <c r="K2653">
        <v>1.111713</v>
      </c>
      <c r="L2653">
        <v>256.1703</v>
      </c>
      <c r="M2653">
        <v>-8.0859239999999999E-2</v>
      </c>
      <c r="N2653">
        <v>-1.329431E-2</v>
      </c>
      <c r="O2653">
        <v>-0.996637</v>
      </c>
      <c r="P2653">
        <v>0.1751501</v>
      </c>
      <c r="Q2653">
        <v>0.35355579999999998</v>
      </c>
      <c r="R2653">
        <v>-0.91886939999999995</v>
      </c>
      <c r="S2653">
        <v>1.206879</v>
      </c>
      <c r="T2653">
        <v>-0.29517749999999998</v>
      </c>
      <c r="U2653">
        <v>-3.1513979999999999</v>
      </c>
      <c r="V2653">
        <v>-0.24954460000000001</v>
      </c>
      <c r="W2653">
        <v>0.36505989999999999</v>
      </c>
      <c r="X2653">
        <v>0.8969163</v>
      </c>
      <c r="Y2653">
        <v>-0.43076449999999999</v>
      </c>
      <c r="Z2653">
        <v>7.1807960000000004E-2</v>
      </c>
      <c r="AA2653">
        <v>0.89960300000000004</v>
      </c>
      <c r="AB2653">
        <v>26</v>
      </c>
      <c r="AC2653">
        <v>4.5654999999999797</v>
      </c>
      <c r="AD2653">
        <v>-1.111715676335</v>
      </c>
      <c r="AE2653">
        <v>-11.609499999999899</v>
      </c>
      <c r="AF2653">
        <v>-5.4461148810897804</v>
      </c>
      <c r="AG2653">
        <v>-1.111715676335</v>
      </c>
      <c r="AH2653">
        <v>11.114019366372601</v>
      </c>
      <c r="AI2653">
        <v>95.132738407877198</v>
      </c>
      <c r="AJ2653">
        <v>116.105874127593</v>
      </c>
      <c r="AK2653">
        <v>12.426484036892401</v>
      </c>
      <c r="AL2653">
        <v>68.588731881565096</v>
      </c>
      <c r="AM2653">
        <v>105.547900373525</v>
      </c>
      <c r="AN2653">
        <v>1.00000004359142</v>
      </c>
    </row>
    <row r="2654" spans="1:40" x14ac:dyDescent="0.25">
      <c r="A2654" t="str">
        <f>"20190304164421279"</f>
        <v>20190304164421279</v>
      </c>
      <c r="B2654" t="str">
        <f>"1551689061272215"</f>
        <v>1551689061272215</v>
      </c>
      <c r="C2654" t="s">
        <v>40</v>
      </c>
      <c r="D2654">
        <v>5.267061</v>
      </c>
      <c r="E2654">
        <v>0.42249910000000002</v>
      </c>
      <c r="F2654" t="s">
        <v>41</v>
      </c>
      <c r="G2654">
        <v>-491.02069999999998</v>
      </c>
      <c r="H2654">
        <v>1.0204580000000001</v>
      </c>
      <c r="I2654">
        <v>255.2003</v>
      </c>
      <c r="J2654">
        <v>-491.41609999999997</v>
      </c>
      <c r="K2654">
        <v>1.1117250000000001</v>
      </c>
      <c r="L2654">
        <v>255.90520000000001</v>
      </c>
      <c r="M2654">
        <v>-7.9713399999999907E-2</v>
      </c>
      <c r="N2654">
        <v>-1.3252140000000001E-2</v>
      </c>
      <c r="O2654">
        <v>-0.99672969999999905</v>
      </c>
      <c r="P2654">
        <v>0.18126320000000001</v>
      </c>
      <c r="Q2654">
        <v>0.35367900000000002</v>
      </c>
      <c r="R2654">
        <v>-0.91763530000000004</v>
      </c>
      <c r="S2654">
        <v>1.21817</v>
      </c>
      <c r="T2654">
        <v>-0.29599599999999998</v>
      </c>
      <c r="U2654">
        <v>-3.1465299999999998</v>
      </c>
      <c r="V2654">
        <v>-0.254521</v>
      </c>
      <c r="W2654">
        <v>0.36510520000000002</v>
      </c>
      <c r="X2654">
        <v>0.89549829999999997</v>
      </c>
      <c r="Y2654">
        <v>-0.43299219999999999</v>
      </c>
      <c r="Z2654">
        <v>7.2120260000000005E-2</v>
      </c>
      <c r="AA2654">
        <v>0.89850790000000003</v>
      </c>
      <c r="AB2654">
        <v>26</v>
      </c>
      <c r="AC2654">
        <v>0.39539999999999498</v>
      </c>
      <c r="AD2654">
        <v>-9.1267000000000001E-2</v>
      </c>
      <c r="AE2654">
        <v>-0.70490000000000896</v>
      </c>
      <c r="AF2654">
        <v>-0.44466625245852198</v>
      </c>
      <c r="AG2654">
        <v>-9.1267000000000001E-2</v>
      </c>
      <c r="AH2654">
        <v>0.66268475184394404</v>
      </c>
      <c r="AI2654">
        <v>96.524168568575504</v>
      </c>
      <c r="AJ2654">
        <v>123.86189647202001</v>
      </c>
      <c r="AK2654">
        <v>0.80324891639576801</v>
      </c>
      <c r="AL2654">
        <v>68.585942425139294</v>
      </c>
      <c r="AM2654">
        <v>105.866356446664</v>
      </c>
      <c r="AN2654">
        <v>0.99999997590546397</v>
      </c>
    </row>
    <row r="2655" spans="1:40" x14ac:dyDescent="0.25">
      <c r="A2655" t="str">
        <f>"20190304164421303"</f>
        <v>20190304164421303</v>
      </c>
      <c r="B2655" t="str">
        <f>"1551689061292711"</f>
        <v>1551689061292711</v>
      </c>
      <c r="C2655" t="s">
        <v>40</v>
      </c>
      <c r="D2655">
        <v>5.4331449999999997</v>
      </c>
      <c r="E2655">
        <v>0.4228595</v>
      </c>
      <c r="F2655" t="s">
        <v>41</v>
      </c>
      <c r="G2655">
        <v>-491.04939999999999</v>
      </c>
      <c r="H2655">
        <v>1.022761</v>
      </c>
      <c r="I2655">
        <v>254.9691</v>
      </c>
      <c r="J2655">
        <v>-491.43669999999997</v>
      </c>
      <c r="K2655">
        <v>1.111745</v>
      </c>
      <c r="L2655">
        <v>255.62780000000001</v>
      </c>
      <c r="M2655">
        <v>-7.8455349999999993E-2</v>
      </c>
      <c r="N2655">
        <v>-1.320939E-2</v>
      </c>
      <c r="O2655">
        <v>-0.99683049999999995</v>
      </c>
      <c r="P2655">
        <v>0.18670990000000001</v>
      </c>
      <c r="Q2655">
        <v>0.35347220000000001</v>
      </c>
      <c r="R2655">
        <v>-0.91662290000000002</v>
      </c>
      <c r="S2655">
        <v>1.2306520000000001</v>
      </c>
      <c r="T2655">
        <v>-0.29851509999999998</v>
      </c>
      <c r="U2655">
        <v>-3.1412049999999998</v>
      </c>
      <c r="V2655">
        <v>-0.25876329999999997</v>
      </c>
      <c r="W2655">
        <v>0.36481659999999999</v>
      </c>
      <c r="X2655">
        <v>0.89439950000000001</v>
      </c>
      <c r="Y2655">
        <v>-0.43544129999999998</v>
      </c>
      <c r="Z2655">
        <v>7.2922749999999995E-2</v>
      </c>
      <c r="AA2655">
        <v>0.89725869999999996</v>
      </c>
      <c r="AB2655">
        <v>26</v>
      </c>
      <c r="AC2655">
        <v>0.38729999999998199</v>
      </c>
      <c r="AD2655">
        <v>-8.8983999999999897E-2</v>
      </c>
      <c r="AE2655">
        <v>-0.65870000000001006</v>
      </c>
      <c r="AF2655">
        <v>-0.431931549216029</v>
      </c>
      <c r="AG2655">
        <v>-8.8983999999999897E-2</v>
      </c>
      <c r="AH2655">
        <v>0.61790146576642502</v>
      </c>
      <c r="AI2655">
        <v>96.731554896118695</v>
      </c>
      <c r="AJ2655">
        <v>124.954696260104</v>
      </c>
      <c r="AK2655">
        <v>0.75913453146359799</v>
      </c>
      <c r="AL2655">
        <v>68.6037043104091</v>
      </c>
      <c r="AM2655">
        <v>106.135955867034</v>
      </c>
      <c r="AN2655">
        <v>1.00000003133134</v>
      </c>
    </row>
    <row r="2656" spans="1:40" x14ac:dyDescent="0.25">
      <c r="A2656" t="str">
        <f>"20190304164421322"</f>
        <v>20190304164421322</v>
      </c>
      <c r="B2656" t="str">
        <f>"1551689061312231"</f>
        <v>1551689061312231</v>
      </c>
      <c r="C2656" t="s">
        <v>40</v>
      </c>
      <c r="D2656">
        <v>5.2718239999999996</v>
      </c>
      <c r="E2656">
        <v>0.4334365</v>
      </c>
      <c r="F2656" t="s">
        <v>41</v>
      </c>
      <c r="G2656">
        <v>-491.08370000000002</v>
      </c>
      <c r="H2656">
        <v>1.0260469999999999</v>
      </c>
      <c r="I2656">
        <v>254.7362</v>
      </c>
      <c r="J2656">
        <v>-491.45389999999998</v>
      </c>
      <c r="K2656">
        <v>1.1117669999999999</v>
      </c>
      <c r="L2656">
        <v>255.393</v>
      </c>
      <c r="M2656">
        <v>-7.7326829999999999E-2</v>
      </c>
      <c r="N2656">
        <v>-1.316873E-2</v>
      </c>
      <c r="O2656">
        <v>-0.99691879999999999</v>
      </c>
      <c r="P2656">
        <v>0.19140460000000001</v>
      </c>
      <c r="Q2656">
        <v>0.35262830000000001</v>
      </c>
      <c r="R2656">
        <v>-0.91597890000000004</v>
      </c>
      <c r="S2656">
        <v>1.2430730000000001</v>
      </c>
      <c r="T2656">
        <v>-0.3013747</v>
      </c>
      <c r="U2656">
        <v>-3.13591</v>
      </c>
      <c r="V2656">
        <v>-0.26240439999999998</v>
      </c>
      <c r="W2656">
        <v>0.36389880000000002</v>
      </c>
      <c r="X2656">
        <v>0.89371229999999902</v>
      </c>
      <c r="Y2656">
        <v>-0.43798320000000002</v>
      </c>
      <c r="Z2656">
        <v>7.3815779999999998E-2</v>
      </c>
      <c r="AA2656">
        <v>0.89594750000000001</v>
      </c>
      <c r="AB2656">
        <v>26</v>
      </c>
      <c r="AC2656">
        <v>0.37019999999995401</v>
      </c>
      <c r="AD2656">
        <v>-8.5720000000000005E-2</v>
      </c>
      <c r="AE2656">
        <v>-0.65680000000000405</v>
      </c>
      <c r="AF2656">
        <v>-0.41452561760155998</v>
      </c>
      <c r="AG2656">
        <v>-8.5720000000000005E-2</v>
      </c>
      <c r="AH2656">
        <v>0.61821280566363601</v>
      </c>
      <c r="AI2656">
        <v>96.5695190336926</v>
      </c>
      <c r="AJ2656">
        <v>123.84274351994399</v>
      </c>
      <c r="AK2656">
        <v>0.74924393833681402</v>
      </c>
      <c r="AL2656">
        <v>68.660172225334705</v>
      </c>
      <c r="AM2656">
        <v>106.36285678733201</v>
      </c>
      <c r="AN2656">
        <v>1.0000000404760401</v>
      </c>
    </row>
    <row r="2657" spans="1:40" x14ac:dyDescent="0.25">
      <c r="A2657" t="str">
        <f>"20190304164421344"</f>
        <v>20190304164421344</v>
      </c>
      <c r="B2657" t="str">
        <f>"1551689061342487"</f>
        <v>1551689061342487</v>
      </c>
      <c r="C2657" t="s">
        <v>40</v>
      </c>
      <c r="D2657">
        <v>5.2342779999999998</v>
      </c>
      <c r="E2657">
        <v>0.4332725</v>
      </c>
      <c r="F2657" t="s">
        <v>42</v>
      </c>
      <c r="G2657">
        <v>-487.36279999999999</v>
      </c>
      <c r="H2657" s="1">
        <v>-2.5149440000000002E-6</v>
      </c>
      <c r="I2657">
        <v>244.40469999999999</v>
      </c>
      <c r="J2657">
        <v>-491.47129999999999</v>
      </c>
      <c r="K2657">
        <v>1.1117950000000001</v>
      </c>
      <c r="L2657">
        <v>255.1489</v>
      </c>
      <c r="M2657">
        <v>-7.6078720000000002E-2</v>
      </c>
      <c r="N2657">
        <v>-1.311991E-2</v>
      </c>
      <c r="O2657">
        <v>-0.99701569999999995</v>
      </c>
      <c r="P2657">
        <v>0.195049</v>
      </c>
      <c r="Q2657">
        <v>0.35134090000000001</v>
      </c>
      <c r="R2657">
        <v>-0.91570499999999999</v>
      </c>
      <c r="S2657">
        <v>1.1737979999999999</v>
      </c>
      <c r="T2657">
        <v>-0.31898330000000003</v>
      </c>
      <c r="U2657">
        <v>-3.152695</v>
      </c>
      <c r="V2657">
        <v>-0.26492739999999998</v>
      </c>
      <c r="W2657">
        <v>0.36253170000000001</v>
      </c>
      <c r="X2657">
        <v>0.89352350000000003</v>
      </c>
      <c r="Y2657">
        <v>-0.41780590000000001</v>
      </c>
      <c r="Z2657">
        <v>7.9302300000000006E-2</v>
      </c>
      <c r="AA2657">
        <v>0.90506869999999995</v>
      </c>
      <c r="AB2657">
        <v>26</v>
      </c>
      <c r="AC2657">
        <v>4.1084999999999896</v>
      </c>
      <c r="AD2657">
        <v>-1.111797514944</v>
      </c>
      <c r="AE2657">
        <v>-10.744199999999999</v>
      </c>
      <c r="AF2657">
        <v>-4.8685842570085196</v>
      </c>
      <c r="AG2657">
        <v>-1.111797514944</v>
      </c>
      <c r="AH2657">
        <v>10.3041992194731</v>
      </c>
      <c r="AI2657">
        <v>95.571930524644202</v>
      </c>
      <c r="AJ2657">
        <v>115.29005312062</v>
      </c>
      <c r="AK2657">
        <v>11.450577624575001</v>
      </c>
      <c r="AL2657">
        <v>68.744242038542097</v>
      </c>
      <c r="AM2657">
        <v>106.51495358549499</v>
      </c>
      <c r="AN2657">
        <v>1.00000000291395</v>
      </c>
    </row>
    <row r="2658" spans="1:40" x14ac:dyDescent="0.25">
      <c r="A2658" t="str">
        <f>"20190304164421368"</f>
        <v>20190304164421368</v>
      </c>
      <c r="B2658" t="str">
        <f>"1551689061362987"</f>
        <v>1551689061362987</v>
      </c>
      <c r="C2658" t="s">
        <v>40</v>
      </c>
      <c r="D2658">
        <v>5.2683</v>
      </c>
      <c r="E2658">
        <v>0.4340524</v>
      </c>
      <c r="F2658" t="s">
        <v>42</v>
      </c>
      <c r="G2658">
        <v>-487.48289999999997</v>
      </c>
      <c r="H2658" s="1">
        <v>-2.5525370000000001E-6</v>
      </c>
      <c r="I2658">
        <v>244.542</v>
      </c>
      <c r="J2658">
        <v>-491.49029999999999</v>
      </c>
      <c r="K2658">
        <v>1.1118429999999999</v>
      </c>
      <c r="L2658">
        <v>254.87899999999999</v>
      </c>
      <c r="M2658">
        <v>-7.4599029999999997E-2</v>
      </c>
      <c r="N2658">
        <v>-1.3064630000000001E-2</v>
      </c>
      <c r="O2658">
        <v>-0.99712809999999996</v>
      </c>
      <c r="P2658">
        <v>0.19775899999999999</v>
      </c>
      <c r="Q2658">
        <v>0.34964529999999999</v>
      </c>
      <c r="R2658">
        <v>-0.9157729</v>
      </c>
      <c r="S2658">
        <v>1.1846620000000001</v>
      </c>
      <c r="T2658">
        <v>-0.33023629999999998</v>
      </c>
      <c r="U2658">
        <v>-3.1505429999999999</v>
      </c>
      <c r="V2658">
        <v>-0.2663508</v>
      </c>
      <c r="W2658">
        <v>0.36074859999999997</v>
      </c>
      <c r="X2658">
        <v>0.89382199999999901</v>
      </c>
      <c r="Y2658">
        <v>-0.4192939</v>
      </c>
      <c r="Z2658">
        <v>8.2584019999999994E-2</v>
      </c>
      <c r="AA2658">
        <v>0.90408659999999996</v>
      </c>
      <c r="AB2658">
        <v>26</v>
      </c>
      <c r="AC2658">
        <v>4.0074000000000103</v>
      </c>
      <c r="AD2658">
        <v>-1.1118455525369999</v>
      </c>
      <c r="AE2658">
        <v>-10.337</v>
      </c>
      <c r="AF2658">
        <v>-4.7199567004622498</v>
      </c>
      <c r="AG2658">
        <v>-1.1118455525369999</v>
      </c>
      <c r="AH2658">
        <v>9.9095528088974891</v>
      </c>
      <c r="AI2658">
        <v>95.784099607307297</v>
      </c>
      <c r="AJ2658">
        <v>115.468633106477</v>
      </c>
      <c r="AK2658">
        <v>11.0323809152541</v>
      </c>
      <c r="AL2658">
        <v>68.853823536730403</v>
      </c>
      <c r="AM2658">
        <v>106.593576404267</v>
      </c>
      <c r="AN2658">
        <v>1.00000003437329</v>
      </c>
    </row>
    <row r="2659" spans="1:40" x14ac:dyDescent="0.25">
      <c r="A2659" t="str">
        <f>"20190304164421392"</f>
        <v>20190304164421392</v>
      </c>
      <c r="B2659" t="str">
        <f>"1551689061382507"</f>
        <v>1551689061382507</v>
      </c>
      <c r="C2659" t="s">
        <v>40</v>
      </c>
      <c r="D2659">
        <v>5.3666309999999999</v>
      </c>
      <c r="E2659">
        <v>0.43427139999999997</v>
      </c>
      <c r="F2659" t="s">
        <v>42</v>
      </c>
      <c r="G2659">
        <v>-487.60579999999999</v>
      </c>
      <c r="H2659" s="1">
        <v>-2.5363830000000001E-6</v>
      </c>
      <c r="I2659">
        <v>244.55520000000001</v>
      </c>
      <c r="J2659">
        <v>-491.50920000000002</v>
      </c>
      <c r="K2659">
        <v>1.1118950000000001</v>
      </c>
      <c r="L2659">
        <v>254.602</v>
      </c>
      <c r="M2659">
        <v>-7.2967160000000003E-2</v>
      </c>
      <c r="N2659">
        <v>-1.3008260000000001E-2</v>
      </c>
      <c r="O2659">
        <v>-0.99724979999999996</v>
      </c>
      <c r="P2659">
        <v>0.20001079999999999</v>
      </c>
      <c r="Q2659">
        <v>0.34781380000000001</v>
      </c>
      <c r="R2659">
        <v>-0.91598109999999999</v>
      </c>
      <c r="S2659">
        <v>1.1850590000000001</v>
      </c>
      <c r="T2659">
        <v>-0.339196</v>
      </c>
      <c r="U2659">
        <v>-3.149521</v>
      </c>
      <c r="V2659">
        <v>-0.26720319999999997</v>
      </c>
      <c r="W2659">
        <v>0.35882209999999998</v>
      </c>
      <c r="X2659">
        <v>0.89434290000000005</v>
      </c>
      <c r="Y2659">
        <v>-0.41791970000000001</v>
      </c>
      <c r="Z2659">
        <v>8.5298109999999996E-2</v>
      </c>
      <c r="AA2659">
        <v>0.90447069999999996</v>
      </c>
      <c r="AB2659">
        <v>26</v>
      </c>
      <c r="AC2659">
        <v>3.9034000000000302</v>
      </c>
      <c r="AD2659">
        <v>-1.1118975363829999</v>
      </c>
      <c r="AE2659">
        <v>-10.0467999999999</v>
      </c>
      <c r="AF2659">
        <v>-4.5774290036034504</v>
      </c>
      <c r="AG2659">
        <v>-1.1118975363829999</v>
      </c>
      <c r="AH2659">
        <v>9.6326606243406907</v>
      </c>
      <c r="AI2659">
        <v>95.951996904957994</v>
      </c>
      <c r="AJ2659">
        <v>115.417012073767</v>
      </c>
      <c r="AK2659">
        <v>10.7227479275682</v>
      </c>
      <c r="AL2659">
        <v>68.972126031113106</v>
      </c>
      <c r="AM2659">
        <v>106.634589361191</v>
      </c>
      <c r="AN2659">
        <v>1.00000003615952</v>
      </c>
    </row>
    <row r="2660" spans="1:40" x14ac:dyDescent="0.25">
      <c r="A2660" t="str">
        <f>"20190304164421412"</f>
        <v>20190304164421412</v>
      </c>
      <c r="B2660" t="str">
        <f>"1551689061403002"</f>
        <v>1551689061403002</v>
      </c>
      <c r="C2660" t="s">
        <v>40</v>
      </c>
      <c r="D2660">
        <v>5.2294559999999999</v>
      </c>
      <c r="E2660">
        <v>0.44052940000000002</v>
      </c>
      <c r="F2660" t="s">
        <v>42</v>
      </c>
      <c r="G2660">
        <v>-487.70269999999999</v>
      </c>
      <c r="H2660" s="1">
        <v>-2.5038539999999999E-6</v>
      </c>
      <c r="I2660">
        <v>244.51939999999999</v>
      </c>
      <c r="J2660">
        <v>-491.52480000000003</v>
      </c>
      <c r="K2660">
        <v>1.1119680000000001</v>
      </c>
      <c r="L2660">
        <v>254.3673</v>
      </c>
      <c r="M2660">
        <v>-7.1475479999999994E-2</v>
      </c>
      <c r="N2660">
        <v>-1.296102E-2</v>
      </c>
      <c r="O2660">
        <v>-0.99735830000000003</v>
      </c>
      <c r="P2660">
        <v>0.20086409999999999</v>
      </c>
      <c r="Q2660">
        <v>0.34676380000000001</v>
      </c>
      <c r="R2660">
        <v>-0.91619269999999997</v>
      </c>
      <c r="S2660">
        <v>1.188293</v>
      </c>
      <c r="T2660">
        <v>-0.34710429999999998</v>
      </c>
      <c r="U2660">
        <v>-3.1475070000000001</v>
      </c>
      <c r="V2660">
        <v>-0.26678879999999999</v>
      </c>
      <c r="W2660">
        <v>0.35768870000000003</v>
      </c>
      <c r="X2660">
        <v>0.89492050000000001</v>
      </c>
      <c r="Y2660">
        <v>-0.41748800000000003</v>
      </c>
      <c r="Z2660">
        <v>8.7690989999999996E-2</v>
      </c>
      <c r="AA2660">
        <v>0.9044413</v>
      </c>
      <c r="AB2660">
        <v>26</v>
      </c>
      <c r="AC2660">
        <v>3.82210000000003</v>
      </c>
      <c r="AD2660">
        <v>-1.111970503854</v>
      </c>
      <c r="AE2660">
        <v>-9.8479000000000099</v>
      </c>
      <c r="AF2660">
        <v>-4.4667707365084697</v>
      </c>
      <c r="AG2660">
        <v>-1.111970503854</v>
      </c>
      <c r="AH2660">
        <v>9.4448445714386402</v>
      </c>
      <c r="AI2660">
        <v>96.075164118113193</v>
      </c>
      <c r="AJ2660">
        <v>115.310972804827</v>
      </c>
      <c r="AK2660">
        <v>10.506836259912101</v>
      </c>
      <c r="AL2660">
        <v>69.041683025319799</v>
      </c>
      <c r="AM2660">
        <v>106.60008301646999</v>
      </c>
      <c r="AN2660">
        <v>1.00000008561668</v>
      </c>
    </row>
    <row r="2661" spans="1:40" x14ac:dyDescent="0.25">
      <c r="A2661" t="str">
        <f>"20190304164421435"</f>
        <v>20190304164421435</v>
      </c>
      <c r="B2661" t="str">
        <f>"1551689061422522"</f>
        <v>1551689061422522</v>
      </c>
      <c r="C2661" t="s">
        <v>40</v>
      </c>
      <c r="D2661">
        <v>5.2160310000000001</v>
      </c>
      <c r="E2661">
        <v>0.44025599999999998</v>
      </c>
      <c r="F2661" t="s">
        <v>42</v>
      </c>
      <c r="G2661">
        <v>-488.02109999999999</v>
      </c>
      <c r="H2661" s="1">
        <v>-2.5105680000000001E-6</v>
      </c>
      <c r="I2661">
        <v>244.66669999999999</v>
      </c>
      <c r="J2661">
        <v>-491.54079999999999</v>
      </c>
      <c r="K2661">
        <v>1.112045</v>
      </c>
      <c r="L2661">
        <v>254.1172</v>
      </c>
      <c r="M2661">
        <v>-6.9763399999999906E-2</v>
      </c>
      <c r="N2661">
        <v>-1.290359E-2</v>
      </c>
      <c r="O2661">
        <v>-0.99748029999999999</v>
      </c>
      <c r="P2661">
        <v>0.20325550000000001</v>
      </c>
      <c r="Q2661">
        <v>0.34569299999999997</v>
      </c>
      <c r="R2661">
        <v>-0.91606969999999999</v>
      </c>
      <c r="S2661">
        <v>1.141785</v>
      </c>
      <c r="T2661">
        <v>-0.36237219999999998</v>
      </c>
      <c r="U2661">
        <v>-3.1612550000000001</v>
      </c>
      <c r="V2661">
        <v>-0.26769880000000001</v>
      </c>
      <c r="W2661">
        <v>0.35650569999999998</v>
      </c>
      <c r="X2661">
        <v>0.89512069999999999</v>
      </c>
      <c r="Y2661">
        <v>-0.40271849999999998</v>
      </c>
      <c r="Z2661">
        <v>9.2363719999999996E-2</v>
      </c>
      <c r="AA2661">
        <v>0.91065180000000001</v>
      </c>
      <c r="AB2661">
        <v>26</v>
      </c>
      <c r="AC2661">
        <v>3.5196999999999998</v>
      </c>
      <c r="AD2661">
        <v>-1.1120475105679899</v>
      </c>
      <c r="AE2661">
        <v>-9.4504999999999999</v>
      </c>
      <c r="AF2661">
        <v>-4.1203741091170301</v>
      </c>
      <c r="AG2661">
        <v>-1.1120475105679899</v>
      </c>
      <c r="AH2661">
        <v>9.0715956602984598</v>
      </c>
      <c r="AI2661">
        <v>96.368546730297098</v>
      </c>
      <c r="AJ2661">
        <v>114.42783864094299</v>
      </c>
      <c r="AK2661">
        <v>10.0253668406092</v>
      </c>
      <c r="AL2661">
        <v>69.114246813922705</v>
      </c>
      <c r="AM2661">
        <v>106.650055640029</v>
      </c>
      <c r="AN2661">
        <v>1.00000001461121</v>
      </c>
    </row>
    <row r="2662" spans="1:40" x14ac:dyDescent="0.25">
      <c r="A2662" t="str">
        <f>"20190304164421458"</f>
        <v>20190304164421458</v>
      </c>
      <c r="B2662" t="str">
        <f>"1551689061452779"</f>
        <v>1551689061452779</v>
      </c>
      <c r="C2662" t="s">
        <v>40</v>
      </c>
      <c r="D2662">
        <v>5.446955</v>
      </c>
      <c r="E2662">
        <v>0.44070229999999999</v>
      </c>
      <c r="F2662" t="s">
        <v>41</v>
      </c>
      <c r="G2662">
        <v>-491.18299999999999</v>
      </c>
      <c r="H2662">
        <v>0.99806030000000001</v>
      </c>
      <c r="I2662">
        <v>253.13390000000001</v>
      </c>
      <c r="J2662">
        <v>-491.5573</v>
      </c>
      <c r="K2662">
        <v>1.1121350000000001</v>
      </c>
      <c r="L2662">
        <v>253.8502</v>
      </c>
      <c r="M2662">
        <v>-6.7780640000000003E-2</v>
      </c>
      <c r="N2662">
        <v>-1.283626E-2</v>
      </c>
      <c r="O2662">
        <v>-0.99761770000000005</v>
      </c>
      <c r="P2662">
        <v>0.20640810000000001</v>
      </c>
      <c r="Q2662">
        <v>0.34535149999999998</v>
      </c>
      <c r="R2662">
        <v>-0.91549320000000001</v>
      </c>
      <c r="S2662">
        <v>1.1492610000000001</v>
      </c>
      <c r="T2662">
        <v>-0.3660775</v>
      </c>
      <c r="U2662">
        <v>-3.1580050000000002</v>
      </c>
      <c r="V2662">
        <v>-0.26910790000000001</v>
      </c>
      <c r="W2662">
        <v>0.35602679999999998</v>
      </c>
      <c r="X2662">
        <v>0.89488880000000004</v>
      </c>
      <c r="Y2662">
        <v>-0.40306540000000002</v>
      </c>
      <c r="Z2662">
        <v>9.3575569999999997E-2</v>
      </c>
      <c r="AA2662">
        <v>0.91037460000000003</v>
      </c>
      <c r="AB2662">
        <v>26</v>
      </c>
      <c r="AC2662">
        <v>0.37429999999994801</v>
      </c>
      <c r="AD2662">
        <v>-0.114074699999999</v>
      </c>
      <c r="AE2662">
        <v>-0.71629999999998895</v>
      </c>
      <c r="AF2662">
        <v>-0.413751410581845</v>
      </c>
      <c r="AG2662">
        <v>-0.114074699999999</v>
      </c>
      <c r="AH2662">
        <v>0.67581615220914304</v>
      </c>
      <c r="AI2662">
        <v>98.191946119249295</v>
      </c>
      <c r="AJ2662">
        <v>121.47600189265999</v>
      </c>
      <c r="AK2662">
        <v>0.80058150023925001</v>
      </c>
      <c r="AL2662">
        <v>69.143613480534498</v>
      </c>
      <c r="AM2662">
        <v>106.73690381684099</v>
      </c>
      <c r="AN2662">
        <v>1.0000000542630401</v>
      </c>
    </row>
    <row r="2663" spans="1:40" x14ac:dyDescent="0.25">
      <c r="A2663" t="str">
        <f>"20190304164421482"</f>
        <v>20190304164421482</v>
      </c>
      <c r="B2663" t="str">
        <f>"1551689061472298"</f>
        <v>1551689061472298</v>
      </c>
      <c r="C2663" t="s">
        <v>40</v>
      </c>
      <c r="D2663">
        <v>5.3311099999999998</v>
      </c>
      <c r="E2663">
        <v>0.49126700000000001</v>
      </c>
      <c r="F2663" t="s">
        <v>41</v>
      </c>
      <c r="G2663">
        <v>-491.18819999999999</v>
      </c>
      <c r="H2663">
        <v>0.99461500000000003</v>
      </c>
      <c r="I2663">
        <v>252.84059999999999</v>
      </c>
      <c r="J2663">
        <v>-491.5736</v>
      </c>
      <c r="K2663">
        <v>1.1122160000000001</v>
      </c>
      <c r="L2663">
        <v>253.5737</v>
      </c>
      <c r="M2663">
        <v>-6.559487E-2</v>
      </c>
      <c r="N2663">
        <v>-1.276828E-2</v>
      </c>
      <c r="O2663">
        <v>-0.99776480000000001</v>
      </c>
      <c r="P2663">
        <v>0.21095330000000001</v>
      </c>
      <c r="Q2663">
        <v>0.34494170000000002</v>
      </c>
      <c r="R2663">
        <v>-0.91461130000000002</v>
      </c>
      <c r="S2663">
        <v>1.153778</v>
      </c>
      <c r="T2663">
        <v>-0.36729820000000002</v>
      </c>
      <c r="U2663">
        <v>-3.1553499999999999</v>
      </c>
      <c r="V2663">
        <v>-0.27169919999999997</v>
      </c>
      <c r="W2663">
        <v>0.35547459999999997</v>
      </c>
      <c r="X2663">
        <v>0.89432509999999998</v>
      </c>
      <c r="Y2663">
        <v>-0.4024431</v>
      </c>
      <c r="Z2663">
        <v>9.4097959999999994E-2</v>
      </c>
      <c r="AA2663">
        <v>0.91059599999999996</v>
      </c>
      <c r="AB2663">
        <v>26</v>
      </c>
      <c r="AC2663">
        <v>0.38540000000000402</v>
      </c>
      <c r="AD2663">
        <v>-0.117601</v>
      </c>
      <c r="AE2663">
        <v>-0.73310000000000697</v>
      </c>
      <c r="AF2663">
        <v>-0.42411074785724401</v>
      </c>
      <c r="AG2663">
        <v>-0.117601</v>
      </c>
      <c r="AH2663">
        <v>0.69228130885640005</v>
      </c>
      <c r="AI2663">
        <v>98.242141312062301</v>
      </c>
      <c r="AJ2663">
        <v>121.492792191308</v>
      </c>
      <c r="AK2663">
        <v>0.82033732832351502</v>
      </c>
      <c r="AL2663">
        <v>69.177466022614894</v>
      </c>
      <c r="AM2663">
        <v>106.898971209161</v>
      </c>
      <c r="AN2663">
        <v>1.0000000155079001</v>
      </c>
    </row>
    <row r="2664" spans="1:40" x14ac:dyDescent="0.25">
      <c r="A2664" t="str">
        <f>"20190304164421503"</f>
        <v>20190304164421503</v>
      </c>
      <c r="B2664" t="str">
        <f>"1551689061492794"</f>
        <v>1551689061492794</v>
      </c>
      <c r="C2664" t="s">
        <v>40</v>
      </c>
      <c r="D2664">
        <v>5.2387990000000002</v>
      </c>
      <c r="E2664">
        <v>0.51560340000000005</v>
      </c>
      <c r="F2664" t="s">
        <v>42</v>
      </c>
      <c r="G2664">
        <v>-489.6841</v>
      </c>
      <c r="H2664" s="1">
        <v>-2.6146509999999998E-6</v>
      </c>
      <c r="I2664">
        <v>245.59700000000001</v>
      </c>
      <c r="J2664">
        <v>-491.58749999999998</v>
      </c>
      <c r="K2664">
        <v>1.1122810000000001</v>
      </c>
      <c r="L2664">
        <v>253.32679999999999</v>
      </c>
      <c r="M2664">
        <v>-6.3526449999999998E-2</v>
      </c>
      <c r="N2664">
        <v>-1.2698020000000001E-2</v>
      </c>
      <c r="O2664">
        <v>-0.99789950000000005</v>
      </c>
      <c r="P2664">
        <v>0.2154335</v>
      </c>
      <c r="Q2664">
        <v>0.34407969999999999</v>
      </c>
      <c r="R2664">
        <v>-0.91389160000000003</v>
      </c>
      <c r="S2664">
        <v>0.77539060000000004</v>
      </c>
      <c r="T2664">
        <v>-0.45641140000000002</v>
      </c>
      <c r="U2664">
        <v>-3.2733460000000001</v>
      </c>
      <c r="V2664">
        <v>-0.2743274</v>
      </c>
      <c r="W2664">
        <v>0.3544814</v>
      </c>
      <c r="X2664">
        <v>0.89391690000000001</v>
      </c>
      <c r="Y2664">
        <v>-0.28989900000000002</v>
      </c>
      <c r="Z2664">
        <v>0.1202226</v>
      </c>
      <c r="AA2664">
        <v>0.94947619999999999</v>
      </c>
      <c r="AB2664">
        <v>26</v>
      </c>
      <c r="AC2664">
        <v>1.90339999999997</v>
      </c>
      <c r="AD2664">
        <v>-1.11228361465099</v>
      </c>
      <c r="AE2664">
        <v>-7.7297999999999796</v>
      </c>
      <c r="AF2664">
        <v>-2.3448641986969099</v>
      </c>
      <c r="AG2664">
        <v>-1.11228361465099</v>
      </c>
      <c r="AH2664">
        <v>7.4478599509867598</v>
      </c>
      <c r="AI2664">
        <v>98.107212937905302</v>
      </c>
      <c r="AJ2664">
        <v>107.475946952859</v>
      </c>
      <c r="AK2664">
        <v>7.8870895011571998</v>
      </c>
      <c r="AL2664">
        <v>69.238336163578097</v>
      </c>
      <c r="AM2664">
        <v>107.06033050396999</v>
      </c>
      <c r="AN2664">
        <v>1.0000000047211599</v>
      </c>
    </row>
    <row r="2665" spans="1:40" x14ac:dyDescent="0.25">
      <c r="A2665" t="str">
        <f>"20190304164421519"</f>
        <v>20190304164421519</v>
      </c>
      <c r="B2665" t="str">
        <f>"1551689061512315"</f>
        <v>1551689061512315</v>
      </c>
      <c r="C2665" t="s">
        <v>40</v>
      </c>
      <c r="D2665">
        <v>5.1765059999999998</v>
      </c>
      <c r="E2665">
        <v>0.52466489999999999</v>
      </c>
      <c r="F2665" t="s">
        <v>42</v>
      </c>
      <c r="G2665">
        <v>-490.24299999999999</v>
      </c>
      <c r="H2665" s="1">
        <v>-2.7551600000000001E-6</v>
      </c>
      <c r="I2665">
        <v>245.86070000000001</v>
      </c>
      <c r="J2665">
        <v>-491.59660000000002</v>
      </c>
      <c r="K2665">
        <v>1.112328</v>
      </c>
      <c r="L2665">
        <v>253.1593</v>
      </c>
      <c r="M2665">
        <v>-6.2061320000000003E-2</v>
      </c>
      <c r="N2665">
        <v>-1.264359E-2</v>
      </c>
      <c r="O2665">
        <v>-0.99799230000000005</v>
      </c>
      <c r="P2665">
        <v>0.21782489999999999</v>
      </c>
      <c r="Q2665">
        <v>0.34323179999999998</v>
      </c>
      <c r="R2665">
        <v>-0.91364319999999999</v>
      </c>
      <c r="S2665">
        <v>0.59930419999999995</v>
      </c>
      <c r="T2665">
        <v>-0.49580380000000002</v>
      </c>
      <c r="U2665">
        <v>-3.3280180000000001</v>
      </c>
      <c r="V2665">
        <v>-0.27542250000000001</v>
      </c>
      <c r="W2665">
        <v>0.35354530000000001</v>
      </c>
      <c r="X2665">
        <v>0.89395089999999999</v>
      </c>
      <c r="Y2665">
        <v>-0.23619090000000001</v>
      </c>
      <c r="Z2665">
        <v>0.1311204</v>
      </c>
      <c r="AA2665">
        <v>0.96281950000000005</v>
      </c>
      <c r="AB2665">
        <v>26</v>
      </c>
      <c r="AC2665">
        <v>1.3535999999999699</v>
      </c>
      <c r="AD2665">
        <v>-1.1123307551599999</v>
      </c>
      <c r="AE2665">
        <v>-7.2985999999999898</v>
      </c>
      <c r="AF2665">
        <v>-1.7643693198464601</v>
      </c>
      <c r="AG2665">
        <v>-1.1123307551599999</v>
      </c>
      <c r="AH2665">
        <v>7.0423828712249303</v>
      </c>
      <c r="AI2665">
        <v>98.710709157314795</v>
      </c>
      <c r="AJ2665">
        <v>104.06513531914899</v>
      </c>
      <c r="AK2665">
        <v>7.3447556331448203</v>
      </c>
      <c r="AL2665">
        <v>69.295684986999106</v>
      </c>
      <c r="AM2665">
        <v>107.12384451387</v>
      </c>
      <c r="AN2665">
        <v>1.00000002213457</v>
      </c>
    </row>
    <row r="2666" spans="1:40" x14ac:dyDescent="0.25">
      <c r="A2666" t="str">
        <f>"20190304164421536"</f>
        <v>20190304164421536</v>
      </c>
      <c r="B2666" t="str">
        <f>"1551689061532810"</f>
        <v>1551689061532810</v>
      </c>
      <c r="C2666" t="s">
        <v>40</v>
      </c>
      <c r="D2666">
        <v>5.1737440000000001</v>
      </c>
      <c r="E2666">
        <v>0.52876590000000001</v>
      </c>
      <c r="F2666" t="s">
        <v>42</v>
      </c>
      <c r="G2666">
        <v>-490.42039999999997</v>
      </c>
      <c r="H2666" s="1">
        <v>-2.7833929999999999E-6</v>
      </c>
      <c r="I2666">
        <v>245.81649999999999</v>
      </c>
      <c r="J2666">
        <v>-491.60719999999998</v>
      </c>
      <c r="K2666">
        <v>1.112374</v>
      </c>
      <c r="L2666">
        <v>252.95750000000001</v>
      </c>
      <c r="M2666">
        <v>-6.02216E-2</v>
      </c>
      <c r="N2666">
        <v>-1.2572109999999999E-2</v>
      </c>
      <c r="O2666">
        <v>-0.99810620000000005</v>
      </c>
      <c r="P2666">
        <v>0.2227056</v>
      </c>
      <c r="Q2666">
        <v>0.34151379999999998</v>
      </c>
      <c r="R2666">
        <v>-0.91311070000000005</v>
      </c>
      <c r="S2666">
        <v>0.53601069999999995</v>
      </c>
      <c r="T2666">
        <v>-0.50690479999999905</v>
      </c>
      <c r="U2666">
        <v>-3.3462369999999999</v>
      </c>
      <c r="V2666">
        <v>-0.27865440000000002</v>
      </c>
      <c r="W2666">
        <v>0.35170420000000002</v>
      </c>
      <c r="X2666">
        <v>0.89367540000000001</v>
      </c>
      <c r="Y2666">
        <v>-0.21568799999999999</v>
      </c>
      <c r="Z2666">
        <v>0.13418669999999999</v>
      </c>
      <c r="AA2666">
        <v>0.96719829999999996</v>
      </c>
      <c r="AB2666">
        <v>26</v>
      </c>
      <c r="AC2666">
        <v>1.1868000000000001</v>
      </c>
      <c r="AD2666">
        <v>-1.1123767833930001</v>
      </c>
      <c r="AE2666">
        <v>-7.1410000000000098</v>
      </c>
      <c r="AF2666">
        <v>-1.57747293162309</v>
      </c>
      <c r="AG2666">
        <v>-1.1123767833930001</v>
      </c>
      <c r="AH2666">
        <v>6.8937772584436701</v>
      </c>
      <c r="AI2666">
        <v>98.939043184193096</v>
      </c>
      <c r="AJ2666">
        <v>102.88884237355801</v>
      </c>
      <c r="AK2666">
        <v>7.1589082859937898</v>
      </c>
      <c r="AL2666">
        <v>69.408411194890107</v>
      </c>
      <c r="AM2666">
        <v>107.317853118413</v>
      </c>
      <c r="AN2666">
        <v>0.99999991975107605</v>
      </c>
    </row>
    <row r="2667" spans="1:40" x14ac:dyDescent="0.25">
      <c r="A2667" t="str">
        <f>"20190304164421549"</f>
        <v>20190304164421549</v>
      </c>
      <c r="B2667" t="str">
        <f>"1551689061542571"</f>
        <v>1551689061542571</v>
      </c>
      <c r="C2667" t="s">
        <v>40</v>
      </c>
      <c r="D2667">
        <v>5.1814869999999997</v>
      </c>
      <c r="E2667">
        <v>0.53007280000000001</v>
      </c>
      <c r="F2667" t="s">
        <v>42</v>
      </c>
      <c r="G2667">
        <v>-490.4966</v>
      </c>
      <c r="H2667" s="1">
        <v>-2.7925669999999999E-6</v>
      </c>
      <c r="I2667">
        <v>245.79060000000001</v>
      </c>
      <c r="J2667">
        <v>-491.61540000000002</v>
      </c>
      <c r="K2667">
        <v>1.1124069999999999</v>
      </c>
      <c r="L2667">
        <v>252.79580000000001</v>
      </c>
      <c r="M2667">
        <v>-5.868727E-2</v>
      </c>
      <c r="N2667">
        <v>-1.2514050000000001E-2</v>
      </c>
      <c r="O2667">
        <v>-0.99819809999999998</v>
      </c>
      <c r="P2667">
        <v>0.22579940000000001</v>
      </c>
      <c r="Q2667">
        <v>0.34094469999999999</v>
      </c>
      <c r="R2667">
        <v>-0.91256320000000002</v>
      </c>
      <c r="S2667">
        <v>0.51965329999999998</v>
      </c>
      <c r="T2667">
        <v>-0.52048989999999995</v>
      </c>
      <c r="U2667">
        <v>-3.353424</v>
      </c>
      <c r="V2667">
        <v>-0.28037260000000003</v>
      </c>
      <c r="W2667">
        <v>0.35103679999999998</v>
      </c>
      <c r="X2667">
        <v>0.89340039999999998</v>
      </c>
      <c r="Y2667">
        <v>-0.2091789</v>
      </c>
      <c r="Z2667">
        <v>0.13796829999999999</v>
      </c>
      <c r="AA2667">
        <v>0.9680955</v>
      </c>
      <c r="AB2667">
        <v>26</v>
      </c>
      <c r="AC2667">
        <v>1.11880000000002</v>
      </c>
      <c r="AD2667">
        <v>-1.112409792567</v>
      </c>
      <c r="AE2667">
        <v>-7.0052000000000003</v>
      </c>
      <c r="AF2667">
        <v>-1.4913480508544099</v>
      </c>
      <c r="AG2667">
        <v>-1.112409792567</v>
      </c>
      <c r="AH2667">
        <v>6.7612049303753698</v>
      </c>
      <c r="AI2667">
        <v>99.1274964128649</v>
      </c>
      <c r="AJ2667">
        <v>102.438800681388</v>
      </c>
      <c r="AK2667">
        <v>7.0125221330073799</v>
      </c>
      <c r="AL2667">
        <v>69.449255427921898</v>
      </c>
      <c r="AM2667">
        <v>107.423232452797</v>
      </c>
      <c r="AN2667">
        <v>0.99999995225257898</v>
      </c>
    </row>
    <row r="2668" spans="1:40" x14ac:dyDescent="0.25">
      <c r="A2668" t="str">
        <f>"20190304164421573"</f>
        <v>20190304164421573</v>
      </c>
      <c r="B2668" t="str">
        <f>"1551689061562091"</f>
        <v>1551689061562091</v>
      </c>
      <c r="C2668" t="s">
        <v>40</v>
      </c>
      <c r="D2668">
        <v>5.1860059999999999</v>
      </c>
      <c r="E2668">
        <v>0.5321785</v>
      </c>
      <c r="F2668" t="s">
        <v>42</v>
      </c>
      <c r="G2668">
        <v>-490.51609999999999</v>
      </c>
      <c r="H2668" s="1">
        <v>-2.754445E-6</v>
      </c>
      <c r="I2668">
        <v>245.68969999999999</v>
      </c>
      <c r="J2668">
        <v>-491.6284</v>
      </c>
      <c r="K2668">
        <v>1.112473</v>
      </c>
      <c r="L2668">
        <v>252.52549999999999</v>
      </c>
      <c r="M2668">
        <v>-5.6038009999999999E-2</v>
      </c>
      <c r="N2668">
        <v>-1.2422539999999999E-2</v>
      </c>
      <c r="O2668">
        <v>-0.99835130000000005</v>
      </c>
      <c r="P2668">
        <v>0.2318664</v>
      </c>
      <c r="Q2668">
        <v>0.33963349999999998</v>
      </c>
      <c r="R2668">
        <v>-0.91153030000000002</v>
      </c>
      <c r="S2668">
        <v>0.51904300000000003</v>
      </c>
      <c r="T2668">
        <v>-0.525236699999999</v>
      </c>
      <c r="U2668">
        <v>-3.3552249999999999</v>
      </c>
      <c r="V2668">
        <v>-0.28405740000000002</v>
      </c>
      <c r="W2668">
        <v>0.3495607</v>
      </c>
      <c r="X2668">
        <v>0.89281509999999997</v>
      </c>
      <c r="Y2668">
        <v>-0.20630589999999999</v>
      </c>
      <c r="Z2668">
        <v>0.13940920000000001</v>
      </c>
      <c r="AA2668">
        <v>0.96850550000000002</v>
      </c>
      <c r="AB2668">
        <v>26</v>
      </c>
      <c r="AC2668">
        <v>1.1123000000000001</v>
      </c>
      <c r="AD2668">
        <v>-1.1124757544449999</v>
      </c>
      <c r="AE2668">
        <v>-6.8357999999999999</v>
      </c>
      <c r="AF2668">
        <v>-1.4560764343958901</v>
      </c>
      <c r="AG2668">
        <v>-1.1124757544449999</v>
      </c>
      <c r="AH2668">
        <v>6.59261821761016</v>
      </c>
      <c r="AI2668">
        <v>99.356810655128001</v>
      </c>
      <c r="AJ2668">
        <v>102.454664647984</v>
      </c>
      <c r="AK2668">
        <v>6.8425416221018702</v>
      </c>
      <c r="AL2668">
        <v>69.539553061413301</v>
      </c>
      <c r="AM2668">
        <v>107.64895103875099</v>
      </c>
      <c r="AN2668">
        <v>1.00000004613362</v>
      </c>
    </row>
    <row r="2669" spans="1:40" x14ac:dyDescent="0.25">
      <c r="A2669" t="str">
        <f>"20190304164421593"</f>
        <v>20190304164421593</v>
      </c>
      <c r="B2669" t="str">
        <f>"1551689061582586"</f>
        <v>1551689061582586</v>
      </c>
      <c r="C2669" t="s">
        <v>40</v>
      </c>
      <c r="D2669">
        <v>5.1532539999999996</v>
      </c>
      <c r="E2669">
        <v>0.53372900000000001</v>
      </c>
      <c r="F2669" t="s">
        <v>42</v>
      </c>
      <c r="G2669">
        <v>-490.53550000000001</v>
      </c>
      <c r="H2669" s="1">
        <v>-2.6674679999999998E-6</v>
      </c>
      <c r="I2669">
        <v>245.47489999999999</v>
      </c>
      <c r="J2669">
        <v>-491.63830000000002</v>
      </c>
      <c r="K2669">
        <v>1.112533</v>
      </c>
      <c r="L2669">
        <v>252.30510000000001</v>
      </c>
      <c r="M2669">
        <v>-5.3771329999999999E-2</v>
      </c>
      <c r="N2669">
        <v>-1.23494E-2</v>
      </c>
      <c r="O2669">
        <v>-0.9984769</v>
      </c>
      <c r="P2669">
        <v>0.23717949999999999</v>
      </c>
      <c r="Q2669">
        <v>0.338564799999999</v>
      </c>
      <c r="R2669">
        <v>-0.91056029999999999</v>
      </c>
      <c r="S2669">
        <v>0.52023319999999995</v>
      </c>
      <c r="T2669">
        <v>-0.52954939999999995</v>
      </c>
      <c r="U2669">
        <v>-3.3561550000000002</v>
      </c>
      <c r="V2669">
        <v>-0.28733189999999997</v>
      </c>
      <c r="W2669">
        <v>0.34835379999999999</v>
      </c>
      <c r="X2669">
        <v>0.89223869999999905</v>
      </c>
      <c r="Y2669">
        <v>-0.20435349999999999</v>
      </c>
      <c r="Z2669">
        <v>0.14071810000000001</v>
      </c>
      <c r="AA2669">
        <v>0.96873010000000004</v>
      </c>
      <c r="AB2669">
        <v>26</v>
      </c>
      <c r="AC2669">
        <v>1.1028</v>
      </c>
      <c r="AD2669">
        <v>-1.112535667468</v>
      </c>
      <c r="AE2669">
        <v>-6.8302000000000103</v>
      </c>
      <c r="AF2669">
        <v>-1.4314867697718801</v>
      </c>
      <c r="AG2669">
        <v>-1.112535667468</v>
      </c>
      <c r="AH2669">
        <v>6.5905979709040796</v>
      </c>
      <c r="AI2669">
        <v>99.367165571312498</v>
      </c>
      <c r="AJ2669">
        <v>102.254380815583</v>
      </c>
      <c r="AK2669">
        <v>6.8354130524428003</v>
      </c>
      <c r="AL2669">
        <v>69.613339631794602</v>
      </c>
      <c r="AM2669">
        <v>107.85036445330699</v>
      </c>
      <c r="AN2669">
        <v>0.99999994425486805</v>
      </c>
    </row>
    <row r="2670" spans="1:40" x14ac:dyDescent="0.25">
      <c r="A2670" t="str">
        <f>"20190304164421615"</f>
        <v>20190304164421615</v>
      </c>
      <c r="B2670" t="str">
        <f>"1551689061602106"</f>
        <v>1551689061602106</v>
      </c>
      <c r="C2670" t="s">
        <v>40</v>
      </c>
      <c r="D2670">
        <v>5.1676859999999998</v>
      </c>
      <c r="E2670">
        <v>0.53499680000000005</v>
      </c>
      <c r="F2670" t="s">
        <v>42</v>
      </c>
      <c r="G2670">
        <v>-490.54259999999999</v>
      </c>
      <c r="H2670" s="1">
        <v>-2.59484E-6</v>
      </c>
      <c r="I2670">
        <v>245.30119999999999</v>
      </c>
      <c r="J2670">
        <v>-491.649</v>
      </c>
      <c r="K2670">
        <v>1.1126039999999999</v>
      </c>
      <c r="L2670">
        <v>252.04900000000001</v>
      </c>
      <c r="M2670">
        <v>-5.1020500000000003E-2</v>
      </c>
      <c r="N2670">
        <v>-1.2262149999999999E-2</v>
      </c>
      <c r="O2670">
        <v>-0.99862240000000002</v>
      </c>
      <c r="P2670">
        <v>0.2418505</v>
      </c>
      <c r="Q2670">
        <v>0.3379335</v>
      </c>
      <c r="R2670">
        <v>-0.90956559999999997</v>
      </c>
      <c r="S2670">
        <v>0.52505489999999999</v>
      </c>
      <c r="T2670">
        <v>-0.53311709999999901</v>
      </c>
      <c r="U2670">
        <v>-3.3561709999999998</v>
      </c>
      <c r="V2670">
        <v>-0.28954960000000002</v>
      </c>
      <c r="W2670">
        <v>0.34756479999999901</v>
      </c>
      <c r="X2670">
        <v>0.89182939999999999</v>
      </c>
      <c r="Y2670">
        <v>-0.2029929</v>
      </c>
      <c r="Z2670">
        <v>0.14185320000000001</v>
      </c>
      <c r="AA2670">
        <v>0.96885060000000001</v>
      </c>
      <c r="AB2670">
        <v>26</v>
      </c>
      <c r="AC2670">
        <v>1.1064000000000001</v>
      </c>
      <c r="AD2670">
        <v>-1.1126065948399999</v>
      </c>
      <c r="AE2670">
        <v>-6.7478000000000096</v>
      </c>
      <c r="AF2670">
        <v>-1.41188113610044</v>
      </c>
      <c r="AG2670">
        <v>-1.1126065948399999</v>
      </c>
      <c r="AH2670">
        <v>6.5101990131310004</v>
      </c>
      <c r="AI2670">
        <v>99.481988148730196</v>
      </c>
      <c r="AJ2670">
        <v>102.23636996206</v>
      </c>
      <c r="AK2670">
        <v>6.7538132168375604</v>
      </c>
      <c r="AL2670">
        <v>69.661559813329404</v>
      </c>
      <c r="AM2670">
        <v>107.987020810545</v>
      </c>
      <c r="AN2670">
        <v>0.99999996988177897</v>
      </c>
    </row>
    <row r="2671" spans="1:40" x14ac:dyDescent="0.25">
      <c r="A2671" t="str">
        <f>"20190304164421637"</f>
        <v>20190304164421637</v>
      </c>
      <c r="B2671" t="str">
        <f>"1551689061632363"</f>
        <v>1551689061632363</v>
      </c>
      <c r="C2671" t="s">
        <v>40</v>
      </c>
      <c r="D2671">
        <v>5.1697340000000001</v>
      </c>
      <c r="E2671">
        <v>0.5364797</v>
      </c>
      <c r="F2671" t="s">
        <v>42</v>
      </c>
      <c r="G2671">
        <v>-490.54520000000002</v>
      </c>
      <c r="H2671" s="1">
        <v>-2.4996979999999999E-6</v>
      </c>
      <c r="I2671">
        <v>245.0778</v>
      </c>
      <c r="J2671">
        <v>-491.65859999999998</v>
      </c>
      <c r="K2671">
        <v>1.1126799999999999</v>
      </c>
      <c r="L2671">
        <v>251.80160000000001</v>
      </c>
      <c r="M2671">
        <v>-4.82345E-2</v>
      </c>
      <c r="N2671">
        <v>-1.218347E-2</v>
      </c>
      <c r="O2671">
        <v>-0.99876189999999998</v>
      </c>
      <c r="P2671">
        <v>0.24665000000000001</v>
      </c>
      <c r="Q2671">
        <v>0.3376363</v>
      </c>
      <c r="R2671">
        <v>-0.90838640000000004</v>
      </c>
      <c r="S2671">
        <v>0.53140259999999995</v>
      </c>
      <c r="T2671">
        <v>-0.53562219999999905</v>
      </c>
      <c r="U2671">
        <v>-3.356033</v>
      </c>
      <c r="V2671">
        <v>-0.29186119999999999</v>
      </c>
      <c r="W2671">
        <v>0.34711540000000002</v>
      </c>
      <c r="X2671">
        <v>0.89125080000000001</v>
      </c>
      <c r="Y2671">
        <v>-0.2020402</v>
      </c>
      <c r="Z2671">
        <v>0.14267289999999999</v>
      </c>
      <c r="AA2671">
        <v>0.96892940000000005</v>
      </c>
      <c r="AB2671">
        <v>26</v>
      </c>
      <c r="AC2671">
        <v>1.11339999999995</v>
      </c>
      <c r="AD2671">
        <v>-1.11268249969799</v>
      </c>
      <c r="AE2671">
        <v>-6.7238000000000104</v>
      </c>
      <c r="AF2671">
        <v>-1.39915375425619</v>
      </c>
      <c r="AG2671">
        <v>-1.11268249969799</v>
      </c>
      <c r="AH2671">
        <v>6.4892976398808297</v>
      </c>
      <c r="AI2671">
        <v>99.515044989475996</v>
      </c>
      <c r="AJ2671">
        <v>102.16725090212501</v>
      </c>
      <c r="AK2671">
        <v>6.7310235055410601</v>
      </c>
      <c r="AL2671">
        <v>69.689019276273498</v>
      </c>
      <c r="AM2671">
        <v>108.132260675762</v>
      </c>
      <c r="AN2671">
        <v>1.0000000247416101</v>
      </c>
    </row>
    <row r="2672" spans="1:40" x14ac:dyDescent="0.25">
      <c r="A2672" t="str">
        <f>"20190304164421651"</f>
        <v>20190304164421651</v>
      </c>
      <c r="B2672" t="str">
        <f>"1551689061642123"</f>
        <v>1551689061642123</v>
      </c>
      <c r="C2672" t="s">
        <v>40</v>
      </c>
      <c r="D2672">
        <v>5.1805760000000003</v>
      </c>
      <c r="E2672">
        <v>0.53683400000000003</v>
      </c>
      <c r="F2672" t="s">
        <v>42</v>
      </c>
      <c r="G2672">
        <v>-490.54860000000002</v>
      </c>
      <c r="H2672" s="1">
        <v>-2.3965050000000002E-6</v>
      </c>
      <c r="I2672">
        <v>244.83519999999999</v>
      </c>
      <c r="J2672">
        <v>-491.66500000000002</v>
      </c>
      <c r="K2672">
        <v>1.112738</v>
      </c>
      <c r="L2672">
        <v>251.62450000000001</v>
      </c>
      <c r="M2672">
        <v>-4.6182479999999998E-2</v>
      </c>
      <c r="N2672">
        <v>-1.213266E-2</v>
      </c>
      <c r="O2672">
        <v>-0.99885950000000001</v>
      </c>
      <c r="P2672">
        <v>0.24962300000000001</v>
      </c>
      <c r="Q2672">
        <v>0.33744010000000002</v>
      </c>
      <c r="R2672">
        <v>-0.90764699999999998</v>
      </c>
      <c r="S2672">
        <v>0.53485109999999902</v>
      </c>
      <c r="T2672">
        <v>-0.5361245</v>
      </c>
      <c r="U2672">
        <v>-3.3566280000000002</v>
      </c>
      <c r="V2672">
        <v>-0.29300569999999998</v>
      </c>
      <c r="W2672">
        <v>0.34682239999999998</v>
      </c>
      <c r="X2672">
        <v>0.89098920000000004</v>
      </c>
      <c r="Y2672">
        <v>-0.20097110000000001</v>
      </c>
      <c r="Z2672">
        <v>0.14286840000000001</v>
      </c>
      <c r="AA2672">
        <v>0.96912290000000001</v>
      </c>
      <c r="AB2672">
        <v>26</v>
      </c>
      <c r="AC2672">
        <v>1.1163999999999901</v>
      </c>
      <c r="AD2672">
        <v>-1.112740396505</v>
      </c>
      <c r="AE2672">
        <v>-6.7893000000000203</v>
      </c>
      <c r="AF2672">
        <v>-1.39236150291536</v>
      </c>
      <c r="AG2672">
        <v>-1.112740396505</v>
      </c>
      <c r="AH2672">
        <v>6.5589453158717399</v>
      </c>
      <c r="AI2672">
        <v>99.422599954443498</v>
      </c>
      <c r="AJ2672">
        <v>101.985077292235</v>
      </c>
      <c r="AK2672">
        <v>6.7968099430108202</v>
      </c>
      <c r="AL2672">
        <v>69.706917044474196</v>
      </c>
      <c r="AM2672">
        <v>108.20367665452299</v>
      </c>
      <c r="AN2672">
        <v>0.99999993594544301</v>
      </c>
    </row>
    <row r="2673" spans="1:40" x14ac:dyDescent="0.25">
      <c r="A2673" t="str">
        <f>"20190304164421670"</f>
        <v>20190304164421670</v>
      </c>
      <c r="B2673" t="str">
        <f>"1551689061662618"</f>
        <v>1551689061662618</v>
      </c>
      <c r="C2673" t="s">
        <v>40</v>
      </c>
      <c r="D2673">
        <v>5.1997839999999904</v>
      </c>
      <c r="E2673">
        <v>0.53742769999999995</v>
      </c>
      <c r="F2673" t="s">
        <v>42</v>
      </c>
      <c r="G2673">
        <v>-490.54430000000002</v>
      </c>
      <c r="H2673" s="1">
        <v>-2.326383E-6</v>
      </c>
      <c r="I2673">
        <v>244.67439999999999</v>
      </c>
      <c r="J2673">
        <v>-491.6721</v>
      </c>
      <c r="K2673">
        <v>1.1128</v>
      </c>
      <c r="L2673">
        <v>251.4151</v>
      </c>
      <c r="M2673">
        <v>-4.3683079999999999E-2</v>
      </c>
      <c r="N2673">
        <v>-1.207719E-2</v>
      </c>
      <c r="O2673">
        <v>-0.99897250000000004</v>
      </c>
      <c r="P2673">
        <v>0.2536911</v>
      </c>
      <c r="Q2673">
        <v>0.33740959999999998</v>
      </c>
      <c r="R2673">
        <v>-0.90652940000000004</v>
      </c>
      <c r="S2673">
        <v>0.54122919999999997</v>
      </c>
      <c r="T2673">
        <v>-0.53733690000000001</v>
      </c>
      <c r="U2673">
        <v>-3.3561399999999999</v>
      </c>
      <c r="V2673">
        <v>-0.29483569999999998</v>
      </c>
      <c r="W2673">
        <v>0.34667969999999998</v>
      </c>
      <c r="X2673">
        <v>0.89044089999999998</v>
      </c>
      <c r="Y2673">
        <v>-0.20033010000000001</v>
      </c>
      <c r="Z2673">
        <v>0.1433036</v>
      </c>
      <c r="AA2673">
        <v>0.96919140000000004</v>
      </c>
      <c r="AB2673">
        <v>26</v>
      </c>
      <c r="AC2673">
        <v>1.1277999999999699</v>
      </c>
      <c r="AD2673">
        <v>-1.112802326383</v>
      </c>
      <c r="AE2673">
        <v>-6.7407000000000004</v>
      </c>
      <c r="AF2673">
        <v>-1.3844941439662699</v>
      </c>
      <c r="AG2673">
        <v>-1.112802326383</v>
      </c>
      <c r="AH2673">
        <v>6.5123427257233901</v>
      </c>
      <c r="AI2673">
        <v>99.488735995005797</v>
      </c>
      <c r="AJ2673">
        <v>102.00212937670899</v>
      </c>
      <c r="AK2673">
        <v>6.7502415386090204</v>
      </c>
      <c r="AL2673">
        <v>69.715634281512095</v>
      </c>
      <c r="AM2673">
        <v>108.320328766575</v>
      </c>
      <c r="AN2673">
        <v>0.99999995038969303</v>
      </c>
    </row>
    <row r="2674" spans="1:40" x14ac:dyDescent="0.25">
      <c r="A2674" t="str">
        <f>"20190304164421691"</f>
        <v>20190304164421691</v>
      </c>
      <c r="B2674" t="str">
        <f>"1551689061682138"</f>
        <v>1551689061682138</v>
      </c>
      <c r="C2674" t="s">
        <v>40</v>
      </c>
      <c r="D2674">
        <v>5.2136370000000003</v>
      </c>
      <c r="E2674">
        <v>0.53800559999999997</v>
      </c>
      <c r="F2674" t="s">
        <v>42</v>
      </c>
      <c r="G2674">
        <v>-490.53660000000002</v>
      </c>
      <c r="H2674" s="1">
        <v>-2.236413E-6</v>
      </c>
      <c r="I2674">
        <v>244.46950000000001</v>
      </c>
      <c r="J2674">
        <v>-491.67970000000003</v>
      </c>
      <c r="K2674">
        <v>1.112889</v>
      </c>
      <c r="L2674">
        <v>251.16079999999999</v>
      </c>
      <c r="M2674">
        <v>-4.0526649999999997E-2</v>
      </c>
      <c r="N2674">
        <v>-1.201584E-2</v>
      </c>
      <c r="O2674">
        <v>-0.99910639999999995</v>
      </c>
      <c r="P2674">
        <v>0.25770949999999998</v>
      </c>
      <c r="Q2674">
        <v>0.33746090000000001</v>
      </c>
      <c r="R2674">
        <v>-0.90537610000000002</v>
      </c>
      <c r="S2674">
        <v>0.54864499999999905</v>
      </c>
      <c r="T2674">
        <v>-0.53767469999999995</v>
      </c>
      <c r="U2674">
        <v>-3.3559269999999999</v>
      </c>
      <c r="V2674">
        <v>-0.29604989999999998</v>
      </c>
      <c r="W2674">
        <v>0.3466033</v>
      </c>
      <c r="X2674">
        <v>0.89006779999999996</v>
      </c>
      <c r="Y2674">
        <v>-0.19933029999999999</v>
      </c>
      <c r="Z2674">
        <v>0.1434927</v>
      </c>
      <c r="AA2674">
        <v>0.9693695</v>
      </c>
      <c r="AB2674">
        <v>26</v>
      </c>
      <c r="AC2674">
        <v>1.1431</v>
      </c>
      <c r="AD2674">
        <v>-1.1128912364129999</v>
      </c>
      <c r="AE2674">
        <v>-6.6912999999999796</v>
      </c>
      <c r="AF2674">
        <v>-1.3763628556151799</v>
      </c>
      <c r="AG2674">
        <v>-1.1128912364129999</v>
      </c>
      <c r="AH2674">
        <v>6.4656900994528899</v>
      </c>
      <c r="AI2674">
        <v>99.556164766711404</v>
      </c>
      <c r="AJ2674">
        <v>102.017277969541</v>
      </c>
      <c r="AK2674">
        <v>6.7035848675589298</v>
      </c>
      <c r="AL2674">
        <v>69.720302919816405</v>
      </c>
      <c r="AM2674">
        <v>108.39789904724501</v>
      </c>
      <c r="AN2674">
        <v>1.00000003972886</v>
      </c>
    </row>
    <row r="2675" spans="1:40" x14ac:dyDescent="0.25">
      <c r="A2675" t="str">
        <f>"20190304164421707"</f>
        <v>20190304164421707</v>
      </c>
      <c r="B2675" t="str">
        <f>"1551689061702635"</f>
        <v>1551689061702635</v>
      </c>
      <c r="C2675" t="s">
        <v>40</v>
      </c>
      <c r="D2675">
        <v>5.2117380000000004</v>
      </c>
      <c r="E2675">
        <v>0.53856800000000005</v>
      </c>
      <c r="F2675" t="s">
        <v>42</v>
      </c>
      <c r="G2675">
        <v>-490.52839999999998</v>
      </c>
      <c r="H2675" s="1">
        <v>-2.1299569999999998E-6</v>
      </c>
      <c r="I2675">
        <v>244.22640000000001</v>
      </c>
      <c r="J2675">
        <v>-491.68419999999998</v>
      </c>
      <c r="K2675">
        <v>1.112954</v>
      </c>
      <c r="L2675">
        <v>250.9948</v>
      </c>
      <c r="M2675">
        <v>-3.8368920000000001E-2</v>
      </c>
      <c r="N2675">
        <v>-1.1980960000000001E-2</v>
      </c>
      <c r="O2675">
        <v>-0.99919190000000002</v>
      </c>
      <c r="P2675">
        <v>0.25998729999999998</v>
      </c>
      <c r="Q2675">
        <v>0.33807710000000002</v>
      </c>
      <c r="R2675">
        <v>-0.90449460000000004</v>
      </c>
      <c r="S2675">
        <v>0.55715939999999997</v>
      </c>
      <c r="T2675">
        <v>-0.53854799999999903</v>
      </c>
      <c r="U2675">
        <v>-3.3557130000000002</v>
      </c>
      <c r="V2675">
        <v>-0.29641849999999997</v>
      </c>
      <c r="W2675">
        <v>0.34713549999999999</v>
      </c>
      <c r="X2675">
        <v>0.88973769999999996</v>
      </c>
      <c r="Y2675">
        <v>-0.19961309999999999</v>
      </c>
      <c r="Z2675">
        <v>0.14376949999999999</v>
      </c>
      <c r="AA2675">
        <v>0.96927030000000003</v>
      </c>
      <c r="AB2675">
        <v>26</v>
      </c>
      <c r="AC2675">
        <v>1.1557999999999899</v>
      </c>
      <c r="AD2675">
        <v>-1.1129561299570001</v>
      </c>
      <c r="AE2675">
        <v>-6.7683999999999802</v>
      </c>
      <c r="AF2675">
        <v>-1.3784483613184</v>
      </c>
      <c r="AG2675">
        <v>-1.1129561299570001</v>
      </c>
      <c r="AH2675">
        <v>6.5470579231360304</v>
      </c>
      <c r="AI2675">
        <v>99.444462431576</v>
      </c>
      <c r="AJ2675">
        <v>101.889666795351</v>
      </c>
      <c r="AK2675">
        <v>6.7825333527324796</v>
      </c>
      <c r="AL2675">
        <v>69.687792415598096</v>
      </c>
      <c r="AM2675">
        <v>108.425632755262</v>
      </c>
      <c r="AN2675">
        <v>1.0000000786518899</v>
      </c>
    </row>
    <row r="2676" spans="1:40" x14ac:dyDescent="0.25">
      <c r="A2676" t="str">
        <f>"20190304164421724"</f>
        <v>20190304164421724</v>
      </c>
      <c r="B2676" t="str">
        <f>"1551689061712394"</f>
        <v>1551689061712394</v>
      </c>
      <c r="C2676" t="s">
        <v>40</v>
      </c>
      <c r="D2676">
        <v>5.2345649999999999</v>
      </c>
      <c r="E2676">
        <v>0.53884319999999997</v>
      </c>
      <c r="F2676" t="s">
        <v>42</v>
      </c>
      <c r="G2676">
        <v>-490.52269999999999</v>
      </c>
      <c r="H2676" s="1">
        <v>-2.0528999999999999E-6</v>
      </c>
      <c r="I2676">
        <v>244.05019999999999</v>
      </c>
      <c r="J2676">
        <v>-491.6891</v>
      </c>
      <c r="K2676">
        <v>1.113038</v>
      </c>
      <c r="L2676">
        <v>250.79499999999999</v>
      </c>
      <c r="M2676">
        <v>-3.5693849999999999E-2</v>
      </c>
      <c r="N2676">
        <v>-1.1942940000000001E-2</v>
      </c>
      <c r="O2676">
        <v>-0.9992915</v>
      </c>
      <c r="P2676">
        <v>0.26269559999999997</v>
      </c>
      <c r="Q2676">
        <v>0.33867249999999999</v>
      </c>
      <c r="R2676">
        <v>-0.90348890000000004</v>
      </c>
      <c r="S2676">
        <v>0.56137079999999995</v>
      </c>
      <c r="T2676">
        <v>-0.53792769999999901</v>
      </c>
      <c r="U2676">
        <v>-3.356522</v>
      </c>
      <c r="V2676">
        <v>-0.29677160000000002</v>
      </c>
      <c r="W2676">
        <v>0.34762910000000002</v>
      </c>
      <c r="X2676">
        <v>0.88942710000000003</v>
      </c>
      <c r="Y2676">
        <v>-0.1981426</v>
      </c>
      <c r="Z2676">
        <v>0.1436297</v>
      </c>
      <c r="AA2676">
        <v>0.96959269999999997</v>
      </c>
      <c r="AB2676">
        <v>26</v>
      </c>
      <c r="AC2676">
        <v>1.1664000000000001</v>
      </c>
      <c r="AD2676">
        <v>-1.1130400529</v>
      </c>
      <c r="AE2676">
        <v>-6.7447999999999899</v>
      </c>
      <c r="AF2676">
        <v>-1.3701917506293799</v>
      </c>
      <c r="AG2676">
        <v>-1.1130400529</v>
      </c>
      <c r="AH2676">
        <v>6.5263000537180798</v>
      </c>
      <c r="AI2676">
        <v>99.475775088986197</v>
      </c>
      <c r="AJ2676">
        <v>101.85699371958</v>
      </c>
      <c r="AK2676">
        <v>6.7608339710432999</v>
      </c>
      <c r="AL2676">
        <v>69.6576306923331</v>
      </c>
      <c r="AM2676">
        <v>108.452102466944</v>
      </c>
      <c r="AN2676">
        <v>0.99999996997388896</v>
      </c>
    </row>
    <row r="2677" spans="1:40" x14ac:dyDescent="0.25">
      <c r="A2677" t="str">
        <f>"20190304164421747"</f>
        <v>20190304164421747</v>
      </c>
      <c r="B2677" t="str">
        <f>"1551689061742650"</f>
        <v>1551689061742650</v>
      </c>
      <c r="C2677" t="s">
        <v>40</v>
      </c>
      <c r="D2677">
        <v>5.2003649999999997</v>
      </c>
      <c r="E2677">
        <v>0.53968609999999995</v>
      </c>
      <c r="F2677" t="s">
        <v>42</v>
      </c>
      <c r="G2677">
        <v>-490.50810000000001</v>
      </c>
      <c r="H2677" s="1">
        <v>-1.9561359999999999E-6</v>
      </c>
      <c r="I2677">
        <v>243.8338</v>
      </c>
      <c r="J2677">
        <v>-491.69459999999998</v>
      </c>
      <c r="K2677">
        <v>1.11317</v>
      </c>
      <c r="L2677">
        <v>250.5248</v>
      </c>
      <c r="M2677">
        <v>-3.1925189999999999E-2</v>
      </c>
      <c r="N2677">
        <v>-1.1898570000000001E-2</v>
      </c>
      <c r="O2677">
        <v>-0.99941950000000002</v>
      </c>
      <c r="P2677">
        <v>0.26666610000000002</v>
      </c>
      <c r="Q2677">
        <v>0.33933580000000002</v>
      </c>
      <c r="R2677">
        <v>-0.90207570000000004</v>
      </c>
      <c r="S2677">
        <v>0.5693665</v>
      </c>
      <c r="T2677">
        <v>-0.53660659999999905</v>
      </c>
      <c r="U2677">
        <v>-3.3560639999999999</v>
      </c>
      <c r="V2677">
        <v>-0.29743330000000001</v>
      </c>
      <c r="W2677">
        <v>0.34815309999999999</v>
      </c>
      <c r="X2677">
        <v>0.88900100000000004</v>
      </c>
      <c r="Y2677">
        <v>-0.1967256</v>
      </c>
      <c r="Z2677">
        <v>0.143347</v>
      </c>
      <c r="AA2677">
        <v>0.96992299999999998</v>
      </c>
      <c r="AB2677">
        <v>26</v>
      </c>
      <c r="AC2677">
        <v>1.1864999999999599</v>
      </c>
      <c r="AD2677">
        <v>-1.1131719561360001</v>
      </c>
      <c r="AE2677">
        <v>-6.6909999999999998</v>
      </c>
      <c r="AF2677">
        <v>-1.3629474148848899</v>
      </c>
      <c r="AG2677">
        <v>-1.1131719561360001</v>
      </c>
      <c r="AH2677">
        <v>6.4759275339725004</v>
      </c>
      <c r="AI2677">
        <v>99.548269781964507</v>
      </c>
      <c r="AJ2677">
        <v>101.885220476434</v>
      </c>
      <c r="AK2677">
        <v>6.7107685763206097</v>
      </c>
      <c r="AL2677">
        <v>69.625607225582499</v>
      </c>
      <c r="AM2677">
        <v>108.498708995138</v>
      </c>
      <c r="AN2677">
        <v>0.99999996349474896</v>
      </c>
    </row>
    <row r="2678" spans="1:40" x14ac:dyDescent="0.25">
      <c r="A2678" t="str">
        <f>"20190304164421770"</f>
        <v>20190304164421770</v>
      </c>
      <c r="B2678" t="str">
        <f>"1551689061762164"</f>
        <v>1551689061762164</v>
      </c>
      <c r="C2678" t="s">
        <v>40</v>
      </c>
      <c r="D2678">
        <v>5.1879949999999999</v>
      </c>
      <c r="E2678">
        <v>0.54019019999999995</v>
      </c>
      <c r="F2678" t="s">
        <v>42</v>
      </c>
      <c r="G2678">
        <v>-490.4948</v>
      </c>
      <c r="H2678" s="1">
        <v>-1.831118E-6</v>
      </c>
      <c r="I2678">
        <v>243.5506</v>
      </c>
      <c r="J2678">
        <v>-491.69900000000001</v>
      </c>
      <c r="K2678">
        <v>1.1132979999999999</v>
      </c>
      <c r="L2678">
        <v>250.25489999999999</v>
      </c>
      <c r="M2678">
        <v>-2.7984519999999999E-2</v>
      </c>
      <c r="N2678">
        <v>-1.1861210000000001E-2</v>
      </c>
      <c r="O2678">
        <v>-0.99953809999999998</v>
      </c>
      <c r="P2678">
        <v>0.270812</v>
      </c>
      <c r="Q2678">
        <v>0.33898509999999998</v>
      </c>
      <c r="R2678">
        <v>-0.90097190000000005</v>
      </c>
      <c r="S2678">
        <v>0.57742309999999997</v>
      </c>
      <c r="T2678">
        <v>-0.53573570000000004</v>
      </c>
      <c r="U2678">
        <v>-3.3565059999999902</v>
      </c>
      <c r="V2678">
        <v>-0.29813070000000003</v>
      </c>
      <c r="W2678">
        <v>0.34767110000000001</v>
      </c>
      <c r="X2678">
        <v>0.88895609999999903</v>
      </c>
      <c r="Y2678">
        <v>-0.19511039999999999</v>
      </c>
      <c r="Z2678">
        <v>0.14314460000000001</v>
      </c>
      <c r="AA2678">
        <v>0.97027909999999995</v>
      </c>
      <c r="AB2678">
        <v>26</v>
      </c>
      <c r="AC2678">
        <v>1.2042000000000099</v>
      </c>
      <c r="AD2678">
        <v>-1.11329983111799</v>
      </c>
      <c r="AE2678">
        <v>-6.7042999999999804</v>
      </c>
      <c r="AF2678">
        <v>-1.35515738922715</v>
      </c>
      <c r="AG2678">
        <v>-1.11329983111799</v>
      </c>
      <c r="AH2678">
        <v>6.4944835417157796</v>
      </c>
      <c r="AI2678">
        <v>99.525942479798999</v>
      </c>
      <c r="AJ2678">
        <v>101.786381828804</v>
      </c>
      <c r="AK2678">
        <v>6.7271245370634798</v>
      </c>
      <c r="AL2678">
        <v>69.655065412230897</v>
      </c>
      <c r="AM2678">
        <v>108.539994223767</v>
      </c>
      <c r="AN2678">
        <v>1.0000000278924499</v>
      </c>
    </row>
    <row r="2679" spans="1:40" x14ac:dyDescent="0.25">
      <c r="A2679" t="str">
        <f>"20190304164421795"</f>
        <v>20190304164421795</v>
      </c>
      <c r="B2679" t="str">
        <f>"1551689061782661"</f>
        <v>1551689061782661</v>
      </c>
      <c r="C2679" t="s">
        <v>40</v>
      </c>
      <c r="D2679">
        <v>5.1939739999999999</v>
      </c>
      <c r="E2679">
        <v>0.54059419999999903</v>
      </c>
      <c r="F2679" t="s">
        <v>42</v>
      </c>
      <c r="G2679">
        <v>-490.48110000000003</v>
      </c>
      <c r="H2679" s="1">
        <v>-1.7228189999999999E-6</v>
      </c>
      <c r="I2679">
        <v>243.3066</v>
      </c>
      <c r="J2679">
        <v>-491.70209999999997</v>
      </c>
      <c r="K2679">
        <v>1.1134219999999999</v>
      </c>
      <c r="L2679">
        <v>249.98650000000001</v>
      </c>
      <c r="M2679">
        <v>-2.387164E-2</v>
      </c>
      <c r="N2679">
        <v>-1.183624E-2</v>
      </c>
      <c r="O2679">
        <v>-0.99964489999999995</v>
      </c>
      <c r="P2679">
        <v>0.27439789999999997</v>
      </c>
      <c r="Q2679">
        <v>0.33821190000000001</v>
      </c>
      <c r="R2679">
        <v>-0.900177</v>
      </c>
      <c r="S2679">
        <v>0.58810419999999997</v>
      </c>
      <c r="T2679">
        <v>-0.5375934</v>
      </c>
      <c r="U2679">
        <v>-3.3552249999999999</v>
      </c>
      <c r="V2679">
        <v>-0.29812319999999998</v>
      </c>
      <c r="W2679">
        <v>0.34678710000000001</v>
      </c>
      <c r="X2679">
        <v>0.88930379999999998</v>
      </c>
      <c r="Y2679">
        <v>-0.19412289999999999</v>
      </c>
      <c r="Z2679">
        <v>0.14375470000000001</v>
      </c>
      <c r="AA2679">
        <v>0.970387</v>
      </c>
      <c r="AB2679">
        <v>26</v>
      </c>
      <c r="AC2679">
        <v>1.2209999999999399</v>
      </c>
      <c r="AD2679">
        <v>-1.11342372281899</v>
      </c>
      <c r="AE2679">
        <v>-6.6798999999999999</v>
      </c>
      <c r="AF2679">
        <v>-1.34399035334886</v>
      </c>
      <c r="AG2679">
        <v>-1.11342372281899</v>
      </c>
      <c r="AH2679">
        <v>6.4747734415065601</v>
      </c>
      <c r="AI2679">
        <v>99.557489204413599</v>
      </c>
      <c r="AJ2679">
        <v>101.726549563638</v>
      </c>
      <c r="AK2679">
        <v>6.7058715746179898</v>
      </c>
      <c r="AL2679">
        <v>69.7090746010971</v>
      </c>
      <c r="AM2679">
        <v>108.53280630497299</v>
      </c>
      <c r="AN2679">
        <v>0.99999999189954503</v>
      </c>
    </row>
    <row r="2680" spans="1:40" x14ac:dyDescent="0.25">
      <c r="A2680" t="str">
        <f>"20190304164421815"</f>
        <v>20190304164421815</v>
      </c>
      <c r="B2680" t="str">
        <f>"1551689061812917"</f>
        <v>1551689061812917</v>
      </c>
      <c r="C2680" t="s">
        <v>40</v>
      </c>
      <c r="D2680">
        <v>5.2089220000000003</v>
      </c>
      <c r="E2680">
        <v>0.54134890000000002</v>
      </c>
      <c r="F2680" t="s">
        <v>42</v>
      </c>
      <c r="G2680">
        <v>-490.471</v>
      </c>
      <c r="H2680" s="1">
        <v>-1.632437E-6</v>
      </c>
      <c r="I2680">
        <v>243.10220000000001</v>
      </c>
      <c r="J2680">
        <v>-491.70370000000003</v>
      </c>
      <c r="K2680">
        <v>1.1135409999999999</v>
      </c>
      <c r="L2680">
        <v>249.74529999999999</v>
      </c>
      <c r="M2680">
        <v>-1.9989130000000001E-2</v>
      </c>
      <c r="N2680">
        <v>-1.182826E-2</v>
      </c>
      <c r="O2680">
        <v>-0.99973020000000001</v>
      </c>
      <c r="P2680">
        <v>0.2777676</v>
      </c>
      <c r="Q2680">
        <v>0.3367329</v>
      </c>
      <c r="R2680">
        <v>-0.89969779999999999</v>
      </c>
      <c r="S2680">
        <v>0.59976200000000002</v>
      </c>
      <c r="T2680">
        <v>-0.54240250000000001</v>
      </c>
      <c r="U2680">
        <v>-3.353653</v>
      </c>
      <c r="V2680">
        <v>-0.29810039999999999</v>
      </c>
      <c r="W2680">
        <v>0.345223</v>
      </c>
      <c r="X2680">
        <v>0.88991980000000004</v>
      </c>
      <c r="Y2680">
        <v>-0.19362550000000001</v>
      </c>
      <c r="Z2680">
        <v>0.14517759999999999</v>
      </c>
      <c r="AA2680">
        <v>0.97027450000000004</v>
      </c>
      <c r="AB2680">
        <v>26</v>
      </c>
      <c r="AC2680">
        <v>1.2327000000000199</v>
      </c>
      <c r="AD2680">
        <v>-1.1135426324369999</v>
      </c>
      <c r="AE2680">
        <v>-6.6430999999999703</v>
      </c>
      <c r="AF2680">
        <v>-1.3291497173395099</v>
      </c>
      <c r="AG2680">
        <v>-1.1135426324369999</v>
      </c>
      <c r="AH2680">
        <v>6.4421453796323602</v>
      </c>
      <c r="AI2680">
        <v>99.608346015691694</v>
      </c>
      <c r="AJ2680">
        <v>101.65774118249099</v>
      </c>
      <c r="AK2680">
        <v>6.6714206326446703</v>
      </c>
      <c r="AL2680">
        <v>69.804591090167904</v>
      </c>
      <c r="AM2680">
        <v>108.519533528031</v>
      </c>
      <c r="AN2680">
        <v>1.0000000093205901</v>
      </c>
    </row>
    <row r="2681" spans="1:40" x14ac:dyDescent="0.25">
      <c r="A2681" t="str">
        <f>"20190304164421837"</f>
        <v>20190304164421837</v>
      </c>
      <c r="B2681" t="str">
        <f>"1551689061822677"</f>
        <v>1551689061822677</v>
      </c>
      <c r="C2681" t="s">
        <v>40</v>
      </c>
      <c r="D2681">
        <v>5.1993769999999904</v>
      </c>
      <c r="E2681">
        <v>0.54159950000000001</v>
      </c>
      <c r="F2681" t="s">
        <v>42</v>
      </c>
      <c r="G2681">
        <v>-490.46449999999999</v>
      </c>
      <c r="H2681" s="1">
        <v>-1.5723139999999999E-6</v>
      </c>
      <c r="I2681">
        <v>242.96610000000001</v>
      </c>
      <c r="J2681">
        <v>-491.70409999999998</v>
      </c>
      <c r="K2681">
        <v>1.1136569999999999</v>
      </c>
      <c r="L2681">
        <v>249.49340000000001</v>
      </c>
      <c r="M2681">
        <v>-1.5781389999999999E-2</v>
      </c>
      <c r="N2681">
        <v>-1.182595E-2</v>
      </c>
      <c r="O2681">
        <v>-0.99980570000000002</v>
      </c>
      <c r="P2681">
        <v>0.28216190000000002</v>
      </c>
      <c r="Q2681">
        <v>0.33570149999999999</v>
      </c>
      <c r="R2681">
        <v>-0.89871569999999901</v>
      </c>
      <c r="S2681">
        <v>0.61257930000000005</v>
      </c>
      <c r="T2681">
        <v>-0.55048509999999995</v>
      </c>
      <c r="U2681">
        <v>-3.351334</v>
      </c>
      <c r="V2681">
        <v>-0.2988017</v>
      </c>
      <c r="W2681">
        <v>0.34410489999999999</v>
      </c>
      <c r="X2681">
        <v>0.89011759999999995</v>
      </c>
      <c r="Y2681">
        <v>-0.19314310000000001</v>
      </c>
      <c r="Z2681">
        <v>0.14754539999999999</v>
      </c>
      <c r="AA2681">
        <v>0.97001340000000003</v>
      </c>
      <c r="AB2681">
        <v>26</v>
      </c>
      <c r="AC2681">
        <v>1.23959999999999</v>
      </c>
      <c r="AD2681">
        <v>-1.113658572314</v>
      </c>
      <c r="AE2681">
        <v>-6.5272999999999897</v>
      </c>
      <c r="AF2681">
        <v>-1.30577516658044</v>
      </c>
      <c r="AG2681">
        <v>-1.113658572314</v>
      </c>
      <c r="AH2681">
        <v>6.3290985845678396</v>
      </c>
      <c r="AI2681">
        <v>99.777694586670805</v>
      </c>
      <c r="AJ2681">
        <v>101.657301591858</v>
      </c>
      <c r="AK2681">
        <v>6.55764996736829</v>
      </c>
      <c r="AL2681">
        <v>69.8728346724848</v>
      </c>
      <c r="AM2681">
        <v>108.55627853992</v>
      </c>
      <c r="AN2681">
        <v>0.99999998997832895</v>
      </c>
    </row>
    <row r="2682" spans="1:40" x14ac:dyDescent="0.25">
      <c r="A2682" t="str">
        <f>"20190304164421862"</f>
        <v>20190304164421862</v>
      </c>
      <c r="B2682" t="str">
        <f>"1551689061852933"</f>
        <v>1551689061852933</v>
      </c>
      <c r="C2682" t="s">
        <v>40</v>
      </c>
      <c r="D2682">
        <v>5.4566520000000001</v>
      </c>
      <c r="E2682">
        <v>0.54175669999999898</v>
      </c>
      <c r="F2682" t="s">
        <v>42</v>
      </c>
      <c r="G2682">
        <v>-490.43549999999999</v>
      </c>
      <c r="H2682" s="1">
        <v>-1.4897990000000001E-6</v>
      </c>
      <c r="I2682">
        <v>242.79179999999999</v>
      </c>
      <c r="J2682">
        <v>-491.70319999999998</v>
      </c>
      <c r="K2682">
        <v>1.1137790000000001</v>
      </c>
      <c r="L2682">
        <v>249.20650000000001</v>
      </c>
      <c r="M2682">
        <v>-1.0802630000000001E-2</v>
      </c>
      <c r="N2682">
        <v>-1.183176E-2</v>
      </c>
      <c r="O2682">
        <v>-0.99987159999999997</v>
      </c>
      <c r="P2682">
        <v>0.28733199999999998</v>
      </c>
      <c r="Q2682">
        <v>0.33586630000000001</v>
      </c>
      <c r="R2682">
        <v>-0.89701390000000003</v>
      </c>
      <c r="S2682">
        <v>0.633606</v>
      </c>
      <c r="T2682">
        <v>-0.55618669999999903</v>
      </c>
      <c r="U2682">
        <v>-3.3469389999999999</v>
      </c>
      <c r="V2682">
        <v>-0.29960219999999999</v>
      </c>
      <c r="W2682">
        <v>0.34417609999999998</v>
      </c>
      <c r="X2682">
        <v>0.88982090000000003</v>
      </c>
      <c r="Y2682">
        <v>-0.19432360000000001</v>
      </c>
      <c r="Z2682">
        <v>0.14926429999999999</v>
      </c>
      <c r="AA2682">
        <v>0.96951449999999995</v>
      </c>
      <c r="AB2682">
        <v>26</v>
      </c>
      <c r="AC2682">
        <v>1.2676999999999901</v>
      </c>
      <c r="AD2682">
        <v>-1.113780489799</v>
      </c>
      <c r="AE2682">
        <v>-6.4147000000000096</v>
      </c>
      <c r="AF2682">
        <v>-1.29923060714042</v>
      </c>
      <c r="AG2682">
        <v>-1.113780489799</v>
      </c>
      <c r="AH2682">
        <v>6.2201584230555103</v>
      </c>
      <c r="AI2682">
        <v>99.941650340883299</v>
      </c>
      <c r="AJ2682">
        <v>101.797985959098</v>
      </c>
      <c r="AK2682">
        <v>6.4512694842097398</v>
      </c>
      <c r="AL2682">
        <v>69.868488983181606</v>
      </c>
      <c r="AM2682">
        <v>108.608350594673</v>
      </c>
      <c r="AN2682">
        <v>0.99999995006642795</v>
      </c>
    </row>
    <row r="2683" spans="1:40" x14ac:dyDescent="0.25">
      <c r="A2683" t="str">
        <f>"20190304164421883"</f>
        <v>20190304164421883</v>
      </c>
      <c r="B2683" t="str">
        <f>"1551689061872452"</f>
        <v>1551689061872452</v>
      </c>
      <c r="C2683" t="s">
        <v>40</v>
      </c>
      <c r="D2683">
        <v>5.1579129999999997</v>
      </c>
      <c r="E2683">
        <v>0.48596200000000001</v>
      </c>
      <c r="F2683" t="s">
        <v>42</v>
      </c>
      <c r="G2683">
        <v>-490.38889999999998</v>
      </c>
      <c r="H2683" s="1">
        <v>-1.3697509999999999E-6</v>
      </c>
      <c r="I2683">
        <v>242.54079999999999</v>
      </c>
      <c r="J2683">
        <v>-491.70119999999997</v>
      </c>
      <c r="K2683">
        <v>1.113896</v>
      </c>
      <c r="L2683">
        <v>248.96799999999999</v>
      </c>
      <c r="M2683">
        <v>-6.5046669999999996E-3</v>
      </c>
      <c r="N2683">
        <v>-1.184341E-2</v>
      </c>
      <c r="O2683">
        <v>-0.99990869999999998</v>
      </c>
      <c r="P2683">
        <v>0.29207329999999998</v>
      </c>
      <c r="Q2683">
        <v>0.3362697</v>
      </c>
      <c r="R2683">
        <v>-0.89532979999999995</v>
      </c>
      <c r="S2683">
        <v>0.65899659999999904</v>
      </c>
      <c r="T2683">
        <v>-0.5584865</v>
      </c>
      <c r="U2683">
        <v>-3.342422</v>
      </c>
      <c r="V2683">
        <v>-0.30058010000000002</v>
      </c>
      <c r="W2683">
        <v>0.34450019999999998</v>
      </c>
      <c r="X2683">
        <v>0.88936559999999898</v>
      </c>
      <c r="Y2683">
        <v>-0.19742270000000001</v>
      </c>
      <c r="Z2683">
        <v>0.14996180000000001</v>
      </c>
      <c r="AA2683">
        <v>0.96878050000000004</v>
      </c>
      <c r="AB2683">
        <v>26</v>
      </c>
      <c r="AC2683">
        <v>1.31229999999999</v>
      </c>
      <c r="AD2683">
        <v>-1.113897369751</v>
      </c>
      <c r="AE2683">
        <v>-6.4271999999999903</v>
      </c>
      <c r="AF2683">
        <v>-1.31613227972711</v>
      </c>
      <c r="AG2683">
        <v>-1.113897369751</v>
      </c>
      <c r="AH2683">
        <v>6.2386408302463403</v>
      </c>
      <c r="AI2683">
        <v>99.909718971723905</v>
      </c>
      <c r="AJ2683">
        <v>101.912701225055</v>
      </c>
      <c r="AK2683">
        <v>6.47252739947037</v>
      </c>
      <c r="AL2683">
        <v>69.848710414590101</v>
      </c>
      <c r="AM2683">
        <v>108.673780464118</v>
      </c>
      <c r="AN2683">
        <v>0.99999997738970403</v>
      </c>
    </row>
    <row r="2684" spans="1:40" x14ac:dyDescent="0.25">
      <c r="A2684" t="str">
        <f>"20190304164421915"</f>
        <v>20190304164421915</v>
      </c>
      <c r="B2684" t="str">
        <f>"1551689061912469"</f>
        <v>1551689061912469</v>
      </c>
      <c r="C2684" t="s">
        <v>40</v>
      </c>
      <c r="D2684">
        <v>5.1291250000000002</v>
      </c>
      <c r="E2684">
        <v>0.47259600000000002</v>
      </c>
      <c r="F2684" t="s">
        <v>42</v>
      </c>
      <c r="G2684">
        <v>-489.0213</v>
      </c>
      <c r="H2684" s="1">
        <v>-8.718231E-7</v>
      </c>
      <c r="I2684">
        <v>241.2603</v>
      </c>
      <c r="J2684">
        <v>-491.69580000000002</v>
      </c>
      <c r="K2684">
        <v>1.1140840000000001</v>
      </c>
      <c r="L2684">
        <v>248.60059999999999</v>
      </c>
      <c r="M2684">
        <v>4.2423569999999999E-4</v>
      </c>
      <c r="N2684">
        <v>-1.18856E-2</v>
      </c>
      <c r="O2684">
        <v>-0.99992919999999996</v>
      </c>
      <c r="P2684">
        <v>0.29790149999999999</v>
      </c>
      <c r="Q2684">
        <v>0.33783380000000002</v>
      </c>
      <c r="R2684">
        <v>-0.89281710000000003</v>
      </c>
      <c r="S2684">
        <v>1.099945</v>
      </c>
      <c r="T2684">
        <v>-0.45719769999999998</v>
      </c>
      <c r="U2684">
        <v>-3.1636199999999999</v>
      </c>
      <c r="V2684">
        <v>-0.30038029999999999</v>
      </c>
      <c r="W2684">
        <v>0.34596270000000001</v>
      </c>
      <c r="X2684">
        <v>0.88886520000000002</v>
      </c>
      <c r="Y2684">
        <v>-0.32520880000000002</v>
      </c>
      <c r="Z2684">
        <v>0.123476</v>
      </c>
      <c r="AA2684">
        <v>0.9375462</v>
      </c>
      <c r="AB2684">
        <v>26</v>
      </c>
      <c r="AC2684">
        <v>2.6745000000000201</v>
      </c>
      <c r="AD2684">
        <v>-1.1140848718231</v>
      </c>
      <c r="AE2684">
        <v>-7.3402999999999796</v>
      </c>
      <c r="AF2684">
        <v>-2.6181421700410299</v>
      </c>
      <c r="AG2684">
        <v>-1.1140848718231</v>
      </c>
      <c r="AH2684">
        <v>7.1951120071325096</v>
      </c>
      <c r="AI2684">
        <v>98.278752042696894</v>
      </c>
      <c r="AJ2684">
        <v>109.995327808483</v>
      </c>
      <c r="AK2684">
        <v>7.7372792581988898</v>
      </c>
      <c r="AL2684">
        <v>69.759424874212598</v>
      </c>
      <c r="AM2684">
        <v>108.672005614388</v>
      </c>
      <c r="AN2684">
        <v>0.99999992909520696</v>
      </c>
    </row>
    <row r="2685" spans="1:40" x14ac:dyDescent="0.25">
      <c r="A2685" t="str">
        <f>"20190304164421938"</f>
        <v>20190304164421938</v>
      </c>
      <c r="B2685" t="str">
        <f>"1551689061932965"</f>
        <v>1551689061932965</v>
      </c>
      <c r="C2685" t="s">
        <v>40</v>
      </c>
      <c r="D2685">
        <v>5.1581549999999998</v>
      </c>
      <c r="E2685">
        <v>0.47178320000000001</v>
      </c>
      <c r="F2685" t="s">
        <v>42</v>
      </c>
      <c r="G2685">
        <v>-488.44389999999999</v>
      </c>
      <c r="H2685" s="1">
        <v>-6.4571329999999998E-7</v>
      </c>
      <c r="I2685">
        <v>240.3288</v>
      </c>
      <c r="J2685">
        <v>-491.68990000000002</v>
      </c>
      <c r="K2685">
        <v>1.1142399999999999</v>
      </c>
      <c r="L2685">
        <v>248.33459999999999</v>
      </c>
      <c r="M2685">
        <v>5.7341479999999997E-3</v>
      </c>
      <c r="N2685">
        <v>-1.1935350000000001E-2</v>
      </c>
      <c r="O2685">
        <v>-0.99991240000000003</v>
      </c>
      <c r="P2685">
        <v>0.30158390000000002</v>
      </c>
      <c r="Q2685">
        <v>0.33849210000000002</v>
      </c>
      <c r="R2685">
        <v>-0.89133079999999998</v>
      </c>
      <c r="S2685">
        <v>1.2229000000000001</v>
      </c>
      <c r="T2685">
        <v>-0.41895749999999998</v>
      </c>
      <c r="U2685">
        <v>-3.1106410000000002</v>
      </c>
      <c r="V2685">
        <v>-0.29946430000000002</v>
      </c>
      <c r="W2685">
        <v>0.34655989999999998</v>
      </c>
      <c r="X2685">
        <v>0.88894169999999995</v>
      </c>
      <c r="Y2685">
        <v>-0.35792109999999999</v>
      </c>
      <c r="Z2685">
        <v>0.11266900000000001</v>
      </c>
      <c r="AA2685">
        <v>0.92692940000000001</v>
      </c>
      <c r="AB2685">
        <v>26</v>
      </c>
      <c r="AC2685">
        <v>3.2460000000000302</v>
      </c>
      <c r="AD2685">
        <v>-1.1142406457132901</v>
      </c>
      <c r="AE2685">
        <v>-8.00579999999999</v>
      </c>
      <c r="AF2685">
        <v>-3.1476723108456302</v>
      </c>
      <c r="AG2685">
        <v>-1.1142406457132901</v>
      </c>
      <c r="AH2685">
        <v>7.8929753676583099</v>
      </c>
      <c r="AI2685">
        <v>97.470359951039697</v>
      </c>
      <c r="AJ2685">
        <v>111.741823711701</v>
      </c>
      <c r="AK2685">
        <v>8.5702061438150192</v>
      </c>
      <c r="AL2685">
        <v>69.722952780758703</v>
      </c>
      <c r="AM2685">
        <v>108.617504186158</v>
      </c>
      <c r="AN2685">
        <v>0.99999998863069395</v>
      </c>
    </row>
    <row r="2686" spans="1:40" x14ac:dyDescent="0.25">
      <c r="A2686" t="str">
        <f>"20190304164421961"</f>
        <v>20190304164421961</v>
      </c>
      <c r="B2686" t="str">
        <f>"1551689061952484"</f>
        <v>1551689061952484</v>
      </c>
      <c r="C2686" t="s">
        <v>40</v>
      </c>
      <c r="D2686">
        <v>5.1471970000000002</v>
      </c>
      <c r="E2686">
        <v>0.47138449999999998</v>
      </c>
      <c r="F2686" t="s">
        <v>42</v>
      </c>
      <c r="G2686">
        <v>-488.35329999999999</v>
      </c>
      <c r="H2686" s="1">
        <v>-5.5570929999999999E-7</v>
      </c>
      <c r="I2686">
        <v>239.99359999999999</v>
      </c>
      <c r="J2686">
        <v>-491.6823</v>
      </c>
      <c r="K2686">
        <v>1.114409</v>
      </c>
      <c r="L2686">
        <v>248.06739999999999</v>
      </c>
      <c r="M2686">
        <v>1.1281630000000001E-2</v>
      </c>
      <c r="N2686">
        <v>-1.1984689999999999E-2</v>
      </c>
      <c r="O2686">
        <v>-0.99986439999999999</v>
      </c>
      <c r="P2686">
        <v>0.30646509999999999</v>
      </c>
      <c r="Q2686">
        <v>0.3387482</v>
      </c>
      <c r="R2686">
        <v>-0.88956669999999904</v>
      </c>
      <c r="S2686">
        <v>1.241333</v>
      </c>
      <c r="T2686">
        <v>-0.41454360000000001</v>
      </c>
      <c r="U2686">
        <v>-3.1032099999999998</v>
      </c>
      <c r="V2686">
        <v>-0.29954219999999998</v>
      </c>
      <c r="W2686">
        <v>0.34674369999999999</v>
      </c>
      <c r="X2686">
        <v>0.88884379999999996</v>
      </c>
      <c r="Y2686">
        <v>-0.35831020000000002</v>
      </c>
      <c r="Z2686">
        <v>0.1114647</v>
      </c>
      <c r="AA2686">
        <v>0.92692470000000005</v>
      </c>
      <c r="AB2686">
        <v>26</v>
      </c>
      <c r="AC2686">
        <v>3.3290000000000002</v>
      </c>
      <c r="AD2686">
        <v>-1.1144095557092999</v>
      </c>
      <c r="AE2686">
        <v>-8.0738000000000003</v>
      </c>
      <c r="AF2686">
        <v>-3.1858200207146301</v>
      </c>
      <c r="AG2686">
        <v>-1.1144095557092999</v>
      </c>
      <c r="AH2686">
        <v>7.9808895156982196</v>
      </c>
      <c r="AI2686">
        <v>97.389118380204494</v>
      </c>
      <c r="AJ2686">
        <v>111.76094875536999</v>
      </c>
      <c r="AK2686">
        <v>8.6652152497225501</v>
      </c>
      <c r="AL2686">
        <v>69.711726160198396</v>
      </c>
      <c r="AM2686">
        <v>108.623922933122</v>
      </c>
      <c r="AN2686">
        <v>1.0000000119344801</v>
      </c>
    </row>
    <row r="2687" spans="1:40" x14ac:dyDescent="0.25">
      <c r="A2687" t="str">
        <f>"20190304164421987"</f>
        <v>20190304164421987</v>
      </c>
      <c r="B2687" t="str">
        <f>"1551689061982272"</f>
        <v>1551689061982272</v>
      </c>
      <c r="C2687" t="s">
        <v>40</v>
      </c>
      <c r="D2687">
        <v>5.1464129999999999</v>
      </c>
      <c r="E2687">
        <v>0.47142909999999999</v>
      </c>
      <c r="F2687" t="s">
        <v>42</v>
      </c>
      <c r="G2687">
        <v>-488.2636</v>
      </c>
      <c r="H2687" s="1">
        <v>-4.7197239999999998E-7</v>
      </c>
      <c r="I2687">
        <v>239.6773</v>
      </c>
      <c r="J2687">
        <v>-491.67259999999999</v>
      </c>
      <c r="K2687">
        <v>1.11459</v>
      </c>
      <c r="L2687">
        <v>247.78829999999999</v>
      </c>
      <c r="M2687">
        <v>1.7347459999999999E-2</v>
      </c>
      <c r="N2687">
        <v>-1.203483E-2</v>
      </c>
      <c r="O2687">
        <v>-0.99977709999999997</v>
      </c>
      <c r="P2687">
        <v>0.31239430000000001</v>
      </c>
      <c r="Q2687">
        <v>0.33986149999999998</v>
      </c>
      <c r="R2687">
        <v>-0.88707610000000003</v>
      </c>
      <c r="S2687">
        <v>1.2609250000000001</v>
      </c>
      <c r="T2687">
        <v>-0.4110335</v>
      </c>
      <c r="U2687">
        <v>-3.0945589999999998</v>
      </c>
      <c r="V2687">
        <v>-0.30024959999999901</v>
      </c>
      <c r="W2687">
        <v>0.34776099999999999</v>
      </c>
      <c r="X2687">
        <v>0.88820739999999998</v>
      </c>
      <c r="Y2687">
        <v>-0.35862959999999999</v>
      </c>
      <c r="Z2687">
        <v>0.1105517</v>
      </c>
      <c r="AA2687">
        <v>0.92691049999999997</v>
      </c>
      <c r="AB2687">
        <v>26</v>
      </c>
      <c r="AC2687">
        <v>3.40899999999999</v>
      </c>
      <c r="AD2687">
        <v>-1.1145904719724</v>
      </c>
      <c r="AE2687">
        <v>-8.11099999999999</v>
      </c>
      <c r="AF2687">
        <v>-3.2161568509279901</v>
      </c>
      <c r="AG2687">
        <v>-1.1145904719724</v>
      </c>
      <c r="AH2687">
        <v>8.0398924443839093</v>
      </c>
      <c r="AI2687">
        <v>97.334552377566496</v>
      </c>
      <c r="AJ2687">
        <v>111.802637392549</v>
      </c>
      <c r="AK2687">
        <v>8.7307415107334503</v>
      </c>
      <c r="AL2687">
        <v>69.649570280504705</v>
      </c>
      <c r="AM2687">
        <v>108.677308375693</v>
      </c>
      <c r="AN2687">
        <v>0.99999996041795902</v>
      </c>
    </row>
    <row r="2688" spans="1:40" x14ac:dyDescent="0.25">
      <c r="A2688" t="str">
        <f>"20190304164422006"</f>
        <v>20190304164422006</v>
      </c>
      <c r="B2688" t="str">
        <f>"1551689062002768"</f>
        <v>1551689062002768</v>
      </c>
      <c r="C2688" t="s">
        <v>40</v>
      </c>
      <c r="D2688">
        <v>5.2126140000000003</v>
      </c>
      <c r="E2688">
        <v>0.47164869999999998</v>
      </c>
      <c r="F2688" t="s">
        <v>42</v>
      </c>
      <c r="G2688">
        <v>-488.15100000000001</v>
      </c>
      <c r="H2688" s="1">
        <v>-4.4830470000000003E-6</v>
      </c>
      <c r="I2688">
        <v>239.31829999999999</v>
      </c>
      <c r="J2688">
        <v>-491.66300000000001</v>
      </c>
      <c r="K2688">
        <v>1.1147450000000001</v>
      </c>
      <c r="L2688">
        <v>247.55969999999999</v>
      </c>
      <c r="M2688">
        <v>2.2547370000000001E-2</v>
      </c>
      <c r="N2688">
        <v>-1.207769E-2</v>
      </c>
      <c r="O2688">
        <v>-0.99967280000000003</v>
      </c>
      <c r="P2688">
        <v>0.31776490000000002</v>
      </c>
      <c r="Q2688">
        <v>0.34113290000000002</v>
      </c>
      <c r="R2688">
        <v>-0.88467739999999995</v>
      </c>
      <c r="S2688">
        <v>1.2829280000000001</v>
      </c>
      <c r="T2688">
        <v>-0.40605180000000002</v>
      </c>
      <c r="U2688">
        <v>-3.0856479999999999</v>
      </c>
      <c r="V2688">
        <v>-0.30116969999999998</v>
      </c>
      <c r="W2688">
        <v>0.34894190000000003</v>
      </c>
      <c r="X2688">
        <v>0.88743249999999996</v>
      </c>
      <c r="Y2688">
        <v>-0.36042370000000001</v>
      </c>
      <c r="Z2688">
        <v>0.10915999999999999</v>
      </c>
      <c r="AA2688">
        <v>0.92637939999999996</v>
      </c>
      <c r="AB2688">
        <v>26</v>
      </c>
      <c r="AC2688">
        <v>3.512</v>
      </c>
      <c r="AD2688">
        <v>-1.1147494830469999</v>
      </c>
      <c r="AE2688">
        <v>-8.2413999999999898</v>
      </c>
      <c r="AF2688">
        <v>-3.27456813493776</v>
      </c>
      <c r="AG2688">
        <v>-1.1147494830469999</v>
      </c>
      <c r="AH2688">
        <v>8.1916569723559292</v>
      </c>
      <c r="AI2688">
        <v>97.201812157378498</v>
      </c>
      <c r="AJ2688">
        <v>111.788778319557</v>
      </c>
      <c r="AK2688">
        <v>8.8920586386421707</v>
      </c>
      <c r="AL2688">
        <v>69.577390203499704</v>
      </c>
      <c r="AM2688">
        <v>108.74577132600901</v>
      </c>
      <c r="AN2688">
        <v>1.00000003991497</v>
      </c>
    </row>
    <row r="2689" spans="1:40" x14ac:dyDescent="0.25">
      <c r="A2689" t="str">
        <f>"20190304164422032"</f>
        <v>20190304164422032</v>
      </c>
      <c r="B2689" t="str">
        <f>"1551689062022289"</f>
        <v>1551689062022289</v>
      </c>
      <c r="C2689" t="s">
        <v>40</v>
      </c>
      <c r="D2689">
        <v>5.1266020000000001</v>
      </c>
      <c r="E2689">
        <v>0.47170699999999999</v>
      </c>
      <c r="F2689" t="s">
        <v>42</v>
      </c>
      <c r="G2689">
        <v>-488.05009999999999</v>
      </c>
      <c r="H2689" s="1">
        <v>-4.3735700000000004E-6</v>
      </c>
      <c r="I2689">
        <v>239.0214</v>
      </c>
      <c r="J2689">
        <v>-491.64850000000001</v>
      </c>
      <c r="K2689">
        <v>1.11497</v>
      </c>
      <c r="L2689">
        <v>247.2594</v>
      </c>
      <c r="M2689">
        <v>2.969455E-2</v>
      </c>
      <c r="N2689">
        <v>-1.2125210000000001E-2</v>
      </c>
      <c r="O2689">
        <v>-0.99948559999999997</v>
      </c>
      <c r="P2689">
        <v>0.32449719999999999</v>
      </c>
      <c r="Q2689">
        <v>0.34217009999999998</v>
      </c>
      <c r="R2689">
        <v>-0.88182830000000001</v>
      </c>
      <c r="S2689">
        <v>1.30252099999999</v>
      </c>
      <c r="T2689">
        <v>-0.40188970000000002</v>
      </c>
      <c r="U2689">
        <v>-3.078217</v>
      </c>
      <c r="V2689">
        <v>-0.30179339999999999</v>
      </c>
      <c r="W2689">
        <v>0.34985379999999999</v>
      </c>
      <c r="X2689">
        <v>0.88686129999999996</v>
      </c>
      <c r="Y2689">
        <v>-0.35961739999999998</v>
      </c>
      <c r="Z2689">
        <v>0.108016</v>
      </c>
      <c r="AA2689">
        <v>0.92682679999999995</v>
      </c>
      <c r="AB2689">
        <v>26</v>
      </c>
      <c r="AC2689">
        <v>3.5984000000000198</v>
      </c>
      <c r="AD2689">
        <v>-1.11497437357</v>
      </c>
      <c r="AE2689">
        <v>-8.2379999999999995</v>
      </c>
      <c r="AF2689">
        <v>-3.3013852792326901</v>
      </c>
      <c r="AG2689">
        <v>-1.11497437357</v>
      </c>
      <c r="AH2689">
        <v>8.2148562622337593</v>
      </c>
      <c r="AI2689">
        <v>97.177879909478193</v>
      </c>
      <c r="AJ2689">
        <v>111.894200985127</v>
      </c>
      <c r="AK2689">
        <v>8.9233500449558392</v>
      </c>
      <c r="AL2689">
        <v>69.521625830340795</v>
      </c>
      <c r="AM2689">
        <v>108.793120953696</v>
      </c>
      <c r="AN2689">
        <v>0.99999995154784305</v>
      </c>
    </row>
    <row r="2690" spans="1:40" x14ac:dyDescent="0.25">
      <c r="A2690" t="str">
        <f>"20190304164422051"</f>
        <v>20190304164422051</v>
      </c>
      <c r="B2690" t="str">
        <f>"1551689062042785"</f>
        <v>1551689062042785</v>
      </c>
      <c r="C2690" t="s">
        <v>40</v>
      </c>
      <c r="D2690">
        <v>5.188987</v>
      </c>
      <c r="E2690">
        <v>0.47189409999999998</v>
      </c>
      <c r="F2690" t="s">
        <v>42</v>
      </c>
      <c r="G2690">
        <v>-487.94709999999998</v>
      </c>
      <c r="H2690" s="1">
        <v>-4.2566040000000001E-6</v>
      </c>
      <c r="I2690">
        <v>238.7062</v>
      </c>
      <c r="J2690">
        <v>-491.63619999999997</v>
      </c>
      <c r="K2690">
        <v>1.1151310000000001</v>
      </c>
      <c r="L2690">
        <v>247.0395</v>
      </c>
      <c r="M2690">
        <v>3.5178559999999998E-2</v>
      </c>
      <c r="N2690">
        <v>-1.215199E-2</v>
      </c>
      <c r="O2690">
        <v>-0.99930730000000001</v>
      </c>
      <c r="P2690">
        <v>0.32959739999999998</v>
      </c>
      <c r="Q2690">
        <v>0.34339550000000002</v>
      </c>
      <c r="R2690">
        <v>-0.8794575</v>
      </c>
      <c r="S2690">
        <v>1.327942</v>
      </c>
      <c r="T2690">
        <v>-0.40001179999999997</v>
      </c>
      <c r="U2690">
        <v>-3.0685880000000001</v>
      </c>
      <c r="V2690">
        <v>-0.30222919999999998</v>
      </c>
      <c r="W2690">
        <v>0.35097519999999999</v>
      </c>
      <c r="X2690">
        <v>0.88626970000000005</v>
      </c>
      <c r="Y2690">
        <v>-0.36205179999999998</v>
      </c>
      <c r="Z2690">
        <v>0.107516899999999</v>
      </c>
      <c r="AA2690">
        <v>0.9259366</v>
      </c>
      <c r="AB2690">
        <v>26</v>
      </c>
      <c r="AC2690">
        <v>3.6890999999999901</v>
      </c>
      <c r="AD2690">
        <v>-1.11513525660399</v>
      </c>
      <c r="AE2690">
        <v>-8.3332999999999995</v>
      </c>
      <c r="AF2690">
        <v>-3.34357901328484</v>
      </c>
      <c r="AG2690">
        <v>-1.11513525660399</v>
      </c>
      <c r="AH2690">
        <v>8.3331588118856299</v>
      </c>
      <c r="AI2690">
        <v>97.079585317116496</v>
      </c>
      <c r="AJ2690">
        <v>111.86252609937701</v>
      </c>
      <c r="AK2690">
        <v>9.0479048979698806</v>
      </c>
      <c r="AL2690">
        <v>69.4530263587299</v>
      </c>
      <c r="AM2690">
        <v>108.830026777664</v>
      </c>
      <c r="AN2690">
        <v>1.00000003074288</v>
      </c>
    </row>
    <row r="2691" spans="1:40" x14ac:dyDescent="0.25">
      <c r="A2691" t="str">
        <f>"20190304164422074"</f>
        <v>20190304164422074</v>
      </c>
      <c r="B2691" t="str">
        <f>"1551689062062304"</f>
        <v>1551689062062304</v>
      </c>
      <c r="C2691" t="s">
        <v>40</v>
      </c>
      <c r="D2691">
        <v>5.3152619999999997</v>
      </c>
      <c r="E2691">
        <v>0.4690394</v>
      </c>
      <c r="F2691" t="s">
        <v>42</v>
      </c>
      <c r="G2691">
        <v>-487.8612</v>
      </c>
      <c r="H2691" s="1">
        <v>-4.1598660000000001E-6</v>
      </c>
      <c r="I2691">
        <v>238.4451</v>
      </c>
      <c r="J2691">
        <v>-491.62029999999999</v>
      </c>
      <c r="K2691">
        <v>1.1153059999999999</v>
      </c>
      <c r="L2691">
        <v>246.78659999999999</v>
      </c>
      <c r="M2691">
        <v>4.1709980000000001E-2</v>
      </c>
      <c r="N2691">
        <v>-1.217209E-2</v>
      </c>
      <c r="O2691">
        <v>-0.9990559</v>
      </c>
      <c r="P2691">
        <v>0.33532990000000001</v>
      </c>
      <c r="Q2691">
        <v>0.34427410000000003</v>
      </c>
      <c r="R2691">
        <v>-0.87694349999999999</v>
      </c>
      <c r="S2691">
        <v>1.3450930000000001</v>
      </c>
      <c r="T2691">
        <v>-0.39733980000000002</v>
      </c>
      <c r="U2691">
        <v>-3.0622859999999998</v>
      </c>
      <c r="V2691">
        <v>-0.30239840000000001</v>
      </c>
      <c r="W2691">
        <v>0.3517342</v>
      </c>
      <c r="X2691">
        <v>0.885911</v>
      </c>
      <c r="Y2691">
        <v>-0.3610488</v>
      </c>
      <c r="Z2691">
        <v>0.1068013</v>
      </c>
      <c r="AA2691">
        <v>0.92641099999999998</v>
      </c>
      <c r="AB2691">
        <v>26</v>
      </c>
      <c r="AC2691">
        <v>3.7590999999999801</v>
      </c>
      <c r="AD2691">
        <v>-1.115310159866</v>
      </c>
      <c r="AE2691">
        <v>-8.3414999999999893</v>
      </c>
      <c r="AF2691">
        <v>-3.3579805545822801</v>
      </c>
      <c r="AG2691">
        <v>-1.115310159866</v>
      </c>
      <c r="AH2691">
        <v>8.3667175023742804</v>
      </c>
      <c r="AI2691">
        <v>97.052300467004798</v>
      </c>
      <c r="AJ2691">
        <v>111.86804992745201</v>
      </c>
      <c r="AK2691">
        <v>9.0841571938286698</v>
      </c>
      <c r="AL2691">
        <v>69.406577153511407</v>
      </c>
      <c r="AM2691">
        <v>108.846914931892</v>
      </c>
      <c r="AN2691">
        <v>1.0000000198465999</v>
      </c>
    </row>
    <row r="2692" spans="1:40" x14ac:dyDescent="0.25">
      <c r="A2692" t="str">
        <f>"20190304164422094"</f>
        <v>20190304164422094</v>
      </c>
      <c r="B2692" t="str">
        <f>"1551689062082800"</f>
        <v>1551689062082800</v>
      </c>
      <c r="C2692" t="s">
        <v>40</v>
      </c>
      <c r="D2692">
        <v>5.0610790000000003</v>
      </c>
      <c r="E2692">
        <v>0.37345889999999998</v>
      </c>
      <c r="F2692" t="s">
        <v>42</v>
      </c>
      <c r="G2692">
        <v>-487.61869999999999</v>
      </c>
      <c r="H2692" s="1">
        <v>-4.0097940000000004E-6</v>
      </c>
      <c r="I2692">
        <v>237.995</v>
      </c>
      <c r="J2692">
        <v>-491.60390000000001</v>
      </c>
      <c r="K2692">
        <v>1.115459</v>
      </c>
      <c r="L2692">
        <v>246.5532</v>
      </c>
      <c r="M2692">
        <v>4.7964920000000001E-2</v>
      </c>
      <c r="N2692">
        <v>-1.217917E-2</v>
      </c>
      <c r="O2692">
        <v>-0.99877490000000002</v>
      </c>
      <c r="P2692">
        <v>0.34030199999999999</v>
      </c>
      <c r="Q2692">
        <v>0.34550520000000001</v>
      </c>
      <c r="R2692">
        <v>-0.87454050000000005</v>
      </c>
      <c r="S2692">
        <v>1.38504</v>
      </c>
      <c r="T2692">
        <v>-0.38603009999999999</v>
      </c>
      <c r="U2692">
        <v>-3.042923</v>
      </c>
      <c r="V2692">
        <v>-0.30204900000000001</v>
      </c>
      <c r="W2692">
        <v>0.3528578</v>
      </c>
      <c r="X2692">
        <v>0.88558329999999996</v>
      </c>
      <c r="Y2692">
        <v>-0.36764019999999997</v>
      </c>
      <c r="Z2692">
        <v>0.1036426</v>
      </c>
      <c r="AA2692">
        <v>0.92417470000000002</v>
      </c>
      <c r="AB2692">
        <v>26</v>
      </c>
      <c r="AC2692">
        <v>3.9852000000000198</v>
      </c>
      <c r="AD2692">
        <v>-1.1154630097939999</v>
      </c>
      <c r="AE2692">
        <v>-8.5581999999999994</v>
      </c>
      <c r="AF2692">
        <v>-3.5209333467830799</v>
      </c>
      <c r="AG2692">
        <v>-1.1154630097939999</v>
      </c>
      <c r="AH2692">
        <v>8.6191808532219198</v>
      </c>
      <c r="AI2692">
        <v>96.831799848534203</v>
      </c>
      <c r="AJ2692">
        <v>112.220003258606</v>
      </c>
      <c r="AK2692">
        <v>9.3771801699261008</v>
      </c>
      <c r="AL2692">
        <v>69.337789186851495</v>
      </c>
      <c r="AM2692">
        <v>108.833149001859</v>
      </c>
      <c r="AN2692">
        <v>1.00000000333036</v>
      </c>
    </row>
    <row r="2693" spans="1:40" x14ac:dyDescent="0.25">
      <c r="A2693" t="str">
        <f>"20190304164422117"</f>
        <v>20190304164422117</v>
      </c>
      <c r="B2693" t="str">
        <f>"1551689062113057"</f>
        <v>1551689062113057</v>
      </c>
      <c r="C2693" t="s">
        <v>40</v>
      </c>
      <c r="D2693">
        <v>5.1293170000000003</v>
      </c>
      <c r="E2693">
        <v>0.36744890000000002</v>
      </c>
      <c r="F2693" t="s">
        <v>42</v>
      </c>
      <c r="G2693">
        <v>-484.13900000000001</v>
      </c>
      <c r="H2693" s="1">
        <v>-4.1417739999999996E-6</v>
      </c>
      <c r="I2693">
        <v>236.8639</v>
      </c>
      <c r="J2693">
        <v>-491.5829</v>
      </c>
      <c r="K2693">
        <v>1.1156250000000001</v>
      </c>
      <c r="L2693">
        <v>246.28620000000001</v>
      </c>
      <c r="M2693">
        <v>5.5367220000000002E-2</v>
      </c>
      <c r="N2693">
        <v>-1.217798E-2</v>
      </c>
      <c r="O2693">
        <v>-0.99839180000000005</v>
      </c>
      <c r="P2693">
        <v>0.34590219999999999</v>
      </c>
      <c r="Q2693">
        <v>0.34711639999999999</v>
      </c>
      <c r="R2693">
        <v>-0.8717009</v>
      </c>
      <c r="S2693">
        <v>2.106995</v>
      </c>
      <c r="T2693">
        <v>-0.31484509999999899</v>
      </c>
      <c r="U2693">
        <v>-2.7348479999999999</v>
      </c>
      <c r="V2693">
        <v>-0.30135119999999999</v>
      </c>
      <c r="W2693">
        <v>0.35435519999999998</v>
      </c>
      <c r="X2693">
        <v>0.88522299999999998</v>
      </c>
      <c r="Y2693">
        <v>-0.56323190000000001</v>
      </c>
      <c r="Z2693">
        <v>8.0333580000000002E-2</v>
      </c>
      <c r="AA2693">
        <v>0.82238449999999996</v>
      </c>
      <c r="AB2693">
        <v>26</v>
      </c>
      <c r="AC2693">
        <v>7.4438999999999798</v>
      </c>
      <c r="AD2693">
        <v>-1.1156291417739901</v>
      </c>
      <c r="AE2693">
        <v>-9.4222999999999999</v>
      </c>
      <c r="AF2693">
        <v>-6.8516129423577601</v>
      </c>
      <c r="AG2693">
        <v>-1.1156291417739901</v>
      </c>
      <c r="AH2693">
        <v>9.7359843326282505</v>
      </c>
      <c r="AI2693">
        <v>95.353515232161897</v>
      </c>
      <c r="AJ2693">
        <v>125.13562848609401</v>
      </c>
      <c r="AK2693">
        <v>11.9573667343208</v>
      </c>
      <c r="AL2693">
        <v>69.246067798026701</v>
      </c>
      <c r="AM2693">
        <v>108.79980913796599</v>
      </c>
      <c r="AN2693">
        <v>0.99999995661873897</v>
      </c>
    </row>
    <row r="2694" spans="1:40" x14ac:dyDescent="0.25">
      <c r="A2694" t="str">
        <f>"20190304164422140"</f>
        <v>20190304164422140</v>
      </c>
      <c r="B2694" t="str">
        <f>"1551689062132576"</f>
        <v>1551689062132576</v>
      </c>
      <c r="C2694" t="s">
        <v>40</v>
      </c>
      <c r="D2694">
        <v>5.1364489999999998</v>
      </c>
      <c r="E2694">
        <v>0.36731589999999997</v>
      </c>
      <c r="F2694" t="s">
        <v>42</v>
      </c>
      <c r="G2694">
        <v>-483.40620000000001</v>
      </c>
      <c r="H2694" s="1">
        <v>-3.9574289999999997E-6</v>
      </c>
      <c r="I2694">
        <v>236.1216</v>
      </c>
      <c r="J2694">
        <v>-491.5607</v>
      </c>
      <c r="K2694">
        <v>1.1157440000000001</v>
      </c>
      <c r="L2694">
        <v>246.03030000000001</v>
      </c>
      <c r="M2694">
        <v>6.2635220000000005E-2</v>
      </c>
      <c r="N2694">
        <v>-1.2172509999999999E-2</v>
      </c>
      <c r="O2694">
        <v>-0.99796240000000003</v>
      </c>
      <c r="P2694">
        <v>0.35167090000000001</v>
      </c>
      <c r="Q2694">
        <v>0.3468485</v>
      </c>
      <c r="R2694">
        <v>-0.8694963</v>
      </c>
      <c r="S2694">
        <v>2.1705320000000001</v>
      </c>
      <c r="T2694">
        <v>-0.29614790000000002</v>
      </c>
      <c r="U2694">
        <v>-2.6982119999999998</v>
      </c>
      <c r="V2694">
        <v>-0.30086760000000001</v>
      </c>
      <c r="W2694">
        <v>0.3540007</v>
      </c>
      <c r="X2694">
        <v>0.88552929999999996</v>
      </c>
      <c r="Y2694">
        <v>-0.57471470000000002</v>
      </c>
      <c r="Z2694">
        <v>7.4868809999999994E-2</v>
      </c>
      <c r="AA2694">
        <v>0.81492189999999998</v>
      </c>
      <c r="AB2694">
        <v>26</v>
      </c>
      <c r="AC2694">
        <v>8.1544999999999792</v>
      </c>
      <c r="AD2694">
        <v>-1.1157479574289999</v>
      </c>
      <c r="AE2694">
        <v>-9.9087000000000103</v>
      </c>
      <c r="AF2694">
        <v>-7.4614018068754202</v>
      </c>
      <c r="AG2694">
        <v>-1.1157479574289999</v>
      </c>
      <c r="AH2694">
        <v>10.3220081678817</v>
      </c>
      <c r="AI2694">
        <v>95.006498678299195</v>
      </c>
      <c r="AJ2694">
        <v>125.861788640462</v>
      </c>
      <c r="AK2694">
        <v>12.7851970280465</v>
      </c>
      <c r="AL2694">
        <v>69.267787429591607</v>
      </c>
      <c r="AM2694">
        <v>108.765715802901</v>
      </c>
      <c r="AN2694">
        <v>0.99999997474436897</v>
      </c>
    </row>
    <row r="2695" spans="1:40" x14ac:dyDescent="0.25">
      <c r="A2695" t="str">
        <f>"20190304164422163"</f>
        <v>20190304164422163</v>
      </c>
      <c r="B2695" t="str">
        <f>"1551689062153072"</f>
        <v>1551689062153072</v>
      </c>
      <c r="C2695" t="s">
        <v>40</v>
      </c>
      <c r="D2695">
        <v>5.103281</v>
      </c>
      <c r="E2695">
        <v>0.36720439999999999</v>
      </c>
      <c r="F2695" t="s">
        <v>41</v>
      </c>
      <c r="G2695">
        <v>-490.89710000000002</v>
      </c>
      <c r="H2695">
        <v>1.0251980000000001</v>
      </c>
      <c r="I2695">
        <v>245.21870000000001</v>
      </c>
      <c r="J2695">
        <v>-491.53559999999999</v>
      </c>
      <c r="K2695">
        <v>1.1158360000000001</v>
      </c>
      <c r="L2695">
        <v>245.76419999999999</v>
      </c>
      <c r="M2695">
        <v>7.0367490000000005E-2</v>
      </c>
      <c r="N2695">
        <v>-1.2157299999999999E-2</v>
      </c>
      <c r="O2695">
        <v>-0.99744719999999998</v>
      </c>
      <c r="P2695">
        <v>0.35894900000000002</v>
      </c>
      <c r="Q2695">
        <v>0.34624899999999997</v>
      </c>
      <c r="R2695">
        <v>-0.86675720000000001</v>
      </c>
      <c r="S2695">
        <v>2.193756</v>
      </c>
      <c r="T2695">
        <v>-0.2992631</v>
      </c>
      <c r="U2695">
        <v>-2.682388</v>
      </c>
      <c r="V2695">
        <v>-0.30150349999999998</v>
      </c>
      <c r="W2695">
        <v>0.35330050000000002</v>
      </c>
      <c r="X2695">
        <v>0.88559270000000001</v>
      </c>
      <c r="Y2695">
        <v>-0.57491919999999996</v>
      </c>
      <c r="Z2695">
        <v>7.5934909999999994E-2</v>
      </c>
      <c r="AA2695">
        <v>0.81467900000000004</v>
      </c>
      <c r="AB2695">
        <v>26</v>
      </c>
      <c r="AC2695">
        <v>0.63849999999996498</v>
      </c>
      <c r="AD2695">
        <v>-9.0637999999999996E-2</v>
      </c>
      <c r="AE2695">
        <v>-0.545499999999975</v>
      </c>
      <c r="AF2695">
        <v>-0.59163693649444304</v>
      </c>
      <c r="AG2695">
        <v>-9.0637999999999996E-2</v>
      </c>
      <c r="AH2695">
        <v>0.58229754957654001</v>
      </c>
      <c r="AI2695">
        <v>96.231223939376605</v>
      </c>
      <c r="AJ2695">
        <v>135.455814332969</v>
      </c>
      <c r="AK2695">
        <v>0.83505685310125599</v>
      </c>
      <c r="AL2695">
        <v>69.3106785183451</v>
      </c>
      <c r="AM2695">
        <v>108.80134238153499</v>
      </c>
      <c r="AN2695">
        <v>1.00000001705289</v>
      </c>
    </row>
    <row r="2696" spans="1:40" x14ac:dyDescent="0.25">
      <c r="A2696" t="str">
        <f>"20190304164422184"</f>
        <v>20190304164422184</v>
      </c>
      <c r="B2696" t="str">
        <f>"1551689062172592"</f>
        <v>1551689062172592</v>
      </c>
      <c r="C2696" t="s">
        <v>40</v>
      </c>
      <c r="D2696">
        <v>5.0783139999999998</v>
      </c>
      <c r="E2696">
        <v>0.36780089999999999</v>
      </c>
      <c r="F2696" t="s">
        <v>41</v>
      </c>
      <c r="G2696">
        <v>-490.89049999999997</v>
      </c>
      <c r="H2696">
        <v>1.0276110000000001</v>
      </c>
      <c r="I2696">
        <v>244.9906</v>
      </c>
      <c r="J2696">
        <v>-491.51150000000001</v>
      </c>
      <c r="K2696">
        <v>1.115917</v>
      </c>
      <c r="L2696">
        <v>245.52850000000001</v>
      </c>
      <c r="M2696">
        <v>7.7356770000000005E-2</v>
      </c>
      <c r="N2696">
        <v>-1.213329E-2</v>
      </c>
      <c r="O2696">
        <v>-0.99692979999999998</v>
      </c>
      <c r="P2696">
        <v>0.36613709999999999</v>
      </c>
      <c r="Q2696">
        <v>0.34557579999999999</v>
      </c>
      <c r="R2696">
        <v>-0.86401459999999997</v>
      </c>
      <c r="S2696">
        <v>2.2203059999999999</v>
      </c>
      <c r="T2696">
        <v>-0.30372480000000002</v>
      </c>
      <c r="U2696">
        <v>-2.6630250000000002</v>
      </c>
      <c r="V2696">
        <v>-0.3027088</v>
      </c>
      <c r="W2696">
        <v>0.35252230000000001</v>
      </c>
      <c r="X2696">
        <v>0.88549159999999905</v>
      </c>
      <c r="Y2696">
        <v>-0.57682749999999905</v>
      </c>
      <c r="Z2696">
        <v>7.7398980000000006E-2</v>
      </c>
      <c r="AA2696">
        <v>0.81319090000000005</v>
      </c>
      <c r="AB2696">
        <v>26</v>
      </c>
      <c r="AC2696">
        <v>0.62100000000003697</v>
      </c>
      <c r="AD2696">
        <v>-8.8305999999999996E-2</v>
      </c>
      <c r="AE2696">
        <v>-0.53790000000000704</v>
      </c>
      <c r="AF2696">
        <v>-0.570929724538767</v>
      </c>
      <c r="AG2696">
        <v>-8.8305999999999996E-2</v>
      </c>
      <c r="AH2696">
        <v>0.57765640601697998</v>
      </c>
      <c r="AI2696">
        <v>96.205177517442294</v>
      </c>
      <c r="AJ2696">
        <v>134.664451761744</v>
      </c>
      <c r="AK2696">
        <v>0.81697345330822502</v>
      </c>
      <c r="AL2696">
        <v>69.358331529485298</v>
      </c>
      <c r="AM2696">
        <v>108.873195783589</v>
      </c>
      <c r="AN2696">
        <v>0.99999998163264403</v>
      </c>
    </row>
    <row r="2697" spans="1:40" x14ac:dyDescent="0.25">
      <c r="A2697" t="str">
        <f>"20190304164422207"</f>
        <v>20190304164422207</v>
      </c>
      <c r="B2697" t="str">
        <f>"1551689062202848"</f>
        <v>1551689062202848</v>
      </c>
      <c r="C2697" t="s">
        <v>40</v>
      </c>
      <c r="D2697">
        <v>5.1642010000000003</v>
      </c>
      <c r="E2697">
        <v>0.36828569999999999</v>
      </c>
      <c r="F2697" t="s">
        <v>41</v>
      </c>
      <c r="G2697">
        <v>-490.86649999999997</v>
      </c>
      <c r="H2697">
        <v>1.0261049999999901</v>
      </c>
      <c r="I2697">
        <v>244.76609999999999</v>
      </c>
      <c r="J2697">
        <v>-491.4819</v>
      </c>
      <c r="K2697">
        <v>1.116007</v>
      </c>
      <c r="L2697">
        <v>245.26060000000001</v>
      </c>
      <c r="M2697">
        <v>8.5458679999999995E-2</v>
      </c>
      <c r="N2697">
        <v>-1.2095649999999999E-2</v>
      </c>
      <c r="O2697">
        <v>-0.99626840000000005</v>
      </c>
      <c r="P2697">
        <v>0.37422539999999999</v>
      </c>
      <c r="Q2697">
        <v>0.34594649999999999</v>
      </c>
      <c r="R2697">
        <v>-0.86039319999999897</v>
      </c>
      <c r="S2697">
        <v>2.2406009999999998</v>
      </c>
      <c r="T2697">
        <v>-0.31183420000000001</v>
      </c>
      <c r="U2697">
        <v>-2.647354</v>
      </c>
      <c r="V2697">
        <v>-0.30393300000000001</v>
      </c>
      <c r="W2697">
        <v>0.35275699999999999</v>
      </c>
      <c r="X2697">
        <v>0.88497870000000001</v>
      </c>
      <c r="Y2697">
        <v>-0.57607129999999995</v>
      </c>
      <c r="Z2697">
        <v>7.9978720000000003E-2</v>
      </c>
      <c r="AA2697">
        <v>0.81347729999999996</v>
      </c>
      <c r="AB2697">
        <v>26</v>
      </c>
      <c r="AC2697">
        <v>0.61540000000002204</v>
      </c>
      <c r="AD2697">
        <v>-8.9902000000000107E-2</v>
      </c>
      <c r="AE2697">
        <v>-0.49450000000001598</v>
      </c>
      <c r="AF2697">
        <v>-0.56357739816673202</v>
      </c>
      <c r="AG2697">
        <v>-8.9902000000000107E-2</v>
      </c>
      <c r="AH2697">
        <v>0.53830500386975599</v>
      </c>
      <c r="AI2697">
        <v>96.580247302011102</v>
      </c>
      <c r="AJ2697">
        <v>136.31388585981901</v>
      </c>
      <c r="AK2697">
        <v>0.78452159340556105</v>
      </c>
      <c r="AL2697">
        <v>69.343962179642105</v>
      </c>
      <c r="AM2697">
        <v>108.954285048727</v>
      </c>
      <c r="AN2697">
        <v>1.00000003449584</v>
      </c>
    </row>
    <row r="2698" spans="1:40" x14ac:dyDescent="0.25">
      <c r="A2698" t="str">
        <f>"20190304164422235"</f>
        <v>20190304164422235</v>
      </c>
      <c r="B2698" t="str">
        <f>"1551689062222368"</f>
        <v>1551689062222368</v>
      </c>
      <c r="C2698" t="s">
        <v>40</v>
      </c>
      <c r="D2698">
        <v>5.0642360000000002</v>
      </c>
      <c r="E2698">
        <v>0.417381</v>
      </c>
      <c r="F2698" t="s">
        <v>41</v>
      </c>
      <c r="G2698">
        <v>-490.85759999999999</v>
      </c>
      <c r="H2698">
        <v>1.030691</v>
      </c>
      <c r="I2698">
        <v>244.53659999999999</v>
      </c>
      <c r="J2698">
        <v>-491.4461</v>
      </c>
      <c r="K2698">
        <v>1.116133</v>
      </c>
      <c r="L2698">
        <v>244.96029999999999</v>
      </c>
      <c r="M2698">
        <v>9.4726149999999995E-2</v>
      </c>
      <c r="N2698">
        <v>-1.2047570000000001E-2</v>
      </c>
      <c r="O2698">
        <v>-0.99543060000000005</v>
      </c>
      <c r="P2698">
        <v>0.38279099999999999</v>
      </c>
      <c r="Q2698">
        <v>0.34631830000000002</v>
      </c>
      <c r="R2698">
        <v>-0.85646659999999997</v>
      </c>
      <c r="S2698">
        <v>2.2640380000000002</v>
      </c>
      <c r="T2698">
        <v>-0.30953979999999998</v>
      </c>
      <c r="U2698">
        <v>-2.6265109999999998</v>
      </c>
      <c r="V2698">
        <v>-0.3046642</v>
      </c>
      <c r="W2698">
        <v>0.3529738</v>
      </c>
      <c r="X2698">
        <v>0.88464069999999995</v>
      </c>
      <c r="Y2698">
        <v>-0.57585909999999996</v>
      </c>
      <c r="Z2698">
        <v>7.9603220000000002E-2</v>
      </c>
      <c r="AA2698">
        <v>0.81366430000000001</v>
      </c>
      <c r="AB2698">
        <v>26</v>
      </c>
      <c r="AC2698">
        <v>0.58850000000001002</v>
      </c>
      <c r="AD2698">
        <v>-8.5442000000000004E-2</v>
      </c>
      <c r="AE2698">
        <v>-0.42369999999999602</v>
      </c>
      <c r="AF2698">
        <v>-0.53824264505443997</v>
      </c>
      <c r="AG2698">
        <v>-8.5442000000000004E-2</v>
      </c>
      <c r="AH2698">
        <v>0.47100598727110699</v>
      </c>
      <c r="AI2698">
        <v>96.812334552706304</v>
      </c>
      <c r="AJ2698">
        <v>138.811441899431</v>
      </c>
      <c r="AK2698">
        <v>0.72031390404769402</v>
      </c>
      <c r="AL2698">
        <v>69.330685158412706</v>
      </c>
      <c r="AM2698">
        <v>109.003357058655</v>
      </c>
      <c r="AN2698">
        <v>0.99999997317228395</v>
      </c>
    </row>
    <row r="2699" spans="1:40" x14ac:dyDescent="0.25">
      <c r="A2699" t="str">
        <f>"20190304164422251"</f>
        <v>20190304164422251</v>
      </c>
      <c r="B2699" t="str">
        <f>"1551689062242864"</f>
        <v>1551689062242864</v>
      </c>
      <c r="C2699" t="s">
        <v>40</v>
      </c>
      <c r="D2699">
        <v>5.0427770000000001</v>
      </c>
      <c r="E2699">
        <v>0.42138049999999999</v>
      </c>
      <c r="F2699" t="s">
        <v>41</v>
      </c>
      <c r="G2699">
        <v>-490.83069999999998</v>
      </c>
      <c r="H2699">
        <v>0.99736650000000004</v>
      </c>
      <c r="I2699">
        <v>244.0788</v>
      </c>
      <c r="J2699">
        <v>-491.41899999999998</v>
      </c>
      <c r="K2699">
        <v>1.1162289999999999</v>
      </c>
      <c r="L2699">
        <v>244.7509</v>
      </c>
      <c r="M2699">
        <v>0.1013371</v>
      </c>
      <c r="N2699">
        <v>-1.2010760000000001E-2</v>
      </c>
      <c r="O2699">
        <v>-0.99477969999999905</v>
      </c>
      <c r="P2699">
        <v>0.38847730000000003</v>
      </c>
      <c r="Q2699">
        <v>0.34708909999999998</v>
      </c>
      <c r="R2699">
        <v>-0.85358940000000005</v>
      </c>
      <c r="S2699">
        <v>1.9449460000000001</v>
      </c>
      <c r="T2699">
        <v>-0.37525779999999997</v>
      </c>
      <c r="U2699">
        <v>-2.7852329999999998</v>
      </c>
      <c r="V2699">
        <v>-0.30479820000000002</v>
      </c>
      <c r="W2699">
        <v>0.35363270000000002</v>
      </c>
      <c r="X2699">
        <v>0.88433130000000004</v>
      </c>
      <c r="Y2699">
        <v>-0.48328749999999998</v>
      </c>
      <c r="Z2699">
        <v>0.10054490000000001</v>
      </c>
      <c r="AA2699">
        <v>0.86966889999999997</v>
      </c>
      <c r="AB2699">
        <v>26</v>
      </c>
      <c r="AC2699">
        <v>0.58830000000006</v>
      </c>
      <c r="AD2699">
        <v>-0.1188625</v>
      </c>
      <c r="AE2699">
        <v>-0.67210000000000003</v>
      </c>
      <c r="AF2699">
        <v>-0.508158662267159</v>
      </c>
      <c r="AG2699">
        <v>-0.1188625</v>
      </c>
      <c r="AH2699">
        <v>0.71558838038181605</v>
      </c>
      <c r="AI2699">
        <v>97.712682962636606</v>
      </c>
      <c r="AJ2699">
        <v>125.379591101518</v>
      </c>
      <c r="AK2699">
        <v>0.885675025097169</v>
      </c>
      <c r="AL2699">
        <v>69.290329698472306</v>
      </c>
      <c r="AM2699">
        <v>109.01728890535701</v>
      </c>
      <c r="AN2699">
        <v>0.99999993869610804</v>
      </c>
    </row>
    <row r="2700" spans="1:40" x14ac:dyDescent="0.25">
      <c r="A2700" t="str">
        <f>"20190304164422275"</f>
        <v>20190304164422275</v>
      </c>
      <c r="B2700" t="str">
        <f>"1551689062262385"</f>
        <v>1551689062262385</v>
      </c>
      <c r="C2700" t="s">
        <v>40</v>
      </c>
      <c r="D2700">
        <v>5.0462680000000004</v>
      </c>
      <c r="E2700">
        <v>0.42363719999999999</v>
      </c>
      <c r="F2700" t="s">
        <v>41</v>
      </c>
      <c r="G2700">
        <v>-490.9178</v>
      </c>
      <c r="H2700">
        <v>1.019685</v>
      </c>
      <c r="I2700">
        <v>244.03030000000001</v>
      </c>
      <c r="J2700">
        <v>-491.3852</v>
      </c>
      <c r="K2700">
        <v>1.116336</v>
      </c>
      <c r="L2700">
        <v>244.50299999999999</v>
      </c>
      <c r="M2700">
        <v>0.10928</v>
      </c>
      <c r="N2700">
        <v>-1.19679E-2</v>
      </c>
      <c r="O2700">
        <v>-0.99393909999999996</v>
      </c>
      <c r="P2700">
        <v>0.39484659999999999</v>
      </c>
      <c r="Q2700">
        <v>0.348165</v>
      </c>
      <c r="R2700">
        <v>-0.85022209999999998</v>
      </c>
      <c r="S2700">
        <v>1.937073</v>
      </c>
      <c r="T2700">
        <v>-0.37307990000000002</v>
      </c>
      <c r="U2700">
        <v>-2.7846980000000001</v>
      </c>
      <c r="V2700">
        <v>-0.30450060000000001</v>
      </c>
      <c r="W2700">
        <v>0.3545893</v>
      </c>
      <c r="X2700">
        <v>0.88405080000000003</v>
      </c>
      <c r="Y2700">
        <v>-0.47473549999999998</v>
      </c>
      <c r="Z2700">
        <v>0.1002012</v>
      </c>
      <c r="AA2700">
        <v>0.87440599999999902</v>
      </c>
      <c r="AB2700">
        <v>26</v>
      </c>
      <c r="AC2700">
        <v>0.46739999999999698</v>
      </c>
      <c r="AD2700">
        <v>-9.6651000000000001E-2</v>
      </c>
      <c r="AE2700">
        <v>-0.47269999999997397</v>
      </c>
      <c r="AF2700">
        <v>-0.404391631782411</v>
      </c>
      <c r="AG2700">
        <v>-9.6651000000000001E-2</v>
      </c>
      <c r="AH2700">
        <v>0.51016542372039297</v>
      </c>
      <c r="AI2700">
        <v>98.444753680114502</v>
      </c>
      <c r="AJ2700">
        <v>128.402724453367</v>
      </c>
      <c r="AK2700">
        <v>0.65813582733083997</v>
      </c>
      <c r="AL2700">
        <v>69.231724412171303</v>
      </c>
      <c r="AM2700">
        <v>109.005648934569</v>
      </c>
      <c r="AN2700">
        <v>1.00000000202774</v>
      </c>
    </row>
    <row r="2701" spans="1:40" x14ac:dyDescent="0.25">
      <c r="A2701" t="str">
        <f>"20190304164422296"</f>
        <v>20190304164422296</v>
      </c>
      <c r="B2701" t="str">
        <f>"1551689062292641"</f>
        <v>1551689062292641</v>
      </c>
      <c r="C2701" t="s">
        <v>40</v>
      </c>
      <c r="D2701">
        <v>5.034726</v>
      </c>
      <c r="E2701">
        <v>0.42513040000000002</v>
      </c>
      <c r="F2701" t="s">
        <v>41</v>
      </c>
      <c r="G2701">
        <v>-490.77260000000001</v>
      </c>
      <c r="H2701">
        <v>0.99908350000000001</v>
      </c>
      <c r="I2701">
        <v>243.62860000000001</v>
      </c>
      <c r="J2701">
        <v>-491.34960000000001</v>
      </c>
      <c r="K2701">
        <v>1.11643799999999</v>
      </c>
      <c r="L2701">
        <v>244.25899999999999</v>
      </c>
      <c r="M2701">
        <v>0.117267899999999</v>
      </c>
      <c r="N2701">
        <v>-1.191885E-2</v>
      </c>
      <c r="O2701">
        <v>-0.99302889999999999</v>
      </c>
      <c r="P2701">
        <v>0.40069460000000001</v>
      </c>
      <c r="Q2701">
        <v>0.34843950000000001</v>
      </c>
      <c r="R2701">
        <v>-0.84736900000000004</v>
      </c>
      <c r="S2701">
        <v>1.9454959999999999</v>
      </c>
      <c r="T2701">
        <v>-0.37245729999999999</v>
      </c>
      <c r="U2701">
        <v>-2.777466</v>
      </c>
      <c r="V2701">
        <v>-0.30359199999999997</v>
      </c>
      <c r="W2701">
        <v>0.35475370000000001</v>
      </c>
      <c r="X2701">
        <v>0.88429729999999995</v>
      </c>
      <c r="Y2701">
        <v>-0.47051769999999998</v>
      </c>
      <c r="Z2701">
        <v>0.1002204</v>
      </c>
      <c r="AA2701">
        <v>0.87668069999999898</v>
      </c>
      <c r="AB2701">
        <v>26</v>
      </c>
      <c r="AC2701">
        <v>0.57699999999999796</v>
      </c>
      <c r="AD2701">
        <v>-0.117354499999999</v>
      </c>
      <c r="AE2701">
        <v>-0.63040000000000795</v>
      </c>
      <c r="AF2701">
        <v>-0.48985015913241797</v>
      </c>
      <c r="AG2701">
        <v>-0.117354499999999</v>
      </c>
      <c r="AH2701">
        <v>0.68087869506521803</v>
      </c>
      <c r="AI2701">
        <v>97.964622054237594</v>
      </c>
      <c r="AJ2701">
        <v>125.732683375828</v>
      </c>
      <c r="AK2701">
        <v>0.84694808250920595</v>
      </c>
      <c r="AL2701">
        <v>69.221650071729698</v>
      </c>
      <c r="AM2701">
        <v>108.948084441549</v>
      </c>
      <c r="AN2701">
        <v>1.00000000245748</v>
      </c>
    </row>
    <row r="2702" spans="1:40" x14ac:dyDescent="0.25">
      <c r="A2702" t="str">
        <f>"20190304164422319"</f>
        <v>20190304164422319</v>
      </c>
      <c r="B2702" t="str">
        <f>"1551689062312161"</f>
        <v>1551689062312161</v>
      </c>
      <c r="C2702" t="s">
        <v>40</v>
      </c>
      <c r="D2702">
        <v>5.0589110000000002</v>
      </c>
      <c r="E2702">
        <v>0.42652600000000002</v>
      </c>
      <c r="F2702" t="s">
        <v>41</v>
      </c>
      <c r="G2702">
        <v>-490.74430000000001</v>
      </c>
      <c r="H2702">
        <v>1.000661</v>
      </c>
      <c r="I2702">
        <v>243.4025</v>
      </c>
      <c r="J2702">
        <v>-491.30669999999998</v>
      </c>
      <c r="K2702">
        <v>1.116547</v>
      </c>
      <c r="L2702">
        <v>243.9829</v>
      </c>
      <c r="M2702">
        <v>0.12647839999999999</v>
      </c>
      <c r="N2702">
        <v>-1.186336E-2</v>
      </c>
      <c r="O2702">
        <v>-0.99189850000000002</v>
      </c>
      <c r="P2702">
        <v>0.40805259999999999</v>
      </c>
      <c r="Q2702">
        <v>0.34809420000000002</v>
      </c>
      <c r="R2702">
        <v>-0.84399279999999999</v>
      </c>
      <c r="S2702">
        <v>1.958008</v>
      </c>
      <c r="T2702">
        <v>-0.37418869999999999</v>
      </c>
      <c r="U2702">
        <v>-2.7683870000000002</v>
      </c>
      <c r="V2702">
        <v>-0.30315730000000002</v>
      </c>
      <c r="W2702">
        <v>0.35428290000000001</v>
      </c>
      <c r="X2702">
        <v>0.88463510000000001</v>
      </c>
      <c r="Y2702">
        <v>-0.4662963</v>
      </c>
      <c r="Z2702">
        <v>0.1009259</v>
      </c>
      <c r="AA2702">
        <v>0.87885249999999904</v>
      </c>
      <c r="AB2702">
        <v>26</v>
      </c>
      <c r="AC2702">
        <v>0.56239999999996804</v>
      </c>
      <c r="AD2702">
        <v>-0.115885999999999</v>
      </c>
      <c r="AE2702">
        <v>-0.58039999999999703</v>
      </c>
      <c r="AF2702">
        <v>-0.474709222202232</v>
      </c>
      <c r="AG2702">
        <v>-0.115885999999999</v>
      </c>
      <c r="AH2702">
        <v>0.633842393107661</v>
      </c>
      <c r="AI2702">
        <v>98.325526310513595</v>
      </c>
      <c r="AJ2702">
        <v>126.83096788807499</v>
      </c>
      <c r="AK2702">
        <v>0.80033404896973803</v>
      </c>
      <c r="AL2702">
        <v>69.250498418545206</v>
      </c>
      <c r="AM2702">
        <v>108.916173114502</v>
      </c>
      <c r="AN2702">
        <v>0.99999999096385495</v>
      </c>
    </row>
    <row r="2703" spans="1:40" x14ac:dyDescent="0.25">
      <c r="A2703" t="str">
        <f>"20190304164422341"</f>
        <v>20190304164422341</v>
      </c>
      <c r="B2703" t="str">
        <f>"1551689062332657"</f>
        <v>1551689062332657</v>
      </c>
      <c r="C2703" t="s">
        <v>40</v>
      </c>
      <c r="D2703">
        <v>5.062576</v>
      </c>
      <c r="E2703">
        <v>0.42715130000000001</v>
      </c>
      <c r="F2703" t="s">
        <v>41</v>
      </c>
      <c r="G2703">
        <v>-490.72660000000002</v>
      </c>
      <c r="H2703">
        <v>1.0059419999999999</v>
      </c>
      <c r="I2703">
        <v>243.172</v>
      </c>
      <c r="J2703">
        <v>-491.26670000000001</v>
      </c>
      <c r="K2703">
        <v>1.1166480000000001</v>
      </c>
      <c r="L2703">
        <v>243.7396</v>
      </c>
      <c r="M2703">
        <v>0.13473379999999999</v>
      </c>
      <c r="N2703">
        <v>-1.181332E-2</v>
      </c>
      <c r="O2703">
        <v>-0.99081129999999995</v>
      </c>
      <c r="P2703">
        <v>0.4156184</v>
      </c>
      <c r="Q2703">
        <v>0.34983300000000001</v>
      </c>
      <c r="R2703">
        <v>-0.83957019999999905</v>
      </c>
      <c r="S2703">
        <v>1.971741</v>
      </c>
      <c r="T2703">
        <v>-0.37591000000000002</v>
      </c>
      <c r="U2703">
        <v>-2.7562410000000002</v>
      </c>
      <c r="V2703">
        <v>-0.30394769999999999</v>
      </c>
      <c r="W2703">
        <v>0.35588419999999998</v>
      </c>
      <c r="X2703">
        <v>0.88372070000000003</v>
      </c>
      <c r="Y2703">
        <v>-0.46362500000000001</v>
      </c>
      <c r="Z2703">
        <v>0.10166550000000001</v>
      </c>
      <c r="AA2703">
        <v>0.8801795</v>
      </c>
      <c r="AB2703">
        <v>26</v>
      </c>
      <c r="AC2703">
        <v>0.54009999999999503</v>
      </c>
      <c r="AD2703">
        <v>-0.110705999999999</v>
      </c>
      <c r="AE2703">
        <v>-0.567599999999998</v>
      </c>
      <c r="AF2703">
        <v>-0.44971594073576399</v>
      </c>
      <c r="AG2703">
        <v>-0.110705999999999</v>
      </c>
      <c r="AH2703">
        <v>0.62276535649856002</v>
      </c>
      <c r="AI2703">
        <v>98.200832284259405</v>
      </c>
      <c r="AJ2703">
        <v>125.834083067018</v>
      </c>
      <c r="AK2703">
        <v>0.776103688332063</v>
      </c>
      <c r="AL2703">
        <v>69.152355793957994</v>
      </c>
      <c r="AM2703">
        <v>108.980189541367</v>
      </c>
      <c r="AN2703">
        <v>1.0000000218767</v>
      </c>
    </row>
    <row r="2704" spans="1:40" x14ac:dyDescent="0.25">
      <c r="A2704" t="str">
        <f>"20190304164422363"</f>
        <v>20190304164422363</v>
      </c>
      <c r="B2704" t="str">
        <f>"1551689062352176"</f>
        <v>1551689062352176</v>
      </c>
      <c r="C2704" t="s">
        <v>40</v>
      </c>
      <c r="D2704">
        <v>5.0770770000000001</v>
      </c>
      <c r="E2704">
        <v>0.42756290000000002</v>
      </c>
      <c r="F2704" t="s">
        <v>41</v>
      </c>
      <c r="G2704">
        <v>-490.69209999999998</v>
      </c>
      <c r="H2704">
        <v>1.008928</v>
      </c>
      <c r="I2704">
        <v>242.9468</v>
      </c>
      <c r="J2704">
        <v>-491.2235</v>
      </c>
      <c r="K2704">
        <v>1.1167450000000001</v>
      </c>
      <c r="L2704">
        <v>243.49119999999999</v>
      </c>
      <c r="M2704">
        <v>0.14328869999999999</v>
      </c>
      <c r="N2704">
        <v>-1.176113E-2</v>
      </c>
      <c r="O2704">
        <v>-0.98961109999999997</v>
      </c>
      <c r="P2704">
        <v>0.4235661</v>
      </c>
      <c r="Q2704">
        <v>0.35224759999999899</v>
      </c>
      <c r="R2704">
        <v>-0.83457399999999904</v>
      </c>
      <c r="S2704">
        <v>1.9896849999999999</v>
      </c>
      <c r="T2704">
        <v>-0.37268069999999998</v>
      </c>
      <c r="U2704">
        <v>-2.7435149999999999</v>
      </c>
      <c r="V2704">
        <v>-0.30496440000000002</v>
      </c>
      <c r="W2704">
        <v>0.35815350000000001</v>
      </c>
      <c r="X2704">
        <v>0.88245269999999998</v>
      </c>
      <c r="Y2704">
        <v>-0.4617484</v>
      </c>
      <c r="Z2704">
        <v>0.1008694</v>
      </c>
      <c r="AA2704">
        <v>0.88125689999999901</v>
      </c>
      <c r="AB2704">
        <v>26</v>
      </c>
      <c r="AC2704">
        <v>0.53140000000001897</v>
      </c>
      <c r="AD2704">
        <v>-0.107817</v>
      </c>
      <c r="AE2704">
        <v>-0.544399999999996</v>
      </c>
      <c r="AF2704">
        <v>-0.43908478296171999</v>
      </c>
      <c r="AG2704">
        <v>-0.107817</v>
      </c>
      <c r="AH2704">
        <v>0.60282253490572002</v>
      </c>
      <c r="AI2704">
        <v>98.226205395740493</v>
      </c>
      <c r="AJ2704">
        <v>126.068902266075</v>
      </c>
      <c r="AK2704">
        <v>0.75353497643287903</v>
      </c>
      <c r="AL2704">
        <v>69.013160444569394</v>
      </c>
      <c r="AM2704">
        <v>109.064496893879</v>
      </c>
      <c r="AN2704">
        <v>0.99999999128344996</v>
      </c>
    </row>
    <row r="2705" spans="1:40" x14ac:dyDescent="0.25">
      <c r="A2705" t="str">
        <f>"20190304164422385"</f>
        <v>20190304164422385</v>
      </c>
      <c r="B2705" t="str">
        <f>"1551689062372672"</f>
        <v>1551689062372672</v>
      </c>
      <c r="C2705" t="s">
        <v>40</v>
      </c>
      <c r="D2705">
        <v>5.0692779999999997</v>
      </c>
      <c r="E2705">
        <v>0.42804690000000001</v>
      </c>
      <c r="F2705" t="s">
        <v>41</v>
      </c>
      <c r="G2705">
        <v>-490.65629999999999</v>
      </c>
      <c r="H2705">
        <v>1.0133289999999999</v>
      </c>
      <c r="I2705">
        <v>242.72139999999999</v>
      </c>
      <c r="J2705">
        <v>-491.17939999999999</v>
      </c>
      <c r="K2705">
        <v>1.116814</v>
      </c>
      <c r="L2705">
        <v>243.25040000000001</v>
      </c>
      <c r="M2705">
        <v>0.15168980000000001</v>
      </c>
      <c r="N2705">
        <v>-1.171441E-2</v>
      </c>
      <c r="O2705">
        <v>-0.98835879999999998</v>
      </c>
      <c r="P2705">
        <v>0.43101050000000002</v>
      </c>
      <c r="Q2705">
        <v>0.35337619999999997</v>
      </c>
      <c r="R2705">
        <v>-0.83027439999999997</v>
      </c>
      <c r="S2705">
        <v>2.0112000000000001</v>
      </c>
      <c r="T2705">
        <v>-0.36653980000000003</v>
      </c>
      <c r="U2705">
        <v>-2.728561</v>
      </c>
      <c r="V2705">
        <v>-0.30552099999999999</v>
      </c>
      <c r="W2705">
        <v>0.35916439999999999</v>
      </c>
      <c r="X2705">
        <v>0.8818492</v>
      </c>
      <c r="Y2705">
        <v>-0.46114309999999997</v>
      </c>
      <c r="Z2705">
        <v>9.9186070000000001E-2</v>
      </c>
      <c r="AA2705">
        <v>0.88176480000000002</v>
      </c>
      <c r="AB2705">
        <v>26</v>
      </c>
      <c r="AC2705">
        <v>0.52309999999999901</v>
      </c>
      <c r="AD2705">
        <v>-0.10348499999999899</v>
      </c>
      <c r="AE2705">
        <v>-0.52900000000002401</v>
      </c>
      <c r="AF2705">
        <v>-0.42850540077784899</v>
      </c>
      <c r="AG2705">
        <v>-0.10348499999999899</v>
      </c>
      <c r="AH2705">
        <v>0.59080065557667905</v>
      </c>
      <c r="AI2705">
        <v>98.070280299813007</v>
      </c>
      <c r="AJ2705">
        <v>125.95322985028599</v>
      </c>
      <c r="AK2705">
        <v>0.73713732665672205</v>
      </c>
      <c r="AL2705">
        <v>68.951113916237304</v>
      </c>
      <c r="AM2705">
        <v>109.108895372481</v>
      </c>
      <c r="AN2705">
        <v>1.0000000796044901</v>
      </c>
    </row>
    <row r="2706" spans="1:40" x14ac:dyDescent="0.25">
      <c r="A2706" t="str">
        <f>"20190304164422410"</f>
        <v>20190304164422410</v>
      </c>
      <c r="B2706" t="str">
        <f>"1551689062402928"</f>
        <v>1551689062402928</v>
      </c>
      <c r="C2706" t="s">
        <v>40</v>
      </c>
      <c r="D2706">
        <v>5.0633309999999998</v>
      </c>
      <c r="E2706">
        <v>0.42847550000000001</v>
      </c>
      <c r="F2706" t="s">
        <v>41</v>
      </c>
      <c r="G2706">
        <v>-490.61579999999998</v>
      </c>
      <c r="H2706">
        <v>1.0155270000000001</v>
      </c>
      <c r="I2706">
        <v>242.4973</v>
      </c>
      <c r="J2706">
        <v>-491.12430000000001</v>
      </c>
      <c r="K2706">
        <v>1.116884</v>
      </c>
      <c r="L2706">
        <v>242.964</v>
      </c>
      <c r="M2706">
        <v>0.1617799</v>
      </c>
      <c r="N2706">
        <v>-1.166445E-2</v>
      </c>
      <c r="O2706">
        <v>-0.98675809999999997</v>
      </c>
      <c r="P2706">
        <v>0.44015910000000003</v>
      </c>
      <c r="Q2706">
        <v>0.35120960000000001</v>
      </c>
      <c r="R2706">
        <v>-0.82638500000000004</v>
      </c>
      <c r="S2706">
        <v>2.032349</v>
      </c>
      <c r="T2706">
        <v>-0.36494510000000002</v>
      </c>
      <c r="U2706">
        <v>-2.7135769999999999</v>
      </c>
      <c r="V2706">
        <v>-0.30614839999999999</v>
      </c>
      <c r="W2706">
        <v>0.35689199999999999</v>
      </c>
      <c r="X2706">
        <v>0.8825539</v>
      </c>
      <c r="Y2706">
        <v>-0.45885389999999998</v>
      </c>
      <c r="Z2706">
        <v>9.8854780000000003E-2</v>
      </c>
      <c r="AA2706">
        <v>0.88299539999999999</v>
      </c>
      <c r="AB2706">
        <v>26</v>
      </c>
      <c r="AC2706">
        <v>0.50850000000002604</v>
      </c>
      <c r="AD2706">
        <v>-0.101356999999999</v>
      </c>
      <c r="AE2706">
        <v>-0.46670000000003098</v>
      </c>
      <c r="AF2706">
        <v>-0.41729373158776101</v>
      </c>
      <c r="AG2706">
        <v>-0.101356999999999</v>
      </c>
      <c r="AH2706">
        <v>0.53136298604857601</v>
      </c>
      <c r="AI2706">
        <v>98.531758270714207</v>
      </c>
      <c r="AJ2706">
        <v>128.14350623043401</v>
      </c>
      <c r="AK2706">
        <v>0.68319391303926202</v>
      </c>
      <c r="AL2706">
        <v>69.0905560836554</v>
      </c>
      <c r="AM2706">
        <v>109.13110691879101</v>
      </c>
      <c r="AN2706">
        <v>1.00000006444588</v>
      </c>
    </row>
    <row r="2707" spans="1:40" x14ac:dyDescent="0.25">
      <c r="A2707" t="str">
        <f>"20190304164422433"</f>
        <v>20190304164422433</v>
      </c>
      <c r="B2707" t="str">
        <f>"1551689062422449"</f>
        <v>1551689062422449</v>
      </c>
      <c r="C2707" t="s">
        <v>40</v>
      </c>
      <c r="D2707">
        <v>5.0654589999999997</v>
      </c>
      <c r="E2707">
        <v>0.42878959999999999</v>
      </c>
      <c r="F2707" t="s">
        <v>41</v>
      </c>
      <c r="G2707">
        <v>-490.56819999999999</v>
      </c>
      <c r="H2707">
        <v>1.0153760000000001</v>
      </c>
      <c r="I2707">
        <v>242.23580000000001</v>
      </c>
      <c r="J2707">
        <v>-491.07429999999999</v>
      </c>
      <c r="K2707">
        <v>1.1169230000000001</v>
      </c>
      <c r="L2707">
        <v>242.7174</v>
      </c>
      <c r="M2707">
        <v>0.1705284</v>
      </c>
      <c r="N2707">
        <v>-1.162444E-2</v>
      </c>
      <c r="O2707">
        <v>-0.9852843</v>
      </c>
      <c r="P2707">
        <v>0.4487835</v>
      </c>
      <c r="Q2707">
        <v>0.34972449999999999</v>
      </c>
      <c r="R2707">
        <v>-0.82236640000000005</v>
      </c>
      <c r="S2707">
        <v>2.0576780000000001</v>
      </c>
      <c r="T2707">
        <v>-0.37554789999999999</v>
      </c>
      <c r="U2707">
        <v>-2.693924</v>
      </c>
      <c r="V2707">
        <v>-0.30747400000000003</v>
      </c>
      <c r="W2707">
        <v>0.35531509999999999</v>
      </c>
      <c r="X2707">
        <v>0.88272919999999999</v>
      </c>
      <c r="Y2707">
        <v>-0.45912259999999999</v>
      </c>
      <c r="Z2707">
        <v>0.1021825</v>
      </c>
      <c r="AA2707">
        <v>0.8824767</v>
      </c>
      <c r="AB2707">
        <v>26</v>
      </c>
      <c r="AC2707">
        <v>0.50610000000000299</v>
      </c>
      <c r="AD2707">
        <v>-0.101546999999999</v>
      </c>
      <c r="AE2707">
        <v>-0.48159999999998598</v>
      </c>
      <c r="AF2707">
        <v>-0.407935375447814</v>
      </c>
      <c r="AG2707">
        <v>-0.101546999999999</v>
      </c>
      <c r="AH2707">
        <v>0.549250909213437</v>
      </c>
      <c r="AI2707">
        <v>98.442420511512296</v>
      </c>
      <c r="AJ2707">
        <v>126.601724601897</v>
      </c>
      <c r="AK2707">
        <v>0.69166438756273696</v>
      </c>
      <c r="AL2707">
        <v>69.187241782641806</v>
      </c>
      <c r="AM2707">
        <v>109.204351251598</v>
      </c>
      <c r="AN2707">
        <v>0.99999996074832398</v>
      </c>
    </row>
    <row r="2708" spans="1:40" x14ac:dyDescent="0.25">
      <c r="A2708" t="str">
        <f>"20190304164422454"</f>
        <v>20190304164422454</v>
      </c>
      <c r="B2708" t="str">
        <f>"1551689062442945"</f>
        <v>1551689062442945</v>
      </c>
      <c r="C2708" t="s">
        <v>40</v>
      </c>
      <c r="D2708">
        <v>5.0623750000000003</v>
      </c>
      <c r="E2708">
        <v>0.42915229999999999</v>
      </c>
      <c r="F2708" t="s">
        <v>41</v>
      </c>
      <c r="G2708">
        <v>-490.50420000000003</v>
      </c>
      <c r="H2708">
        <v>1.0116540000000001</v>
      </c>
      <c r="I2708">
        <v>241.98419999999999</v>
      </c>
      <c r="J2708">
        <v>-491.0215</v>
      </c>
      <c r="K2708">
        <v>1.116959</v>
      </c>
      <c r="L2708">
        <v>242.46850000000001</v>
      </c>
      <c r="M2708">
        <v>0.1793874</v>
      </c>
      <c r="N2708">
        <v>-1.159816E-2</v>
      </c>
      <c r="O2708">
        <v>-0.98371010000000003</v>
      </c>
      <c r="P2708">
        <v>0.45687440000000001</v>
      </c>
      <c r="Q2708">
        <v>0.34952159999999999</v>
      </c>
      <c r="R2708">
        <v>-0.81798579999999999</v>
      </c>
      <c r="S2708">
        <v>2.0813899999999999</v>
      </c>
      <c r="T2708">
        <v>-0.38410250000000001</v>
      </c>
      <c r="U2708">
        <v>-2.6754910000000001</v>
      </c>
      <c r="V2708">
        <v>-0.30825269999999999</v>
      </c>
      <c r="W2708">
        <v>0.35504930000000001</v>
      </c>
      <c r="X2708">
        <v>0.88256460000000003</v>
      </c>
      <c r="Y2708">
        <v>-0.45878400000000003</v>
      </c>
      <c r="Z2708">
        <v>0.10486520000000001</v>
      </c>
      <c r="AA2708">
        <v>0.88233809999999901</v>
      </c>
      <c r="AB2708">
        <v>26</v>
      </c>
      <c r="AC2708">
        <v>0.517299999999977</v>
      </c>
      <c r="AD2708">
        <v>-0.105304999999999</v>
      </c>
      <c r="AE2708">
        <v>-0.48430000000001799</v>
      </c>
      <c r="AF2708">
        <v>-0.41290590697727497</v>
      </c>
      <c r="AG2708">
        <v>-0.105304999999999</v>
      </c>
      <c r="AH2708">
        <v>0.55694687131961196</v>
      </c>
      <c r="AI2708">
        <v>98.636471566623101</v>
      </c>
      <c r="AJ2708">
        <v>126.552274895769</v>
      </c>
      <c r="AK2708">
        <v>0.70126332323488205</v>
      </c>
      <c r="AL2708">
        <v>69.203534168542603</v>
      </c>
      <c r="AM2708">
        <v>109.252739437074</v>
      </c>
      <c r="AN2708">
        <v>1.0000000028304601</v>
      </c>
    </row>
    <row r="2709" spans="1:40" x14ac:dyDescent="0.25">
      <c r="A2709" t="str">
        <f>"20190304164422476"</f>
        <v>20190304164422476</v>
      </c>
      <c r="B2709" t="str">
        <f>"1551689062472224"</f>
        <v>1551689062472224</v>
      </c>
      <c r="C2709" t="s">
        <v>40</v>
      </c>
      <c r="D2709">
        <v>5.0375040000000002</v>
      </c>
      <c r="E2709">
        <v>0.42958109999999999</v>
      </c>
      <c r="F2709" t="s">
        <v>41</v>
      </c>
      <c r="G2709">
        <v>-490.36079999999998</v>
      </c>
      <c r="H2709">
        <v>0.99501059999999997</v>
      </c>
      <c r="I2709">
        <v>241.63390000000001</v>
      </c>
      <c r="J2709">
        <v>-490.96859999999998</v>
      </c>
      <c r="K2709">
        <v>1.1169750000000001</v>
      </c>
      <c r="L2709">
        <v>242.2302</v>
      </c>
      <c r="M2709">
        <v>0.1878872</v>
      </c>
      <c r="N2709">
        <v>-1.1587790000000001E-2</v>
      </c>
      <c r="O2709">
        <v>-0.98212239999999995</v>
      </c>
      <c r="P2709">
        <v>0.46378789999999998</v>
      </c>
      <c r="Q2709">
        <v>0.35020499999999999</v>
      </c>
      <c r="R2709">
        <v>-0.81379190000000001</v>
      </c>
      <c r="S2709">
        <v>2.1049190000000002</v>
      </c>
      <c r="T2709">
        <v>-0.38829000000000002</v>
      </c>
      <c r="U2709">
        <v>-2.6577760000000001</v>
      </c>
      <c r="V2709">
        <v>-0.30817870000000003</v>
      </c>
      <c r="W2709">
        <v>0.35570940000000001</v>
      </c>
      <c r="X2709">
        <v>0.88232459999999902</v>
      </c>
      <c r="Y2709">
        <v>-0.45868750000000003</v>
      </c>
      <c r="Z2709">
        <v>0.10619919999999999</v>
      </c>
      <c r="AA2709">
        <v>0.88222869999999998</v>
      </c>
      <c r="AB2709">
        <v>26</v>
      </c>
      <c r="AC2709">
        <v>0.60779999999999701</v>
      </c>
      <c r="AD2709">
        <v>-0.1219644</v>
      </c>
      <c r="AE2709">
        <v>-0.59629999999998495</v>
      </c>
      <c r="AF2709">
        <v>-0.47517969031756102</v>
      </c>
      <c r="AG2709">
        <v>-0.1219644</v>
      </c>
      <c r="AH2709">
        <v>0.685812924790002</v>
      </c>
      <c r="AI2709">
        <v>98.316561917070104</v>
      </c>
      <c r="AJ2709">
        <v>124.716954680851</v>
      </c>
      <c r="AK2709">
        <v>0.84321433856799999</v>
      </c>
      <c r="AL2709">
        <v>69.163071745431395</v>
      </c>
      <c r="AM2709">
        <v>109.25330805452001</v>
      </c>
      <c r="AN2709">
        <v>0.99999999407360496</v>
      </c>
    </row>
    <row r="2710" spans="1:40" x14ac:dyDescent="0.25">
      <c r="A2710" t="str">
        <f>"20190304164422499"</f>
        <v>20190304164422499</v>
      </c>
      <c r="B2710" t="str">
        <f>"1551689062492721"</f>
        <v>1551689062492721</v>
      </c>
      <c r="C2710" t="s">
        <v>40</v>
      </c>
      <c r="D2710">
        <v>5.0380459999999996</v>
      </c>
      <c r="E2710">
        <v>0.42984699999999998</v>
      </c>
      <c r="F2710" t="s">
        <v>41</v>
      </c>
      <c r="G2710">
        <v>-490.30959999999999</v>
      </c>
      <c r="H2710">
        <v>0.9961257</v>
      </c>
      <c r="I2710">
        <v>241.4119</v>
      </c>
      <c r="J2710">
        <v>-490.90679999999998</v>
      </c>
      <c r="K2710">
        <v>1.116989</v>
      </c>
      <c r="L2710">
        <v>241.96379999999999</v>
      </c>
      <c r="M2710">
        <v>0.1974002</v>
      </c>
      <c r="N2710">
        <v>-1.1579849999999999E-2</v>
      </c>
      <c r="O2710">
        <v>-0.98025479999999998</v>
      </c>
      <c r="P2710">
        <v>0.4714737</v>
      </c>
      <c r="Q2710">
        <v>0.35066999999999998</v>
      </c>
      <c r="R2710">
        <v>-0.80916250000000001</v>
      </c>
      <c r="S2710">
        <v>2.1272579999999999</v>
      </c>
      <c r="T2710">
        <v>-0.39015650000000002</v>
      </c>
      <c r="U2710">
        <v>-2.641953</v>
      </c>
      <c r="V2710">
        <v>-0.30803609999999998</v>
      </c>
      <c r="W2710">
        <v>0.35615859999999999</v>
      </c>
      <c r="X2710">
        <v>0.88219319999999901</v>
      </c>
      <c r="Y2710">
        <v>-0.45715709999999998</v>
      </c>
      <c r="Z2710">
        <v>0.10678700000000001</v>
      </c>
      <c r="AA2710">
        <v>0.88295179999999995</v>
      </c>
      <c r="AB2710">
        <v>26</v>
      </c>
      <c r="AC2710">
        <v>0.59719999999998596</v>
      </c>
      <c r="AD2710">
        <v>-0.12086330000000001</v>
      </c>
      <c r="AE2710">
        <v>-0.55189999999998895</v>
      </c>
      <c r="AF2710">
        <v>-0.46619579775915299</v>
      </c>
      <c r="AG2710">
        <v>-0.12086330000000001</v>
      </c>
      <c r="AH2710">
        <v>0.64469174444148902</v>
      </c>
      <c r="AI2710">
        <v>98.638113076367105</v>
      </c>
      <c r="AJ2710">
        <v>125.871812080477</v>
      </c>
      <c r="AK2710">
        <v>0.804719767674557</v>
      </c>
      <c r="AL2710">
        <v>69.135531308478207</v>
      </c>
      <c r="AM2710">
        <v>109.247710104067</v>
      </c>
      <c r="AN2710">
        <v>1.0000000146917001</v>
      </c>
    </row>
    <row r="2711" spans="1:40" x14ac:dyDescent="0.25">
      <c r="A2711" t="str">
        <f>"20190304164422520"</f>
        <v>20190304164422520</v>
      </c>
      <c r="B2711" t="str">
        <f>"1551689062512241"</f>
        <v>1551689062512241</v>
      </c>
      <c r="C2711" t="s">
        <v>40</v>
      </c>
      <c r="D2711">
        <v>5.0418960000000004</v>
      </c>
      <c r="E2711">
        <v>0.4301162</v>
      </c>
      <c r="F2711" t="s">
        <v>41</v>
      </c>
      <c r="G2711">
        <v>-490.2679</v>
      </c>
      <c r="H2711">
        <v>1.0009410000000001</v>
      </c>
      <c r="I2711">
        <v>241.18520000000001</v>
      </c>
      <c r="J2711">
        <v>-490.84960000000001</v>
      </c>
      <c r="K2711">
        <v>1.116994</v>
      </c>
      <c r="L2711">
        <v>241.72669999999999</v>
      </c>
      <c r="M2711">
        <v>0.20585870000000001</v>
      </c>
      <c r="N2711">
        <v>-1.1575800000000001E-2</v>
      </c>
      <c r="O2711">
        <v>-0.97851339999999998</v>
      </c>
      <c r="P2711">
        <v>0.47804639999999998</v>
      </c>
      <c r="Q2711">
        <v>0.35126410000000002</v>
      </c>
      <c r="R2711">
        <v>-0.80503760000000002</v>
      </c>
      <c r="S2711">
        <v>2.1527400000000001</v>
      </c>
      <c r="T2711">
        <v>-0.39087870000000002</v>
      </c>
      <c r="U2711">
        <v>-2.6225890000000001</v>
      </c>
      <c r="V2711">
        <v>-0.30766840000000001</v>
      </c>
      <c r="W2711">
        <v>0.356747599999999</v>
      </c>
      <c r="X2711">
        <v>0.88208349999999902</v>
      </c>
      <c r="Y2711">
        <v>-0.45779520000000001</v>
      </c>
      <c r="Z2711">
        <v>0.1070605</v>
      </c>
      <c r="AA2711">
        <v>0.88258799999999904</v>
      </c>
      <c r="AB2711">
        <v>26</v>
      </c>
      <c r="AC2711">
        <v>0.58170000000001199</v>
      </c>
      <c r="AD2711">
        <v>-0.116052999999999</v>
      </c>
      <c r="AE2711">
        <v>-0.54149999999998499</v>
      </c>
      <c r="AF2711">
        <v>-0.44820182408023201</v>
      </c>
      <c r="AG2711">
        <v>-0.116052999999999</v>
      </c>
      <c r="AH2711">
        <v>0.63609229554020996</v>
      </c>
      <c r="AI2711">
        <v>98.482680596443998</v>
      </c>
      <c r="AJ2711">
        <v>125.169198198636</v>
      </c>
      <c r="AK2711">
        <v>0.78674429286996495</v>
      </c>
      <c r="AL2711">
        <v>69.099411128720504</v>
      </c>
      <c r="AM2711">
        <v>109.22863707440099</v>
      </c>
      <c r="AN2711">
        <v>0.99999999771828396</v>
      </c>
    </row>
    <row r="2712" spans="1:40" x14ac:dyDescent="0.25">
      <c r="A2712" t="str">
        <f>"20190304164422542"</f>
        <v>20190304164422542</v>
      </c>
      <c r="B2712" t="str">
        <f>"1551689062532736"</f>
        <v>1551689062532736</v>
      </c>
      <c r="C2712" t="s">
        <v>40</v>
      </c>
      <c r="D2712">
        <v>5.0536659999999998</v>
      </c>
      <c r="E2712">
        <v>0.42988910000000002</v>
      </c>
      <c r="F2712" t="s">
        <v>41</v>
      </c>
      <c r="G2712">
        <v>-490.2131</v>
      </c>
      <c r="H2712">
        <v>1.0023629999999999</v>
      </c>
      <c r="I2712">
        <v>240.96350000000001</v>
      </c>
      <c r="J2712">
        <v>-490.78719999999998</v>
      </c>
      <c r="K2712">
        <v>1.116992</v>
      </c>
      <c r="L2712">
        <v>241.47790000000001</v>
      </c>
      <c r="M2712">
        <v>0.2147212</v>
      </c>
      <c r="N2712">
        <v>-1.157945E-2</v>
      </c>
      <c r="O2712">
        <v>-0.976607</v>
      </c>
      <c r="P2712">
        <v>0.4844388</v>
      </c>
      <c r="Q2712">
        <v>0.35104600000000002</v>
      </c>
      <c r="R2712">
        <v>-0.80130299999999999</v>
      </c>
      <c r="S2712">
        <v>2.1739199999999999</v>
      </c>
      <c r="T2712">
        <v>-0.39151849999999999</v>
      </c>
      <c r="U2712">
        <v>-2.6064759999999998</v>
      </c>
      <c r="V2712">
        <v>-0.3066699</v>
      </c>
      <c r="W2712">
        <v>0.35654799999999998</v>
      </c>
      <c r="X2712">
        <v>0.88251179999999996</v>
      </c>
      <c r="Y2712">
        <v>-0.45665</v>
      </c>
      <c r="Z2712">
        <v>0.10726860000000001</v>
      </c>
      <c r="AA2712">
        <v>0.88315580000000005</v>
      </c>
      <c r="AB2712">
        <v>26</v>
      </c>
      <c r="AC2712">
        <v>0.57409999999998695</v>
      </c>
      <c r="AD2712">
        <v>-0.11462899999999999</v>
      </c>
      <c r="AE2712">
        <v>-0.51439999999999397</v>
      </c>
      <c r="AF2712">
        <v>-0.440506421563855</v>
      </c>
      <c r="AG2712">
        <v>-0.11462899999999999</v>
      </c>
      <c r="AH2712">
        <v>0.61214323432664797</v>
      </c>
      <c r="AI2712">
        <v>98.642496622091699</v>
      </c>
      <c r="AJ2712">
        <v>125.739293252735</v>
      </c>
      <c r="AK2712">
        <v>0.76282701473655401</v>
      </c>
      <c r="AL2712">
        <v>69.1116522055285</v>
      </c>
      <c r="AM2712">
        <v>109.162168437283</v>
      </c>
      <c r="AN2712">
        <v>0.99999999050462496</v>
      </c>
    </row>
    <row r="2713" spans="1:40" x14ac:dyDescent="0.25">
      <c r="A2713" t="str">
        <f>"20190304164422564"</f>
        <v>20190304164422564</v>
      </c>
      <c r="B2713" t="str">
        <f>"1551689062552257"</f>
        <v>1551689062552257</v>
      </c>
      <c r="C2713" t="s">
        <v>40</v>
      </c>
      <c r="D2713">
        <v>5.0722969999999998</v>
      </c>
      <c r="E2713">
        <v>0.4295928</v>
      </c>
      <c r="F2713" t="s">
        <v>41</v>
      </c>
      <c r="G2713">
        <v>-490.16079999999999</v>
      </c>
      <c r="H2713">
        <v>1.005784</v>
      </c>
      <c r="I2713">
        <v>240.74019999999999</v>
      </c>
      <c r="J2713">
        <v>-490.72399999999999</v>
      </c>
      <c r="K2713">
        <v>1.1170009999999999</v>
      </c>
      <c r="L2713">
        <v>241.2347</v>
      </c>
      <c r="M2713">
        <v>0.2233723</v>
      </c>
      <c r="N2713">
        <v>-1.158884E-2</v>
      </c>
      <c r="O2713">
        <v>-0.97466430000000004</v>
      </c>
      <c r="P2713">
        <v>0.4907743</v>
      </c>
      <c r="Q2713">
        <v>0.35077900000000001</v>
      </c>
      <c r="R2713">
        <v>-0.79755529999999997</v>
      </c>
      <c r="S2713">
        <v>2.1972659999999999</v>
      </c>
      <c r="T2713">
        <v>-0.38986399999999999</v>
      </c>
      <c r="U2713">
        <v>-2.5863339999999999</v>
      </c>
      <c r="V2713">
        <v>-0.30581079999999999</v>
      </c>
      <c r="W2713">
        <v>0.35630250000000002</v>
      </c>
      <c r="X2713">
        <v>0.88290900000000005</v>
      </c>
      <c r="Y2713">
        <v>-0.45682820000000002</v>
      </c>
      <c r="Z2713">
        <v>0.10684879999999999</v>
      </c>
      <c r="AA2713">
        <v>0.88311459999999997</v>
      </c>
      <c r="AB2713">
        <v>26</v>
      </c>
      <c r="AC2713">
        <v>0.56319999999999404</v>
      </c>
      <c r="AD2713">
        <v>-0.111217</v>
      </c>
      <c r="AE2713">
        <v>-0.49450000000001598</v>
      </c>
      <c r="AF2713">
        <v>-0.42905495514747299</v>
      </c>
      <c r="AG2713">
        <v>-0.111217</v>
      </c>
      <c r="AH2713">
        <v>0.59471981635342797</v>
      </c>
      <c r="AI2713">
        <v>98.623719426265396</v>
      </c>
      <c r="AJ2713">
        <v>125.808205998169</v>
      </c>
      <c r="AK2713">
        <v>0.74172032167728597</v>
      </c>
      <c r="AL2713">
        <v>69.126707481970001</v>
      </c>
      <c r="AM2713">
        <v>109.10441228243501</v>
      </c>
      <c r="AN2713">
        <v>1.0000000095919399</v>
      </c>
    </row>
    <row r="2714" spans="1:40" x14ac:dyDescent="0.25">
      <c r="A2714" t="str">
        <f>"20190304164422587"</f>
        <v>20190304164422587</v>
      </c>
      <c r="B2714" t="str">
        <f>"1551689062582513"</f>
        <v>1551689062582513</v>
      </c>
      <c r="C2714" t="s">
        <v>40</v>
      </c>
      <c r="D2714">
        <v>5.0520149999999999</v>
      </c>
      <c r="E2714">
        <v>0.42927019999999999</v>
      </c>
      <c r="F2714" t="s">
        <v>41</v>
      </c>
      <c r="G2714">
        <v>-490.1044</v>
      </c>
      <c r="H2714">
        <v>1.0086869999999999</v>
      </c>
      <c r="I2714">
        <v>240.5181</v>
      </c>
      <c r="J2714">
        <v>-490.65550000000002</v>
      </c>
      <c r="K2714">
        <v>1.117011</v>
      </c>
      <c r="L2714">
        <v>240.98070000000001</v>
      </c>
      <c r="M2714">
        <v>0.23240069999999999</v>
      </c>
      <c r="N2714">
        <v>-1.160338E-2</v>
      </c>
      <c r="O2714">
        <v>-0.9725509</v>
      </c>
      <c r="P2714">
        <v>0.49712980000000001</v>
      </c>
      <c r="Q2714">
        <v>0.3510412</v>
      </c>
      <c r="R2714">
        <v>-0.79349380000000003</v>
      </c>
      <c r="S2714">
        <v>2.2191160000000001</v>
      </c>
      <c r="T2714">
        <v>-0.38792320000000002</v>
      </c>
      <c r="U2714">
        <v>-2.566589</v>
      </c>
      <c r="V2714">
        <v>-0.30470710000000001</v>
      </c>
      <c r="W2714">
        <v>0.35659439999999998</v>
      </c>
      <c r="X2714">
        <v>0.88317279999999998</v>
      </c>
      <c r="Y2714">
        <v>-0.45629249999999999</v>
      </c>
      <c r="Z2714">
        <v>0.1063342</v>
      </c>
      <c r="AA2714">
        <v>0.8834535</v>
      </c>
      <c r="AB2714">
        <v>26</v>
      </c>
      <c r="AC2714">
        <v>0.55110000000001902</v>
      </c>
      <c r="AD2714">
        <v>-0.108323999999999</v>
      </c>
      <c r="AE2714">
        <v>-0.462600000000008</v>
      </c>
      <c r="AF2714">
        <v>-0.41899638015642898</v>
      </c>
      <c r="AG2714">
        <v>-0.108323999999999</v>
      </c>
      <c r="AH2714">
        <v>0.56520637900472603</v>
      </c>
      <c r="AI2714">
        <v>98.752674567164107</v>
      </c>
      <c r="AJ2714">
        <v>126.550121936962</v>
      </c>
      <c r="AK2714">
        <v>0.71186396623780901</v>
      </c>
      <c r="AL2714">
        <v>69.108808786045998</v>
      </c>
      <c r="AM2714">
        <v>109.035158105582</v>
      </c>
      <c r="AN2714">
        <v>1.0000000887808</v>
      </c>
    </row>
    <row r="2715" spans="1:40" x14ac:dyDescent="0.25">
      <c r="A2715" t="str">
        <f>"20190304164422610"</f>
        <v>20190304164422610</v>
      </c>
      <c r="B2715" t="str">
        <f>"1551689062603009"</f>
        <v>1551689062603009</v>
      </c>
      <c r="C2715" t="s">
        <v>40</v>
      </c>
      <c r="D2715">
        <v>5.0951110000000002</v>
      </c>
      <c r="E2715">
        <v>0.42910029999999999</v>
      </c>
      <c r="F2715" t="s">
        <v>41</v>
      </c>
      <c r="G2715">
        <v>-490.05029999999999</v>
      </c>
      <c r="H2715">
        <v>1.0133080000000001</v>
      </c>
      <c r="I2715">
        <v>240.29320000000001</v>
      </c>
      <c r="J2715">
        <v>-490.58479999999997</v>
      </c>
      <c r="K2715">
        <v>1.117035</v>
      </c>
      <c r="L2715">
        <v>240.7278</v>
      </c>
      <c r="M2715">
        <v>0.2413902</v>
      </c>
      <c r="N2715">
        <v>-1.1623100000000001E-2</v>
      </c>
      <c r="O2715">
        <v>-0.97035859999999996</v>
      </c>
      <c r="P2715">
        <v>0.50299839999999996</v>
      </c>
      <c r="Q2715">
        <v>0.35151059999999901</v>
      </c>
      <c r="R2715">
        <v>-0.78957790000000005</v>
      </c>
      <c r="S2715">
        <v>2.241943</v>
      </c>
      <c r="T2715">
        <v>-0.3839861</v>
      </c>
      <c r="U2715">
        <v>-2.5460210000000001</v>
      </c>
      <c r="V2715">
        <v>-0.3031355</v>
      </c>
      <c r="W2715">
        <v>0.35710609999999998</v>
      </c>
      <c r="X2715">
        <v>0.88350669999999898</v>
      </c>
      <c r="Y2715">
        <v>-0.45615450000000002</v>
      </c>
      <c r="Z2715">
        <v>0.1052071</v>
      </c>
      <c r="AA2715">
        <v>0.8836598</v>
      </c>
      <c r="AB2715">
        <v>26</v>
      </c>
      <c r="AC2715">
        <v>0.53449999999997999</v>
      </c>
      <c r="AD2715">
        <v>-0.103726999999999</v>
      </c>
      <c r="AE2715">
        <v>-0.434599999999989</v>
      </c>
      <c r="AF2715">
        <v>-0.40460333311139102</v>
      </c>
      <c r="AG2715">
        <v>-0.103726999999999</v>
      </c>
      <c r="AH2715">
        <v>0.53856778360263002</v>
      </c>
      <c r="AI2715">
        <v>98.753947731434394</v>
      </c>
      <c r="AJ2715">
        <v>126.915998220837</v>
      </c>
      <c r="AK2715">
        <v>0.68155587095152903</v>
      </c>
      <c r="AL2715">
        <v>69.077422141647901</v>
      </c>
      <c r="AM2715">
        <v>108.937347003022</v>
      </c>
      <c r="AN2715">
        <v>0.99999999348117397</v>
      </c>
    </row>
    <row r="2716" spans="1:40" x14ac:dyDescent="0.25">
      <c r="A2716" t="str">
        <f>"20190304164422634"</f>
        <v>20190304164422634</v>
      </c>
      <c r="B2716" t="str">
        <f>"1551689062622529"</f>
        <v>1551689062622529</v>
      </c>
      <c r="C2716" t="s">
        <v>40</v>
      </c>
      <c r="D2716">
        <v>5.0796260000000002</v>
      </c>
      <c r="E2716">
        <v>0.42894349999999998</v>
      </c>
      <c r="F2716" t="s">
        <v>41</v>
      </c>
      <c r="G2716">
        <v>-489.96839999999997</v>
      </c>
      <c r="H2716">
        <v>1.0134160000000001</v>
      </c>
      <c r="I2716">
        <v>240.0394</v>
      </c>
      <c r="J2716">
        <v>-490.5077</v>
      </c>
      <c r="K2716">
        <v>1.117043</v>
      </c>
      <c r="L2716">
        <v>240.4614</v>
      </c>
      <c r="M2716">
        <v>0.25085390000000002</v>
      </c>
      <c r="N2716">
        <v>-1.1647599999999999E-2</v>
      </c>
      <c r="O2716">
        <v>-0.96795520000000002</v>
      </c>
      <c r="P2716">
        <v>0.50939979999999996</v>
      </c>
      <c r="Q2716">
        <v>0.35215659999999999</v>
      </c>
      <c r="R2716">
        <v>-0.78517409999999999</v>
      </c>
      <c r="S2716">
        <v>2.263306</v>
      </c>
      <c r="T2716">
        <v>-0.38038689999999997</v>
      </c>
      <c r="U2716">
        <v>-2.527069</v>
      </c>
      <c r="V2716">
        <v>-0.30176969999999997</v>
      </c>
      <c r="W2716">
        <v>0.35779460000000002</v>
      </c>
      <c r="X2716">
        <v>0.88369569999999997</v>
      </c>
      <c r="Y2716">
        <v>-0.45499519999999999</v>
      </c>
      <c r="Z2716">
        <v>0.10413310000000001</v>
      </c>
      <c r="AA2716">
        <v>0.88438430000000001</v>
      </c>
      <c r="AB2716">
        <v>26</v>
      </c>
      <c r="AC2716">
        <v>0.53930000000002498</v>
      </c>
      <c r="AD2716">
        <v>-0.103626999999999</v>
      </c>
      <c r="AE2716">
        <v>-0.42199999999999599</v>
      </c>
      <c r="AF2716">
        <v>-0.40686862584091499</v>
      </c>
      <c r="AG2716">
        <v>-0.103626999999999</v>
      </c>
      <c r="AH2716">
        <v>0.53162500665174295</v>
      </c>
      <c r="AI2716">
        <v>98.799181788608905</v>
      </c>
      <c r="AJ2716">
        <v>127.427918159776</v>
      </c>
      <c r="AK2716">
        <v>0.67742584946261197</v>
      </c>
      <c r="AL2716">
        <v>69.035183709568102</v>
      </c>
      <c r="AM2716">
        <v>108.854317106102</v>
      </c>
      <c r="AN2716">
        <v>1.00000000891287</v>
      </c>
    </row>
    <row r="2717" spans="1:40" x14ac:dyDescent="0.25">
      <c r="A2717" t="str">
        <f>"20190304164422655"</f>
        <v>20190304164422655</v>
      </c>
      <c r="B2717" t="str">
        <f>"1551689062652785"</f>
        <v>1551689062652785</v>
      </c>
      <c r="C2717" t="s">
        <v>40</v>
      </c>
      <c r="D2717">
        <v>5.0933510000000002</v>
      </c>
      <c r="E2717">
        <v>0.42875239999999998</v>
      </c>
      <c r="F2717" t="s">
        <v>42</v>
      </c>
      <c r="G2717">
        <v>-483.7122</v>
      </c>
      <c r="H2717" s="1">
        <v>-2.820596E-6</v>
      </c>
      <c r="I2717">
        <v>233.02019999999999</v>
      </c>
      <c r="J2717">
        <v>-490.43700000000001</v>
      </c>
      <c r="K2717">
        <v>1.117057</v>
      </c>
      <c r="L2717">
        <v>240.22579999999999</v>
      </c>
      <c r="M2717">
        <v>0.2592313</v>
      </c>
      <c r="N2717">
        <v>-1.1668349999999999E-2</v>
      </c>
      <c r="O2717">
        <v>-0.96574470000000001</v>
      </c>
      <c r="P2717">
        <v>0.51524879999999995</v>
      </c>
      <c r="Q2717">
        <v>0.35284559999999998</v>
      </c>
      <c r="R2717">
        <v>-0.78103699999999998</v>
      </c>
      <c r="S2717">
        <v>2.2878419999999999</v>
      </c>
      <c r="T2717">
        <v>-0.37607420000000003</v>
      </c>
      <c r="U2717">
        <v>-2.5052189999999999</v>
      </c>
      <c r="V2717">
        <v>-0.3008015</v>
      </c>
      <c r="W2717">
        <v>0.35851499999999997</v>
      </c>
      <c r="X2717">
        <v>0.88373380000000001</v>
      </c>
      <c r="Y2717">
        <v>-0.45594780000000001</v>
      </c>
      <c r="Z2717">
        <v>0.1028675</v>
      </c>
      <c r="AA2717">
        <v>0.88404179999999999</v>
      </c>
      <c r="AB2717">
        <v>26</v>
      </c>
      <c r="AC2717">
        <v>6.7247999999999504</v>
      </c>
      <c r="AD2717">
        <v>-1.1170598205960001</v>
      </c>
      <c r="AE2717">
        <v>-7.2055999999999996</v>
      </c>
      <c r="AF2717">
        <v>-4.5681596278392496</v>
      </c>
      <c r="AG2717">
        <v>-1.1170598205960001</v>
      </c>
      <c r="AH2717">
        <v>8.5922728976890692</v>
      </c>
      <c r="AI2717">
        <v>96.548445261897299</v>
      </c>
      <c r="AJ2717">
        <v>117.99774943071399</v>
      </c>
      <c r="AK2717">
        <v>9.7950527602750892</v>
      </c>
      <c r="AL2717">
        <v>68.990974679494897</v>
      </c>
      <c r="AM2717">
        <v>108.797325853996</v>
      </c>
      <c r="AN2717">
        <v>0.99999998844484494</v>
      </c>
    </row>
    <row r="2718" spans="1:40" x14ac:dyDescent="0.25">
      <c r="A2718" t="str">
        <f>"20190304164422676"</f>
        <v>20190304164422676</v>
      </c>
      <c r="B2718" t="str">
        <f>"1551689062672305"</f>
        <v>1551689062672305</v>
      </c>
      <c r="C2718" t="s">
        <v>40</v>
      </c>
      <c r="D2718">
        <v>5.1152759999999997</v>
      </c>
      <c r="E2718">
        <v>0.42883149999999998</v>
      </c>
      <c r="F2718" t="s">
        <v>41</v>
      </c>
      <c r="G2718">
        <v>-489.71800000000002</v>
      </c>
      <c r="H2718">
        <v>1.00122</v>
      </c>
      <c r="I2718">
        <v>239.45240000000001</v>
      </c>
      <c r="J2718">
        <v>-490.36610000000002</v>
      </c>
      <c r="K2718">
        <v>1.117062</v>
      </c>
      <c r="L2718">
        <v>239.9967</v>
      </c>
      <c r="M2718">
        <v>0.26737250000000001</v>
      </c>
      <c r="N2718">
        <v>-1.1687360000000001E-2</v>
      </c>
      <c r="O2718">
        <v>-0.96352249999999995</v>
      </c>
      <c r="P2718">
        <v>0.52158450000000001</v>
      </c>
      <c r="Q2718">
        <v>0.35406890000000002</v>
      </c>
      <c r="R2718">
        <v>-0.77626340000000005</v>
      </c>
      <c r="S2718">
        <v>2.3108520000000001</v>
      </c>
      <c r="T2718">
        <v>-0.37214399999999997</v>
      </c>
      <c r="U2718">
        <v>-2.4847109999999999</v>
      </c>
      <c r="V2718">
        <v>-0.3007011</v>
      </c>
      <c r="W2718">
        <v>0.35974899999999999</v>
      </c>
      <c r="X2718">
        <v>0.88326629999999995</v>
      </c>
      <c r="Y2718">
        <v>-0.45656269999999999</v>
      </c>
      <c r="Z2718">
        <v>0.10169549999999999</v>
      </c>
      <c r="AA2718">
        <v>0.88386010000000004</v>
      </c>
      <c r="AB2718">
        <v>26</v>
      </c>
      <c r="AC2718">
        <v>0.64809999999999901</v>
      </c>
      <c r="AD2718">
        <v>-0.115842</v>
      </c>
      <c r="AE2718">
        <v>-0.54429999999999201</v>
      </c>
      <c r="AF2718">
        <v>-0.470152708742331</v>
      </c>
      <c r="AG2718">
        <v>-0.115842</v>
      </c>
      <c r="AH2718">
        <v>0.68494495795448596</v>
      </c>
      <c r="AI2718">
        <v>97.938019054763004</v>
      </c>
      <c r="AJ2718">
        <v>124.466072948253</v>
      </c>
      <c r="AK2718">
        <v>0.83881615025524103</v>
      </c>
      <c r="AL2718">
        <v>68.915216298257903</v>
      </c>
      <c r="AM2718">
        <v>108.80073968389</v>
      </c>
      <c r="AN2718">
        <v>0.99999992562894702</v>
      </c>
    </row>
    <row r="2719" spans="1:40" x14ac:dyDescent="0.25">
      <c r="A2719" t="str">
        <f>"20190304164422700"</f>
        <v>20190304164422700</v>
      </c>
      <c r="B2719" t="str">
        <f>"1551689062692801"</f>
        <v>1551689062692801</v>
      </c>
      <c r="C2719" t="s">
        <v>40</v>
      </c>
      <c r="D2719">
        <v>5.1135029999999997</v>
      </c>
      <c r="E2719">
        <v>0.4288033</v>
      </c>
      <c r="F2719" t="s">
        <v>41</v>
      </c>
      <c r="G2719">
        <v>-489.64609999999999</v>
      </c>
      <c r="H2719">
        <v>1.00325</v>
      </c>
      <c r="I2719">
        <v>239.2354</v>
      </c>
      <c r="J2719">
        <v>-490.28100000000001</v>
      </c>
      <c r="K2719">
        <v>1.117078</v>
      </c>
      <c r="L2719">
        <v>239.73079999999999</v>
      </c>
      <c r="M2719">
        <v>0.27682509999999999</v>
      </c>
      <c r="N2719">
        <v>-1.170855E-2</v>
      </c>
      <c r="O2719">
        <v>-0.96084899999999995</v>
      </c>
      <c r="P2719">
        <v>0.5288815</v>
      </c>
      <c r="Q2719">
        <v>0.35628840000000001</v>
      </c>
      <c r="R2719">
        <v>-0.77028799999999997</v>
      </c>
      <c r="S2719">
        <v>2.3321839999999998</v>
      </c>
      <c r="T2719">
        <v>-0.36860680000000001</v>
      </c>
      <c r="U2719">
        <v>-2.4656829999999998</v>
      </c>
      <c r="V2719">
        <v>-0.30067270000000001</v>
      </c>
      <c r="W2719">
        <v>0.36197479999999999</v>
      </c>
      <c r="X2719">
        <v>0.88236619999999999</v>
      </c>
      <c r="Y2719">
        <v>-0.45535769999999998</v>
      </c>
      <c r="Z2719">
        <v>0.10059220000000001</v>
      </c>
      <c r="AA2719">
        <v>0.88460759999999905</v>
      </c>
      <c r="AB2719">
        <v>26</v>
      </c>
      <c r="AC2719">
        <v>0.63490000000001601</v>
      </c>
      <c r="AD2719">
        <v>-0.113828</v>
      </c>
      <c r="AE2719">
        <v>-0.49539999999998902</v>
      </c>
      <c r="AF2719">
        <v>-0.46367253900112199</v>
      </c>
      <c r="AG2719">
        <v>-0.113828</v>
      </c>
      <c r="AH2719">
        <v>0.63903813022619105</v>
      </c>
      <c r="AI2719">
        <v>98.203881169894203</v>
      </c>
      <c r="AJ2719">
        <v>125.963844215539</v>
      </c>
      <c r="AK2719">
        <v>0.79769591254483196</v>
      </c>
      <c r="AL2719">
        <v>68.778474443471595</v>
      </c>
      <c r="AM2719">
        <v>108.816916802816</v>
      </c>
      <c r="AN2719">
        <v>0.99999996963138404</v>
      </c>
    </row>
    <row r="2720" spans="1:40" x14ac:dyDescent="0.25">
      <c r="A2720" t="str">
        <f>"20190304164422722"</f>
        <v>20190304164422722</v>
      </c>
      <c r="B2720" t="str">
        <f>"1551689062712321"</f>
        <v>1551689062712321</v>
      </c>
      <c r="C2720" t="s">
        <v>40</v>
      </c>
      <c r="D2720">
        <v>5.1131880000000001</v>
      </c>
      <c r="E2720">
        <v>0.42880750000000001</v>
      </c>
      <c r="F2720" t="s">
        <v>41</v>
      </c>
      <c r="G2720">
        <v>-489.58679999999998</v>
      </c>
      <c r="H2720">
        <v>1.0105710000000001</v>
      </c>
      <c r="I2720">
        <v>239.0111</v>
      </c>
      <c r="J2720">
        <v>-490.20100000000002</v>
      </c>
      <c r="K2720">
        <v>1.117086</v>
      </c>
      <c r="L2720">
        <v>239.48849999999999</v>
      </c>
      <c r="M2720">
        <v>0.28543669999999999</v>
      </c>
      <c r="N2720">
        <v>-1.1726179999999999E-2</v>
      </c>
      <c r="O2720">
        <v>-0.95832589999999995</v>
      </c>
      <c r="P2720">
        <v>0.5351958</v>
      </c>
      <c r="Q2720">
        <v>0.35765960000000002</v>
      </c>
      <c r="R2720">
        <v>-0.76527449999999997</v>
      </c>
      <c r="S2720">
        <v>2.3573909999999998</v>
      </c>
      <c r="T2720">
        <v>-0.36152800000000002</v>
      </c>
      <c r="U2720">
        <v>-2.4432529999999999</v>
      </c>
      <c r="V2720">
        <v>-0.300209</v>
      </c>
      <c r="W2720">
        <v>0.36336429999999997</v>
      </c>
      <c r="X2720">
        <v>0.88195290000000004</v>
      </c>
      <c r="Y2720">
        <v>-0.45632200000000001</v>
      </c>
      <c r="Z2720">
        <v>9.8454440000000004E-2</v>
      </c>
      <c r="AA2720">
        <v>0.884351199999999</v>
      </c>
      <c r="AB2720">
        <v>26</v>
      </c>
      <c r="AC2720">
        <v>0.61419999999998198</v>
      </c>
      <c r="AD2720">
        <v>-0.106515</v>
      </c>
      <c r="AE2720">
        <v>-0.477399999999988</v>
      </c>
      <c r="AF2720">
        <v>-0.44404241435796599</v>
      </c>
      <c r="AG2720">
        <v>-0.106515</v>
      </c>
      <c r="AH2720">
        <v>0.62121684945698896</v>
      </c>
      <c r="AI2720">
        <v>97.940987537480794</v>
      </c>
      <c r="AJ2720">
        <v>125.55697766971799</v>
      </c>
      <c r="AK2720">
        <v>0.77099253240425003</v>
      </c>
      <c r="AL2720">
        <v>68.693046183665103</v>
      </c>
      <c r="AM2720">
        <v>108.798122006932</v>
      </c>
      <c r="AN2720">
        <v>0.999999988006949</v>
      </c>
    </row>
    <row r="2721" spans="1:40" x14ac:dyDescent="0.25">
      <c r="A2721" t="str">
        <f>"20190304164422746"</f>
        <v>20190304164422746</v>
      </c>
      <c r="B2721" t="str">
        <f>"1551689062742578"</f>
        <v>1551689062742578</v>
      </c>
      <c r="C2721" t="s">
        <v>40</v>
      </c>
      <c r="D2721">
        <v>5.0747369999999998</v>
      </c>
      <c r="E2721">
        <v>0.42884420000000001</v>
      </c>
      <c r="F2721" t="s">
        <v>41</v>
      </c>
      <c r="G2721">
        <v>-489.51690000000002</v>
      </c>
      <c r="H2721">
        <v>1.0143150000000001</v>
      </c>
      <c r="I2721">
        <v>238.79179999999999</v>
      </c>
      <c r="J2721">
        <v>-490.11649999999997</v>
      </c>
      <c r="K2721">
        <v>1.1170770000000001</v>
      </c>
      <c r="L2721">
        <v>239.2396</v>
      </c>
      <c r="M2721">
        <v>0.29426459999999999</v>
      </c>
      <c r="N2721">
        <v>-1.174182E-2</v>
      </c>
      <c r="O2721">
        <v>-0.9556521</v>
      </c>
      <c r="P2721">
        <v>0.54144099999999995</v>
      </c>
      <c r="Q2721">
        <v>0.35730200000000001</v>
      </c>
      <c r="R2721">
        <v>-0.76103719999999997</v>
      </c>
      <c r="S2721">
        <v>2.3795470000000001</v>
      </c>
      <c r="T2721">
        <v>-0.35744680000000001</v>
      </c>
      <c r="U2721">
        <v>-2.4230649999999998</v>
      </c>
      <c r="V2721">
        <v>-0.29922720000000003</v>
      </c>
      <c r="W2721">
        <v>0.36304589999999998</v>
      </c>
      <c r="X2721">
        <v>0.88241759999999902</v>
      </c>
      <c r="Y2721">
        <v>-0.45601819999999998</v>
      </c>
      <c r="Z2721">
        <v>9.7187519999999999E-2</v>
      </c>
      <c r="AA2721">
        <v>0.88464799999999999</v>
      </c>
      <c r="AB2721">
        <v>26</v>
      </c>
      <c r="AC2721">
        <v>0.59959999999995195</v>
      </c>
      <c r="AD2721">
        <v>-0.10276200000000001</v>
      </c>
      <c r="AE2721">
        <v>-0.44779999999999998</v>
      </c>
      <c r="AF2721">
        <v>-0.43310121203276603</v>
      </c>
      <c r="AG2721">
        <v>-0.10276200000000001</v>
      </c>
      <c r="AH2721">
        <v>0.593237693167462</v>
      </c>
      <c r="AI2721">
        <v>97.964281283867294</v>
      </c>
      <c r="AJ2721">
        <v>126.131819136787</v>
      </c>
      <c r="AK2721">
        <v>0.74166545632306702</v>
      </c>
      <c r="AL2721">
        <v>68.712627278664002</v>
      </c>
      <c r="AM2721">
        <v>108.73176229361999</v>
      </c>
      <c r="AN2721">
        <v>1.0000000317582001</v>
      </c>
    </row>
    <row r="2722" spans="1:40" x14ac:dyDescent="0.25">
      <c r="A2722" t="str">
        <f>"20190304164422766"</f>
        <v>20190304164422766</v>
      </c>
      <c r="B2722" t="str">
        <f>"1551689062762097"</f>
        <v>1551689062762097</v>
      </c>
      <c r="C2722" t="s">
        <v>40</v>
      </c>
      <c r="D2722">
        <v>5.0757620000000001</v>
      </c>
      <c r="E2722">
        <v>0.42886819999999998</v>
      </c>
      <c r="F2722" t="s">
        <v>41</v>
      </c>
      <c r="G2722">
        <v>-489.44880000000001</v>
      </c>
      <c r="H2722">
        <v>1.0168079999999999</v>
      </c>
      <c r="I2722">
        <v>238.571</v>
      </c>
      <c r="J2722">
        <v>-490.03519999999997</v>
      </c>
      <c r="K2722">
        <v>1.1170530000000001</v>
      </c>
      <c r="L2722">
        <v>239.00720000000001</v>
      </c>
      <c r="M2722">
        <v>0.30248229999999998</v>
      </c>
      <c r="N2722">
        <v>-1.175375E-2</v>
      </c>
      <c r="O2722">
        <v>-0.9530826</v>
      </c>
      <c r="P2722">
        <v>0.5471973</v>
      </c>
      <c r="Q2722">
        <v>0.35638039999999999</v>
      </c>
      <c r="R2722">
        <v>-0.75734279999999998</v>
      </c>
      <c r="S2722">
        <v>2.4008180000000001</v>
      </c>
      <c r="T2722">
        <v>-0.36035590000000001</v>
      </c>
      <c r="U2722">
        <v>-2.403152</v>
      </c>
      <c r="V2722">
        <v>-0.29815799999999998</v>
      </c>
      <c r="W2722">
        <v>0.36217080000000001</v>
      </c>
      <c r="X2722">
        <v>0.8831388</v>
      </c>
      <c r="Y2722">
        <v>-0.45588990000000001</v>
      </c>
      <c r="Z2722">
        <v>9.8009009999999994E-2</v>
      </c>
      <c r="AA2722">
        <v>0.88462350000000001</v>
      </c>
      <c r="AB2722">
        <v>26</v>
      </c>
      <c r="AC2722">
        <v>0.58639999999996895</v>
      </c>
      <c r="AD2722">
        <v>-0.100245</v>
      </c>
      <c r="AE2722">
        <v>-0.43620000000001302</v>
      </c>
      <c r="AF2722">
        <v>-0.41908969761781201</v>
      </c>
      <c r="AG2722">
        <v>-0.100245</v>
      </c>
      <c r="AH2722">
        <v>0.58219789132474797</v>
      </c>
      <c r="AI2722">
        <v>97.955199587064996</v>
      </c>
      <c r="AJ2722">
        <v>125.74787313073701</v>
      </c>
      <c r="AK2722">
        <v>0.72432010833427196</v>
      </c>
      <c r="AL2722">
        <v>68.766427966932099</v>
      </c>
      <c r="AM2722">
        <v>108.65528453978099</v>
      </c>
      <c r="AN2722">
        <v>1.0000000107010401</v>
      </c>
    </row>
    <row r="2723" spans="1:40" x14ac:dyDescent="0.25">
      <c r="A2723" t="str">
        <f>"20190304164422788"</f>
        <v>20190304164422788</v>
      </c>
      <c r="B2723" t="str">
        <f>"1551689062782594"</f>
        <v>1551689062782594</v>
      </c>
      <c r="C2723" t="s">
        <v>40</v>
      </c>
      <c r="D2723">
        <v>5.0733220000000001</v>
      </c>
      <c r="E2723">
        <v>0.4289404</v>
      </c>
      <c r="F2723" t="s">
        <v>41</v>
      </c>
      <c r="G2723">
        <v>-489.37259999999998</v>
      </c>
      <c r="H2723">
        <v>1.0171920000000001</v>
      </c>
      <c r="I2723">
        <v>238.35390000000001</v>
      </c>
      <c r="J2723">
        <v>-489.947</v>
      </c>
      <c r="K2723">
        <v>1.117027</v>
      </c>
      <c r="L2723">
        <v>238.76150000000001</v>
      </c>
      <c r="M2723">
        <v>0.31111490000000003</v>
      </c>
      <c r="N2723">
        <v>-1.176312E-2</v>
      </c>
      <c r="O2723">
        <v>-0.95029960000000002</v>
      </c>
      <c r="P2723">
        <v>0.55359440000000004</v>
      </c>
      <c r="Q2723">
        <v>0.3564486</v>
      </c>
      <c r="R2723">
        <v>-0.75264759999999997</v>
      </c>
      <c r="S2723">
        <v>2.4191280000000002</v>
      </c>
      <c r="T2723">
        <v>-0.3645543</v>
      </c>
      <c r="U2723">
        <v>-2.3848720000000001</v>
      </c>
      <c r="V2723">
        <v>-0.29761100000000001</v>
      </c>
      <c r="W2723">
        <v>0.36227969999999998</v>
      </c>
      <c r="X2723">
        <v>0.88327860000000002</v>
      </c>
      <c r="Y2723">
        <v>-0.4544744</v>
      </c>
      <c r="Z2723">
        <v>9.9200899999999995E-2</v>
      </c>
      <c r="AA2723">
        <v>0.88521870000000002</v>
      </c>
      <c r="AB2723">
        <v>26</v>
      </c>
      <c r="AC2723">
        <v>0.57439999999996805</v>
      </c>
      <c r="AD2723">
        <v>-9.9834999999999896E-2</v>
      </c>
      <c r="AE2723">
        <v>-0.40760000000000202</v>
      </c>
      <c r="AF2723">
        <v>-0.41081654863064598</v>
      </c>
      <c r="AG2723">
        <v>-9.9834999999999896E-2</v>
      </c>
      <c r="AH2723">
        <v>0.55493594010474201</v>
      </c>
      <c r="AI2723">
        <v>98.227583800679994</v>
      </c>
      <c r="AJ2723">
        <v>126.51237763540099</v>
      </c>
      <c r="AK2723">
        <v>0.69763254043495604</v>
      </c>
      <c r="AL2723">
        <v>68.759733331441595</v>
      </c>
      <c r="AM2723">
        <v>108.620677324743</v>
      </c>
      <c r="AN2723">
        <v>0.99999998678552404</v>
      </c>
    </row>
    <row r="2724" spans="1:40" x14ac:dyDescent="0.25">
      <c r="A2724" t="str">
        <f>"20190304164422811"</f>
        <v>20190304164422811</v>
      </c>
      <c r="B2724" t="str">
        <f>"1551689062802113"</f>
        <v>1551689062802113</v>
      </c>
      <c r="C2724" t="s">
        <v>40</v>
      </c>
      <c r="D2724">
        <v>5.225676</v>
      </c>
      <c r="E2724">
        <v>0.42903059999999998</v>
      </c>
      <c r="F2724" t="s">
        <v>41</v>
      </c>
      <c r="G2724">
        <v>-489.28620000000001</v>
      </c>
      <c r="H2724">
        <v>1.0179750000000001</v>
      </c>
      <c r="I2724">
        <v>238.12100000000001</v>
      </c>
      <c r="J2724">
        <v>-489.8535</v>
      </c>
      <c r="K2724">
        <v>1.1169789999999999</v>
      </c>
      <c r="L2724">
        <v>238.50819999999999</v>
      </c>
      <c r="M2724">
        <v>0.31994040000000001</v>
      </c>
      <c r="N2724">
        <v>-1.1768829999999999E-2</v>
      </c>
      <c r="O2724">
        <v>-0.94736450000000005</v>
      </c>
      <c r="P2724">
        <v>0.55947999999999998</v>
      </c>
      <c r="Q2724">
        <v>0.35748410000000003</v>
      </c>
      <c r="R2724">
        <v>-0.74778809999999996</v>
      </c>
      <c r="S2724">
        <v>2.4400330000000001</v>
      </c>
      <c r="T2724">
        <v>-0.36562610000000001</v>
      </c>
      <c r="U2724">
        <v>-2.3643800000000001</v>
      </c>
      <c r="V2724">
        <v>-0.29644540000000003</v>
      </c>
      <c r="W2724">
        <v>0.36337419999999998</v>
      </c>
      <c r="X2724">
        <v>0.88322099999999903</v>
      </c>
      <c r="Y2724">
        <v>-0.45380540000000003</v>
      </c>
      <c r="Z2724">
        <v>9.945416E-2</v>
      </c>
      <c r="AA2724">
        <v>0.88553349999999897</v>
      </c>
      <c r="AB2724">
        <v>26</v>
      </c>
      <c r="AC2724">
        <v>0.56729999999998804</v>
      </c>
      <c r="AD2724">
        <v>-9.9003999999999995E-2</v>
      </c>
      <c r="AE2724">
        <v>-0.38720000000000698</v>
      </c>
      <c r="AF2724">
        <v>-0.40516927554994903</v>
      </c>
      <c r="AG2724">
        <v>-9.9003999999999995E-2</v>
      </c>
      <c r="AH2724">
        <v>0.53719816999342695</v>
      </c>
      <c r="AI2724">
        <v>98.370355661145993</v>
      </c>
      <c r="AJ2724">
        <v>127.02457851811501</v>
      </c>
      <c r="AK2724">
        <v>0.68010720310106798</v>
      </c>
      <c r="AL2724">
        <v>68.692437820996304</v>
      </c>
      <c r="AM2724">
        <v>108.553876778079</v>
      </c>
      <c r="AN2724">
        <v>1.0000000096238999</v>
      </c>
    </row>
    <row r="2725" spans="1:40" x14ac:dyDescent="0.25">
      <c r="A2725" t="str">
        <f>"20190304164422836"</f>
        <v>20190304164422836</v>
      </c>
      <c r="B2725" t="str">
        <f>"1551689062832369"</f>
        <v>1551689062832369</v>
      </c>
      <c r="C2725" t="s">
        <v>40</v>
      </c>
      <c r="D2725">
        <v>5.1836529999999996</v>
      </c>
      <c r="E2725">
        <v>0.45586739999999998</v>
      </c>
      <c r="F2725" t="s">
        <v>41</v>
      </c>
      <c r="G2725">
        <v>-489.17099999999999</v>
      </c>
      <c r="H2725">
        <v>1.0166519999999999</v>
      </c>
      <c r="I2725">
        <v>237.85830000000001</v>
      </c>
      <c r="J2725">
        <v>-489.7543</v>
      </c>
      <c r="K2725">
        <v>1.116903</v>
      </c>
      <c r="L2725">
        <v>238.24680000000001</v>
      </c>
      <c r="M2725">
        <v>0.32892169999999998</v>
      </c>
      <c r="N2725">
        <v>-1.177023E-2</v>
      </c>
      <c r="O2725">
        <v>-0.94428380000000001</v>
      </c>
      <c r="P2725">
        <v>0.56517459999999997</v>
      </c>
      <c r="Q2725">
        <v>0.35757660000000002</v>
      </c>
      <c r="R2725">
        <v>-0.74344940000000004</v>
      </c>
      <c r="S2725">
        <v>2.4610289999999999</v>
      </c>
      <c r="T2725">
        <v>-0.36176970000000003</v>
      </c>
      <c r="U2725">
        <v>-2.3435060000000001</v>
      </c>
      <c r="V2725">
        <v>-0.2947439</v>
      </c>
      <c r="W2725">
        <v>0.36355359999999998</v>
      </c>
      <c r="X2725">
        <v>0.88371650000000002</v>
      </c>
      <c r="Y2725">
        <v>-0.45316050000000002</v>
      </c>
      <c r="Z2725">
        <v>9.8236390000000007E-2</v>
      </c>
      <c r="AA2725">
        <v>0.885999599999999</v>
      </c>
      <c r="AB2725">
        <v>26</v>
      </c>
      <c r="AC2725">
        <v>0.58330000000000803</v>
      </c>
      <c r="AD2725">
        <v>-0.10025099999999899</v>
      </c>
      <c r="AE2725">
        <v>-0.38849999999999302</v>
      </c>
      <c r="AF2725">
        <v>-0.41456129734029801</v>
      </c>
      <c r="AG2725">
        <v>-0.10025099999999899</v>
      </c>
      <c r="AH2725">
        <v>0.54754915191591502</v>
      </c>
      <c r="AI2725">
        <v>98.3049149808312</v>
      </c>
      <c r="AJ2725">
        <v>127.13015077924599</v>
      </c>
      <c r="AK2725">
        <v>0.694061528985225</v>
      </c>
      <c r="AL2725">
        <v>68.6814045821626</v>
      </c>
      <c r="AM2725">
        <v>108.444969139782</v>
      </c>
      <c r="AN2725">
        <v>1.00000001951621</v>
      </c>
    </row>
    <row r="2726" spans="1:40" x14ac:dyDescent="0.25">
      <c r="A2726" t="str">
        <f>"20190304164422856"</f>
        <v>20190304164422856</v>
      </c>
      <c r="B2726" t="str">
        <f>"1551689062852864"</f>
        <v>1551689062852864</v>
      </c>
      <c r="C2726" t="s">
        <v>40</v>
      </c>
      <c r="D2726">
        <v>5.1292239999999998</v>
      </c>
      <c r="E2726">
        <v>0.51795570000000002</v>
      </c>
      <c r="F2726" t="s">
        <v>41</v>
      </c>
      <c r="G2726">
        <v>-488.99979999999999</v>
      </c>
      <c r="H2726">
        <v>0.96978549999999997</v>
      </c>
      <c r="I2726">
        <v>237.44479999999999</v>
      </c>
      <c r="J2726">
        <v>-489.66829999999999</v>
      </c>
      <c r="K2726">
        <v>1.1168180000000001</v>
      </c>
      <c r="L2726">
        <v>238.02600000000001</v>
      </c>
      <c r="M2726">
        <v>0.33638089999999998</v>
      </c>
      <c r="N2726">
        <v>-1.176785E-2</v>
      </c>
      <c r="O2726">
        <v>-0.94165259999999995</v>
      </c>
      <c r="P2726">
        <v>0.56886419999999904</v>
      </c>
      <c r="Q2726">
        <v>0.35763620000000002</v>
      </c>
      <c r="R2726">
        <v>-0.74060139999999997</v>
      </c>
      <c r="S2726">
        <v>2.3335270000000001</v>
      </c>
      <c r="T2726">
        <v>-0.4550073</v>
      </c>
      <c r="U2726">
        <v>-2.4802089999999999</v>
      </c>
      <c r="V2726">
        <v>-0.29206949999999998</v>
      </c>
      <c r="W2726">
        <v>0.36372110000000002</v>
      </c>
      <c r="X2726">
        <v>0.88453510000000002</v>
      </c>
      <c r="Y2726">
        <v>-0.39451819999999999</v>
      </c>
      <c r="Z2726">
        <v>0.123808</v>
      </c>
      <c r="AA2726">
        <v>0.91050920000000002</v>
      </c>
      <c r="AB2726">
        <v>26</v>
      </c>
      <c r="AC2726">
        <v>0.66849999999999399</v>
      </c>
      <c r="AD2726">
        <v>-0.14703250000000001</v>
      </c>
      <c r="AE2726">
        <v>-0.58119999999999505</v>
      </c>
      <c r="AF2726">
        <v>-0.422383281402268</v>
      </c>
      <c r="AG2726">
        <v>-0.14703250000000001</v>
      </c>
      <c r="AH2726">
        <v>0.75150802034098496</v>
      </c>
      <c r="AI2726">
        <v>99.679041026421601</v>
      </c>
      <c r="AJ2726">
        <v>119.33805942908</v>
      </c>
      <c r="AK2726">
        <v>0.87452301119022802</v>
      </c>
      <c r="AL2726">
        <v>68.671101526253906</v>
      </c>
      <c r="AM2726">
        <v>108.272990087007</v>
      </c>
      <c r="AN2726">
        <v>0.99999998727373496</v>
      </c>
    </row>
    <row r="2727" spans="1:40" x14ac:dyDescent="0.25">
      <c r="A2727" t="str">
        <f>"20190304164422879"</f>
        <v>20190304164422879</v>
      </c>
      <c r="B2727" t="str">
        <f>"1551689062873361"</f>
        <v>1551689062873361</v>
      </c>
      <c r="C2727" t="s">
        <v>40</v>
      </c>
      <c r="D2727">
        <v>5.1220129999999999</v>
      </c>
      <c r="E2727">
        <v>0.51851610000000004</v>
      </c>
      <c r="F2727" t="s">
        <v>42</v>
      </c>
      <c r="G2727">
        <v>-485.67930000000001</v>
      </c>
      <c r="H2727" s="1">
        <v>-2.0856189999999999E-6</v>
      </c>
      <c r="I2727">
        <v>232.39850000000001</v>
      </c>
      <c r="J2727">
        <v>-489.57089999999999</v>
      </c>
      <c r="K2727">
        <v>1.116727</v>
      </c>
      <c r="L2727">
        <v>237.7816</v>
      </c>
      <c r="M2727">
        <v>0.34450560000000002</v>
      </c>
      <c r="N2727">
        <v>-1.176373E-2</v>
      </c>
      <c r="O2727">
        <v>-0.93871070000000001</v>
      </c>
      <c r="P2727">
        <v>0.57215109999999902</v>
      </c>
      <c r="Q2727">
        <v>0.35813489999999998</v>
      </c>
      <c r="R2727">
        <v>-0.73782320000000001</v>
      </c>
      <c r="S2727">
        <v>1.982086</v>
      </c>
      <c r="T2727">
        <v>-0.55492849999999905</v>
      </c>
      <c r="U2727">
        <v>-2.7962039999999999</v>
      </c>
      <c r="V2727">
        <v>-0.28833959999999997</v>
      </c>
      <c r="W2727">
        <v>0.36435299999999998</v>
      </c>
      <c r="X2727">
        <v>0.88549829999999996</v>
      </c>
      <c r="Y2727">
        <v>-0.2549554</v>
      </c>
      <c r="Z2727">
        <v>0.14694869999999999</v>
      </c>
      <c r="AA2727">
        <v>0.95572159999999995</v>
      </c>
      <c r="AB2727">
        <v>26</v>
      </c>
      <c r="AC2727">
        <v>3.89159999999998</v>
      </c>
      <c r="AD2727">
        <v>-1.116729085619</v>
      </c>
      <c r="AE2727">
        <v>-5.3830999999999802</v>
      </c>
      <c r="AF2727">
        <v>-1.74926114007969</v>
      </c>
      <c r="AG2727">
        <v>-1.116729085619</v>
      </c>
      <c r="AH2727">
        <v>6.2185310745196301</v>
      </c>
      <c r="AI2727">
        <v>99.807872905744802</v>
      </c>
      <c r="AJ2727">
        <v>105.71119310628799</v>
      </c>
      <c r="AK2727">
        <v>6.5556942509261802</v>
      </c>
      <c r="AL2727">
        <v>68.632230168855997</v>
      </c>
      <c r="AM2727">
        <v>108.036498587187</v>
      </c>
      <c r="AN2727">
        <v>1.0000000364200201</v>
      </c>
    </row>
    <row r="2728" spans="1:40" x14ac:dyDescent="0.25">
      <c r="A2728" t="str">
        <f>"20190304164422901"</f>
        <v>20190304164422901</v>
      </c>
      <c r="B2728" t="str">
        <f>"1551689062892881"</f>
        <v>1551689062892881</v>
      </c>
      <c r="C2728" t="s">
        <v>40</v>
      </c>
      <c r="D2728">
        <v>5.054856</v>
      </c>
      <c r="E2728">
        <v>0.51855209999999996</v>
      </c>
      <c r="F2728" t="s">
        <v>42</v>
      </c>
      <c r="G2728">
        <v>-485.5478</v>
      </c>
      <c r="H2728" s="1">
        <v>-2.0448689999999999E-6</v>
      </c>
      <c r="I2728">
        <v>232.17590000000001</v>
      </c>
      <c r="J2728">
        <v>-489.46980000000002</v>
      </c>
      <c r="K2728">
        <v>1.116627</v>
      </c>
      <c r="L2728">
        <v>237.53380000000001</v>
      </c>
      <c r="M2728">
        <v>0.35256659999999901</v>
      </c>
      <c r="N2728">
        <v>-1.176541E-2</v>
      </c>
      <c r="O2728">
        <v>-0.93571280000000001</v>
      </c>
      <c r="P2728">
        <v>0.57504960000000005</v>
      </c>
      <c r="Q2728">
        <v>0.35867969999999999</v>
      </c>
      <c r="R2728">
        <v>-0.73530050000000002</v>
      </c>
      <c r="S2728">
        <v>1.9989319999999999</v>
      </c>
      <c r="T2728">
        <v>-0.55486049999999998</v>
      </c>
      <c r="U2728">
        <v>-2.7852329999999998</v>
      </c>
      <c r="V2728">
        <v>-0.28418529999999997</v>
      </c>
      <c r="W2728">
        <v>0.36505110000000002</v>
      </c>
      <c r="X2728">
        <v>0.88655319999999904</v>
      </c>
      <c r="Y2728">
        <v>-0.25227169999999999</v>
      </c>
      <c r="Z2728">
        <v>0.14654529999999999</v>
      </c>
      <c r="AA2728">
        <v>0.9564954</v>
      </c>
      <c r="AB2728">
        <v>26</v>
      </c>
      <c r="AC2728">
        <v>3.9220000000000201</v>
      </c>
      <c r="AD2728">
        <v>-1.1166290448689999</v>
      </c>
      <c r="AE2728">
        <v>-5.3578999999999999</v>
      </c>
      <c r="AF2728">
        <v>-1.73199079023507</v>
      </c>
      <c r="AG2728">
        <v>-1.1166290448689999</v>
      </c>
      <c r="AH2728">
        <v>6.2207391991090297</v>
      </c>
      <c r="AI2728">
        <v>99.810776137678403</v>
      </c>
      <c r="AJ2728">
        <v>105.558373650093</v>
      </c>
      <c r="AK2728">
        <v>6.5531861490908199</v>
      </c>
      <c r="AL2728">
        <v>68.589274355201098</v>
      </c>
      <c r="AM2728">
        <v>107.77329194881899</v>
      </c>
      <c r="AN2728">
        <v>1.0000000833887599</v>
      </c>
    </row>
    <row r="2729" spans="1:40" x14ac:dyDescent="0.25">
      <c r="A2729" t="str">
        <f>"20190304164422923"</f>
        <v>20190304164422923</v>
      </c>
      <c r="B2729" t="str">
        <f>"1551689062912401"</f>
        <v>1551689062912401</v>
      </c>
      <c r="C2729" t="s">
        <v>40</v>
      </c>
      <c r="D2729">
        <v>5.1122839999999998</v>
      </c>
      <c r="E2729">
        <v>0.51899050000000002</v>
      </c>
      <c r="F2729" t="s">
        <v>42</v>
      </c>
      <c r="G2729">
        <v>-485.40280000000001</v>
      </c>
      <c r="H2729" s="1">
        <v>-2.0028850000000001E-6</v>
      </c>
      <c r="I2729">
        <v>231.9392</v>
      </c>
      <c r="J2729">
        <v>-489.37240000000003</v>
      </c>
      <c r="K2729">
        <v>1.1165290000000001</v>
      </c>
      <c r="L2729">
        <v>237.2998</v>
      </c>
      <c r="M2729">
        <v>0.35997639999999997</v>
      </c>
      <c r="N2729">
        <v>-1.177186E-2</v>
      </c>
      <c r="O2729">
        <v>-0.93288729999999997</v>
      </c>
      <c r="P2729">
        <v>0.57643679999999997</v>
      </c>
      <c r="Q2729">
        <v>0.36022959999999998</v>
      </c>
      <c r="R2729">
        <v>-0.73345450000000001</v>
      </c>
      <c r="S2729">
        <v>2.0160830000000001</v>
      </c>
      <c r="T2729">
        <v>-0.55352019999999902</v>
      </c>
      <c r="U2729">
        <v>-2.7732700000000001</v>
      </c>
      <c r="V2729">
        <v>-0.27897810000000001</v>
      </c>
      <c r="W2729">
        <v>0.36677949999999998</v>
      </c>
      <c r="X2729">
        <v>0.88749310000000003</v>
      </c>
      <c r="Y2729">
        <v>-0.25049149999999998</v>
      </c>
      <c r="Z2729">
        <v>0.145846</v>
      </c>
      <c r="AA2729">
        <v>0.95706999999999998</v>
      </c>
      <c r="AB2729">
        <v>26</v>
      </c>
      <c r="AC2729">
        <v>3.96960000000001</v>
      </c>
      <c r="AD2729">
        <v>-1.116531002885</v>
      </c>
      <c r="AE2729">
        <v>-5.3605999999999998</v>
      </c>
      <c r="AF2729">
        <v>-1.7252829896820501</v>
      </c>
      <c r="AG2729">
        <v>-1.116531002885</v>
      </c>
      <c r="AH2729">
        <v>6.25498814606311</v>
      </c>
      <c r="AI2729">
        <v>99.763650545106202</v>
      </c>
      <c r="AJ2729">
        <v>105.420195130289</v>
      </c>
      <c r="AK2729">
        <v>6.5839288864840997</v>
      </c>
      <c r="AL2729">
        <v>68.482862547121897</v>
      </c>
      <c r="AM2729">
        <v>107.450225865194</v>
      </c>
      <c r="AN2729">
        <v>0.99999999222373503</v>
      </c>
    </row>
    <row r="2730" spans="1:40" x14ac:dyDescent="0.25">
      <c r="A2730" t="str">
        <f>"20190304164422955"</f>
        <v>20190304164422955</v>
      </c>
      <c r="B2730" t="str">
        <f>"1551689062952417"</f>
        <v>1551689062952417</v>
      </c>
      <c r="C2730" t="s">
        <v>40</v>
      </c>
      <c r="D2730">
        <v>5.1170090000000004</v>
      </c>
      <c r="E2730">
        <v>0.51956080000000004</v>
      </c>
      <c r="F2730" t="s">
        <v>42</v>
      </c>
      <c r="G2730">
        <v>-485.25290000000001</v>
      </c>
      <c r="H2730" s="1">
        <v>-1.9510999999999998E-6</v>
      </c>
      <c r="I2730">
        <v>231.66980000000001</v>
      </c>
      <c r="J2730">
        <v>-489.22800000000001</v>
      </c>
      <c r="K2730">
        <v>1.1163110000000001</v>
      </c>
      <c r="L2730">
        <v>236.9607</v>
      </c>
      <c r="M2730">
        <v>0.37028559999999999</v>
      </c>
      <c r="N2730">
        <v>-1.179123E-2</v>
      </c>
      <c r="O2730">
        <v>-0.92884310000000003</v>
      </c>
      <c r="P2730">
        <v>0.57884209999999903</v>
      </c>
      <c r="Q2730">
        <v>0.36354540000000002</v>
      </c>
      <c r="R2730">
        <v>-0.72991589999999995</v>
      </c>
      <c r="S2730">
        <v>2.0254210000000001</v>
      </c>
      <c r="T2730">
        <v>-0.54895159999999998</v>
      </c>
      <c r="U2730">
        <v>-2.7680359999999999</v>
      </c>
      <c r="V2730">
        <v>-0.27244950000000001</v>
      </c>
      <c r="W2730">
        <v>0.37037710000000001</v>
      </c>
      <c r="X2730">
        <v>0.88802709999999996</v>
      </c>
      <c r="Y2730">
        <v>-0.2429046</v>
      </c>
      <c r="Z2730">
        <v>0.14389749999999901</v>
      </c>
      <c r="AA2730">
        <v>0.95931789999999995</v>
      </c>
      <c r="AB2730">
        <v>26</v>
      </c>
      <c r="AC2730">
        <v>3.9750999999999901</v>
      </c>
      <c r="AD2730">
        <v>-1.1163129511000001</v>
      </c>
      <c r="AE2730">
        <v>-5.2908999999999899</v>
      </c>
      <c r="AF2730">
        <v>-1.68526764162627</v>
      </c>
      <c r="AG2730">
        <v>-1.1163129511000001</v>
      </c>
      <c r="AH2730">
        <v>6.2100792879881599</v>
      </c>
      <c r="AI2730">
        <v>99.841922991373906</v>
      </c>
      <c r="AJ2730">
        <v>105.183041799379</v>
      </c>
      <c r="AK2730">
        <v>6.5308013590834104</v>
      </c>
      <c r="AL2730">
        <v>68.261124754765703</v>
      </c>
      <c r="AM2730">
        <v>107.05617773262099</v>
      </c>
      <c r="AN2730">
        <v>1.0000000282945301</v>
      </c>
    </row>
    <row r="2731" spans="1:40" x14ac:dyDescent="0.25">
      <c r="A2731" t="str">
        <f>"20190304164422978"</f>
        <v>20190304164422978</v>
      </c>
      <c r="B2731" t="str">
        <f>"1551689062972913"</f>
        <v>1551689062972913</v>
      </c>
      <c r="C2731" t="s">
        <v>40</v>
      </c>
      <c r="D2731">
        <v>5.1401770000000004</v>
      </c>
      <c r="E2731">
        <v>0.51984609999999998</v>
      </c>
      <c r="F2731" t="s">
        <v>42</v>
      </c>
      <c r="G2731">
        <v>-485.041</v>
      </c>
      <c r="H2731" s="1">
        <v>-1.87367E-6</v>
      </c>
      <c r="I2731">
        <v>231.2766</v>
      </c>
      <c r="J2731">
        <v>-489.11950000000002</v>
      </c>
      <c r="K2731">
        <v>1.116072</v>
      </c>
      <c r="L2731">
        <v>236.71190000000001</v>
      </c>
      <c r="M2731">
        <v>0.3773705</v>
      </c>
      <c r="N2731">
        <v>-1.181726E-2</v>
      </c>
      <c r="O2731">
        <v>-0.92598709999999995</v>
      </c>
      <c r="P2731">
        <v>0.5824859</v>
      </c>
      <c r="Q2731">
        <v>0.36286659999999998</v>
      </c>
      <c r="R2731">
        <v>-0.72735019999999995</v>
      </c>
      <c r="S2731">
        <v>2.0369259999999998</v>
      </c>
      <c r="T2731">
        <v>-0.54306809999999905</v>
      </c>
      <c r="U2731">
        <v>-2.7652130000000001</v>
      </c>
      <c r="V2731">
        <v>-0.2697195</v>
      </c>
      <c r="W2731">
        <v>0.36994159999999998</v>
      </c>
      <c r="X2731">
        <v>0.88904139999999998</v>
      </c>
      <c r="Y2731">
        <v>-0.2387532</v>
      </c>
      <c r="Z2731">
        <v>0.14165949999999999</v>
      </c>
      <c r="AA2731">
        <v>0.9606922</v>
      </c>
      <c r="AB2731">
        <v>26</v>
      </c>
      <c r="AC2731">
        <v>4.0785000000000204</v>
      </c>
      <c r="AD2731">
        <v>-1.11607387367</v>
      </c>
      <c r="AE2731">
        <v>-5.4353000000000096</v>
      </c>
      <c r="AF2731">
        <v>-1.68031020764057</v>
      </c>
      <c r="AG2731">
        <v>-1.11607387367</v>
      </c>
      <c r="AH2731">
        <v>6.3999421384215296</v>
      </c>
      <c r="AI2731">
        <v>99.574048720790302</v>
      </c>
      <c r="AJ2731">
        <v>104.711029198717</v>
      </c>
      <c r="AK2731">
        <v>6.7103146469098904</v>
      </c>
      <c r="AL2731">
        <v>68.287984429876403</v>
      </c>
      <c r="AM2731">
        <v>106.876873135341</v>
      </c>
      <c r="AN2731">
        <v>1.0000000035023799</v>
      </c>
    </row>
    <row r="2732" spans="1:40" x14ac:dyDescent="0.25">
      <c r="A2732" t="str">
        <f>"20190304164423002"</f>
        <v>20190304164423002</v>
      </c>
      <c r="B2732" t="str">
        <f>"1551689062992434"</f>
        <v>1551689062992434</v>
      </c>
      <c r="C2732" t="s">
        <v>40</v>
      </c>
      <c r="D2732">
        <v>5.0997769999999996</v>
      </c>
      <c r="E2732">
        <v>0.52006909999999995</v>
      </c>
      <c r="F2732" t="s">
        <v>42</v>
      </c>
      <c r="G2732">
        <v>-484.95400000000001</v>
      </c>
      <c r="H2732" s="1">
        <v>-1.8330939999999999E-6</v>
      </c>
      <c r="I2732">
        <v>231.08940000000001</v>
      </c>
      <c r="J2732">
        <v>-489.00729999999999</v>
      </c>
      <c r="K2732">
        <v>1.1157729999999999</v>
      </c>
      <c r="L2732">
        <v>236.45869999999999</v>
      </c>
      <c r="M2732">
        <v>0.38417499999999999</v>
      </c>
      <c r="N2732">
        <v>-1.1855620000000001E-2</v>
      </c>
      <c r="O2732">
        <v>-0.92318440000000002</v>
      </c>
      <c r="P2732">
        <v>0.58705220000000002</v>
      </c>
      <c r="Q2732">
        <v>0.36152770000000001</v>
      </c>
      <c r="R2732">
        <v>-0.72433930000000002</v>
      </c>
      <c r="S2732">
        <v>2.0449830000000002</v>
      </c>
      <c r="T2732">
        <v>-0.54791999999999996</v>
      </c>
      <c r="U2732">
        <v>-2.760284</v>
      </c>
      <c r="V2732">
        <v>-0.26821859999999997</v>
      </c>
      <c r="W2732">
        <v>0.3688631</v>
      </c>
      <c r="X2732">
        <v>0.88994309999999999</v>
      </c>
      <c r="Y2732">
        <v>-0.23415140000000001</v>
      </c>
      <c r="Z2732">
        <v>0.14249790000000001</v>
      </c>
      <c r="AA2732">
        <v>0.96170029999999995</v>
      </c>
      <c r="AB2732">
        <v>26</v>
      </c>
      <c r="AC2732">
        <v>4.0532999999999699</v>
      </c>
      <c r="AD2732">
        <v>-1.1157748330939901</v>
      </c>
      <c r="AE2732">
        <v>-5.3692999999999804</v>
      </c>
      <c r="AF2732">
        <v>-1.6343531312947599</v>
      </c>
      <c r="AG2732">
        <v>-1.1157748330939901</v>
      </c>
      <c r="AH2732">
        <v>6.3400867867962303</v>
      </c>
      <c r="AI2732">
        <v>99.671221132128295</v>
      </c>
      <c r="AJ2732">
        <v>104.45505643929</v>
      </c>
      <c r="AK2732">
        <v>6.6417440555961704</v>
      </c>
      <c r="AL2732">
        <v>68.354480354761506</v>
      </c>
      <c r="AM2732">
        <v>106.772201781741</v>
      </c>
      <c r="AN2732">
        <v>0.99999996258258905</v>
      </c>
    </row>
    <row r="2733" spans="1:40" x14ac:dyDescent="0.25">
      <c r="A2733" t="str">
        <f>"20190304164423024"</f>
        <v>20190304164423024</v>
      </c>
      <c r="B2733" t="str">
        <f>"1551689063012929"</f>
        <v>1551689063012929</v>
      </c>
      <c r="C2733" t="s">
        <v>40</v>
      </c>
      <c r="D2733">
        <v>5.1045360000000004</v>
      </c>
      <c r="E2733">
        <v>0.52028549999999996</v>
      </c>
      <c r="F2733" t="s">
        <v>42</v>
      </c>
      <c r="G2733">
        <v>-484.88130000000001</v>
      </c>
      <c r="H2733" s="1">
        <v>-1.7977099999999901E-6</v>
      </c>
      <c r="I2733">
        <v>230.92859999999999</v>
      </c>
      <c r="J2733">
        <v>-488.899</v>
      </c>
      <c r="K2733">
        <v>1.1153959999999901</v>
      </c>
      <c r="L2733">
        <v>236.2174</v>
      </c>
      <c r="M2733">
        <v>0.3900902</v>
      </c>
      <c r="N2733">
        <v>-1.193572E-2</v>
      </c>
      <c r="O2733">
        <v>-0.9206993</v>
      </c>
      <c r="P2733">
        <v>0.58683149999999995</v>
      </c>
      <c r="Q2733">
        <v>0.36242059999999998</v>
      </c>
      <c r="R2733">
        <v>-0.72407180000000004</v>
      </c>
      <c r="S2733">
        <v>2.0545960000000001</v>
      </c>
      <c r="T2733">
        <v>-0.55561879999999997</v>
      </c>
      <c r="U2733">
        <v>-2.7538149999999999</v>
      </c>
      <c r="V2733">
        <v>-0.26204529999999998</v>
      </c>
      <c r="W2733">
        <v>0.37015730000000002</v>
      </c>
      <c r="X2733">
        <v>0.89124400000000004</v>
      </c>
      <c r="Y2733">
        <v>-0.23098859999999999</v>
      </c>
      <c r="Z2733">
        <v>0.1441519</v>
      </c>
      <c r="AA2733">
        <v>0.96221849999999998</v>
      </c>
      <c r="AB2733">
        <v>26</v>
      </c>
      <c r="AC2733">
        <v>4.0176999999999898</v>
      </c>
      <c r="AD2733">
        <v>-1.11539779770999</v>
      </c>
      <c r="AE2733">
        <v>-5.2888000000000002</v>
      </c>
      <c r="AF2733">
        <v>-1.59122431711639</v>
      </c>
      <c r="AG2733">
        <v>-1.11539779770999</v>
      </c>
      <c r="AH2733">
        <v>6.2605541231839004</v>
      </c>
      <c r="AI2733">
        <v>99.796811407006402</v>
      </c>
      <c r="AJ2733">
        <v>104.260712822134</v>
      </c>
      <c r="AK2733">
        <v>6.55519984469076</v>
      </c>
      <c r="AL2733">
        <v>68.2746816764691</v>
      </c>
      <c r="AM2733">
        <v>106.384493783972</v>
      </c>
      <c r="AN2733">
        <v>1.0000000167656899</v>
      </c>
    </row>
    <row r="2734" spans="1:40" x14ac:dyDescent="0.25">
      <c r="A2734" t="str">
        <f>"20190304164423046"</f>
        <v>20190304164423046</v>
      </c>
      <c r="B2734" t="str">
        <f>"1551689063042209"</f>
        <v>1551689063042209</v>
      </c>
      <c r="C2734" t="s">
        <v>40</v>
      </c>
      <c r="D2734">
        <v>5.110322</v>
      </c>
      <c r="E2734">
        <v>0.52060499999999998</v>
      </c>
      <c r="F2734" t="s">
        <v>42</v>
      </c>
      <c r="G2734">
        <v>-484.7713</v>
      </c>
      <c r="H2734" s="1">
        <v>-1.7502560000000001E-6</v>
      </c>
      <c r="I2734">
        <v>230.70310000000001</v>
      </c>
      <c r="J2734">
        <v>-488.79329999999999</v>
      </c>
      <c r="K2734">
        <v>1.1149260000000001</v>
      </c>
      <c r="L2734">
        <v>235.98439999999999</v>
      </c>
      <c r="M2734">
        <v>0.3951074</v>
      </c>
      <c r="N2734">
        <v>-1.204761E-2</v>
      </c>
      <c r="O2734">
        <v>-0.91855620000000004</v>
      </c>
      <c r="P2734">
        <v>0.58451940000000002</v>
      </c>
      <c r="Q2734">
        <v>0.36379549999999999</v>
      </c>
      <c r="R2734">
        <v>-0.72525189999999995</v>
      </c>
      <c r="S2734">
        <v>2.0601500000000001</v>
      </c>
      <c r="T2734">
        <v>-0.55670310000000001</v>
      </c>
      <c r="U2734">
        <v>-2.752243</v>
      </c>
      <c r="V2734">
        <v>-0.25413720000000001</v>
      </c>
      <c r="W2734">
        <v>0.37203920000000001</v>
      </c>
      <c r="X2734">
        <v>0.89274920000000002</v>
      </c>
      <c r="Y2734">
        <v>-0.22720280000000001</v>
      </c>
      <c r="Z2734">
        <v>0.14391189999999901</v>
      </c>
      <c r="AA2734">
        <v>0.96315539999999999</v>
      </c>
      <c r="AB2734">
        <v>26</v>
      </c>
      <c r="AC2734">
        <v>4.0219999999999896</v>
      </c>
      <c r="AD2734">
        <v>-1.114927750256</v>
      </c>
      <c r="AE2734">
        <v>-5.2812999999999803</v>
      </c>
      <c r="AF2734">
        <v>-1.5637589420268401</v>
      </c>
      <c r="AG2734">
        <v>-1.114927750256</v>
      </c>
      <c r="AH2734">
        <v>6.2640652631822098</v>
      </c>
      <c r="AI2734">
        <v>99.797677479231197</v>
      </c>
      <c r="AJ2734">
        <v>104.016808774068</v>
      </c>
      <c r="AK2734">
        <v>6.5518638217278102</v>
      </c>
      <c r="AL2734">
        <v>68.158565078769399</v>
      </c>
      <c r="AM2734">
        <v>105.889961398902</v>
      </c>
      <c r="AN2734">
        <v>1.00000000843055</v>
      </c>
    </row>
    <row r="2735" spans="1:40" x14ac:dyDescent="0.25">
      <c r="A2735" t="str">
        <f>"20190304164423070"</f>
        <v>20190304164423070</v>
      </c>
      <c r="B2735" t="str">
        <f>"1551689063062706"</f>
        <v>1551689063062706</v>
      </c>
      <c r="C2735" t="s">
        <v>40</v>
      </c>
      <c r="D2735">
        <v>5.115399</v>
      </c>
      <c r="E2735">
        <v>0.52383080000000004</v>
      </c>
      <c r="F2735" t="s">
        <v>42</v>
      </c>
      <c r="G2735">
        <v>-484.66160000000002</v>
      </c>
      <c r="H2735" s="1">
        <v>-1.703007E-6</v>
      </c>
      <c r="I2735">
        <v>230.4785</v>
      </c>
      <c r="J2735">
        <v>-488.67869999999999</v>
      </c>
      <c r="K2735">
        <v>1.1142860000000001</v>
      </c>
      <c r="L2735">
        <v>235.7329</v>
      </c>
      <c r="M2735">
        <v>0.39963549999999998</v>
      </c>
      <c r="N2735">
        <v>-1.2183569999999999E-2</v>
      </c>
      <c r="O2735">
        <v>-0.91659330000000006</v>
      </c>
      <c r="P2735">
        <v>0.58506459999999905</v>
      </c>
      <c r="Q2735">
        <v>0.36082740000000002</v>
      </c>
      <c r="R2735">
        <v>-0.72629379999999999</v>
      </c>
      <c r="S2735">
        <v>2.064972</v>
      </c>
      <c r="T2735">
        <v>-0.55721779999999999</v>
      </c>
      <c r="U2735">
        <v>-2.75177</v>
      </c>
      <c r="V2735">
        <v>-0.2491602</v>
      </c>
      <c r="W2735">
        <v>0.36967129999999998</v>
      </c>
      <c r="X2735">
        <v>0.89513259999999994</v>
      </c>
      <c r="Y2735">
        <v>-0.22358710000000001</v>
      </c>
      <c r="Z2735">
        <v>0.1434966</v>
      </c>
      <c r="AA2735">
        <v>0.964063</v>
      </c>
      <c r="AB2735">
        <v>26</v>
      </c>
      <c r="AC2735">
        <v>4.0170999999999699</v>
      </c>
      <c r="AD2735">
        <v>-1.114287703007</v>
      </c>
      <c r="AE2735">
        <v>-5.2544000000000004</v>
      </c>
      <c r="AF2735">
        <v>-1.5386479846293999</v>
      </c>
      <c r="AG2735">
        <v>-1.114287703007</v>
      </c>
      <c r="AH2735">
        <v>6.24475462761459</v>
      </c>
      <c r="AI2735">
        <v>99.829166859022905</v>
      </c>
      <c r="AJ2735">
        <v>103.841432900841</v>
      </c>
      <c r="AK2735">
        <v>6.5273298572073504</v>
      </c>
      <c r="AL2735">
        <v>68.304653598602997</v>
      </c>
      <c r="AM2735">
        <v>105.554546283028</v>
      </c>
      <c r="AN2735">
        <v>1.00000002344524</v>
      </c>
    </row>
    <row r="2736" spans="1:40" x14ac:dyDescent="0.25">
      <c r="A2736" t="str">
        <f>"20190304164423091"</f>
        <v>20190304164423091</v>
      </c>
      <c r="B2736" t="str">
        <f>"1551689063082226"</f>
        <v>1551689063082226</v>
      </c>
      <c r="C2736" t="s">
        <v>40</v>
      </c>
      <c r="D2736">
        <v>5.2061089999999997</v>
      </c>
      <c r="E2736">
        <v>0.53198840000000003</v>
      </c>
      <c r="F2736" t="s">
        <v>42</v>
      </c>
      <c r="G2736">
        <v>-484.92930000000001</v>
      </c>
      <c r="H2736" s="1">
        <v>-1.6916700000000001E-6</v>
      </c>
      <c r="I2736">
        <v>230.65450000000001</v>
      </c>
      <c r="J2736">
        <v>-488.5763</v>
      </c>
      <c r="K2736">
        <v>1.1136109999999999</v>
      </c>
      <c r="L2736">
        <v>235.5086</v>
      </c>
      <c r="M2736">
        <v>0.4027675</v>
      </c>
      <c r="N2736">
        <v>-1.230212E-2</v>
      </c>
      <c r="O2736">
        <v>-0.91521969999999997</v>
      </c>
      <c r="P2736">
        <v>0.58633840000000004</v>
      </c>
      <c r="Q2736">
        <v>0.35637999999999997</v>
      </c>
      <c r="R2736">
        <v>-0.72746199999999905</v>
      </c>
      <c r="S2736">
        <v>2.0525509999999998</v>
      </c>
      <c r="T2736">
        <v>-0.60999630000000005</v>
      </c>
      <c r="U2736">
        <v>-2.7801209999999998</v>
      </c>
      <c r="V2736">
        <v>-0.24612139999999999</v>
      </c>
      <c r="W2736">
        <v>0.36579800000000001</v>
      </c>
      <c r="X2736">
        <v>0.89756119999999995</v>
      </c>
      <c r="Y2736">
        <v>-0.211453</v>
      </c>
      <c r="Z2736">
        <v>0.15626679999999901</v>
      </c>
      <c r="AA2736">
        <v>0.96481519999999998</v>
      </c>
      <c r="AB2736">
        <v>26</v>
      </c>
      <c r="AC2736">
        <v>3.64699999999999</v>
      </c>
      <c r="AD2736">
        <v>-1.11361269167</v>
      </c>
      <c r="AE2736">
        <v>-4.8540999999999803</v>
      </c>
      <c r="AF2736">
        <v>-1.33783012022418</v>
      </c>
      <c r="AG2736">
        <v>-1.11361269167</v>
      </c>
      <c r="AH2736">
        <v>5.7194941658252496</v>
      </c>
      <c r="AI2736">
        <v>100.735149520577</v>
      </c>
      <c r="AJ2736">
        <v>103.16519369111499</v>
      </c>
      <c r="AK2736">
        <v>5.9785061821944003</v>
      </c>
      <c r="AL2736">
        <v>68.543299080591098</v>
      </c>
      <c r="AM2736">
        <v>105.334229366965</v>
      </c>
      <c r="AN2736">
        <v>1.00000001404369</v>
      </c>
    </row>
    <row r="2737" spans="1:40" x14ac:dyDescent="0.25">
      <c r="A2737" t="str">
        <f>"20190304164423114"</f>
        <v>20190304164423114</v>
      </c>
      <c r="B2737" t="str">
        <f>"1551689063102721"</f>
        <v>1551689063102721</v>
      </c>
      <c r="C2737" t="s">
        <v>40</v>
      </c>
      <c r="D2737">
        <v>5.1427500000000004</v>
      </c>
      <c r="E2737">
        <v>0.53285669999999996</v>
      </c>
      <c r="F2737" t="s">
        <v>42</v>
      </c>
      <c r="G2737">
        <v>-484.9547</v>
      </c>
      <c r="H2737" s="1">
        <v>-1.57965E-6</v>
      </c>
      <c r="I2737">
        <v>230.3451</v>
      </c>
      <c r="J2737">
        <v>-488.46440000000001</v>
      </c>
      <c r="K2737">
        <v>1.1128049999999901</v>
      </c>
      <c r="L2737">
        <v>235.2629</v>
      </c>
      <c r="M2737">
        <v>0.40514850000000002</v>
      </c>
      <c r="N2737">
        <v>-1.242796E-2</v>
      </c>
      <c r="O2737">
        <v>-0.9141669</v>
      </c>
      <c r="P2737">
        <v>0.58363710000000002</v>
      </c>
      <c r="Q2737">
        <v>0.35616550000000002</v>
      </c>
      <c r="R2737">
        <v>-0.72973599999999905</v>
      </c>
      <c r="S2737">
        <v>1.981598</v>
      </c>
      <c r="T2737">
        <v>-0.6093172</v>
      </c>
      <c r="U2737">
        <v>-2.8252259999999998</v>
      </c>
      <c r="V2737">
        <v>-0.2396346</v>
      </c>
      <c r="W2737">
        <v>0.36624440000000003</v>
      </c>
      <c r="X2737">
        <v>0.89913310000000002</v>
      </c>
      <c r="Y2737">
        <v>-0.1855049</v>
      </c>
      <c r="Z2737">
        <v>0.15506589999999901</v>
      </c>
      <c r="AA2737">
        <v>0.9703311</v>
      </c>
      <c r="AB2737">
        <v>26</v>
      </c>
      <c r="AC2737">
        <v>3.5097</v>
      </c>
      <c r="AD2737">
        <v>-1.11280657964999</v>
      </c>
      <c r="AE2737">
        <v>-4.9177999999999997</v>
      </c>
      <c r="AF2737">
        <v>-1.1762035136255</v>
      </c>
      <c r="AG2737">
        <v>-1.11280657964999</v>
      </c>
      <c r="AH2737">
        <v>5.7239130831235503</v>
      </c>
      <c r="AI2737">
        <v>100.78199507810299</v>
      </c>
      <c r="AJ2737">
        <v>101.61203377365101</v>
      </c>
      <c r="AK2737">
        <v>5.9485270590567501</v>
      </c>
      <c r="AL2737">
        <v>68.515815092346102</v>
      </c>
      <c r="AM2737">
        <v>104.92343136642999</v>
      </c>
      <c r="AN2737">
        <v>1.00000001678206</v>
      </c>
    </row>
    <row r="2738" spans="1:40" x14ac:dyDescent="0.25">
      <c r="A2738" t="str">
        <f>"20190304164423134"</f>
        <v>20190304164423134</v>
      </c>
      <c r="B2738" t="str">
        <f>"1551689063122246"</f>
        <v>1551689063122246</v>
      </c>
      <c r="C2738" t="s">
        <v>40</v>
      </c>
      <c r="D2738">
        <v>5.1713110000000002</v>
      </c>
      <c r="E2738">
        <v>0.53377909999999995</v>
      </c>
      <c r="F2738" t="s">
        <v>42</v>
      </c>
      <c r="G2738">
        <v>-484.78100000000001</v>
      </c>
      <c r="H2738" s="1">
        <v>-1.4789539999999999E-6</v>
      </c>
      <c r="I2738">
        <v>229.9134</v>
      </c>
      <c r="J2738">
        <v>-488.36529999999999</v>
      </c>
      <c r="K2738">
        <v>1.1120719999999999</v>
      </c>
      <c r="L2738">
        <v>235.04400000000001</v>
      </c>
      <c r="M2738">
        <v>0.40620780000000001</v>
      </c>
      <c r="N2738">
        <v>-1.253976E-2</v>
      </c>
      <c r="O2738">
        <v>-0.91369460000000002</v>
      </c>
      <c r="P2738">
        <v>0.57721140000000004</v>
      </c>
      <c r="Q2738">
        <v>0.35929329999999998</v>
      </c>
      <c r="R2738">
        <v>-0.73330439999999997</v>
      </c>
      <c r="S2738">
        <v>1.953308</v>
      </c>
      <c r="T2738">
        <v>-0.59011630000000004</v>
      </c>
      <c r="U2738">
        <v>-2.8368069999999999</v>
      </c>
      <c r="V2738">
        <v>-0.23057620000000001</v>
      </c>
      <c r="W2738">
        <v>0.36996370000000001</v>
      </c>
      <c r="X2738">
        <v>0.89997859999999996</v>
      </c>
      <c r="Y2738">
        <v>-0.17646789999999901</v>
      </c>
      <c r="Z2738">
        <v>0.1497734</v>
      </c>
      <c r="AA2738">
        <v>0.97284479999999995</v>
      </c>
      <c r="AB2738">
        <v>26</v>
      </c>
      <c r="AC2738">
        <v>3.5842999999999798</v>
      </c>
      <c r="AD2738">
        <v>-1.1120734789540001</v>
      </c>
      <c r="AE2738">
        <v>-5.13060000000001</v>
      </c>
      <c r="AF2738">
        <v>-1.1545086964684299</v>
      </c>
      <c r="AG2738">
        <v>-1.1120734789540001</v>
      </c>
      <c r="AH2738">
        <v>5.9562028399556102</v>
      </c>
      <c r="AI2738">
        <v>100.386836405018</v>
      </c>
      <c r="AJ2738">
        <v>100.96978039491199</v>
      </c>
      <c r="AK2738">
        <v>6.1681399160127102</v>
      </c>
      <c r="AL2738">
        <v>68.286621456897095</v>
      </c>
      <c r="AM2738">
        <v>104.370190912476</v>
      </c>
      <c r="AN2738">
        <v>1.00000000189104</v>
      </c>
    </row>
    <row r="2739" spans="1:40" x14ac:dyDescent="0.25">
      <c r="A2739" t="str">
        <f>"20190304164423156"</f>
        <v>20190304164423156</v>
      </c>
      <c r="B2739" t="str">
        <f>"1551689063142737"</f>
        <v>1551689063142737</v>
      </c>
      <c r="C2739" t="s">
        <v>40</v>
      </c>
      <c r="D2739">
        <v>5.1620379999999999</v>
      </c>
      <c r="E2739">
        <v>0.53400419999999904</v>
      </c>
      <c r="F2739" t="s">
        <v>42</v>
      </c>
      <c r="G2739">
        <v>-484.7097</v>
      </c>
      <c r="H2739" s="1">
        <v>-1.4145050000000001E-6</v>
      </c>
      <c r="I2739">
        <v>229.66829999999999</v>
      </c>
      <c r="J2739">
        <v>-488.26459999999997</v>
      </c>
      <c r="K2739">
        <v>1.1113930000000001</v>
      </c>
      <c r="L2739">
        <v>234.81979999999999</v>
      </c>
      <c r="M2739">
        <v>0.40645920000000002</v>
      </c>
      <c r="N2739">
        <v>-1.265168E-2</v>
      </c>
      <c r="O2739">
        <v>-0.91358139999999999</v>
      </c>
      <c r="P2739">
        <v>0.57403149999999903</v>
      </c>
      <c r="Q2739">
        <v>0.36219059999999997</v>
      </c>
      <c r="R2739">
        <v>-0.73437450000000004</v>
      </c>
      <c r="S2739">
        <v>1.9401550000000001</v>
      </c>
      <c r="T2739">
        <v>-0.5902153</v>
      </c>
      <c r="U2739">
        <v>-2.8530880000000001</v>
      </c>
      <c r="V2739">
        <v>-0.2263289</v>
      </c>
      <c r="W2739">
        <v>0.3733728</v>
      </c>
      <c r="X2739">
        <v>0.89964880000000003</v>
      </c>
      <c r="Y2739">
        <v>-0.17058980000000001</v>
      </c>
      <c r="Z2739">
        <v>0.14919279999999999</v>
      </c>
      <c r="AA2739">
        <v>0.97398189999999996</v>
      </c>
      <c r="AB2739">
        <v>26</v>
      </c>
      <c r="AC2739">
        <v>3.5548999999999702</v>
      </c>
      <c r="AD2739">
        <v>-1.1113944145049901</v>
      </c>
      <c r="AE2739">
        <v>-5.1514999999999898</v>
      </c>
      <c r="AF2739">
        <v>-1.1186375522943199</v>
      </c>
      <c r="AG2739">
        <v>-1.1113944145049901</v>
      </c>
      <c r="AH2739">
        <v>5.9636929277796096</v>
      </c>
      <c r="AI2739">
        <v>100.379564235814</v>
      </c>
      <c r="AJ2739">
        <v>100.62378651989999</v>
      </c>
      <c r="AK2739">
        <v>6.1686449772088903</v>
      </c>
      <c r="AL2739">
        <v>68.076222198934403</v>
      </c>
      <c r="AM2739">
        <v>104.121129723783</v>
      </c>
      <c r="AN2739">
        <v>0.999999991048245</v>
      </c>
    </row>
    <row r="2740" spans="1:40" x14ac:dyDescent="0.25">
      <c r="A2740" t="str">
        <f>"20190304164423179"</f>
        <v>20190304164423179</v>
      </c>
      <c r="B2740" t="str">
        <f>"1551689063172994"</f>
        <v>1551689063172994</v>
      </c>
      <c r="C2740" t="s">
        <v>40</v>
      </c>
      <c r="D2740">
        <v>5.1596080000000004</v>
      </c>
      <c r="E2740">
        <v>0.53406709999999902</v>
      </c>
      <c r="F2740" t="s">
        <v>47</v>
      </c>
      <c r="G2740">
        <v>-484.57</v>
      </c>
      <c r="H2740" s="1">
        <v>5.115056E-6</v>
      </c>
      <c r="I2740">
        <v>229.34440000000001</v>
      </c>
      <c r="J2740">
        <v>-488.14670000000001</v>
      </c>
      <c r="K2740">
        <v>1.110644</v>
      </c>
      <c r="L2740">
        <v>234.55420000000001</v>
      </c>
      <c r="M2740">
        <v>0.40568120000000002</v>
      </c>
      <c r="N2740">
        <v>-1.276705E-2</v>
      </c>
      <c r="O2740">
        <v>-0.9139256</v>
      </c>
      <c r="P2740">
        <v>0.57515830000000001</v>
      </c>
      <c r="Q2740">
        <v>0.36182940000000002</v>
      </c>
      <c r="R2740">
        <v>-0.73367079999999996</v>
      </c>
      <c r="S2740">
        <v>1.931244</v>
      </c>
      <c r="T2740">
        <v>-0.58094309999999905</v>
      </c>
      <c r="U2740">
        <v>-2.8620610000000002</v>
      </c>
      <c r="V2740">
        <v>-0.22770860000000001</v>
      </c>
      <c r="W2740">
        <v>0.37353910000000001</v>
      </c>
      <c r="X2740">
        <v>0.89923149999999996</v>
      </c>
      <c r="Y2740">
        <v>-0.1681771</v>
      </c>
      <c r="Z2740">
        <v>0.14647650000000001</v>
      </c>
      <c r="AA2740">
        <v>0.97481329999999999</v>
      </c>
      <c r="AB2740">
        <v>26</v>
      </c>
      <c r="AC2740">
        <v>3.57670000000001</v>
      </c>
      <c r="AD2740">
        <v>-1.1106388849440001</v>
      </c>
      <c r="AE2740">
        <v>-5.2098000000000004</v>
      </c>
      <c r="AF2740">
        <v>-1.12079435855166</v>
      </c>
      <c r="AG2740">
        <v>-1.1106388849440001</v>
      </c>
      <c r="AH2740">
        <v>6.0267199319996996</v>
      </c>
      <c r="AI2740">
        <v>100.269412420423</v>
      </c>
      <c r="AJ2740">
        <v>100.53499480687999</v>
      </c>
      <c r="AK2740">
        <v>6.2298516728469098</v>
      </c>
      <c r="AL2740">
        <v>68.065950452738804</v>
      </c>
      <c r="AM2740">
        <v>104.21006272915299</v>
      </c>
      <c r="AN2740">
        <v>0.99999997816750896</v>
      </c>
    </row>
    <row r="2741" spans="1:40" x14ac:dyDescent="0.25">
      <c r="A2741" t="str">
        <f>"20190304164423202"</f>
        <v>20190304164423202</v>
      </c>
      <c r="B2741" t="str">
        <f>"1551689063192513"</f>
        <v>1551689063192513</v>
      </c>
      <c r="C2741" t="s">
        <v>40</v>
      </c>
      <c r="D2741">
        <v>5.1987930000000002</v>
      </c>
      <c r="E2741">
        <v>0.53390409999999999</v>
      </c>
      <c r="F2741" t="s">
        <v>47</v>
      </c>
      <c r="G2741">
        <v>-484.50700000000001</v>
      </c>
      <c r="H2741" s="1">
        <v>5.0294060000000002E-6</v>
      </c>
      <c r="I2741">
        <v>229.12200000000001</v>
      </c>
      <c r="J2741">
        <v>-488.0428</v>
      </c>
      <c r="K2741">
        <v>1.1100000000000001</v>
      </c>
      <c r="L2741">
        <v>234.3177</v>
      </c>
      <c r="M2741">
        <v>0.40411150000000001</v>
      </c>
      <c r="N2741">
        <v>-1.2859300000000001E-2</v>
      </c>
      <c r="O2741">
        <v>-0.91461950000000003</v>
      </c>
      <c r="P2741">
        <v>0.57374619999999998</v>
      </c>
      <c r="Q2741">
        <v>0.3588963</v>
      </c>
      <c r="R2741">
        <v>-0.73621269999999905</v>
      </c>
      <c r="S2741">
        <v>1.92334</v>
      </c>
      <c r="T2741">
        <v>-0.58691309999999997</v>
      </c>
      <c r="U2741">
        <v>-2.8706510000000001</v>
      </c>
      <c r="V2741">
        <v>-0.22636139999999999</v>
      </c>
      <c r="W2741">
        <v>0.37106169999999999</v>
      </c>
      <c r="X2741">
        <v>0.90059630000000002</v>
      </c>
      <c r="Y2741">
        <v>-0.166539299999999</v>
      </c>
      <c r="Z2741">
        <v>0.14787620000000001</v>
      </c>
      <c r="AA2741">
        <v>0.97488319999999995</v>
      </c>
      <c r="AB2741">
        <v>26</v>
      </c>
      <c r="AC2741">
        <v>3.5358000000000498</v>
      </c>
      <c r="AD2741">
        <v>-1.109994970594</v>
      </c>
      <c r="AE2741">
        <v>-5.19569999999998</v>
      </c>
      <c r="AF2741">
        <v>-1.1000478565623899</v>
      </c>
      <c r="AG2741">
        <v>-1.109994970594</v>
      </c>
      <c r="AH2741">
        <v>5.9944628055355098</v>
      </c>
      <c r="AI2741">
        <v>100.322069968631</v>
      </c>
      <c r="AJ2741">
        <v>100.398687473789</v>
      </c>
      <c r="AK2741">
        <v>6.1948186776063201</v>
      </c>
      <c r="AL2741">
        <v>68.218889613352502</v>
      </c>
      <c r="AM2741">
        <v>104.108811413536</v>
      </c>
      <c r="AN2741">
        <v>0.99999998209526897</v>
      </c>
    </row>
    <row r="2742" spans="1:40" x14ac:dyDescent="0.25">
      <c r="A2742" t="str">
        <f>"20190304164423224"</f>
        <v>20190304164423224</v>
      </c>
      <c r="B2742" t="str">
        <f>"1551689063213009"</f>
        <v>1551689063213009</v>
      </c>
      <c r="C2742" t="s">
        <v>40</v>
      </c>
      <c r="D2742">
        <v>5.1845999999999997</v>
      </c>
      <c r="E2742">
        <v>0.53368879999999996</v>
      </c>
      <c r="F2742" t="s">
        <v>47</v>
      </c>
      <c r="G2742">
        <v>-484.51240000000001</v>
      </c>
      <c r="H2742" s="1">
        <v>5.0018530000000001E-6</v>
      </c>
      <c r="I2742">
        <v>229.02850000000001</v>
      </c>
      <c r="J2742">
        <v>-487.94150000000002</v>
      </c>
      <c r="K2742">
        <v>1.109348</v>
      </c>
      <c r="L2742">
        <v>234.08330000000001</v>
      </c>
      <c r="M2742">
        <v>0.40176780000000001</v>
      </c>
      <c r="N2742">
        <v>-1.294763E-2</v>
      </c>
      <c r="O2742">
        <v>-0.91565010000000002</v>
      </c>
      <c r="P2742">
        <v>0.56679880000000005</v>
      </c>
      <c r="Q2742">
        <v>0.35617349999999998</v>
      </c>
      <c r="R2742">
        <v>-0.74288589999999999</v>
      </c>
      <c r="S2742">
        <v>1.918304</v>
      </c>
      <c r="T2742">
        <v>-0.60312379999999999</v>
      </c>
      <c r="U2742">
        <v>-2.8739469999999998</v>
      </c>
      <c r="V2742">
        <v>-0.21907689999999999</v>
      </c>
      <c r="W2742">
        <v>0.36877359999999998</v>
      </c>
      <c r="X2742">
        <v>0.90333350000000001</v>
      </c>
      <c r="Y2742">
        <v>-0.16696459999999999</v>
      </c>
      <c r="Z2742">
        <v>0.1522297</v>
      </c>
      <c r="AA2742">
        <v>0.97414009999999995</v>
      </c>
      <c r="AB2742">
        <v>26</v>
      </c>
      <c r="AC2742">
        <v>3.4291</v>
      </c>
      <c r="AD2742">
        <v>-1.109342998147</v>
      </c>
      <c r="AE2742">
        <v>-5.0548000000000002</v>
      </c>
      <c r="AF2742">
        <v>-1.07367808027064</v>
      </c>
      <c r="AG2742">
        <v>-1.109342998147</v>
      </c>
      <c r="AH2742">
        <v>5.8148340005869503</v>
      </c>
      <c r="AI2742">
        <v>100.62556685051899</v>
      </c>
      <c r="AJ2742">
        <v>100.461531472709</v>
      </c>
      <c r="AK2742">
        <v>6.0162879719951396</v>
      </c>
      <c r="AL2742">
        <v>68.359998888775806</v>
      </c>
      <c r="AM2742">
        <v>103.632204240303</v>
      </c>
      <c r="AN2742">
        <v>1.0000000341963999</v>
      </c>
    </row>
    <row r="2743" spans="1:40" x14ac:dyDescent="0.25">
      <c r="A2743" t="str">
        <f>"20190304164423249"</f>
        <v>20190304164423249</v>
      </c>
      <c r="B2743" t="str">
        <f>"1551689063242289"</f>
        <v>1551689063242289</v>
      </c>
      <c r="C2743" t="s">
        <v>40</v>
      </c>
      <c r="D2743">
        <v>5.1326330000000002</v>
      </c>
      <c r="E2743">
        <v>0.53352200000000005</v>
      </c>
      <c r="F2743" t="s">
        <v>47</v>
      </c>
      <c r="G2743">
        <v>-484.52809999999999</v>
      </c>
      <c r="H2743" s="1">
        <v>4.9775329999999996E-6</v>
      </c>
      <c r="I2743">
        <v>228.93639999999999</v>
      </c>
      <c r="J2743">
        <v>-487.82650000000001</v>
      </c>
      <c r="K2743">
        <v>1.1085879999999999</v>
      </c>
      <c r="L2743">
        <v>233.8125</v>
      </c>
      <c r="M2743">
        <v>0.39817459999999999</v>
      </c>
      <c r="N2743">
        <v>-1.3048509999999999E-2</v>
      </c>
      <c r="O2743">
        <v>-0.9172169</v>
      </c>
      <c r="P2743">
        <v>0.55941409999999903</v>
      </c>
      <c r="Q2743">
        <v>0.35377750000000002</v>
      </c>
      <c r="R2743">
        <v>-0.74959830000000005</v>
      </c>
      <c r="S2743">
        <v>1.9093929999999999</v>
      </c>
      <c r="T2743">
        <v>-0.62054430000000005</v>
      </c>
      <c r="U2743">
        <v>-2.8790589999999998</v>
      </c>
      <c r="V2743">
        <v>-0.21254400000000001</v>
      </c>
      <c r="W2743">
        <v>0.36685580000000001</v>
      </c>
      <c r="X2743">
        <v>0.90567209999999998</v>
      </c>
      <c r="Y2743">
        <v>-0.1674919</v>
      </c>
      <c r="Z2743">
        <v>0.15699070000000001</v>
      </c>
      <c r="AA2743">
        <v>0.97329359999999998</v>
      </c>
      <c r="AB2743">
        <v>26</v>
      </c>
      <c r="AC2743">
        <v>3.2984000000000102</v>
      </c>
      <c r="AD2743">
        <v>-1.1085830224669999</v>
      </c>
      <c r="AE2743">
        <v>-4.8761000000000001</v>
      </c>
      <c r="AF2743">
        <v>-1.0467805631267699</v>
      </c>
      <c r="AG2743">
        <v>-1.1085830224669999</v>
      </c>
      <c r="AH2743">
        <v>5.5881084036439903</v>
      </c>
      <c r="AI2743">
        <v>101.03370744481801</v>
      </c>
      <c r="AJ2743">
        <v>100.60985142180699</v>
      </c>
      <c r="AK2743">
        <v>5.7923795970152598</v>
      </c>
      <c r="AL2743">
        <v>68.478164418048607</v>
      </c>
      <c r="AM2743">
        <v>103.207227105649</v>
      </c>
      <c r="AN2743">
        <v>1.00000004132402</v>
      </c>
    </row>
    <row r="2744" spans="1:40" x14ac:dyDescent="0.25">
      <c r="A2744" t="str">
        <f>"20190304164423269"</f>
        <v>20190304164423269</v>
      </c>
      <c r="B2744" t="str">
        <f>"1551689063262785"</f>
        <v>1551689063262785</v>
      </c>
      <c r="C2744" t="s">
        <v>40</v>
      </c>
      <c r="D2744">
        <v>5.1677600000000004</v>
      </c>
      <c r="E2744">
        <v>0.5334141</v>
      </c>
      <c r="F2744" t="s">
        <v>47</v>
      </c>
      <c r="G2744">
        <v>-484.52800000000002</v>
      </c>
      <c r="H2744" s="1">
        <v>4.9273570000000003E-6</v>
      </c>
      <c r="I2744">
        <v>228.77459999999999</v>
      </c>
      <c r="J2744">
        <v>-487.73320000000001</v>
      </c>
      <c r="K2744">
        <v>1.10798</v>
      </c>
      <c r="L2744">
        <v>233.5883</v>
      </c>
      <c r="M2744">
        <v>0.39451409999999998</v>
      </c>
      <c r="N2744">
        <v>-1.31304E-2</v>
      </c>
      <c r="O2744">
        <v>-0.9187961</v>
      </c>
      <c r="P2744">
        <v>0.55490909999999904</v>
      </c>
      <c r="Q2744">
        <v>0.34889779999999998</v>
      </c>
      <c r="R2744">
        <v>-0.75521300000000002</v>
      </c>
      <c r="S2744">
        <v>1.892242</v>
      </c>
      <c r="T2744">
        <v>-0.63595990000000002</v>
      </c>
      <c r="U2744">
        <v>-2.8900760000000001</v>
      </c>
      <c r="V2744">
        <v>-0.20932390000000001</v>
      </c>
      <c r="W2744">
        <v>0.362369</v>
      </c>
      <c r="X2744">
        <v>0.90822480000000005</v>
      </c>
      <c r="Y2744">
        <v>-0.16528709999999999</v>
      </c>
      <c r="Z2744">
        <v>0.1611136</v>
      </c>
      <c r="AA2744">
        <v>0.97299669999999905</v>
      </c>
      <c r="AB2744">
        <v>26</v>
      </c>
      <c r="AC2744">
        <v>3.2051999999999898</v>
      </c>
      <c r="AD2744">
        <v>-1.107975072643</v>
      </c>
      <c r="AE2744">
        <v>-4.8137000000000096</v>
      </c>
      <c r="AF2744">
        <v>-1.0089105279734401</v>
      </c>
      <c r="AG2744">
        <v>-1.107975072643</v>
      </c>
      <c r="AH2744">
        <v>5.4864151261861496</v>
      </c>
      <c r="AI2744">
        <v>101.233800250827</v>
      </c>
      <c r="AJ2744">
        <v>100.41985015313701</v>
      </c>
      <c r="AK2744">
        <v>5.6873772647766296</v>
      </c>
      <c r="AL2744">
        <v>68.754244942480994</v>
      </c>
      <c r="AM2744">
        <v>102.978657236107</v>
      </c>
      <c r="AN2744">
        <v>1.00000003730362</v>
      </c>
    </row>
    <row r="2745" spans="1:40" x14ac:dyDescent="0.25">
      <c r="A2745" t="str">
        <f>"20190304164423292"</f>
        <v>20190304164423292</v>
      </c>
      <c r="B2745" t="str">
        <f>"1551689063282305"</f>
        <v>1551689063282305</v>
      </c>
      <c r="C2745" t="s">
        <v>40</v>
      </c>
      <c r="D2745">
        <v>5.1968959999999997</v>
      </c>
      <c r="E2745">
        <v>0.53331819999999996</v>
      </c>
      <c r="F2745" t="s">
        <v>47</v>
      </c>
      <c r="G2745">
        <v>-484.58260000000001</v>
      </c>
      <c r="H2745" s="1">
        <v>4.9154899999999999E-6</v>
      </c>
      <c r="I2745">
        <v>228.68940000000001</v>
      </c>
      <c r="J2745">
        <v>-487.63560000000001</v>
      </c>
      <c r="K2745">
        <v>1.1073869999999999</v>
      </c>
      <c r="L2745">
        <v>233.3486</v>
      </c>
      <c r="M2745">
        <v>0.38996029999999998</v>
      </c>
      <c r="N2745">
        <v>-1.3214800000000001E-2</v>
      </c>
      <c r="O2745">
        <v>-0.92073709999999997</v>
      </c>
      <c r="P2745">
        <v>0.55169000000000001</v>
      </c>
      <c r="Q2745">
        <v>0.34079559999999998</v>
      </c>
      <c r="R2745">
        <v>-0.76124700000000001</v>
      </c>
      <c r="S2745">
        <v>1.867432</v>
      </c>
      <c r="T2745">
        <v>-0.65671669999999904</v>
      </c>
      <c r="U2745">
        <v>-2.9036710000000001</v>
      </c>
      <c r="V2745">
        <v>-0.20806659999999999</v>
      </c>
      <c r="W2745">
        <v>0.35468290000000002</v>
      </c>
      <c r="X2745">
        <v>0.91154179999999996</v>
      </c>
      <c r="Y2745">
        <v>-0.16167709999999999</v>
      </c>
      <c r="Z2745">
        <v>0.16672509999999999</v>
      </c>
      <c r="AA2745">
        <v>0.97265789999999996</v>
      </c>
      <c r="AB2745">
        <v>26</v>
      </c>
      <c r="AC2745">
        <v>3.0529999999999902</v>
      </c>
      <c r="AD2745">
        <v>-1.10738208451</v>
      </c>
      <c r="AE2745">
        <v>-4.6591999999999896</v>
      </c>
      <c r="AF2745">
        <v>-0.95639618565681594</v>
      </c>
      <c r="AG2745">
        <v>-1.10738208451</v>
      </c>
      <c r="AH2745">
        <v>5.2725480459044096</v>
      </c>
      <c r="AI2745">
        <v>101.67613009586201</v>
      </c>
      <c r="AJ2745">
        <v>100.281188209151</v>
      </c>
      <c r="AK2745">
        <v>5.4718142915675596</v>
      </c>
      <c r="AL2745">
        <v>69.225990023103805</v>
      </c>
      <c r="AM2745">
        <v>102.85792743787501</v>
      </c>
      <c r="AN2745">
        <v>1.0000000613675999</v>
      </c>
    </row>
    <row r="2746" spans="1:40" x14ac:dyDescent="0.25">
      <c r="A2746" t="str">
        <f>"20190304164423314"</f>
        <v>20190304164423314</v>
      </c>
      <c r="B2746" t="str">
        <f>"1551689063302801"</f>
        <v>1551689063302801</v>
      </c>
      <c r="C2746" t="s">
        <v>40</v>
      </c>
      <c r="D2746">
        <v>5.1335259999999998</v>
      </c>
      <c r="E2746">
        <v>0.53320119999999904</v>
      </c>
      <c r="F2746" t="s">
        <v>47</v>
      </c>
      <c r="G2746">
        <v>-484.6712</v>
      </c>
      <c r="H2746" s="1">
        <v>4.921393E-6</v>
      </c>
      <c r="I2746">
        <v>228.63229999999999</v>
      </c>
      <c r="J2746">
        <v>-487.53829999999999</v>
      </c>
      <c r="K2746">
        <v>1.1068480000000001</v>
      </c>
      <c r="L2746">
        <v>233.10409999999999</v>
      </c>
      <c r="M2746">
        <v>0.38466129999999998</v>
      </c>
      <c r="N2746">
        <v>-1.3297649999999999E-2</v>
      </c>
      <c r="O2746">
        <v>-0.92296219999999995</v>
      </c>
      <c r="P2746">
        <v>0.54675699999999905</v>
      </c>
      <c r="Q2746">
        <v>0.3375283</v>
      </c>
      <c r="R2746">
        <v>-0.76624539999999997</v>
      </c>
      <c r="S2746">
        <v>1.83432</v>
      </c>
      <c r="T2746">
        <v>-0.68522289999999997</v>
      </c>
      <c r="U2746">
        <v>-2.91832</v>
      </c>
      <c r="V2746">
        <v>-0.20641129999999999</v>
      </c>
      <c r="W2746">
        <v>0.35177700000000001</v>
      </c>
      <c r="X2746">
        <v>0.91304289999999999</v>
      </c>
      <c r="Y2746">
        <v>-0.1564808</v>
      </c>
      <c r="Z2746">
        <v>0.17452239999999999</v>
      </c>
      <c r="AA2746">
        <v>0.9721398</v>
      </c>
      <c r="AB2746">
        <v>26</v>
      </c>
      <c r="AC2746">
        <v>2.86709999999999</v>
      </c>
      <c r="AD2746">
        <v>-1.106843078607</v>
      </c>
      <c r="AE2746">
        <v>-4.4718</v>
      </c>
      <c r="AF2746">
        <v>-0.88763980835044198</v>
      </c>
      <c r="AG2746">
        <v>-1.106843078607</v>
      </c>
      <c r="AH2746">
        <v>5.0129790475963398</v>
      </c>
      <c r="AI2746">
        <v>102.265986631663</v>
      </c>
      <c r="AJ2746">
        <v>100.041189921834</v>
      </c>
      <c r="AK2746">
        <v>5.2098910700386503</v>
      </c>
      <c r="AL2746">
        <v>69.403957260649506</v>
      </c>
      <c r="AM2746">
        <v>102.73870408535601</v>
      </c>
      <c r="AN2746">
        <v>1.00000000986855</v>
      </c>
    </row>
    <row r="2747" spans="1:40" x14ac:dyDescent="0.25">
      <c r="A2747" t="str">
        <f>"20190304164423335"</f>
        <v>20190304164423335</v>
      </c>
      <c r="B2747" t="str">
        <f>"1551689063333058"</f>
        <v>1551689063333058</v>
      </c>
      <c r="C2747" t="s">
        <v>40</v>
      </c>
      <c r="D2747">
        <v>5.1374829999999996</v>
      </c>
      <c r="E2747">
        <v>0.53291840000000001</v>
      </c>
      <c r="F2747" t="s">
        <v>47</v>
      </c>
      <c r="G2747">
        <v>-484.6653</v>
      </c>
      <c r="H2747" s="1">
        <v>4.85857E-6</v>
      </c>
      <c r="I2747">
        <v>228.43459999999999</v>
      </c>
      <c r="J2747">
        <v>-487.44740000000002</v>
      </c>
      <c r="K2747">
        <v>1.1064309999999999</v>
      </c>
      <c r="L2747">
        <v>232.869</v>
      </c>
      <c r="M2747">
        <v>0.37894349999999999</v>
      </c>
      <c r="N2747">
        <v>-1.337468E-2</v>
      </c>
      <c r="O2747">
        <v>-0.92532329999999996</v>
      </c>
      <c r="P2747">
        <v>0.53979500000000002</v>
      </c>
      <c r="Q2747">
        <v>0.33988990000000002</v>
      </c>
      <c r="R2747">
        <v>-0.77012740000000002</v>
      </c>
      <c r="S2747">
        <v>1.8049930000000001</v>
      </c>
      <c r="T2747">
        <v>-0.69536699999999996</v>
      </c>
      <c r="U2747">
        <v>-2.9335330000000002</v>
      </c>
      <c r="V2747">
        <v>-0.20375080000000001</v>
      </c>
      <c r="W2747">
        <v>0.35440870000000002</v>
      </c>
      <c r="X2747">
        <v>0.91262259999999995</v>
      </c>
      <c r="Y2747">
        <v>-0.1530127</v>
      </c>
      <c r="Z2747">
        <v>0.1774464</v>
      </c>
      <c r="AA2747">
        <v>0.97216250000000004</v>
      </c>
      <c r="AB2747">
        <v>26</v>
      </c>
      <c r="AC2747">
        <v>2.78210000000001</v>
      </c>
      <c r="AD2747">
        <v>-1.1064261414299901</v>
      </c>
      <c r="AE2747">
        <v>-4.4344000000000303</v>
      </c>
      <c r="AF2747">
        <v>-0.85580461348333403</v>
      </c>
      <c r="AG2747">
        <v>-1.1064261414299901</v>
      </c>
      <c r="AH2747">
        <v>4.9374111410053096</v>
      </c>
      <c r="AI2747">
        <v>102.451028449286</v>
      </c>
      <c r="AJ2747">
        <v>99.833413928603306</v>
      </c>
      <c r="AK2747">
        <v>5.1317257446420896</v>
      </c>
      <c r="AL2747">
        <v>69.242789859048798</v>
      </c>
      <c r="AM2747">
        <v>102.585378359519</v>
      </c>
      <c r="AN2747">
        <v>0.99999996258354396</v>
      </c>
    </row>
    <row r="2748" spans="1:40" x14ac:dyDescent="0.25">
      <c r="A2748" t="str">
        <f>"20190304164423358"</f>
        <v>20190304164423358</v>
      </c>
      <c r="B2748" t="str">
        <f>"1551689063352577"</f>
        <v>1551689063352577</v>
      </c>
      <c r="C2748" t="s">
        <v>40</v>
      </c>
      <c r="D2748">
        <v>5.1444150000000004</v>
      </c>
      <c r="E2748">
        <v>0.52956009999999998</v>
      </c>
      <c r="F2748" t="s">
        <v>47</v>
      </c>
      <c r="G2748">
        <v>-484.56240000000003</v>
      </c>
      <c r="H2748" s="1">
        <v>4.7249560000000001E-6</v>
      </c>
      <c r="I2748">
        <v>228.0917</v>
      </c>
      <c r="J2748">
        <v>-487.35340000000002</v>
      </c>
      <c r="K2748">
        <v>1.106066</v>
      </c>
      <c r="L2748">
        <v>232.61930000000001</v>
      </c>
      <c r="M2748">
        <v>0.3723108</v>
      </c>
      <c r="N2748">
        <v>-1.345329E-2</v>
      </c>
      <c r="O2748">
        <v>-0.92801089999999997</v>
      </c>
      <c r="P2748">
        <v>0.53215440000000003</v>
      </c>
      <c r="Q2748">
        <v>0.3469177</v>
      </c>
      <c r="R2748">
        <v>-0.77230849999999995</v>
      </c>
      <c r="S2748">
        <v>1.7807010000000001</v>
      </c>
      <c r="T2748">
        <v>-0.68291999999999997</v>
      </c>
      <c r="U2748">
        <v>-2.948715</v>
      </c>
      <c r="V2748">
        <v>-0.20195779999999999</v>
      </c>
      <c r="W2748">
        <v>0.3616685</v>
      </c>
      <c r="X2748">
        <v>0.91016969999999997</v>
      </c>
      <c r="Y2748">
        <v>-0.15231839999999999</v>
      </c>
      <c r="Z2748">
        <v>0.1744289</v>
      </c>
      <c r="AA2748">
        <v>0.97281740000000005</v>
      </c>
      <c r="AB2748">
        <v>26</v>
      </c>
      <c r="AC2748">
        <v>2.7909999999999902</v>
      </c>
      <c r="AD2748">
        <v>-1.106061275044</v>
      </c>
      <c r="AE2748">
        <v>-4.5275999999999996</v>
      </c>
      <c r="AF2748">
        <v>-0.86699195267993201</v>
      </c>
      <c r="AG2748">
        <v>-1.106061275044</v>
      </c>
      <c r="AH2748">
        <v>5.0239884468532301</v>
      </c>
      <c r="AI2748">
        <v>102.240588186126</v>
      </c>
      <c r="AJ2748">
        <v>99.791123528236398</v>
      </c>
      <c r="AK2748">
        <v>5.2168483305802997</v>
      </c>
      <c r="AL2748">
        <v>68.797299600235604</v>
      </c>
      <c r="AM2748">
        <v>102.51068197900899</v>
      </c>
      <c r="AN2748">
        <v>0.99999996983558903</v>
      </c>
    </row>
    <row r="2749" spans="1:40" x14ac:dyDescent="0.25">
      <c r="A2749" t="str">
        <f>"20190304164423381"</f>
        <v>20190304164423381</v>
      </c>
      <c r="B2749" t="str">
        <f>"1551689063373073"</f>
        <v>1551689063373073</v>
      </c>
      <c r="C2749" t="s">
        <v>40</v>
      </c>
      <c r="D2749">
        <v>5.1099180000000004</v>
      </c>
      <c r="E2749">
        <v>0.52911049999999904</v>
      </c>
      <c r="F2749" t="s">
        <v>47</v>
      </c>
      <c r="G2749">
        <v>-484.16890000000001</v>
      </c>
      <c r="H2749" s="1">
        <v>4.4020249999999996E-6</v>
      </c>
      <c r="I2749">
        <v>227.33770000000001</v>
      </c>
      <c r="J2749">
        <v>-487.2602</v>
      </c>
      <c r="K2749">
        <v>1.1057629999999901</v>
      </c>
      <c r="L2749">
        <v>232.3647</v>
      </c>
      <c r="M2749">
        <v>0.36509599999999998</v>
      </c>
      <c r="N2749">
        <v>-1.3526969999999999E-2</v>
      </c>
      <c r="O2749">
        <v>-0.93087169999999997</v>
      </c>
      <c r="P2749">
        <v>0.52405619999999997</v>
      </c>
      <c r="Q2749">
        <v>0.35560789999999998</v>
      </c>
      <c r="R2749">
        <v>-0.77389189999999997</v>
      </c>
      <c r="S2749">
        <v>1.772491</v>
      </c>
      <c r="T2749">
        <v>-0.61562869999999903</v>
      </c>
      <c r="U2749">
        <v>-2.9397129999999998</v>
      </c>
      <c r="V2749">
        <v>-0.2005178</v>
      </c>
      <c r="W2749">
        <v>0.37053920000000001</v>
      </c>
      <c r="X2749">
        <v>0.9069142</v>
      </c>
      <c r="Y2749">
        <v>-0.1608946</v>
      </c>
      <c r="Z2749">
        <v>0.15774560000000001</v>
      </c>
      <c r="AA2749">
        <v>0.97428400000000004</v>
      </c>
      <c r="AB2749">
        <v>26</v>
      </c>
      <c r="AC2749">
        <v>3.09129999999998</v>
      </c>
      <c r="AD2749">
        <v>-1.10575859797499</v>
      </c>
      <c r="AE2749">
        <v>-5.0269999999999797</v>
      </c>
      <c r="AF2749">
        <v>-1.0070073362690399</v>
      </c>
      <c r="AG2749">
        <v>-1.10575859797499</v>
      </c>
      <c r="AH2749">
        <v>5.6116309800137198</v>
      </c>
      <c r="AI2749">
        <v>100.976216733909</v>
      </c>
      <c r="AJ2749">
        <v>100.17344863887</v>
      </c>
      <c r="AK2749">
        <v>5.8075096304823397</v>
      </c>
      <c r="AL2749">
        <v>68.251125624737895</v>
      </c>
      <c r="AM2749">
        <v>102.467464394052</v>
      </c>
      <c r="AN2749">
        <v>1.0000000265075499</v>
      </c>
    </row>
    <row r="2750" spans="1:40" x14ac:dyDescent="0.25">
      <c r="A2750" t="str">
        <f>"20190304164423403"</f>
        <v>20190304164423403</v>
      </c>
      <c r="B2750" t="str">
        <f>"1551689063392593"</f>
        <v>1551689063392593</v>
      </c>
      <c r="C2750" t="s">
        <v>40</v>
      </c>
      <c r="D2750">
        <v>5.0652660000000003</v>
      </c>
      <c r="E2750">
        <v>0.52845109999999995</v>
      </c>
      <c r="F2750" t="s">
        <v>47</v>
      </c>
      <c r="G2750">
        <v>-483.93389999999999</v>
      </c>
      <c r="H2750" s="1">
        <v>4.2246979999999999E-6</v>
      </c>
      <c r="I2750">
        <v>226.7713</v>
      </c>
      <c r="J2750">
        <v>-487.17380000000003</v>
      </c>
      <c r="K2750">
        <v>1.1055090000000001</v>
      </c>
      <c r="L2750">
        <v>232.1215</v>
      </c>
      <c r="M2750">
        <v>0.35783110000000001</v>
      </c>
      <c r="N2750">
        <v>-1.358973E-2</v>
      </c>
      <c r="O2750">
        <v>-0.93368770000000001</v>
      </c>
      <c r="P2750">
        <v>0.51888000000000001</v>
      </c>
      <c r="Q2750">
        <v>0.36223909999999998</v>
      </c>
      <c r="R2750">
        <v>-0.77430399999999999</v>
      </c>
      <c r="S2750">
        <v>1.757263</v>
      </c>
      <c r="T2750">
        <v>-0.58416759999999901</v>
      </c>
      <c r="U2750">
        <v>-2.954971</v>
      </c>
      <c r="V2750">
        <v>-0.20229730000000001</v>
      </c>
      <c r="W2750">
        <v>0.37734699999999999</v>
      </c>
      <c r="X2750">
        <v>0.90370629999999996</v>
      </c>
      <c r="Y2750">
        <v>-0.16338329999999901</v>
      </c>
      <c r="Z2750">
        <v>0.149390299999999</v>
      </c>
      <c r="AA2750">
        <v>0.97518629999999995</v>
      </c>
      <c r="AB2750">
        <v>26</v>
      </c>
      <c r="AC2750">
        <v>3.2399000000000302</v>
      </c>
      <c r="AD2750">
        <v>-1.105504775302</v>
      </c>
      <c r="AE2750">
        <v>-5.3502000000000001</v>
      </c>
      <c r="AF2750">
        <v>-1.07704278892508</v>
      </c>
      <c r="AG2750">
        <v>-1.105504775302</v>
      </c>
      <c r="AH2750">
        <v>5.9688554517644201</v>
      </c>
      <c r="AI2750">
        <v>100.329827221448</v>
      </c>
      <c r="AJ2750">
        <v>100.228600089575</v>
      </c>
      <c r="AK2750">
        <v>6.1651761841369099</v>
      </c>
      <c r="AL2750">
        <v>67.830554137158998</v>
      </c>
      <c r="AM2750">
        <v>102.61781255531299</v>
      </c>
      <c r="AN2750">
        <v>1.0000000163279801</v>
      </c>
    </row>
    <row r="2751" spans="1:40" x14ac:dyDescent="0.25">
      <c r="A2751" t="str">
        <f>"20190304164423424"</f>
        <v>20190304164423424</v>
      </c>
      <c r="B2751" t="str">
        <f>"1551689063413089"</f>
        <v>1551689063413089</v>
      </c>
      <c r="C2751" t="s">
        <v>40</v>
      </c>
      <c r="D2751">
        <v>5.0415260000000002</v>
      </c>
      <c r="E2751">
        <v>0.52759679999999998</v>
      </c>
      <c r="F2751" t="s">
        <v>47</v>
      </c>
      <c r="G2751">
        <v>-483.72289999999998</v>
      </c>
      <c r="H2751" s="1">
        <v>4.0776560000000004E-6</v>
      </c>
      <c r="I2751">
        <v>226.31780000000001</v>
      </c>
      <c r="J2751">
        <v>-487.09199999999998</v>
      </c>
      <c r="K2751">
        <v>1.105275</v>
      </c>
      <c r="L2751">
        <v>231.8843</v>
      </c>
      <c r="M2751">
        <v>0.350427299999999</v>
      </c>
      <c r="N2751">
        <v>-1.364749E-2</v>
      </c>
      <c r="O2751">
        <v>-0.93649079999999996</v>
      </c>
      <c r="P2751">
        <v>0.51610420000000001</v>
      </c>
      <c r="Q2751">
        <v>0.36511389999999999</v>
      </c>
      <c r="R2751">
        <v>-0.77480899999999997</v>
      </c>
      <c r="S2751">
        <v>1.75945999999999</v>
      </c>
      <c r="T2751">
        <v>-0.56364969999999903</v>
      </c>
      <c r="U2751">
        <v>-2.9590450000000001</v>
      </c>
      <c r="V2751">
        <v>-0.20645230000000001</v>
      </c>
      <c r="W2751">
        <v>0.38042100000000001</v>
      </c>
      <c r="X2751">
        <v>0.90147509999999997</v>
      </c>
      <c r="Y2751">
        <v>-0.1715661</v>
      </c>
      <c r="Z2751">
        <v>0.14415069999999999</v>
      </c>
      <c r="AA2751">
        <v>0.97456940000000003</v>
      </c>
      <c r="AB2751">
        <v>26</v>
      </c>
      <c r="AC2751">
        <v>3.3691</v>
      </c>
      <c r="AD2751">
        <v>-1.105270922344</v>
      </c>
      <c r="AE2751">
        <v>-5.5664999999999898</v>
      </c>
      <c r="AF2751">
        <v>-1.1708059202790599</v>
      </c>
      <c r="AG2751">
        <v>-1.105270922344</v>
      </c>
      <c r="AH2751">
        <v>6.2148649072103099</v>
      </c>
      <c r="AI2751">
        <v>99.913395997706303</v>
      </c>
      <c r="AJ2751">
        <v>100.668797613782</v>
      </c>
      <c r="AK2751">
        <v>6.4200433121291196</v>
      </c>
      <c r="AL2751">
        <v>67.640237733761793</v>
      </c>
      <c r="AM2751">
        <v>102.89921131694101</v>
      </c>
      <c r="AN2751">
        <v>1.00000002266814</v>
      </c>
    </row>
    <row r="2752" spans="1:40" x14ac:dyDescent="0.25">
      <c r="A2752" t="str">
        <f>"20190304164423450"</f>
        <v>20190304164423450</v>
      </c>
      <c r="B2752" t="str">
        <f>"1551689063442370"</f>
        <v>1551689063442370</v>
      </c>
      <c r="C2752" t="s">
        <v>40</v>
      </c>
      <c r="D2752">
        <v>5.0851959999999998</v>
      </c>
      <c r="E2752">
        <v>0.5268832</v>
      </c>
      <c r="F2752" t="s">
        <v>47</v>
      </c>
      <c r="G2752">
        <v>-483.5926</v>
      </c>
      <c r="H2752" s="1">
        <v>3.9801789999999997E-6</v>
      </c>
      <c r="I2752">
        <v>226.0076</v>
      </c>
      <c r="J2752">
        <v>-486.99939999999998</v>
      </c>
      <c r="K2752">
        <v>1.105037</v>
      </c>
      <c r="L2752">
        <v>231.60720000000001</v>
      </c>
      <c r="M2752">
        <v>0.34144530000000001</v>
      </c>
      <c r="N2752">
        <v>-1.371316E-2</v>
      </c>
      <c r="O2752">
        <v>-0.93980180000000002</v>
      </c>
      <c r="P2752">
        <v>0.51569409999999904</v>
      </c>
      <c r="Q2752">
        <v>0.36133349999999997</v>
      </c>
      <c r="R2752">
        <v>-0.77685150000000003</v>
      </c>
      <c r="S2752">
        <v>1.7626649999999999</v>
      </c>
      <c r="T2752">
        <v>-0.55673600000000001</v>
      </c>
      <c r="U2752">
        <v>-2.960159</v>
      </c>
      <c r="V2752">
        <v>-0.21387239999999999</v>
      </c>
      <c r="W2752">
        <v>0.37692789999999998</v>
      </c>
      <c r="X2752">
        <v>0.90121249999999997</v>
      </c>
      <c r="Y2752">
        <v>-0.18171970000000001</v>
      </c>
      <c r="Z2752">
        <v>0.142754399999999</v>
      </c>
      <c r="AA2752">
        <v>0.9729333</v>
      </c>
      <c r="AB2752">
        <v>26</v>
      </c>
      <c r="AC2752">
        <v>3.4067999999999699</v>
      </c>
      <c r="AD2752">
        <v>-1.1050330198209899</v>
      </c>
      <c r="AE2752">
        <v>-5.5995999999999997</v>
      </c>
      <c r="AF2752">
        <v>-1.2542318481550401</v>
      </c>
      <c r="AG2752">
        <v>-1.1050330198209899</v>
      </c>
      <c r="AH2752">
        <v>6.2487457878209698</v>
      </c>
      <c r="AI2752">
        <v>99.836308923191197</v>
      </c>
      <c r="AJ2752">
        <v>101.349448678233</v>
      </c>
      <c r="AK2752">
        <v>6.4684634515958601</v>
      </c>
      <c r="AL2752">
        <v>67.856481131556393</v>
      </c>
      <c r="AM2752">
        <v>103.350253824172</v>
      </c>
      <c r="AN2752">
        <v>1.0000000077182001</v>
      </c>
    </row>
    <row r="2753" spans="1:40" x14ac:dyDescent="0.25">
      <c r="A2753" t="str">
        <f>"20190304164423472"</f>
        <v>20190304164423472</v>
      </c>
      <c r="B2753" t="str">
        <f>"1551689063462865"</f>
        <v>1551689063462865</v>
      </c>
      <c r="C2753" t="s">
        <v>40</v>
      </c>
      <c r="D2753">
        <v>5.0296979999999998</v>
      </c>
      <c r="E2753">
        <v>0.52634599999999998</v>
      </c>
      <c r="F2753" t="s">
        <v>47</v>
      </c>
      <c r="G2753">
        <v>-483.60500000000002</v>
      </c>
      <c r="H2753" s="1">
        <v>3.9598020000000002E-6</v>
      </c>
      <c r="I2753">
        <v>225.90299999999999</v>
      </c>
      <c r="J2753">
        <v>-486.91730000000001</v>
      </c>
      <c r="K2753">
        <v>1.104867</v>
      </c>
      <c r="L2753">
        <v>231.35290000000001</v>
      </c>
      <c r="M2753">
        <v>0.33297700000000002</v>
      </c>
      <c r="N2753">
        <v>-1.376752E-2</v>
      </c>
      <c r="O2753">
        <v>-0.94283459999999997</v>
      </c>
      <c r="P2753">
        <v>0.51633499999999999</v>
      </c>
      <c r="Q2753">
        <v>0.356512</v>
      </c>
      <c r="R2753">
        <v>-0.77865109999999904</v>
      </c>
      <c r="S2753">
        <v>1.761047</v>
      </c>
      <c r="T2753">
        <v>-0.57330760000000003</v>
      </c>
      <c r="U2753">
        <v>-2.9594269999999998</v>
      </c>
      <c r="V2753">
        <v>-0.2219382</v>
      </c>
      <c r="W2753">
        <v>0.37236710000000001</v>
      </c>
      <c r="X2753">
        <v>0.90115820000000002</v>
      </c>
      <c r="Y2753">
        <v>-0.1898629</v>
      </c>
      <c r="Z2753">
        <v>0.147844899999999</v>
      </c>
      <c r="AA2753">
        <v>0.97061529999999996</v>
      </c>
      <c r="AB2753">
        <v>26</v>
      </c>
      <c r="AC2753">
        <v>3.3122999999999898</v>
      </c>
      <c r="AD2753">
        <v>-1.104863040198</v>
      </c>
      <c r="AE2753">
        <v>-5.4499000000000102</v>
      </c>
      <c r="AF2753">
        <v>-1.2702588610316601</v>
      </c>
      <c r="AG2753">
        <v>-1.104863040198</v>
      </c>
      <c r="AH2753">
        <v>6.0599846100689598</v>
      </c>
      <c r="AI2753">
        <v>100.117541189563</v>
      </c>
      <c r="AJ2753">
        <v>101.838606728146</v>
      </c>
      <c r="AK2753">
        <v>6.2894907095803596</v>
      </c>
      <c r="AL2753">
        <v>68.138322381919707</v>
      </c>
      <c r="AM2753">
        <v>103.83552337137</v>
      </c>
      <c r="AN2753">
        <v>0.99999996160444404</v>
      </c>
    </row>
    <row r="2754" spans="1:40" x14ac:dyDescent="0.25">
      <c r="A2754" t="str">
        <f>"20190304164423494"</f>
        <v>20190304164423494</v>
      </c>
      <c r="B2754" t="str">
        <f>"1551689063482386"</f>
        <v>1551689063482386</v>
      </c>
      <c r="C2754" t="s">
        <v>40</v>
      </c>
      <c r="D2754">
        <v>5.028168</v>
      </c>
      <c r="E2754">
        <v>0.52603429999999995</v>
      </c>
      <c r="F2754" t="s">
        <v>47</v>
      </c>
      <c r="G2754">
        <v>-483.68369999999999</v>
      </c>
      <c r="H2754" s="1">
        <v>3.9737300000000002E-6</v>
      </c>
      <c r="I2754">
        <v>225.8871</v>
      </c>
      <c r="J2754">
        <v>-486.84300000000002</v>
      </c>
      <c r="K2754">
        <v>1.1047819999999999</v>
      </c>
      <c r="L2754">
        <v>231.11490000000001</v>
      </c>
      <c r="M2754">
        <v>0.32497140000000002</v>
      </c>
      <c r="N2754">
        <v>-1.3807669999999999E-2</v>
      </c>
      <c r="O2754">
        <v>-0.9456232</v>
      </c>
      <c r="P2754">
        <v>0.51641590000000004</v>
      </c>
      <c r="Q2754">
        <v>0.3565277</v>
      </c>
      <c r="R2754">
        <v>-0.77859009999999995</v>
      </c>
      <c r="S2754">
        <v>1.7536619999999901</v>
      </c>
      <c r="T2754">
        <v>-0.59919639999999996</v>
      </c>
      <c r="U2754">
        <v>-2.9642490000000001</v>
      </c>
      <c r="V2754">
        <v>-0.22963359999999999</v>
      </c>
      <c r="W2754">
        <v>0.37255480000000002</v>
      </c>
      <c r="X2754">
        <v>0.89915040000000002</v>
      </c>
      <c r="Y2754">
        <v>-0.19507959999999999</v>
      </c>
      <c r="Z2754">
        <v>0.155302</v>
      </c>
      <c r="AA2754">
        <v>0.96841379999999999</v>
      </c>
      <c r="AB2754">
        <v>26</v>
      </c>
      <c r="AC2754">
        <v>3.15930000000002</v>
      </c>
      <c r="AD2754">
        <v>-1.10477802627</v>
      </c>
      <c r="AE2754">
        <v>-5.2278000000000002</v>
      </c>
      <c r="AF2754">
        <v>-1.2479220345666699</v>
      </c>
      <c r="AG2754">
        <v>-1.10477802627</v>
      </c>
      <c r="AH2754">
        <v>5.7816478571958401</v>
      </c>
      <c r="AI2754">
        <v>100.579921954931</v>
      </c>
      <c r="AJ2754">
        <v>102.179979915101</v>
      </c>
      <c r="AK2754">
        <v>6.0170836653900102</v>
      </c>
      <c r="AL2754">
        <v>68.126736327372697</v>
      </c>
      <c r="AM2754">
        <v>104.32650578342999</v>
      </c>
      <c r="AN2754">
        <v>1.00000005553607</v>
      </c>
    </row>
    <row r="2755" spans="1:40" x14ac:dyDescent="0.25">
      <c r="A2755" t="str">
        <f>"20190304164423515"</f>
        <v>20190304164423515</v>
      </c>
      <c r="B2755" t="str">
        <f>"1551689063512642"</f>
        <v>1551689063512642</v>
      </c>
      <c r="C2755" t="s">
        <v>40</v>
      </c>
      <c r="D2755">
        <v>5.0058999999999996</v>
      </c>
      <c r="E2755">
        <v>0.52578999999999998</v>
      </c>
      <c r="F2755" t="s">
        <v>47</v>
      </c>
      <c r="G2755">
        <v>-483.642</v>
      </c>
      <c r="H2755" s="1">
        <v>3.917439E-6</v>
      </c>
      <c r="I2755">
        <v>225.67429999999999</v>
      </c>
      <c r="J2755">
        <v>-486.76960000000003</v>
      </c>
      <c r="K2755">
        <v>1.1048100000000001</v>
      </c>
      <c r="L2755">
        <v>230.8723</v>
      </c>
      <c r="M2755">
        <v>0.31687189999999998</v>
      </c>
      <c r="N2755">
        <v>-1.383299E-2</v>
      </c>
      <c r="O2755">
        <v>-0.94836750000000003</v>
      </c>
      <c r="P2755">
        <v>0.51212400000000002</v>
      </c>
      <c r="Q2755">
        <v>0.3590024</v>
      </c>
      <c r="R2755">
        <v>-0.78028589999999998</v>
      </c>
      <c r="S2755">
        <v>1.7475590000000001</v>
      </c>
      <c r="T2755">
        <v>-0.60315490000000005</v>
      </c>
      <c r="U2755">
        <v>-2.9703059999999999</v>
      </c>
      <c r="V2755">
        <v>-0.23273920000000001</v>
      </c>
      <c r="W2755">
        <v>0.37505759999999999</v>
      </c>
      <c r="X2755">
        <v>0.89730949999999998</v>
      </c>
      <c r="Y2755">
        <v>-0.20100199999999999</v>
      </c>
      <c r="Z2755">
        <v>0.1567202</v>
      </c>
      <c r="AA2755">
        <v>0.96697310000000003</v>
      </c>
      <c r="AB2755">
        <v>26</v>
      </c>
      <c r="AC2755">
        <v>3.1276000000000201</v>
      </c>
      <c r="AD2755">
        <v>-1.104806082561</v>
      </c>
      <c r="AE2755">
        <v>-5.1980000000000004</v>
      </c>
      <c r="AF2755">
        <v>-1.2767923405805499</v>
      </c>
      <c r="AG2755">
        <v>-1.104806082561</v>
      </c>
      <c r="AH2755">
        <v>5.73114206027536</v>
      </c>
      <c r="AI2755">
        <v>100.65616102097</v>
      </c>
      <c r="AJ2755">
        <v>102.55933957824</v>
      </c>
      <c r="AK2755">
        <v>5.9746786086019901</v>
      </c>
      <c r="AL2755">
        <v>67.972127983639794</v>
      </c>
      <c r="AM2755">
        <v>104.540641683329</v>
      </c>
      <c r="AN2755">
        <v>1.00000003866232</v>
      </c>
    </row>
    <row r="2756" spans="1:40" x14ac:dyDescent="0.25">
      <c r="A2756" t="str">
        <f>"20190304164423537"</f>
        <v>20190304164423537</v>
      </c>
      <c r="B2756" t="str">
        <f>"1551689063533137"</f>
        <v>1551689063533137</v>
      </c>
      <c r="C2756" t="s">
        <v>40</v>
      </c>
      <c r="D2756">
        <v>5.047364</v>
      </c>
      <c r="E2756">
        <v>0.52532480000000004</v>
      </c>
      <c r="F2756" t="s">
        <v>47</v>
      </c>
      <c r="G2756">
        <v>-483.53030000000001</v>
      </c>
      <c r="H2756" s="1">
        <v>3.8166349999999999E-6</v>
      </c>
      <c r="I2756">
        <v>225.3304</v>
      </c>
      <c r="J2756">
        <v>-486.69920000000002</v>
      </c>
      <c r="K2756">
        <v>1.1049709999999999</v>
      </c>
      <c r="L2756">
        <v>230.6326</v>
      </c>
      <c r="M2756">
        <v>0.30907899999999999</v>
      </c>
      <c r="N2756">
        <v>-1.384204E-2</v>
      </c>
      <c r="O2756">
        <v>-0.9509358</v>
      </c>
      <c r="P2756">
        <v>0.50877119999999998</v>
      </c>
      <c r="Q2756">
        <v>0.35940919999999998</v>
      </c>
      <c r="R2756">
        <v>-0.78228989999999998</v>
      </c>
      <c r="S2756">
        <v>1.739471</v>
      </c>
      <c r="T2756">
        <v>-0.59327959999999902</v>
      </c>
      <c r="U2756">
        <v>-2.976013</v>
      </c>
      <c r="V2756">
        <v>-0.23646619999999999</v>
      </c>
      <c r="W2756">
        <v>0.37542049999999999</v>
      </c>
      <c r="X2756">
        <v>0.89618259999999905</v>
      </c>
      <c r="Y2756">
        <v>-0.2064695</v>
      </c>
      <c r="Z2756">
        <v>0.1543823</v>
      </c>
      <c r="AA2756">
        <v>0.96619690000000003</v>
      </c>
      <c r="AB2756">
        <v>26</v>
      </c>
      <c r="AC2756">
        <v>3.1688999999999998</v>
      </c>
      <c r="AD2756">
        <v>-1.1049671833650001</v>
      </c>
      <c r="AE2756">
        <v>-5.3021999999999903</v>
      </c>
      <c r="AF2756">
        <v>-1.33212578687978</v>
      </c>
      <c r="AG2756">
        <v>-1.1049671833650001</v>
      </c>
      <c r="AH2756">
        <v>5.8353397211722999</v>
      </c>
      <c r="AI2756">
        <v>100.459528774782</v>
      </c>
      <c r="AJ2756">
        <v>102.85945334511599</v>
      </c>
      <c r="AK2756">
        <v>6.0866001388192803</v>
      </c>
      <c r="AL2756">
        <v>67.949696106367597</v>
      </c>
      <c r="AM2756">
        <v>104.781146253857</v>
      </c>
      <c r="AN2756">
        <v>1.00000003405272</v>
      </c>
    </row>
    <row r="2757" spans="1:40" x14ac:dyDescent="0.25">
      <c r="A2757" t="str">
        <f>"20190304164423559"</f>
        <v>20190304164423559</v>
      </c>
      <c r="B2757" t="str">
        <f>"1551689063552658"</f>
        <v>1551689063552658</v>
      </c>
      <c r="C2757" t="s">
        <v>40</v>
      </c>
      <c r="D2757">
        <v>4.9956690000000004</v>
      </c>
      <c r="E2757">
        <v>0.52580539999999998</v>
      </c>
      <c r="F2757" t="s">
        <v>47</v>
      </c>
      <c r="G2757">
        <v>-483.1311</v>
      </c>
      <c r="H2757" s="1">
        <v>3.5310830000000001E-6</v>
      </c>
      <c r="I2757">
        <v>224.48990000000001</v>
      </c>
      <c r="J2757">
        <v>-486.62740000000002</v>
      </c>
      <c r="K2757">
        <v>1.105227</v>
      </c>
      <c r="L2757">
        <v>230.38159999999999</v>
      </c>
      <c r="M2757">
        <v>0.301197099999999</v>
      </c>
      <c r="N2757">
        <v>-1.383997E-2</v>
      </c>
      <c r="O2757">
        <v>-0.95346149999999996</v>
      </c>
      <c r="P2757">
        <v>0.5119321</v>
      </c>
      <c r="Q2757">
        <v>0.3538364</v>
      </c>
      <c r="R2757">
        <v>-0.78276800000000002</v>
      </c>
      <c r="S2757">
        <v>1.71994</v>
      </c>
      <c r="T2757">
        <v>-0.53264129999999998</v>
      </c>
      <c r="U2757">
        <v>-2.9610289999999999</v>
      </c>
      <c r="V2757">
        <v>-0.24710170000000001</v>
      </c>
      <c r="W2757">
        <v>0.36983749999999999</v>
      </c>
      <c r="X2757">
        <v>0.89563440000000005</v>
      </c>
      <c r="Y2757">
        <v>-0.21315410000000001</v>
      </c>
      <c r="Z2757">
        <v>0.13904859999999999</v>
      </c>
      <c r="AA2757">
        <v>0.96707330000000002</v>
      </c>
      <c r="AB2757">
        <v>26</v>
      </c>
      <c r="AC2757">
        <v>3.4963000000000202</v>
      </c>
      <c r="AD2757">
        <v>-1.105223468917</v>
      </c>
      <c r="AE2757">
        <v>-5.8916999999999797</v>
      </c>
      <c r="AF2757">
        <v>-1.5196254118525001</v>
      </c>
      <c r="AG2757">
        <v>-1.105223468917</v>
      </c>
      <c r="AH2757">
        <v>6.5020080536727303</v>
      </c>
      <c r="AI2757">
        <v>99.398459796948202</v>
      </c>
      <c r="AJ2757">
        <v>103.15483118679499</v>
      </c>
      <c r="AK2757">
        <v>6.7680786814736296</v>
      </c>
      <c r="AL2757">
        <v>68.294404218164104</v>
      </c>
      <c r="AM2757">
        <v>105.423953156392</v>
      </c>
      <c r="AN2757">
        <v>1.0000000025062501</v>
      </c>
    </row>
    <row r="2758" spans="1:40" x14ac:dyDescent="0.25">
      <c r="A2758" t="str">
        <f>"20190304164423582"</f>
        <v>20190304164423582</v>
      </c>
      <c r="B2758" t="str">
        <f>"1551689063573155"</f>
        <v>1551689063573155</v>
      </c>
      <c r="C2758" t="s">
        <v>40</v>
      </c>
      <c r="D2758">
        <v>5.0007089999999996</v>
      </c>
      <c r="E2758">
        <v>0.52549539999999995</v>
      </c>
      <c r="F2758" t="s">
        <v>47</v>
      </c>
      <c r="G2758">
        <v>-483.22739999999999</v>
      </c>
      <c r="H2758" s="1">
        <v>3.5405030000000001E-6</v>
      </c>
      <c r="I2758">
        <v>224.45140000000001</v>
      </c>
      <c r="J2758">
        <v>-486.5539</v>
      </c>
      <c r="K2758">
        <v>1.1055969999999999</v>
      </c>
      <c r="L2758">
        <v>230.11799999999999</v>
      </c>
      <c r="M2758">
        <v>0.29340470000000002</v>
      </c>
      <c r="N2758">
        <v>-1.382887E-2</v>
      </c>
      <c r="O2758">
        <v>-0.95588850000000003</v>
      </c>
      <c r="P2758">
        <v>0.51475199999999999</v>
      </c>
      <c r="Q2758">
        <v>0.35053200000000001</v>
      </c>
      <c r="R2758">
        <v>-0.78240529999999997</v>
      </c>
      <c r="S2758">
        <v>1.702423</v>
      </c>
      <c r="T2758">
        <v>-0.5533962</v>
      </c>
      <c r="U2758">
        <v>-2.9693299999999998</v>
      </c>
      <c r="V2758">
        <v>-0.25762469999999998</v>
      </c>
      <c r="W2758">
        <v>0.36641390000000001</v>
      </c>
      <c r="X2758">
        <v>0.89407519999999996</v>
      </c>
      <c r="Y2758">
        <v>-0.21520829999999999</v>
      </c>
      <c r="Z2758">
        <v>0.14516950000000001</v>
      </c>
      <c r="AA2758">
        <v>0.96571799999999997</v>
      </c>
      <c r="AB2758">
        <v>26</v>
      </c>
      <c r="AC2758">
        <v>3.3264999999999998</v>
      </c>
      <c r="AD2758">
        <v>-1.1055934594969901</v>
      </c>
      <c r="AE2758">
        <v>-5.6665999999999803</v>
      </c>
      <c r="AF2758">
        <v>-1.4755277598902601</v>
      </c>
      <c r="AG2758">
        <v>-1.1055934594969901</v>
      </c>
      <c r="AH2758">
        <v>6.21724476291475</v>
      </c>
      <c r="AI2758">
        <v>99.816188794943002</v>
      </c>
      <c r="AJ2758">
        <v>103.35090244674799</v>
      </c>
      <c r="AK2758">
        <v>6.4848786811998398</v>
      </c>
      <c r="AL2758">
        <v>68.505378619234094</v>
      </c>
      <c r="AM2758">
        <v>106.074154744018</v>
      </c>
      <c r="AN2758">
        <v>1.00000004770916</v>
      </c>
    </row>
    <row r="2759" spans="1:40" x14ac:dyDescent="0.25">
      <c r="A2759" t="str">
        <f>"20190304164423604"</f>
        <v>20190304164423604</v>
      </c>
      <c r="B2759" t="str">
        <f>"1551689063592673"</f>
        <v>1551689063592673</v>
      </c>
      <c r="C2759" t="s">
        <v>40</v>
      </c>
      <c r="D2759">
        <v>4.9817519999999904</v>
      </c>
      <c r="E2759">
        <v>0.52505930000000001</v>
      </c>
      <c r="F2759" t="s">
        <v>47</v>
      </c>
      <c r="G2759">
        <v>-483.2362</v>
      </c>
      <c r="H2759" s="1">
        <v>3.495262E-6</v>
      </c>
      <c r="I2759">
        <v>224.29900000000001</v>
      </c>
      <c r="J2759">
        <v>-486.4889</v>
      </c>
      <c r="K2759">
        <v>1.106061</v>
      </c>
      <c r="L2759">
        <v>229.88040000000001</v>
      </c>
      <c r="M2759">
        <v>0.28700870000000001</v>
      </c>
      <c r="N2759">
        <v>-1.3807730000000001E-2</v>
      </c>
      <c r="O2759">
        <v>-0.95782860000000003</v>
      </c>
      <c r="P2759">
        <v>0.51267510000000005</v>
      </c>
      <c r="Q2759">
        <v>0.35631230000000003</v>
      </c>
      <c r="R2759">
        <v>-0.78115679999999998</v>
      </c>
      <c r="S2759">
        <v>1.6947019999999999</v>
      </c>
      <c r="T2759">
        <v>-0.5647529</v>
      </c>
      <c r="U2759">
        <v>-2.9724270000000002</v>
      </c>
      <c r="V2759">
        <v>-0.26232499999999997</v>
      </c>
      <c r="W2759">
        <v>0.37189889999999998</v>
      </c>
      <c r="X2759">
        <v>0.89043629999999996</v>
      </c>
      <c r="Y2759">
        <v>-0.21913589999999999</v>
      </c>
      <c r="Z2759">
        <v>0.14867230000000001</v>
      </c>
      <c r="AA2759">
        <v>0.96430079999999996</v>
      </c>
      <c r="AB2759">
        <v>26</v>
      </c>
      <c r="AC2759">
        <v>3.2526999999999999</v>
      </c>
      <c r="AD2759">
        <v>-1.1060575047379999</v>
      </c>
      <c r="AE2759">
        <v>-5.5814000000000004</v>
      </c>
      <c r="AF2759">
        <v>-1.4706511437221701</v>
      </c>
      <c r="AG2759">
        <v>-1.1060575047379999</v>
      </c>
      <c r="AH2759">
        <v>6.1013173382730903</v>
      </c>
      <c r="AI2759">
        <v>99.9948590410295</v>
      </c>
      <c r="AJ2759">
        <v>103.55197007332301</v>
      </c>
      <c r="AK2759">
        <v>6.37277421949267</v>
      </c>
      <c r="AL2759">
        <v>68.167224900513801</v>
      </c>
      <c r="AM2759">
        <v>106.41511942407099</v>
      </c>
      <c r="AN2759">
        <v>1.0000000009019501</v>
      </c>
    </row>
    <row r="2760" spans="1:40" x14ac:dyDescent="0.25">
      <c r="A2760" t="str">
        <f>"20190304164423625"</f>
        <v>20190304164423625</v>
      </c>
      <c r="B2760" t="str">
        <f>"1551689063622931"</f>
        <v>1551689063622931</v>
      </c>
      <c r="C2760" t="s">
        <v>40</v>
      </c>
      <c r="D2760">
        <v>4.959873</v>
      </c>
      <c r="E2760">
        <v>0.52436839999999996</v>
      </c>
      <c r="F2760" t="s">
        <v>47</v>
      </c>
      <c r="G2760">
        <v>-483.01389999999998</v>
      </c>
      <c r="H2760" s="1">
        <v>3.295385E-6</v>
      </c>
      <c r="I2760">
        <v>223.81299999999999</v>
      </c>
      <c r="J2760">
        <v>-486.42419999999998</v>
      </c>
      <c r="K2760">
        <v>1.106703</v>
      </c>
      <c r="L2760">
        <v>229.64019999999999</v>
      </c>
      <c r="M2760">
        <v>0.28136889999999998</v>
      </c>
      <c r="N2760">
        <v>-1.3775010000000001E-2</v>
      </c>
      <c r="O2760">
        <v>-0.95950089999999999</v>
      </c>
      <c r="P2760">
        <v>0.51134690000000005</v>
      </c>
      <c r="Q2760">
        <v>0.36866169999999998</v>
      </c>
      <c r="R2760">
        <v>-0.77628189999999997</v>
      </c>
      <c r="S2760">
        <v>1.701508</v>
      </c>
      <c r="T2760">
        <v>-0.54156669999999996</v>
      </c>
      <c r="U2760">
        <v>-2.9708100000000002</v>
      </c>
      <c r="V2760">
        <v>-0.2680903</v>
      </c>
      <c r="W2760">
        <v>0.38380379999999997</v>
      </c>
      <c r="X2760">
        <v>0.88364140000000002</v>
      </c>
      <c r="Y2760">
        <v>-0.22723560000000001</v>
      </c>
      <c r="Z2760">
        <v>0.14246729999999999</v>
      </c>
      <c r="AA2760">
        <v>0.9633623</v>
      </c>
      <c r="AB2760">
        <v>26</v>
      </c>
      <c r="AC2760">
        <v>3.4102999999999999</v>
      </c>
      <c r="AD2760">
        <v>-1.106699704615</v>
      </c>
      <c r="AE2760">
        <v>-5.8272000000000004</v>
      </c>
      <c r="AF2760">
        <v>-1.5900280472478601</v>
      </c>
      <c r="AG2760">
        <v>-1.106699704615</v>
      </c>
      <c r="AH2760">
        <v>6.3799644867801897</v>
      </c>
      <c r="AI2760">
        <v>99.554265906943201</v>
      </c>
      <c r="AJ2760">
        <v>103.99428635036899</v>
      </c>
      <c r="AK2760">
        <v>6.6676022886646598</v>
      </c>
      <c r="AL2760">
        <v>67.430499924795498</v>
      </c>
      <c r="AM2760">
        <v>106.877411365925</v>
      </c>
      <c r="AN2760">
        <v>0.99999994482124299</v>
      </c>
    </row>
    <row r="2761" spans="1:40" x14ac:dyDescent="0.25">
      <c r="A2761" t="str">
        <f>"20190304164423650"</f>
        <v>20190304164423650</v>
      </c>
      <c r="B2761" t="str">
        <f>"1551689063642450"</f>
        <v>1551689063642450</v>
      </c>
      <c r="C2761" t="s">
        <v>40</v>
      </c>
      <c r="D2761">
        <v>4.938574</v>
      </c>
      <c r="E2761">
        <v>0.52394059999999998</v>
      </c>
      <c r="F2761" t="s">
        <v>47</v>
      </c>
      <c r="G2761">
        <v>-482.58699999999999</v>
      </c>
      <c r="H2761" s="1">
        <v>2.9866680000000001E-6</v>
      </c>
      <c r="I2761">
        <v>223.04990000000001</v>
      </c>
      <c r="J2761">
        <v>-486.35019999999997</v>
      </c>
      <c r="K2761">
        <v>1.1075980000000001</v>
      </c>
      <c r="L2761">
        <v>229.364</v>
      </c>
      <c r="M2761">
        <v>0.27608500000000002</v>
      </c>
      <c r="N2761">
        <v>-1.373161E-2</v>
      </c>
      <c r="O2761">
        <v>-0.96103510000000003</v>
      </c>
      <c r="P2761">
        <v>0.51767770000000002</v>
      </c>
      <c r="Q2761">
        <v>0.37467319999999998</v>
      </c>
      <c r="R2761">
        <v>-0.76917500000000005</v>
      </c>
      <c r="S2761">
        <v>1.7258610000000001</v>
      </c>
      <c r="T2761">
        <v>-0.49775720000000001</v>
      </c>
      <c r="U2761">
        <v>-2.9641109999999999</v>
      </c>
      <c r="V2761">
        <v>-0.28178239999999999</v>
      </c>
      <c r="W2761">
        <v>0.3892312</v>
      </c>
      <c r="X2761">
        <v>0.87698220000000005</v>
      </c>
      <c r="Y2761">
        <v>-0.24032690000000001</v>
      </c>
      <c r="Z2761">
        <v>0.1303327</v>
      </c>
      <c r="AA2761">
        <v>0.96190240000000005</v>
      </c>
      <c r="AB2761">
        <v>26</v>
      </c>
      <c r="AC2761">
        <v>3.7631999999999799</v>
      </c>
      <c r="AD2761">
        <v>-1.1075950133319901</v>
      </c>
      <c r="AE2761">
        <v>-6.3140999999999901</v>
      </c>
      <c r="AF2761">
        <v>-1.8319210253804299</v>
      </c>
      <c r="AG2761">
        <v>-1.1075950133319901</v>
      </c>
      <c r="AH2761">
        <v>6.9499041782186302</v>
      </c>
      <c r="AI2761">
        <v>98.760634484444196</v>
      </c>
      <c r="AJ2761">
        <v>104.766682189477</v>
      </c>
      <c r="AK2761">
        <v>7.2721296360288896</v>
      </c>
      <c r="AL2761">
        <v>67.093329450305902</v>
      </c>
      <c r="AM2761">
        <v>107.812686772359</v>
      </c>
      <c r="AN2761">
        <v>1.00000001356002</v>
      </c>
    </row>
    <row r="2762" spans="1:40" x14ac:dyDescent="0.25">
      <c r="A2762" t="str">
        <f>"20190304164423685"</f>
        <v>20190304164423685</v>
      </c>
      <c r="B2762" t="str">
        <f>"1551689063672238"</f>
        <v>1551689063672238</v>
      </c>
      <c r="C2762" t="s">
        <v>40</v>
      </c>
      <c r="D2762">
        <v>4.9690979999999998</v>
      </c>
      <c r="E2762">
        <v>0.52360929999999895</v>
      </c>
      <c r="F2762" t="s">
        <v>47</v>
      </c>
      <c r="G2762">
        <v>-482.27730000000003</v>
      </c>
      <c r="H2762" s="1">
        <v>2.8021900000000002E-6</v>
      </c>
      <c r="I2762">
        <v>222.4639</v>
      </c>
      <c r="J2762">
        <v>-486.28379999999999</v>
      </c>
      <c r="K2762">
        <v>1.108533</v>
      </c>
      <c r="L2762">
        <v>229.11600000000001</v>
      </c>
      <c r="M2762">
        <v>0.27263690000000002</v>
      </c>
      <c r="N2762">
        <v>-1.369663E-2</v>
      </c>
      <c r="O2762">
        <v>-0.96201970000000003</v>
      </c>
      <c r="P2762">
        <v>0.52625949999999999</v>
      </c>
      <c r="Q2762">
        <v>0.37583860000000002</v>
      </c>
      <c r="R2762">
        <v>-0.76275590000000004</v>
      </c>
      <c r="S2762">
        <v>1.745331</v>
      </c>
      <c r="T2762">
        <v>-0.47463240000000001</v>
      </c>
      <c r="U2762">
        <v>-2.9568479999999999</v>
      </c>
      <c r="V2762">
        <v>-0.295821</v>
      </c>
      <c r="W2762">
        <v>0.3897485</v>
      </c>
      <c r="X2762">
        <v>0.87211589999999894</v>
      </c>
      <c r="Y2762">
        <v>-0.249968</v>
      </c>
      <c r="Z2762">
        <v>0.1239586</v>
      </c>
      <c r="AA2762">
        <v>0.96028659999999999</v>
      </c>
      <c r="AB2762">
        <v>26</v>
      </c>
      <c r="AC2762">
        <v>4.00649999999996</v>
      </c>
      <c r="AD2762">
        <v>-1.10853019781</v>
      </c>
      <c r="AE2762">
        <v>-6.6520999999999901</v>
      </c>
      <c r="AF2762">
        <v>-2.0001560372504299</v>
      </c>
      <c r="AG2762">
        <v>-1.10853019781</v>
      </c>
      <c r="AH2762">
        <v>7.34284054431643</v>
      </c>
      <c r="AI2762">
        <v>98.287433475281205</v>
      </c>
      <c r="AJ2762">
        <v>105.23741908602101</v>
      </c>
      <c r="AK2762">
        <v>7.6906937679290799</v>
      </c>
      <c r="AL2762">
        <v>67.061149971889705</v>
      </c>
      <c r="AM2762">
        <v>108.73689421415899</v>
      </c>
      <c r="AN2762">
        <v>1.00000005016302</v>
      </c>
    </row>
    <row r="2763" spans="1:40" x14ac:dyDescent="0.25">
      <c r="A2763" t="str">
        <f>"20190304164423701"</f>
        <v>20190304164423701</v>
      </c>
      <c r="B2763" t="str">
        <f>"1551689063692733"</f>
        <v>1551689063692733</v>
      </c>
      <c r="C2763" t="s">
        <v>40</v>
      </c>
      <c r="D2763">
        <v>4.940436</v>
      </c>
      <c r="E2763">
        <v>0.52353830000000001</v>
      </c>
      <c r="F2763" t="s">
        <v>47</v>
      </c>
      <c r="G2763">
        <v>-482.12430000000001</v>
      </c>
      <c r="H2763" s="1">
        <v>2.7279429999999999E-6</v>
      </c>
      <c r="I2763">
        <v>222.2509</v>
      </c>
      <c r="J2763">
        <v>-486.19589999999999</v>
      </c>
      <c r="K2763">
        <v>1.1098870000000001</v>
      </c>
      <c r="L2763">
        <v>228.792</v>
      </c>
      <c r="M2763">
        <v>0.27039600000000003</v>
      </c>
      <c r="N2763">
        <v>-1.3667510000000001E-2</v>
      </c>
      <c r="O2763">
        <v>-0.96265239999999996</v>
      </c>
      <c r="P2763">
        <v>0.52987410000000001</v>
      </c>
      <c r="Q2763">
        <v>0.3780326</v>
      </c>
      <c r="R2763">
        <v>-0.75916090000000003</v>
      </c>
      <c r="S2763">
        <v>1.7803960000000001</v>
      </c>
      <c r="T2763">
        <v>-0.4744929</v>
      </c>
      <c r="U2763">
        <v>-2.9385379999999999</v>
      </c>
      <c r="V2763">
        <v>-0.303589</v>
      </c>
      <c r="W2763">
        <v>0.39091900000000002</v>
      </c>
      <c r="X2763">
        <v>0.86891659999999904</v>
      </c>
      <c r="Y2763">
        <v>-0.26321739999999999</v>
      </c>
      <c r="Z2763">
        <v>0.1241763</v>
      </c>
      <c r="AA2763">
        <v>0.95671150000000005</v>
      </c>
      <c r="AB2763">
        <v>26</v>
      </c>
      <c r="AC2763">
        <v>4.0715999999999797</v>
      </c>
      <c r="AD2763">
        <v>-1.1098842720569999</v>
      </c>
      <c r="AE2763">
        <v>-6.5411000000000001</v>
      </c>
      <c r="AF2763">
        <v>-2.1073202986212198</v>
      </c>
      <c r="AG2763">
        <v>-1.1098842720569999</v>
      </c>
      <c r="AH2763">
        <v>7.2480374986112599</v>
      </c>
      <c r="AI2763">
        <v>98.364842243971694</v>
      </c>
      <c r="AJ2763">
        <v>106.21144962534299</v>
      </c>
      <c r="AK2763">
        <v>7.6293308697169202</v>
      </c>
      <c r="AL2763">
        <v>66.988305683840096</v>
      </c>
      <c r="AM2763">
        <v>109.258799995909</v>
      </c>
      <c r="AN2763">
        <v>1.00000000161878</v>
      </c>
    </row>
    <row r="2764" spans="1:40" x14ac:dyDescent="0.25">
      <c r="A2764" t="str">
        <f>"20190304164423717"</f>
        <v>20190304164423717</v>
      </c>
      <c r="B2764" t="str">
        <f>"1551689063712254"</f>
        <v>1551689063712254</v>
      </c>
      <c r="C2764" t="s">
        <v>40</v>
      </c>
      <c r="D2764">
        <v>5.0099819999999999</v>
      </c>
      <c r="E2764">
        <v>0.52211209999999997</v>
      </c>
      <c r="F2764" t="s">
        <v>47</v>
      </c>
      <c r="G2764">
        <v>-481.91899999999998</v>
      </c>
      <c r="H2764" s="1">
        <v>2.6122580000000001E-6</v>
      </c>
      <c r="I2764">
        <v>221.89230000000001</v>
      </c>
      <c r="J2764">
        <v>-486.15030000000002</v>
      </c>
      <c r="K2764">
        <v>1.1105959999999999</v>
      </c>
      <c r="L2764">
        <v>228.6266</v>
      </c>
      <c r="M2764">
        <v>0.27009549999999999</v>
      </c>
      <c r="N2764">
        <v>-1.3660820000000001E-2</v>
      </c>
      <c r="O2764">
        <v>-0.96273690000000001</v>
      </c>
      <c r="P2764">
        <v>0.53665819999999997</v>
      </c>
      <c r="Q2764">
        <v>0.375164</v>
      </c>
      <c r="R2764">
        <v>-0.75581129999999996</v>
      </c>
      <c r="S2764">
        <v>1.811035</v>
      </c>
      <c r="T2764">
        <v>-0.4699855</v>
      </c>
      <c r="U2764">
        <v>-2.9217070000000001</v>
      </c>
      <c r="V2764">
        <v>-0.31197409999999998</v>
      </c>
      <c r="W2764">
        <v>0.38751350000000001</v>
      </c>
      <c r="X2764">
        <v>0.86747070000000004</v>
      </c>
      <c r="Y2764">
        <v>-0.27329639999999999</v>
      </c>
      <c r="Z2764">
        <v>0.1230599</v>
      </c>
      <c r="AA2764">
        <v>0.95402589999999998</v>
      </c>
      <c r="AB2764">
        <v>26</v>
      </c>
      <c r="AC2764">
        <v>4.2312999999999699</v>
      </c>
      <c r="AD2764">
        <v>-1.110593387742</v>
      </c>
      <c r="AE2764">
        <v>-6.7342999999999904</v>
      </c>
      <c r="AF2764">
        <v>-2.2118058270509402</v>
      </c>
      <c r="AG2764">
        <v>-1.110593387742</v>
      </c>
      <c r="AH2764">
        <v>7.48104917026793</v>
      </c>
      <c r="AI2764">
        <v>98.102326141851506</v>
      </c>
      <c r="AJ2764">
        <v>106.47055082625</v>
      </c>
      <c r="AK2764">
        <v>7.8798222935190099</v>
      </c>
      <c r="AL2764">
        <v>67.200129281372796</v>
      </c>
      <c r="AM2764">
        <v>109.78043516092799</v>
      </c>
      <c r="AN2764">
        <v>0.99999998355577402</v>
      </c>
    </row>
    <row r="2765" spans="1:40" x14ac:dyDescent="0.25">
      <c r="A2765" t="str">
        <f>"20190304164423736"</f>
        <v>20190304164423736</v>
      </c>
      <c r="B2765" t="str">
        <f>"1551689063732750"</f>
        <v>1551689063732750</v>
      </c>
      <c r="C2765" t="s">
        <v>40</v>
      </c>
      <c r="D2765">
        <v>4.9763250000000001</v>
      </c>
      <c r="E2765">
        <v>0.52145329999999901</v>
      </c>
      <c r="F2765" t="s">
        <v>47</v>
      </c>
      <c r="G2765">
        <v>-482.2183</v>
      </c>
      <c r="H2765" s="1">
        <v>2.7920780000000002E-6</v>
      </c>
      <c r="I2765">
        <v>222.46559999999999</v>
      </c>
      <c r="J2765">
        <v>-486.08929999999998</v>
      </c>
      <c r="K2765">
        <v>1.111502</v>
      </c>
      <c r="L2765">
        <v>228.40880000000001</v>
      </c>
      <c r="M2765">
        <v>0.27067799999999997</v>
      </c>
      <c r="N2765">
        <v>-1.3660500000000001E-2</v>
      </c>
      <c r="O2765">
        <v>-0.96257300000000001</v>
      </c>
      <c r="P2765">
        <v>0.54528489999999996</v>
      </c>
      <c r="Q2765">
        <v>0.3747298</v>
      </c>
      <c r="R2765">
        <v>-0.74982769999999899</v>
      </c>
      <c r="S2765">
        <v>1.857605</v>
      </c>
      <c r="T2765">
        <v>-0.52467799999999998</v>
      </c>
      <c r="U2765">
        <v>-2.9106450000000001</v>
      </c>
      <c r="V2765">
        <v>-0.32218970000000002</v>
      </c>
      <c r="W2765">
        <v>0.38636819999999999</v>
      </c>
      <c r="X2765">
        <v>0.8642415</v>
      </c>
      <c r="Y2765">
        <v>-0.28410750000000001</v>
      </c>
      <c r="Z2765">
        <v>0.13813059999999999</v>
      </c>
      <c r="AA2765">
        <v>0.94879020000000003</v>
      </c>
      <c r="AB2765">
        <v>26</v>
      </c>
      <c r="AC2765">
        <v>3.87099999999998</v>
      </c>
      <c r="AD2765">
        <v>-1.1114992079220001</v>
      </c>
      <c r="AE2765">
        <v>-5.9432000000000098</v>
      </c>
      <c r="AF2765">
        <v>-2.0668657530391501</v>
      </c>
      <c r="AG2765">
        <v>-1.1114992079220001</v>
      </c>
      <c r="AH2765">
        <v>6.6069357873608396</v>
      </c>
      <c r="AI2765">
        <v>99.121504774418696</v>
      </c>
      <c r="AJ2765">
        <v>107.371390878361</v>
      </c>
      <c r="AK2765">
        <v>7.01134545066828</v>
      </c>
      <c r="AL2765">
        <v>67.271293419952599</v>
      </c>
      <c r="AM2765">
        <v>110.44548243976099</v>
      </c>
      <c r="AN2765">
        <v>0.99999997953978903</v>
      </c>
    </row>
    <row r="2766" spans="1:40" x14ac:dyDescent="0.25">
      <c r="A2766" t="str">
        <f>"20190304164423762"</f>
        <v>20190304164423762</v>
      </c>
      <c r="B2766" t="str">
        <f>"1551689063752271"</f>
        <v>1551689063752271</v>
      </c>
      <c r="C2766" t="s">
        <v>40</v>
      </c>
      <c r="D2766">
        <v>4.9902759999999997</v>
      </c>
      <c r="E2766">
        <v>0.52393590000000001</v>
      </c>
      <c r="F2766" t="s">
        <v>47</v>
      </c>
      <c r="G2766">
        <v>-481.71409999999997</v>
      </c>
      <c r="H2766" s="1">
        <v>2.5229469999999998E-6</v>
      </c>
      <c r="I2766">
        <v>221.65280000000001</v>
      </c>
      <c r="J2766">
        <v>-486.01100000000002</v>
      </c>
      <c r="K2766">
        <v>1.11254599999999</v>
      </c>
      <c r="L2766">
        <v>228.1361</v>
      </c>
      <c r="M2766">
        <v>0.2729124</v>
      </c>
      <c r="N2766">
        <v>-1.3659040000000001E-2</v>
      </c>
      <c r="O2766">
        <v>-0.96194199999999996</v>
      </c>
      <c r="P2766">
        <v>0.55322830000000001</v>
      </c>
      <c r="Q2766">
        <v>0.37814520000000001</v>
      </c>
      <c r="R2766">
        <v>-0.74225659999999904</v>
      </c>
      <c r="S2766">
        <v>1.865753</v>
      </c>
      <c r="T2766">
        <v>-0.47398970000000001</v>
      </c>
      <c r="U2766">
        <v>-2.881027</v>
      </c>
      <c r="V2766">
        <v>-0.33082929999999999</v>
      </c>
      <c r="W2766">
        <v>0.38891179999999997</v>
      </c>
      <c r="X2766">
        <v>0.85982530000000001</v>
      </c>
      <c r="Y2766">
        <v>-0.28919990000000001</v>
      </c>
      <c r="Z2766">
        <v>0.124709</v>
      </c>
      <c r="AA2766">
        <v>0.94911069999999997</v>
      </c>
      <c r="AB2766">
        <v>26</v>
      </c>
      <c r="AC2766">
        <v>4.2968999999999902</v>
      </c>
      <c r="AD2766">
        <v>-1.1125434770529901</v>
      </c>
      <c r="AE2766">
        <v>-6.4832999999999803</v>
      </c>
      <c r="AF2766">
        <v>-2.3168141953261698</v>
      </c>
      <c r="AG2766">
        <v>-1.1125434770529901</v>
      </c>
      <c r="AH2766">
        <v>7.2613598328045299</v>
      </c>
      <c r="AI2766">
        <v>98.304512386397207</v>
      </c>
      <c r="AJ2766">
        <v>107.695836900773</v>
      </c>
      <c r="AK2766">
        <v>7.7027740214461096</v>
      </c>
      <c r="AL2766">
        <v>67.113194168900606</v>
      </c>
      <c r="AM2766">
        <v>111.044898109082</v>
      </c>
      <c r="AN2766">
        <v>0.99999998021890901</v>
      </c>
    </row>
    <row r="2767" spans="1:40" x14ac:dyDescent="0.25">
      <c r="A2767" t="str">
        <f>"20190304164423784"</f>
        <v>20190304164423784</v>
      </c>
      <c r="B2767" t="str">
        <f>"1551689063772300"</f>
        <v>1551689063772300</v>
      </c>
      <c r="C2767" t="s">
        <v>40</v>
      </c>
      <c r="D2767">
        <v>4.9738600000000002</v>
      </c>
      <c r="E2767">
        <v>0.52405950000000001</v>
      </c>
      <c r="F2767" t="s">
        <v>47</v>
      </c>
      <c r="G2767">
        <v>-482.0068</v>
      </c>
      <c r="H2767" s="1">
        <v>2.6433679999999999E-6</v>
      </c>
      <c r="I2767">
        <v>221.96260000000001</v>
      </c>
      <c r="J2767">
        <v>-485.9402</v>
      </c>
      <c r="K2767">
        <v>1.113405</v>
      </c>
      <c r="L2767">
        <v>227.89590000000001</v>
      </c>
      <c r="M2767">
        <v>0.27609099999999998</v>
      </c>
      <c r="N2767">
        <v>-1.366269E-2</v>
      </c>
      <c r="O2767">
        <v>-0.96103439999999996</v>
      </c>
      <c r="P2767">
        <v>0.55984979999999995</v>
      </c>
      <c r="Q2767">
        <v>0.38161899999999999</v>
      </c>
      <c r="R2767">
        <v>-0.73548290000000005</v>
      </c>
      <c r="S2767">
        <v>1.8837889999999999</v>
      </c>
      <c r="T2767">
        <v>-0.52339919999999995</v>
      </c>
      <c r="U2767">
        <v>-2.9043429999999999</v>
      </c>
      <c r="V2767">
        <v>-0.33700029999999997</v>
      </c>
      <c r="W2767">
        <v>0.39164650000000001</v>
      </c>
      <c r="X2767">
        <v>0.85617980000000005</v>
      </c>
      <c r="Y2767">
        <v>-0.28575289999999998</v>
      </c>
      <c r="Z2767">
        <v>0.13735269999999999</v>
      </c>
      <c r="AA2767">
        <v>0.94840899999999995</v>
      </c>
      <c r="AB2767">
        <v>26</v>
      </c>
      <c r="AC2767">
        <v>3.9333999999999998</v>
      </c>
      <c r="AD2767">
        <v>-1.1134023566319999</v>
      </c>
      <c r="AE2767">
        <v>-5.9333</v>
      </c>
      <c r="AF2767">
        <v>-2.0910491612059299</v>
      </c>
      <c r="AG2767">
        <v>-1.1134023566319999</v>
      </c>
      <c r="AH2767">
        <v>6.6266104234842604</v>
      </c>
      <c r="AI2767">
        <v>99.103221362731603</v>
      </c>
      <c r="AJ2767">
        <v>107.51326578791399</v>
      </c>
      <c r="AK2767">
        <v>7.0373373591838</v>
      </c>
      <c r="AL2767">
        <v>66.943012103543197</v>
      </c>
      <c r="AM2767">
        <v>111.485058427138</v>
      </c>
      <c r="AN2767">
        <v>1.0000000165451799</v>
      </c>
    </row>
    <row r="2768" spans="1:40" x14ac:dyDescent="0.25">
      <c r="A2768" t="str">
        <f>"20190304164423805"</f>
        <v>20190304164423805</v>
      </c>
      <c r="B2768" t="str">
        <f>"1551689063792793"</f>
        <v>1551689063792793</v>
      </c>
      <c r="C2768" t="s">
        <v>40</v>
      </c>
      <c r="D2768">
        <v>5.0075339999999997</v>
      </c>
      <c r="E2768">
        <v>0.52406920000000001</v>
      </c>
      <c r="F2768" t="s">
        <v>47</v>
      </c>
      <c r="G2768">
        <v>-481.79790000000003</v>
      </c>
      <c r="H2768" s="1">
        <v>2.53548E-6</v>
      </c>
      <c r="I2768">
        <v>221.64230000000001</v>
      </c>
      <c r="J2768">
        <v>-485.87020000000001</v>
      </c>
      <c r="K2768">
        <v>1.114169</v>
      </c>
      <c r="L2768">
        <v>227.6653</v>
      </c>
      <c r="M2768">
        <v>0.28017799999999998</v>
      </c>
      <c r="N2768">
        <v>-1.3677959999999999E-2</v>
      </c>
      <c r="O2768">
        <v>-0.95985069999999995</v>
      </c>
      <c r="P2768">
        <v>0.56892929999999997</v>
      </c>
      <c r="Q2768">
        <v>0.38218649999999998</v>
      </c>
      <c r="R2768">
        <v>-0.72818470000000002</v>
      </c>
      <c r="S2768">
        <v>1.913727</v>
      </c>
      <c r="T2768">
        <v>-0.51438499999999998</v>
      </c>
      <c r="U2768">
        <v>-2.8891140000000002</v>
      </c>
      <c r="V2768">
        <v>-0.34483019999999998</v>
      </c>
      <c r="W2768">
        <v>0.39150220000000002</v>
      </c>
      <c r="X2768">
        <v>0.85312259999999995</v>
      </c>
      <c r="Y2768">
        <v>-0.29102169999999999</v>
      </c>
      <c r="Z2768">
        <v>0.13472120000000001</v>
      </c>
      <c r="AA2768">
        <v>0.94718349999999996</v>
      </c>
      <c r="AB2768">
        <v>25</v>
      </c>
      <c r="AC2768">
        <v>4.0722999999999798</v>
      </c>
      <c r="AD2768">
        <v>-1.11416646452</v>
      </c>
      <c r="AE2768">
        <v>-6.0229999999999899</v>
      </c>
      <c r="AF2768">
        <v>-2.1705230229139101</v>
      </c>
      <c r="AG2768">
        <v>-1.11416646452</v>
      </c>
      <c r="AH2768">
        <v>6.7639521528832498</v>
      </c>
      <c r="AI2768">
        <v>98.913858559286297</v>
      </c>
      <c r="AJ2768">
        <v>107.791211275626</v>
      </c>
      <c r="AK2768">
        <v>7.1905205534894598</v>
      </c>
      <c r="AL2768">
        <v>66.9519971106985</v>
      </c>
      <c r="AM2768">
        <v>112.008445954526</v>
      </c>
      <c r="AN2768">
        <v>1.00000000503382</v>
      </c>
    </row>
    <row r="2769" spans="1:40" x14ac:dyDescent="0.25">
      <c r="A2769" t="str">
        <f>"20190304164423827"</f>
        <v>20190304164423827</v>
      </c>
      <c r="B2769" t="str">
        <f>"1551689063823049"</f>
        <v>1551689063823049</v>
      </c>
      <c r="C2769" t="s">
        <v>40</v>
      </c>
      <c r="D2769">
        <v>4.994523</v>
      </c>
      <c r="E2769">
        <v>0.52406699999999995</v>
      </c>
      <c r="F2769" t="s">
        <v>47</v>
      </c>
      <c r="G2769">
        <v>-481.67180000000002</v>
      </c>
      <c r="H2769" s="1">
        <v>2.4773809999999999E-6</v>
      </c>
      <c r="I2769">
        <v>221.48070000000001</v>
      </c>
      <c r="J2769">
        <v>-485.79360000000003</v>
      </c>
      <c r="K2769">
        <v>1.1149359999999999</v>
      </c>
      <c r="L2769">
        <v>227.42099999999999</v>
      </c>
      <c r="M2769">
        <v>0.28555799999999998</v>
      </c>
      <c r="N2769">
        <v>-1.370949E-2</v>
      </c>
      <c r="O2769">
        <v>-0.95826330000000004</v>
      </c>
      <c r="P2769">
        <v>0.57968560000000002</v>
      </c>
      <c r="Q2769">
        <v>0.3758493</v>
      </c>
      <c r="R2769">
        <v>-0.72298119999999999</v>
      </c>
      <c r="S2769">
        <v>1.947784</v>
      </c>
      <c r="T2769">
        <v>-0.51690100000000005</v>
      </c>
      <c r="U2769">
        <v>-2.8692630000000001</v>
      </c>
      <c r="V2769">
        <v>-0.3525218</v>
      </c>
      <c r="W2769">
        <v>0.38444709999999899</v>
      </c>
      <c r="X2769">
        <v>0.85318739999999904</v>
      </c>
      <c r="Y2769">
        <v>-0.29634729999999998</v>
      </c>
      <c r="Z2769">
        <v>0.13534649999999901</v>
      </c>
      <c r="AA2769">
        <v>0.94544150000000005</v>
      </c>
      <c r="AB2769">
        <v>25</v>
      </c>
      <c r="AC2769">
        <v>4.1218000000000004</v>
      </c>
      <c r="AD2769">
        <v>-1.114933522619</v>
      </c>
      <c r="AE2769">
        <v>-5.9402999999999704</v>
      </c>
      <c r="AF2769">
        <v>-2.20133601319719</v>
      </c>
      <c r="AG2769">
        <v>-1.114933522619</v>
      </c>
      <c r="AH2769">
        <v>6.7104629041121502</v>
      </c>
      <c r="AI2769">
        <v>98.971298996862402</v>
      </c>
      <c r="AJ2769">
        <v>108.16183533927</v>
      </c>
      <c r="AK2769">
        <v>7.1497740796702001</v>
      </c>
      <c r="AL2769">
        <v>67.390579338444994</v>
      </c>
      <c r="AM2769">
        <v>112.449540137486</v>
      </c>
      <c r="AN2769">
        <v>0.99999996584620399</v>
      </c>
    </row>
    <row r="2770" spans="1:40" x14ac:dyDescent="0.25">
      <c r="A2770" t="str">
        <f>"20190304164423850"</f>
        <v>20190304164423850</v>
      </c>
      <c r="B2770" t="str">
        <f>"1551689063842570"</f>
        <v>1551689063842570</v>
      </c>
      <c r="C2770" t="s">
        <v>40</v>
      </c>
      <c r="D2770">
        <v>4.9915880000000001</v>
      </c>
      <c r="E2770">
        <v>0.52430339999999998</v>
      </c>
      <c r="F2770" t="s">
        <v>47</v>
      </c>
      <c r="G2770">
        <v>-481.94499999999999</v>
      </c>
      <c r="H2770" s="1">
        <v>2.6134569999999999E-6</v>
      </c>
      <c r="I2770">
        <v>221.87690000000001</v>
      </c>
      <c r="J2770">
        <v>-485.71429999999998</v>
      </c>
      <c r="K2770">
        <v>1.1156919999999999</v>
      </c>
      <c r="L2770">
        <v>227.17679999999999</v>
      </c>
      <c r="M2770">
        <v>0.29195260000000001</v>
      </c>
      <c r="N2770">
        <v>-1.375652E-2</v>
      </c>
      <c r="O2770">
        <v>-0.95633409999999996</v>
      </c>
      <c r="P2770">
        <v>0.58935850000000001</v>
      </c>
      <c r="Q2770">
        <v>0.36706850000000002</v>
      </c>
      <c r="R2770">
        <v>-0.71966490000000005</v>
      </c>
      <c r="S2770">
        <v>1.983795</v>
      </c>
      <c r="T2770">
        <v>-0.57469459999999895</v>
      </c>
      <c r="U2770">
        <v>-2.8576809999999999</v>
      </c>
      <c r="V2770">
        <v>-0.3576472</v>
      </c>
      <c r="W2770">
        <v>0.37500319999999998</v>
      </c>
      <c r="X2770">
        <v>0.85525499999999899</v>
      </c>
      <c r="Y2770">
        <v>-0.2984733</v>
      </c>
      <c r="Z2770">
        <v>0.1509115</v>
      </c>
      <c r="AA2770">
        <v>0.94241149999999996</v>
      </c>
      <c r="AB2770">
        <v>25</v>
      </c>
      <c r="AC2770">
        <v>3.7692999999999799</v>
      </c>
      <c r="AD2770">
        <v>-1.115689386543</v>
      </c>
      <c r="AE2770">
        <v>-5.2998999999999796</v>
      </c>
      <c r="AF2770">
        <v>-1.9987623576739499</v>
      </c>
      <c r="AG2770">
        <v>-1.115689386543</v>
      </c>
      <c r="AH2770">
        <v>5.9931398060185197</v>
      </c>
      <c r="AI2770">
        <v>100.015094465614</v>
      </c>
      <c r="AJ2770">
        <v>108.443974925338</v>
      </c>
      <c r="AK2770">
        <v>6.4154141334899597</v>
      </c>
      <c r="AL2770">
        <v>67.9754897854951</v>
      </c>
      <c r="AM2770">
        <v>112.693516059909</v>
      </c>
      <c r="AN2770">
        <v>1.00000001735153</v>
      </c>
    </row>
    <row r="2771" spans="1:40" x14ac:dyDescent="0.25">
      <c r="A2771" t="str">
        <f>"20190304164423874"</f>
        <v>20190304164423874</v>
      </c>
      <c r="B2771" t="str">
        <f>"1551689063863065"</f>
        <v>1551689063863065</v>
      </c>
      <c r="C2771" t="s">
        <v>40</v>
      </c>
      <c r="D2771">
        <v>4.973236</v>
      </c>
      <c r="E2771">
        <v>0.52440920000000002</v>
      </c>
      <c r="F2771" t="s">
        <v>47</v>
      </c>
      <c r="G2771">
        <v>-482.01740000000001</v>
      </c>
      <c r="H2771" s="1">
        <v>2.6520280000000001E-6</v>
      </c>
      <c r="I2771">
        <v>221.9933</v>
      </c>
      <c r="J2771">
        <v>-485.63099999999997</v>
      </c>
      <c r="K2771">
        <v>1.1164639999999999</v>
      </c>
      <c r="L2771">
        <v>226.93029999999999</v>
      </c>
      <c r="M2771">
        <v>0.29941060000000003</v>
      </c>
      <c r="N2771">
        <v>-1.3815900000000001E-2</v>
      </c>
      <c r="O2771">
        <v>-0.95402430000000005</v>
      </c>
      <c r="P2771">
        <v>0.59609659999999998</v>
      </c>
      <c r="Q2771">
        <v>0.36587700000000001</v>
      </c>
      <c r="R2771">
        <v>-0.71470449999999996</v>
      </c>
      <c r="S2771">
        <v>2.0166019999999998</v>
      </c>
      <c r="T2771">
        <v>-0.60858760000000001</v>
      </c>
      <c r="U2771">
        <v>-2.827515</v>
      </c>
      <c r="V2771">
        <v>-0.359514099999999</v>
      </c>
      <c r="W2771">
        <v>0.3731835</v>
      </c>
      <c r="X2771">
        <v>0.85526819999999903</v>
      </c>
      <c r="Y2771">
        <v>-0.30207139999999999</v>
      </c>
      <c r="Z2771">
        <v>0.16048979999999999</v>
      </c>
      <c r="AA2771">
        <v>0.93967860000000003</v>
      </c>
      <c r="AB2771">
        <v>25</v>
      </c>
      <c r="AC2771">
        <v>3.61359999999996</v>
      </c>
      <c r="AD2771">
        <v>-1.11646134797199</v>
      </c>
      <c r="AE2771">
        <v>-4.9369999999999798</v>
      </c>
      <c r="AF2771">
        <v>-1.90599071657151</v>
      </c>
      <c r="AG2771">
        <v>-1.11646134797199</v>
      </c>
      <c r="AH2771">
        <v>5.6058467371324001</v>
      </c>
      <c r="AI2771">
        <v>100.67828083771801</v>
      </c>
      <c r="AJ2771">
        <v>108.77805911272699</v>
      </c>
      <c r="AK2771">
        <v>6.0253468110466599</v>
      </c>
      <c r="AL2771">
        <v>68.087913614877095</v>
      </c>
      <c r="AM2771">
        <v>112.799570365108</v>
      </c>
      <c r="AN2771">
        <v>1.00000000335114</v>
      </c>
    </row>
    <row r="2772" spans="1:40" x14ac:dyDescent="0.25">
      <c r="A2772" t="str">
        <f>"20190304164423896"</f>
        <v>20190304164423896</v>
      </c>
      <c r="B2772" t="str">
        <f>"1551689063892852"</f>
        <v>1551689063892852</v>
      </c>
      <c r="C2772" t="s">
        <v>40</v>
      </c>
      <c r="D2772">
        <v>5.0937720000000004</v>
      </c>
      <c r="E2772">
        <v>0.52845339999999996</v>
      </c>
      <c r="F2772" t="s">
        <v>47</v>
      </c>
      <c r="G2772">
        <v>-481.88290000000001</v>
      </c>
      <c r="H2772" s="1">
        <v>2.586581E-6</v>
      </c>
      <c r="I2772">
        <v>221.80520000000001</v>
      </c>
      <c r="J2772">
        <v>-485.54680000000002</v>
      </c>
      <c r="K2772">
        <v>1.117162</v>
      </c>
      <c r="L2772">
        <v>226.69149999999999</v>
      </c>
      <c r="M2772">
        <v>0.30768259999999997</v>
      </c>
      <c r="N2772">
        <v>-1.388606E-2</v>
      </c>
      <c r="O2772">
        <v>-0.95138780000000001</v>
      </c>
      <c r="P2772">
        <v>0.60210129999999995</v>
      </c>
      <c r="Q2772">
        <v>0.36899769999999998</v>
      </c>
      <c r="R2772">
        <v>-0.70803579999999999</v>
      </c>
      <c r="S2772">
        <v>2.0486759999999999</v>
      </c>
      <c r="T2772">
        <v>-0.61024799999999901</v>
      </c>
      <c r="U2772">
        <v>-2.8013309999999998</v>
      </c>
      <c r="V2772">
        <v>-0.36045969999999999</v>
      </c>
      <c r="W2772">
        <v>0.37574180000000001</v>
      </c>
      <c r="X2772">
        <v>0.85374869999999903</v>
      </c>
      <c r="Y2772">
        <v>-0.3049365</v>
      </c>
      <c r="Z2772">
        <v>0.1609217</v>
      </c>
      <c r="AA2772">
        <v>0.93867889999999998</v>
      </c>
      <c r="AB2772">
        <v>25</v>
      </c>
      <c r="AC2772">
        <v>3.6639000000000101</v>
      </c>
      <c r="AD2772">
        <v>-1.1171594134189999</v>
      </c>
      <c r="AE2772">
        <v>-4.8862999999999701</v>
      </c>
      <c r="AF2772">
        <v>-1.91836364157641</v>
      </c>
      <c r="AG2772">
        <v>-1.1171594134189999</v>
      </c>
      <c r="AH2772">
        <v>5.58961487652887</v>
      </c>
      <c r="AI2772">
        <v>100.704869991229</v>
      </c>
      <c r="AJ2772">
        <v>108.942292201182</v>
      </c>
      <c r="AK2772">
        <v>6.0143128189532904</v>
      </c>
      <c r="AL2772">
        <v>67.929831261100304</v>
      </c>
      <c r="AM2772">
        <v>112.88986968758201</v>
      </c>
      <c r="AN2772">
        <v>0.99999996917150902</v>
      </c>
    </row>
    <row r="2773" spans="1:40" x14ac:dyDescent="0.25">
      <c r="A2773" t="str">
        <f>"20190304164423916"</f>
        <v>20190304164423916</v>
      </c>
      <c r="B2773" t="str">
        <f>"1551689063912373"</f>
        <v>1551689063912373</v>
      </c>
      <c r="C2773" t="s">
        <v>40</v>
      </c>
      <c r="D2773">
        <v>5.048495</v>
      </c>
      <c r="E2773">
        <v>0.52784449999999905</v>
      </c>
      <c r="F2773" t="s">
        <v>47</v>
      </c>
      <c r="G2773">
        <v>-481.63049999999998</v>
      </c>
      <c r="H2773" s="1">
        <v>2.4380000000000002E-6</v>
      </c>
      <c r="I2773">
        <v>221.3357</v>
      </c>
      <c r="J2773">
        <v>-485.47120000000001</v>
      </c>
      <c r="K2773">
        <v>1.1177079999999999</v>
      </c>
      <c r="L2773">
        <v>226.48500000000001</v>
      </c>
      <c r="M2773">
        <v>0.31555689999999997</v>
      </c>
      <c r="N2773">
        <v>-1.395596E-2</v>
      </c>
      <c r="O2773">
        <v>-0.94880430000000004</v>
      </c>
      <c r="P2773">
        <v>0.60306530000000003</v>
      </c>
      <c r="Q2773">
        <v>0.37322850000000002</v>
      </c>
      <c r="R2773">
        <v>-0.7049919</v>
      </c>
      <c r="S2773">
        <v>2.0476070000000002</v>
      </c>
      <c r="T2773">
        <v>-0.58410119999999999</v>
      </c>
      <c r="U2773">
        <v>-2.8002470000000002</v>
      </c>
      <c r="V2773">
        <v>-0.355774599999999</v>
      </c>
      <c r="W2773">
        <v>0.37963599999999997</v>
      </c>
      <c r="X2773">
        <v>0.85399119999999995</v>
      </c>
      <c r="Y2773">
        <v>-0.29773709999999998</v>
      </c>
      <c r="Z2773">
        <v>0.15329599999999999</v>
      </c>
      <c r="AA2773">
        <v>0.94225950000000003</v>
      </c>
      <c r="AB2773">
        <v>25</v>
      </c>
      <c r="AC2773">
        <v>3.84070000000002</v>
      </c>
      <c r="AD2773">
        <v>-1.11770556199999</v>
      </c>
      <c r="AE2773">
        <v>-5.14930000000001</v>
      </c>
      <c r="AF2773">
        <v>-1.96003495469054</v>
      </c>
      <c r="AG2773">
        <v>-1.11770556199999</v>
      </c>
      <c r="AH2773">
        <v>5.9190408190522197</v>
      </c>
      <c r="AI2773">
        <v>100.162874263405</v>
      </c>
      <c r="AJ2773">
        <v>108.32180558704199</v>
      </c>
      <c r="AK2773">
        <v>6.3345123699098496</v>
      </c>
      <c r="AL2773">
        <v>67.688862844714095</v>
      </c>
      <c r="AM2773">
        <v>112.616716882579</v>
      </c>
      <c r="AN2773">
        <v>1.0000000140892999</v>
      </c>
    </row>
    <row r="2774" spans="1:40" x14ac:dyDescent="0.25">
      <c r="A2774" t="str">
        <f>"20190304164423939"</f>
        <v>20190304164423939</v>
      </c>
      <c r="B2774" t="str">
        <f>"1551689063932870"</f>
        <v>1551689063932870</v>
      </c>
      <c r="C2774" t="s">
        <v>40</v>
      </c>
      <c r="D2774">
        <v>5.1993600000000004</v>
      </c>
      <c r="E2774">
        <v>0.52818799999999999</v>
      </c>
      <c r="F2774" t="s">
        <v>47</v>
      </c>
      <c r="G2774">
        <v>-481.3999</v>
      </c>
      <c r="H2774" s="1">
        <v>2.3216750000000001E-6</v>
      </c>
      <c r="I2774">
        <v>220.99449999999999</v>
      </c>
      <c r="J2774">
        <v>-485.37799999999999</v>
      </c>
      <c r="K2774">
        <v>1.118282</v>
      </c>
      <c r="L2774">
        <v>226.24080000000001</v>
      </c>
      <c r="M2774">
        <v>0.32569090000000001</v>
      </c>
      <c r="N2774">
        <v>-1.404715E-2</v>
      </c>
      <c r="O2774">
        <v>-0.94537199999999999</v>
      </c>
      <c r="P2774">
        <v>0.60364399999999996</v>
      </c>
      <c r="Q2774">
        <v>0.37692779999999998</v>
      </c>
      <c r="R2774">
        <v>-0.70252360000000003</v>
      </c>
      <c r="S2774">
        <v>2.0670470000000001</v>
      </c>
      <c r="T2774">
        <v>-0.56747579999999997</v>
      </c>
      <c r="U2774">
        <v>-2.787582</v>
      </c>
      <c r="V2774">
        <v>-0.34849940000000001</v>
      </c>
      <c r="W2774">
        <v>0.38307859999999999</v>
      </c>
      <c r="X2774">
        <v>0.85545249999999995</v>
      </c>
      <c r="Y2774">
        <v>-0.2943035</v>
      </c>
      <c r="Z2774">
        <v>0.14821010000000001</v>
      </c>
      <c r="AA2774">
        <v>0.94415000000000004</v>
      </c>
      <c r="AB2774">
        <v>25</v>
      </c>
      <c r="AC2774">
        <v>3.9781000000000399</v>
      </c>
      <c r="AD2774">
        <v>-1.118279678325</v>
      </c>
      <c r="AE2774">
        <v>-5.2463000000000104</v>
      </c>
      <c r="AF2774">
        <v>-1.99476860774938</v>
      </c>
      <c r="AG2774">
        <v>-1.118279678325</v>
      </c>
      <c r="AH2774">
        <v>6.0805389505917304</v>
      </c>
      <c r="AI2774">
        <v>99.9122435809347</v>
      </c>
      <c r="AJ2774">
        <v>108.16248363913201</v>
      </c>
      <c r="AK2774">
        <v>6.4963532206215699</v>
      </c>
      <c r="AL2774">
        <v>67.475491213365501</v>
      </c>
      <c r="AM2774">
        <v>112.16529546264501</v>
      </c>
      <c r="AN2774">
        <v>1.0000000126672799</v>
      </c>
    </row>
    <row r="2775" spans="1:40" x14ac:dyDescent="0.25">
      <c r="A2775" t="str">
        <f>"20190304164423963"</f>
        <v>20190304164423963</v>
      </c>
      <c r="B2775" t="str">
        <f>"1551689063952388"</f>
        <v>1551689063952388</v>
      </c>
      <c r="C2775" t="s">
        <v>40</v>
      </c>
      <c r="D2775">
        <v>5.1087389999999999</v>
      </c>
      <c r="E2775">
        <v>0.52765329999999999</v>
      </c>
      <c r="F2775" t="s">
        <v>47</v>
      </c>
      <c r="G2775">
        <v>-481.19420000000002</v>
      </c>
      <c r="H2775" s="1">
        <v>2.2163400000000001E-6</v>
      </c>
      <c r="I2775">
        <v>220.6831</v>
      </c>
      <c r="J2775">
        <v>-485.28379999999999</v>
      </c>
      <c r="K2775">
        <v>1.11877</v>
      </c>
      <c r="L2775">
        <v>226.00389999999999</v>
      </c>
      <c r="M2775">
        <v>0.33625919999999998</v>
      </c>
      <c r="N2775">
        <v>-1.413447E-2</v>
      </c>
      <c r="O2775">
        <v>-0.94166329999999998</v>
      </c>
      <c r="P2775">
        <v>0.60783180000000003</v>
      </c>
      <c r="Q2775">
        <v>0.38035950000000002</v>
      </c>
      <c r="R2775">
        <v>-0.69704149999999998</v>
      </c>
      <c r="S2775">
        <v>2.088959</v>
      </c>
      <c r="T2775">
        <v>-0.5583591</v>
      </c>
      <c r="U2775">
        <v>-2.7749480000000002</v>
      </c>
      <c r="V2775">
        <v>-0.34513529999999998</v>
      </c>
      <c r="W2775">
        <v>0.38624720000000001</v>
      </c>
      <c r="X2775">
        <v>0.85539159999999903</v>
      </c>
      <c r="Y2775">
        <v>-0.29072209999999898</v>
      </c>
      <c r="Z2775">
        <v>0.1451074</v>
      </c>
      <c r="AA2775">
        <v>0.94574020000000003</v>
      </c>
      <c r="AB2775">
        <v>25</v>
      </c>
      <c r="AC2775">
        <v>4.0895999999999599</v>
      </c>
      <c r="AD2775">
        <v>-1.1187677836600001</v>
      </c>
      <c r="AE2775">
        <v>-5.3207999999999904</v>
      </c>
      <c r="AF2775">
        <v>-2.00630489231501</v>
      </c>
      <c r="AG2775">
        <v>-1.1187677836600001</v>
      </c>
      <c r="AH2775">
        <v>6.2135190672366001</v>
      </c>
      <c r="AI2775">
        <v>99.722820804478204</v>
      </c>
      <c r="AJ2775">
        <v>107.894930682395</v>
      </c>
      <c r="AK2775">
        <v>6.6245543150913502</v>
      </c>
      <c r="AL2775">
        <v>67.278810958981097</v>
      </c>
      <c r="AM2775">
        <v>111.973199581928</v>
      </c>
      <c r="AN2775">
        <v>1.00000003208224</v>
      </c>
    </row>
    <row r="2776" spans="1:40" x14ac:dyDescent="0.25">
      <c r="A2776" t="str">
        <f>"20190304164423984"</f>
        <v>20190304164423984</v>
      </c>
      <c r="B2776" t="str">
        <f>"1551689063972416"</f>
        <v>1551689063972416</v>
      </c>
      <c r="C2776" t="s">
        <v>40</v>
      </c>
      <c r="D2776">
        <v>5.1854829999999996</v>
      </c>
      <c r="E2776">
        <v>0.52748629999999996</v>
      </c>
      <c r="F2776" t="s">
        <v>47</v>
      </c>
      <c r="G2776">
        <v>-480.96629999999999</v>
      </c>
      <c r="H2776" s="1">
        <v>2.1121099999999999E-6</v>
      </c>
      <c r="I2776">
        <v>220.3946</v>
      </c>
      <c r="J2776">
        <v>-485.19409999999999</v>
      </c>
      <c r="K2776">
        <v>1.1191739999999999</v>
      </c>
      <c r="L2776">
        <v>225.78710000000001</v>
      </c>
      <c r="M2776">
        <v>0.34656290000000001</v>
      </c>
      <c r="N2776">
        <v>-1.4216599999999999E-2</v>
      </c>
      <c r="O2776">
        <v>-0.9379189</v>
      </c>
      <c r="P2776">
        <v>0.61660550000000003</v>
      </c>
      <c r="Q2776">
        <v>0.3796679</v>
      </c>
      <c r="R2776">
        <v>-0.6896738</v>
      </c>
      <c r="S2776">
        <v>2.1203310000000002</v>
      </c>
      <c r="T2776">
        <v>-0.54942440000000003</v>
      </c>
      <c r="U2776">
        <v>-2.7547299999999999</v>
      </c>
      <c r="V2776">
        <v>-0.346827</v>
      </c>
      <c r="W2776">
        <v>0.38525860000000001</v>
      </c>
      <c r="X2776">
        <v>0.855153099999999</v>
      </c>
      <c r="Y2776">
        <v>-0.29063549999999999</v>
      </c>
      <c r="Z2776">
        <v>0.14217179999999999</v>
      </c>
      <c r="AA2776">
        <v>0.94621250000000001</v>
      </c>
      <c r="AB2776">
        <v>25</v>
      </c>
      <c r="AC2776">
        <v>4.2278000000000002</v>
      </c>
      <c r="AD2776">
        <v>-1.1191718878900001</v>
      </c>
      <c r="AE2776">
        <v>-5.3925000000000098</v>
      </c>
      <c r="AF2776">
        <v>-2.0422259624088999</v>
      </c>
      <c r="AG2776">
        <v>-1.1191718878900001</v>
      </c>
      <c r="AH2776">
        <v>6.3540822127535899</v>
      </c>
      <c r="AI2776">
        <v>99.519143711600293</v>
      </c>
      <c r="AJ2776">
        <v>107.81760082639499</v>
      </c>
      <c r="AK2776">
        <v>6.7673919173202703</v>
      </c>
      <c r="AL2776">
        <v>67.340204372741198</v>
      </c>
      <c r="AM2776">
        <v>112.07614564155701</v>
      </c>
      <c r="AN2776">
        <v>0.99999999062128397</v>
      </c>
    </row>
    <row r="2777" spans="1:40" x14ac:dyDescent="0.25">
      <c r="A2777" t="str">
        <f>"20190304164424005"</f>
        <v>20190304164424005</v>
      </c>
      <c r="B2777" t="str">
        <f>"1551689064002672"</f>
        <v>1551689064002672</v>
      </c>
      <c r="C2777" t="s">
        <v>40</v>
      </c>
      <c r="D2777">
        <v>5.1713709999999997</v>
      </c>
      <c r="E2777">
        <v>0.52715610000000002</v>
      </c>
      <c r="F2777" t="s">
        <v>47</v>
      </c>
      <c r="G2777">
        <v>-480.863</v>
      </c>
      <c r="H2777" s="1">
        <v>2.0687970000000001E-6</v>
      </c>
      <c r="I2777">
        <v>220.28149999999999</v>
      </c>
      <c r="J2777">
        <v>-485.10019999999997</v>
      </c>
      <c r="K2777">
        <v>1.1195850000000001</v>
      </c>
      <c r="L2777">
        <v>225.5686</v>
      </c>
      <c r="M2777">
        <v>0.35755520000000002</v>
      </c>
      <c r="N2777">
        <v>-1.4308680000000001E-2</v>
      </c>
      <c r="O2777">
        <v>-0.93378249999999996</v>
      </c>
      <c r="P2777">
        <v>0.62345450000000002</v>
      </c>
      <c r="Q2777">
        <v>0.38180829999999999</v>
      </c>
      <c r="R2777">
        <v>-0.68229580000000001</v>
      </c>
      <c r="S2777">
        <v>2.1502690000000002</v>
      </c>
      <c r="T2777">
        <v>-0.55563459999999998</v>
      </c>
      <c r="U2777">
        <v>-2.7333219999999998</v>
      </c>
      <c r="V2777">
        <v>-0.3461438</v>
      </c>
      <c r="W2777">
        <v>0.38715840000000001</v>
      </c>
      <c r="X2777">
        <v>0.85457179999999999</v>
      </c>
      <c r="Y2777">
        <v>-0.28928320000000002</v>
      </c>
      <c r="Z2777">
        <v>0.1433873</v>
      </c>
      <c r="AA2777">
        <v>0.94644360000000005</v>
      </c>
      <c r="AB2777">
        <v>25</v>
      </c>
      <c r="AC2777">
        <v>4.2371999999999099</v>
      </c>
      <c r="AD2777">
        <v>-1.1195829312029999</v>
      </c>
      <c r="AE2777">
        <v>-5.2870999999999997</v>
      </c>
      <c r="AF2777">
        <v>-2.0114823381637801</v>
      </c>
      <c r="AG2777">
        <v>-1.1195829312029999</v>
      </c>
      <c r="AH2777">
        <v>6.2811907894894503</v>
      </c>
      <c r="AI2777">
        <v>99.6342267008378</v>
      </c>
      <c r="AJ2777">
        <v>107.75709314107</v>
      </c>
      <c r="AK2777">
        <v>6.6897597020037303</v>
      </c>
      <c r="AL2777">
        <v>67.222199523298599</v>
      </c>
      <c r="AM2777">
        <v>112.05037929134799</v>
      </c>
      <c r="AN2777">
        <v>1.0000000591621101</v>
      </c>
    </row>
    <row r="2778" spans="1:40" x14ac:dyDescent="0.25">
      <c r="A2778" t="str">
        <f>"20190304164424029"</f>
        <v>20190304164424029</v>
      </c>
      <c r="B2778" t="str">
        <f>"1551689064022192"</f>
        <v>1551689064022192</v>
      </c>
      <c r="C2778" t="s">
        <v>40</v>
      </c>
      <c r="D2778">
        <v>5.1661479999999997</v>
      </c>
      <c r="E2778">
        <v>0.52702280000000001</v>
      </c>
      <c r="F2778" t="s">
        <v>47</v>
      </c>
      <c r="G2778">
        <v>-480.71570000000003</v>
      </c>
      <c r="H2778" s="1">
        <v>2.0026589999999998E-6</v>
      </c>
      <c r="I2778">
        <v>220.10059999999999</v>
      </c>
      <c r="J2778">
        <v>-484.9966</v>
      </c>
      <c r="K2778">
        <v>1.12001</v>
      </c>
      <c r="L2778">
        <v>225.3374</v>
      </c>
      <c r="M2778">
        <v>0.36986029999999998</v>
      </c>
      <c r="N2778">
        <v>-1.4419710000000001E-2</v>
      </c>
      <c r="O2778">
        <v>-0.92897549999999995</v>
      </c>
      <c r="P2778">
        <v>0.62677510000000003</v>
      </c>
      <c r="Q2778">
        <v>0.38455279999999997</v>
      </c>
      <c r="R2778">
        <v>-0.67769639999999998</v>
      </c>
      <c r="S2778">
        <v>2.178833</v>
      </c>
      <c r="T2778">
        <v>-0.55636669999999999</v>
      </c>
      <c r="U2778">
        <v>-2.7172700000000001</v>
      </c>
      <c r="V2778">
        <v>-0.33999849999999998</v>
      </c>
      <c r="W2778">
        <v>0.38979940000000002</v>
      </c>
      <c r="X2778">
        <v>0.85583719999999996</v>
      </c>
      <c r="Y2778">
        <v>-0.28548709999999899</v>
      </c>
      <c r="Z2778">
        <v>0.14276629999999901</v>
      </c>
      <c r="AA2778">
        <v>0.94768920000000001</v>
      </c>
      <c r="AB2778">
        <v>25</v>
      </c>
      <c r="AC2778">
        <v>4.2808999999999697</v>
      </c>
      <c r="AD2778">
        <v>-1.120007997341</v>
      </c>
      <c r="AE2778">
        <v>-5.2368000000000103</v>
      </c>
      <c r="AF2778">
        <v>-1.98573234099458</v>
      </c>
      <c r="AG2778">
        <v>-1.120007997341</v>
      </c>
      <c r="AH2778">
        <v>6.2767624889944598</v>
      </c>
      <c r="AI2778">
        <v>99.655095882818301</v>
      </c>
      <c r="AJ2778">
        <v>107.55541880549001</v>
      </c>
      <c r="AK2778">
        <v>6.6779711131022097</v>
      </c>
      <c r="AL2778">
        <v>67.057980303321798</v>
      </c>
      <c r="AM2778">
        <v>111.666443237133</v>
      </c>
      <c r="AN2778">
        <v>0.99999993257322195</v>
      </c>
    </row>
    <row r="2779" spans="1:40" x14ac:dyDescent="0.25">
      <c r="A2779" t="str">
        <f>"20190304164424064"</f>
        <v>20190304164424064</v>
      </c>
      <c r="B2779" t="str">
        <f>"1551689064052448"</f>
        <v>1551689064052448</v>
      </c>
      <c r="C2779" t="s">
        <v>40</v>
      </c>
      <c r="D2779">
        <v>5.2419219999999997</v>
      </c>
      <c r="E2779">
        <v>0.52528450000000004</v>
      </c>
      <c r="F2779" t="s">
        <v>47</v>
      </c>
      <c r="G2779">
        <v>-480.52499999999998</v>
      </c>
      <c r="H2779" s="1">
        <v>1.9142659999999999E-6</v>
      </c>
      <c r="I2779">
        <v>219.85380000000001</v>
      </c>
      <c r="J2779">
        <v>-484.83499999999998</v>
      </c>
      <c r="K2779">
        <v>1.120606</v>
      </c>
      <c r="L2779">
        <v>224.99619999999999</v>
      </c>
      <c r="M2779">
        <v>0.38936910000000002</v>
      </c>
      <c r="N2779">
        <v>-1.4610150000000001E-2</v>
      </c>
      <c r="O2779">
        <v>-0.92096610000000001</v>
      </c>
      <c r="P2779">
        <v>0.63998759999999999</v>
      </c>
      <c r="Q2779">
        <v>0.3730637</v>
      </c>
      <c r="R2779">
        <v>-0.67174369999999906</v>
      </c>
      <c r="S2779">
        <v>2.2033999999999998</v>
      </c>
      <c r="T2779">
        <v>-0.55188950000000003</v>
      </c>
      <c r="U2779">
        <v>-2.7020719999999998</v>
      </c>
      <c r="V2779">
        <v>-0.33660639999999997</v>
      </c>
      <c r="W2779">
        <v>0.37811830000000002</v>
      </c>
      <c r="X2779">
        <v>0.86239359999999998</v>
      </c>
      <c r="Y2779">
        <v>-0.27329130000000001</v>
      </c>
      <c r="Z2779">
        <v>0.14014960000000001</v>
      </c>
      <c r="AA2779">
        <v>0.95166700000000004</v>
      </c>
      <c r="AB2779">
        <v>25</v>
      </c>
      <c r="AC2779">
        <v>4.3099999999999996</v>
      </c>
      <c r="AD2779">
        <v>-1.1206040857340001</v>
      </c>
      <c r="AE2779">
        <v>-5.1423999999999799</v>
      </c>
      <c r="AF2779">
        <v>-1.91389755253462</v>
      </c>
      <c r="AG2779">
        <v>-1.1206040857340001</v>
      </c>
      <c r="AH2779">
        <v>6.2407668543372896</v>
      </c>
      <c r="AI2779">
        <v>99.741040945137897</v>
      </c>
      <c r="AJ2779">
        <v>107.049554477084</v>
      </c>
      <c r="AK2779">
        <v>6.6231358349921097</v>
      </c>
      <c r="AL2779">
        <v>67.782826014180998</v>
      </c>
      <c r="AM2779">
        <v>111.321519010003</v>
      </c>
      <c r="AN2779">
        <v>1.0000000193184</v>
      </c>
    </row>
    <row r="2780" spans="1:40" x14ac:dyDescent="0.25">
      <c r="A2780" t="str">
        <f>"20190304164424086"</f>
        <v>20190304164424086</v>
      </c>
      <c r="B2780" t="str">
        <f>"1551689064082238"</f>
        <v>1551689064082238</v>
      </c>
      <c r="C2780" t="s">
        <v>40</v>
      </c>
      <c r="D2780">
        <v>5.2691400000000002</v>
      </c>
      <c r="E2780">
        <v>0.52522650000000004</v>
      </c>
      <c r="F2780" t="s">
        <v>47</v>
      </c>
      <c r="G2780">
        <v>-480.95830000000001</v>
      </c>
      <c r="H2780" s="1">
        <v>2.1152760000000001E-6</v>
      </c>
      <c r="I2780">
        <v>220.4153</v>
      </c>
      <c r="J2780">
        <v>-484.72820000000002</v>
      </c>
      <c r="K2780">
        <v>1.120981</v>
      </c>
      <c r="L2780">
        <v>224.78229999999999</v>
      </c>
      <c r="M2780">
        <v>0.4023834</v>
      </c>
      <c r="N2780">
        <v>-1.4742359999999999E-2</v>
      </c>
      <c r="O2780">
        <v>-0.91535250000000001</v>
      </c>
      <c r="P2780">
        <v>0.64822740000000001</v>
      </c>
      <c r="Q2780">
        <v>0.37027919999999998</v>
      </c>
      <c r="R2780">
        <v>-0.66535279999999997</v>
      </c>
      <c r="S2780">
        <v>2.2626650000000001</v>
      </c>
      <c r="T2780">
        <v>-0.65404219999999902</v>
      </c>
      <c r="U2780">
        <v>-2.673645</v>
      </c>
      <c r="V2780">
        <v>-0.33469729999999998</v>
      </c>
      <c r="W2780">
        <v>0.37519819999999998</v>
      </c>
      <c r="X2780">
        <v>0.86440969999999995</v>
      </c>
      <c r="Y2780">
        <v>-0.27413080000000001</v>
      </c>
      <c r="Z2780">
        <v>0.16622190000000001</v>
      </c>
      <c r="AA2780">
        <v>0.94721840000000002</v>
      </c>
      <c r="AB2780">
        <v>25</v>
      </c>
      <c r="AC2780">
        <v>3.7698999999999998</v>
      </c>
      <c r="AD2780">
        <v>-1.1209788847239901</v>
      </c>
      <c r="AE2780">
        <v>-4.3669999999999902</v>
      </c>
      <c r="AF2780">
        <v>-1.63214168387453</v>
      </c>
      <c r="AG2780">
        <v>-1.1209788847239901</v>
      </c>
      <c r="AH2780">
        <v>5.3142495220894101</v>
      </c>
      <c r="AI2780">
        <v>101.400393618603</v>
      </c>
      <c r="AJ2780">
        <v>107.07305866583</v>
      </c>
      <c r="AK2780">
        <v>5.6711311146247896</v>
      </c>
      <c r="AL2780">
        <v>67.963437841315894</v>
      </c>
      <c r="AM2780">
        <v>111.166280182642</v>
      </c>
      <c r="AN2780">
        <v>1.0000000506822999</v>
      </c>
    </row>
    <row r="2781" spans="1:40" x14ac:dyDescent="0.25">
      <c r="A2781" t="str">
        <f>"20190304164424107"</f>
        <v>20190304164424107</v>
      </c>
      <c r="B2781" t="str">
        <f>"1551689064102734"</f>
        <v>1551689064102734</v>
      </c>
      <c r="C2781" t="s">
        <v>40</v>
      </c>
      <c r="D2781">
        <v>5.2667780000000004</v>
      </c>
      <c r="E2781">
        <v>0.52502209999999905</v>
      </c>
      <c r="F2781" t="s">
        <v>47</v>
      </c>
      <c r="G2781">
        <v>-480.88099999999997</v>
      </c>
      <c r="H2781" s="1">
        <v>2.0801039999999999E-6</v>
      </c>
      <c r="I2781">
        <v>220.31829999999999</v>
      </c>
      <c r="J2781">
        <v>-484.61759999999998</v>
      </c>
      <c r="K2781">
        <v>1.121375</v>
      </c>
      <c r="L2781">
        <v>224.57</v>
      </c>
      <c r="M2781">
        <v>0.4158907</v>
      </c>
      <c r="N2781">
        <v>-1.487774E-2</v>
      </c>
      <c r="O2781">
        <v>-0.90929289999999996</v>
      </c>
      <c r="P2781">
        <v>0.65371820000000003</v>
      </c>
      <c r="Q2781">
        <v>0.3727704</v>
      </c>
      <c r="R2781">
        <v>-0.65855529999999995</v>
      </c>
      <c r="S2781">
        <v>2.2859189999999998</v>
      </c>
      <c r="T2781">
        <v>-0.66605630000000005</v>
      </c>
      <c r="U2781">
        <v>-2.6524200000000002</v>
      </c>
      <c r="V2781">
        <v>-0.33002379999999998</v>
      </c>
      <c r="W2781">
        <v>0.37762689999999999</v>
      </c>
      <c r="X2781">
        <v>0.86514869999999899</v>
      </c>
      <c r="Y2781">
        <v>-0.26810709999999999</v>
      </c>
      <c r="Z2781">
        <v>0.16843279999999999</v>
      </c>
      <c r="AA2781">
        <v>0.94855100000000003</v>
      </c>
      <c r="AB2781">
        <v>25</v>
      </c>
      <c r="AC2781">
        <v>3.7366000000000001</v>
      </c>
      <c r="AD2781">
        <v>-1.1213729198960001</v>
      </c>
      <c r="AE2781">
        <v>-4.2516999999999996</v>
      </c>
      <c r="AF2781">
        <v>-1.5680583105380901</v>
      </c>
      <c r="AG2781">
        <v>-1.1213729198960001</v>
      </c>
      <c r="AH2781">
        <v>5.2159416221294297</v>
      </c>
      <c r="AI2781">
        <v>101.63389025992301</v>
      </c>
      <c r="AJ2781">
        <v>106.732251446392</v>
      </c>
      <c r="AK2781">
        <v>5.5607851150881498</v>
      </c>
      <c r="AL2781">
        <v>67.813236033554006</v>
      </c>
      <c r="AM2781">
        <v>110.88009371356399</v>
      </c>
      <c r="AN2781">
        <v>1.0000000286408599</v>
      </c>
    </row>
    <row r="2782" spans="1:40" x14ac:dyDescent="0.25">
      <c r="A2782" t="str">
        <f>"20190304164424130"</f>
        <v>20190304164424130</v>
      </c>
      <c r="B2782" t="str">
        <f>"1551689064122254"</f>
        <v>1551689064122254</v>
      </c>
      <c r="C2782" t="s">
        <v>40</v>
      </c>
      <c r="D2782">
        <v>5.3096819999999996</v>
      </c>
      <c r="E2782">
        <v>0.52477130000000005</v>
      </c>
      <c r="F2782" t="s">
        <v>47</v>
      </c>
      <c r="G2782">
        <v>-480.65100000000001</v>
      </c>
      <c r="H2782" s="1">
        <v>1.9858390000000001E-6</v>
      </c>
      <c r="I2782">
        <v>220.07640000000001</v>
      </c>
      <c r="J2782">
        <v>-484.50049999999999</v>
      </c>
      <c r="K2782">
        <v>1.1218030000000001</v>
      </c>
      <c r="L2782">
        <v>224.3546</v>
      </c>
      <c r="M2782">
        <v>0.43024390000000001</v>
      </c>
      <c r="N2782">
        <v>-1.502002E-2</v>
      </c>
      <c r="O2782">
        <v>-0.90258769999999999</v>
      </c>
      <c r="P2782">
        <v>0.66044259999999999</v>
      </c>
      <c r="Q2782">
        <v>0.3762028</v>
      </c>
      <c r="R2782">
        <v>-0.64983610000000003</v>
      </c>
      <c r="S2782">
        <v>2.3177490000000001</v>
      </c>
      <c r="T2782">
        <v>-0.6552268</v>
      </c>
      <c r="U2782">
        <v>-2.6256409999999999</v>
      </c>
      <c r="V2782">
        <v>-0.32646130000000001</v>
      </c>
      <c r="W2782">
        <v>0.38096960000000002</v>
      </c>
      <c r="X2782">
        <v>0.86503479999999999</v>
      </c>
      <c r="Y2782">
        <v>-0.26456420000000003</v>
      </c>
      <c r="Z2782">
        <v>0.16452929999999999</v>
      </c>
      <c r="AA2782">
        <v>0.9502294</v>
      </c>
      <c r="AB2782">
        <v>25</v>
      </c>
      <c r="AC2782">
        <v>3.8494999999999702</v>
      </c>
      <c r="AD2782">
        <v>-1.121801014161</v>
      </c>
      <c r="AE2782">
        <v>-4.2781999999999902</v>
      </c>
      <c r="AF2782">
        <v>-1.5742148794463999</v>
      </c>
      <c r="AG2782">
        <v>-1.121801014161</v>
      </c>
      <c r="AH2782">
        <v>5.3163071966287303</v>
      </c>
      <c r="AI2782">
        <v>101.43810115824201</v>
      </c>
      <c r="AJ2782">
        <v>106.49457961547</v>
      </c>
      <c r="AK2782">
        <v>5.6568288122383104</v>
      </c>
      <c r="AL2782">
        <v>67.606245407831395</v>
      </c>
      <c r="AM2782">
        <v>110.6763423116</v>
      </c>
      <c r="AN2782">
        <v>1.00000001086644</v>
      </c>
    </row>
    <row r="2783" spans="1:40" x14ac:dyDescent="0.25">
      <c r="A2783" t="str">
        <f>"20190304164424152"</f>
        <v>20190304164424152</v>
      </c>
      <c r="B2783" t="str">
        <f>"1551689064142750"</f>
        <v>1551689064142750</v>
      </c>
      <c r="C2783" t="s">
        <v>40</v>
      </c>
      <c r="D2783">
        <v>5.2650129999999997</v>
      </c>
      <c r="E2783">
        <v>0.52456130000000001</v>
      </c>
      <c r="F2783" t="s">
        <v>47</v>
      </c>
      <c r="G2783">
        <v>-480.3716</v>
      </c>
      <c r="H2783" s="1">
        <v>1.8802509999999999E-6</v>
      </c>
      <c r="I2783">
        <v>219.82300000000001</v>
      </c>
      <c r="J2783">
        <v>-484.37959999999998</v>
      </c>
      <c r="K2783">
        <v>1.12222</v>
      </c>
      <c r="L2783">
        <v>224.14169999999999</v>
      </c>
      <c r="M2783">
        <v>0.44507760000000002</v>
      </c>
      <c r="N2783">
        <v>-1.5173209999999999E-2</v>
      </c>
      <c r="O2783">
        <v>-0.89536360000000004</v>
      </c>
      <c r="P2783">
        <v>0.67218389999999995</v>
      </c>
      <c r="Q2783">
        <v>0.37586199999999997</v>
      </c>
      <c r="R2783">
        <v>-0.63788469999999997</v>
      </c>
      <c r="S2783">
        <v>2.3594970000000002</v>
      </c>
      <c r="T2783">
        <v>-0.64106540000000001</v>
      </c>
      <c r="U2783">
        <v>-2.5895999999999999</v>
      </c>
      <c r="V2783">
        <v>-0.32823649999999999</v>
      </c>
      <c r="W2783">
        <v>0.38040950000000001</v>
      </c>
      <c r="X2783">
        <v>0.86460939999999997</v>
      </c>
      <c r="Y2783">
        <v>-0.26416190000000001</v>
      </c>
      <c r="Z2783">
        <v>0.15982389999999999</v>
      </c>
      <c r="AA2783">
        <v>0.95114390000000004</v>
      </c>
      <c r="AB2783">
        <v>25</v>
      </c>
      <c r="AC2783">
        <v>4.0079999999999796</v>
      </c>
      <c r="AD2783">
        <v>-1.122218119749</v>
      </c>
      <c r="AE2783">
        <v>-4.3186999999999998</v>
      </c>
      <c r="AF2783">
        <v>-1.6083073341968399</v>
      </c>
      <c r="AG2783">
        <v>-1.122218119749</v>
      </c>
      <c r="AH2783">
        <v>5.4534899447903502</v>
      </c>
      <c r="AI2783">
        <v>101.165269422729</v>
      </c>
      <c r="AJ2783">
        <v>106.431495238404</v>
      </c>
      <c r="AK2783">
        <v>5.7953928742971099</v>
      </c>
      <c r="AL2783">
        <v>67.640949693118799</v>
      </c>
      <c r="AM2783">
        <v>110.788544193061</v>
      </c>
      <c r="AN2783">
        <v>1.00000000109543</v>
      </c>
    </row>
    <row r="2784" spans="1:40" x14ac:dyDescent="0.25">
      <c r="A2784" t="str">
        <f>"20190304164424174"</f>
        <v>20190304164424174</v>
      </c>
      <c r="B2784" t="str">
        <f>"1551689064162273"</f>
        <v>1551689064162273</v>
      </c>
      <c r="C2784" t="s">
        <v>40</v>
      </c>
      <c r="D2784">
        <v>5.2339820000000001</v>
      </c>
      <c r="E2784">
        <v>0.52444559999999996</v>
      </c>
      <c r="F2784" t="s">
        <v>47</v>
      </c>
      <c r="G2784">
        <v>-480.19080000000002</v>
      </c>
      <c r="H2784" s="1">
        <v>1.814991E-6</v>
      </c>
      <c r="I2784">
        <v>219.6729</v>
      </c>
      <c r="J2784">
        <v>-484.26240000000001</v>
      </c>
      <c r="K2784">
        <v>1.1226080000000001</v>
      </c>
      <c r="L2784">
        <v>223.9442</v>
      </c>
      <c r="M2784">
        <v>0.45946730000000002</v>
      </c>
      <c r="N2784">
        <v>-1.5330180000000001E-2</v>
      </c>
      <c r="O2784">
        <v>-0.88806240000000003</v>
      </c>
      <c r="P2784">
        <v>0.685724</v>
      </c>
      <c r="Q2784">
        <v>0.37470609999999999</v>
      </c>
      <c r="R2784">
        <v>-0.62400149999999999</v>
      </c>
      <c r="S2784">
        <v>2.3961489999999999</v>
      </c>
      <c r="T2784">
        <v>-0.64194419999999996</v>
      </c>
      <c r="U2784">
        <v>-2.5563199999999999</v>
      </c>
      <c r="V2784">
        <v>-0.33286080000000001</v>
      </c>
      <c r="W2784">
        <v>0.37896350000000001</v>
      </c>
      <c r="X2784">
        <v>0.86347569999999996</v>
      </c>
      <c r="Y2784">
        <v>-0.26210529999999999</v>
      </c>
      <c r="Z2784">
        <v>0.15899569999999999</v>
      </c>
      <c r="AA2784">
        <v>0.95185140000000001</v>
      </c>
      <c r="AB2784">
        <v>25</v>
      </c>
      <c r="AC2784">
        <v>4.0715999999999797</v>
      </c>
      <c r="AD2784">
        <v>-1.1226061850089999</v>
      </c>
      <c r="AE2784">
        <v>-4.2712999999999903</v>
      </c>
      <c r="AF2784">
        <v>-1.5957543302139401</v>
      </c>
      <c r="AG2784">
        <v>-1.1226061850089999</v>
      </c>
      <c r="AH2784">
        <v>5.46676519163137</v>
      </c>
      <c r="AI2784">
        <v>101.15143469746801</v>
      </c>
      <c r="AJ2784">
        <v>106.272578621508</v>
      </c>
      <c r="AK2784">
        <v>5.8044980997024602</v>
      </c>
      <c r="AL2784">
        <v>67.730504956880097</v>
      </c>
      <c r="AM2784">
        <v>111.081126438699</v>
      </c>
      <c r="AN2784">
        <v>0.99999996549968895</v>
      </c>
    </row>
    <row r="2785" spans="1:40" x14ac:dyDescent="0.25">
      <c r="A2785" t="str">
        <f>"20190304164424197"</f>
        <v>20190304164424197</v>
      </c>
      <c r="B2785" t="str">
        <f>"1551689064182302"</f>
        <v>1551689064182302</v>
      </c>
      <c r="C2785" t="s">
        <v>40</v>
      </c>
      <c r="D2785">
        <v>5.3713639999999998</v>
      </c>
      <c r="E2785">
        <v>0.52432349999999905</v>
      </c>
      <c r="F2785" t="s">
        <v>47</v>
      </c>
      <c r="G2785">
        <v>-480.03210000000001</v>
      </c>
      <c r="H2785" s="1">
        <v>1.771111E-6</v>
      </c>
      <c r="I2785">
        <v>219.54259999999999</v>
      </c>
      <c r="J2785">
        <v>-484.13350000000003</v>
      </c>
      <c r="K2785">
        <v>1.1230169999999999</v>
      </c>
      <c r="L2785">
        <v>223.7371</v>
      </c>
      <c r="M2785">
        <v>0.47525729999999999</v>
      </c>
      <c r="N2785">
        <v>-1.5509139999999999E-2</v>
      </c>
      <c r="O2785">
        <v>-0.879710199999999</v>
      </c>
      <c r="P2785">
        <v>0.69681070000000001</v>
      </c>
      <c r="Q2785">
        <v>0.37831619999999999</v>
      </c>
      <c r="R2785">
        <v>-0.60936969999999901</v>
      </c>
      <c r="S2785">
        <v>2.4280400000000002</v>
      </c>
      <c r="T2785">
        <v>-0.64434429999999998</v>
      </c>
      <c r="U2785">
        <v>-2.5264129999999998</v>
      </c>
      <c r="V2785">
        <v>-0.33444819999999997</v>
      </c>
      <c r="W2785">
        <v>0.38235209999999997</v>
      </c>
      <c r="X2785">
        <v>0.86136599999999997</v>
      </c>
      <c r="Y2785">
        <v>-0.25678970000000001</v>
      </c>
      <c r="Z2785">
        <v>0.15824779999999999</v>
      </c>
      <c r="AA2785">
        <v>0.95342369999999999</v>
      </c>
      <c r="AB2785">
        <v>25</v>
      </c>
      <c r="AC2785">
        <v>4.1014000000000097</v>
      </c>
      <c r="AD2785">
        <v>-1.1230152288890001</v>
      </c>
      <c r="AE2785">
        <v>-4.1944999999999997</v>
      </c>
      <c r="AF2785">
        <v>-1.5576886876499001</v>
      </c>
      <c r="AG2785">
        <v>-1.1230152288890001</v>
      </c>
      <c r="AH2785">
        <v>5.4404744382050101</v>
      </c>
      <c r="AI2785">
        <v>101.224235092428</v>
      </c>
      <c r="AJ2785">
        <v>105.97720431677701</v>
      </c>
      <c r="AK2785">
        <v>5.7694297261264298</v>
      </c>
      <c r="AL2785">
        <v>67.520547887014004</v>
      </c>
      <c r="AM2785">
        <v>111.220022633196</v>
      </c>
      <c r="AN2785">
        <v>1.0000000564068201</v>
      </c>
    </row>
    <row r="2786" spans="1:40" x14ac:dyDescent="0.25">
      <c r="A2786" t="str">
        <f>"20190304164424218"</f>
        <v>20190304164424218</v>
      </c>
      <c r="B2786" t="str">
        <f>"1551689064212554"</f>
        <v>1551689064212554</v>
      </c>
      <c r="C2786" t="s">
        <v>40</v>
      </c>
      <c r="D2786">
        <v>5.4042859999999999</v>
      </c>
      <c r="E2786">
        <v>0.52020159999999904</v>
      </c>
      <c r="F2786" t="s">
        <v>47</v>
      </c>
      <c r="G2786">
        <v>-479.73970000000003</v>
      </c>
      <c r="H2786" s="1">
        <v>1.8443540000000001E-6</v>
      </c>
      <c r="I2786">
        <v>219.3073</v>
      </c>
      <c r="J2786">
        <v>-484.00709999999998</v>
      </c>
      <c r="K2786">
        <v>1.1234029999999999</v>
      </c>
      <c r="L2786">
        <v>223.5427</v>
      </c>
      <c r="M2786">
        <v>0.49065569999999997</v>
      </c>
      <c r="N2786">
        <v>-1.5685549999999999E-2</v>
      </c>
      <c r="O2786">
        <v>-0.8712124</v>
      </c>
      <c r="P2786">
        <v>0.70600540000000001</v>
      </c>
      <c r="Q2786">
        <v>0.38342330000000002</v>
      </c>
      <c r="R2786">
        <v>-0.59543539999999995</v>
      </c>
      <c r="S2786">
        <v>2.470154</v>
      </c>
      <c r="T2786">
        <v>-0.63134599999999996</v>
      </c>
      <c r="U2786">
        <v>-2.4904169999999999</v>
      </c>
      <c r="V2786">
        <v>-0.33447680000000002</v>
      </c>
      <c r="W2786">
        <v>0.38729950000000002</v>
      </c>
      <c r="X2786">
        <v>0.85914159999999995</v>
      </c>
      <c r="Y2786">
        <v>-0.25537840000000001</v>
      </c>
      <c r="Z2786">
        <v>0.15353729999999999</v>
      </c>
      <c r="AA2786">
        <v>0.95457230000000004</v>
      </c>
      <c r="AB2786">
        <v>25</v>
      </c>
      <c r="AC2786">
        <v>4.2673999999999497</v>
      </c>
      <c r="AD2786">
        <v>-1.123401155646</v>
      </c>
      <c r="AE2786">
        <v>-4.2353999999999896</v>
      </c>
      <c r="AF2786">
        <v>-1.5845704361330699</v>
      </c>
      <c r="AG2786">
        <v>-1.123401155646</v>
      </c>
      <c r="AH2786">
        <v>5.5893358758050899</v>
      </c>
      <c r="AI2786">
        <v>100.944185432095</v>
      </c>
      <c r="AJ2786">
        <v>105.827973597927</v>
      </c>
      <c r="AK2786">
        <v>5.9172264749741998</v>
      </c>
      <c r="AL2786">
        <v>67.213428629474095</v>
      </c>
      <c r="AM2786">
        <v>111.271714668878</v>
      </c>
      <c r="AN2786">
        <v>0.99999996064452401</v>
      </c>
    </row>
    <row r="2787" spans="1:40" x14ac:dyDescent="0.25">
      <c r="A2787" t="str">
        <f>"20190304164424241"</f>
        <v>20190304164424241</v>
      </c>
      <c r="B2787" t="str">
        <f>"1551689064233050"</f>
        <v>1551689064233050</v>
      </c>
      <c r="C2787" t="s">
        <v>40</v>
      </c>
      <c r="D2787">
        <v>5.4000059999999896</v>
      </c>
      <c r="E2787">
        <v>0.45714369999999999</v>
      </c>
      <c r="F2787" t="s">
        <v>47</v>
      </c>
      <c r="G2787">
        <v>-479.28370000000001</v>
      </c>
      <c r="H2787" s="1">
        <v>2.0356929999999999E-6</v>
      </c>
      <c r="I2787">
        <v>219.05869999999999</v>
      </c>
      <c r="J2787">
        <v>-483.86989999999997</v>
      </c>
      <c r="K2787">
        <v>1.1237729999999999</v>
      </c>
      <c r="L2787">
        <v>223.3409</v>
      </c>
      <c r="M2787">
        <v>0.50721070000000001</v>
      </c>
      <c r="N2787">
        <v>-1.5871819999999998E-2</v>
      </c>
      <c r="O2787">
        <v>-0.861676</v>
      </c>
      <c r="P2787">
        <v>0.71460509999999999</v>
      </c>
      <c r="Q2787">
        <v>0.39186320000000002</v>
      </c>
      <c r="R2787">
        <v>-0.57946790000000004</v>
      </c>
      <c r="S2787">
        <v>2.5422359999999999</v>
      </c>
      <c r="T2787">
        <v>-0.6046319</v>
      </c>
      <c r="U2787">
        <v>-2.4133909999999998</v>
      </c>
      <c r="V2787">
        <v>-0.33398139999999998</v>
      </c>
      <c r="W2787">
        <v>0.39559109999999997</v>
      </c>
      <c r="X2787">
        <v>0.855549</v>
      </c>
      <c r="Y2787">
        <v>-0.26649499999999998</v>
      </c>
      <c r="Z2787">
        <v>0.14613119999999999</v>
      </c>
      <c r="AA2787">
        <v>0.95269409999999999</v>
      </c>
      <c r="AB2787">
        <v>25</v>
      </c>
      <c r="AC2787">
        <v>4.5861999999999599</v>
      </c>
      <c r="AD2787">
        <v>-1.123770964307</v>
      </c>
      <c r="AE2787">
        <v>-4.2822000000000102</v>
      </c>
      <c r="AF2787">
        <v>-1.72474149080314</v>
      </c>
      <c r="AG2787">
        <v>-1.123770964307</v>
      </c>
      <c r="AH2787">
        <v>5.8297975037452696</v>
      </c>
      <c r="AI2787">
        <v>100.472551811169</v>
      </c>
      <c r="AJ2787">
        <v>106.480814301828</v>
      </c>
      <c r="AK2787">
        <v>6.1825668880321798</v>
      </c>
      <c r="AL2787">
        <v>66.697155267029004</v>
      </c>
      <c r="AM2787">
        <v>111.32422482806901</v>
      </c>
      <c r="AN2787">
        <v>0.99999999267308504</v>
      </c>
    </row>
    <row r="2788" spans="1:40" x14ac:dyDescent="0.25">
      <c r="A2788" t="str">
        <f>"20190304164424265"</f>
        <v>20190304164424265</v>
      </c>
      <c r="B2788" t="str">
        <f>"1551689064252570"</f>
        <v>1551689064252570</v>
      </c>
      <c r="C2788" t="s">
        <v>40</v>
      </c>
      <c r="D2788">
        <v>5.403384</v>
      </c>
      <c r="E2788">
        <v>0.45756930000000001</v>
      </c>
      <c r="F2788" t="s">
        <v>41</v>
      </c>
      <c r="G2788">
        <v>-482.9828</v>
      </c>
      <c r="H2788">
        <v>0.99686010000000003</v>
      </c>
      <c r="I2788">
        <v>222.7482</v>
      </c>
      <c r="J2788">
        <v>-483.72359999999998</v>
      </c>
      <c r="K2788">
        <v>1.1241350000000001</v>
      </c>
      <c r="L2788">
        <v>223.13560000000001</v>
      </c>
      <c r="M2788">
        <v>0.52462629999999999</v>
      </c>
      <c r="N2788">
        <v>-1.6058199999999901E-2</v>
      </c>
      <c r="O2788">
        <v>-0.85118130000000003</v>
      </c>
      <c r="P2788">
        <v>0.72484280000000001</v>
      </c>
      <c r="Q2788">
        <v>0.40220630000000002</v>
      </c>
      <c r="R2788">
        <v>-0.55931500000000001</v>
      </c>
      <c r="S2788">
        <v>2.8684690000000002</v>
      </c>
      <c r="T2788">
        <v>-0.41054609999999903</v>
      </c>
      <c r="U2788">
        <v>-1.9173579999999999</v>
      </c>
      <c r="V2788">
        <v>-0.33631319999999998</v>
      </c>
      <c r="W2788">
        <v>0.40568330000000002</v>
      </c>
      <c r="X2788">
        <v>0.84989079999999995</v>
      </c>
      <c r="Y2788">
        <v>-0.4108482</v>
      </c>
      <c r="Z2788">
        <v>0.10228230000000001</v>
      </c>
      <c r="AA2788">
        <v>0.90594819999999998</v>
      </c>
      <c r="AB2788">
        <v>25</v>
      </c>
      <c r="AC2788">
        <v>0.74079999999997803</v>
      </c>
      <c r="AD2788">
        <v>-0.1272749</v>
      </c>
      <c r="AE2788">
        <v>-0.38740000000001301</v>
      </c>
      <c r="AF2788">
        <v>-0.41768836963572298</v>
      </c>
      <c r="AG2788">
        <v>-0.1272749</v>
      </c>
      <c r="AH2788">
        <v>0.70220695933430999</v>
      </c>
      <c r="AI2788">
        <v>98.854099186769005</v>
      </c>
      <c r="AJ2788">
        <v>120.74512622416501</v>
      </c>
      <c r="AK2788">
        <v>0.82689605636772501</v>
      </c>
      <c r="AL2788">
        <v>66.066045156246204</v>
      </c>
      <c r="AM2788">
        <v>111.589370642644</v>
      </c>
      <c r="AN2788">
        <v>0.99999994015888305</v>
      </c>
    </row>
    <row r="2789" spans="1:40" x14ac:dyDescent="0.25">
      <c r="A2789" t="str">
        <f>"20190304164424288"</f>
        <v>20190304164424288</v>
      </c>
      <c r="B2789" t="str">
        <f>"1551689064282826"</f>
        <v>1551689064282826</v>
      </c>
      <c r="C2789" t="s">
        <v>40</v>
      </c>
      <c r="D2789">
        <v>5.3737329999999996</v>
      </c>
      <c r="E2789">
        <v>0.4594472</v>
      </c>
      <c r="F2789" t="s">
        <v>47</v>
      </c>
      <c r="G2789">
        <v>-474.80349999999999</v>
      </c>
      <c r="H2789" s="1">
        <v>3.951577E-6</v>
      </c>
      <c r="I2789">
        <v>217.4367</v>
      </c>
      <c r="J2789">
        <v>-483.57810000000001</v>
      </c>
      <c r="K2789">
        <v>1.1244540000000001</v>
      </c>
      <c r="L2789">
        <v>222.94059999999999</v>
      </c>
      <c r="M2789">
        <v>0.54168039999999995</v>
      </c>
      <c r="N2789">
        <v>-1.623146E-2</v>
      </c>
      <c r="O2789">
        <v>-0.84042790000000001</v>
      </c>
      <c r="P2789">
        <v>0.73659919999999901</v>
      </c>
      <c r="Q2789">
        <v>0.40879989999999999</v>
      </c>
      <c r="R2789">
        <v>-0.53879900000000003</v>
      </c>
      <c r="S2789">
        <v>2.908417</v>
      </c>
      <c r="T2789">
        <v>-0.3665235</v>
      </c>
      <c r="U2789">
        <v>-1.8581240000000001</v>
      </c>
      <c r="V2789">
        <v>-0.34046349999999997</v>
      </c>
      <c r="W2789">
        <v>0.41199799999999998</v>
      </c>
      <c r="X2789">
        <v>0.84518769999999999</v>
      </c>
      <c r="Y2789">
        <v>-0.41243600000000002</v>
      </c>
      <c r="Z2789">
        <v>8.9542220000000006E-2</v>
      </c>
      <c r="AA2789">
        <v>0.90657529999999997</v>
      </c>
      <c r="AB2789">
        <v>24</v>
      </c>
      <c r="AC2789">
        <v>8.7746000000000102</v>
      </c>
      <c r="AD2789">
        <v>-1.124450048423</v>
      </c>
      <c r="AE2789">
        <v>-5.5038999999999803</v>
      </c>
      <c r="AF2789">
        <v>-4.34246571807543</v>
      </c>
      <c r="AG2789">
        <v>-1.124450048423</v>
      </c>
      <c r="AH2789">
        <v>9.2706389642591098</v>
      </c>
      <c r="AI2789">
        <v>96.268174239893796</v>
      </c>
      <c r="AJ2789">
        <v>115.098890538497</v>
      </c>
      <c r="AK2789">
        <v>10.298841839240801</v>
      </c>
      <c r="AL2789">
        <v>65.669591956164297</v>
      </c>
      <c r="AM2789">
        <v>111.940853002297</v>
      </c>
      <c r="AN2789">
        <v>0.99999999753377</v>
      </c>
    </row>
    <row r="2790" spans="1:40" x14ac:dyDescent="0.25">
      <c r="A2790" t="str">
        <f>"20190304164424311"</f>
        <v>20190304164424311</v>
      </c>
      <c r="B2790" t="str">
        <f>"1551689064302347"</f>
        <v>1551689064302347</v>
      </c>
      <c r="C2790" t="s">
        <v>40</v>
      </c>
      <c r="D2790">
        <v>5.4084390000000004</v>
      </c>
      <c r="E2790">
        <v>0.46117269999999999</v>
      </c>
      <c r="F2790" t="s">
        <v>47</v>
      </c>
      <c r="G2790">
        <v>-474.65010000000001</v>
      </c>
      <c r="H2790" s="1">
        <v>4.0205699999999997E-6</v>
      </c>
      <c r="I2790">
        <v>217.45930000000001</v>
      </c>
      <c r="J2790">
        <v>-483.43329999999997</v>
      </c>
      <c r="K2790">
        <v>1.124684</v>
      </c>
      <c r="L2790">
        <v>222.7551</v>
      </c>
      <c r="M2790">
        <v>0.55836600000000003</v>
      </c>
      <c r="N2790">
        <v>-1.6394909999999999E-2</v>
      </c>
      <c r="O2790">
        <v>-0.82943279999999997</v>
      </c>
      <c r="P2790">
        <v>0.74842540000000002</v>
      </c>
      <c r="Q2790">
        <v>0.40802699999999997</v>
      </c>
      <c r="R2790">
        <v>-0.52285179999999998</v>
      </c>
      <c r="S2790">
        <v>2.9530029999999998</v>
      </c>
      <c r="T2790">
        <v>-0.3719208</v>
      </c>
      <c r="U2790">
        <v>-1.812988</v>
      </c>
      <c r="V2790">
        <v>-0.34231309999999998</v>
      </c>
      <c r="W2790">
        <v>0.41110459999999899</v>
      </c>
      <c r="X2790">
        <v>0.84487559999999995</v>
      </c>
      <c r="Y2790">
        <v>-0.41041879999999997</v>
      </c>
      <c r="Z2790">
        <v>8.9871450000000005E-2</v>
      </c>
      <c r="AA2790">
        <v>0.90745770000000003</v>
      </c>
      <c r="AB2790">
        <v>24</v>
      </c>
      <c r="AC2790">
        <v>8.7831999999999599</v>
      </c>
      <c r="AD2790">
        <v>-1.12467997943</v>
      </c>
      <c r="AE2790">
        <v>-5.2957999999999803</v>
      </c>
      <c r="AF2790">
        <v>-4.2772275500749801</v>
      </c>
      <c r="AG2790">
        <v>-1.12467997943</v>
      </c>
      <c r="AH2790">
        <v>9.1875200523870202</v>
      </c>
      <c r="AI2790">
        <v>96.332597970526805</v>
      </c>
      <c r="AJ2790">
        <v>114.964217582082</v>
      </c>
      <c r="AK2790">
        <v>10.1965732128134</v>
      </c>
      <c r="AL2790">
        <v>65.725757435203406</v>
      </c>
      <c r="AM2790">
        <v>112.056014910439</v>
      </c>
      <c r="AN2790">
        <v>1.00000001502406</v>
      </c>
    </row>
    <row r="2791" spans="1:40" x14ac:dyDescent="0.25">
      <c r="A2791" t="str">
        <f>"20190304164424330"</f>
        <v>20190304164424330</v>
      </c>
      <c r="B2791" t="str">
        <f>"1551689064322842"</f>
        <v>1551689064322842</v>
      </c>
      <c r="C2791" t="s">
        <v>40</v>
      </c>
      <c r="D2791">
        <v>5.4003639999999997</v>
      </c>
      <c r="E2791">
        <v>0.4628003</v>
      </c>
      <c r="F2791" t="s">
        <v>47</v>
      </c>
      <c r="G2791">
        <v>-474.72620000000001</v>
      </c>
      <c r="H2791" s="1">
        <v>3.9939430000000001E-6</v>
      </c>
      <c r="I2791">
        <v>217.6216</v>
      </c>
      <c r="J2791">
        <v>-483.29520000000002</v>
      </c>
      <c r="K2791">
        <v>1.124844</v>
      </c>
      <c r="L2791">
        <v>222.58580000000001</v>
      </c>
      <c r="M2791">
        <v>0.57396950000000002</v>
      </c>
      <c r="N2791">
        <v>-1.6541320000000002E-2</v>
      </c>
      <c r="O2791">
        <v>-0.81870959999999904</v>
      </c>
      <c r="P2791">
        <v>0.76055709999999999</v>
      </c>
      <c r="Q2791">
        <v>0.40225620000000001</v>
      </c>
      <c r="R2791">
        <v>-0.50964979999999904</v>
      </c>
      <c r="S2791">
        <v>2.9880979999999999</v>
      </c>
      <c r="T2791">
        <v>-0.38596649999999999</v>
      </c>
      <c r="U2791">
        <v>-1.76171899999999</v>
      </c>
      <c r="V2791">
        <v>-0.34365390000000001</v>
      </c>
      <c r="W2791">
        <v>0.40528890000000001</v>
      </c>
      <c r="X2791">
        <v>0.84713799999999995</v>
      </c>
      <c r="Y2791">
        <v>-0.40908840000000002</v>
      </c>
      <c r="Z2791">
        <v>9.2824809999999994E-2</v>
      </c>
      <c r="AA2791">
        <v>0.90776109999999999</v>
      </c>
      <c r="AB2791">
        <v>24</v>
      </c>
      <c r="AC2791">
        <v>8.5690000000000097</v>
      </c>
      <c r="AD2791">
        <v>-1.1248400060570001</v>
      </c>
      <c r="AE2791">
        <v>-4.9641999999999999</v>
      </c>
      <c r="AF2791">
        <v>-4.1137200140624497</v>
      </c>
      <c r="AG2791">
        <v>-1.1248400060570001</v>
      </c>
      <c r="AH2791">
        <v>8.8693834444625104</v>
      </c>
      <c r="AI2791">
        <v>96.563038095619305</v>
      </c>
      <c r="AJ2791">
        <v>114.882401784469</v>
      </c>
      <c r="AK2791">
        <v>9.8414389231570194</v>
      </c>
      <c r="AL2791">
        <v>66.090766192349093</v>
      </c>
      <c r="AM2791">
        <v>112.080653040155</v>
      </c>
      <c r="AN2791">
        <v>0.999999943246208</v>
      </c>
    </row>
    <row r="2792" spans="1:40" x14ac:dyDescent="0.25">
      <c r="A2792" t="str">
        <f>"20190304164424356"</f>
        <v>20190304164424356</v>
      </c>
      <c r="B2792" t="str">
        <f>"1551689064353098"</f>
        <v>1551689064353098</v>
      </c>
      <c r="C2792" t="s">
        <v>40</v>
      </c>
      <c r="D2792">
        <v>5.4052040000000003</v>
      </c>
      <c r="E2792">
        <v>0.47548380000000001</v>
      </c>
      <c r="F2792" t="s">
        <v>47</v>
      </c>
      <c r="G2792">
        <v>-475.07549999999998</v>
      </c>
      <c r="H2792" s="1">
        <v>3.8520340000000002E-6</v>
      </c>
      <c r="I2792">
        <v>217.9194</v>
      </c>
      <c r="J2792">
        <v>-483.13619999999997</v>
      </c>
      <c r="K2792">
        <v>1.1249899999999999</v>
      </c>
      <c r="L2792">
        <v>222.39920000000001</v>
      </c>
      <c r="M2792">
        <v>0.59153319999999998</v>
      </c>
      <c r="N2792">
        <v>-1.6695129999999999E-2</v>
      </c>
      <c r="O2792">
        <v>-0.80610780000000004</v>
      </c>
      <c r="P2792">
        <v>0.77407209999999904</v>
      </c>
      <c r="Q2792">
        <v>0.39549859999999998</v>
      </c>
      <c r="R2792">
        <v>-0.49436170000000002</v>
      </c>
      <c r="S2792">
        <v>3.015533</v>
      </c>
      <c r="T2792">
        <v>-0.41266999999999998</v>
      </c>
      <c r="U2792">
        <v>-1.711975</v>
      </c>
      <c r="V2792">
        <v>-0.34502490000000002</v>
      </c>
      <c r="W2792">
        <v>0.398505</v>
      </c>
      <c r="X2792">
        <v>0.84979499999999997</v>
      </c>
      <c r="Y2792">
        <v>-0.40357419999999999</v>
      </c>
      <c r="Z2792">
        <v>9.8885810000000005E-2</v>
      </c>
      <c r="AA2792">
        <v>0.90958749999999999</v>
      </c>
      <c r="AB2792">
        <v>24</v>
      </c>
      <c r="AC2792">
        <v>8.06069999999999</v>
      </c>
      <c r="AD2792">
        <v>-1.1249861479659999</v>
      </c>
      <c r="AE2792">
        <v>-4.4798000000000098</v>
      </c>
      <c r="AF2792">
        <v>-3.7919482703587</v>
      </c>
      <c r="AG2792">
        <v>-1.1249861479659999</v>
      </c>
      <c r="AH2792">
        <v>8.2576531279904302</v>
      </c>
      <c r="AI2792">
        <v>97.057653766877294</v>
      </c>
      <c r="AJ2792">
        <v>114.66478182028899</v>
      </c>
      <c r="AK2792">
        <v>9.1560526811722696</v>
      </c>
      <c r="AL2792">
        <v>66.515247462033898</v>
      </c>
      <c r="AM2792">
        <v>112.09762303188501</v>
      </c>
      <c r="AN2792">
        <v>0.99999997933500395</v>
      </c>
    </row>
    <row r="2793" spans="1:40" x14ac:dyDescent="0.25">
      <c r="A2793" t="str">
        <f>"20190304164424375"</f>
        <v>20190304164424375</v>
      </c>
      <c r="B2793" t="str">
        <f>"1551689064372618"</f>
        <v>1551689064372618</v>
      </c>
      <c r="C2793" t="s">
        <v>40</v>
      </c>
      <c r="D2793">
        <v>5.4166030000000003</v>
      </c>
      <c r="E2793">
        <v>0.47729159999999998</v>
      </c>
      <c r="F2793" t="s">
        <v>47</v>
      </c>
      <c r="G2793">
        <v>-477.22030000000001</v>
      </c>
      <c r="H2793" s="1">
        <v>2.9468779999999999E-6</v>
      </c>
      <c r="I2793">
        <v>218.97110000000001</v>
      </c>
      <c r="J2793">
        <v>-482.98860000000002</v>
      </c>
      <c r="K2793">
        <v>1.125086</v>
      </c>
      <c r="L2793">
        <v>222.23400000000001</v>
      </c>
      <c r="M2793">
        <v>0.60741800000000001</v>
      </c>
      <c r="N2793">
        <v>-1.6820459999999999E-2</v>
      </c>
      <c r="O2793">
        <v>-0.79420449999999998</v>
      </c>
      <c r="P2793">
        <v>0.78569739999999999</v>
      </c>
      <c r="Q2793">
        <v>0.38609290000000002</v>
      </c>
      <c r="R2793">
        <v>-0.4833345</v>
      </c>
      <c r="S2793">
        <v>3.0446469999999999</v>
      </c>
      <c r="T2793">
        <v>-0.57898640000000001</v>
      </c>
      <c r="U2793">
        <v>-1.7643279999999999</v>
      </c>
      <c r="V2793">
        <v>-0.34371410000000002</v>
      </c>
      <c r="W2793">
        <v>0.38921450000000002</v>
      </c>
      <c r="X2793">
        <v>0.8546184</v>
      </c>
      <c r="Y2793">
        <v>-0.37222949999999999</v>
      </c>
      <c r="Z2793">
        <v>0.1372372</v>
      </c>
      <c r="AA2793">
        <v>0.91793849999999999</v>
      </c>
      <c r="AB2793">
        <v>24</v>
      </c>
      <c r="AC2793">
        <v>5.7683000000000098</v>
      </c>
      <c r="AD2793">
        <v>-1.125083053122</v>
      </c>
      <c r="AE2793">
        <v>-3.2629000000000001</v>
      </c>
      <c r="AF2793">
        <v>-2.52680787190087</v>
      </c>
      <c r="AG2793">
        <v>-1.125083053122</v>
      </c>
      <c r="AH2793">
        <v>5.9252684346547397</v>
      </c>
      <c r="AI2793">
        <v>99.907359651218599</v>
      </c>
      <c r="AJ2793">
        <v>113.09563685024899</v>
      </c>
      <c r="AK2793">
        <v>6.5390653705738604</v>
      </c>
      <c r="AL2793">
        <v>67.094366895277204</v>
      </c>
      <c r="AM2793">
        <v>111.909216926814</v>
      </c>
      <c r="AN2793">
        <v>0.99999995958380905</v>
      </c>
    </row>
    <row r="2794" spans="1:40" x14ac:dyDescent="0.25">
      <c r="A2794" t="str">
        <f>"20190304164424397"</f>
        <v>20190304164424397</v>
      </c>
      <c r="B2794" t="str">
        <f>"1551689064393115"</f>
        <v>1551689064393115</v>
      </c>
      <c r="C2794" t="s">
        <v>40</v>
      </c>
      <c r="D2794">
        <v>5.4287700000000001</v>
      </c>
      <c r="E2794">
        <v>0.47885129999999998</v>
      </c>
      <c r="F2794" t="s">
        <v>47</v>
      </c>
      <c r="G2794">
        <v>-477.43239999999997</v>
      </c>
      <c r="H2794" s="1">
        <v>2.8591010000000001E-6</v>
      </c>
      <c r="I2794">
        <v>219.1147</v>
      </c>
      <c r="J2794">
        <v>-482.83100000000002</v>
      </c>
      <c r="K2794">
        <v>1.1251639999999901</v>
      </c>
      <c r="L2794">
        <v>222.0651</v>
      </c>
      <c r="M2794">
        <v>0.62390630000000002</v>
      </c>
      <c r="N2794">
        <v>-1.6935200000000001E-2</v>
      </c>
      <c r="O2794">
        <v>-0.78131589999999995</v>
      </c>
      <c r="P2794">
        <v>0.7975025</v>
      </c>
      <c r="Q2794">
        <v>0.37698690000000001</v>
      </c>
      <c r="R2794">
        <v>-0.47103220000000001</v>
      </c>
      <c r="S2794">
        <v>3.0647579999999999</v>
      </c>
      <c r="T2794">
        <v>-0.62059240000000004</v>
      </c>
      <c r="U2794">
        <v>-1.720566</v>
      </c>
      <c r="V2794">
        <v>-0.34231859999999997</v>
      </c>
      <c r="W2794">
        <v>0.38023889999999999</v>
      </c>
      <c r="X2794">
        <v>0.8592069</v>
      </c>
      <c r="Y2794">
        <v>-0.36388219999999999</v>
      </c>
      <c r="Z2794">
        <v>0.14584659999999999</v>
      </c>
      <c r="AA2794">
        <v>0.91995570000000004</v>
      </c>
      <c r="AB2794">
        <v>24</v>
      </c>
      <c r="AC2794">
        <v>5.3985999999999796</v>
      </c>
      <c r="AD2794">
        <v>-1.1251611408990001</v>
      </c>
      <c r="AE2794">
        <v>-2.9504000000000001</v>
      </c>
      <c r="AF2794">
        <v>-2.30062857452574</v>
      </c>
      <c r="AG2794">
        <v>-1.1251611408990001</v>
      </c>
      <c r="AH2794">
        <v>5.4905801800077798</v>
      </c>
      <c r="AI2794">
        <v>100.702897514027</v>
      </c>
      <c r="AJ2794">
        <v>112.734354026595</v>
      </c>
      <c r="AK2794">
        <v>6.0584940491848096</v>
      </c>
      <c r="AL2794">
        <v>67.651520216513902</v>
      </c>
      <c r="AM2794">
        <v>111.72294560996301</v>
      </c>
      <c r="AN2794">
        <v>1.0000000709933801</v>
      </c>
    </row>
    <row r="2795" spans="1:40" x14ac:dyDescent="0.25">
      <c r="A2795" t="str">
        <f>"20190304164424420"</f>
        <v>20190304164424420</v>
      </c>
      <c r="B2795" t="str">
        <f>"1551689064412635"</f>
        <v>1551689064412635</v>
      </c>
      <c r="C2795" t="s">
        <v>40</v>
      </c>
      <c r="D2795">
        <v>5.4423190000000004</v>
      </c>
      <c r="E2795">
        <v>0.47948990000000002</v>
      </c>
      <c r="F2795" t="s">
        <v>47</v>
      </c>
      <c r="G2795">
        <v>-477.53640000000001</v>
      </c>
      <c r="H2795" s="1">
        <v>2.8164860000000001E-6</v>
      </c>
      <c r="I2795">
        <v>219.1944</v>
      </c>
      <c r="J2795">
        <v>-482.6653</v>
      </c>
      <c r="K2795">
        <v>1.1252040000000001</v>
      </c>
      <c r="L2795">
        <v>221.89519999999999</v>
      </c>
      <c r="M2795">
        <v>0.64071290000000003</v>
      </c>
      <c r="N2795">
        <v>-1.7036470000000001E-2</v>
      </c>
      <c r="O2795">
        <v>-0.76759169999999999</v>
      </c>
      <c r="P2795">
        <v>0.81011889999999998</v>
      </c>
      <c r="Q2795">
        <v>0.37215510000000002</v>
      </c>
      <c r="R2795">
        <v>-0.45299909999999999</v>
      </c>
      <c r="S2795">
        <v>3.0839840000000001</v>
      </c>
      <c r="T2795">
        <v>-0.65537880000000004</v>
      </c>
      <c r="U2795">
        <v>-1.672104</v>
      </c>
      <c r="V2795">
        <v>-0.34460429999999997</v>
      </c>
      <c r="W2795">
        <v>0.37537399999999999</v>
      </c>
      <c r="X2795">
        <v>0.86043139999999996</v>
      </c>
      <c r="Y2795">
        <v>-0.35597600000000001</v>
      </c>
      <c r="Z2795">
        <v>0.15248329999999999</v>
      </c>
      <c r="AA2795">
        <v>0.92197070000000003</v>
      </c>
      <c r="AB2795">
        <v>24</v>
      </c>
      <c r="AC2795">
        <v>5.1288999999999803</v>
      </c>
      <c r="AD2795">
        <v>-1.1252011835139999</v>
      </c>
      <c r="AE2795">
        <v>-2.7007999999999801</v>
      </c>
      <c r="AF2795">
        <v>-2.1266494502547899</v>
      </c>
      <c r="AG2795">
        <v>-1.1252011835139999</v>
      </c>
      <c r="AH2795">
        <v>5.1654038608329396</v>
      </c>
      <c r="AI2795">
        <v>101.388709058792</v>
      </c>
      <c r="AJ2795">
        <v>112.377464719662</v>
      </c>
      <c r="AK2795">
        <v>5.6982552270987403</v>
      </c>
      <c r="AL2795">
        <v>67.952569305502095</v>
      </c>
      <c r="AM2795">
        <v>111.82618915617201</v>
      </c>
      <c r="AN2795">
        <v>0.99999997878022395</v>
      </c>
    </row>
    <row r="2796" spans="1:40" x14ac:dyDescent="0.25">
      <c r="A2796" t="str">
        <f>"20190304164424443"</f>
        <v>20190304164424443</v>
      </c>
      <c r="B2796" t="str">
        <f>"1551689064433130"</f>
        <v>1551689064433130</v>
      </c>
      <c r="C2796" t="s">
        <v>40</v>
      </c>
      <c r="D2796">
        <v>5.5193490000000001</v>
      </c>
      <c r="E2796">
        <v>0.4868886</v>
      </c>
      <c r="F2796" t="s">
        <v>47</v>
      </c>
      <c r="G2796">
        <v>-477.47949999999997</v>
      </c>
      <c r="H2796" s="1">
        <v>2.8417069999999998E-6</v>
      </c>
      <c r="I2796">
        <v>219.1943</v>
      </c>
      <c r="J2796">
        <v>-482.49689999999998</v>
      </c>
      <c r="K2796">
        <v>1.12522099999999</v>
      </c>
      <c r="L2796">
        <v>221.73</v>
      </c>
      <c r="M2796">
        <v>0.65724179999999999</v>
      </c>
      <c r="N2796">
        <v>-1.712147E-2</v>
      </c>
      <c r="O2796">
        <v>-0.75348530000000002</v>
      </c>
      <c r="P2796">
        <v>0.82137629999999995</v>
      </c>
      <c r="Q2796">
        <v>0.37392649999999999</v>
      </c>
      <c r="R2796">
        <v>-0.4307202</v>
      </c>
      <c r="S2796">
        <v>3.1078190000000001</v>
      </c>
      <c r="T2796">
        <v>-0.67431969999999997</v>
      </c>
      <c r="U2796">
        <v>-1.618652</v>
      </c>
      <c r="V2796">
        <v>-0.34891369999999999</v>
      </c>
      <c r="W2796">
        <v>0.37699589999999999</v>
      </c>
      <c r="X2796">
        <v>0.85798209999999997</v>
      </c>
      <c r="Y2796">
        <v>-0.35043150000000001</v>
      </c>
      <c r="Z2796">
        <v>0.15503140000000001</v>
      </c>
      <c r="AA2796">
        <v>0.9236683</v>
      </c>
      <c r="AB2796">
        <v>24</v>
      </c>
      <c r="AC2796">
        <v>5.0174000000000003</v>
      </c>
      <c r="AD2796">
        <v>-1.1252181582930001</v>
      </c>
      <c r="AE2796">
        <v>-2.5356999999999901</v>
      </c>
      <c r="AF2796">
        <v>-2.0328398012792301</v>
      </c>
      <c r="AG2796">
        <v>-1.1252181582930001</v>
      </c>
      <c r="AH2796">
        <v>5.0083766373241101</v>
      </c>
      <c r="AI2796">
        <v>101.759482125525</v>
      </c>
      <c r="AJ2796">
        <v>112.09164147659401</v>
      </c>
      <c r="AK2796">
        <v>5.5210859532080496</v>
      </c>
      <c r="AL2796">
        <v>67.852274089051804</v>
      </c>
      <c r="AM2796">
        <v>112.12999285051799</v>
      </c>
      <c r="AN2796">
        <v>0.99999998129245404</v>
      </c>
    </row>
    <row r="2797" spans="1:40" x14ac:dyDescent="0.25">
      <c r="A2797" t="str">
        <f>"20190304164424467"</f>
        <v>20190304164424467</v>
      </c>
      <c r="B2797" t="str">
        <f>"1551689064462413"</f>
        <v>1551689064462413</v>
      </c>
      <c r="C2797" t="s">
        <v>40</v>
      </c>
      <c r="D2797">
        <v>5.5877089999999896</v>
      </c>
      <c r="E2797">
        <v>0.48855300000000002</v>
      </c>
      <c r="F2797" t="s">
        <v>47</v>
      </c>
      <c r="G2797">
        <v>-477.12509999999997</v>
      </c>
      <c r="H2797" s="1">
        <v>2.9888059999999998E-6</v>
      </c>
      <c r="I2797">
        <v>218.96420000000001</v>
      </c>
      <c r="J2797">
        <v>-482.32</v>
      </c>
      <c r="K2797">
        <v>1.1252390000000001</v>
      </c>
      <c r="L2797">
        <v>221.56399999999999</v>
      </c>
      <c r="M2797">
        <v>0.67399719999999996</v>
      </c>
      <c r="N2797">
        <v>-1.719352E-2</v>
      </c>
      <c r="O2797">
        <v>-0.73853400000000002</v>
      </c>
      <c r="P2797">
        <v>0.82952159999999997</v>
      </c>
      <c r="Q2797">
        <v>0.3803841</v>
      </c>
      <c r="R2797">
        <v>-0.40890349999999998</v>
      </c>
      <c r="S2797">
        <v>3.1094360000000001</v>
      </c>
      <c r="T2797">
        <v>-0.65132819999999902</v>
      </c>
      <c r="U2797">
        <v>-1.6009979999999999</v>
      </c>
      <c r="V2797">
        <v>-0.35037000000000001</v>
      </c>
      <c r="W2797">
        <v>0.38339960000000001</v>
      </c>
      <c r="X2797">
        <v>0.85454409999999903</v>
      </c>
      <c r="Y2797">
        <v>-0.33501360000000002</v>
      </c>
      <c r="Z2797">
        <v>0.1467445</v>
      </c>
      <c r="AA2797">
        <v>0.93071590000000004</v>
      </c>
      <c r="AB2797">
        <v>24</v>
      </c>
      <c r="AC2797">
        <v>5.1949000000000103</v>
      </c>
      <c r="AD2797">
        <v>-1.1252360111940001</v>
      </c>
      <c r="AE2797">
        <v>-2.5998000000000099</v>
      </c>
      <c r="AF2797">
        <v>-2.0092718183282199</v>
      </c>
      <c r="AG2797">
        <v>-1.1252360111940001</v>
      </c>
      <c r="AH2797">
        <v>5.2261046914393603</v>
      </c>
      <c r="AI2797">
        <v>101.363315057791</v>
      </c>
      <c r="AJ2797">
        <v>111.030171547642</v>
      </c>
      <c r="AK2797">
        <v>5.7109981235069798</v>
      </c>
      <c r="AL2797">
        <v>67.455578756550807</v>
      </c>
      <c r="AM2797">
        <v>112.29402630572299</v>
      </c>
      <c r="AN2797">
        <v>1.0000000045124799</v>
      </c>
    </row>
    <row r="2798" spans="1:40" x14ac:dyDescent="0.25">
      <c r="A2798" t="str">
        <f>"20190304164424489"</f>
        <v>20190304164424489</v>
      </c>
      <c r="B2798" t="str">
        <f>"1551689064482908"</f>
        <v>1551689064482908</v>
      </c>
      <c r="C2798" t="s">
        <v>40</v>
      </c>
      <c r="D2798">
        <v>5.4405989999999997</v>
      </c>
      <c r="E2798">
        <v>0.49041309999999999</v>
      </c>
      <c r="F2798" t="s">
        <v>47</v>
      </c>
      <c r="G2798">
        <v>-476.66239999999999</v>
      </c>
      <c r="H2798" s="1">
        <v>3.186794E-6</v>
      </c>
      <c r="I2798">
        <v>218.7998</v>
      </c>
      <c r="J2798">
        <v>-482.14780000000002</v>
      </c>
      <c r="K2798">
        <v>1.1252439999999999</v>
      </c>
      <c r="L2798">
        <v>221.40940000000001</v>
      </c>
      <c r="M2798">
        <v>0.68971569999999904</v>
      </c>
      <c r="N2798">
        <v>-1.7248039999999999E-2</v>
      </c>
      <c r="O2798">
        <v>-0.72387489999999999</v>
      </c>
      <c r="P2798">
        <v>0.836325599999999</v>
      </c>
      <c r="Q2798">
        <v>0.38509389999999999</v>
      </c>
      <c r="R2798">
        <v>-0.3902079</v>
      </c>
      <c r="S2798">
        <v>3.145813</v>
      </c>
      <c r="T2798">
        <v>-0.62567139999999999</v>
      </c>
      <c r="U2798">
        <v>-1.5370330000000001</v>
      </c>
      <c r="V2798">
        <v>-0.34975400000000001</v>
      </c>
      <c r="W2798">
        <v>0.38815749999999999</v>
      </c>
      <c r="X2798">
        <v>0.85264649999999997</v>
      </c>
      <c r="Y2798">
        <v>-0.33558529999999998</v>
      </c>
      <c r="Z2798">
        <v>0.13873289999999999</v>
      </c>
      <c r="AA2798">
        <v>0.93173799999999996</v>
      </c>
      <c r="AB2798">
        <v>24</v>
      </c>
      <c r="AC2798">
        <v>5.4854000000000198</v>
      </c>
      <c r="AD2798">
        <v>-1.1252408132059999</v>
      </c>
      <c r="AE2798">
        <v>-2.6095999999999999</v>
      </c>
      <c r="AF2798">
        <v>-2.0991541597974099</v>
      </c>
      <c r="AG2798">
        <v>-1.1252408132059999</v>
      </c>
      <c r="AH2798">
        <v>5.48502203524452</v>
      </c>
      <c r="AI2798">
        <v>100.846208532362</v>
      </c>
      <c r="AJ2798">
        <v>110.942178543232</v>
      </c>
      <c r="AK2798">
        <v>5.97980616754566</v>
      </c>
      <c r="AL2798">
        <v>67.1600997690703</v>
      </c>
      <c r="AM2798">
        <v>112.303346849356</v>
      </c>
      <c r="AN2798">
        <v>1.0000000796422399</v>
      </c>
    </row>
    <row r="2799" spans="1:40" x14ac:dyDescent="0.25">
      <c r="A2799" t="str">
        <f>"20190304164424514"</f>
        <v>20190304164424514</v>
      </c>
      <c r="B2799" t="str">
        <f>"1551689064502427"</f>
        <v>1551689064502427</v>
      </c>
      <c r="C2799" t="s">
        <v>40</v>
      </c>
      <c r="D2799">
        <v>5.4338059999999997</v>
      </c>
      <c r="E2799">
        <v>0.4912513</v>
      </c>
      <c r="F2799" t="s">
        <v>47</v>
      </c>
      <c r="G2799">
        <v>-476.24869999999999</v>
      </c>
      <c r="H2799" s="1">
        <v>3.3653109999999999E-6</v>
      </c>
      <c r="I2799">
        <v>218.68629999999999</v>
      </c>
      <c r="J2799">
        <v>-481.9572</v>
      </c>
      <c r="K2799">
        <v>1.1252009999999999</v>
      </c>
      <c r="L2799">
        <v>221.2457</v>
      </c>
      <c r="M2799">
        <v>0.70643559999999905</v>
      </c>
      <c r="N2799">
        <v>-1.7291999999999998E-2</v>
      </c>
      <c r="O2799">
        <v>-0.70756640000000004</v>
      </c>
      <c r="P2799">
        <v>0.8459795</v>
      </c>
      <c r="Q2799">
        <v>0.38473940000000001</v>
      </c>
      <c r="R2799">
        <v>-0.36918119999999999</v>
      </c>
      <c r="S2799">
        <v>3.1813660000000001</v>
      </c>
      <c r="T2799">
        <v>-0.60684159999999998</v>
      </c>
      <c r="U2799">
        <v>-1.4685520000000001</v>
      </c>
      <c r="V2799">
        <v>-0.35122979999999998</v>
      </c>
      <c r="W2799">
        <v>0.38781199999999999</v>
      </c>
      <c r="X2799">
        <v>0.85219679999999998</v>
      </c>
      <c r="Y2799">
        <v>-0.33507369999999997</v>
      </c>
      <c r="Z2799">
        <v>0.13221150000000001</v>
      </c>
      <c r="AA2799">
        <v>0.93286959999999997</v>
      </c>
      <c r="AB2799">
        <v>24</v>
      </c>
      <c r="AC2799">
        <v>5.7085000000000097</v>
      </c>
      <c r="AD2799">
        <v>-1.125197634689</v>
      </c>
      <c r="AE2799">
        <v>-2.5594000000000099</v>
      </c>
      <c r="AF2799">
        <v>-2.1615016139682899</v>
      </c>
      <c r="AG2799">
        <v>-1.125197634689</v>
      </c>
      <c r="AH2799">
        <v>5.6613644905964904</v>
      </c>
      <c r="AI2799">
        <v>100.51873845818101</v>
      </c>
      <c r="AJ2799">
        <v>110.896791389903</v>
      </c>
      <c r="AK2799">
        <v>6.1635384998946998</v>
      </c>
      <c r="AL2799">
        <v>67.181574877508893</v>
      </c>
      <c r="AM2799">
        <v>112.398829092433</v>
      </c>
      <c r="AN2799">
        <v>0.99999995284113896</v>
      </c>
    </row>
    <row r="2800" spans="1:40" x14ac:dyDescent="0.25">
      <c r="A2800" t="str">
        <f>"20190304164424556"</f>
        <v>20190304164424556</v>
      </c>
      <c r="B2800" t="str">
        <f>"1551689064553179"</f>
        <v>1551689064553179</v>
      </c>
      <c r="C2800" t="s">
        <v>40</v>
      </c>
      <c r="D2800">
        <v>5.4136290000000002</v>
      </c>
      <c r="E2800">
        <v>0.50208240000000004</v>
      </c>
      <c r="F2800" t="s">
        <v>47</v>
      </c>
      <c r="G2800">
        <v>-476.0172</v>
      </c>
      <c r="H2800" s="1">
        <v>3.468129E-6</v>
      </c>
      <c r="I2800">
        <v>218.68989999999999</v>
      </c>
      <c r="J2800">
        <v>-481.62099999999998</v>
      </c>
      <c r="K2800">
        <v>1.1250819999999999</v>
      </c>
      <c r="L2800">
        <v>220.97569999999999</v>
      </c>
      <c r="M2800">
        <v>0.73417829999999995</v>
      </c>
      <c r="N2800">
        <v>-1.7329569999999999E-2</v>
      </c>
      <c r="O2800">
        <v>-0.67873559999999999</v>
      </c>
      <c r="P2800">
        <v>0.85933369999999998</v>
      </c>
      <c r="Q2800">
        <v>0.38728190000000001</v>
      </c>
      <c r="R2800">
        <v>-0.33400390000000002</v>
      </c>
      <c r="S2800">
        <v>3.2190859999999999</v>
      </c>
      <c r="T2800">
        <v>-0.60978060000000001</v>
      </c>
      <c r="U2800">
        <v>-1.3850559999999901</v>
      </c>
      <c r="V2800">
        <v>-0.351462</v>
      </c>
      <c r="W2800">
        <v>0.39045629999999998</v>
      </c>
      <c r="X2800">
        <v>0.85089269999999995</v>
      </c>
      <c r="Y2800">
        <v>-0.3221175</v>
      </c>
      <c r="Z2800">
        <v>0.12833539999999999</v>
      </c>
      <c r="AA2800">
        <v>0.93796069999999998</v>
      </c>
      <c r="AB2800">
        <v>24</v>
      </c>
      <c r="AC2800">
        <v>5.6037999999999704</v>
      </c>
      <c r="AD2800">
        <v>-1.1250785318709999</v>
      </c>
      <c r="AE2800">
        <v>-2.2857999999999898</v>
      </c>
      <c r="AF2800">
        <v>-2.0546273878869199</v>
      </c>
      <c r="AG2800">
        <v>-1.1250785318709999</v>
      </c>
      <c r="AH2800">
        <v>5.4772070050817003</v>
      </c>
      <c r="AI2800">
        <v>100.886456590362</v>
      </c>
      <c r="AJ2800">
        <v>110.56223325742999</v>
      </c>
      <c r="AK2800">
        <v>5.95710432865231</v>
      </c>
      <c r="AL2800">
        <v>67.017105869513401</v>
      </c>
      <c r="AM2800">
        <v>112.443116881313</v>
      </c>
      <c r="AN2800">
        <v>1.00000002328348</v>
      </c>
    </row>
    <row r="2801" spans="1:40" x14ac:dyDescent="0.25">
      <c r="A2801" t="str">
        <f>"20190304164424576"</f>
        <v>20190304164424576</v>
      </c>
      <c r="B2801" t="str">
        <f>"1551689064572699"</f>
        <v>1551689064572699</v>
      </c>
      <c r="C2801" t="s">
        <v>40</v>
      </c>
      <c r="D2801">
        <v>5.5078170000000002</v>
      </c>
      <c r="E2801">
        <v>0.50287040000000005</v>
      </c>
      <c r="F2801" t="s">
        <v>47</v>
      </c>
      <c r="G2801">
        <v>-475.9692</v>
      </c>
      <c r="H2801" s="1">
        <v>3.4884599999999999E-6</v>
      </c>
      <c r="I2801">
        <v>218.66800000000001</v>
      </c>
      <c r="J2801">
        <v>-481.44299999999998</v>
      </c>
      <c r="K2801">
        <v>1.124989</v>
      </c>
      <c r="L2801">
        <v>220.8415</v>
      </c>
      <c r="M2801">
        <v>0.74801779999999995</v>
      </c>
      <c r="N2801">
        <v>-1.733239E-2</v>
      </c>
      <c r="O2801">
        <v>-0.6634525</v>
      </c>
      <c r="P2801">
        <v>0.86282389999999998</v>
      </c>
      <c r="Q2801">
        <v>0.39099060000000002</v>
      </c>
      <c r="R2801">
        <v>-0.32040829999999998</v>
      </c>
      <c r="S2801">
        <v>3.2657470000000002</v>
      </c>
      <c r="T2801">
        <v>-0.65009309999999998</v>
      </c>
      <c r="U2801">
        <v>-1.33345</v>
      </c>
      <c r="V2801">
        <v>-0.34624199999999999</v>
      </c>
      <c r="W2801">
        <v>0.39441589999999999</v>
      </c>
      <c r="X2801">
        <v>0.85120649999999998</v>
      </c>
      <c r="Y2801">
        <v>-0.31891049999999999</v>
      </c>
      <c r="Z2801">
        <v>0.13402510000000001</v>
      </c>
      <c r="AA2801">
        <v>0.93826089999999995</v>
      </c>
      <c r="AB2801">
        <v>24</v>
      </c>
      <c r="AC2801">
        <v>5.4738000000000397</v>
      </c>
      <c r="AD2801">
        <v>-1.12498551154</v>
      </c>
      <c r="AE2801">
        <v>-2.17349999999999</v>
      </c>
      <c r="AF2801">
        <v>-1.9354720816703701</v>
      </c>
      <c r="AG2801">
        <v>-1.12498551154</v>
      </c>
      <c r="AH2801">
        <v>5.3424187355464801</v>
      </c>
      <c r="AI2801">
        <v>101.19881612536101</v>
      </c>
      <c r="AJ2801">
        <v>109.914634313509</v>
      </c>
      <c r="AK2801">
        <v>5.7925022681064604</v>
      </c>
      <c r="AL2801">
        <v>66.770448922177806</v>
      </c>
      <c r="AM2801">
        <v>112.13482818631</v>
      </c>
      <c r="AN2801">
        <v>0.99999996518952905</v>
      </c>
    </row>
    <row r="2802" spans="1:40" x14ac:dyDescent="0.25">
      <c r="A2802" t="str">
        <f>"20190304164424600"</f>
        <v>20190304164424600</v>
      </c>
      <c r="B2802" t="str">
        <f>"1551689064593195"</f>
        <v>1551689064593195</v>
      </c>
      <c r="C2802" t="s">
        <v>40</v>
      </c>
      <c r="D2802">
        <v>5.5437209999999997</v>
      </c>
      <c r="E2802">
        <v>0.46485179999999998</v>
      </c>
      <c r="F2802" t="s">
        <v>47</v>
      </c>
      <c r="G2802">
        <v>-475.6395</v>
      </c>
      <c r="H2802" s="1">
        <v>3.6314289999999998E-6</v>
      </c>
      <c r="I2802">
        <v>218.5941</v>
      </c>
      <c r="J2802">
        <v>-481.25170000000003</v>
      </c>
      <c r="K2802">
        <v>1.124903</v>
      </c>
      <c r="L2802">
        <v>220.7037</v>
      </c>
      <c r="M2802">
        <v>0.76225609999999999</v>
      </c>
      <c r="N2802">
        <v>-1.7326029999999999E-2</v>
      </c>
      <c r="O2802">
        <v>-0.64704390000000001</v>
      </c>
      <c r="P2802">
        <v>0.86687230000000004</v>
      </c>
      <c r="Q2802">
        <v>0.39315020000000001</v>
      </c>
      <c r="R2802">
        <v>-0.30653900000000001</v>
      </c>
      <c r="S2802">
        <v>3.2927249999999999</v>
      </c>
      <c r="T2802">
        <v>-0.63828379999999996</v>
      </c>
      <c r="U2802">
        <v>-1.275085</v>
      </c>
      <c r="V2802">
        <v>-0.34070270000000002</v>
      </c>
      <c r="W2802">
        <v>0.39684770000000003</v>
      </c>
      <c r="X2802">
        <v>0.85231069999999998</v>
      </c>
      <c r="Y2802">
        <v>-0.31614160000000002</v>
      </c>
      <c r="Z2802">
        <v>0.12894030000000001</v>
      </c>
      <c r="AA2802">
        <v>0.93990899999999999</v>
      </c>
      <c r="AB2802">
        <v>24</v>
      </c>
      <c r="AC2802">
        <v>5.6122000000000298</v>
      </c>
      <c r="AD2802">
        <v>-1.124899368571</v>
      </c>
      <c r="AE2802">
        <v>-2.1095999999999999</v>
      </c>
      <c r="AF2802">
        <v>-1.95477645824221</v>
      </c>
      <c r="AG2802">
        <v>-1.124899368571</v>
      </c>
      <c r="AH2802">
        <v>5.4518691881151904</v>
      </c>
      <c r="AI2802">
        <v>100.99144820343101</v>
      </c>
      <c r="AJ2802">
        <v>109.72537680781799</v>
      </c>
      <c r="AK2802">
        <v>5.8999514604299197</v>
      </c>
      <c r="AL2802">
        <v>66.618739149141305</v>
      </c>
      <c r="AM2802">
        <v>111.78856738219</v>
      </c>
      <c r="AN2802">
        <v>0.99999997805853402</v>
      </c>
    </row>
    <row r="2803" spans="1:40" x14ac:dyDescent="0.25">
      <c r="A2803" t="str">
        <f>"20190304164424621"</f>
        <v>20190304164424621</v>
      </c>
      <c r="B2803" t="str">
        <f>"1551689064612715"</f>
        <v>1551689064612715</v>
      </c>
      <c r="C2803" t="s">
        <v>40</v>
      </c>
      <c r="D2803">
        <v>5.4938960000000003</v>
      </c>
      <c r="E2803">
        <v>0.45073170000000001</v>
      </c>
      <c r="F2803" t="s">
        <v>47</v>
      </c>
      <c r="G2803">
        <v>-471.72149999999999</v>
      </c>
      <c r="H2803" s="1">
        <v>5.3499329999999997E-6</v>
      </c>
      <c r="I2803">
        <v>218.15960000000001</v>
      </c>
      <c r="J2803">
        <v>-481.06630000000001</v>
      </c>
      <c r="K2803">
        <v>1.124816</v>
      </c>
      <c r="L2803">
        <v>220.57579999999999</v>
      </c>
      <c r="M2803">
        <v>0.77546949999999903</v>
      </c>
      <c r="N2803">
        <v>-1.7304980000000001E-2</v>
      </c>
      <c r="O2803">
        <v>-0.63114809999999999</v>
      </c>
      <c r="P2803">
        <v>0.87303330000000001</v>
      </c>
      <c r="Q2803">
        <v>0.39230019999999999</v>
      </c>
      <c r="R2803">
        <v>-0.2896782</v>
      </c>
      <c r="S2803">
        <v>3.3248289999999998</v>
      </c>
      <c r="T2803">
        <v>-0.39244279999999998</v>
      </c>
      <c r="U2803">
        <v>-0.88754270000000002</v>
      </c>
      <c r="V2803">
        <v>-0.33971820000000003</v>
      </c>
      <c r="W2803">
        <v>0.3960996</v>
      </c>
      <c r="X2803">
        <v>0.85305140000000002</v>
      </c>
      <c r="Y2803">
        <v>-0.4046479</v>
      </c>
      <c r="Z2803">
        <v>8.228278E-2</v>
      </c>
      <c r="AA2803">
        <v>0.91076330000000005</v>
      </c>
      <c r="AB2803">
        <v>24</v>
      </c>
      <c r="AC2803">
        <v>9.34480000000001</v>
      </c>
      <c r="AD2803">
        <v>-1.1248106500669901</v>
      </c>
      <c r="AE2803">
        <v>-2.4161999999999701</v>
      </c>
      <c r="AF2803">
        <v>-3.97093828352144</v>
      </c>
      <c r="AG2803">
        <v>-1.1248106500669901</v>
      </c>
      <c r="AH2803">
        <v>8.6553560732564101</v>
      </c>
      <c r="AI2803">
        <v>96.736436143673501</v>
      </c>
      <c r="AJ2803">
        <v>114.644896568522</v>
      </c>
      <c r="AK2803">
        <v>9.5889904893527298</v>
      </c>
      <c r="AL2803">
        <v>66.665429530361095</v>
      </c>
      <c r="AM2803">
        <v>111.71436787009</v>
      </c>
      <c r="AN2803">
        <v>1.0000000197866701</v>
      </c>
    </row>
    <row r="2804" spans="1:40" x14ac:dyDescent="0.25">
      <c r="A2804" t="str">
        <f>"20190304164424643"</f>
        <v>20190304164424643</v>
      </c>
      <c r="B2804" t="str">
        <f>"1551689064633211"</f>
        <v>1551689064633211</v>
      </c>
      <c r="C2804" t="s">
        <v>40</v>
      </c>
      <c r="D2804">
        <v>5.5344069999999999</v>
      </c>
      <c r="E2804">
        <v>0.44640289999999999</v>
      </c>
      <c r="F2804" t="s">
        <v>41</v>
      </c>
      <c r="G2804">
        <v>-480.11369999999999</v>
      </c>
      <c r="H2804">
        <v>1.028956</v>
      </c>
      <c r="I2804">
        <v>220.37440000000001</v>
      </c>
      <c r="J2804">
        <v>-480.87270000000001</v>
      </c>
      <c r="K2804">
        <v>1.124695</v>
      </c>
      <c r="L2804">
        <v>220.4479</v>
      </c>
      <c r="M2804">
        <v>0.78865419999999997</v>
      </c>
      <c r="N2804">
        <v>-1.7258849999999999E-2</v>
      </c>
      <c r="O2804">
        <v>-0.61459490000000006</v>
      </c>
      <c r="P2804">
        <v>0.87795319999999899</v>
      </c>
      <c r="Q2804">
        <v>0.39174179999999997</v>
      </c>
      <c r="R2804">
        <v>-0.27520329999999998</v>
      </c>
      <c r="S2804">
        <v>3.3528440000000002</v>
      </c>
      <c r="T2804">
        <v>-0.33734690000000001</v>
      </c>
      <c r="U2804">
        <v>-0.70843509999999998</v>
      </c>
      <c r="V2804">
        <v>-0.33576499999999998</v>
      </c>
      <c r="W2804">
        <v>0.3957466</v>
      </c>
      <c r="X2804">
        <v>0.85477860000000006</v>
      </c>
      <c r="Y2804">
        <v>-0.43436550000000002</v>
      </c>
      <c r="Z2804">
        <v>7.0567980000000002E-2</v>
      </c>
      <c r="AA2804">
        <v>0.89796819999999899</v>
      </c>
      <c r="AB2804">
        <v>24</v>
      </c>
      <c r="AC2804">
        <v>0.759000000000014</v>
      </c>
      <c r="AD2804">
        <v>-9.5739000000000005E-2</v>
      </c>
      <c r="AE2804">
        <v>-7.3499999999995597E-2</v>
      </c>
      <c r="AF2804">
        <v>-0.40223185272978002</v>
      </c>
      <c r="AG2804">
        <v>-9.5739000000000005E-2</v>
      </c>
      <c r="AH2804">
        <v>0.63386543615318103</v>
      </c>
      <c r="AI2804">
        <v>97.267705416903894</v>
      </c>
      <c r="AJ2804">
        <v>122.397977534586</v>
      </c>
      <c r="AK2804">
        <v>0.75679707360764403</v>
      </c>
      <c r="AL2804">
        <v>66.687453799362302</v>
      </c>
      <c r="AM2804">
        <v>111.44536255373301</v>
      </c>
      <c r="AN2804">
        <v>0.99999998082725905</v>
      </c>
    </row>
    <row r="2805" spans="1:40" x14ac:dyDescent="0.25">
      <c r="A2805" t="str">
        <f>"20190304164424666"</f>
        <v>20190304164424666</v>
      </c>
      <c r="B2805" t="str">
        <f>"1551689064662491"</f>
        <v>1551689064662491</v>
      </c>
      <c r="C2805" t="s">
        <v>40</v>
      </c>
      <c r="D2805">
        <v>5.5275790000000002</v>
      </c>
      <c r="E2805">
        <v>0.4460961</v>
      </c>
      <c r="F2805" t="s">
        <v>41</v>
      </c>
      <c r="G2805">
        <v>-479.93490000000003</v>
      </c>
      <c r="H2805">
        <v>1.033881</v>
      </c>
      <c r="I2805">
        <v>220.27670000000001</v>
      </c>
      <c r="J2805">
        <v>-480.68020000000001</v>
      </c>
      <c r="K2805">
        <v>1.124555</v>
      </c>
      <c r="L2805">
        <v>220.3263</v>
      </c>
      <c r="M2805">
        <v>0.80115230000000004</v>
      </c>
      <c r="N2805">
        <v>-1.7181769999999999E-2</v>
      </c>
      <c r="O2805">
        <v>-0.59821400000000002</v>
      </c>
      <c r="P2805">
        <v>0.88122849999999997</v>
      </c>
      <c r="Q2805">
        <v>0.39205640000000003</v>
      </c>
      <c r="R2805">
        <v>-0.2640612</v>
      </c>
      <c r="S2805">
        <v>3.3696899999999999</v>
      </c>
      <c r="T2805">
        <v>-0.32636110000000002</v>
      </c>
      <c r="U2805">
        <v>-0.61566160000000003</v>
      </c>
      <c r="V2805">
        <v>-0.32872380000000001</v>
      </c>
      <c r="W2805">
        <v>0.3963622</v>
      </c>
      <c r="X2805">
        <v>0.85722670000000001</v>
      </c>
      <c r="Y2805">
        <v>-0.44080049999999998</v>
      </c>
      <c r="Z2805">
        <v>6.749028E-2</v>
      </c>
      <c r="AA2805">
        <v>0.89506419999999998</v>
      </c>
      <c r="AB2805">
        <v>24</v>
      </c>
      <c r="AC2805">
        <v>0.74529999999998597</v>
      </c>
      <c r="AD2805">
        <v>-9.0673999999999894E-2</v>
      </c>
      <c r="AE2805">
        <v>-4.9599999999998E-2</v>
      </c>
      <c r="AF2805">
        <v>-0.40027316920341599</v>
      </c>
      <c r="AG2805">
        <v>-9.0673999999999894E-2</v>
      </c>
      <c r="AH2805">
        <v>0.61775929867127599</v>
      </c>
      <c r="AI2805">
        <v>97.022399062511695</v>
      </c>
      <c r="AJ2805">
        <v>122.940960601228</v>
      </c>
      <c r="AK2805">
        <v>0.74166497514374596</v>
      </c>
      <c r="AL2805">
        <v>66.649041222008705</v>
      </c>
      <c r="AM2805">
        <v>110.98049962999301</v>
      </c>
      <c r="AN2805">
        <v>0.99999997273408403</v>
      </c>
    </row>
    <row r="2806" spans="1:40" x14ac:dyDescent="0.25">
      <c r="A2806" t="str">
        <f>"20190304164424689"</f>
        <v>20190304164424689</v>
      </c>
      <c r="B2806" t="str">
        <f>"1551689064682987"</f>
        <v>1551689064682987</v>
      </c>
      <c r="C2806" t="s">
        <v>40</v>
      </c>
      <c r="D2806">
        <v>5.5416629999999998</v>
      </c>
      <c r="E2806">
        <v>0.44710739999999999</v>
      </c>
      <c r="F2806" t="s">
        <v>41</v>
      </c>
      <c r="G2806">
        <v>-479.71969999999999</v>
      </c>
      <c r="H2806">
        <v>1.029844</v>
      </c>
      <c r="I2806">
        <v>220.1669</v>
      </c>
      <c r="J2806">
        <v>-480.47550000000001</v>
      </c>
      <c r="K2806">
        <v>1.124376</v>
      </c>
      <c r="L2806">
        <v>220.20269999999999</v>
      </c>
      <c r="M2806">
        <v>0.81377559999999904</v>
      </c>
      <c r="N2806">
        <v>-1.7073140000000001E-2</v>
      </c>
      <c r="O2806">
        <v>-0.58092860000000002</v>
      </c>
      <c r="P2806">
        <v>0.88395389999999996</v>
      </c>
      <c r="Q2806">
        <v>0.39305449999999997</v>
      </c>
      <c r="R2806">
        <v>-0.25324669999999999</v>
      </c>
      <c r="S2806">
        <v>3.3847049999999999</v>
      </c>
      <c r="T2806">
        <v>-0.33366259999999998</v>
      </c>
      <c r="U2806">
        <v>-0.56098939999999997</v>
      </c>
      <c r="V2806">
        <v>-0.32042599999999999</v>
      </c>
      <c r="W2806">
        <v>0.39769529999999997</v>
      </c>
      <c r="X2806">
        <v>0.85974740000000005</v>
      </c>
      <c r="Y2806">
        <v>-0.43623299999999998</v>
      </c>
      <c r="Z2806">
        <v>6.778236E-2</v>
      </c>
      <c r="AA2806">
        <v>0.897277199999999</v>
      </c>
      <c r="AB2806">
        <v>24</v>
      </c>
      <c r="AC2806">
        <v>0.75580000000002101</v>
      </c>
      <c r="AD2806">
        <v>-9.4532000000000005E-2</v>
      </c>
      <c r="AE2806">
        <v>-3.5799999999994697E-2</v>
      </c>
      <c r="AF2806">
        <v>-0.40369122425776099</v>
      </c>
      <c r="AG2806">
        <v>-9.4532000000000005E-2</v>
      </c>
      <c r="AH2806">
        <v>0.62616770210309103</v>
      </c>
      <c r="AI2806">
        <v>97.231357129638795</v>
      </c>
      <c r="AJ2806">
        <v>122.80993430230799</v>
      </c>
      <c r="AK2806">
        <v>0.75099194051853502</v>
      </c>
      <c r="AL2806">
        <v>66.565820170431806</v>
      </c>
      <c r="AM2806">
        <v>110.440315938729</v>
      </c>
      <c r="AN2806">
        <v>0.99999998246242405</v>
      </c>
    </row>
    <row r="2807" spans="1:40" x14ac:dyDescent="0.25">
      <c r="A2807" t="str">
        <f>"20190304164424712"</f>
        <v>20190304164424712</v>
      </c>
      <c r="B2807" t="str">
        <f>"1551689064702507"</f>
        <v>1551689064702507</v>
      </c>
      <c r="C2807" t="s">
        <v>40</v>
      </c>
      <c r="D2807">
        <v>5.5193640000000004</v>
      </c>
      <c r="E2807">
        <v>0.44826240000000001</v>
      </c>
      <c r="F2807" t="s">
        <v>45</v>
      </c>
      <c r="G2807">
        <v>-469.12389999999999</v>
      </c>
      <c r="H2807" s="1">
        <v>3.1500490000000002E-6</v>
      </c>
      <c r="I2807">
        <v>218.47030000000001</v>
      </c>
      <c r="J2807">
        <v>-480.27260000000001</v>
      </c>
      <c r="K2807">
        <v>1.124174</v>
      </c>
      <c r="L2807">
        <v>220.0857</v>
      </c>
      <c r="M2807">
        <v>0.82563600000000004</v>
      </c>
      <c r="N2807">
        <v>-1.694377E-2</v>
      </c>
      <c r="O2807">
        <v>-0.56394880000000003</v>
      </c>
      <c r="P2807">
        <v>0.88868769999999997</v>
      </c>
      <c r="Q2807">
        <v>0.39044849999999998</v>
      </c>
      <c r="R2807">
        <v>-0.2403835</v>
      </c>
      <c r="S2807">
        <v>3.3949280000000002</v>
      </c>
      <c r="T2807">
        <v>-0.33626679999999998</v>
      </c>
      <c r="U2807">
        <v>-0.51812740000000002</v>
      </c>
      <c r="V2807">
        <v>-0.31544139999999998</v>
      </c>
      <c r="W2807">
        <v>0.39532089999999998</v>
      </c>
      <c r="X2807">
        <v>0.86268080000000003</v>
      </c>
      <c r="Y2807">
        <v>-0.42910740000000003</v>
      </c>
      <c r="Z2807">
        <v>6.6888439999999993E-2</v>
      </c>
      <c r="AA2807">
        <v>0.9007735</v>
      </c>
      <c r="AB2807">
        <v>24</v>
      </c>
      <c r="AC2807">
        <v>11.1487</v>
      </c>
      <c r="AD2807">
        <v>-1.1241708499509999</v>
      </c>
      <c r="AE2807">
        <v>-1.61539999999999</v>
      </c>
      <c r="AF2807">
        <v>-4.9054239283041801</v>
      </c>
      <c r="AG2807">
        <v>-1.1241708499509999</v>
      </c>
      <c r="AH2807">
        <v>10.017463997458099</v>
      </c>
      <c r="AI2807">
        <v>95.755173420745393</v>
      </c>
      <c r="AJ2807">
        <v>116.090400214957</v>
      </c>
      <c r="AK2807">
        <v>11.210554355455701</v>
      </c>
      <c r="AL2807">
        <v>66.714011386566597</v>
      </c>
      <c r="AM2807">
        <v>110.085066080747</v>
      </c>
      <c r="AN2807">
        <v>1.0000000267497</v>
      </c>
    </row>
    <row r="2808" spans="1:40" x14ac:dyDescent="0.25">
      <c r="A2808" t="str">
        <f>"20190304164424734"</f>
        <v>20190304164424734</v>
      </c>
      <c r="B2808" t="str">
        <f>"1551689064723003"</f>
        <v>1551689064723003</v>
      </c>
      <c r="C2808" t="s">
        <v>40</v>
      </c>
      <c r="D2808">
        <v>5.5144890000000002</v>
      </c>
      <c r="E2808">
        <v>0.44949539999999999</v>
      </c>
      <c r="F2808" t="s">
        <v>45</v>
      </c>
      <c r="G2808">
        <v>-469.50819999999999</v>
      </c>
      <c r="H2808" s="1">
        <v>3.3497190000000002E-6</v>
      </c>
      <c r="I2808">
        <v>218.5806</v>
      </c>
      <c r="J2808">
        <v>-480.08010000000002</v>
      </c>
      <c r="K2808">
        <v>1.123939</v>
      </c>
      <c r="L2808">
        <v>219.9795</v>
      </c>
      <c r="M2808">
        <v>0.83628480000000005</v>
      </c>
      <c r="N2808">
        <v>-1.6801940000000001E-2</v>
      </c>
      <c r="O2808">
        <v>-0.54803819999999903</v>
      </c>
      <c r="P2808">
        <v>0.89307859999999994</v>
      </c>
      <c r="Q2808">
        <v>0.38746940000000002</v>
      </c>
      <c r="R2808">
        <v>-0.22864509999999999</v>
      </c>
      <c r="S2808">
        <v>3.4031980000000002</v>
      </c>
      <c r="T2808">
        <v>-0.35540850000000002</v>
      </c>
      <c r="U2808">
        <v>-0.47583009999999898</v>
      </c>
      <c r="V2808">
        <v>-0.31067080000000002</v>
      </c>
      <c r="W2808">
        <v>0.392569</v>
      </c>
      <c r="X2808">
        <v>0.86566350000000003</v>
      </c>
      <c r="Y2808">
        <v>-0.42271520000000001</v>
      </c>
      <c r="Z2808">
        <v>6.9589949999999998E-2</v>
      </c>
      <c r="AA2808">
        <v>0.90358680000000002</v>
      </c>
      <c r="AB2808">
        <v>24</v>
      </c>
      <c r="AC2808">
        <v>10.571899999999999</v>
      </c>
      <c r="AD2808">
        <v>-1.1239356502810001</v>
      </c>
      <c r="AE2808">
        <v>-1.39889999999999</v>
      </c>
      <c r="AF2808">
        <v>-4.57377227533346</v>
      </c>
      <c r="AG2808">
        <v>-1.1239356502810001</v>
      </c>
      <c r="AH2808">
        <v>9.5035580988847705</v>
      </c>
      <c r="AI2808">
        <v>96.082799211057505</v>
      </c>
      <c r="AJ2808">
        <v>115.70009122530099</v>
      </c>
      <c r="AK2808">
        <v>10.606613065039101</v>
      </c>
      <c r="AL2808">
        <v>66.885555927096206</v>
      </c>
      <c r="AM2808">
        <v>109.742134205008</v>
      </c>
      <c r="AN2808">
        <v>1.00000003048294</v>
      </c>
    </row>
    <row r="2809" spans="1:40" x14ac:dyDescent="0.25">
      <c r="A2809" t="str">
        <f>"20190304164424757"</f>
        <v>20190304164424757</v>
      </c>
      <c r="B2809" t="str">
        <f>"1551689064752282"</f>
        <v>1551689064752282</v>
      </c>
      <c r="C2809" t="s">
        <v>40</v>
      </c>
      <c r="D2809">
        <v>5.5062939999999996</v>
      </c>
      <c r="E2809">
        <v>0.45151029999999998</v>
      </c>
      <c r="F2809" t="s">
        <v>45</v>
      </c>
      <c r="G2809">
        <v>-469.94749999999999</v>
      </c>
      <c r="H2809" s="1">
        <v>3.5796879999999999E-6</v>
      </c>
      <c r="I2809">
        <v>218.66810000000001</v>
      </c>
      <c r="J2809">
        <v>-479.87529999999998</v>
      </c>
      <c r="K2809">
        <v>1.1236630000000001</v>
      </c>
      <c r="L2809">
        <v>219.8717</v>
      </c>
      <c r="M2809">
        <v>0.8469662</v>
      </c>
      <c r="N2809">
        <v>-1.6627090000000001E-2</v>
      </c>
      <c r="O2809">
        <v>-0.53138669999999899</v>
      </c>
      <c r="P2809">
        <v>0.89645339999999996</v>
      </c>
      <c r="Q2809">
        <v>0.3863375</v>
      </c>
      <c r="R2809">
        <v>-0.2170588</v>
      </c>
      <c r="S2809">
        <v>3.4103699999999999</v>
      </c>
      <c r="T2809">
        <v>-0.3782874</v>
      </c>
      <c r="U2809">
        <v>-0.44137569999999998</v>
      </c>
      <c r="V2809">
        <v>-0.30468230000000002</v>
      </c>
      <c r="W2809">
        <v>0.39169480000000001</v>
      </c>
      <c r="X2809">
        <v>0.86818430000000002</v>
      </c>
      <c r="Y2809">
        <v>-0.4135337</v>
      </c>
      <c r="Z2809">
        <v>7.2623160000000006E-2</v>
      </c>
      <c r="AA2809">
        <v>0.9075879</v>
      </c>
      <c r="AB2809">
        <v>24</v>
      </c>
      <c r="AC2809">
        <v>9.9277999999999906</v>
      </c>
      <c r="AD2809">
        <v>-1.1236594203119901</v>
      </c>
      <c r="AE2809">
        <v>-1.20359999999999</v>
      </c>
      <c r="AF2809">
        <v>-4.2036107475208997</v>
      </c>
      <c r="AG2809">
        <v>-1.1236594203119901</v>
      </c>
      <c r="AH2809">
        <v>8.9365166522504094</v>
      </c>
      <c r="AI2809">
        <v>96.491138092680004</v>
      </c>
      <c r="AJ2809">
        <v>115.191628212569</v>
      </c>
      <c r="AK2809">
        <v>9.9395313614615706</v>
      </c>
      <c r="AL2809">
        <v>66.940005224414605</v>
      </c>
      <c r="AM2809">
        <v>109.33811257171401</v>
      </c>
      <c r="AN2809">
        <v>1.0000000495234</v>
      </c>
    </row>
    <row r="2810" spans="1:40" x14ac:dyDescent="0.25">
      <c r="A2810" t="str">
        <f>"20190304164424777"</f>
        <v>20190304164424777</v>
      </c>
      <c r="B2810" t="str">
        <f>"1551689064772778"</f>
        <v>1551689064772778</v>
      </c>
      <c r="C2810" t="s">
        <v>40</v>
      </c>
      <c r="D2810">
        <v>5.5353260000000004</v>
      </c>
      <c r="E2810">
        <v>0.45325850000000001</v>
      </c>
      <c r="F2810" t="s">
        <v>41</v>
      </c>
      <c r="G2810">
        <v>-478.77760000000001</v>
      </c>
      <c r="H2810">
        <v>0.99683010000000005</v>
      </c>
      <c r="I2810">
        <v>219.7406</v>
      </c>
      <c r="J2810">
        <v>-479.68119999999999</v>
      </c>
      <c r="K2810">
        <v>1.123372</v>
      </c>
      <c r="L2810">
        <v>219.77369999999999</v>
      </c>
      <c r="M2810">
        <v>0.85651719999999898</v>
      </c>
      <c r="N2810">
        <v>-1.6447610000000001E-2</v>
      </c>
      <c r="O2810">
        <v>-0.51585669999999995</v>
      </c>
      <c r="P2810">
        <v>0.89909989999999995</v>
      </c>
      <c r="Q2810">
        <v>0.38585120000000001</v>
      </c>
      <c r="R2810">
        <v>-0.20673349999999999</v>
      </c>
      <c r="S2810">
        <v>3.4178769999999998</v>
      </c>
      <c r="T2810">
        <v>-0.3948971</v>
      </c>
      <c r="U2810">
        <v>-0.40835569999999999</v>
      </c>
      <c r="V2810">
        <v>-0.29862569999999999</v>
      </c>
      <c r="W2810">
        <v>0.39145829999999998</v>
      </c>
      <c r="X2810">
        <v>0.87039249999999901</v>
      </c>
      <c r="Y2810">
        <v>-0.40550120000000001</v>
      </c>
      <c r="Z2810">
        <v>7.4262480000000006E-2</v>
      </c>
      <c r="AA2810">
        <v>0.91107300000000002</v>
      </c>
      <c r="AB2810">
        <v>24</v>
      </c>
      <c r="AC2810">
        <v>0.90359999999998297</v>
      </c>
      <c r="AD2810">
        <v>-0.12654190000000001</v>
      </c>
      <c r="AE2810">
        <v>-3.3099999999990297E-2</v>
      </c>
      <c r="AF2810">
        <v>-0.42942603124621598</v>
      </c>
      <c r="AG2810">
        <v>-0.12654190000000001</v>
      </c>
      <c r="AH2810">
        <v>0.77593364693472</v>
      </c>
      <c r="AI2810">
        <v>98.120662533319106</v>
      </c>
      <c r="AJ2810">
        <v>118.96151838537099</v>
      </c>
      <c r="AK2810">
        <v>0.89581950928348397</v>
      </c>
      <c r="AL2810">
        <v>66.954730602223194</v>
      </c>
      <c r="AM2810">
        <v>108.936743133283</v>
      </c>
      <c r="AN2810">
        <v>1.0000000066978101</v>
      </c>
    </row>
    <row r="2811" spans="1:40" x14ac:dyDescent="0.25">
      <c r="A2811" t="str">
        <f>"20190304164424802"</f>
        <v>20190304164424802</v>
      </c>
      <c r="B2811" t="str">
        <f>"1551689064792299"</f>
        <v>1551689064792299</v>
      </c>
      <c r="C2811" t="s">
        <v>40</v>
      </c>
      <c r="D2811">
        <v>5.5181069999999997</v>
      </c>
      <c r="E2811">
        <v>0.45403110000000002</v>
      </c>
      <c r="F2811" t="s">
        <v>47</v>
      </c>
      <c r="G2811">
        <v>-470.1696</v>
      </c>
      <c r="H2811" s="1">
        <v>6.0625129999999997E-6</v>
      </c>
      <c r="I2811">
        <v>218.7176</v>
      </c>
      <c r="J2811">
        <v>-479.46010000000001</v>
      </c>
      <c r="K2811">
        <v>1.123059</v>
      </c>
      <c r="L2811">
        <v>219.6669</v>
      </c>
      <c r="M2811">
        <v>0.86675100000000005</v>
      </c>
      <c r="N2811">
        <v>-1.6242030000000001E-2</v>
      </c>
      <c r="O2811">
        <v>-0.49847710000000001</v>
      </c>
      <c r="P2811">
        <v>0.90273419999999904</v>
      </c>
      <c r="Q2811">
        <v>0.3847063</v>
      </c>
      <c r="R2811">
        <v>-0.19254180000000001</v>
      </c>
      <c r="S2811">
        <v>3.4227599999999998</v>
      </c>
      <c r="T2811">
        <v>-0.40424280000000001</v>
      </c>
      <c r="U2811">
        <v>-0.38003540000000002</v>
      </c>
      <c r="V2811">
        <v>-0.29467559999999998</v>
      </c>
      <c r="W2811">
        <v>0.39048389999999999</v>
      </c>
      <c r="X2811">
        <v>0.87217459999999902</v>
      </c>
      <c r="Y2811">
        <v>-0.39455249999999997</v>
      </c>
      <c r="Z2811">
        <v>7.3987330000000004E-2</v>
      </c>
      <c r="AA2811">
        <v>0.91588990000000003</v>
      </c>
      <c r="AB2811">
        <v>24</v>
      </c>
      <c r="AC2811">
        <v>9.2904999999999998</v>
      </c>
      <c r="AD2811">
        <v>-1.123052937487</v>
      </c>
      <c r="AE2811">
        <v>-0.94929999999999304</v>
      </c>
      <c r="AF2811">
        <v>-3.7545007284645799</v>
      </c>
      <c r="AG2811">
        <v>-1.123052937487</v>
      </c>
      <c r="AH2811">
        <v>8.4053239832390005</v>
      </c>
      <c r="AI2811">
        <v>96.9554170924674</v>
      </c>
      <c r="AJ2811">
        <v>114.06942048131801</v>
      </c>
      <c r="AK2811">
        <v>9.2739956266785093</v>
      </c>
      <c r="AL2811">
        <v>67.015386586727104</v>
      </c>
      <c r="AM2811">
        <v>108.66821257189601</v>
      </c>
      <c r="AN2811">
        <v>0.99999995913986395</v>
      </c>
    </row>
    <row r="2812" spans="1:40" x14ac:dyDescent="0.25">
      <c r="A2812" t="str">
        <f>"20190304164424824"</f>
        <v>20190304164424824</v>
      </c>
      <c r="B2812" t="str">
        <f>"1551689064812795"</f>
        <v>1551689064812795</v>
      </c>
      <c r="C2812" t="s">
        <v>40</v>
      </c>
      <c r="D2812">
        <v>5.5256829999999999</v>
      </c>
      <c r="E2812">
        <v>0.47765000000000002</v>
      </c>
      <c r="F2812" t="s">
        <v>47</v>
      </c>
      <c r="G2812">
        <v>-470.03989999999999</v>
      </c>
      <c r="H2812" s="1">
        <v>6.1212839999999997E-6</v>
      </c>
      <c r="I2812">
        <v>218.74700000000001</v>
      </c>
      <c r="J2812">
        <v>-479.245</v>
      </c>
      <c r="K2812">
        <v>1.1227609999999999</v>
      </c>
      <c r="L2812">
        <v>219.5676</v>
      </c>
      <c r="M2812">
        <v>0.87608459999999999</v>
      </c>
      <c r="N2812">
        <v>-1.603752E-2</v>
      </c>
      <c r="O2812">
        <v>-0.4818906</v>
      </c>
      <c r="P2812">
        <v>0.90586319999999998</v>
      </c>
      <c r="Q2812">
        <v>0.38377939999999999</v>
      </c>
      <c r="R2812">
        <v>-0.17923520000000001</v>
      </c>
      <c r="S2812">
        <v>3.4259339999999998</v>
      </c>
      <c r="T2812">
        <v>-0.40843420000000003</v>
      </c>
      <c r="U2812">
        <v>-0.33454899999999999</v>
      </c>
      <c r="V2812">
        <v>-0.29077150000000002</v>
      </c>
      <c r="W2812">
        <v>0.38970949999999999</v>
      </c>
      <c r="X2812">
        <v>0.87382979999999999</v>
      </c>
      <c r="Y2812">
        <v>-0.38919419999999999</v>
      </c>
      <c r="Z2812">
        <v>7.311194E-2</v>
      </c>
      <c r="AA2812">
        <v>0.91824969999999995</v>
      </c>
      <c r="AB2812">
        <v>24</v>
      </c>
      <c r="AC2812">
        <v>9.2051000000000105</v>
      </c>
      <c r="AD2812">
        <v>-1.122754878716</v>
      </c>
      <c r="AE2812">
        <v>-0.82059999999998401</v>
      </c>
      <c r="AF2812">
        <v>-3.6633446989447198</v>
      </c>
      <c r="AG2812">
        <v>-1.122754878716</v>
      </c>
      <c r="AH2812">
        <v>8.3379096536458501</v>
      </c>
      <c r="AI2812">
        <v>97.028093570789494</v>
      </c>
      <c r="AJ2812">
        <v>113.718769758281</v>
      </c>
      <c r="AK2812">
        <v>9.17613264362104</v>
      </c>
      <c r="AL2812">
        <v>67.063576104005705</v>
      </c>
      <c r="AM2812">
        <v>108.40513683496999</v>
      </c>
      <c r="AN2812">
        <v>1.00000003948526</v>
      </c>
    </row>
    <row r="2813" spans="1:40" x14ac:dyDescent="0.25">
      <c r="A2813" t="str">
        <f>"20190304164424846"</f>
        <v>20190304164424846</v>
      </c>
      <c r="B2813" t="str">
        <f>"1551689064832315"</f>
        <v>1551689064832315</v>
      </c>
      <c r="C2813" t="s">
        <v>40</v>
      </c>
      <c r="D2813">
        <v>5.5530400000000002</v>
      </c>
      <c r="E2813">
        <v>0.47963620000000001</v>
      </c>
      <c r="F2813" t="s">
        <v>47</v>
      </c>
      <c r="G2813">
        <v>-471.62920000000003</v>
      </c>
      <c r="H2813" s="1">
        <v>5.4060039999999997E-6</v>
      </c>
      <c r="I2813">
        <v>218.50640000000001</v>
      </c>
      <c r="J2813">
        <v>-479.04329999999999</v>
      </c>
      <c r="K2813">
        <v>1.12249</v>
      </c>
      <c r="L2813">
        <v>219.47839999999999</v>
      </c>
      <c r="M2813">
        <v>0.88428220000000002</v>
      </c>
      <c r="N2813">
        <v>-1.583652E-2</v>
      </c>
      <c r="O2813">
        <v>-0.4666844</v>
      </c>
      <c r="P2813">
        <v>0.90799209999999997</v>
      </c>
      <c r="Q2813">
        <v>0.38393240000000001</v>
      </c>
      <c r="R2813">
        <v>-0.1677679</v>
      </c>
      <c r="S2813">
        <v>3.4315190000000002</v>
      </c>
      <c r="T2813">
        <v>-0.50588979999999995</v>
      </c>
      <c r="U2813">
        <v>-0.4781647</v>
      </c>
      <c r="V2813">
        <v>-0.28640199999999999</v>
      </c>
      <c r="W2813">
        <v>0.39001419999999998</v>
      </c>
      <c r="X2813">
        <v>0.87513589999999997</v>
      </c>
      <c r="Y2813">
        <v>-0.3328178</v>
      </c>
      <c r="Z2813">
        <v>8.4813760000000002E-2</v>
      </c>
      <c r="AA2813">
        <v>0.93916929999999998</v>
      </c>
      <c r="AB2813">
        <v>24</v>
      </c>
      <c r="AC2813">
        <v>7.4140999999999604</v>
      </c>
      <c r="AD2813">
        <v>-1.122484593996</v>
      </c>
      <c r="AE2813">
        <v>-0.97199999999997999</v>
      </c>
      <c r="AF2813">
        <v>-2.5435319496510198</v>
      </c>
      <c r="AG2813">
        <v>-1.122484593996</v>
      </c>
      <c r="AH2813">
        <v>6.8561544012951696</v>
      </c>
      <c r="AI2813">
        <v>98.726606539542701</v>
      </c>
      <c r="AJ2813">
        <v>110.354109426481</v>
      </c>
      <c r="AK2813">
        <v>7.3984038560390202</v>
      </c>
      <c r="AL2813">
        <v>67.044617337086194</v>
      </c>
      <c r="AM2813">
        <v>108.12149876040399</v>
      </c>
      <c r="AN2813">
        <v>1.0000000126372199</v>
      </c>
    </row>
    <row r="2814" spans="1:40" x14ac:dyDescent="0.25">
      <c r="A2814" t="str">
        <f>"20190304164424865"</f>
        <v>20190304164424865</v>
      </c>
      <c r="B2814" t="str">
        <f>"1551689064862570"</f>
        <v>1551689064862570</v>
      </c>
      <c r="C2814" t="s">
        <v>40</v>
      </c>
      <c r="D2814">
        <v>5.5316349999999996</v>
      </c>
      <c r="E2814">
        <v>0.4827167</v>
      </c>
      <c r="F2814" t="s">
        <v>47</v>
      </c>
      <c r="G2814">
        <v>-471.42239999999998</v>
      </c>
      <c r="H2814" s="1">
        <v>5.4965029999999997E-6</v>
      </c>
      <c r="I2814">
        <v>218.47900000000001</v>
      </c>
      <c r="J2814">
        <v>-478.86349999999999</v>
      </c>
      <c r="K2814">
        <v>1.1222129999999999</v>
      </c>
      <c r="L2814">
        <v>219.40199999999999</v>
      </c>
      <c r="M2814">
        <v>0.89113189999999998</v>
      </c>
      <c r="N2814">
        <v>-1.5645220000000001E-2</v>
      </c>
      <c r="O2814">
        <v>-0.45347460000000001</v>
      </c>
      <c r="P2814">
        <v>0.90981719999999999</v>
      </c>
      <c r="Q2814">
        <v>0.3838799</v>
      </c>
      <c r="R2814">
        <v>-0.1576979</v>
      </c>
      <c r="S2814">
        <v>3.4346920000000001</v>
      </c>
      <c r="T2814">
        <v>-0.50589980000000001</v>
      </c>
      <c r="U2814">
        <v>-0.4504089</v>
      </c>
      <c r="V2814">
        <v>-0.28280440000000001</v>
      </c>
      <c r="W2814">
        <v>0.39008579999999998</v>
      </c>
      <c r="X2814">
        <v>0.87627319999999997</v>
      </c>
      <c r="Y2814">
        <v>-0.32653169999999998</v>
      </c>
      <c r="Z2814">
        <v>8.2877770000000003E-2</v>
      </c>
      <c r="AA2814">
        <v>0.94154570000000004</v>
      </c>
      <c r="AB2814">
        <v>24</v>
      </c>
      <c r="AC2814">
        <v>7.4410999999999996</v>
      </c>
      <c r="AD2814">
        <v>-1.1222075034969901</v>
      </c>
      <c r="AE2814">
        <v>-0.92300000000000104</v>
      </c>
      <c r="AF2814">
        <v>-2.4962327196000298</v>
      </c>
      <c r="AG2814">
        <v>-1.1222075034969901</v>
      </c>
      <c r="AH2814">
        <v>6.8959545669190598</v>
      </c>
      <c r="AI2814">
        <v>98.6997758373588</v>
      </c>
      <c r="AJ2814">
        <v>109.899500583115</v>
      </c>
      <c r="AK2814">
        <v>7.4192126846666504</v>
      </c>
      <c r="AL2814">
        <v>67.0401615377355</v>
      </c>
      <c r="AM2814">
        <v>107.886728412721</v>
      </c>
      <c r="AN2814">
        <v>0.99999999052961897</v>
      </c>
    </row>
    <row r="2815" spans="1:40" x14ac:dyDescent="0.25">
      <c r="A2815" t="str">
        <f>"20190304164424890"</f>
        <v>20190304164424890</v>
      </c>
      <c r="B2815" t="str">
        <f>"1551689064883067"</f>
        <v>1551689064883067</v>
      </c>
      <c r="C2815" t="s">
        <v>40</v>
      </c>
      <c r="D2815">
        <v>5.5460050000000001</v>
      </c>
      <c r="E2815">
        <v>0.49282500000000001</v>
      </c>
      <c r="F2815" t="s">
        <v>47</v>
      </c>
      <c r="G2815">
        <v>-471.34039999999999</v>
      </c>
      <c r="H2815" s="1">
        <v>5.5314449999999999E-6</v>
      </c>
      <c r="I2815">
        <v>218.44640000000001</v>
      </c>
      <c r="J2815">
        <v>-478.61989999999997</v>
      </c>
      <c r="K2815">
        <v>1.121796</v>
      </c>
      <c r="L2815">
        <v>219.30260000000001</v>
      </c>
      <c r="M2815">
        <v>0.8997636</v>
      </c>
      <c r="N2815">
        <v>-1.536993E-2</v>
      </c>
      <c r="O2815">
        <v>-0.43610719999999997</v>
      </c>
      <c r="P2815">
        <v>0.91261630000000005</v>
      </c>
      <c r="Q2815">
        <v>0.38306319999999999</v>
      </c>
      <c r="R2815">
        <v>-0.1428083</v>
      </c>
      <c r="S2815">
        <v>3.4380799999999998</v>
      </c>
      <c r="T2815">
        <v>-0.51285479999999894</v>
      </c>
      <c r="U2815">
        <v>-0.43673709999999999</v>
      </c>
      <c r="V2815">
        <v>-0.27985270000000001</v>
      </c>
      <c r="W2815">
        <v>0.38938709999999999</v>
      </c>
      <c r="X2815">
        <v>0.877530699999999</v>
      </c>
      <c r="Y2815">
        <v>-0.3120829</v>
      </c>
      <c r="Z2815">
        <v>8.0913579999999999E-2</v>
      </c>
      <c r="AA2815">
        <v>0.94660310000000003</v>
      </c>
      <c r="AB2815">
        <v>24</v>
      </c>
      <c r="AC2815">
        <v>7.2794999999999801</v>
      </c>
      <c r="AD2815">
        <v>-1.121790468555</v>
      </c>
      <c r="AE2815">
        <v>-0.85620000000000096</v>
      </c>
      <c r="AF2815">
        <v>-2.3495144171170801</v>
      </c>
      <c r="AG2815">
        <v>-1.121790468555</v>
      </c>
      <c r="AH2815">
        <v>6.7655672026259897</v>
      </c>
      <c r="AI2815">
        <v>98.902057650463703</v>
      </c>
      <c r="AJ2815">
        <v>109.150851626212</v>
      </c>
      <c r="AK2815">
        <v>7.2492435070723298</v>
      </c>
      <c r="AL2815">
        <v>67.083631367537706</v>
      </c>
      <c r="AM2815">
        <v>107.68796592783799</v>
      </c>
      <c r="AN2815">
        <v>0.99999998839309401</v>
      </c>
    </row>
    <row r="2816" spans="1:40" x14ac:dyDescent="0.25">
      <c r="A2816" t="str">
        <f>"20190304164424915"</f>
        <v>20190304164424915</v>
      </c>
      <c r="B2816" t="str">
        <f>"1551689064902587"</f>
        <v>1551689064902587</v>
      </c>
      <c r="C2816" t="s">
        <v>40</v>
      </c>
      <c r="D2816">
        <v>5.5355210000000001</v>
      </c>
      <c r="E2816">
        <v>0.49413420000000002</v>
      </c>
      <c r="F2816" t="s">
        <v>47</v>
      </c>
      <c r="G2816">
        <v>-471.36930000000001</v>
      </c>
      <c r="H2816" s="1">
        <v>5.5133320000000003E-6</v>
      </c>
      <c r="I2816">
        <v>218.32490000000001</v>
      </c>
      <c r="J2816">
        <v>-478.39010000000002</v>
      </c>
      <c r="K2816">
        <v>1.121351</v>
      </c>
      <c r="L2816">
        <v>219.21289999999999</v>
      </c>
      <c r="M2816">
        <v>0.90723140000000002</v>
      </c>
      <c r="N2816">
        <v>-1.5106130000000001E-2</v>
      </c>
      <c r="O2816">
        <v>-0.42036059999999997</v>
      </c>
      <c r="P2816">
        <v>0.91560969999999997</v>
      </c>
      <c r="Q2816">
        <v>0.38083230000000001</v>
      </c>
      <c r="R2816">
        <v>-0.12893940000000001</v>
      </c>
      <c r="S2816">
        <v>3.4379580000000001</v>
      </c>
      <c r="T2816">
        <v>-0.5319083</v>
      </c>
      <c r="U2816">
        <v>-0.46357730000000003</v>
      </c>
      <c r="V2816">
        <v>-0.2777869</v>
      </c>
      <c r="W2816">
        <v>0.38728010000000002</v>
      </c>
      <c r="X2816">
        <v>0.87911810000000001</v>
      </c>
      <c r="Y2816">
        <v>-0.28805380000000003</v>
      </c>
      <c r="Z2816">
        <v>8.0116300000000001E-2</v>
      </c>
      <c r="AA2816">
        <v>0.95425700000000002</v>
      </c>
      <c r="AB2816">
        <v>24</v>
      </c>
      <c r="AC2816">
        <v>7.0208000000000004</v>
      </c>
      <c r="AD2816">
        <v>-1.1213454866679999</v>
      </c>
      <c r="AE2816">
        <v>-0.88799999999997603</v>
      </c>
      <c r="AF2816">
        <v>-2.0933315485297999</v>
      </c>
      <c r="AG2816">
        <v>-1.1213454866679999</v>
      </c>
      <c r="AH2816">
        <v>6.5783696973889301</v>
      </c>
      <c r="AI2816">
        <v>99.226185669876102</v>
      </c>
      <c r="AJ2816">
        <v>107.65181608151001</v>
      </c>
      <c r="AK2816">
        <v>6.9938830808118198</v>
      </c>
      <c r="AL2816">
        <v>67.214636063807205</v>
      </c>
      <c r="AM2816">
        <v>107.535681706007</v>
      </c>
      <c r="AN2816">
        <v>1.00000003570761</v>
      </c>
    </row>
    <row r="2817" spans="1:40" x14ac:dyDescent="0.25">
      <c r="A2817" t="str">
        <f>"20190304164424936"</f>
        <v>20190304164424936</v>
      </c>
      <c r="B2817" t="str">
        <f>"1551689064932843"</f>
        <v>1551689064932843</v>
      </c>
      <c r="C2817" t="s">
        <v>40</v>
      </c>
      <c r="D2817">
        <v>5.5455129999999997</v>
      </c>
      <c r="E2817">
        <v>0.49673869999999998</v>
      </c>
      <c r="F2817" t="s">
        <v>47</v>
      </c>
      <c r="G2817">
        <v>-471.25069999999999</v>
      </c>
      <c r="H2817" s="1">
        <v>5.5661230000000004E-6</v>
      </c>
      <c r="I2817">
        <v>218.3295</v>
      </c>
      <c r="J2817">
        <v>-478.17840000000001</v>
      </c>
      <c r="K2817">
        <v>1.1208990000000001</v>
      </c>
      <c r="L2817">
        <v>219.13380000000001</v>
      </c>
      <c r="M2817">
        <v>0.91352690000000003</v>
      </c>
      <c r="N2817">
        <v>-1.486089E-2</v>
      </c>
      <c r="O2817">
        <v>-0.40650710000000001</v>
      </c>
      <c r="P2817">
        <v>0.91795839999999995</v>
      </c>
      <c r="Q2817">
        <v>0.37914249999999999</v>
      </c>
      <c r="R2817">
        <v>-0.1166335</v>
      </c>
      <c r="S2817">
        <v>3.441376</v>
      </c>
      <c r="T2817">
        <v>-0.54051300000000002</v>
      </c>
      <c r="U2817">
        <v>-0.42584230000000001</v>
      </c>
      <c r="V2817">
        <v>-0.27602209999999899</v>
      </c>
      <c r="W2817">
        <v>0.38572279999999998</v>
      </c>
      <c r="X2817">
        <v>0.88035769999999902</v>
      </c>
      <c r="Y2817">
        <v>-0.28383120000000001</v>
      </c>
      <c r="Z2817">
        <v>7.9442090000000007E-2</v>
      </c>
      <c r="AA2817">
        <v>0.95557769999999997</v>
      </c>
      <c r="AB2817">
        <v>24</v>
      </c>
      <c r="AC2817">
        <v>6.9277000000000104</v>
      </c>
      <c r="AD2817">
        <v>-1.12089343387699</v>
      </c>
      <c r="AE2817">
        <v>-0.80430000000001201</v>
      </c>
      <c r="AF2817">
        <v>-2.02922295078293</v>
      </c>
      <c r="AG2817">
        <v>-1.12089343387699</v>
      </c>
      <c r="AH2817">
        <v>6.4887201174420701</v>
      </c>
      <c r="AI2817">
        <v>99.362174488725401</v>
      </c>
      <c r="AJ2817">
        <v>107.36607376352499</v>
      </c>
      <c r="AK2817">
        <v>6.8904017761368701</v>
      </c>
      <c r="AL2817">
        <v>67.311379597931705</v>
      </c>
      <c r="AM2817">
        <v>107.40798348048899</v>
      </c>
      <c r="AN2817">
        <v>0.99999997903876903</v>
      </c>
    </row>
    <row r="2818" spans="1:40" x14ac:dyDescent="0.25">
      <c r="A2818" t="str">
        <f>"20190304164424957"</f>
        <v>20190304164424957</v>
      </c>
      <c r="B2818" t="str">
        <f>"1551689064952363"</f>
        <v>1551689064952363</v>
      </c>
      <c r="C2818" t="s">
        <v>40</v>
      </c>
      <c r="D2818">
        <v>5.5229559999999998</v>
      </c>
      <c r="E2818">
        <v>0.49747910000000001</v>
      </c>
      <c r="F2818" t="s">
        <v>47</v>
      </c>
      <c r="G2818">
        <v>-471.14299999999997</v>
      </c>
      <c r="H2818" s="1">
        <v>5.61296399999999E-6</v>
      </c>
      <c r="I2818">
        <v>218.30879999999999</v>
      </c>
      <c r="J2818">
        <v>-477.97750000000002</v>
      </c>
      <c r="K2818">
        <v>1.1204879999999999</v>
      </c>
      <c r="L2818">
        <v>219.06129999999999</v>
      </c>
      <c r="M2818">
        <v>0.91907139999999998</v>
      </c>
      <c r="N2818">
        <v>-1.4634940000000001E-2</v>
      </c>
      <c r="O2818">
        <v>-0.39381969999999999</v>
      </c>
      <c r="P2818">
        <v>0.91966780000000004</v>
      </c>
      <c r="Q2818">
        <v>0.37808229999999998</v>
      </c>
      <c r="R2818">
        <v>-0.10613690000000001</v>
      </c>
      <c r="S2818">
        <v>3.44339</v>
      </c>
      <c r="T2818">
        <v>-0.54860869999999995</v>
      </c>
      <c r="U2818">
        <v>-0.40376279999999998</v>
      </c>
      <c r="V2818">
        <v>-0.27364129999999998</v>
      </c>
      <c r="W2818">
        <v>0.38479659999999999</v>
      </c>
      <c r="X2818">
        <v>0.88150550000000005</v>
      </c>
      <c r="Y2818">
        <v>-0.27664280000000002</v>
      </c>
      <c r="Z2818">
        <v>7.8480939999999999E-2</v>
      </c>
      <c r="AA2818">
        <v>0.95776269999999997</v>
      </c>
      <c r="AB2818">
        <v>24</v>
      </c>
      <c r="AC2818">
        <v>6.8344999999999896</v>
      </c>
      <c r="AD2818">
        <v>-1.1204823870359999</v>
      </c>
      <c r="AE2818">
        <v>-0.75249999999999695</v>
      </c>
      <c r="AF2818">
        <v>-1.9484307313798399</v>
      </c>
      <c r="AG2818">
        <v>-1.1204823870359999</v>
      </c>
      <c r="AH2818">
        <v>6.4082678463693599</v>
      </c>
      <c r="AI2818">
        <v>99.496947291101193</v>
      </c>
      <c r="AJ2818">
        <v>106.911868776988</v>
      </c>
      <c r="AK2818">
        <v>6.79100580808577</v>
      </c>
      <c r="AL2818">
        <v>67.368885650890903</v>
      </c>
      <c r="AM2818">
        <v>107.24564663257399</v>
      </c>
      <c r="AN2818">
        <v>0.99999996548374903</v>
      </c>
    </row>
    <row r="2819" spans="1:40" x14ac:dyDescent="0.25">
      <c r="A2819" t="str">
        <f>"20190304164424980"</f>
        <v>20190304164424980</v>
      </c>
      <c r="B2819" t="str">
        <f>"1551689064972860"</f>
        <v>1551689064972860</v>
      </c>
      <c r="C2819" t="s">
        <v>40</v>
      </c>
      <c r="D2819">
        <v>5.5554870000000003</v>
      </c>
      <c r="E2819">
        <v>0.50724689999999995</v>
      </c>
      <c r="F2819" t="s">
        <v>47</v>
      </c>
      <c r="G2819">
        <v>-470.97309999999999</v>
      </c>
      <c r="H2819" s="1">
        <v>5.6880649999999999E-6</v>
      </c>
      <c r="I2819">
        <v>218.303</v>
      </c>
      <c r="J2819">
        <v>-477.75</v>
      </c>
      <c r="K2819">
        <v>1.1200270000000001</v>
      </c>
      <c r="L2819">
        <v>218.98220000000001</v>
      </c>
      <c r="M2819">
        <v>0.92483780000000004</v>
      </c>
      <c r="N2819">
        <v>-1.438652E-2</v>
      </c>
      <c r="O2819">
        <v>-0.38008979999999998</v>
      </c>
      <c r="P2819">
        <v>0.92167969999999999</v>
      </c>
      <c r="Q2819">
        <v>0.3763167</v>
      </c>
      <c r="R2819">
        <v>-9.4300079999999994E-2</v>
      </c>
      <c r="S2819">
        <v>3.4456180000000001</v>
      </c>
      <c r="T2819">
        <v>-0.55119110000000004</v>
      </c>
      <c r="U2819">
        <v>-0.37301640000000003</v>
      </c>
      <c r="V2819">
        <v>-0.27165470000000003</v>
      </c>
      <c r="W2819">
        <v>0.38315830000000001</v>
      </c>
      <c r="X2819">
        <v>0.88283259999999897</v>
      </c>
      <c r="Y2819">
        <v>-0.27097710000000003</v>
      </c>
      <c r="Z2819">
        <v>7.6648820000000006E-2</v>
      </c>
      <c r="AA2819">
        <v>0.95952919999999997</v>
      </c>
      <c r="AB2819">
        <v>24</v>
      </c>
      <c r="AC2819">
        <v>6.7769000000000101</v>
      </c>
      <c r="AD2819">
        <v>-1.120021311935</v>
      </c>
      <c r="AE2819">
        <v>-0.67920000000000802</v>
      </c>
      <c r="AF2819">
        <v>-1.89659316352466</v>
      </c>
      <c r="AG2819">
        <v>-1.120021311935</v>
      </c>
      <c r="AH2819">
        <v>6.3545217488358299</v>
      </c>
      <c r="AI2819">
        <v>99.5864276496402</v>
      </c>
      <c r="AJ2819">
        <v>106.618447088042</v>
      </c>
      <c r="AK2819">
        <v>6.7254338167544701</v>
      </c>
      <c r="AL2819">
        <v>67.470546739087496</v>
      </c>
      <c r="AM2819">
        <v>107.103553054272</v>
      </c>
      <c r="AN2819">
        <v>0.99999997925686901</v>
      </c>
    </row>
    <row r="2820" spans="1:40" x14ac:dyDescent="0.25">
      <c r="A2820" t="str">
        <f>"20190304164425003"</f>
        <v>20190304164425003</v>
      </c>
      <c r="B2820" t="str">
        <f>"1551689064992380"</f>
        <v>1551689064992380</v>
      </c>
      <c r="C2820" t="s">
        <v>40</v>
      </c>
      <c r="D2820">
        <v>5.5870920000000002</v>
      </c>
      <c r="E2820">
        <v>0.50864039999999999</v>
      </c>
      <c r="F2820" t="s">
        <v>47</v>
      </c>
      <c r="G2820">
        <v>-470.80130000000003</v>
      </c>
      <c r="H2820" s="1">
        <v>5.7576170000000004E-6</v>
      </c>
      <c r="I2820">
        <v>218.1516</v>
      </c>
      <c r="J2820">
        <v>-477.52879999999999</v>
      </c>
      <c r="K2820">
        <v>1.119559</v>
      </c>
      <c r="L2820">
        <v>218.90809999999999</v>
      </c>
      <c r="M2820">
        <v>0.92994089999999996</v>
      </c>
      <c r="N2820">
        <v>-1.4144500000000001E-2</v>
      </c>
      <c r="O2820">
        <v>-0.36743720000000002</v>
      </c>
      <c r="P2820">
        <v>0.92369100000000004</v>
      </c>
      <c r="Q2820">
        <v>0.37376179999999998</v>
      </c>
      <c r="R2820">
        <v>-8.4245899999999999E-2</v>
      </c>
      <c r="S2820">
        <v>3.4392089999999902</v>
      </c>
      <c r="T2820">
        <v>-0.55434910000000004</v>
      </c>
      <c r="U2820">
        <v>-0.41110229999999998</v>
      </c>
      <c r="V2820">
        <v>-0.26912829999999999</v>
      </c>
      <c r="W2820">
        <v>0.3807509</v>
      </c>
      <c r="X2820">
        <v>0.88464609999999899</v>
      </c>
      <c r="Y2820">
        <v>-0.24743209999999999</v>
      </c>
      <c r="Z2820">
        <v>7.3498170000000002E-2</v>
      </c>
      <c r="AA2820">
        <v>0.96611360000000002</v>
      </c>
      <c r="AB2820">
        <v>24</v>
      </c>
      <c r="AC2820">
        <v>6.7274999999999601</v>
      </c>
      <c r="AD2820">
        <v>-1.1195532423829999</v>
      </c>
      <c r="AE2820">
        <v>-0.75649999999998796</v>
      </c>
      <c r="AF2820">
        <v>-1.7215298549790701</v>
      </c>
      <c r="AG2820">
        <v>-1.1195532423829999</v>
      </c>
      <c r="AH2820">
        <v>6.3608405639267698</v>
      </c>
      <c r="AI2820">
        <v>99.642186215363694</v>
      </c>
      <c r="AJ2820">
        <v>105.14401563077401</v>
      </c>
      <c r="AK2820">
        <v>6.6841122958707597</v>
      </c>
      <c r="AL2820">
        <v>67.619797255400798</v>
      </c>
      <c r="AM2820">
        <v>106.920884712453</v>
      </c>
      <c r="AN2820">
        <v>1.00000000597845</v>
      </c>
    </row>
    <row r="2821" spans="1:40" x14ac:dyDescent="0.25">
      <c r="A2821" t="str">
        <f>"20190304164425024"</f>
        <v>20190304164425024</v>
      </c>
      <c r="B2821" t="str">
        <f>"1551689065012875"</f>
        <v>1551689065012875</v>
      </c>
      <c r="C2821" t="s">
        <v>40</v>
      </c>
      <c r="D2821">
        <v>5.5365760000000002</v>
      </c>
      <c r="E2821">
        <v>0.51012809999999997</v>
      </c>
      <c r="F2821" t="s">
        <v>47</v>
      </c>
      <c r="G2821">
        <v>-470.7373</v>
      </c>
      <c r="H2821" s="1">
        <v>5.7857579999999998E-6</v>
      </c>
      <c r="I2821">
        <v>218.14590000000001</v>
      </c>
      <c r="J2821">
        <v>-477.31099999999998</v>
      </c>
      <c r="K2821">
        <v>1.119054</v>
      </c>
      <c r="L2821">
        <v>218.8374</v>
      </c>
      <c r="M2821">
        <v>0.9344884</v>
      </c>
      <c r="N2821">
        <v>-1.3906389999999999E-2</v>
      </c>
      <c r="O2821">
        <v>-0.35572209999999899</v>
      </c>
      <c r="P2821">
        <v>0.92498840000000004</v>
      </c>
      <c r="Q2821">
        <v>0.37238650000000001</v>
      </c>
      <c r="R2821">
        <v>-7.5662950000000007E-2</v>
      </c>
      <c r="S2821">
        <v>3.4422299999999999</v>
      </c>
      <c r="T2821">
        <v>-0.56743859999999902</v>
      </c>
      <c r="U2821">
        <v>-0.386322</v>
      </c>
      <c r="V2821">
        <v>-0.26593090000000003</v>
      </c>
      <c r="W2821">
        <v>0.37955169999999999</v>
      </c>
      <c r="X2821">
        <v>0.88612709999999995</v>
      </c>
      <c r="Y2821">
        <v>-0.24207100000000001</v>
      </c>
      <c r="Z2821">
        <v>7.324493E-2</v>
      </c>
      <c r="AA2821">
        <v>0.96748999999999996</v>
      </c>
      <c r="AB2821">
        <v>24</v>
      </c>
      <c r="AC2821">
        <v>6.5736999999999703</v>
      </c>
      <c r="AD2821">
        <v>-1.119048214242</v>
      </c>
      <c r="AE2821">
        <v>-0.69149999999999001</v>
      </c>
      <c r="AF2821">
        <v>-1.6452206865290999</v>
      </c>
      <c r="AG2821">
        <v>-1.119048214242</v>
      </c>
      <c r="AH2821">
        <v>6.2116115719433003</v>
      </c>
      <c r="AI2821">
        <v>99.878946669569103</v>
      </c>
      <c r="AJ2821">
        <v>104.83484589810099</v>
      </c>
      <c r="AK2821">
        <v>6.5225101252417703</v>
      </c>
      <c r="AL2821">
        <v>67.694083000461802</v>
      </c>
      <c r="AM2821">
        <v>106.704747178807</v>
      </c>
      <c r="AN2821">
        <v>0.99999998695105496</v>
      </c>
    </row>
    <row r="2822" spans="1:40" x14ac:dyDescent="0.25">
      <c r="A2822" t="str">
        <f>"20190304164425047"</f>
        <v>20190304164425047</v>
      </c>
      <c r="B2822" t="str">
        <f>"1551689065043132"</f>
        <v>1551689065043132</v>
      </c>
      <c r="C2822" t="s">
        <v>40</v>
      </c>
      <c r="D2822">
        <v>5.5952479999999998</v>
      </c>
      <c r="E2822">
        <v>0.51797059999999995</v>
      </c>
      <c r="F2822" t="s">
        <v>47</v>
      </c>
      <c r="G2822">
        <v>-470.58569999999997</v>
      </c>
      <c r="H2822" s="1">
        <v>5.8521799999999999E-6</v>
      </c>
      <c r="I2822">
        <v>218.12690000000001</v>
      </c>
      <c r="J2822">
        <v>-477.09059999999999</v>
      </c>
      <c r="K2822">
        <v>1.1185050000000001</v>
      </c>
      <c r="L2822">
        <v>218.768</v>
      </c>
      <c r="M2822">
        <v>0.93862730000000005</v>
      </c>
      <c r="N2822">
        <v>-1.367107E-2</v>
      </c>
      <c r="O2822">
        <v>-0.34466210000000003</v>
      </c>
      <c r="P2822">
        <v>0.92523569999999999</v>
      </c>
      <c r="Q2822">
        <v>0.37319360000000001</v>
      </c>
      <c r="R2822">
        <v>-6.830609E-2</v>
      </c>
      <c r="S2822">
        <v>3.4442140000000001</v>
      </c>
      <c r="T2822">
        <v>-0.57309399999999999</v>
      </c>
      <c r="U2822">
        <v>-0.36387629999999999</v>
      </c>
      <c r="V2822">
        <v>-0.26188990000000001</v>
      </c>
      <c r="W2822">
        <v>0.38057400000000002</v>
      </c>
      <c r="X2822">
        <v>0.88689180000000001</v>
      </c>
      <c r="Y2822">
        <v>-0.2369484</v>
      </c>
      <c r="Z2822">
        <v>7.2042229999999999E-2</v>
      </c>
      <c r="AA2822">
        <v>0.96884749999999997</v>
      </c>
      <c r="AB2822">
        <v>24</v>
      </c>
      <c r="AC2822">
        <v>6.5049000000000197</v>
      </c>
      <c r="AD2822">
        <v>-1.1184991478199999</v>
      </c>
      <c r="AE2822">
        <v>-0.64109999999999401</v>
      </c>
      <c r="AF2822">
        <v>-1.5937252559930799</v>
      </c>
      <c r="AG2822">
        <v>-1.1184991478199999</v>
      </c>
      <c r="AH2822">
        <v>6.1472310956783698</v>
      </c>
      <c r="AI2822">
        <v>99.988981009717506</v>
      </c>
      <c r="AJ2822">
        <v>104.534443514099</v>
      </c>
      <c r="AK2822">
        <v>6.44821298337295</v>
      </c>
      <c r="AL2822">
        <v>67.630757392201602</v>
      </c>
      <c r="AM2822">
        <v>106.45132101462799</v>
      </c>
      <c r="AN2822">
        <v>0.999999977052624</v>
      </c>
    </row>
    <row r="2823" spans="1:40" x14ac:dyDescent="0.25">
      <c r="A2823" t="str">
        <f>"20190304164425068"</f>
        <v>20190304164425068</v>
      </c>
      <c r="B2823" t="str">
        <f>"1551689065062652"</f>
        <v>1551689065062652</v>
      </c>
      <c r="C2823" t="s">
        <v>40</v>
      </c>
      <c r="D2823">
        <v>5.6170770000000001</v>
      </c>
      <c r="E2823">
        <v>0.51898370000000005</v>
      </c>
      <c r="F2823" t="s">
        <v>47</v>
      </c>
      <c r="G2823">
        <v>-470.36540000000002</v>
      </c>
      <c r="H2823" s="1">
        <v>5.9439479999999996E-6</v>
      </c>
      <c r="I2823">
        <v>217.99170000000001</v>
      </c>
      <c r="J2823">
        <v>-476.87360000000001</v>
      </c>
      <c r="K2823">
        <v>1.117928</v>
      </c>
      <c r="L2823">
        <v>218.70140000000001</v>
      </c>
      <c r="M2823">
        <v>0.9422758</v>
      </c>
      <c r="N2823">
        <v>-1.344829E-2</v>
      </c>
      <c r="O2823">
        <v>-0.33456770000000002</v>
      </c>
      <c r="P2823">
        <v>0.9250718</v>
      </c>
      <c r="Q2823">
        <v>0.37453570000000003</v>
      </c>
      <c r="R2823">
        <v>-6.2972310000000004E-2</v>
      </c>
      <c r="S2823">
        <v>3.4440919999999999</v>
      </c>
      <c r="T2823">
        <v>-0.57279869999999899</v>
      </c>
      <c r="U2823">
        <v>-0.39758300000000002</v>
      </c>
      <c r="V2823">
        <v>-0.25675290000000001</v>
      </c>
      <c r="W2823">
        <v>0.38217719999999999</v>
      </c>
      <c r="X2823">
        <v>0.887704099999999</v>
      </c>
      <c r="Y2823">
        <v>-0.21751139999999999</v>
      </c>
      <c r="Z2823">
        <v>6.8840470000000001E-2</v>
      </c>
      <c r="AA2823">
        <v>0.97362709999999997</v>
      </c>
      <c r="AB2823">
        <v>24</v>
      </c>
      <c r="AC2823">
        <v>6.50819999999998</v>
      </c>
      <c r="AD2823">
        <v>-1.117922056052</v>
      </c>
      <c r="AE2823">
        <v>-0.709699999999997</v>
      </c>
      <c r="AF2823">
        <v>-1.4660876161434599</v>
      </c>
      <c r="AG2823">
        <v>-1.117922056052</v>
      </c>
      <c r="AH2823">
        <v>6.1900445412145402</v>
      </c>
      <c r="AI2823">
        <v>99.967276294108103</v>
      </c>
      <c r="AJ2823">
        <v>103.324745424684</v>
      </c>
      <c r="AK2823">
        <v>6.4587780611998697</v>
      </c>
      <c r="AL2823">
        <v>67.531391592710804</v>
      </c>
      <c r="AM2823">
        <v>106.131588966338</v>
      </c>
      <c r="AN2823">
        <v>1.00000001650752</v>
      </c>
    </row>
    <row r="2824" spans="1:40" x14ac:dyDescent="0.25">
      <c r="A2824" t="str">
        <f>"20190304164425091"</f>
        <v>20190304164425091</v>
      </c>
      <c r="B2824" t="str">
        <f>"1551689065082224"</f>
        <v>1551689065082224</v>
      </c>
      <c r="C2824" t="s">
        <v>40</v>
      </c>
      <c r="D2824">
        <v>5.5923129999999999</v>
      </c>
      <c r="E2824">
        <v>0.51970609999999995</v>
      </c>
      <c r="F2824" t="s">
        <v>47</v>
      </c>
      <c r="G2824">
        <v>-470.14870000000002</v>
      </c>
      <c r="H2824" s="1">
        <v>6.038405E-6</v>
      </c>
      <c r="I2824">
        <v>217.95480000000001</v>
      </c>
      <c r="J2824">
        <v>-476.6481</v>
      </c>
      <c r="K2824">
        <v>1.1172930000000001</v>
      </c>
      <c r="L2824">
        <v>218.63390000000001</v>
      </c>
      <c r="M2824">
        <v>0.94564090000000001</v>
      </c>
      <c r="N2824">
        <v>-1.322863E-2</v>
      </c>
      <c r="O2824">
        <v>-0.32494339999999999</v>
      </c>
      <c r="P2824">
        <v>0.92544199999999999</v>
      </c>
      <c r="Q2824">
        <v>0.37424269999999998</v>
      </c>
      <c r="R2824">
        <v>-5.9158380000000003E-2</v>
      </c>
      <c r="S2824">
        <v>3.4490660000000002</v>
      </c>
      <c r="T2824">
        <v>-0.57336500000000001</v>
      </c>
      <c r="U2824">
        <v>-0.38293460000000001</v>
      </c>
      <c r="V2824">
        <v>-0.25076759999999998</v>
      </c>
      <c r="W2824">
        <v>0.38218950000000002</v>
      </c>
      <c r="X2824">
        <v>0.88940810000000003</v>
      </c>
      <c r="Y2824">
        <v>-0.21198310000000001</v>
      </c>
      <c r="Z2824">
        <v>6.7027349999999999E-2</v>
      </c>
      <c r="AA2824">
        <v>0.97497210000000001</v>
      </c>
      <c r="AB2824">
        <v>24</v>
      </c>
      <c r="AC2824">
        <v>6.4993999999999801</v>
      </c>
      <c r="AD2824">
        <v>-1.1172869615950001</v>
      </c>
      <c r="AE2824">
        <v>-0.67910000000000503</v>
      </c>
      <c r="AF2824">
        <v>-1.4281330515995501</v>
      </c>
      <c r="AG2824">
        <v>-1.1172869615950001</v>
      </c>
      <c r="AH2824">
        <v>6.1864781760303797</v>
      </c>
      <c r="AI2824">
        <v>99.980353756489905</v>
      </c>
      <c r="AJ2824">
        <v>102.998874742607</v>
      </c>
      <c r="AK2824">
        <v>6.4467361036513298</v>
      </c>
      <c r="AL2824">
        <v>67.530628231310203</v>
      </c>
      <c r="AM2824">
        <v>105.745737616957</v>
      </c>
      <c r="AN2824">
        <v>0.99999998573280902</v>
      </c>
    </row>
    <row r="2825" spans="1:40" x14ac:dyDescent="0.25">
      <c r="A2825" t="str">
        <f>"20190304164425115"</f>
        <v>20190304164425115</v>
      </c>
      <c r="B2825" t="str">
        <f>"1551689065102719"</f>
        <v>1551689065102719</v>
      </c>
      <c r="C2825" t="s">
        <v>40</v>
      </c>
      <c r="D2825">
        <v>5.608517</v>
      </c>
      <c r="E2825">
        <v>0.52013929999999997</v>
      </c>
      <c r="F2825" t="s">
        <v>47</v>
      </c>
      <c r="G2825">
        <v>-469.96409999999997</v>
      </c>
      <c r="H2825" s="1">
        <v>6.11860699999999E-6</v>
      </c>
      <c r="I2825">
        <v>217.9161</v>
      </c>
      <c r="J2825">
        <v>-476.41390000000001</v>
      </c>
      <c r="K2825">
        <v>1.1166309999999999</v>
      </c>
      <c r="L2825">
        <v>218.5651</v>
      </c>
      <c r="M2825">
        <v>0.94870509999999997</v>
      </c>
      <c r="N2825">
        <v>-1.300867E-2</v>
      </c>
      <c r="O2825">
        <v>-0.31589509999999998</v>
      </c>
      <c r="P2825">
        <v>0.92597949999999996</v>
      </c>
      <c r="Q2825">
        <v>0.37344100000000002</v>
      </c>
      <c r="R2825">
        <v>-5.5714850000000003E-2</v>
      </c>
      <c r="S2825">
        <v>3.4513240000000001</v>
      </c>
      <c r="T2825">
        <v>-0.57691879999999995</v>
      </c>
      <c r="U2825">
        <v>-0.37062070000000003</v>
      </c>
      <c r="V2825">
        <v>-0.24501919999999999</v>
      </c>
      <c r="W2825">
        <v>0.38168940000000001</v>
      </c>
      <c r="X2825">
        <v>0.89122330000000005</v>
      </c>
      <c r="Y2825">
        <v>-0.2062533</v>
      </c>
      <c r="Z2825">
        <v>6.5668270000000001E-2</v>
      </c>
      <c r="AA2825">
        <v>0.97629259999999995</v>
      </c>
      <c r="AB2825">
        <v>24</v>
      </c>
      <c r="AC2825">
        <v>6.4498000000000397</v>
      </c>
      <c r="AD2825">
        <v>-1.116624881393</v>
      </c>
      <c r="AE2825">
        <v>-0.64900000000000002</v>
      </c>
      <c r="AF2825">
        <v>-1.3808967203010301</v>
      </c>
      <c r="AG2825">
        <v>-1.116624881393</v>
      </c>
      <c r="AH2825">
        <v>6.1422552032295403</v>
      </c>
      <c r="AI2825">
        <v>100.057771859157</v>
      </c>
      <c r="AJ2825">
        <v>102.670521587206</v>
      </c>
      <c r="AK2825">
        <v>6.3938271684089498</v>
      </c>
      <c r="AL2825">
        <v>67.561634786959203</v>
      </c>
      <c r="AM2825">
        <v>105.372234253505</v>
      </c>
      <c r="AN2825">
        <v>1.00000008845194</v>
      </c>
    </row>
    <row r="2826" spans="1:40" x14ac:dyDescent="0.25">
      <c r="A2826" t="str">
        <f>"20190304164425138"</f>
        <v>20190304164425138</v>
      </c>
      <c r="B2826" t="str">
        <f>"1551689065132976"</f>
        <v>1551689065132976</v>
      </c>
      <c r="C2826" t="s">
        <v>40</v>
      </c>
      <c r="D2826">
        <v>5.579949</v>
      </c>
      <c r="E2826">
        <v>0.49477559999999898</v>
      </c>
      <c r="F2826" t="s">
        <v>45</v>
      </c>
      <c r="G2826">
        <v>-469.78379999999999</v>
      </c>
      <c r="H2826" s="1">
        <v>3.5272310000000001E-6</v>
      </c>
      <c r="I2826">
        <v>217.87530000000001</v>
      </c>
      <c r="J2826">
        <v>-476.16969999999998</v>
      </c>
      <c r="K2826">
        <v>1.115961</v>
      </c>
      <c r="L2826">
        <v>218.49469999999999</v>
      </c>
      <c r="M2826">
        <v>0.95142269999999896</v>
      </c>
      <c r="N2826">
        <v>-1.278497E-2</v>
      </c>
      <c r="O2826">
        <v>-0.30762220000000001</v>
      </c>
      <c r="P2826">
        <v>0.92524240000000002</v>
      </c>
      <c r="Q2826">
        <v>0.3753784</v>
      </c>
      <c r="R2826">
        <v>-5.4931760000000003E-2</v>
      </c>
      <c r="S2826">
        <v>3.4526979999999998</v>
      </c>
      <c r="T2826">
        <v>-0.58150170000000001</v>
      </c>
      <c r="U2826">
        <v>-0.3592072</v>
      </c>
      <c r="V2826">
        <v>-0.23712900000000001</v>
      </c>
      <c r="W2826">
        <v>0.38392720000000002</v>
      </c>
      <c r="X2826">
        <v>0.89239550000000001</v>
      </c>
      <c r="Y2826">
        <v>-0.2010258</v>
      </c>
      <c r="Z2826">
        <v>6.4570440000000007E-2</v>
      </c>
      <c r="AA2826">
        <v>0.97745550000000003</v>
      </c>
      <c r="AB2826">
        <v>24</v>
      </c>
      <c r="AC2826">
        <v>6.3858999999999897</v>
      </c>
      <c r="AD2826">
        <v>-1.115957472769</v>
      </c>
      <c r="AE2826">
        <v>-0.61939999999998396</v>
      </c>
      <c r="AF2826">
        <v>-1.33486075050259</v>
      </c>
      <c r="AG2826">
        <v>-1.115957472769</v>
      </c>
      <c r="AH2826">
        <v>6.0827163714430403</v>
      </c>
      <c r="AI2826">
        <v>100.15953515478201</v>
      </c>
      <c r="AJ2826">
        <v>102.377434852961</v>
      </c>
      <c r="AK2826">
        <v>6.32666205511899</v>
      </c>
      <c r="AL2826">
        <v>67.422844169622905</v>
      </c>
      <c r="AM2826">
        <v>104.880866259803</v>
      </c>
      <c r="AN2826">
        <v>0.99999999298054498</v>
      </c>
    </row>
    <row r="2827" spans="1:40" x14ac:dyDescent="0.25">
      <c r="A2827" t="str">
        <f>"20190304164425169"</f>
        <v>20190304164425169</v>
      </c>
      <c r="B2827" t="str">
        <f>"1551689065162256"</f>
        <v>1551689065162256</v>
      </c>
      <c r="C2827" t="s">
        <v>40</v>
      </c>
      <c r="D2827">
        <v>5.5785999999999998</v>
      </c>
      <c r="E2827">
        <v>0.49506240000000001</v>
      </c>
      <c r="F2827" t="s">
        <v>45</v>
      </c>
      <c r="G2827">
        <v>-467.50170000000003</v>
      </c>
      <c r="H2827" s="1">
        <v>2.3025040000000001E-6</v>
      </c>
      <c r="I2827">
        <v>218.11099999999999</v>
      </c>
      <c r="J2827">
        <v>-475.8553</v>
      </c>
      <c r="K2827">
        <v>1.1152660000000001</v>
      </c>
      <c r="L2827">
        <v>218.4059</v>
      </c>
      <c r="M2827">
        <v>0.95442179999999999</v>
      </c>
      <c r="N2827">
        <v>-1.2526560000000001E-2</v>
      </c>
      <c r="O2827">
        <v>-0.29819830000000003</v>
      </c>
      <c r="P2827">
        <v>0.92308469999999998</v>
      </c>
      <c r="Q2827">
        <v>0.3805578</v>
      </c>
      <c r="R2827">
        <v>-5.5594249999999998E-2</v>
      </c>
      <c r="S2827">
        <v>3.411591</v>
      </c>
      <c r="T2827">
        <v>-0.43922699999999998</v>
      </c>
      <c r="U2827">
        <v>-0.15104679999999901</v>
      </c>
      <c r="V2827">
        <v>-0.22636400000000001</v>
      </c>
      <c r="W2827">
        <v>0.38939230000000002</v>
      </c>
      <c r="X2827">
        <v>0.89282299999999903</v>
      </c>
      <c r="Y2827">
        <v>-0.25151089999999998</v>
      </c>
      <c r="Z2827">
        <v>5.163616E-2</v>
      </c>
      <c r="AA2827">
        <v>0.966476</v>
      </c>
      <c r="AB2827">
        <v>24</v>
      </c>
      <c r="AC2827">
        <v>8.3535999999999699</v>
      </c>
      <c r="AD2827">
        <v>-1.115263697496</v>
      </c>
      <c r="AE2827">
        <v>-0.29490000000001199</v>
      </c>
      <c r="AF2827">
        <v>-2.1710939386451198</v>
      </c>
      <c r="AG2827">
        <v>-1.115263697496</v>
      </c>
      <c r="AH2827">
        <v>7.9204298047309996</v>
      </c>
      <c r="AI2827">
        <v>97.733405309002507</v>
      </c>
      <c r="AJ2827">
        <v>105.329000160885</v>
      </c>
      <c r="AK2827">
        <v>8.28798348798097</v>
      </c>
      <c r="AL2827">
        <v>67.083307370324803</v>
      </c>
      <c r="AM2827">
        <v>104.226838643671</v>
      </c>
      <c r="AN2827">
        <v>0.99999996656214396</v>
      </c>
    </row>
    <row r="2828" spans="1:40" x14ac:dyDescent="0.25">
      <c r="A2828" t="str">
        <f>"20190304164425191"</f>
        <v>20190304164425191</v>
      </c>
      <c r="B2828" t="str">
        <f>"1551689065182752"</f>
        <v>1551689065182752</v>
      </c>
      <c r="C2828" t="s">
        <v>40</v>
      </c>
      <c r="D2828">
        <v>5.5798540000000001</v>
      </c>
      <c r="E2828">
        <v>0.49593589999999999</v>
      </c>
      <c r="F2828" t="s">
        <v>45</v>
      </c>
      <c r="G2828">
        <v>-466.73329999999999</v>
      </c>
      <c r="H2828" s="1">
        <v>1.897584E-6</v>
      </c>
      <c r="I2828">
        <v>218.0196</v>
      </c>
      <c r="J2828">
        <v>-475.62040000000002</v>
      </c>
      <c r="K2828">
        <v>1.1148169999999999</v>
      </c>
      <c r="L2828">
        <v>218.34059999999999</v>
      </c>
      <c r="M2828">
        <v>0.95633080000000004</v>
      </c>
      <c r="N2828">
        <v>-1.2349550000000001E-2</v>
      </c>
      <c r="O2828">
        <v>-0.29202539999999999</v>
      </c>
      <c r="P2828">
        <v>0.92210990000000004</v>
      </c>
      <c r="Q2828">
        <v>0.38286160000000002</v>
      </c>
      <c r="R2828">
        <v>-5.5948400000000002E-2</v>
      </c>
      <c r="S2828">
        <v>3.4133</v>
      </c>
      <c r="T2828">
        <v>-0.41731610000000002</v>
      </c>
      <c r="U2828">
        <v>-0.14451600000000001</v>
      </c>
      <c r="V2828">
        <v>-0.21952849999999999</v>
      </c>
      <c r="W2828">
        <v>0.39185449999999999</v>
      </c>
      <c r="X2828">
        <v>0.89345249999999998</v>
      </c>
      <c r="Y2828">
        <v>-0.24761179999999999</v>
      </c>
      <c r="Z2828">
        <v>4.8074520000000003E-2</v>
      </c>
      <c r="AA2828">
        <v>0.96766589999999997</v>
      </c>
      <c r="AB2828">
        <v>24</v>
      </c>
      <c r="AC2828">
        <v>8.8871000000000304</v>
      </c>
      <c r="AD2828">
        <v>-1.114815102416</v>
      </c>
      <c r="AE2828">
        <v>-0.32099999999999701</v>
      </c>
      <c r="AF2828">
        <v>-2.2530443285998198</v>
      </c>
      <c r="AG2828">
        <v>-1.114815102416</v>
      </c>
      <c r="AH2828">
        <v>8.4604457475267303</v>
      </c>
      <c r="AI2828">
        <v>97.256438085127698</v>
      </c>
      <c r="AJ2828">
        <v>104.91197638757301</v>
      </c>
      <c r="AK2828">
        <v>8.8259936384553193</v>
      </c>
      <c r="AL2828">
        <v>66.930059869340596</v>
      </c>
      <c r="AM2828">
        <v>103.80456719531701</v>
      </c>
      <c r="AN2828">
        <v>1.0000000406193701</v>
      </c>
    </row>
    <row r="2829" spans="1:40" x14ac:dyDescent="0.25">
      <c r="A2829" t="str">
        <f>"20190304164425213"</f>
        <v>20190304164425213</v>
      </c>
      <c r="B2829" t="str">
        <f>"1551689065202275"</f>
        <v>1551689065202275</v>
      </c>
      <c r="C2829" t="s">
        <v>40</v>
      </c>
      <c r="D2829">
        <v>5.5754929999999998</v>
      </c>
      <c r="E2829">
        <v>0.49680600000000003</v>
      </c>
      <c r="F2829" t="s">
        <v>45</v>
      </c>
      <c r="G2829">
        <v>-466.4212</v>
      </c>
      <c r="H2829" s="1">
        <v>1.734675E-6</v>
      </c>
      <c r="I2829">
        <v>217.9468</v>
      </c>
      <c r="J2829">
        <v>-475.39670000000001</v>
      </c>
      <c r="K2829">
        <v>1.1143719999999999</v>
      </c>
      <c r="L2829">
        <v>218.2791</v>
      </c>
      <c r="M2829">
        <v>0.95787659999999997</v>
      </c>
      <c r="N2829">
        <v>-1.2181620000000001E-2</v>
      </c>
      <c r="O2829">
        <v>-0.28692240000000002</v>
      </c>
      <c r="P2829">
        <v>0.92189880000000002</v>
      </c>
      <c r="Q2829">
        <v>0.38339289999999998</v>
      </c>
      <c r="R2829">
        <v>-5.5794400000000001E-2</v>
      </c>
      <c r="S2829">
        <v>3.4164430000000001</v>
      </c>
      <c r="T2829">
        <v>-0.41402450000000002</v>
      </c>
      <c r="U2829">
        <v>-0.14624019999999999</v>
      </c>
      <c r="V2829">
        <v>-0.21439559999999999</v>
      </c>
      <c r="W2829">
        <v>0.39252740000000003</v>
      </c>
      <c r="X2829">
        <v>0.89440299999999995</v>
      </c>
      <c r="Y2829">
        <v>-0.2421316</v>
      </c>
      <c r="Z2829">
        <v>4.6770249999999999E-2</v>
      </c>
      <c r="AA2829">
        <v>0.96911550000000002</v>
      </c>
      <c r="AB2829">
        <v>24</v>
      </c>
      <c r="AC2829">
        <v>8.9755000000000091</v>
      </c>
      <c r="AD2829">
        <v>-1.1143702653249901</v>
      </c>
      <c r="AE2829">
        <v>-0.33230000000000298</v>
      </c>
      <c r="AF2829">
        <v>-2.2229173664283199</v>
      </c>
      <c r="AG2829">
        <v>-1.1143702653249901</v>
      </c>
      <c r="AH2829">
        <v>8.5616128186076494</v>
      </c>
      <c r="AI2829">
        <v>97.180399444374203</v>
      </c>
      <c r="AJ2829">
        <v>104.55477003692801</v>
      </c>
      <c r="AK2829">
        <v>8.9154022209856496</v>
      </c>
      <c r="AL2829">
        <v>66.888146208142601</v>
      </c>
      <c r="AM2829">
        <v>103.479915817231</v>
      </c>
      <c r="AN2829">
        <v>0.99999997972955901</v>
      </c>
    </row>
    <row r="2830" spans="1:40" x14ac:dyDescent="0.25">
      <c r="A2830" t="str">
        <f>"20190304164425236"</f>
        <v>20190304164425236</v>
      </c>
      <c r="B2830" t="str">
        <f>"1551689065232528"</f>
        <v>1551689065232528</v>
      </c>
      <c r="C2830" t="s">
        <v>40</v>
      </c>
      <c r="D2830">
        <v>5.5998530000000004</v>
      </c>
      <c r="E2830">
        <v>0.4976855</v>
      </c>
      <c r="F2830" t="s">
        <v>45</v>
      </c>
      <c r="G2830">
        <v>-466.25470000000001</v>
      </c>
      <c r="H2830" s="1">
        <v>1.649399E-6</v>
      </c>
      <c r="I2830">
        <v>217.87119999999999</v>
      </c>
      <c r="J2830">
        <v>-475.16989999999998</v>
      </c>
      <c r="K2830">
        <v>1.11385499999999</v>
      </c>
      <c r="L2830">
        <v>218.21729999999999</v>
      </c>
      <c r="M2830">
        <v>0.95917719999999995</v>
      </c>
      <c r="N2830">
        <v>-1.202167E-2</v>
      </c>
      <c r="O2830">
        <v>-0.28255059999999999</v>
      </c>
      <c r="P2830">
        <v>0.92285260000000002</v>
      </c>
      <c r="Q2830">
        <v>0.38098179999999998</v>
      </c>
      <c r="R2830">
        <v>-5.653387E-2</v>
      </c>
      <c r="S2830">
        <v>3.4182130000000002</v>
      </c>
      <c r="T2830">
        <v>-0.41666599999999998</v>
      </c>
      <c r="U2830">
        <v>-0.15254210000000001</v>
      </c>
      <c r="V2830">
        <v>-0.209342</v>
      </c>
      <c r="W2830">
        <v>0.39029920000000001</v>
      </c>
      <c r="X2830">
        <v>0.89657260000000005</v>
      </c>
      <c r="Y2830">
        <v>-0.2359715</v>
      </c>
      <c r="Z2830">
        <v>4.6208520000000003E-2</v>
      </c>
      <c r="AA2830">
        <v>0.97066070000000004</v>
      </c>
      <c r="AB2830">
        <v>24</v>
      </c>
      <c r="AC2830">
        <v>8.9151999999999703</v>
      </c>
      <c r="AD2830">
        <v>-1.11385335060099</v>
      </c>
      <c r="AE2830">
        <v>-0.34610000000000601</v>
      </c>
      <c r="AF2830">
        <v>-2.1536150032085701</v>
      </c>
      <c r="AG2830">
        <v>-1.11385335060099</v>
      </c>
      <c r="AH2830">
        <v>8.5169248836838491</v>
      </c>
      <c r="AI2830">
        <v>97.226003470029795</v>
      </c>
      <c r="AJ2830">
        <v>104.19052659704499</v>
      </c>
      <c r="AK2830">
        <v>8.8553224866745097</v>
      </c>
      <c r="AL2830">
        <v>67.026881804218306</v>
      </c>
      <c r="AM2830">
        <v>103.142611449634</v>
      </c>
      <c r="AN2830">
        <v>0.99999998277769997</v>
      </c>
    </row>
    <row r="2831" spans="1:40" x14ac:dyDescent="0.25">
      <c r="A2831" t="str">
        <f>"20190304164425257"</f>
        <v>20190304164425257</v>
      </c>
      <c r="B2831" t="str">
        <f>"1551689065253024"</f>
        <v>1551689065253024</v>
      </c>
      <c r="C2831" t="s">
        <v>40</v>
      </c>
      <c r="D2831">
        <v>5.602716</v>
      </c>
      <c r="E2831">
        <v>0.50351159999999995</v>
      </c>
      <c r="F2831" t="s">
        <v>45</v>
      </c>
      <c r="G2831">
        <v>-466.32400000000001</v>
      </c>
      <c r="H2831" s="1">
        <v>1.6893479999999999E-6</v>
      </c>
      <c r="I2831">
        <v>217.80090000000001</v>
      </c>
      <c r="J2831">
        <v>-474.94479999999999</v>
      </c>
      <c r="K2831">
        <v>1.1133169999999999</v>
      </c>
      <c r="L2831">
        <v>218.15610000000001</v>
      </c>
      <c r="M2831">
        <v>0.9602503</v>
      </c>
      <c r="N2831">
        <v>-1.188211E-2</v>
      </c>
      <c r="O2831">
        <v>-0.27888800000000002</v>
      </c>
      <c r="P2831">
        <v>0.92478300000000002</v>
      </c>
      <c r="Q2831">
        <v>0.37570619999999999</v>
      </c>
      <c r="R2831">
        <v>-6.0179740000000002E-2</v>
      </c>
      <c r="S2831">
        <v>3.418701</v>
      </c>
      <c r="T2831">
        <v>-0.43047819999999998</v>
      </c>
      <c r="U2831">
        <v>-0.16090389999999999</v>
      </c>
      <c r="V2831">
        <v>-0.20239779999999999</v>
      </c>
      <c r="W2831">
        <v>0.38525209999999999</v>
      </c>
      <c r="X2831">
        <v>0.90034219999999898</v>
      </c>
      <c r="Y2831">
        <v>-0.2297274</v>
      </c>
      <c r="Z2831">
        <v>4.6978909999999999E-2</v>
      </c>
      <c r="AA2831">
        <v>0.97212050000000005</v>
      </c>
      <c r="AB2831">
        <v>24</v>
      </c>
      <c r="AC2831">
        <v>8.6207999999999707</v>
      </c>
      <c r="AD2831">
        <v>-1.113315310652</v>
      </c>
      <c r="AE2831">
        <v>-0.35519999999999602</v>
      </c>
      <c r="AF2831">
        <v>-2.0295114585080398</v>
      </c>
      <c r="AG2831">
        <v>-1.113315310652</v>
      </c>
      <c r="AH2831">
        <v>8.2405743016889605</v>
      </c>
      <c r="AI2831">
        <v>97.473488927582807</v>
      </c>
      <c r="AJ2831">
        <v>103.835615502648</v>
      </c>
      <c r="AK2831">
        <v>8.5595240850647798</v>
      </c>
      <c r="AL2831">
        <v>67.340609691651906</v>
      </c>
      <c r="AM2831">
        <v>102.669528945175</v>
      </c>
      <c r="AN2831">
        <v>1.0000000635500399</v>
      </c>
    </row>
    <row r="2832" spans="1:40" x14ac:dyDescent="0.25">
      <c r="A2832" t="str">
        <f>"20190304164425281"</f>
        <v>20190304164425281</v>
      </c>
      <c r="B2832" t="str">
        <f>"1551689065272545"</f>
        <v>1551689065272545</v>
      </c>
      <c r="C2832" t="s">
        <v>40</v>
      </c>
      <c r="D2832">
        <v>5.6311809999999998</v>
      </c>
      <c r="E2832">
        <v>0.50404079999999996</v>
      </c>
      <c r="F2832" t="s">
        <v>45</v>
      </c>
      <c r="G2832">
        <v>-467.03609999999998</v>
      </c>
      <c r="H2832" s="1">
        <v>2.0741749999999999E-6</v>
      </c>
      <c r="I2832">
        <v>217.66550000000001</v>
      </c>
      <c r="J2832">
        <v>-474.70229999999998</v>
      </c>
      <c r="K2832">
        <v>1.112808</v>
      </c>
      <c r="L2832">
        <v>218.09030000000001</v>
      </c>
      <c r="M2832">
        <v>0.96121529999999999</v>
      </c>
      <c r="N2832">
        <v>-1.1749580000000001E-2</v>
      </c>
      <c r="O2832">
        <v>-0.27554869999999998</v>
      </c>
      <c r="P2832">
        <v>0.92562909999999998</v>
      </c>
      <c r="Q2832">
        <v>0.37310080000000001</v>
      </c>
      <c r="R2832">
        <v>-6.3299540000000001E-2</v>
      </c>
      <c r="S2832">
        <v>3.4261469999999998</v>
      </c>
      <c r="T2832">
        <v>-0.48230079999999997</v>
      </c>
      <c r="U2832">
        <v>-0.2125397</v>
      </c>
      <c r="V2832">
        <v>-0.19599920000000001</v>
      </c>
      <c r="W2832">
        <v>0.38283149999999999</v>
      </c>
      <c r="X2832">
        <v>0.90278700000000001</v>
      </c>
      <c r="Y2832">
        <v>-0.21107600000000001</v>
      </c>
      <c r="Z2832">
        <v>5.085713E-2</v>
      </c>
      <c r="AA2832">
        <v>0.97614570000000001</v>
      </c>
      <c r="AB2832">
        <v>24</v>
      </c>
      <c r="AC2832">
        <v>7.6661999999999999</v>
      </c>
      <c r="AD2832">
        <v>-1.112805925825</v>
      </c>
      <c r="AE2832">
        <v>-0.42480000000000401</v>
      </c>
      <c r="AF2832">
        <v>-1.6691425200553101</v>
      </c>
      <c r="AG2832">
        <v>-1.112805925825</v>
      </c>
      <c r="AH2832">
        <v>7.3324126407728203</v>
      </c>
      <c r="AI2832">
        <v>98.417520590851794</v>
      </c>
      <c r="AJ2832">
        <v>102.824215457452</v>
      </c>
      <c r="AK2832">
        <v>7.6018845634074701</v>
      </c>
      <c r="AL2832">
        <v>67.490817190458003</v>
      </c>
      <c r="AM2832">
        <v>102.249086496308</v>
      </c>
      <c r="AN2832">
        <v>1.0000000055809399</v>
      </c>
    </row>
    <row r="2833" spans="1:40" x14ac:dyDescent="0.25">
      <c r="A2833" t="str">
        <f>"20190304164425306"</f>
        <v>20190304164425306</v>
      </c>
      <c r="B2833" t="str">
        <f>"1551689065302801"</f>
        <v>1551689065302801</v>
      </c>
      <c r="C2833" t="s">
        <v>40</v>
      </c>
      <c r="D2833">
        <v>5.5824470000000002</v>
      </c>
      <c r="E2833">
        <v>0.50456140000000005</v>
      </c>
      <c r="F2833" t="s">
        <v>45</v>
      </c>
      <c r="G2833">
        <v>-466.99790000000002</v>
      </c>
      <c r="H2833" s="1">
        <v>2.0569659999999999E-6</v>
      </c>
      <c r="I2833">
        <v>217.59389999999999</v>
      </c>
      <c r="J2833">
        <v>-474.44459999999998</v>
      </c>
      <c r="K2833">
        <v>1.1123609999999999</v>
      </c>
      <c r="L2833">
        <v>218.0205</v>
      </c>
      <c r="M2833">
        <v>0.96203740000000004</v>
      </c>
      <c r="N2833">
        <v>-1.1622520000000001E-2</v>
      </c>
      <c r="O2833">
        <v>-0.27267019999999997</v>
      </c>
      <c r="P2833">
        <v>0.92510780000000004</v>
      </c>
      <c r="Q2833">
        <v>0.3742992</v>
      </c>
      <c r="R2833">
        <v>-6.3840540000000001E-2</v>
      </c>
      <c r="S2833">
        <v>3.425354</v>
      </c>
      <c r="T2833">
        <v>-0.4947453</v>
      </c>
      <c r="U2833">
        <v>-0.22071840000000001</v>
      </c>
      <c r="V2833">
        <v>-0.19221569999999999</v>
      </c>
      <c r="W2833">
        <v>0.38413809999999998</v>
      </c>
      <c r="X2833">
        <v>0.90304549999999995</v>
      </c>
      <c r="Y2833">
        <v>-0.20565610000000001</v>
      </c>
      <c r="Z2833">
        <v>5.1450299999999997E-2</v>
      </c>
      <c r="AA2833">
        <v>0.97727090000000005</v>
      </c>
      <c r="AB2833">
        <v>24</v>
      </c>
      <c r="AC2833">
        <v>7.4466999999999599</v>
      </c>
      <c r="AD2833">
        <v>-1.112358943034</v>
      </c>
      <c r="AE2833">
        <v>-0.42660000000000697</v>
      </c>
      <c r="AF2833">
        <v>-1.5849477918989301</v>
      </c>
      <c r="AG2833">
        <v>-1.112358943034</v>
      </c>
      <c r="AH2833">
        <v>7.1224124169247496</v>
      </c>
      <c r="AI2833">
        <v>98.667906655767894</v>
      </c>
      <c r="AJ2833">
        <v>102.545590868484</v>
      </c>
      <c r="AK2833">
        <v>7.3809322282457597</v>
      </c>
      <c r="AL2833">
        <v>67.409758675680706</v>
      </c>
      <c r="AM2833">
        <v>102.01623468570899</v>
      </c>
      <c r="AN2833">
        <v>1.0000000651341701</v>
      </c>
    </row>
    <row r="2834" spans="1:40" x14ac:dyDescent="0.25">
      <c r="A2834" t="str">
        <f>"20190304164425328"</f>
        <v>20190304164425328</v>
      </c>
      <c r="B2834" t="str">
        <f>"1551689065322321"</f>
        <v>1551689065322321</v>
      </c>
      <c r="C2834" t="s">
        <v>40</v>
      </c>
      <c r="D2834">
        <v>5.5933609999999998</v>
      </c>
      <c r="E2834">
        <v>0.50516070000000002</v>
      </c>
      <c r="F2834" t="s">
        <v>45</v>
      </c>
      <c r="G2834">
        <v>-466.56420000000003</v>
      </c>
      <c r="H2834" s="1">
        <v>1.83036E-6</v>
      </c>
      <c r="I2834">
        <v>217.49860000000001</v>
      </c>
      <c r="J2834">
        <v>-474.21379999999999</v>
      </c>
      <c r="K2834">
        <v>1.112031</v>
      </c>
      <c r="L2834">
        <v>217.958</v>
      </c>
      <c r="M2834">
        <v>0.96259450000000002</v>
      </c>
      <c r="N2834">
        <v>-1.1516999999999999E-2</v>
      </c>
      <c r="O2834">
        <v>-0.27070159999999999</v>
      </c>
      <c r="P2834">
        <v>0.92411460000000001</v>
      </c>
      <c r="Q2834">
        <v>0.37660290000000002</v>
      </c>
      <c r="R2834">
        <v>-6.4674570000000001E-2</v>
      </c>
      <c r="S2834">
        <v>3.4227289999999999</v>
      </c>
      <c r="T2834">
        <v>-0.48313699999999998</v>
      </c>
      <c r="U2834">
        <v>-0.22668460000000001</v>
      </c>
      <c r="V2834">
        <v>-0.1889805</v>
      </c>
      <c r="W2834">
        <v>0.38650669999999998</v>
      </c>
      <c r="X2834">
        <v>0.90271749999999995</v>
      </c>
      <c r="Y2834">
        <v>-0.20217180000000001</v>
      </c>
      <c r="Z2834">
        <v>4.9752320000000003E-2</v>
      </c>
      <c r="AA2834">
        <v>0.97808550000000005</v>
      </c>
      <c r="AB2834">
        <v>24</v>
      </c>
      <c r="AC2834">
        <v>7.6495999999999604</v>
      </c>
      <c r="AD2834">
        <v>-1.11202916964</v>
      </c>
      <c r="AE2834">
        <v>-0.45939999999998798</v>
      </c>
      <c r="AF2834">
        <v>-1.5950640575841</v>
      </c>
      <c r="AG2834">
        <v>-1.11202916964</v>
      </c>
      <c r="AH2834">
        <v>7.3338912891082604</v>
      </c>
      <c r="AI2834">
        <v>98.427912731133503</v>
      </c>
      <c r="AJ2834">
        <v>102.27029293952999</v>
      </c>
      <c r="AK2834">
        <v>7.5872788048407003</v>
      </c>
      <c r="AL2834">
        <v>67.262689380404694</v>
      </c>
      <c r="AM2834">
        <v>101.82389795575401</v>
      </c>
      <c r="AN2834">
        <v>0.99999997166569399</v>
      </c>
    </row>
    <row r="2835" spans="1:40" x14ac:dyDescent="0.25">
      <c r="A2835" t="str">
        <f>"20190304164425349"</f>
        <v>20190304164425349</v>
      </c>
      <c r="B2835" t="str">
        <f>"1551689065342816"</f>
        <v>1551689065342816</v>
      </c>
      <c r="C2835" t="s">
        <v>40</v>
      </c>
      <c r="D2835">
        <v>5.5943880000000004</v>
      </c>
      <c r="E2835">
        <v>0.50532999999999995</v>
      </c>
      <c r="F2835" t="s">
        <v>45</v>
      </c>
      <c r="G2835">
        <v>-466.16039999999998</v>
      </c>
      <c r="H2835" s="1">
        <v>1.6192600000000001E-6</v>
      </c>
      <c r="I2835">
        <v>217.4127</v>
      </c>
      <c r="J2835">
        <v>-473.98689999999999</v>
      </c>
      <c r="K2835">
        <v>1.111704</v>
      </c>
      <c r="L2835">
        <v>217.8964</v>
      </c>
      <c r="M2835">
        <v>0.96298499999999998</v>
      </c>
      <c r="N2835">
        <v>-1.141697E-2</v>
      </c>
      <c r="O2835">
        <v>-0.26931339999999998</v>
      </c>
      <c r="P2835">
        <v>0.92298179999999996</v>
      </c>
      <c r="Q2835">
        <v>0.37931559999999998</v>
      </c>
      <c r="R2835">
        <v>-6.4994799999999894E-2</v>
      </c>
      <c r="S2835">
        <v>3.4227289999999999</v>
      </c>
      <c r="T2835">
        <v>-0.47261930000000002</v>
      </c>
      <c r="U2835">
        <v>-0.23176569999999999</v>
      </c>
      <c r="V2835">
        <v>-0.18676229999999999</v>
      </c>
      <c r="W2835">
        <v>0.3892716</v>
      </c>
      <c r="X2835">
        <v>0.90199079999999998</v>
      </c>
      <c r="Y2835">
        <v>-0.19954089999999999</v>
      </c>
      <c r="Z2835">
        <v>4.8285580000000002E-2</v>
      </c>
      <c r="AA2835">
        <v>0.97869910000000004</v>
      </c>
      <c r="AB2835">
        <v>24</v>
      </c>
      <c r="AC2835">
        <v>7.8265000000000002</v>
      </c>
      <c r="AD2835">
        <v>-1.1117023807399999</v>
      </c>
      <c r="AE2835">
        <v>-0.48369999999999802</v>
      </c>
      <c r="AF2835">
        <v>-1.6097373810129201</v>
      </c>
      <c r="AG2835">
        <v>-1.1117023807399999</v>
      </c>
      <c r="AH2835">
        <v>7.5164900715600904</v>
      </c>
      <c r="AI2835">
        <v>98.229198614432903</v>
      </c>
      <c r="AJ2835">
        <v>102.08791298958501</v>
      </c>
      <c r="AK2835">
        <v>7.7669015453419297</v>
      </c>
      <c r="AL2835">
        <v>67.090815436827</v>
      </c>
      <c r="AM2835">
        <v>101.698110894744</v>
      </c>
      <c r="AN2835">
        <v>0.99999996927624402</v>
      </c>
    </row>
    <row r="2836" spans="1:40" x14ac:dyDescent="0.25">
      <c r="A2836" t="str">
        <f>"20190304164425370"</f>
        <v>20190304164425370</v>
      </c>
      <c r="B2836" t="str">
        <f>"1551689065362336"</f>
        <v>1551689065362336</v>
      </c>
      <c r="C2836" t="s">
        <v>40</v>
      </c>
      <c r="D2836">
        <v>5.2803240000000002</v>
      </c>
      <c r="E2836">
        <v>0.50533339999999904</v>
      </c>
      <c r="F2836" t="s">
        <v>45</v>
      </c>
      <c r="G2836">
        <v>-465.72190000000001</v>
      </c>
      <c r="H2836" s="1">
        <v>1.3888270000000001E-6</v>
      </c>
      <c r="I2836">
        <v>217.34559999999999</v>
      </c>
      <c r="J2836">
        <v>-473.7765</v>
      </c>
      <c r="K2836">
        <v>1.1113729999999999</v>
      </c>
      <c r="L2836">
        <v>217.8391</v>
      </c>
      <c r="M2836">
        <v>0.96321760000000001</v>
      </c>
      <c r="N2836">
        <v>-1.132762E-2</v>
      </c>
      <c r="O2836">
        <v>-0.2684841</v>
      </c>
      <c r="P2836">
        <v>0.92226859999999999</v>
      </c>
      <c r="Q2836">
        <v>0.3814186</v>
      </c>
      <c r="R2836">
        <v>-6.2773839999999997E-2</v>
      </c>
      <c r="S2836">
        <v>3.4235229999999999</v>
      </c>
      <c r="T2836">
        <v>-0.46048919999999999</v>
      </c>
      <c r="U2836">
        <v>-0.2281494</v>
      </c>
      <c r="V2836">
        <v>-0.18763560000000001</v>
      </c>
      <c r="W2836">
        <v>0.39142189999999999</v>
      </c>
      <c r="X2836">
        <v>0.90087839999999997</v>
      </c>
      <c r="Y2836">
        <v>-0.19995669999999999</v>
      </c>
      <c r="Z2836">
        <v>4.694661E-2</v>
      </c>
      <c r="AA2836">
        <v>0.97867939999999998</v>
      </c>
      <c r="AB2836">
        <v>24</v>
      </c>
      <c r="AC2836">
        <v>8.05459999999999</v>
      </c>
      <c r="AD2836">
        <v>-1.1113716111730001</v>
      </c>
      <c r="AE2836">
        <v>-0.49350000000001099</v>
      </c>
      <c r="AF2836">
        <v>-1.65588474842268</v>
      </c>
      <c r="AG2836">
        <v>-1.1113716111730001</v>
      </c>
      <c r="AH2836">
        <v>7.7444445283870298</v>
      </c>
      <c r="AI2836">
        <v>97.988360200873402</v>
      </c>
      <c r="AJ2836">
        <v>102.06901356191401</v>
      </c>
      <c r="AK2836">
        <v>7.9970946106347798</v>
      </c>
      <c r="AL2836">
        <v>66.956998243806495</v>
      </c>
      <c r="AM2836">
        <v>101.765399667041</v>
      </c>
      <c r="AN2836">
        <v>1.00000005688676</v>
      </c>
    </row>
    <row r="2837" spans="1:40" x14ac:dyDescent="0.25">
      <c r="A2837" t="str">
        <f>"20190304164425392"</f>
        <v>20190304164425392</v>
      </c>
      <c r="B2837" t="str">
        <f>"1551689065382833"</f>
        <v>1551689065382833</v>
      </c>
      <c r="C2837" t="s">
        <v>40</v>
      </c>
      <c r="D2837">
        <v>5.6234989999999998</v>
      </c>
      <c r="E2837">
        <v>0.50588909999999998</v>
      </c>
      <c r="F2837" t="s">
        <v>45</v>
      </c>
      <c r="G2837">
        <v>-465.3639</v>
      </c>
      <c r="H2837" s="1">
        <v>1.2006289999999999E-6</v>
      </c>
      <c r="I2837">
        <v>217.2927</v>
      </c>
      <c r="J2837">
        <v>-473.54660000000001</v>
      </c>
      <c r="K2837">
        <v>1.1110040000000001</v>
      </c>
      <c r="L2837">
        <v>217.77610000000001</v>
      </c>
      <c r="M2837">
        <v>0.96334779999999998</v>
      </c>
      <c r="N2837">
        <v>-1.123448E-2</v>
      </c>
      <c r="O2837">
        <v>-0.26801999999999998</v>
      </c>
      <c r="P2837">
        <v>0.9216628</v>
      </c>
      <c r="Q2837">
        <v>0.38359260000000001</v>
      </c>
      <c r="R2837">
        <v>-5.8259539999999999E-2</v>
      </c>
      <c r="S2837">
        <v>3.4248349999999999</v>
      </c>
      <c r="T2837">
        <v>-0.4524493</v>
      </c>
      <c r="U2837">
        <v>-0.22244259999999999</v>
      </c>
      <c r="V2837">
        <v>-0.19104750000000001</v>
      </c>
      <c r="W2837">
        <v>0.3936537</v>
      </c>
      <c r="X2837">
        <v>0.89918719999999996</v>
      </c>
      <c r="Y2837">
        <v>-0.20126269999999999</v>
      </c>
      <c r="Z2837">
        <v>4.6141880000000003E-2</v>
      </c>
      <c r="AA2837">
        <v>0.97844989999999998</v>
      </c>
      <c r="AB2837">
        <v>24</v>
      </c>
      <c r="AC2837">
        <v>8.1827000000000094</v>
      </c>
      <c r="AD2837">
        <v>-1.1110027993709899</v>
      </c>
      <c r="AE2837">
        <v>-0.48340000000001698</v>
      </c>
      <c r="AF2837">
        <v>-1.6963902667414701</v>
      </c>
      <c r="AG2837">
        <v>-1.1110027993709899</v>
      </c>
      <c r="AH2837">
        <v>7.8683071728987404</v>
      </c>
      <c r="AI2837">
        <v>97.858777354230995</v>
      </c>
      <c r="AJ2837">
        <v>102.166618075019</v>
      </c>
      <c r="AK2837">
        <v>8.1254122925790693</v>
      </c>
      <c r="AL2837">
        <v>66.817964843538704</v>
      </c>
      <c r="AM2837">
        <v>101.99508371319899</v>
      </c>
      <c r="AN2837">
        <v>1.00000000171189</v>
      </c>
    </row>
    <row r="2838" spans="1:40" x14ac:dyDescent="0.25">
      <c r="A2838" t="str">
        <f>"20190304164425416"</f>
        <v>20190304164425416</v>
      </c>
      <c r="B2838" t="str">
        <f>"1551689065402356"</f>
        <v>1551689065402356</v>
      </c>
      <c r="C2838" t="s">
        <v>40</v>
      </c>
      <c r="D2838">
        <v>5.5788890000000002</v>
      </c>
      <c r="E2838">
        <v>0.5080749</v>
      </c>
      <c r="F2838" t="s">
        <v>45</v>
      </c>
      <c r="G2838">
        <v>-462.60059999999999</v>
      </c>
      <c r="H2838" s="1">
        <v>-2.6037359999999998E-7</v>
      </c>
      <c r="I2838">
        <v>217.0752</v>
      </c>
      <c r="J2838">
        <v>-473.30990000000003</v>
      </c>
      <c r="K2838">
        <v>1.11063</v>
      </c>
      <c r="L2838">
        <v>217.7107</v>
      </c>
      <c r="M2838">
        <v>0.96334569999999997</v>
      </c>
      <c r="N2838">
        <v>-1.114805E-2</v>
      </c>
      <c r="O2838">
        <v>-0.26803179999999999</v>
      </c>
      <c r="P2838">
        <v>0.92192370000000001</v>
      </c>
      <c r="Q2838">
        <v>0.38348650000000001</v>
      </c>
      <c r="R2838">
        <v>-5.4730210000000001E-2</v>
      </c>
      <c r="S2838">
        <v>3.3842469999999998</v>
      </c>
      <c r="T2838">
        <v>-0.34349449999999998</v>
      </c>
      <c r="U2838">
        <v>-0.21672060000000001</v>
      </c>
      <c r="V2838">
        <v>-0.19417909999999999</v>
      </c>
      <c r="W2838">
        <v>0.39363310000000001</v>
      </c>
      <c r="X2838">
        <v>0.89852509999999997</v>
      </c>
      <c r="Y2838">
        <v>-0.2037253</v>
      </c>
      <c r="Z2838">
        <v>3.5225939999999997E-2</v>
      </c>
      <c r="AA2838">
        <v>0.97839419999999999</v>
      </c>
      <c r="AB2838">
        <v>24</v>
      </c>
      <c r="AC2838">
        <v>10.709300000000001</v>
      </c>
      <c r="AD2838">
        <v>-1.1106302603736</v>
      </c>
      <c r="AE2838">
        <v>-0.63550000000000695</v>
      </c>
      <c r="AF2838">
        <v>-2.2344195935578401</v>
      </c>
      <c r="AG2838">
        <v>-1.1106302603736</v>
      </c>
      <c r="AH2838">
        <v>10.376533006133499</v>
      </c>
      <c r="AI2838">
        <v>95.973378331576399</v>
      </c>
      <c r="AJ2838">
        <v>102.152166154998</v>
      </c>
      <c r="AK2838">
        <v>10.672327193387099</v>
      </c>
      <c r="AL2838">
        <v>66.8192474766103</v>
      </c>
      <c r="AM2838">
        <v>102.19458402782401</v>
      </c>
      <c r="AN2838">
        <v>0.99999994781121304</v>
      </c>
    </row>
    <row r="2839" spans="1:40" x14ac:dyDescent="0.25">
      <c r="A2839" t="str">
        <f>"20190304164425437"</f>
        <v>20190304164425437</v>
      </c>
      <c r="B2839" t="str">
        <f>"1551689065432608"</f>
        <v>1551689065432608</v>
      </c>
      <c r="C2839" t="s">
        <v>40</v>
      </c>
      <c r="D2839">
        <v>5.6172849999999999</v>
      </c>
      <c r="E2839">
        <v>0.50911930000000005</v>
      </c>
      <c r="F2839" t="s">
        <v>45</v>
      </c>
      <c r="G2839">
        <v>-464.8809</v>
      </c>
      <c r="H2839" s="1">
        <v>9.4922690000000001E-7</v>
      </c>
      <c r="I2839">
        <v>217.16399999999999</v>
      </c>
      <c r="J2839">
        <v>-473.08710000000002</v>
      </c>
      <c r="K2839">
        <v>1.110298</v>
      </c>
      <c r="L2839">
        <v>217.64850000000001</v>
      </c>
      <c r="M2839">
        <v>0.96321270000000003</v>
      </c>
      <c r="N2839">
        <v>-1.107735E-2</v>
      </c>
      <c r="O2839">
        <v>-0.26851229999999998</v>
      </c>
      <c r="P2839">
        <v>0.92264699999999999</v>
      </c>
      <c r="Q2839">
        <v>0.38214920000000002</v>
      </c>
      <c r="R2839">
        <v>-5.1812080000000003E-2</v>
      </c>
      <c r="S2839">
        <v>3.4287719999999999</v>
      </c>
      <c r="T2839">
        <v>-0.4517832</v>
      </c>
      <c r="U2839">
        <v>-0.22239690000000001</v>
      </c>
      <c r="V2839">
        <v>-0.19732769999999999</v>
      </c>
      <c r="W2839">
        <v>0.3923874</v>
      </c>
      <c r="X2839">
        <v>0.89838399999999996</v>
      </c>
      <c r="Y2839">
        <v>-0.20185639999999999</v>
      </c>
      <c r="Z2839">
        <v>4.6142790000000003E-2</v>
      </c>
      <c r="AA2839">
        <v>0.97832759999999996</v>
      </c>
      <c r="AB2839">
        <v>24</v>
      </c>
      <c r="AC2839">
        <v>8.2062000000000204</v>
      </c>
      <c r="AD2839">
        <v>-1.1102970507731</v>
      </c>
      <c r="AE2839">
        <v>-0.48449999999999699</v>
      </c>
      <c r="AF2839">
        <v>-1.7057778669019099</v>
      </c>
      <c r="AG2839">
        <v>-1.1102970507731</v>
      </c>
      <c r="AH2839">
        <v>7.8909519539220696</v>
      </c>
      <c r="AI2839">
        <v>97.830678423068704</v>
      </c>
      <c r="AJ2839">
        <v>102.197875036331</v>
      </c>
      <c r="AK2839">
        <v>8.1492061215356699</v>
      </c>
      <c r="AL2839">
        <v>66.896866636034602</v>
      </c>
      <c r="AM2839">
        <v>102.38814667390101</v>
      </c>
      <c r="AN2839">
        <v>0.999999952161023</v>
      </c>
    </row>
    <row r="2840" spans="1:40" x14ac:dyDescent="0.25">
      <c r="A2840" t="str">
        <f>"20190304164425460"</f>
        <v>20190304164425460</v>
      </c>
      <c r="B2840" t="str">
        <f>"1551689065453104"</f>
        <v>1551689065453104</v>
      </c>
      <c r="C2840" t="s">
        <v>40</v>
      </c>
      <c r="D2840">
        <v>5.5692329999999997</v>
      </c>
      <c r="E2840">
        <v>0.50985649999999905</v>
      </c>
      <c r="F2840" t="s">
        <v>45</v>
      </c>
      <c r="G2840">
        <v>-464.86369999999999</v>
      </c>
      <c r="H2840" s="1">
        <v>9.4185400000000004E-7</v>
      </c>
      <c r="I2840">
        <v>217.12270000000001</v>
      </c>
      <c r="J2840">
        <v>-472.83330000000001</v>
      </c>
      <c r="K2840">
        <v>1.1099969999999999</v>
      </c>
      <c r="L2840">
        <v>217.57689999999999</v>
      </c>
      <c r="M2840">
        <v>0.96293720000000005</v>
      </c>
      <c r="N2840">
        <v>-1.1005920000000001E-2</v>
      </c>
      <c r="O2840">
        <v>-0.26950170000000001</v>
      </c>
      <c r="P2840">
        <v>0.92272949999999998</v>
      </c>
      <c r="Q2840">
        <v>0.38233489999999998</v>
      </c>
      <c r="R2840">
        <v>-4.8891909999999997E-2</v>
      </c>
      <c r="S2840">
        <v>3.4310610000000001</v>
      </c>
      <c r="T2840">
        <v>-0.46324749999999998</v>
      </c>
      <c r="U2840">
        <v>-0.2193756</v>
      </c>
      <c r="V2840">
        <v>-0.2008075</v>
      </c>
      <c r="W2840">
        <v>0.39264749999999998</v>
      </c>
      <c r="X2840">
        <v>0.89749889999999999</v>
      </c>
      <c r="Y2840">
        <v>-0.20354359999999999</v>
      </c>
      <c r="Z2840">
        <v>4.7573020000000001E-2</v>
      </c>
      <c r="AA2840">
        <v>0.97790940000000004</v>
      </c>
      <c r="AB2840">
        <v>24</v>
      </c>
      <c r="AC2840">
        <v>7.9696000000000096</v>
      </c>
      <c r="AD2840">
        <v>-1.109996058146</v>
      </c>
      <c r="AE2840">
        <v>-0.454199999999986</v>
      </c>
      <c r="AF2840">
        <v>-1.6781104184043001</v>
      </c>
      <c r="AG2840">
        <v>-1.109996058146</v>
      </c>
      <c r="AH2840">
        <v>7.6491996951349499</v>
      </c>
      <c r="AI2840">
        <v>98.067467604024799</v>
      </c>
      <c r="AJ2840">
        <v>102.373737868267</v>
      </c>
      <c r="AK2840">
        <v>7.9093869422041303</v>
      </c>
      <c r="AL2840">
        <v>66.880664631814398</v>
      </c>
      <c r="AM2840">
        <v>102.61171758312</v>
      </c>
      <c r="AN2840">
        <v>0.99999999340685397</v>
      </c>
    </row>
    <row r="2841" spans="1:40" x14ac:dyDescent="0.25">
      <c r="A2841" t="str">
        <f>"20190304164425482"</f>
        <v>20190304164425482</v>
      </c>
      <c r="B2841" t="str">
        <f>"1551689065472625"</f>
        <v>1551689065472625</v>
      </c>
      <c r="C2841" t="s">
        <v>40</v>
      </c>
      <c r="D2841">
        <v>5.6256349999999999</v>
      </c>
      <c r="E2841">
        <v>0.5135902</v>
      </c>
      <c r="F2841" t="s">
        <v>45</v>
      </c>
      <c r="G2841">
        <v>-464.6653</v>
      </c>
      <c r="H2841" s="1">
        <v>8.3883050000000001E-7</v>
      </c>
      <c r="I2841">
        <v>217.06540000000001</v>
      </c>
      <c r="J2841">
        <v>-472.60669999999999</v>
      </c>
      <c r="K2841">
        <v>1.109788</v>
      </c>
      <c r="L2841">
        <v>217.51230000000001</v>
      </c>
      <c r="M2841">
        <v>0.96259989999999995</v>
      </c>
      <c r="N2841">
        <v>-1.0948060000000001E-2</v>
      </c>
      <c r="O2841">
        <v>-0.27070620000000001</v>
      </c>
      <c r="P2841">
        <v>0.92237559999999996</v>
      </c>
      <c r="Q2841">
        <v>0.3834497</v>
      </c>
      <c r="R2841">
        <v>-4.6796629999999999E-2</v>
      </c>
      <c r="S2841">
        <v>3.4331969999999998</v>
      </c>
      <c r="T2841">
        <v>-0.46655930000000001</v>
      </c>
      <c r="U2841">
        <v>-0.2150116</v>
      </c>
      <c r="V2841">
        <v>-0.20365820000000001</v>
      </c>
      <c r="W2841">
        <v>0.39380540000000003</v>
      </c>
      <c r="X2841">
        <v>0.89634849999999999</v>
      </c>
      <c r="Y2841">
        <v>-0.2059561</v>
      </c>
      <c r="Z2841">
        <v>4.8226159999999997E-2</v>
      </c>
      <c r="AA2841">
        <v>0.97737220000000002</v>
      </c>
      <c r="AB2841">
        <v>24</v>
      </c>
      <c r="AC2841">
        <v>7.9413999999999803</v>
      </c>
      <c r="AD2841">
        <v>-1.1097871611695</v>
      </c>
      <c r="AE2841">
        <v>-0.44689999999999902</v>
      </c>
      <c r="AF2841">
        <v>-1.6868639824843501</v>
      </c>
      <c r="AG2841">
        <v>-1.1097871611695</v>
      </c>
      <c r="AH2841">
        <v>7.6175387195702804</v>
      </c>
      <c r="AI2841">
        <v>98.095588836642406</v>
      </c>
      <c r="AJ2841">
        <v>102.48635130642801</v>
      </c>
      <c r="AK2841">
        <v>7.8806112569173301</v>
      </c>
      <c r="AL2841">
        <v>66.808509138454895</v>
      </c>
      <c r="AM2841">
        <v>102.800779077646</v>
      </c>
      <c r="AN2841">
        <v>0.99999999447432497</v>
      </c>
    </row>
    <row r="2842" spans="1:40" x14ac:dyDescent="0.25">
      <c r="A2842" t="str">
        <f>"20190304164425506"</f>
        <v>20190304164425506</v>
      </c>
      <c r="B2842" t="str">
        <f>"1551689065502880"</f>
        <v>1551689065502880</v>
      </c>
      <c r="C2842" t="s">
        <v>40</v>
      </c>
      <c r="D2842">
        <v>5.6119459999999997</v>
      </c>
      <c r="E2842">
        <v>0.51424219999999998</v>
      </c>
      <c r="F2842" t="s">
        <v>45</v>
      </c>
      <c r="G2842">
        <v>-464.72930000000002</v>
      </c>
      <c r="H2842" s="1">
        <v>8.7693709999999897E-7</v>
      </c>
      <c r="I2842">
        <v>216.97219999999999</v>
      </c>
      <c r="J2842">
        <v>-472.35140000000001</v>
      </c>
      <c r="K2842">
        <v>1.109632</v>
      </c>
      <c r="L2842">
        <v>217.43879999999999</v>
      </c>
      <c r="M2842">
        <v>0.96213419999999905</v>
      </c>
      <c r="N2842">
        <v>-1.0890769999999999E-2</v>
      </c>
      <c r="O2842">
        <v>-0.27235930000000003</v>
      </c>
      <c r="P2842">
        <v>0.92127829999999999</v>
      </c>
      <c r="Q2842">
        <v>0.38626440000000001</v>
      </c>
      <c r="R2842">
        <v>-4.5240339999999997E-2</v>
      </c>
      <c r="S2842">
        <v>3.4421080000000002</v>
      </c>
      <c r="T2842">
        <v>-0.48493170000000002</v>
      </c>
      <c r="U2842">
        <v>-0.2360382</v>
      </c>
      <c r="V2842">
        <v>-0.2062254</v>
      </c>
      <c r="W2842">
        <v>0.39664460000000001</v>
      </c>
      <c r="X2842">
        <v>0.89450779999999996</v>
      </c>
      <c r="Y2842">
        <v>-0.20157140000000001</v>
      </c>
      <c r="Z2842">
        <v>4.991342E-2</v>
      </c>
      <c r="AA2842">
        <v>0.97820119999999999</v>
      </c>
      <c r="AB2842">
        <v>24</v>
      </c>
      <c r="AC2842">
        <v>7.6220999999999801</v>
      </c>
      <c r="AD2842">
        <v>-1.1096311230628999</v>
      </c>
      <c r="AE2842">
        <v>-0.46659999999999902</v>
      </c>
      <c r="AF2842">
        <v>-1.59346865903718</v>
      </c>
      <c r="AG2842">
        <v>-1.1096311230628999</v>
      </c>
      <c r="AH2842">
        <v>7.30672799925369</v>
      </c>
      <c r="AI2842">
        <v>98.439792813543804</v>
      </c>
      <c r="AJ2842">
        <v>102.302577408853</v>
      </c>
      <c r="AK2842">
        <v>7.5603371387578697</v>
      </c>
      <c r="AL2842">
        <v>66.631417630075305</v>
      </c>
      <c r="AM2842">
        <v>102.982485164132</v>
      </c>
      <c r="AN2842">
        <v>1.0000000292875699</v>
      </c>
    </row>
    <row r="2843" spans="1:40" x14ac:dyDescent="0.25">
      <c r="A2843" t="str">
        <f>"20190304164425549"</f>
        <v>20190304164425549</v>
      </c>
      <c r="B2843" t="str">
        <f>"1551689065542896"</f>
        <v>1551689065542896</v>
      </c>
      <c r="C2843" t="s">
        <v>40</v>
      </c>
      <c r="D2843">
        <v>5.6258039999999996</v>
      </c>
      <c r="E2843">
        <v>0.51510719999999999</v>
      </c>
      <c r="F2843" t="s">
        <v>45</v>
      </c>
      <c r="G2843">
        <v>-464.31729999999999</v>
      </c>
      <c r="H2843" s="1">
        <v>6.6106180000000004E-7</v>
      </c>
      <c r="I2843">
        <v>216.89490000000001</v>
      </c>
      <c r="J2843">
        <v>-471.90260000000001</v>
      </c>
      <c r="K2843">
        <v>1.109432</v>
      </c>
      <c r="L2843">
        <v>217.30760000000001</v>
      </c>
      <c r="M2843">
        <v>0.96116020000000002</v>
      </c>
      <c r="N2843">
        <v>-1.0798189999999999E-2</v>
      </c>
      <c r="O2843">
        <v>-0.27577960000000001</v>
      </c>
      <c r="P2843">
        <v>0.92046470000000002</v>
      </c>
      <c r="Q2843">
        <v>0.38825759999999998</v>
      </c>
      <c r="R2843">
        <v>-4.4729049999999999E-2</v>
      </c>
      <c r="S2843">
        <v>3.4443049999999999</v>
      </c>
      <c r="T2843">
        <v>-0.47570990000000002</v>
      </c>
      <c r="U2843">
        <v>-0.2331848</v>
      </c>
      <c r="V2843">
        <v>-0.2094876</v>
      </c>
      <c r="W2843">
        <v>0.39864929999999998</v>
      </c>
      <c r="X2843">
        <v>0.89285709999999996</v>
      </c>
      <c r="Y2843">
        <v>-0.20599899999999999</v>
      </c>
      <c r="Z2843">
        <v>4.9666839999999997E-2</v>
      </c>
      <c r="AA2843">
        <v>0.97729089999999996</v>
      </c>
      <c r="AB2843">
        <v>24</v>
      </c>
      <c r="AC2843">
        <v>7.5853000000000099</v>
      </c>
      <c r="AD2843">
        <v>-1.10943133893819</v>
      </c>
      <c r="AE2843">
        <v>-0.41270000000000001</v>
      </c>
      <c r="AF2843">
        <v>-1.6598950987443299</v>
      </c>
      <c r="AG2843">
        <v>-1.10943133893819</v>
      </c>
      <c r="AH2843">
        <v>7.2502928306548604</v>
      </c>
      <c r="AI2843">
        <v>98.483673622106707</v>
      </c>
      <c r="AJ2843">
        <v>102.89516708527</v>
      </c>
      <c r="AK2843">
        <v>7.5201619507095003</v>
      </c>
      <c r="AL2843">
        <v>66.506234676771996</v>
      </c>
      <c r="AM2843">
        <v>103.20424903673501</v>
      </c>
      <c r="AN2843">
        <v>1.00000005998232</v>
      </c>
    </row>
    <row r="2844" spans="1:40" x14ac:dyDescent="0.25">
      <c r="A2844" t="str">
        <f>"20190304164425571"</f>
        <v>20190304164425571</v>
      </c>
      <c r="B2844" t="str">
        <f>"1551689065562418"</f>
        <v>1551689065562418</v>
      </c>
      <c r="C2844" t="s">
        <v>40</v>
      </c>
      <c r="D2844">
        <v>5.6495170000000003</v>
      </c>
      <c r="E2844">
        <v>0.51554480000000003</v>
      </c>
      <c r="F2844" t="s">
        <v>45</v>
      </c>
      <c r="G2844">
        <v>-463.85750000000002</v>
      </c>
      <c r="H2844" s="1">
        <v>4.2171290000000002E-7</v>
      </c>
      <c r="I2844">
        <v>216.77269999999999</v>
      </c>
      <c r="J2844">
        <v>-471.66879999999998</v>
      </c>
      <c r="K2844">
        <v>1.1093489999999999</v>
      </c>
      <c r="L2844">
        <v>217.23830000000001</v>
      </c>
      <c r="M2844">
        <v>0.96060699999999999</v>
      </c>
      <c r="N2844">
        <v>-1.075604E-2</v>
      </c>
      <c r="O2844">
        <v>-0.27770250000000002</v>
      </c>
      <c r="P2844">
        <v>0.92072430000000005</v>
      </c>
      <c r="Q2844">
        <v>0.38765060000000001</v>
      </c>
      <c r="R2844">
        <v>-4.4652459999999998E-2</v>
      </c>
      <c r="S2844">
        <v>3.448639</v>
      </c>
      <c r="T2844">
        <v>-0.47556890000000002</v>
      </c>
      <c r="U2844">
        <v>-0.22929379999999999</v>
      </c>
      <c r="V2844">
        <v>-0.21137739999999999</v>
      </c>
      <c r="W2844">
        <v>0.39803739999999999</v>
      </c>
      <c r="X2844">
        <v>0.89268459999999905</v>
      </c>
      <c r="Y2844">
        <v>-0.20910139999999999</v>
      </c>
      <c r="Z2844">
        <v>5.0060889999999997E-2</v>
      </c>
      <c r="AA2844">
        <v>0.97661169999999997</v>
      </c>
      <c r="AB2844">
        <v>24</v>
      </c>
      <c r="AC2844">
        <v>7.8112999999999504</v>
      </c>
      <c r="AD2844">
        <v>-1.1093485782871</v>
      </c>
      <c r="AE2844">
        <v>-0.465600000000023</v>
      </c>
      <c r="AF2844">
        <v>-1.6881306197011601</v>
      </c>
      <c r="AG2844">
        <v>-1.1093485782871</v>
      </c>
      <c r="AH2844">
        <v>7.4829378176906696</v>
      </c>
      <c r="AI2844">
        <v>98.228838722228602</v>
      </c>
      <c r="AJ2844">
        <v>102.712953425029</v>
      </c>
      <c r="AK2844">
        <v>7.7507933555698303</v>
      </c>
      <c r="AL2844">
        <v>66.544455577101999</v>
      </c>
      <c r="AM2844">
        <v>103.32162012466</v>
      </c>
      <c r="AN2844">
        <v>0.99999998605333895</v>
      </c>
    </row>
    <row r="2845" spans="1:40" x14ac:dyDescent="0.25">
      <c r="A2845" t="str">
        <f>"20190304164425594"</f>
        <v>20190304164425594</v>
      </c>
      <c r="B2845" t="str">
        <f>"1551689065582434"</f>
        <v>1551689065582434</v>
      </c>
      <c r="C2845" t="s">
        <v>40</v>
      </c>
      <c r="D2845">
        <v>5.6491930000000004</v>
      </c>
      <c r="E2845">
        <v>0.51594910000000005</v>
      </c>
      <c r="F2845" t="s">
        <v>45</v>
      </c>
      <c r="G2845">
        <v>-463.6823</v>
      </c>
      <c r="H2845" s="1">
        <v>3.3115769999999998E-7</v>
      </c>
      <c r="I2845">
        <v>216.71109999999999</v>
      </c>
      <c r="J2845">
        <v>-471.43079999999998</v>
      </c>
      <c r="K2845">
        <v>1.109291</v>
      </c>
      <c r="L2845">
        <v>217.16720000000001</v>
      </c>
      <c r="M2845">
        <v>0.96002849999999995</v>
      </c>
      <c r="N2845">
        <v>-1.0713469999999999E-2</v>
      </c>
      <c r="O2845">
        <v>-0.27969759999999999</v>
      </c>
      <c r="P2845">
        <v>0.92112919999999998</v>
      </c>
      <c r="Q2845">
        <v>0.38659199999999999</v>
      </c>
      <c r="R2845">
        <v>-4.5474290000000001E-2</v>
      </c>
      <c r="S2845">
        <v>3.4489749999999999</v>
      </c>
      <c r="T2845">
        <v>-0.47906880000000002</v>
      </c>
      <c r="U2845">
        <v>-0.2276917</v>
      </c>
      <c r="V2845">
        <v>-0.2125457</v>
      </c>
      <c r="W2845">
        <v>0.39695930000000001</v>
      </c>
      <c r="X2845">
        <v>0.89288719999999999</v>
      </c>
      <c r="Y2845">
        <v>-0.21148420000000001</v>
      </c>
      <c r="Z2845">
        <v>5.0864529999999998E-2</v>
      </c>
      <c r="AA2845">
        <v>0.97605699999999995</v>
      </c>
      <c r="AB2845">
        <v>24</v>
      </c>
      <c r="AC2845">
        <v>7.7484999999999697</v>
      </c>
      <c r="AD2845">
        <v>-1.1092906688423001</v>
      </c>
      <c r="AE2845">
        <v>-0.45610000000001999</v>
      </c>
      <c r="AF2845">
        <v>-1.69485028037256</v>
      </c>
      <c r="AG2845">
        <v>-1.1092906688423001</v>
      </c>
      <c r="AH2845">
        <v>7.4153292036378398</v>
      </c>
      <c r="AI2845">
        <v>98.297159119860893</v>
      </c>
      <c r="AJ2845">
        <v>102.87439862899799</v>
      </c>
      <c r="AK2845">
        <v>7.6870118029819503</v>
      </c>
      <c r="AL2845">
        <v>66.611772177830105</v>
      </c>
      <c r="AM2845">
        <v>103.389674513758</v>
      </c>
      <c r="AN2845">
        <v>0.99999995618440896</v>
      </c>
    </row>
    <row r="2846" spans="1:40" x14ac:dyDescent="0.25">
      <c r="A2846" t="str">
        <f>"20190304164425615"</f>
        <v>20190304164425615</v>
      </c>
      <c r="B2846" t="str">
        <f>"1551689065612687"</f>
        <v>1551689065612687</v>
      </c>
      <c r="C2846" t="s">
        <v>40</v>
      </c>
      <c r="D2846">
        <v>5.6436739999999999</v>
      </c>
      <c r="E2846">
        <v>0.51632250000000002</v>
      </c>
      <c r="F2846" t="s">
        <v>45</v>
      </c>
      <c r="G2846">
        <v>-463.53660000000002</v>
      </c>
      <c r="H2846" s="1">
        <v>2.5647849999999999E-7</v>
      </c>
      <c r="I2846">
        <v>216.64590000000001</v>
      </c>
      <c r="J2846">
        <v>-471.20510000000002</v>
      </c>
      <c r="K2846">
        <v>1.1092759999999999</v>
      </c>
      <c r="L2846">
        <v>217.0992</v>
      </c>
      <c r="M2846">
        <v>0.95947340000000003</v>
      </c>
      <c r="N2846">
        <v>-1.066776E-2</v>
      </c>
      <c r="O2846">
        <v>-0.2815975</v>
      </c>
      <c r="P2846">
        <v>0.92157140000000004</v>
      </c>
      <c r="Q2846">
        <v>0.38554670000000002</v>
      </c>
      <c r="R2846">
        <v>-4.5390409999999999E-2</v>
      </c>
      <c r="S2846">
        <v>3.449036</v>
      </c>
      <c r="T2846">
        <v>-0.48465429999999998</v>
      </c>
      <c r="U2846">
        <v>-0.2277527</v>
      </c>
      <c r="V2846">
        <v>-0.214535</v>
      </c>
      <c r="W2846">
        <v>0.39587749999999999</v>
      </c>
      <c r="X2846">
        <v>0.89289180000000001</v>
      </c>
      <c r="Y2846">
        <v>-0.2132618</v>
      </c>
      <c r="Z2846">
        <v>5.1849510000000001E-2</v>
      </c>
      <c r="AA2846">
        <v>0.97561830000000005</v>
      </c>
      <c r="AB2846">
        <v>24</v>
      </c>
      <c r="AC2846">
        <v>7.6684999999999901</v>
      </c>
      <c r="AD2846">
        <v>-1.1092757435214999</v>
      </c>
      <c r="AE2846">
        <v>-0.45329999999998399</v>
      </c>
      <c r="AF2846">
        <v>-1.6893726912026099</v>
      </c>
      <c r="AG2846">
        <v>-1.1092757435214999</v>
      </c>
      <c r="AH2846">
        <v>7.3328913791291503</v>
      </c>
      <c r="AI2846">
        <v>98.3857210564735</v>
      </c>
      <c r="AJ2846">
        <v>102.973598414259</v>
      </c>
      <c r="AK2846">
        <v>7.6062979657026899</v>
      </c>
      <c r="AL2846">
        <v>66.679287611128004</v>
      </c>
      <c r="AM2846">
        <v>103.510352868434</v>
      </c>
      <c r="AN2846">
        <v>1.00000001386924</v>
      </c>
    </row>
    <row r="2847" spans="1:40" x14ac:dyDescent="0.25">
      <c r="A2847" t="str">
        <f>"20190304164425638"</f>
        <v>20190304164425638</v>
      </c>
      <c r="B2847" t="str">
        <f>"1551689065633182"</f>
        <v>1551689065633182</v>
      </c>
      <c r="C2847" t="s">
        <v>40</v>
      </c>
      <c r="D2847">
        <v>5.6503230000000002</v>
      </c>
      <c r="E2847">
        <v>0.51660200000000001</v>
      </c>
      <c r="F2847" t="s">
        <v>45</v>
      </c>
      <c r="G2847">
        <v>-463.39690000000002</v>
      </c>
      <c r="H2847" s="1">
        <v>1.8483819999999999E-7</v>
      </c>
      <c r="I2847">
        <v>216.58510000000001</v>
      </c>
      <c r="J2847">
        <v>-470.97149999999999</v>
      </c>
      <c r="K2847">
        <v>1.109283</v>
      </c>
      <c r="L2847">
        <v>217.0282</v>
      </c>
      <c r="M2847">
        <v>0.95889849999999999</v>
      </c>
      <c r="N2847">
        <v>-1.0623280000000001E-2</v>
      </c>
      <c r="O2847">
        <v>-0.28355059999999999</v>
      </c>
      <c r="P2847">
        <v>0.92161119999999996</v>
      </c>
      <c r="Q2847">
        <v>0.38536710000000002</v>
      </c>
      <c r="R2847">
        <v>-4.6100210000000003E-2</v>
      </c>
      <c r="S2847">
        <v>3.4491269999999998</v>
      </c>
      <c r="T2847">
        <v>-0.4900022</v>
      </c>
      <c r="U2847">
        <v>-0.22709660000000001</v>
      </c>
      <c r="V2847">
        <v>-0.2157126</v>
      </c>
      <c r="W2847">
        <v>0.39564899999999997</v>
      </c>
      <c r="X2847">
        <v>0.89270939999999999</v>
      </c>
      <c r="Y2847">
        <v>-0.21529490000000001</v>
      </c>
      <c r="Z2847">
        <v>5.2842609999999998E-2</v>
      </c>
      <c r="AA2847">
        <v>0.97511829999999999</v>
      </c>
      <c r="AB2847">
        <v>25</v>
      </c>
      <c r="AC2847">
        <v>7.57459999999997</v>
      </c>
      <c r="AD2847">
        <v>-1.1092828151617999</v>
      </c>
      <c r="AE2847">
        <v>-0.44309999999998601</v>
      </c>
      <c r="AF2847">
        <v>-1.68693536181813</v>
      </c>
      <c r="AG2847">
        <v>-1.1092828151617999</v>
      </c>
      <c r="AH2847">
        <v>7.2346974369246597</v>
      </c>
      <c r="AI2847">
        <v>98.492802405491105</v>
      </c>
      <c r="AJ2847">
        <v>103.125304313727</v>
      </c>
      <c r="AK2847">
        <v>7.5111321571924101</v>
      </c>
      <c r="AL2847">
        <v>66.693544927031198</v>
      </c>
      <c r="AM2847">
        <v>103.584444566191</v>
      </c>
      <c r="AN2847">
        <v>1.0000000649240499</v>
      </c>
    </row>
    <row r="2848" spans="1:40" x14ac:dyDescent="0.25">
      <c r="A2848" t="str">
        <f>"20190304164425661"</f>
        <v>20190304164425661</v>
      </c>
      <c r="B2848" t="str">
        <f>"1551689065652703"</f>
        <v>1551689065652703</v>
      </c>
      <c r="C2848" t="s">
        <v>40</v>
      </c>
      <c r="D2848">
        <v>5.6281600000000003</v>
      </c>
      <c r="E2848">
        <v>0.51684699999999995</v>
      </c>
      <c r="F2848" t="s">
        <v>45</v>
      </c>
      <c r="G2848">
        <v>-463.18639999999999</v>
      </c>
      <c r="H2848" s="1">
        <v>7.6439169999999995E-8</v>
      </c>
      <c r="I2848">
        <v>216.50149999999999</v>
      </c>
      <c r="J2848">
        <v>-470.72399999999999</v>
      </c>
      <c r="K2848">
        <v>1.1093059999999999</v>
      </c>
      <c r="L2848">
        <v>216.95240000000001</v>
      </c>
      <c r="M2848">
        <v>0.95829240000000004</v>
      </c>
      <c r="N2848">
        <v>-1.058075E-2</v>
      </c>
      <c r="O2848">
        <v>-0.2855934</v>
      </c>
      <c r="P2848">
        <v>0.92210360000000002</v>
      </c>
      <c r="Q2848">
        <v>0.38413730000000001</v>
      </c>
      <c r="R2848">
        <v>-4.6511950000000003E-2</v>
      </c>
      <c r="S2848">
        <v>3.4489749999999999</v>
      </c>
      <c r="T2848">
        <v>-0.49143419999999999</v>
      </c>
      <c r="U2848">
        <v>-0.2333374</v>
      </c>
      <c r="V2848">
        <v>-0.2174035</v>
      </c>
      <c r="W2848">
        <v>0.39437240000000001</v>
      </c>
      <c r="X2848">
        <v>0.89286399999999999</v>
      </c>
      <c r="Y2848">
        <v>-0.21556719999999999</v>
      </c>
      <c r="Z2848">
        <v>5.3282160000000002E-2</v>
      </c>
      <c r="AA2848">
        <v>0.97503419999999996</v>
      </c>
      <c r="AB2848">
        <v>25</v>
      </c>
      <c r="AC2848">
        <v>7.5375999999999896</v>
      </c>
      <c r="AD2848">
        <v>-1.10930592356082</v>
      </c>
      <c r="AE2848">
        <v>-0.45090000000001801</v>
      </c>
      <c r="AF2848">
        <v>-1.6843403172829801</v>
      </c>
      <c r="AG2848">
        <v>-1.10930592356082</v>
      </c>
      <c r="AH2848">
        <v>7.1970857491060896</v>
      </c>
      <c r="AI2848">
        <v>98.535110026823304</v>
      </c>
      <c r="AJ2848">
        <v>103.171919375196</v>
      </c>
      <c r="AK2848">
        <v>7.4743297503159498</v>
      </c>
      <c r="AL2848">
        <v>66.773161921612797</v>
      </c>
      <c r="AM2848">
        <v>103.684657415869</v>
      </c>
      <c r="AN2848">
        <v>0.99999999709500498</v>
      </c>
    </row>
    <row r="2849" spans="1:40" x14ac:dyDescent="0.25">
      <c r="A2849" t="str">
        <f>"20190304164425683"</f>
        <v>20190304164425683</v>
      </c>
      <c r="B2849" t="str">
        <f>"1551689065673198"</f>
        <v>1551689065673198</v>
      </c>
      <c r="C2849" t="s">
        <v>40</v>
      </c>
      <c r="D2849">
        <v>5.6428050000000001</v>
      </c>
      <c r="E2849">
        <v>0.51702150000000002</v>
      </c>
      <c r="F2849" t="s">
        <v>45</v>
      </c>
      <c r="G2849">
        <v>-463.0378</v>
      </c>
      <c r="H2849" s="1">
        <v>1.087258E-9</v>
      </c>
      <c r="I2849">
        <v>216.41579999999999</v>
      </c>
      <c r="J2849">
        <v>-470.49</v>
      </c>
      <c r="K2849">
        <v>1.1093299999999999</v>
      </c>
      <c r="L2849">
        <v>216.88030000000001</v>
      </c>
      <c r="M2849">
        <v>0.95772500000000005</v>
      </c>
      <c r="N2849">
        <v>-1.053631E-2</v>
      </c>
      <c r="O2849">
        <v>-0.2874929</v>
      </c>
      <c r="P2849">
        <v>0.92258680000000004</v>
      </c>
      <c r="Q2849">
        <v>0.38270880000000002</v>
      </c>
      <c r="R2849">
        <v>-4.866173E-2</v>
      </c>
      <c r="S2849">
        <v>3.4486690000000002</v>
      </c>
      <c r="T2849">
        <v>-0.49772109999999897</v>
      </c>
      <c r="U2849">
        <v>-0.24076839999999999</v>
      </c>
      <c r="V2849">
        <v>-0.21729680000000001</v>
      </c>
      <c r="W2849">
        <v>0.39289400000000002</v>
      </c>
      <c r="X2849">
        <v>0.89354149999999999</v>
      </c>
      <c r="Y2849">
        <v>-0.21526809999999999</v>
      </c>
      <c r="Z2849">
        <v>5.4205419999999997E-2</v>
      </c>
      <c r="AA2849">
        <v>0.97504939999999996</v>
      </c>
      <c r="AB2849">
        <v>25</v>
      </c>
      <c r="AC2849">
        <v>7.4522000000000004</v>
      </c>
      <c r="AD2849">
        <v>-1.1093299989127401</v>
      </c>
      <c r="AE2849">
        <v>-0.46450000000001501</v>
      </c>
      <c r="AF2849">
        <v>-1.6610209417903401</v>
      </c>
      <c r="AG2849">
        <v>-1.1093299989127401</v>
      </c>
      <c r="AH2849">
        <v>7.1140695678763999</v>
      </c>
      <c r="AI2849">
        <v>98.634431962139402</v>
      </c>
      <c r="AJ2849">
        <v>103.14220522516599</v>
      </c>
      <c r="AK2849">
        <v>7.3891534990240197</v>
      </c>
      <c r="AL2849">
        <v>66.865307274073103</v>
      </c>
      <c r="AM2849">
        <v>103.668211527401</v>
      </c>
      <c r="AN2849">
        <v>1.00000000337424</v>
      </c>
    </row>
    <row r="2850" spans="1:40" x14ac:dyDescent="0.25">
      <c r="A2850" t="str">
        <f>"20190304164425705"</f>
        <v>20190304164425705</v>
      </c>
      <c r="B2850" t="str">
        <f>"1551689065702986"</f>
        <v>1551689065702986</v>
      </c>
      <c r="C2850" t="s">
        <v>40</v>
      </c>
      <c r="D2850">
        <v>5.6765919999999896</v>
      </c>
      <c r="E2850">
        <v>0.5199686</v>
      </c>
      <c r="F2850" t="s">
        <v>45</v>
      </c>
      <c r="G2850">
        <v>-462.90019999999998</v>
      </c>
      <c r="H2850" s="1">
        <v>-6.8276360000000004E-8</v>
      </c>
      <c r="I2850">
        <v>216.3287</v>
      </c>
      <c r="J2850">
        <v>-470.25139999999999</v>
      </c>
      <c r="K2850">
        <v>1.109362</v>
      </c>
      <c r="L2850">
        <v>216.80629999999999</v>
      </c>
      <c r="M2850">
        <v>0.95715499999999998</v>
      </c>
      <c r="N2850">
        <v>-1.0485100000000001E-2</v>
      </c>
      <c r="O2850">
        <v>-0.28938639999999999</v>
      </c>
      <c r="P2850">
        <v>0.92288769999999998</v>
      </c>
      <c r="Q2850">
        <v>0.38152399999999997</v>
      </c>
      <c r="R2850">
        <v>-5.2134560000000003E-2</v>
      </c>
      <c r="S2850">
        <v>3.4475709999999999</v>
      </c>
      <c r="T2850">
        <v>-0.50390290000000004</v>
      </c>
      <c r="U2850">
        <v>-0.25054929999999997</v>
      </c>
      <c r="V2850">
        <v>-0.2158718</v>
      </c>
      <c r="W2850">
        <v>0.39164870000000002</v>
      </c>
      <c r="X2850">
        <v>0.89443309999999998</v>
      </c>
      <c r="Y2850">
        <v>-0.2142927</v>
      </c>
      <c r="Z2850">
        <v>5.5080839999999999E-2</v>
      </c>
      <c r="AA2850">
        <v>0.97521530000000001</v>
      </c>
      <c r="AB2850">
        <v>25</v>
      </c>
      <c r="AC2850">
        <v>7.3512000000000004</v>
      </c>
      <c r="AD2850">
        <v>-1.1093620682763601</v>
      </c>
      <c r="AE2850">
        <v>-0.47759999999999497</v>
      </c>
      <c r="AF2850">
        <v>-1.6332532072533801</v>
      </c>
      <c r="AG2850">
        <v>-1.1093620682763601</v>
      </c>
      <c r="AH2850">
        <v>7.0157411988409004</v>
      </c>
      <c r="AI2850">
        <v>98.755140894159496</v>
      </c>
      <c r="AJ2850">
        <v>103.104951057012</v>
      </c>
      <c r="AK2850">
        <v>7.28826624147659</v>
      </c>
      <c r="AL2850">
        <v>66.942873591302799</v>
      </c>
      <c r="AM2850">
        <v>103.56886995110899</v>
      </c>
      <c r="AN2850">
        <v>0.99999995431126898</v>
      </c>
    </row>
    <row r="2851" spans="1:40" x14ac:dyDescent="0.25">
      <c r="A2851" t="str">
        <f>"20190304164425729"</f>
        <v>20190304164425729</v>
      </c>
      <c r="B2851" t="str">
        <f>"1551689065722506"</f>
        <v>1551689065722506</v>
      </c>
      <c r="C2851" t="s">
        <v>40</v>
      </c>
      <c r="D2851">
        <v>5.6428209999999996</v>
      </c>
      <c r="E2851">
        <v>0.51957439999999999</v>
      </c>
      <c r="F2851" t="s">
        <v>45</v>
      </c>
      <c r="G2851">
        <v>-462.80619999999999</v>
      </c>
      <c r="H2851" s="1">
        <v>-1.12462E-7</v>
      </c>
      <c r="I2851">
        <v>216.1952</v>
      </c>
      <c r="J2851">
        <v>-470.00650000000002</v>
      </c>
      <c r="K2851">
        <v>1.1093980000000001</v>
      </c>
      <c r="L2851">
        <v>216.72989999999999</v>
      </c>
      <c r="M2851">
        <v>0.95658370000000004</v>
      </c>
      <c r="N2851">
        <v>-1.0432490000000001E-2</v>
      </c>
      <c r="O2851">
        <v>-0.2912708</v>
      </c>
      <c r="P2851">
        <v>0.92304960000000003</v>
      </c>
      <c r="Q2851">
        <v>0.38051360000000001</v>
      </c>
      <c r="R2851">
        <v>-5.6469060000000001E-2</v>
      </c>
      <c r="S2851">
        <v>3.4469910000000001</v>
      </c>
      <c r="T2851">
        <v>-0.51361449999999997</v>
      </c>
      <c r="U2851">
        <v>-0.28294370000000002</v>
      </c>
      <c r="V2851">
        <v>-0.21358769999999999</v>
      </c>
      <c r="W2851">
        <v>0.39057039999999998</v>
      </c>
      <c r="X2851">
        <v>0.89545239999999904</v>
      </c>
      <c r="Y2851">
        <v>-0.2069619</v>
      </c>
      <c r="Z2851">
        <v>5.5819790000000001E-2</v>
      </c>
      <c r="AA2851">
        <v>0.97675529999999999</v>
      </c>
      <c r="AB2851">
        <v>25</v>
      </c>
      <c r="AC2851">
        <v>7.2003000000000199</v>
      </c>
      <c r="AD2851">
        <v>-1.10939811246199</v>
      </c>
      <c r="AE2851">
        <v>-0.53469999999998596</v>
      </c>
      <c r="AF2851">
        <v>-1.5492610746478499</v>
      </c>
      <c r="AG2851">
        <v>-1.10939811246199</v>
      </c>
      <c r="AH2851">
        <v>6.8813511353208101</v>
      </c>
      <c r="AI2851">
        <v>98.938327096184693</v>
      </c>
      <c r="AJ2851">
        <v>102.68796807266401</v>
      </c>
      <c r="AK2851">
        <v>7.1403058405739399</v>
      </c>
      <c r="AL2851">
        <v>67.010003306315596</v>
      </c>
      <c r="AM2851">
        <v>103.41579296610701</v>
      </c>
      <c r="AN2851">
        <v>0.99999997180660405</v>
      </c>
    </row>
    <row r="2852" spans="1:40" x14ac:dyDescent="0.25">
      <c r="A2852" t="str">
        <f>"20190304164425749"</f>
        <v>20190304164425749</v>
      </c>
      <c r="B2852" t="str">
        <f>"1551689065743002"</f>
        <v>1551689065743002</v>
      </c>
      <c r="C2852" t="s">
        <v>40</v>
      </c>
      <c r="D2852">
        <v>5.6464129999999999</v>
      </c>
      <c r="E2852">
        <v>0.51951020000000003</v>
      </c>
      <c r="F2852" t="s">
        <v>45</v>
      </c>
      <c r="G2852">
        <v>-462.6078</v>
      </c>
      <c r="H2852" s="1">
        <v>-2.1431520000000001E-7</v>
      </c>
      <c r="I2852">
        <v>216.11</v>
      </c>
      <c r="J2852">
        <v>-469.78489999999999</v>
      </c>
      <c r="K2852">
        <v>1.1094349999999999</v>
      </c>
      <c r="L2852">
        <v>216.66030000000001</v>
      </c>
      <c r="M2852">
        <v>0.95608510000000002</v>
      </c>
      <c r="N2852">
        <v>-1.0389290000000001E-2</v>
      </c>
      <c r="O2852">
        <v>-0.29290480000000002</v>
      </c>
      <c r="P2852">
        <v>0.92260960000000003</v>
      </c>
      <c r="Q2852">
        <v>0.38100119999999998</v>
      </c>
      <c r="R2852">
        <v>-6.024765E-2</v>
      </c>
      <c r="S2852">
        <v>3.4454039999999999</v>
      </c>
      <c r="T2852">
        <v>-0.51662429999999904</v>
      </c>
      <c r="U2852">
        <v>-0.28865049999999998</v>
      </c>
      <c r="V2852">
        <v>-0.21143380000000001</v>
      </c>
      <c r="W2852">
        <v>0.39098699999999997</v>
      </c>
      <c r="X2852">
        <v>0.89578179999999996</v>
      </c>
      <c r="Y2852">
        <v>-0.2069088</v>
      </c>
      <c r="Z2852">
        <v>5.6394689999999997E-2</v>
      </c>
      <c r="AA2852">
        <v>0.97673350000000003</v>
      </c>
      <c r="AB2852">
        <v>25</v>
      </c>
      <c r="AC2852">
        <v>7.1770999999999896</v>
      </c>
      <c r="AD2852">
        <v>-1.1094352143152</v>
      </c>
      <c r="AE2852">
        <v>-0.55029999999999202</v>
      </c>
      <c r="AF2852">
        <v>-1.5395852903282199</v>
      </c>
      <c r="AG2852">
        <v>-1.1094352143152</v>
      </c>
      <c r="AH2852">
        <v>6.8605100274245299</v>
      </c>
      <c r="AI2852">
        <v>98.966705794339504</v>
      </c>
      <c r="AJ2852">
        <v>102.648348799115</v>
      </c>
      <c r="AK2852">
        <v>7.1181294732078397</v>
      </c>
      <c r="AL2852">
        <v>66.984074078590496</v>
      </c>
      <c r="AM2852">
        <v>103.28061120615099</v>
      </c>
      <c r="AN2852">
        <v>1.0000000595813301</v>
      </c>
    </row>
    <row r="2853" spans="1:40" x14ac:dyDescent="0.25">
      <c r="A2853" t="str">
        <f>"20190304164425772"</f>
        <v>20190304164425772</v>
      </c>
      <c r="B2853" t="str">
        <f>"1551689065762522"</f>
        <v>1551689065762522</v>
      </c>
      <c r="C2853" t="s">
        <v>40</v>
      </c>
      <c r="D2853">
        <v>5.6519079999999997</v>
      </c>
      <c r="E2853">
        <v>0.51942349999999904</v>
      </c>
      <c r="F2853" t="s">
        <v>45</v>
      </c>
      <c r="G2853">
        <v>-462.38900000000001</v>
      </c>
      <c r="H2853" s="1">
        <v>-3.2710810000000001E-7</v>
      </c>
      <c r="I2853">
        <v>216.02600000000001</v>
      </c>
      <c r="J2853">
        <v>-469.54419999999999</v>
      </c>
      <c r="K2853">
        <v>1.1095029999999999</v>
      </c>
      <c r="L2853">
        <v>216.58439999999999</v>
      </c>
      <c r="M2853">
        <v>0.95557159999999997</v>
      </c>
      <c r="N2853">
        <v>-1.0345770000000001E-2</v>
      </c>
      <c r="O2853">
        <v>-0.29457800000000001</v>
      </c>
      <c r="P2853">
        <v>0.92219200000000001</v>
      </c>
      <c r="Q2853">
        <v>0.38133620000000001</v>
      </c>
      <c r="R2853">
        <v>-6.438199E-2</v>
      </c>
      <c r="S2853">
        <v>3.4458310000000001</v>
      </c>
      <c r="T2853">
        <v>-0.51689600000000002</v>
      </c>
      <c r="U2853">
        <v>-0.29554750000000002</v>
      </c>
      <c r="V2853">
        <v>-0.20901169999999999</v>
      </c>
      <c r="W2853">
        <v>0.39123799999999997</v>
      </c>
      <c r="X2853">
        <v>0.8962405</v>
      </c>
      <c r="Y2853">
        <v>-0.20667289999999999</v>
      </c>
      <c r="Z2853">
        <v>5.6620589999999998E-2</v>
      </c>
      <c r="AA2853">
        <v>0.97677040000000004</v>
      </c>
      <c r="AB2853">
        <v>25</v>
      </c>
      <c r="AC2853">
        <v>7.1551999999999696</v>
      </c>
      <c r="AD2853">
        <v>-1.1095033271081001</v>
      </c>
      <c r="AE2853">
        <v>-0.558400000000006</v>
      </c>
      <c r="AF2853">
        <v>-1.5375125757064101</v>
      </c>
      <c r="AG2853">
        <v>-1.1095033271081001</v>
      </c>
      <c r="AH2853">
        <v>6.8387341620186604</v>
      </c>
      <c r="AI2853">
        <v>98.994556136160199</v>
      </c>
      <c r="AJ2853">
        <v>102.67079300589199</v>
      </c>
      <c r="AK2853">
        <v>7.0967053970191198</v>
      </c>
      <c r="AL2853">
        <v>66.968447852753201</v>
      </c>
      <c r="AM2853">
        <v>103.12728734397101</v>
      </c>
      <c r="AN2853">
        <v>1.00000004861056</v>
      </c>
    </row>
    <row r="2854" spans="1:40" x14ac:dyDescent="0.25">
      <c r="A2854" t="str">
        <f>"20190304164425795"</f>
        <v>20190304164425795</v>
      </c>
      <c r="B2854" t="str">
        <f>"1551689065782551"</f>
        <v>1551689065782551</v>
      </c>
      <c r="C2854" t="s">
        <v>40</v>
      </c>
      <c r="D2854">
        <v>5.6310690000000001</v>
      </c>
      <c r="E2854">
        <v>0.51903670000000002</v>
      </c>
      <c r="F2854" t="s">
        <v>45</v>
      </c>
      <c r="G2854">
        <v>-462.12790000000001</v>
      </c>
      <c r="H2854" s="1">
        <v>-4.6187069999999999E-7</v>
      </c>
      <c r="I2854">
        <v>215.93049999999999</v>
      </c>
      <c r="J2854">
        <v>-469.3159</v>
      </c>
      <c r="K2854">
        <v>1.1095950000000001</v>
      </c>
      <c r="L2854">
        <v>216.51220000000001</v>
      </c>
      <c r="M2854">
        <v>0.95512459999999999</v>
      </c>
      <c r="N2854">
        <v>-1.030697E-2</v>
      </c>
      <c r="O2854">
        <v>-0.29602499999999998</v>
      </c>
      <c r="P2854">
        <v>0.92190439999999996</v>
      </c>
      <c r="Q2854">
        <v>0.381436</v>
      </c>
      <c r="R2854">
        <v>-6.7814630000000001E-2</v>
      </c>
      <c r="S2854">
        <v>3.4450379999999998</v>
      </c>
      <c r="T2854">
        <v>-0.51539219999999997</v>
      </c>
      <c r="U2854">
        <v>-0.3037415</v>
      </c>
      <c r="V2854">
        <v>-0.2071096</v>
      </c>
      <c r="W2854">
        <v>0.39124940000000002</v>
      </c>
      <c r="X2854">
        <v>0.8966769</v>
      </c>
      <c r="Y2854">
        <v>-0.20585410000000001</v>
      </c>
      <c r="Z2854">
        <v>5.6588439999999997E-2</v>
      </c>
      <c r="AA2854">
        <v>0.97694519999999996</v>
      </c>
      <c r="AB2854">
        <v>25</v>
      </c>
      <c r="AC2854">
        <v>7.1879999999999802</v>
      </c>
      <c r="AD2854">
        <v>-1.1095954618707</v>
      </c>
      <c r="AE2854">
        <v>-0.58170000000001199</v>
      </c>
      <c r="AF2854">
        <v>-1.53595251843117</v>
      </c>
      <c r="AG2854">
        <v>-1.1095954618707</v>
      </c>
      <c r="AH2854">
        <v>6.8752401796487197</v>
      </c>
      <c r="AI2854">
        <v>98.950972029707302</v>
      </c>
      <c r="AJ2854">
        <v>102.593287140957</v>
      </c>
      <c r="AK2854">
        <v>7.1315692351498097</v>
      </c>
      <c r="AL2854">
        <v>66.967736219302296</v>
      </c>
      <c r="AM2854">
        <v>103.005788838535</v>
      </c>
      <c r="AN2854">
        <v>0.99999997120306405</v>
      </c>
    </row>
    <row r="2855" spans="1:40" x14ac:dyDescent="0.25">
      <c r="A2855" t="str">
        <f>"20190304164425817"</f>
        <v>20190304164425817</v>
      </c>
      <c r="B2855" t="str">
        <f>"1551689065812808"</f>
        <v>1551689065812808</v>
      </c>
      <c r="C2855" t="s">
        <v>40</v>
      </c>
      <c r="D2855">
        <v>5.6193790000000003</v>
      </c>
      <c r="E2855">
        <v>0.516408599999999</v>
      </c>
      <c r="F2855" t="s">
        <v>45</v>
      </c>
      <c r="G2855">
        <v>-461.86470000000003</v>
      </c>
      <c r="H2855" s="1">
        <v>-5.9798789999999998E-7</v>
      </c>
      <c r="I2855">
        <v>215.84039999999999</v>
      </c>
      <c r="J2855">
        <v>-469.0788</v>
      </c>
      <c r="K2855">
        <v>1.1097129999999999</v>
      </c>
      <c r="L2855">
        <v>216.43690000000001</v>
      </c>
      <c r="M2855">
        <v>0.95471910000000004</v>
      </c>
      <c r="N2855">
        <v>-1.027023E-2</v>
      </c>
      <c r="O2855">
        <v>-0.29733169999999998</v>
      </c>
      <c r="P2855">
        <v>0.9221222</v>
      </c>
      <c r="Q2855">
        <v>0.38048029999999999</v>
      </c>
      <c r="R2855">
        <v>-7.018228E-2</v>
      </c>
      <c r="S2855">
        <v>3.4434809999999998</v>
      </c>
      <c r="T2855">
        <v>-0.51278590000000002</v>
      </c>
      <c r="U2855">
        <v>-0.3104248</v>
      </c>
      <c r="V2855">
        <v>-0.2062803</v>
      </c>
      <c r="W2855">
        <v>0.39019510000000002</v>
      </c>
      <c r="X2855">
        <v>0.89732730000000005</v>
      </c>
      <c r="Y2855">
        <v>-0.20531579999999999</v>
      </c>
      <c r="Z2855">
        <v>5.6448850000000002E-2</v>
      </c>
      <c r="AA2855">
        <v>0.97706649999999995</v>
      </c>
      <c r="AB2855">
        <v>25</v>
      </c>
      <c r="AC2855">
        <v>7.21409999999997</v>
      </c>
      <c r="AD2855">
        <v>-1.1097135979879</v>
      </c>
      <c r="AE2855">
        <v>-0.59650000000002001</v>
      </c>
      <c r="AF2855">
        <v>-1.53939529740974</v>
      </c>
      <c r="AG2855">
        <v>-1.1097135979879</v>
      </c>
      <c r="AH2855">
        <v>6.9029389406710102</v>
      </c>
      <c r="AI2855">
        <v>98.917309254178093</v>
      </c>
      <c r="AJ2855">
        <v>102.57158258824499</v>
      </c>
      <c r="AK2855">
        <v>7.1590340249141597</v>
      </c>
      <c r="AL2855">
        <v>67.033361111466306</v>
      </c>
      <c r="AM2855">
        <v>102.946398051326</v>
      </c>
      <c r="AN2855">
        <v>1.00000003077869</v>
      </c>
    </row>
    <row r="2856" spans="1:40" x14ac:dyDescent="0.25">
      <c r="A2856" t="str">
        <f>"20190304164425839"</f>
        <v>20190304164425839</v>
      </c>
      <c r="B2856" t="str">
        <f>"1551689065833303"</f>
        <v>1551689065833303</v>
      </c>
      <c r="C2856" t="s">
        <v>40</v>
      </c>
      <c r="D2856">
        <v>5.6684669999999997</v>
      </c>
      <c r="E2856">
        <v>0.51615759999999999</v>
      </c>
      <c r="F2856" t="s">
        <v>45</v>
      </c>
      <c r="G2856">
        <v>-461.37119999999999</v>
      </c>
      <c r="H2856" s="1">
        <v>-8.5758379999999995E-7</v>
      </c>
      <c r="I2856">
        <v>215.7704</v>
      </c>
      <c r="J2856">
        <v>-468.84390000000002</v>
      </c>
      <c r="K2856">
        <v>1.1098349999999999</v>
      </c>
      <c r="L2856">
        <v>216.3623</v>
      </c>
      <c r="M2856">
        <v>0.95436940000000003</v>
      </c>
      <c r="N2856">
        <v>-1.023779E-2</v>
      </c>
      <c r="O2856">
        <v>-0.29845339999999998</v>
      </c>
      <c r="P2856">
        <v>0.92241620000000002</v>
      </c>
      <c r="Q2856">
        <v>0.37943949999999999</v>
      </c>
      <c r="R2856">
        <v>-7.1933549999999999E-2</v>
      </c>
      <c r="S2856">
        <v>3.4348139999999998</v>
      </c>
      <c r="T2856">
        <v>-0.494529</v>
      </c>
      <c r="U2856">
        <v>-0.29701230000000001</v>
      </c>
      <c r="V2856">
        <v>-0.2058904</v>
      </c>
      <c r="W2856">
        <v>0.3890595</v>
      </c>
      <c r="X2856">
        <v>0.89790969999999903</v>
      </c>
      <c r="Y2856">
        <v>-0.21030099999999999</v>
      </c>
      <c r="Z2856">
        <v>5.5072839999999998E-2</v>
      </c>
      <c r="AA2856">
        <v>0.97608419999999896</v>
      </c>
      <c r="AB2856">
        <v>25</v>
      </c>
      <c r="AC2856">
        <v>7.4727000000000299</v>
      </c>
      <c r="AD2856">
        <v>-1.1098358575838001</v>
      </c>
      <c r="AE2856">
        <v>-0.59190000000000897</v>
      </c>
      <c r="AF2856">
        <v>-1.62972456782949</v>
      </c>
      <c r="AG2856">
        <v>-1.1098358575838001</v>
      </c>
      <c r="AH2856">
        <v>7.1519796748420896</v>
      </c>
      <c r="AI2856">
        <v>98.603620192604296</v>
      </c>
      <c r="AJ2856">
        <v>102.83682480021</v>
      </c>
      <c r="AK2856">
        <v>7.4187971442222498</v>
      </c>
      <c r="AL2856">
        <v>67.104008369437594</v>
      </c>
      <c r="AM2856">
        <v>102.91464887767999</v>
      </c>
      <c r="AN2856">
        <v>0.99999999035324905</v>
      </c>
    </row>
    <row r="2857" spans="1:40" x14ac:dyDescent="0.25">
      <c r="A2857" t="str">
        <f>"20190304164425862"</f>
        <v>20190304164425862</v>
      </c>
      <c r="B2857" t="str">
        <f>"1551689065852823"</f>
        <v>1551689065852823</v>
      </c>
      <c r="C2857" t="s">
        <v>40</v>
      </c>
      <c r="D2857">
        <v>5.6250589999999896</v>
      </c>
      <c r="E2857">
        <v>0.5158256</v>
      </c>
      <c r="F2857" t="s">
        <v>45</v>
      </c>
      <c r="G2857">
        <v>-461.24590000000001</v>
      </c>
      <c r="H2857" s="1">
        <v>-9.2075899999999997E-7</v>
      </c>
      <c r="I2857">
        <v>215.69110000000001</v>
      </c>
      <c r="J2857">
        <v>-468.59160000000003</v>
      </c>
      <c r="K2857">
        <v>1.1099950000000001</v>
      </c>
      <c r="L2857">
        <v>216.28200000000001</v>
      </c>
      <c r="M2857">
        <v>0.95406420000000003</v>
      </c>
      <c r="N2857">
        <v>-1.020679E-2</v>
      </c>
      <c r="O2857">
        <v>-0.29942809999999997</v>
      </c>
      <c r="P2857">
        <v>0.92277770000000003</v>
      </c>
      <c r="Q2857">
        <v>0.37851970000000001</v>
      </c>
      <c r="R2857">
        <v>-7.2141300000000005E-2</v>
      </c>
      <c r="S2857">
        <v>3.4350589999999999</v>
      </c>
      <c r="T2857">
        <v>-0.50175579999999997</v>
      </c>
      <c r="U2857">
        <v>-0.3034058</v>
      </c>
      <c r="V2857">
        <v>-0.20687159999999999</v>
      </c>
      <c r="W2857">
        <v>0.38803700000000002</v>
      </c>
      <c r="X2857">
        <v>0.8981266</v>
      </c>
      <c r="Y2857">
        <v>-0.20935999999999999</v>
      </c>
      <c r="Z2857">
        <v>5.5945229999999999E-2</v>
      </c>
      <c r="AA2857">
        <v>0.97623689999999996</v>
      </c>
      <c r="AB2857">
        <v>25</v>
      </c>
      <c r="AC2857">
        <v>7.3457000000000203</v>
      </c>
      <c r="AD2857">
        <v>-1.109995920759</v>
      </c>
      <c r="AE2857">
        <v>-0.59090000000000398</v>
      </c>
      <c r="AF2857">
        <v>-1.5995489718753899</v>
      </c>
      <c r="AG2857">
        <v>-1.109995920759</v>
      </c>
      <c r="AH2857">
        <v>7.0261741293921203</v>
      </c>
      <c r="AI2857">
        <v>98.756947739223605</v>
      </c>
      <c r="AJ2857">
        <v>102.825132284346</v>
      </c>
      <c r="AK2857">
        <v>7.2909375771616904</v>
      </c>
      <c r="AL2857">
        <v>67.167588710535597</v>
      </c>
      <c r="AM2857">
        <v>102.97109042207801</v>
      </c>
      <c r="AN2857">
        <v>0.99999998094155895</v>
      </c>
    </row>
    <row r="2858" spans="1:40" x14ac:dyDescent="0.25">
      <c r="A2858" t="str">
        <f>"20190304164425884"</f>
        <v>20190304164425884</v>
      </c>
      <c r="B2858" t="str">
        <f>"1551689065872346"</f>
        <v>1551689065872346</v>
      </c>
      <c r="C2858" t="s">
        <v>40</v>
      </c>
      <c r="D2858">
        <v>5.5472460000000003</v>
      </c>
      <c r="E2858">
        <v>0.51550949999999995</v>
      </c>
      <c r="F2858" t="s">
        <v>45</v>
      </c>
      <c r="G2858">
        <v>-461.01900000000001</v>
      </c>
      <c r="H2858" s="1">
        <v>-1.038036E-6</v>
      </c>
      <c r="I2858">
        <v>215.61189999999999</v>
      </c>
      <c r="J2858">
        <v>-468.36250000000001</v>
      </c>
      <c r="K2858">
        <v>1.1101589999999999</v>
      </c>
      <c r="L2858">
        <v>216.20920000000001</v>
      </c>
      <c r="M2858">
        <v>0.95386349999999998</v>
      </c>
      <c r="N2858">
        <v>-1.0181900000000001E-2</v>
      </c>
      <c r="O2858">
        <v>-0.30006830000000001</v>
      </c>
      <c r="P2858">
        <v>0.92342900000000006</v>
      </c>
      <c r="Q2858">
        <v>0.37734649999999997</v>
      </c>
      <c r="R2858">
        <v>-6.9920769999999993E-2</v>
      </c>
      <c r="S2858">
        <v>3.4337770000000001</v>
      </c>
      <c r="T2858">
        <v>-0.50332920000000003</v>
      </c>
      <c r="U2858">
        <v>-0.30386350000000001</v>
      </c>
      <c r="V2858">
        <v>-0.20994189999999999</v>
      </c>
      <c r="W2858">
        <v>0.38676260000000001</v>
      </c>
      <c r="X2858">
        <v>0.89796379999999998</v>
      </c>
      <c r="Y2858">
        <v>-0.20980770000000001</v>
      </c>
      <c r="Z2858">
        <v>5.6268110000000003E-2</v>
      </c>
      <c r="AA2858">
        <v>0.9761223</v>
      </c>
      <c r="AB2858">
        <v>25</v>
      </c>
      <c r="AC2858">
        <v>7.3434999999999997</v>
      </c>
      <c r="AD2858">
        <v>-1.1101600380359999</v>
      </c>
      <c r="AE2858">
        <v>-0.59730000000001804</v>
      </c>
      <c r="AF2858">
        <v>-1.5976211022803599</v>
      </c>
      <c r="AG2858">
        <v>-1.1101600380359999</v>
      </c>
      <c r="AH2858">
        <v>7.0248081502687496</v>
      </c>
      <c r="AI2858">
        <v>98.760328487046493</v>
      </c>
      <c r="AJ2858">
        <v>102.812593724297</v>
      </c>
      <c r="AK2858">
        <v>7.2892234184847</v>
      </c>
      <c r="AL2858">
        <v>67.246790455955406</v>
      </c>
      <c r="AM2858">
        <v>103.159253940924</v>
      </c>
      <c r="AN2858">
        <v>0.999999948122403</v>
      </c>
    </row>
    <row r="2859" spans="1:40" x14ac:dyDescent="0.25">
      <c r="A2859" t="str">
        <f>"20190304164425906"</f>
        <v>20190304164425906</v>
      </c>
      <c r="B2859" t="str">
        <f>"1551689065892374"</f>
        <v>1551689065892374</v>
      </c>
      <c r="C2859" t="s">
        <v>40</v>
      </c>
      <c r="D2859">
        <v>5.612349</v>
      </c>
      <c r="E2859">
        <v>0.51257459999999999</v>
      </c>
      <c r="F2859" t="s">
        <v>45</v>
      </c>
      <c r="G2859">
        <v>-460.83690000000001</v>
      </c>
      <c r="H2859" s="1">
        <v>-1.1324130000000001E-6</v>
      </c>
      <c r="I2859">
        <v>215.5531</v>
      </c>
      <c r="J2859">
        <v>-468.13290000000001</v>
      </c>
      <c r="K2859">
        <v>1.110349</v>
      </c>
      <c r="L2859">
        <v>216.1362</v>
      </c>
      <c r="M2859">
        <v>0.95374510000000001</v>
      </c>
      <c r="N2859">
        <v>-1.0159960000000001E-2</v>
      </c>
      <c r="O2859">
        <v>-0.30044480000000001</v>
      </c>
      <c r="P2859">
        <v>0.92404280000000005</v>
      </c>
      <c r="Q2859">
        <v>0.37638549999999998</v>
      </c>
      <c r="R2859">
        <v>-6.6924800000000007E-2</v>
      </c>
      <c r="S2859">
        <v>3.4330440000000002</v>
      </c>
      <c r="T2859">
        <v>-0.50642799999999999</v>
      </c>
      <c r="U2859">
        <v>-0.29928589999999999</v>
      </c>
      <c r="V2859">
        <v>-0.21351319999999999</v>
      </c>
      <c r="W2859">
        <v>0.38568720000000001</v>
      </c>
      <c r="X2859">
        <v>0.8975843</v>
      </c>
      <c r="Y2859">
        <v>-0.21137810000000001</v>
      </c>
      <c r="Z2859">
        <v>5.6817189999999997E-2</v>
      </c>
      <c r="AA2859">
        <v>0.97575160000000005</v>
      </c>
      <c r="AB2859">
        <v>25</v>
      </c>
      <c r="AC2859">
        <v>7.2959999999999896</v>
      </c>
      <c r="AD2859">
        <v>-1.1103501324130001</v>
      </c>
      <c r="AE2859">
        <v>-0.58310000000000095</v>
      </c>
      <c r="AF2859">
        <v>-1.5991975785064001</v>
      </c>
      <c r="AG2859">
        <v>-1.1103501324130001</v>
      </c>
      <c r="AH2859">
        <v>6.9735940579614297</v>
      </c>
      <c r="AI2859">
        <v>98.8215681742074</v>
      </c>
      <c r="AJ2859">
        <v>102.915856771745</v>
      </c>
      <c r="AK2859">
        <v>7.2402572051609697</v>
      </c>
      <c r="AL2859">
        <v>67.313591835621907</v>
      </c>
      <c r="AM2859">
        <v>103.380575634593</v>
      </c>
      <c r="AN2859">
        <v>1.0000000392122801</v>
      </c>
    </row>
    <row r="2860" spans="1:40" x14ac:dyDescent="0.25">
      <c r="A2860" t="str">
        <f>"20190304164425931"</f>
        <v>20190304164425931</v>
      </c>
      <c r="B2860" t="str">
        <f>"1551689065922626"</f>
        <v>1551689065922626</v>
      </c>
      <c r="C2860" t="s">
        <v>40</v>
      </c>
      <c r="D2860">
        <v>5.5791629999999897</v>
      </c>
      <c r="E2860">
        <v>0.51251550000000001</v>
      </c>
      <c r="F2860" t="s">
        <v>45</v>
      </c>
      <c r="G2860">
        <v>-460.53370000000001</v>
      </c>
      <c r="H2860" s="1">
        <v>-1.293272E-6</v>
      </c>
      <c r="I2860">
        <v>215.54239999999999</v>
      </c>
      <c r="J2860">
        <v>-467.86309999999997</v>
      </c>
      <c r="K2860">
        <v>1.110611</v>
      </c>
      <c r="L2860">
        <v>216.05090000000001</v>
      </c>
      <c r="M2860">
        <v>0.95372159999999995</v>
      </c>
      <c r="N2860">
        <v>-1.013828E-2</v>
      </c>
      <c r="O2860">
        <v>-0.30052040000000002</v>
      </c>
      <c r="P2860">
        <v>0.92340739999999999</v>
      </c>
      <c r="Q2860">
        <v>0.37833909999999998</v>
      </c>
      <c r="R2860">
        <v>-6.4640400000000001E-2</v>
      </c>
      <c r="S2860">
        <v>3.4313959999999999</v>
      </c>
      <c r="T2860">
        <v>-0.50137189999999998</v>
      </c>
      <c r="U2860">
        <v>-0.26814270000000001</v>
      </c>
      <c r="V2860">
        <v>-0.21581159999999999</v>
      </c>
      <c r="W2860">
        <v>0.38747530000000002</v>
      </c>
      <c r="X2860">
        <v>0.89626349999999999</v>
      </c>
      <c r="Y2860">
        <v>-0.2201941</v>
      </c>
      <c r="Z2860">
        <v>5.6997430000000002E-2</v>
      </c>
      <c r="AA2860">
        <v>0.97378949999999997</v>
      </c>
      <c r="AB2860">
        <v>25</v>
      </c>
      <c r="AC2860">
        <v>7.3293999999999597</v>
      </c>
      <c r="AD2860">
        <v>-1.110612293272</v>
      </c>
      <c r="AE2860">
        <v>-0.50850000000002604</v>
      </c>
      <c r="AF2860">
        <v>-1.67937962454462</v>
      </c>
      <c r="AG2860">
        <v>-1.110612293272</v>
      </c>
      <c r="AH2860">
        <v>6.9838022300273197</v>
      </c>
      <c r="AI2860">
        <v>98.7894305208536</v>
      </c>
      <c r="AJ2860">
        <v>103.521074303494</v>
      </c>
      <c r="AK2860">
        <v>7.2682370061409696</v>
      </c>
      <c r="AL2860">
        <v>67.202504062240294</v>
      </c>
      <c r="AM2860">
        <v>103.53854291761699</v>
      </c>
      <c r="AN2860">
        <v>1.0000000081184499</v>
      </c>
    </row>
    <row r="2861" spans="1:40" x14ac:dyDescent="0.25">
      <c r="A2861" t="str">
        <f>"20190304164425952"</f>
        <v>20190304164425952</v>
      </c>
      <c r="B2861" t="str">
        <f>"1551689065943123"</f>
        <v>1551689065943123</v>
      </c>
      <c r="C2861" t="s">
        <v>40</v>
      </c>
      <c r="D2861">
        <v>5.5631930000000001</v>
      </c>
      <c r="E2861">
        <v>0.51239299999999999</v>
      </c>
      <c r="F2861" t="s">
        <v>45</v>
      </c>
      <c r="G2861">
        <v>-460.1422</v>
      </c>
      <c r="H2861" s="1">
        <v>-1.4984119999999901E-6</v>
      </c>
      <c r="I2861">
        <v>215.46960000000001</v>
      </c>
      <c r="J2861">
        <v>-467.63200000000001</v>
      </c>
      <c r="K2861">
        <v>1.1108789999999999</v>
      </c>
      <c r="L2861">
        <v>215.97810000000001</v>
      </c>
      <c r="M2861">
        <v>0.95382440000000002</v>
      </c>
      <c r="N2861">
        <v>-1.012387E-2</v>
      </c>
      <c r="O2861">
        <v>-0.30019469999999998</v>
      </c>
      <c r="P2861">
        <v>0.92212559999999999</v>
      </c>
      <c r="Q2861">
        <v>0.38181110000000001</v>
      </c>
      <c r="R2861">
        <v>-6.2492529999999998E-2</v>
      </c>
      <c r="S2861">
        <v>3.4330440000000002</v>
      </c>
      <c r="T2861">
        <v>-0.49382670000000001</v>
      </c>
      <c r="U2861">
        <v>-0.2584534</v>
      </c>
      <c r="V2861">
        <v>-0.217419</v>
      </c>
      <c r="W2861">
        <v>0.39077679999999998</v>
      </c>
      <c r="X2861">
        <v>0.89443980000000001</v>
      </c>
      <c r="Y2861">
        <v>-0.22276260000000001</v>
      </c>
      <c r="Z2861">
        <v>5.6260119999999997E-2</v>
      </c>
      <c r="AA2861">
        <v>0.97324790000000005</v>
      </c>
      <c r="AB2861">
        <v>25</v>
      </c>
      <c r="AC2861">
        <v>7.4897999999999403</v>
      </c>
      <c r="AD2861">
        <v>-1.110880498412</v>
      </c>
      <c r="AE2861">
        <v>-0.50849999999999795</v>
      </c>
      <c r="AF2861">
        <v>-1.7256803321952101</v>
      </c>
      <c r="AG2861">
        <v>-1.110880498412</v>
      </c>
      <c r="AH2861">
        <v>7.1406132475628503</v>
      </c>
      <c r="AI2861">
        <v>98.599051009049106</v>
      </c>
      <c r="AJ2861">
        <v>103.586234795896</v>
      </c>
      <c r="AK2861">
        <v>7.4296962011880101</v>
      </c>
      <c r="AL2861">
        <v>66.997158230106805</v>
      </c>
      <c r="AM2861">
        <v>103.66238985322801</v>
      </c>
      <c r="AN2861">
        <v>1.00000004240163</v>
      </c>
    </row>
    <row r="2862" spans="1:40" x14ac:dyDescent="0.25">
      <c r="A2862" t="str">
        <f>"20190304164425972"</f>
        <v>20190304164425972</v>
      </c>
      <c r="B2862" t="str">
        <f>"1551689065962642"</f>
        <v>1551689065962642</v>
      </c>
      <c r="C2862" t="s">
        <v>40</v>
      </c>
      <c r="D2862">
        <v>5.5623779999999998</v>
      </c>
      <c r="E2862">
        <v>0.51217479999999904</v>
      </c>
      <c r="F2862" t="s">
        <v>45</v>
      </c>
      <c r="G2862">
        <v>-459.66879999999998</v>
      </c>
      <c r="H2862" s="1">
        <v>3.5741400000000001E-6</v>
      </c>
      <c r="I2862">
        <v>215.4015</v>
      </c>
      <c r="J2862">
        <v>-467.41489999999999</v>
      </c>
      <c r="K2862">
        <v>1.1111759999999999</v>
      </c>
      <c r="L2862">
        <v>215.91040000000001</v>
      </c>
      <c r="M2862">
        <v>0.9540459</v>
      </c>
      <c r="N2862">
        <v>-1.0119370000000001E-2</v>
      </c>
      <c r="O2862">
        <v>-0.29948999999999998</v>
      </c>
      <c r="P2862">
        <v>0.92178879999999996</v>
      </c>
      <c r="Q2862">
        <v>0.38322919999999999</v>
      </c>
      <c r="R2862">
        <v>-5.8657580000000001E-2</v>
      </c>
      <c r="S2862">
        <v>3.4349059999999998</v>
      </c>
      <c r="T2862">
        <v>-0.47917369999999998</v>
      </c>
      <c r="U2862">
        <v>-0.2487183</v>
      </c>
      <c r="V2862">
        <v>-0.22059409999999999</v>
      </c>
      <c r="W2862">
        <v>0.39201849999999999</v>
      </c>
      <c r="X2862">
        <v>0.89311799999999997</v>
      </c>
      <c r="Y2862">
        <v>-0.22510769999999999</v>
      </c>
      <c r="Z2862">
        <v>5.4618119999999999E-2</v>
      </c>
      <c r="AA2862">
        <v>0.97280180000000005</v>
      </c>
      <c r="AB2862">
        <v>25</v>
      </c>
      <c r="AC2862">
        <v>7.74610000000001</v>
      </c>
      <c r="AD2862">
        <v>-1.11117242586</v>
      </c>
      <c r="AE2862">
        <v>-0.50890000000001101</v>
      </c>
      <c r="AF2862">
        <v>-1.79762718816597</v>
      </c>
      <c r="AG2862">
        <v>-1.11117242586</v>
      </c>
      <c r="AH2862">
        <v>7.3914846666137901</v>
      </c>
      <c r="AI2862">
        <v>98.310620964058401</v>
      </c>
      <c r="AJ2862">
        <v>103.669100455527</v>
      </c>
      <c r="AK2862">
        <v>7.6876663067807396</v>
      </c>
      <c r="AL2862">
        <v>66.919845480274404</v>
      </c>
      <c r="AM2862">
        <v>103.873987740299</v>
      </c>
      <c r="AN2862">
        <v>1.0000000116105201</v>
      </c>
    </row>
    <row r="2863" spans="1:40" x14ac:dyDescent="0.25">
      <c r="A2863" t="str">
        <f>"20190304164425995"</f>
        <v>20190304164425995</v>
      </c>
      <c r="B2863" t="str">
        <f>"1551689065982670"</f>
        <v>1551689065982670</v>
      </c>
      <c r="C2863" t="s">
        <v>40</v>
      </c>
      <c r="D2863">
        <v>5.6071200000000001</v>
      </c>
      <c r="E2863">
        <v>0.51218350000000001</v>
      </c>
      <c r="F2863" t="s">
        <v>45</v>
      </c>
      <c r="G2863">
        <v>-459.3408</v>
      </c>
      <c r="H2863" s="1">
        <v>3.401695E-6</v>
      </c>
      <c r="I2863">
        <v>215.3537</v>
      </c>
      <c r="J2863">
        <v>-467.1755</v>
      </c>
      <c r="K2863">
        <v>1.11154</v>
      </c>
      <c r="L2863">
        <v>215.8364</v>
      </c>
      <c r="M2863">
        <v>0.95444329999999999</v>
      </c>
      <c r="N2863">
        <v>-1.01341E-2</v>
      </c>
      <c r="O2863">
        <v>-0.298220599999999</v>
      </c>
      <c r="P2863">
        <v>0.92294030000000005</v>
      </c>
      <c r="Q2863">
        <v>0.3810788</v>
      </c>
      <c r="R2863">
        <v>-5.4412349999999998E-2</v>
      </c>
      <c r="S2863">
        <v>3.436096</v>
      </c>
      <c r="T2863">
        <v>-0.47288370000000002</v>
      </c>
      <c r="U2863">
        <v>-0.23689270000000001</v>
      </c>
      <c r="V2863">
        <v>-0.2241486</v>
      </c>
      <c r="W2863">
        <v>0.38967439999999998</v>
      </c>
      <c r="X2863">
        <v>0.89325880000000002</v>
      </c>
      <c r="Y2863">
        <v>-0.2272826</v>
      </c>
      <c r="Z2863">
        <v>5.3879160000000002E-2</v>
      </c>
      <c r="AA2863">
        <v>0.97233720000000001</v>
      </c>
      <c r="AB2863">
        <v>25</v>
      </c>
      <c r="AC2863">
        <v>7.83469999999999</v>
      </c>
      <c r="AD2863">
        <v>-1.1115365983050001</v>
      </c>
      <c r="AE2863">
        <v>-0.48269999999999402</v>
      </c>
      <c r="AF2863">
        <v>-1.83898005497415</v>
      </c>
      <c r="AG2863">
        <v>-1.1115365983050001</v>
      </c>
      <c r="AH2863">
        <v>7.4722843593722299</v>
      </c>
      <c r="AI2863">
        <v>98.219212211658899</v>
      </c>
      <c r="AJ2863">
        <v>103.826109847884</v>
      </c>
      <c r="AK2863">
        <v>7.7751138126257002</v>
      </c>
      <c r="AL2863">
        <v>67.065759063641295</v>
      </c>
      <c r="AM2863">
        <v>104.086574387642</v>
      </c>
      <c r="AN2863">
        <v>1.0000000083373799</v>
      </c>
    </row>
    <row r="2864" spans="1:40" x14ac:dyDescent="0.25">
      <c r="A2864" t="str">
        <f>"20190304164426018"</f>
        <v>20190304164426018</v>
      </c>
      <c r="B2864" t="str">
        <f>"1551689066012926"</f>
        <v>1551689066012926</v>
      </c>
      <c r="C2864" t="s">
        <v>40</v>
      </c>
      <c r="D2864">
        <v>5.6184770000000004</v>
      </c>
      <c r="E2864">
        <v>0.51203109999999996</v>
      </c>
      <c r="F2864" t="s">
        <v>45</v>
      </c>
      <c r="G2864">
        <v>-459.2722</v>
      </c>
      <c r="H2864" s="1">
        <v>3.3665700000000001E-6</v>
      </c>
      <c r="I2864">
        <v>215.3218</v>
      </c>
      <c r="J2864">
        <v>-466.93389999999999</v>
      </c>
      <c r="K2864">
        <v>1.111928</v>
      </c>
      <c r="L2864">
        <v>215.7628</v>
      </c>
      <c r="M2864">
        <v>0.95501349999999996</v>
      </c>
      <c r="N2864">
        <v>-1.015868E-2</v>
      </c>
      <c r="O2864">
        <v>-0.2963885</v>
      </c>
      <c r="P2864">
        <v>0.9234272</v>
      </c>
      <c r="Q2864">
        <v>0.38023980000000002</v>
      </c>
      <c r="R2864">
        <v>-5.1963240000000001E-2</v>
      </c>
      <c r="S2864">
        <v>3.4369200000000002</v>
      </c>
      <c r="T2864">
        <v>-0.48337659999999999</v>
      </c>
      <c r="U2864">
        <v>-0.2237701</v>
      </c>
      <c r="V2864">
        <v>-0.22528799999999999</v>
      </c>
      <c r="W2864">
        <v>0.38863769999999997</v>
      </c>
      <c r="X2864">
        <v>0.89342379999999999</v>
      </c>
      <c r="Y2864">
        <v>-0.22891439999999999</v>
      </c>
      <c r="Z2864">
        <v>5.4996299999999998E-2</v>
      </c>
      <c r="AA2864">
        <v>0.97189179999999997</v>
      </c>
      <c r="AB2864">
        <v>25</v>
      </c>
      <c r="AC2864">
        <v>7.66169999999999</v>
      </c>
      <c r="AD2864">
        <v>-1.1119246334299999</v>
      </c>
      <c r="AE2864">
        <v>-0.441000000000002</v>
      </c>
      <c r="AF2864">
        <v>-1.81174118999671</v>
      </c>
      <c r="AG2864">
        <v>-1.1119246334299999</v>
      </c>
      <c r="AH2864">
        <v>7.2949783551440497</v>
      </c>
      <c r="AI2864">
        <v>98.414705071042903</v>
      </c>
      <c r="AJ2864">
        <v>103.947478469884</v>
      </c>
      <c r="AK2864">
        <v>7.5983874428709797</v>
      </c>
      <c r="AL2864">
        <v>67.130240735501502</v>
      </c>
      <c r="AM2864">
        <v>104.152799032697</v>
      </c>
      <c r="AN2864">
        <v>1.0000000156058599</v>
      </c>
    </row>
    <row r="2865" spans="1:40" x14ac:dyDescent="0.25">
      <c r="A2865" t="str">
        <f>"20190304164426039"</f>
        <v>20190304164426039</v>
      </c>
      <c r="B2865" t="str">
        <f>"1551689066032445"</f>
        <v>1551689066032445</v>
      </c>
      <c r="C2865" t="s">
        <v>40</v>
      </c>
      <c r="D2865">
        <v>5.612984</v>
      </c>
      <c r="E2865">
        <v>0.51229170000000002</v>
      </c>
      <c r="F2865" t="s">
        <v>45</v>
      </c>
      <c r="G2865">
        <v>-459.0772</v>
      </c>
      <c r="H2865" s="1">
        <v>3.264807E-6</v>
      </c>
      <c r="I2865">
        <v>215.2765</v>
      </c>
      <c r="J2865">
        <v>-466.7022</v>
      </c>
      <c r="K2865">
        <v>1.112287</v>
      </c>
      <c r="L2865">
        <v>215.69319999999999</v>
      </c>
      <c r="M2865">
        <v>0.95568790000000003</v>
      </c>
      <c r="N2865">
        <v>-1.018206E-2</v>
      </c>
      <c r="O2865">
        <v>-0.29420590000000002</v>
      </c>
      <c r="P2865">
        <v>0.92305879999999996</v>
      </c>
      <c r="Q2865">
        <v>0.3814517</v>
      </c>
      <c r="R2865">
        <v>-4.9568859999999999E-2</v>
      </c>
      <c r="S2865">
        <v>3.4370729999999998</v>
      </c>
      <c r="T2865">
        <v>-0.48643459999999999</v>
      </c>
      <c r="U2865">
        <v>-0.21273800000000001</v>
      </c>
      <c r="V2865">
        <v>-0.22575390000000001</v>
      </c>
      <c r="W2865">
        <v>0.38967170000000001</v>
      </c>
      <c r="X2865">
        <v>0.89285559999999997</v>
      </c>
      <c r="Y2865">
        <v>-0.2297478</v>
      </c>
      <c r="Z2865">
        <v>5.514753E-2</v>
      </c>
      <c r="AA2865">
        <v>0.97168650000000001</v>
      </c>
      <c r="AB2865">
        <v>25</v>
      </c>
      <c r="AC2865">
        <v>7.625</v>
      </c>
      <c r="AD2865">
        <v>-1.1122837351929999</v>
      </c>
      <c r="AE2865">
        <v>-0.41669999999999102</v>
      </c>
      <c r="AF2865">
        <v>-1.8068469195086001</v>
      </c>
      <c r="AG2865">
        <v>-1.1122837351929999</v>
      </c>
      <c r="AH2865">
        <v>7.2561553515799497</v>
      </c>
      <c r="AI2865">
        <v>98.460491639395997</v>
      </c>
      <c r="AJ2865">
        <v>103.982782965013</v>
      </c>
      <c r="AK2865">
        <v>7.5600040598120701</v>
      </c>
      <c r="AL2865">
        <v>67.065926590817199</v>
      </c>
      <c r="AM2865">
        <v>104.189547840618</v>
      </c>
      <c r="AN2865">
        <v>0.99999998979872995</v>
      </c>
    </row>
    <row r="2866" spans="1:40" x14ac:dyDescent="0.25">
      <c r="A2866" t="str">
        <f>"20190304164426062"</f>
        <v>20190304164426062</v>
      </c>
      <c r="B2866" t="str">
        <f>"1551689066052941"</f>
        <v>1551689066052941</v>
      </c>
      <c r="C2866" t="s">
        <v>40</v>
      </c>
      <c r="D2866">
        <v>5.6162549999999998</v>
      </c>
      <c r="E2866">
        <v>0.5124552</v>
      </c>
      <c r="F2866" t="s">
        <v>45</v>
      </c>
      <c r="G2866">
        <v>-458.7867</v>
      </c>
      <c r="H2866" s="1">
        <v>3.1131030000000002E-6</v>
      </c>
      <c r="I2866">
        <v>215.2106</v>
      </c>
      <c r="J2866">
        <v>-466.45519999999999</v>
      </c>
      <c r="K2866">
        <v>1.11263</v>
      </c>
      <c r="L2866">
        <v>215.62029999999999</v>
      </c>
      <c r="M2866">
        <v>0.95654430000000001</v>
      </c>
      <c r="N2866">
        <v>-1.0213679999999999E-2</v>
      </c>
      <c r="O2866">
        <v>-0.29140840000000001</v>
      </c>
      <c r="P2866">
        <v>0.92339800000000005</v>
      </c>
      <c r="Q2866">
        <v>0.38101230000000003</v>
      </c>
      <c r="R2866">
        <v>-4.653674E-2</v>
      </c>
      <c r="S2866">
        <v>3.4384769999999998</v>
      </c>
      <c r="T2866">
        <v>-0.48317789999999999</v>
      </c>
      <c r="U2866">
        <v>-0.20964050000000001</v>
      </c>
      <c r="V2866">
        <v>-0.22644500000000001</v>
      </c>
      <c r="W2866">
        <v>0.38907530000000001</v>
      </c>
      <c r="X2866">
        <v>0.89294069999999903</v>
      </c>
      <c r="Y2866">
        <v>-0.22791040000000001</v>
      </c>
      <c r="Z2866">
        <v>5.4260009999999997E-2</v>
      </c>
      <c r="AA2866">
        <v>0.97216899999999995</v>
      </c>
      <c r="AB2866">
        <v>25</v>
      </c>
      <c r="AC2866">
        <v>7.6684999999999901</v>
      </c>
      <c r="AD2866">
        <v>-1.112626886897</v>
      </c>
      <c r="AE2866">
        <v>-0.40969999999998602</v>
      </c>
      <c r="AF2866">
        <v>-1.8049761939765501</v>
      </c>
      <c r="AG2866">
        <v>-1.112626886897</v>
      </c>
      <c r="AH2866">
        <v>7.30176430929248</v>
      </c>
      <c r="AI2866">
        <v>98.414470683086506</v>
      </c>
      <c r="AJ2866">
        <v>103.88500556560101</v>
      </c>
      <c r="AK2866">
        <v>7.6033965882838004</v>
      </c>
      <c r="AL2866">
        <v>67.103026153653502</v>
      </c>
      <c r="AM2866">
        <v>104.229922944842</v>
      </c>
      <c r="AN2866">
        <v>1.00000001040578</v>
      </c>
    </row>
    <row r="2867" spans="1:40" x14ac:dyDescent="0.25">
      <c r="A2867" t="str">
        <f>"20190304164426084"</f>
        <v>20190304164426084</v>
      </c>
      <c r="B2867" t="str">
        <f>"1551689066072465"</f>
        <v>1551689066072465</v>
      </c>
      <c r="C2867" t="s">
        <v>40</v>
      </c>
      <c r="D2867">
        <v>5.6308530000000001</v>
      </c>
      <c r="E2867">
        <v>0.51258999999999999</v>
      </c>
      <c r="F2867" t="s">
        <v>45</v>
      </c>
      <c r="G2867">
        <v>-458.5883</v>
      </c>
      <c r="H2867" s="1">
        <v>3.0100520000000001E-6</v>
      </c>
      <c r="I2867">
        <v>215.1524</v>
      </c>
      <c r="J2867">
        <v>-466.21519999999998</v>
      </c>
      <c r="K2867">
        <v>1.1129290000000001</v>
      </c>
      <c r="L2867">
        <v>215.5506</v>
      </c>
      <c r="M2867">
        <v>0.95750270000000004</v>
      </c>
      <c r="N2867">
        <v>-1.0256039999999999E-2</v>
      </c>
      <c r="O2867">
        <v>-0.28824250000000001</v>
      </c>
      <c r="P2867">
        <v>0.92447860000000004</v>
      </c>
      <c r="Q2867">
        <v>0.37876789999999999</v>
      </c>
      <c r="R2867">
        <v>-4.3298250000000003E-2</v>
      </c>
      <c r="S2867">
        <v>3.4392399999999999</v>
      </c>
      <c r="T2867">
        <v>-0.4864192</v>
      </c>
      <c r="U2867">
        <v>-0.20454410000000001</v>
      </c>
      <c r="V2867">
        <v>-0.22716159999999999</v>
      </c>
      <c r="W2867">
        <v>0.38670949999999998</v>
      </c>
      <c r="X2867">
        <v>0.89378599999999997</v>
      </c>
      <c r="Y2867">
        <v>-0.22612180000000001</v>
      </c>
      <c r="Z2867">
        <v>5.4087919999999998E-2</v>
      </c>
      <c r="AA2867">
        <v>0.97259620000000002</v>
      </c>
      <c r="AB2867">
        <v>25</v>
      </c>
      <c r="AC2867">
        <v>7.6268999999999698</v>
      </c>
      <c r="AD2867">
        <v>-1.112925989948</v>
      </c>
      <c r="AE2867">
        <v>-0.398200000000002</v>
      </c>
      <c r="AF2867">
        <v>-1.77942808234165</v>
      </c>
      <c r="AG2867">
        <v>-1.112925989948</v>
      </c>
      <c r="AH2867">
        <v>7.2636990170204996</v>
      </c>
      <c r="AI2867">
        <v>98.464470636689796</v>
      </c>
      <c r="AJ2867">
        <v>103.764974811111</v>
      </c>
      <c r="AK2867">
        <v>7.5608393693552598</v>
      </c>
      <c r="AL2867">
        <v>67.250091335544994</v>
      </c>
      <c r="AM2867">
        <v>104.26016914786599</v>
      </c>
      <c r="AN2867">
        <v>1.0000000218503999</v>
      </c>
    </row>
    <row r="2868" spans="1:40" x14ac:dyDescent="0.25">
      <c r="A2868" t="str">
        <f>"20190304164426107"</f>
        <v>20190304164426107</v>
      </c>
      <c r="B2868" t="str">
        <f>"1551689066103227"</f>
        <v>1551689066103227</v>
      </c>
      <c r="C2868" t="s">
        <v>40</v>
      </c>
      <c r="D2868">
        <v>5.6488529999999999</v>
      </c>
      <c r="E2868">
        <v>0.51260810000000001</v>
      </c>
      <c r="F2868" t="s">
        <v>45</v>
      </c>
      <c r="G2868">
        <v>-458.49669999999998</v>
      </c>
      <c r="H2868" s="1">
        <v>2.9632669999999998E-6</v>
      </c>
      <c r="I2868">
        <v>215.1071</v>
      </c>
      <c r="J2868">
        <v>-465.9787</v>
      </c>
      <c r="K2868">
        <v>1.113211</v>
      </c>
      <c r="L2868">
        <v>215.48330000000001</v>
      </c>
      <c r="M2868">
        <v>0.95855290000000004</v>
      </c>
      <c r="N2868">
        <v>-1.0303919999999999E-2</v>
      </c>
      <c r="O2868">
        <v>-0.2847285</v>
      </c>
      <c r="P2868">
        <v>0.92460260000000005</v>
      </c>
      <c r="Q2868">
        <v>0.37889</v>
      </c>
      <c r="R2868">
        <v>-3.9402220000000002E-2</v>
      </c>
      <c r="S2868">
        <v>3.4389949999999998</v>
      </c>
      <c r="T2868">
        <v>-0.49586439999999998</v>
      </c>
      <c r="U2868">
        <v>-0.1976318</v>
      </c>
      <c r="V2868">
        <v>-0.22789889999999999</v>
      </c>
      <c r="W2868">
        <v>0.38671650000000002</v>
      </c>
      <c r="X2868">
        <v>0.89359519999999903</v>
      </c>
      <c r="Y2868">
        <v>-0.224353</v>
      </c>
      <c r="Z2868">
        <v>5.458139E-2</v>
      </c>
      <c r="AA2868">
        <v>0.97297820000000002</v>
      </c>
      <c r="AB2868">
        <v>25</v>
      </c>
      <c r="AC2868">
        <v>7.4820000000000197</v>
      </c>
      <c r="AD2868">
        <v>-1.113208036733</v>
      </c>
      <c r="AE2868">
        <v>-0.37620000000001103</v>
      </c>
      <c r="AF2868">
        <v>-1.73158945803445</v>
      </c>
      <c r="AG2868">
        <v>-1.113208036733</v>
      </c>
      <c r="AH2868">
        <v>7.1221291097931001</v>
      </c>
      <c r="AI2868">
        <v>98.635986470240496</v>
      </c>
      <c r="AJ2868">
        <v>103.665076302279</v>
      </c>
      <c r="AK2868">
        <v>7.4136601783994198</v>
      </c>
      <c r="AL2868">
        <v>67.249655201168395</v>
      </c>
      <c r="AM2868">
        <v>104.307485808378</v>
      </c>
      <c r="AN2868">
        <v>0.99999997072824898</v>
      </c>
    </row>
    <row r="2869" spans="1:40" x14ac:dyDescent="0.25">
      <c r="A2869" t="str">
        <f>"20190304164426130"</f>
        <v>20190304164426130</v>
      </c>
      <c r="B2869" t="str">
        <f>"1551689066122748"</f>
        <v>1551689066122748</v>
      </c>
      <c r="C2869" t="s">
        <v>40</v>
      </c>
      <c r="D2869">
        <v>5.6060499999999998</v>
      </c>
      <c r="E2869">
        <v>0.51266929999999999</v>
      </c>
      <c r="F2869" t="s">
        <v>45</v>
      </c>
      <c r="G2869">
        <v>-458.25369999999998</v>
      </c>
      <c r="H2869" s="1">
        <v>2.8358259999999999E-6</v>
      </c>
      <c r="I2869">
        <v>215.06450000000001</v>
      </c>
      <c r="J2869">
        <v>-465.72410000000002</v>
      </c>
      <c r="K2869">
        <v>1.1134999999999999</v>
      </c>
      <c r="L2869">
        <v>215.41229999999999</v>
      </c>
      <c r="M2869">
        <v>0.95977809999999997</v>
      </c>
      <c r="N2869">
        <v>-1.0354169999999999E-2</v>
      </c>
      <c r="O2869">
        <v>-0.2805687</v>
      </c>
      <c r="P2869">
        <v>0.92494739999999998</v>
      </c>
      <c r="Q2869">
        <v>0.37834200000000001</v>
      </c>
      <c r="R2869">
        <v>-3.6464999999999997E-2</v>
      </c>
      <c r="S2869">
        <v>3.439819</v>
      </c>
      <c r="T2869">
        <v>-0.49569170000000001</v>
      </c>
      <c r="U2869">
        <v>-0.1864777</v>
      </c>
      <c r="V2869">
        <v>-0.2271794</v>
      </c>
      <c r="W2869">
        <v>0.38607039999999998</v>
      </c>
      <c r="X2869">
        <v>0.89405780000000001</v>
      </c>
      <c r="Y2869">
        <v>-0.22334039999999999</v>
      </c>
      <c r="Z2869">
        <v>5.3941599999999902E-2</v>
      </c>
      <c r="AA2869">
        <v>0.97324679999999997</v>
      </c>
      <c r="AB2869">
        <v>25</v>
      </c>
      <c r="AC2869">
        <v>7.4704000000000397</v>
      </c>
      <c r="AD2869">
        <v>-1.1134971641739999</v>
      </c>
      <c r="AE2869">
        <v>-0.34779999999997802</v>
      </c>
      <c r="AF2869">
        <v>-1.7240238127248499</v>
      </c>
      <c r="AG2869">
        <v>-1.1134971641739999</v>
      </c>
      <c r="AH2869">
        <v>7.1102686696237596</v>
      </c>
      <c r="AI2869">
        <v>98.653673519566695</v>
      </c>
      <c r="AJ2869">
        <v>103.629447952684</v>
      </c>
      <c r="AK2869">
        <v>7.40054420942805</v>
      </c>
      <c r="AL2869">
        <v>67.289794107179802</v>
      </c>
      <c r="AM2869">
        <v>104.25708223539</v>
      </c>
      <c r="AN2869">
        <v>1.0000000916406699</v>
      </c>
    </row>
    <row r="2870" spans="1:40" x14ac:dyDescent="0.25">
      <c r="A2870" t="str">
        <f>"20190304164426153"</f>
        <v>20190304164426153</v>
      </c>
      <c r="B2870" t="str">
        <f>"1551689066143242"</f>
        <v>1551689066143242</v>
      </c>
      <c r="C2870" t="s">
        <v>40</v>
      </c>
      <c r="D2870">
        <v>5.6309930000000001</v>
      </c>
      <c r="E2870">
        <v>0.51267429999999903</v>
      </c>
      <c r="F2870" t="s">
        <v>45</v>
      </c>
      <c r="G2870">
        <v>-458.0412</v>
      </c>
      <c r="H2870" s="1">
        <v>2.724594E-6</v>
      </c>
      <c r="I2870">
        <v>215.02170000000001</v>
      </c>
      <c r="J2870">
        <v>-465.47669999999999</v>
      </c>
      <c r="K2870">
        <v>1.1137509999999999</v>
      </c>
      <c r="L2870">
        <v>215.34479999999999</v>
      </c>
      <c r="M2870">
        <v>0.96104469999999997</v>
      </c>
      <c r="N2870">
        <v>-1.0405849999999999E-2</v>
      </c>
      <c r="O2870">
        <v>-0.27619700000000003</v>
      </c>
      <c r="P2870">
        <v>0.92566389999999998</v>
      </c>
      <c r="Q2870">
        <v>0.37677680000000002</v>
      </c>
      <c r="R2870">
        <v>-3.4433329999999998E-2</v>
      </c>
      <c r="S2870">
        <v>3.4404910000000002</v>
      </c>
      <c r="T2870">
        <v>-0.49863659999999999</v>
      </c>
      <c r="U2870">
        <v>-0.1749115</v>
      </c>
      <c r="V2870">
        <v>-0.22546469999999999</v>
      </c>
      <c r="W2870">
        <v>0.38443909999999998</v>
      </c>
      <c r="X2870">
        <v>0.89519389999999999</v>
      </c>
      <c r="Y2870">
        <v>-0.2221727</v>
      </c>
      <c r="Z2870">
        <v>5.3607839999999997E-2</v>
      </c>
      <c r="AA2870">
        <v>0.97353250000000002</v>
      </c>
      <c r="AB2870">
        <v>25</v>
      </c>
      <c r="AC2870">
        <v>7.4354999999999896</v>
      </c>
      <c r="AD2870">
        <v>-1.113748275406</v>
      </c>
      <c r="AE2870">
        <v>-0.32309999999998201</v>
      </c>
      <c r="AF2870">
        <v>-1.7050602865826801</v>
      </c>
      <c r="AG2870">
        <v>-1.113748275406</v>
      </c>
      <c r="AH2870">
        <v>7.0769956775180098</v>
      </c>
      <c r="AI2870">
        <v>98.698680831177597</v>
      </c>
      <c r="AJ2870">
        <v>103.546103492565</v>
      </c>
      <c r="AK2870">
        <v>7.3642062451740102</v>
      </c>
      <c r="AL2870">
        <v>67.391075141025993</v>
      </c>
      <c r="AM2870">
        <v>104.136570883036</v>
      </c>
      <c r="AN2870">
        <v>0.99999993557605205</v>
      </c>
    </row>
    <row r="2871" spans="1:40" x14ac:dyDescent="0.25">
      <c r="A2871" t="str">
        <f>"20190304164426175"</f>
        <v>20190304164426175</v>
      </c>
      <c r="B2871" t="str">
        <f>"1551689066162763"</f>
        <v>1551689066162763</v>
      </c>
      <c r="C2871" t="s">
        <v>40</v>
      </c>
      <c r="D2871">
        <v>5.593083</v>
      </c>
      <c r="E2871">
        <v>0.51268789999999997</v>
      </c>
      <c r="F2871" t="s">
        <v>45</v>
      </c>
      <c r="G2871">
        <v>-457.8972</v>
      </c>
      <c r="H2871" s="1">
        <v>2.6494029999999999E-6</v>
      </c>
      <c r="I2871">
        <v>214.98910000000001</v>
      </c>
      <c r="J2871">
        <v>-465.24689999999998</v>
      </c>
      <c r="K2871">
        <v>1.113958</v>
      </c>
      <c r="L2871">
        <v>215.28370000000001</v>
      </c>
      <c r="M2871">
        <v>0.96228290000000005</v>
      </c>
      <c r="N2871">
        <v>-1.045657E-2</v>
      </c>
      <c r="O2871">
        <v>-0.27184999999999998</v>
      </c>
      <c r="P2871">
        <v>0.92660730000000002</v>
      </c>
      <c r="Q2871">
        <v>0.37469550000000001</v>
      </c>
      <c r="R2871">
        <v>-3.1661130000000003E-2</v>
      </c>
      <c r="S2871">
        <v>3.440674</v>
      </c>
      <c r="T2871">
        <v>-0.50557980000000002</v>
      </c>
      <c r="U2871">
        <v>-0.161499</v>
      </c>
      <c r="V2871">
        <v>-0.22450880000000001</v>
      </c>
      <c r="W2871">
        <v>0.38230540000000002</v>
      </c>
      <c r="X2871">
        <v>0.89634720000000001</v>
      </c>
      <c r="Y2871">
        <v>-0.22146450000000001</v>
      </c>
      <c r="Z2871">
        <v>5.3747469999999999E-2</v>
      </c>
      <c r="AA2871">
        <v>0.97368619999999995</v>
      </c>
      <c r="AB2871">
        <v>25</v>
      </c>
      <c r="AC2871">
        <v>7.3496999999999799</v>
      </c>
      <c r="AD2871">
        <v>-1.1139553505969999</v>
      </c>
      <c r="AE2871">
        <v>-0.29460000000000203</v>
      </c>
      <c r="AF2871">
        <v>-1.67617784812755</v>
      </c>
      <c r="AG2871">
        <v>-1.1139553505969999</v>
      </c>
      <c r="AH2871">
        <v>6.9925929319053504</v>
      </c>
      <c r="AI2871">
        <v>98.806059744356503</v>
      </c>
      <c r="AJ2871">
        <v>103.479892761446</v>
      </c>
      <c r="AK2871">
        <v>7.2764568722016003</v>
      </c>
      <c r="AL2871">
        <v>67.523441348708801</v>
      </c>
      <c r="AM2871">
        <v>104.06162873536501</v>
      </c>
      <c r="AN2871">
        <v>0.99999996154721904</v>
      </c>
    </row>
    <row r="2872" spans="1:40" x14ac:dyDescent="0.25">
      <c r="A2872" t="str">
        <f>"20190304164426195"</f>
        <v>20190304164426195</v>
      </c>
      <c r="B2872" t="str">
        <f>"1551689066182790"</f>
        <v>1551689066182790</v>
      </c>
      <c r="C2872" t="s">
        <v>40</v>
      </c>
      <c r="D2872">
        <v>5.6272539999999998</v>
      </c>
      <c r="E2872">
        <v>0.51274540000000002</v>
      </c>
      <c r="F2872" t="s">
        <v>45</v>
      </c>
      <c r="G2872">
        <v>-457.79050000000001</v>
      </c>
      <c r="H2872" s="1">
        <v>2.5937260000000001E-6</v>
      </c>
      <c r="I2872">
        <v>214.96420000000001</v>
      </c>
      <c r="J2872">
        <v>-465.01909999999998</v>
      </c>
      <c r="K2872">
        <v>1.1141589999999999</v>
      </c>
      <c r="L2872">
        <v>215.22450000000001</v>
      </c>
      <c r="M2872">
        <v>0.96356269999999999</v>
      </c>
      <c r="N2872">
        <v>-1.0504799999999899E-2</v>
      </c>
      <c r="O2872">
        <v>-0.26727669999999998</v>
      </c>
      <c r="P2872">
        <v>0.92707839999999997</v>
      </c>
      <c r="Q2872">
        <v>0.37379180000000001</v>
      </c>
      <c r="R2872">
        <v>-2.838007E-2</v>
      </c>
      <c r="S2872">
        <v>3.4404300000000001</v>
      </c>
      <c r="T2872">
        <v>-0.51398729999999904</v>
      </c>
      <c r="U2872">
        <v>-0.1474152</v>
      </c>
      <c r="V2872">
        <v>-0.2236959</v>
      </c>
      <c r="W2872">
        <v>0.3813513</v>
      </c>
      <c r="X2872">
        <v>0.89695669999999905</v>
      </c>
      <c r="Y2872">
        <v>-0.2206912</v>
      </c>
      <c r="Z2872">
        <v>5.399723E-2</v>
      </c>
      <c r="AA2872">
        <v>0.97384789999999999</v>
      </c>
      <c r="AB2872">
        <v>25</v>
      </c>
      <c r="AC2872">
        <v>7.2285999999999699</v>
      </c>
      <c r="AD2872">
        <v>-1.1141564062739999</v>
      </c>
      <c r="AE2872">
        <v>-0.26029999999999998</v>
      </c>
      <c r="AF2872">
        <v>-1.6423474983050701</v>
      </c>
      <c r="AG2872">
        <v>-1.1141564062739999</v>
      </c>
      <c r="AH2872">
        <v>6.8721220155938703</v>
      </c>
      <c r="AI2872">
        <v>98.960979623131294</v>
      </c>
      <c r="AJ2872">
        <v>103.44083854729701</v>
      </c>
      <c r="AK2872">
        <v>7.1529511951389901</v>
      </c>
      <c r="AL2872">
        <v>67.582589463856493</v>
      </c>
      <c r="AM2872">
        <v>104.003576879067</v>
      </c>
      <c r="AN2872">
        <v>0.99999999568169495</v>
      </c>
    </row>
    <row r="2873" spans="1:40" x14ac:dyDescent="0.25">
      <c r="A2873" t="str">
        <f>"20190304164426218"</f>
        <v>20190304164426218</v>
      </c>
      <c r="B2873" t="str">
        <f>"1551689066213046"</f>
        <v>1551689066213046</v>
      </c>
      <c r="C2873" t="s">
        <v>40</v>
      </c>
      <c r="D2873">
        <v>5.6206490000000002</v>
      </c>
      <c r="E2873">
        <v>0.50598969999999999</v>
      </c>
      <c r="F2873" t="s">
        <v>45</v>
      </c>
      <c r="G2873">
        <v>-457.61450000000002</v>
      </c>
      <c r="H2873" s="1">
        <v>2.5012599999999998E-6</v>
      </c>
      <c r="I2873">
        <v>214.93700000000001</v>
      </c>
      <c r="J2873">
        <v>-464.7629</v>
      </c>
      <c r="K2873">
        <v>1.1143369999999999</v>
      </c>
      <c r="L2873">
        <v>215.15969999999999</v>
      </c>
      <c r="M2873">
        <v>0.96503910000000004</v>
      </c>
      <c r="N2873">
        <v>-1.055472E-2</v>
      </c>
      <c r="O2873">
        <v>-0.2618935</v>
      </c>
      <c r="P2873">
        <v>0.92718489999999998</v>
      </c>
      <c r="Q2873">
        <v>0.37375039999999998</v>
      </c>
      <c r="R2873">
        <v>-2.5277569999999999E-2</v>
      </c>
      <c r="S2873">
        <v>3.4406129999999999</v>
      </c>
      <c r="T2873">
        <v>-0.51770090000000002</v>
      </c>
      <c r="U2873">
        <v>-0.133606</v>
      </c>
      <c r="V2873">
        <v>-0.22185669999999999</v>
      </c>
      <c r="W2873">
        <v>0.3812777</v>
      </c>
      <c r="X2873">
        <v>0.89744469999999998</v>
      </c>
      <c r="Y2873">
        <v>-0.2191486</v>
      </c>
      <c r="Z2873">
        <v>5.354834E-2</v>
      </c>
      <c r="AA2873">
        <v>0.974221</v>
      </c>
      <c r="AB2873">
        <v>25</v>
      </c>
      <c r="AC2873">
        <v>7.1483999999999801</v>
      </c>
      <c r="AD2873">
        <v>-1.1143344987399999</v>
      </c>
      <c r="AE2873">
        <v>-0.222699999999974</v>
      </c>
      <c r="AF2873">
        <v>-1.61801719939369</v>
      </c>
      <c r="AG2873">
        <v>-1.1143344987399999</v>
      </c>
      <c r="AH2873">
        <v>6.7923008674387804</v>
      </c>
      <c r="AI2873">
        <v>99.067529791632793</v>
      </c>
      <c r="AJ2873">
        <v>103.398905480059</v>
      </c>
      <c r="AK2873">
        <v>7.07071934858297</v>
      </c>
      <c r="AL2873">
        <v>67.587152006959599</v>
      </c>
      <c r="AM2873">
        <v>103.885656648183</v>
      </c>
      <c r="AN2873">
        <v>1.0000000347051301</v>
      </c>
    </row>
    <row r="2874" spans="1:40" x14ac:dyDescent="0.25">
      <c r="A2874" t="str">
        <f>"20190304164426242"</f>
        <v>20190304164426242</v>
      </c>
      <c r="B2874" t="str">
        <f>"1551689066232567"</f>
        <v>1551689066232567</v>
      </c>
      <c r="C2874" t="s">
        <v>40</v>
      </c>
      <c r="D2874">
        <v>5.6329089999999997</v>
      </c>
      <c r="E2874">
        <v>0.50621430000000001</v>
      </c>
      <c r="F2874" t="s">
        <v>45</v>
      </c>
      <c r="G2874">
        <v>-456.79570000000001</v>
      </c>
      <c r="H2874" s="1">
        <v>2.0626840000000002E-6</v>
      </c>
      <c r="I2874">
        <v>215.00149999999999</v>
      </c>
      <c r="J2874">
        <v>-464.50819999999999</v>
      </c>
      <c r="K2874">
        <v>1.1144860000000001</v>
      </c>
      <c r="L2874">
        <v>215.09710000000001</v>
      </c>
      <c r="M2874">
        <v>0.96652780000000005</v>
      </c>
      <c r="N2874">
        <v>-1.0599620000000001E-2</v>
      </c>
      <c r="O2874">
        <v>-0.2563433</v>
      </c>
      <c r="P2874">
        <v>0.92695680000000003</v>
      </c>
      <c r="Q2874">
        <v>0.37445210000000001</v>
      </c>
      <c r="R2874">
        <v>-2.317191E-2</v>
      </c>
      <c r="S2874">
        <v>3.4269409999999998</v>
      </c>
      <c r="T2874">
        <v>-0.47930869999999998</v>
      </c>
      <c r="U2874">
        <v>-6.8054199999999995E-2</v>
      </c>
      <c r="V2874">
        <v>-0.21879209999999999</v>
      </c>
      <c r="W2874">
        <v>0.38197579999999998</v>
      </c>
      <c r="X2874">
        <v>0.89790000000000003</v>
      </c>
      <c r="Y2874">
        <v>-0.23260069999999999</v>
      </c>
      <c r="Z2874">
        <v>5.0044940000000003E-2</v>
      </c>
      <c r="AA2874">
        <v>0.97128389999999998</v>
      </c>
      <c r="AB2874">
        <v>25</v>
      </c>
      <c r="AC2874">
        <v>7.7124999999999702</v>
      </c>
      <c r="AD2874">
        <v>-1.114483937316</v>
      </c>
      <c r="AE2874">
        <v>-9.5600000000018698E-2</v>
      </c>
      <c r="AF2874">
        <v>-1.84620803161114</v>
      </c>
      <c r="AG2874">
        <v>-1.114483937316</v>
      </c>
      <c r="AH2874">
        <v>7.3263120662689802</v>
      </c>
      <c r="AI2874">
        <v>98.391143785197102</v>
      </c>
      <c r="AJ2874">
        <v>104.143877232742</v>
      </c>
      <c r="AK2874">
        <v>7.6371072425938404</v>
      </c>
      <c r="AL2874">
        <v>67.543876803884899</v>
      </c>
      <c r="AM2874">
        <v>103.694438935245</v>
      </c>
      <c r="AN2874">
        <v>0.99999995240402295</v>
      </c>
    </row>
    <row r="2875" spans="1:40" x14ac:dyDescent="0.25">
      <c r="A2875" t="str">
        <f>"20190304164426264"</f>
        <v>20190304164426264</v>
      </c>
      <c r="B2875" t="str">
        <f>"1551689066253062"</f>
        <v>1551689066253062</v>
      </c>
      <c r="C2875" t="s">
        <v>40</v>
      </c>
      <c r="D2875">
        <v>5.6197059999999999</v>
      </c>
      <c r="E2875">
        <v>0.50626859999999996</v>
      </c>
      <c r="F2875" t="s">
        <v>45</v>
      </c>
      <c r="G2875">
        <v>-456.47730000000001</v>
      </c>
      <c r="H2875" s="1">
        <v>1.8950390000000001E-6</v>
      </c>
      <c r="I2875">
        <v>214.96129999999999</v>
      </c>
      <c r="J2875">
        <v>-464.26299999999998</v>
      </c>
      <c r="K2875">
        <v>1.1145910000000001</v>
      </c>
      <c r="L2875">
        <v>215.0384</v>
      </c>
      <c r="M2875">
        <v>0.96797029999999995</v>
      </c>
      <c r="N2875">
        <v>-1.0638999999999999E-2</v>
      </c>
      <c r="O2875">
        <v>-0.25083929999999999</v>
      </c>
      <c r="P2875">
        <v>0.92692070000000004</v>
      </c>
      <c r="Q2875">
        <v>0.37469750000000002</v>
      </c>
      <c r="R2875">
        <v>-2.0492159999999999E-2</v>
      </c>
      <c r="S2875">
        <v>3.4270320000000001</v>
      </c>
      <c r="T2875">
        <v>-0.47558329999999999</v>
      </c>
      <c r="U2875">
        <v>-5.7937620000000002E-2</v>
      </c>
      <c r="V2875">
        <v>-0.21634529999999999</v>
      </c>
      <c r="W2875">
        <v>0.38222780000000001</v>
      </c>
      <c r="X2875">
        <v>0.89838549999999995</v>
      </c>
      <c r="Y2875">
        <v>-0.2300777</v>
      </c>
      <c r="Z2875">
        <v>4.8778170000000003E-2</v>
      </c>
      <c r="AA2875">
        <v>0.97194899999999995</v>
      </c>
      <c r="AB2875">
        <v>25</v>
      </c>
      <c r="AC2875">
        <v>7.7857000000000101</v>
      </c>
      <c r="AD2875">
        <v>-1.1145891049609999</v>
      </c>
      <c r="AE2875">
        <v>-7.7100000000001501E-2</v>
      </c>
      <c r="AF2875">
        <v>-1.8407147353128499</v>
      </c>
      <c r="AG2875">
        <v>-1.1145891049609999</v>
      </c>
      <c r="AH2875">
        <v>7.4043608294626599</v>
      </c>
      <c r="AI2875">
        <v>98.311262892433206</v>
      </c>
      <c r="AJ2875">
        <v>103.960654755683</v>
      </c>
      <c r="AK2875">
        <v>7.7107132551130801</v>
      </c>
      <c r="AL2875">
        <v>67.528252497853899</v>
      </c>
      <c r="AM2875">
        <v>103.53991387967</v>
      </c>
      <c r="AN2875">
        <v>0.99999994326758801</v>
      </c>
    </row>
    <row r="2876" spans="1:40" x14ac:dyDescent="0.25">
      <c r="A2876" t="str">
        <f>"20190304164426285"</f>
        <v>20190304164426285</v>
      </c>
      <c r="B2876" t="str">
        <f>"1551689066272582"</f>
        <v>1551689066272582</v>
      </c>
      <c r="C2876" t="s">
        <v>40</v>
      </c>
      <c r="D2876">
        <v>5.6199240000000001</v>
      </c>
      <c r="E2876">
        <v>0.50687519999999997</v>
      </c>
      <c r="F2876" t="s">
        <v>45</v>
      </c>
      <c r="G2876">
        <v>-456.20310000000001</v>
      </c>
      <c r="H2876" s="1">
        <v>1.750653E-6</v>
      </c>
      <c r="I2876">
        <v>214.9263</v>
      </c>
      <c r="J2876">
        <v>-464.03449999999998</v>
      </c>
      <c r="K2876">
        <v>1.114663</v>
      </c>
      <c r="L2876">
        <v>214.98519999999999</v>
      </c>
      <c r="M2876">
        <v>0.96931109999999998</v>
      </c>
      <c r="N2876">
        <v>-1.0672330000000001E-2</v>
      </c>
      <c r="O2876">
        <v>-0.2456055</v>
      </c>
      <c r="P2876">
        <v>0.92729200000000001</v>
      </c>
      <c r="Q2876">
        <v>0.3740251</v>
      </c>
      <c r="R2876">
        <v>-1.5325780000000001E-2</v>
      </c>
      <c r="S2876">
        <v>3.4270320000000001</v>
      </c>
      <c r="T2876">
        <v>-0.47391899999999998</v>
      </c>
      <c r="U2876">
        <v>-4.7668460000000003E-2</v>
      </c>
      <c r="V2876">
        <v>-0.21663019999999999</v>
      </c>
      <c r="W2876">
        <v>0.3815461</v>
      </c>
      <c r="X2876">
        <v>0.89860669999999898</v>
      </c>
      <c r="Y2876">
        <v>-0.2278299</v>
      </c>
      <c r="Z2876">
        <v>4.7792139999999997E-2</v>
      </c>
      <c r="AA2876">
        <v>0.97252740000000004</v>
      </c>
      <c r="AB2876">
        <v>25</v>
      </c>
      <c r="AC2876">
        <v>7.8313999999999702</v>
      </c>
      <c r="AD2876">
        <v>-1.1146612493470001</v>
      </c>
      <c r="AE2876">
        <v>-5.8899999999994103E-2</v>
      </c>
      <c r="AF2876">
        <v>-1.8293902331590599</v>
      </c>
      <c r="AG2876">
        <v>-1.1146612493470001</v>
      </c>
      <c r="AH2876">
        <v>7.4549450377256097</v>
      </c>
      <c r="AI2876">
        <v>98.262254088087602</v>
      </c>
      <c r="AJ2876">
        <v>103.787533000702</v>
      </c>
      <c r="AK2876">
        <v>7.7566322486942303</v>
      </c>
      <c r="AL2876">
        <v>67.570516264823496</v>
      </c>
      <c r="AM2876">
        <v>103.55387250958201</v>
      </c>
      <c r="AN2876">
        <v>1.0000000356310601</v>
      </c>
    </row>
    <row r="2877" spans="1:40" x14ac:dyDescent="0.25">
      <c r="A2877" t="str">
        <f>"20190304164426320"</f>
        <v>20190304164426320</v>
      </c>
      <c r="B2877" t="str">
        <f>"1551689066313105"</f>
        <v>1551689066313105</v>
      </c>
      <c r="C2877" t="s">
        <v>40</v>
      </c>
      <c r="D2877">
        <v>5.6303999999999998</v>
      </c>
      <c r="E2877">
        <v>0.50779659999999904</v>
      </c>
      <c r="F2877" t="s">
        <v>45</v>
      </c>
      <c r="G2877">
        <v>-456.04610000000002</v>
      </c>
      <c r="H2877" s="1">
        <v>1.6689260000000001E-6</v>
      </c>
      <c r="I2877">
        <v>214.88499999999999</v>
      </c>
      <c r="J2877">
        <v>-463.6497</v>
      </c>
      <c r="K2877">
        <v>1.1147309999999999</v>
      </c>
      <c r="L2877">
        <v>214.89869999999999</v>
      </c>
      <c r="M2877">
        <v>0.97153219999999996</v>
      </c>
      <c r="N2877">
        <v>-1.0710219999999999E-2</v>
      </c>
      <c r="O2877">
        <v>-0.23666509999999999</v>
      </c>
      <c r="P2877">
        <v>0.92709779999999997</v>
      </c>
      <c r="Q2877">
        <v>0.3747721</v>
      </c>
      <c r="R2877">
        <v>-5.9448110000000004E-3</v>
      </c>
      <c r="S2877">
        <v>3.42746</v>
      </c>
      <c r="T2877">
        <v>-0.47825420000000002</v>
      </c>
      <c r="U2877">
        <v>-4.2984010000000003E-2</v>
      </c>
      <c r="V2877">
        <v>-0.21745</v>
      </c>
      <c r="W2877">
        <v>0.38227549999999999</v>
      </c>
      <c r="X2877">
        <v>0.89809850000000002</v>
      </c>
      <c r="Y2877">
        <v>-0.22026209999999999</v>
      </c>
      <c r="Z2877">
        <v>4.6548520000000003E-2</v>
      </c>
      <c r="AA2877">
        <v>0.97432940000000001</v>
      </c>
      <c r="AB2877">
        <v>25</v>
      </c>
      <c r="AC2877">
        <v>7.6035999999999699</v>
      </c>
      <c r="AD2877">
        <v>-1.1147293310740001</v>
      </c>
      <c r="AE2877">
        <v>-1.37E-2</v>
      </c>
      <c r="AF2877">
        <v>-1.7487140390350999</v>
      </c>
      <c r="AG2877">
        <v>-1.1147293310740001</v>
      </c>
      <c r="AH2877">
        <v>7.2352998721657196</v>
      </c>
      <c r="AI2877">
        <v>98.517105426009195</v>
      </c>
      <c r="AJ2877">
        <v>103.587362168027</v>
      </c>
      <c r="AK2877">
        <v>7.5266318172231896</v>
      </c>
      <c r="AL2877">
        <v>67.525295944059593</v>
      </c>
      <c r="AM2877">
        <v>103.610673602172</v>
      </c>
      <c r="AN2877">
        <v>0.99999998805124901</v>
      </c>
    </row>
    <row r="2878" spans="1:40" x14ac:dyDescent="0.25">
      <c r="A2878" t="str">
        <f>"20190304164426343"</f>
        <v>20190304164426343</v>
      </c>
      <c r="B2878" t="str">
        <f>"1551689066332625"</f>
        <v>1551689066332625</v>
      </c>
      <c r="C2878" t="s">
        <v>40</v>
      </c>
      <c r="D2878">
        <v>5.6180669999999999</v>
      </c>
      <c r="E2878">
        <v>0.50795509999999999</v>
      </c>
      <c r="F2878" t="s">
        <v>45</v>
      </c>
      <c r="G2878">
        <v>-455.64370000000002</v>
      </c>
      <c r="H2878" s="1">
        <v>1.4566519999999999E-6</v>
      </c>
      <c r="I2878">
        <v>214.84190000000001</v>
      </c>
      <c r="J2878">
        <v>-463.39120000000003</v>
      </c>
      <c r="K2878">
        <v>1.114757</v>
      </c>
      <c r="L2878">
        <v>214.84270000000001</v>
      </c>
      <c r="M2878">
        <v>0.97298309999999999</v>
      </c>
      <c r="N2878">
        <v>-1.0720149999999999E-2</v>
      </c>
      <c r="O2878">
        <v>-0.23062769999999999</v>
      </c>
      <c r="P2878">
        <v>0.92664440000000003</v>
      </c>
      <c r="Q2878">
        <v>0.37592360000000002</v>
      </c>
      <c r="R2878">
        <v>-3.4367740000000001E-3</v>
      </c>
      <c r="S2878">
        <v>3.428741</v>
      </c>
      <c r="T2878">
        <v>-0.4774082</v>
      </c>
      <c r="U2878">
        <v>-2.4291989999999999E-2</v>
      </c>
      <c r="V2878">
        <v>-0.2142075</v>
      </c>
      <c r="W2878">
        <v>0.38346219999999998</v>
      </c>
      <c r="X2878">
        <v>0.89837180000000005</v>
      </c>
      <c r="Y2878">
        <v>-0.21959780000000001</v>
      </c>
      <c r="Z2878">
        <v>4.5650419999999997E-2</v>
      </c>
      <c r="AA2878">
        <v>0.97452190000000005</v>
      </c>
      <c r="AB2878">
        <v>25</v>
      </c>
      <c r="AC2878">
        <v>7.7474999999999996</v>
      </c>
      <c r="AD2878">
        <v>-1.1147555433480001</v>
      </c>
      <c r="AE2878">
        <v>-7.9999999999813499E-4</v>
      </c>
      <c r="AF2878">
        <v>-1.7498841149234701</v>
      </c>
      <c r="AG2878">
        <v>-1.1147555433480001</v>
      </c>
      <c r="AH2878">
        <v>7.38589249791481</v>
      </c>
      <c r="AI2878">
        <v>98.3550003136599</v>
      </c>
      <c r="AJ2878">
        <v>103.32889279794</v>
      </c>
      <c r="AK2878">
        <v>7.6717783028344204</v>
      </c>
      <c r="AL2878">
        <v>67.451695147810497</v>
      </c>
      <c r="AM2878">
        <v>103.41117355748899</v>
      </c>
      <c r="AN2878">
        <v>1.00000000146016</v>
      </c>
    </row>
    <row r="2879" spans="1:40" x14ac:dyDescent="0.25">
      <c r="A2879" t="str">
        <f>"20190304164426365"</f>
        <v>20190304164426365</v>
      </c>
      <c r="B2879" t="str">
        <f>"1551689066353121"</f>
        <v>1551689066353121</v>
      </c>
      <c r="C2879" t="s">
        <v>40</v>
      </c>
      <c r="D2879">
        <v>5.6081709999999996</v>
      </c>
      <c r="E2879">
        <v>0.51193459999999902</v>
      </c>
      <c r="F2879" t="s">
        <v>45</v>
      </c>
      <c r="G2879">
        <v>-455.30239999999998</v>
      </c>
      <c r="H2879" s="1">
        <v>1.2758389999999999E-6</v>
      </c>
      <c r="I2879">
        <v>214.8228</v>
      </c>
      <c r="J2879">
        <v>-463.1533</v>
      </c>
      <c r="K2879">
        <v>1.1147640000000001</v>
      </c>
      <c r="L2879">
        <v>214.7927</v>
      </c>
      <c r="M2879">
        <v>0.97428190000000003</v>
      </c>
      <c r="N2879">
        <v>-1.0723399999999999E-2</v>
      </c>
      <c r="O2879">
        <v>-0.22507769999999999</v>
      </c>
      <c r="P2879">
        <v>0.92675469999999904</v>
      </c>
      <c r="Q2879">
        <v>0.37566119999999997</v>
      </c>
      <c r="R2879">
        <v>-2.148919E-3</v>
      </c>
      <c r="S2879">
        <v>3.4291689999999999</v>
      </c>
      <c r="T2879">
        <v>-0.47258889999999998</v>
      </c>
      <c r="U2879">
        <v>-8.4533690000000005E-3</v>
      </c>
      <c r="V2879">
        <v>-0.21033660000000001</v>
      </c>
      <c r="W2879">
        <v>0.38325209999999998</v>
      </c>
      <c r="X2879">
        <v>0.899375499999999</v>
      </c>
      <c r="Y2879">
        <v>-0.21868009999999999</v>
      </c>
      <c r="Z2879">
        <v>4.4426489999999999E-2</v>
      </c>
      <c r="AA2879">
        <v>0.97478469999999995</v>
      </c>
      <c r="AB2879">
        <v>25</v>
      </c>
      <c r="AC2879">
        <v>7.8509000000000198</v>
      </c>
      <c r="AD2879">
        <v>-1.1147627241610001</v>
      </c>
      <c r="AE2879">
        <v>3.0100000000004401E-2</v>
      </c>
      <c r="AF2879">
        <v>-1.76098764157981</v>
      </c>
      <c r="AG2879">
        <v>-1.1147627241610001</v>
      </c>
      <c r="AH2879">
        <v>7.4916126406862</v>
      </c>
      <c r="AI2879">
        <v>98.242159953082805</v>
      </c>
      <c r="AJ2879">
        <v>103.227875472427</v>
      </c>
      <c r="AK2879">
        <v>7.7761194282922999</v>
      </c>
      <c r="AL2879">
        <v>67.464728097110097</v>
      </c>
      <c r="AM2879">
        <v>103.163158886389</v>
      </c>
      <c r="AN2879">
        <v>0.99999997372710903</v>
      </c>
    </row>
    <row r="2880" spans="1:40" x14ac:dyDescent="0.25">
      <c r="A2880" t="str">
        <f>"20190304164426385"</f>
        <v>20190304164426385</v>
      </c>
      <c r="B2880" t="str">
        <f>"1551689066382909"</f>
        <v>1551689066382909</v>
      </c>
      <c r="C2880" t="s">
        <v>40</v>
      </c>
      <c r="D2880">
        <v>5.6240249999999996</v>
      </c>
      <c r="E2880">
        <v>0.51266940000000005</v>
      </c>
      <c r="F2880" t="s">
        <v>45</v>
      </c>
      <c r="G2880">
        <v>-455.34410000000003</v>
      </c>
      <c r="H2880" s="1">
        <v>1.301595E-6</v>
      </c>
      <c r="I2880">
        <v>214.7414</v>
      </c>
      <c r="J2880">
        <v>-462.9248</v>
      </c>
      <c r="K2880">
        <v>1.114751</v>
      </c>
      <c r="L2880">
        <v>214.74600000000001</v>
      </c>
      <c r="M2880">
        <v>0.975495</v>
      </c>
      <c r="N2880">
        <v>-1.0718119999999999E-2</v>
      </c>
      <c r="O2880">
        <v>-0.21976119999999999</v>
      </c>
      <c r="P2880">
        <v>0.92702340000000005</v>
      </c>
      <c r="Q2880">
        <v>0.3750039</v>
      </c>
      <c r="R2880" s="1">
        <v>-5.4467469999999903E-5</v>
      </c>
      <c r="S2880">
        <v>3.4358520000000001</v>
      </c>
      <c r="T2880">
        <v>-0.49046469999999998</v>
      </c>
      <c r="U2880">
        <v>-2.2583010000000001E-2</v>
      </c>
      <c r="V2880">
        <v>-0.20749280000000001</v>
      </c>
      <c r="W2880">
        <v>0.38263320000000001</v>
      </c>
      <c r="X2880">
        <v>0.90029919999999997</v>
      </c>
      <c r="Y2880">
        <v>-0.20920130000000001</v>
      </c>
      <c r="Z2880">
        <v>4.4636439999999999E-2</v>
      </c>
      <c r="AA2880">
        <v>0.97685330000000004</v>
      </c>
      <c r="AB2880">
        <v>26</v>
      </c>
      <c r="AC2880">
        <v>7.58069999999997</v>
      </c>
      <c r="AD2880">
        <v>-1.114749698405</v>
      </c>
      <c r="AE2880">
        <v>-4.5999999999821696E-3</v>
      </c>
      <c r="AF2880">
        <v>-1.6263827023600701</v>
      </c>
      <c r="AG2880">
        <v>-1.114749698405</v>
      </c>
      <c r="AH2880">
        <v>7.2398156337411796</v>
      </c>
      <c r="AI2880">
        <v>98.543699569854198</v>
      </c>
      <c r="AJ2880">
        <v>102.660979317064</v>
      </c>
      <c r="AK2880">
        <v>7.5035137099357199</v>
      </c>
      <c r="AL2880">
        <v>67.503116117938205</v>
      </c>
      <c r="AM2880">
        <v>102.978388895744</v>
      </c>
      <c r="AN2880">
        <v>1.00000003865735</v>
      </c>
    </row>
    <row r="2881" spans="1:40" x14ac:dyDescent="0.25">
      <c r="A2881" t="str">
        <f>"20190304164426408"</f>
        <v>20190304164426408</v>
      </c>
      <c r="B2881" t="str">
        <f>"1551689066402428"</f>
        <v>1551689066402428</v>
      </c>
      <c r="C2881" t="s">
        <v>40</v>
      </c>
      <c r="D2881">
        <v>5.6399299999999997</v>
      </c>
      <c r="E2881">
        <v>0.51285119999999995</v>
      </c>
      <c r="F2881" t="s">
        <v>45</v>
      </c>
      <c r="G2881">
        <v>-455.108</v>
      </c>
      <c r="H2881" s="1">
        <v>1.177425E-6</v>
      </c>
      <c r="I2881">
        <v>214.70849999999999</v>
      </c>
      <c r="J2881">
        <v>-462.67619999999999</v>
      </c>
      <c r="K2881">
        <v>1.114714</v>
      </c>
      <c r="L2881">
        <v>214.69659999999999</v>
      </c>
      <c r="M2881">
        <v>0.97677210000000003</v>
      </c>
      <c r="N2881">
        <v>-1.0701479999999999E-2</v>
      </c>
      <c r="O2881">
        <v>-0.21401390000000001</v>
      </c>
      <c r="P2881">
        <v>0.92688939999999997</v>
      </c>
      <c r="Q2881">
        <v>0.3753203</v>
      </c>
      <c r="R2881">
        <v>3.30817E-3</v>
      </c>
      <c r="S2881">
        <v>3.434326</v>
      </c>
      <c r="T2881">
        <v>-0.48977150000000003</v>
      </c>
      <c r="U2881">
        <v>-1.646423E-2</v>
      </c>
      <c r="V2881">
        <v>-0.2054058</v>
      </c>
      <c r="W2881">
        <v>0.3829689</v>
      </c>
      <c r="X2881">
        <v>0.90063490000000002</v>
      </c>
      <c r="Y2881">
        <v>-0.2052824</v>
      </c>
      <c r="Z2881">
        <v>4.3559149999999998E-2</v>
      </c>
      <c r="AA2881">
        <v>0.97773299999999996</v>
      </c>
      <c r="AB2881">
        <v>26</v>
      </c>
      <c r="AC2881">
        <v>7.5681999999999903</v>
      </c>
      <c r="AD2881">
        <v>-1.11471282257499</v>
      </c>
      <c r="AE2881">
        <v>1.18999999999971E-2</v>
      </c>
      <c r="AF2881">
        <v>-1.5967763634774099</v>
      </c>
      <c r="AG2881">
        <v>-1.11471282257499</v>
      </c>
      <c r="AH2881">
        <v>7.2333616863614596</v>
      </c>
      <c r="AI2881">
        <v>98.557891951446294</v>
      </c>
      <c r="AJ2881">
        <v>102.448488993091</v>
      </c>
      <c r="AK2881">
        <v>7.4909145447999297</v>
      </c>
      <c r="AL2881">
        <v>67.482294498237906</v>
      </c>
      <c r="AM2881">
        <v>102.84757426119501</v>
      </c>
      <c r="AN2881">
        <v>0.99999997206942903</v>
      </c>
    </row>
    <row r="2882" spans="1:40" x14ac:dyDescent="0.25">
      <c r="A2882" t="str">
        <f>"20190304164426430"</f>
        <v>20190304164426430</v>
      </c>
      <c r="B2882" t="str">
        <f>"1551689066422924"</f>
        <v>1551689066422924</v>
      </c>
      <c r="C2882" t="s">
        <v>40</v>
      </c>
      <c r="D2882">
        <v>5.6452019999999896</v>
      </c>
      <c r="E2882">
        <v>0.50614129999999902</v>
      </c>
      <c r="F2882" t="s">
        <v>45</v>
      </c>
      <c r="G2882">
        <v>-454.8648</v>
      </c>
      <c r="H2882" s="1">
        <v>1.049166E-6</v>
      </c>
      <c r="I2882">
        <v>214.68129999999999</v>
      </c>
      <c r="J2882">
        <v>-462.41930000000002</v>
      </c>
      <c r="K2882">
        <v>1.1146659999999999</v>
      </c>
      <c r="L2882">
        <v>214.64709999999999</v>
      </c>
      <c r="M2882">
        <v>0.97804310000000005</v>
      </c>
      <c r="N2882">
        <v>-1.0674090000000001E-2</v>
      </c>
      <c r="O2882">
        <v>-0.2081295</v>
      </c>
      <c r="P2882">
        <v>0.9263922</v>
      </c>
      <c r="Q2882">
        <v>0.37648599999999999</v>
      </c>
      <c r="R2882">
        <v>7.4599269999999999E-3</v>
      </c>
      <c r="S2882">
        <v>3.435181</v>
      </c>
      <c r="T2882">
        <v>-0.49020809999999998</v>
      </c>
      <c r="U2882">
        <v>-6.7291259999999898E-3</v>
      </c>
      <c r="V2882">
        <v>-0.20389489999999999</v>
      </c>
      <c r="W2882">
        <v>0.38413809999999998</v>
      </c>
      <c r="X2882">
        <v>0.90048030000000001</v>
      </c>
      <c r="Y2882">
        <v>-0.20224210000000001</v>
      </c>
      <c r="Z2882">
        <v>4.2603960000000003E-2</v>
      </c>
      <c r="AA2882">
        <v>0.97840839999999996</v>
      </c>
      <c r="AB2882">
        <v>26</v>
      </c>
      <c r="AC2882">
        <v>7.5545000000000098</v>
      </c>
      <c r="AD2882">
        <v>-1.1146649508340001</v>
      </c>
      <c r="AE2882">
        <v>3.4199999999998398E-2</v>
      </c>
      <c r="AF2882">
        <v>-1.57163939181718</v>
      </c>
      <c r="AG2882">
        <v>-1.1146649508340001</v>
      </c>
      <c r="AH2882">
        <v>7.2246445344513299</v>
      </c>
      <c r="AI2882">
        <v>98.573374662539095</v>
      </c>
      <c r="AJ2882">
        <v>102.27283459181</v>
      </c>
      <c r="AK2882">
        <v>7.4771663736810599</v>
      </c>
      <c r="AL2882">
        <v>67.409756894199504</v>
      </c>
      <c r="AM2882">
        <v>102.758292835568</v>
      </c>
      <c r="AN2882">
        <v>0.99999999040285403</v>
      </c>
    </row>
    <row r="2883" spans="1:40" x14ac:dyDescent="0.25">
      <c r="A2883" t="str">
        <f>"20190304164426455"</f>
        <v>20190304164426455</v>
      </c>
      <c r="B2883" t="str">
        <f>"1551689066442444"</f>
        <v>1551689066442444</v>
      </c>
      <c r="C2883" t="s">
        <v>40</v>
      </c>
      <c r="D2883">
        <v>5.6840699999999904</v>
      </c>
      <c r="E2883">
        <v>0.50647710000000001</v>
      </c>
      <c r="F2883" t="s">
        <v>45</v>
      </c>
      <c r="G2883">
        <v>-454.07249999999999</v>
      </c>
      <c r="H2883" s="1">
        <v>6.2300019999999999E-7</v>
      </c>
      <c r="I2883">
        <v>214.78540000000001</v>
      </c>
      <c r="J2883">
        <v>-462.16300000000001</v>
      </c>
      <c r="K2883">
        <v>1.1145929999999999</v>
      </c>
      <c r="L2883">
        <v>214.5992</v>
      </c>
      <c r="M2883">
        <v>0.97925680000000004</v>
      </c>
      <c r="N2883">
        <v>-1.0642570000000001E-2</v>
      </c>
      <c r="O2883">
        <v>-0.20234369999999999</v>
      </c>
      <c r="P2883">
        <v>0.92594149999999997</v>
      </c>
      <c r="Q2883">
        <v>0.377496</v>
      </c>
      <c r="R2883">
        <v>1.138718E-2</v>
      </c>
      <c r="S2883">
        <v>3.4237060000000001</v>
      </c>
      <c r="T2883">
        <v>-0.4572177</v>
      </c>
      <c r="U2883">
        <v>5.6716919999999997E-2</v>
      </c>
      <c r="V2883">
        <v>-0.20226559999999999</v>
      </c>
      <c r="W2883">
        <v>0.38515739999999998</v>
      </c>
      <c r="X2883">
        <v>0.90041229999999906</v>
      </c>
      <c r="Y2883">
        <v>-0.21498329999999999</v>
      </c>
      <c r="Z2883">
        <v>4.0055840000000002E-2</v>
      </c>
      <c r="AA2883">
        <v>0.97579590000000005</v>
      </c>
      <c r="AB2883">
        <v>26</v>
      </c>
      <c r="AC2883">
        <v>8.0905000000000094</v>
      </c>
      <c r="AD2883">
        <v>-1.1145923769997901</v>
      </c>
      <c r="AE2883">
        <v>0.18620000000001299</v>
      </c>
      <c r="AF2883">
        <v>-1.7856300958570599</v>
      </c>
      <c r="AG2883">
        <v>-1.1145923769997901</v>
      </c>
      <c r="AH2883">
        <v>7.7386500427852098</v>
      </c>
      <c r="AI2883">
        <v>97.988812716983702</v>
      </c>
      <c r="AJ2883">
        <v>102.993124971509</v>
      </c>
      <c r="AK2883">
        <v>8.0198189188282907</v>
      </c>
      <c r="AL2883">
        <v>67.346486679285306</v>
      </c>
      <c r="AM2883">
        <v>102.660566514302</v>
      </c>
      <c r="AN2883">
        <v>0.999999952854703</v>
      </c>
    </row>
    <row r="2884" spans="1:40" x14ac:dyDescent="0.25">
      <c r="A2884" t="str">
        <f>"20190304164426476"</f>
        <v>20190304164426476</v>
      </c>
      <c r="B2884" t="str">
        <f>"1551689066472700"</f>
        <v>1551689066472700</v>
      </c>
      <c r="C2884" t="s">
        <v>40</v>
      </c>
      <c r="D2884">
        <v>5.6525860000000003</v>
      </c>
      <c r="E2884">
        <v>0.50692740000000003</v>
      </c>
      <c r="F2884" t="s">
        <v>45</v>
      </c>
      <c r="G2884">
        <v>-453.70429999999999</v>
      </c>
      <c r="H2884" s="1">
        <v>4.2851979999999999E-7</v>
      </c>
      <c r="I2884">
        <v>214.7518</v>
      </c>
      <c r="J2884">
        <v>-461.91739999999999</v>
      </c>
      <c r="K2884">
        <v>1.114514</v>
      </c>
      <c r="L2884">
        <v>214.5547</v>
      </c>
      <c r="M2884">
        <v>0.98036400000000001</v>
      </c>
      <c r="N2884">
        <v>-1.06059E-2</v>
      </c>
      <c r="O2884">
        <v>-0.19691110000000001</v>
      </c>
      <c r="P2884">
        <v>0.92558470000000004</v>
      </c>
      <c r="Q2884">
        <v>0.37817600000000001</v>
      </c>
      <c r="R2884">
        <v>1.6619709999999999E-2</v>
      </c>
      <c r="S2884">
        <v>3.4230649999999998</v>
      </c>
      <c r="T2884">
        <v>-0.45105220000000001</v>
      </c>
      <c r="U2884">
        <v>6.1767580000000002E-2</v>
      </c>
      <c r="V2884">
        <v>-0.20225180000000001</v>
      </c>
      <c r="W2884">
        <v>0.38583230000000002</v>
      </c>
      <c r="X2884">
        <v>0.90012649999999905</v>
      </c>
      <c r="Y2884">
        <v>-0.21118200000000001</v>
      </c>
      <c r="Z2884">
        <v>3.8604479999999997E-2</v>
      </c>
      <c r="AA2884">
        <v>0.9766842</v>
      </c>
      <c r="AB2884">
        <v>26</v>
      </c>
      <c r="AC2884">
        <v>8.2130999999999901</v>
      </c>
      <c r="AD2884">
        <v>-1.1145135714801999</v>
      </c>
      <c r="AE2884">
        <v>0.19710000000000599</v>
      </c>
      <c r="AF2884">
        <v>-1.77786274779696</v>
      </c>
      <c r="AG2884">
        <v>-1.1145135714801999</v>
      </c>
      <c r="AH2884">
        <v>7.8686541575798401</v>
      </c>
      <c r="AI2884">
        <v>97.866023899619705</v>
      </c>
      <c r="AJ2884">
        <v>102.731767830854</v>
      </c>
      <c r="AK2884">
        <v>8.1436266308455192</v>
      </c>
      <c r="AL2884">
        <v>67.304580657112894</v>
      </c>
      <c r="AM2884">
        <v>102.66362055043599</v>
      </c>
      <c r="AN2884">
        <v>1.0000000351643801</v>
      </c>
    </row>
    <row r="2885" spans="1:40" x14ac:dyDescent="0.25">
      <c r="A2885" t="str">
        <f>"20190304164426498"</f>
        <v>20190304164426498</v>
      </c>
      <c r="B2885" t="str">
        <f>"1551689066493196"</f>
        <v>1551689066493196</v>
      </c>
      <c r="C2885" t="s">
        <v>40</v>
      </c>
      <c r="D2885">
        <v>5.6382070000000004</v>
      </c>
      <c r="E2885">
        <v>0.50733530000000004</v>
      </c>
      <c r="F2885" t="s">
        <v>45</v>
      </c>
      <c r="G2885">
        <v>-453.3845</v>
      </c>
      <c r="H2885" s="1">
        <v>2.593582E-7</v>
      </c>
      <c r="I2885">
        <v>214.7286</v>
      </c>
      <c r="J2885">
        <v>-461.67129999999997</v>
      </c>
      <c r="K2885">
        <v>1.1144320000000001</v>
      </c>
      <c r="L2885">
        <v>214.51150000000001</v>
      </c>
      <c r="M2885">
        <v>0.98142280000000004</v>
      </c>
      <c r="N2885">
        <v>-1.056517E-2</v>
      </c>
      <c r="O2885">
        <v>-0.1915664</v>
      </c>
      <c r="P2885">
        <v>0.92570240000000004</v>
      </c>
      <c r="Q2885">
        <v>0.37761060000000002</v>
      </c>
      <c r="R2885">
        <v>2.2033810000000001E-2</v>
      </c>
      <c r="S2885">
        <v>3.4226380000000001</v>
      </c>
      <c r="T2885">
        <v>-0.44704329999999998</v>
      </c>
      <c r="U2885">
        <v>6.9732669999999997E-2</v>
      </c>
      <c r="V2885">
        <v>-0.20258419999999999</v>
      </c>
      <c r="W2885">
        <v>0.3852643</v>
      </c>
      <c r="X2885">
        <v>0.90029499999999996</v>
      </c>
      <c r="Y2885">
        <v>-0.20825659999999999</v>
      </c>
      <c r="Z2885">
        <v>3.7430600000000001E-2</v>
      </c>
      <c r="AA2885">
        <v>0.9773577</v>
      </c>
      <c r="AB2885">
        <v>26</v>
      </c>
      <c r="AC2885">
        <v>8.2867999999999693</v>
      </c>
      <c r="AD2885">
        <v>-1.1144317406417901</v>
      </c>
      <c r="AE2885">
        <v>0.217099999999987</v>
      </c>
      <c r="AF2885">
        <v>-1.76867419648294</v>
      </c>
      <c r="AG2885">
        <v>-1.1144317406417901</v>
      </c>
      <c r="AH2885">
        <v>7.9480698105785699</v>
      </c>
      <c r="AI2885">
        <v>97.793440788033095</v>
      </c>
      <c r="AJ2885">
        <v>102.545543963859</v>
      </c>
      <c r="AK2885">
        <v>8.2183928010095109</v>
      </c>
      <c r="AL2885">
        <v>67.339851002930502</v>
      </c>
      <c r="AM2885">
        <v>102.68146322826399</v>
      </c>
      <c r="AN2885">
        <v>1.0000000129845601</v>
      </c>
    </row>
    <row r="2886" spans="1:40" x14ac:dyDescent="0.25">
      <c r="A2886" t="str">
        <f>"20190304164426520"</f>
        <v>20190304164426520</v>
      </c>
      <c r="B2886" t="str">
        <f>"1551689066512716"</f>
        <v>1551689066512716</v>
      </c>
      <c r="C2886" t="s">
        <v>40</v>
      </c>
      <c r="D2886">
        <v>5.6598940000000004</v>
      </c>
      <c r="E2886">
        <v>0.50751449999999998</v>
      </c>
      <c r="F2886" t="s">
        <v>45</v>
      </c>
      <c r="G2886">
        <v>-453.18150000000003</v>
      </c>
      <c r="H2886" s="1">
        <v>1.5185290000000001E-7</v>
      </c>
      <c r="I2886">
        <v>214.71709999999999</v>
      </c>
      <c r="J2886">
        <v>-461.42200000000003</v>
      </c>
      <c r="K2886">
        <v>1.114339</v>
      </c>
      <c r="L2886">
        <v>214.46889999999999</v>
      </c>
      <c r="M2886">
        <v>0.98244169999999997</v>
      </c>
      <c r="N2886">
        <v>-1.0513339999999999E-2</v>
      </c>
      <c r="O2886">
        <v>-0.1862741</v>
      </c>
      <c r="P2886">
        <v>0.92630729999999994</v>
      </c>
      <c r="Q2886">
        <v>0.37576690000000001</v>
      </c>
      <c r="R2886">
        <v>2.7459569999999999E-2</v>
      </c>
      <c r="S2886">
        <v>3.4220890000000002</v>
      </c>
      <c r="T2886">
        <v>-0.44920909999999897</v>
      </c>
      <c r="U2886">
        <v>8.2870479999999996E-2</v>
      </c>
      <c r="V2886">
        <v>-0.2030555</v>
      </c>
      <c r="W2886">
        <v>0.38341720000000001</v>
      </c>
      <c r="X2886">
        <v>0.90097709999999998</v>
      </c>
      <c r="Y2886">
        <v>-0.20675950000000001</v>
      </c>
      <c r="Z2886">
        <v>3.6894110000000001E-2</v>
      </c>
      <c r="AA2886">
        <v>0.97769589999999995</v>
      </c>
      <c r="AB2886">
        <v>26</v>
      </c>
      <c r="AC2886">
        <v>8.2404999999999404</v>
      </c>
      <c r="AD2886">
        <v>-1.1143388481470999</v>
      </c>
      <c r="AE2886">
        <v>0.24819999999999701</v>
      </c>
      <c r="AF2886">
        <v>-1.7470142441385299</v>
      </c>
      <c r="AG2886">
        <v>-1.1143388481470999</v>
      </c>
      <c r="AH2886">
        <v>7.9055879807951204</v>
      </c>
      <c r="AI2886">
        <v>97.836681620671598</v>
      </c>
      <c r="AJ2886">
        <v>102.46122369296</v>
      </c>
      <c r="AK2886">
        <v>8.1726452975646193</v>
      </c>
      <c r="AL2886">
        <v>67.454487042036803</v>
      </c>
      <c r="AM2886">
        <v>102.70069847040899</v>
      </c>
      <c r="AN2886">
        <v>1.00000001003025</v>
      </c>
    </row>
    <row r="2887" spans="1:40" x14ac:dyDescent="0.25">
      <c r="A2887" t="str">
        <f>"20190304164426545"</f>
        <v>20190304164426545</v>
      </c>
      <c r="B2887" t="str">
        <f>"1551689066533213"</f>
        <v>1551689066533213</v>
      </c>
      <c r="C2887" t="s">
        <v>40</v>
      </c>
      <c r="D2887">
        <v>5.6280989999999997</v>
      </c>
      <c r="E2887">
        <v>0.51110429999999996</v>
      </c>
      <c r="F2887" t="s">
        <v>45</v>
      </c>
      <c r="G2887">
        <v>-453.07650000000001</v>
      </c>
      <c r="H2887" s="1">
        <v>9.6121010000000001E-8</v>
      </c>
      <c r="I2887">
        <v>214.71360000000001</v>
      </c>
      <c r="J2887">
        <v>-461.14</v>
      </c>
      <c r="K2887">
        <v>1.1142110000000001</v>
      </c>
      <c r="L2887">
        <v>214.4222</v>
      </c>
      <c r="M2887">
        <v>0.98352399999999995</v>
      </c>
      <c r="N2887">
        <v>-1.0441290000000001E-2</v>
      </c>
      <c r="O2887">
        <v>-0.18047579999999999</v>
      </c>
      <c r="P2887">
        <v>0.92654440000000005</v>
      </c>
      <c r="Q2887">
        <v>0.37464520000000001</v>
      </c>
      <c r="R2887">
        <v>3.4005359999999998E-2</v>
      </c>
      <c r="S2887">
        <v>3.4210210000000001</v>
      </c>
      <c r="T2887">
        <v>-0.4567947</v>
      </c>
      <c r="U2887">
        <v>0.10031130000000001</v>
      </c>
      <c r="V2887">
        <v>-0.20408080000000001</v>
      </c>
      <c r="W2887">
        <v>0.3822776</v>
      </c>
      <c r="X2887">
        <v>0.90122959999999996</v>
      </c>
      <c r="Y2887">
        <v>-0.20591619999999999</v>
      </c>
      <c r="Z2887">
        <v>3.6784119999999997E-2</v>
      </c>
      <c r="AA2887">
        <v>0.97787800000000002</v>
      </c>
      <c r="AB2887">
        <v>26</v>
      </c>
      <c r="AC2887">
        <v>8.0634999999999692</v>
      </c>
      <c r="AD2887">
        <v>-1.11421090387899</v>
      </c>
      <c r="AE2887">
        <v>0.29140000000000998</v>
      </c>
      <c r="AF2887">
        <v>-1.7093651189186001</v>
      </c>
      <c r="AG2887">
        <v>-1.11421090387899</v>
      </c>
      <c r="AH2887">
        <v>7.7310633821915404</v>
      </c>
      <c r="AI2887">
        <v>98.010212761563906</v>
      </c>
      <c r="AJ2887">
        <v>102.46771119710399</v>
      </c>
      <c r="AK2887">
        <v>7.9957948990429504</v>
      </c>
      <c r="AL2887">
        <v>67.525165166677496</v>
      </c>
      <c r="AM2887">
        <v>102.759274740103</v>
      </c>
      <c r="AN2887">
        <v>0.99999996415327896</v>
      </c>
    </row>
    <row r="2888" spans="1:40" x14ac:dyDescent="0.25">
      <c r="A2888" t="str">
        <f>"20190304164426566"</f>
        <v>20190304164426566</v>
      </c>
      <c r="B2888" t="str">
        <f>"1551689066552732"</f>
        <v>1551689066552732</v>
      </c>
      <c r="C2888" t="s">
        <v>40</v>
      </c>
      <c r="D2888">
        <v>5.6558149999999996</v>
      </c>
      <c r="E2888">
        <v>0.51142169999999998</v>
      </c>
      <c r="F2888" t="s">
        <v>45</v>
      </c>
      <c r="G2888">
        <v>-452.97820000000002</v>
      </c>
      <c r="H2888" s="1">
        <v>4.6519049999999997E-8</v>
      </c>
      <c r="I2888">
        <v>214.6514</v>
      </c>
      <c r="J2888">
        <v>-460.8954</v>
      </c>
      <c r="K2888">
        <v>1.1140950000000001</v>
      </c>
      <c r="L2888">
        <v>214.38290000000001</v>
      </c>
      <c r="M2888">
        <v>0.98440190000000005</v>
      </c>
      <c r="N2888">
        <v>-1.0368550000000001E-2</v>
      </c>
      <c r="O2888">
        <v>-0.17562900000000001</v>
      </c>
      <c r="P2888">
        <v>0.92620190000000002</v>
      </c>
      <c r="Q2888">
        <v>0.37487120000000002</v>
      </c>
      <c r="R2888">
        <v>4.0274230000000001E-2</v>
      </c>
      <c r="S2888">
        <v>3.423279</v>
      </c>
      <c r="T2888">
        <v>-0.46733000000000002</v>
      </c>
      <c r="U2888">
        <v>9.6115110000000004E-2</v>
      </c>
      <c r="V2888">
        <v>-0.20562839999999999</v>
      </c>
      <c r="W2888">
        <v>0.38247370000000003</v>
      </c>
      <c r="X2888">
        <v>0.9007946</v>
      </c>
      <c r="Y2888">
        <v>-0.19982459999999999</v>
      </c>
      <c r="Z2888">
        <v>3.6577829999999999E-2</v>
      </c>
      <c r="AA2888">
        <v>0.97914869999999998</v>
      </c>
      <c r="AB2888">
        <v>26</v>
      </c>
      <c r="AC2888">
        <v>7.9171999999999798</v>
      </c>
      <c r="AD2888">
        <v>-1.1140949534809499</v>
      </c>
      <c r="AE2888">
        <v>0.26849999999998803</v>
      </c>
      <c r="AF2888">
        <v>-1.6227936000108001</v>
      </c>
      <c r="AG2888">
        <v>-1.1140949534809499</v>
      </c>
      <c r="AH2888">
        <v>7.5967116350669599</v>
      </c>
      <c r="AI2888">
        <v>98.161653941718797</v>
      </c>
      <c r="AJ2888">
        <v>102.058169070563</v>
      </c>
      <c r="AK2888">
        <v>7.8475916241844201</v>
      </c>
      <c r="AL2888">
        <v>67.513007222977393</v>
      </c>
      <c r="AM2888">
        <v>102.858830229714</v>
      </c>
      <c r="AN2888">
        <v>1.0000000407337</v>
      </c>
    </row>
    <row r="2889" spans="1:40" x14ac:dyDescent="0.25">
      <c r="A2889" t="str">
        <f>"20190304164426586"</f>
        <v>20190304164426586</v>
      </c>
      <c r="B2889" t="str">
        <f>"1551689066582989"</f>
        <v>1551689066582989</v>
      </c>
      <c r="C2889" t="s">
        <v>40</v>
      </c>
      <c r="D2889">
        <v>5.6272840000000004</v>
      </c>
      <c r="E2889">
        <v>0.51219789999999998</v>
      </c>
      <c r="F2889" t="s">
        <v>45</v>
      </c>
      <c r="G2889">
        <v>-452.72370000000001</v>
      </c>
      <c r="H2889" s="1">
        <v>-8.9333309999999996E-8</v>
      </c>
      <c r="I2889">
        <v>214.66159999999999</v>
      </c>
      <c r="J2889">
        <v>-460.67290000000003</v>
      </c>
      <c r="K2889">
        <v>1.113985</v>
      </c>
      <c r="L2889">
        <v>214.34800000000001</v>
      </c>
      <c r="M2889">
        <v>0.98515169999999996</v>
      </c>
      <c r="N2889">
        <v>-1.029772E-2</v>
      </c>
      <c r="O2889">
        <v>-0.17137720000000001</v>
      </c>
      <c r="P2889">
        <v>0.92530230000000002</v>
      </c>
      <c r="Q2889">
        <v>0.37653300000000001</v>
      </c>
      <c r="R2889">
        <v>4.5152329999999997E-2</v>
      </c>
      <c r="S2889">
        <v>3.4229129999999999</v>
      </c>
      <c r="T2889">
        <v>-0.46666669999999999</v>
      </c>
      <c r="U2889">
        <v>0.1167603</v>
      </c>
      <c r="V2889">
        <v>-0.20628089999999999</v>
      </c>
      <c r="W2889">
        <v>0.38411299999999998</v>
      </c>
      <c r="X2889">
        <v>0.89994750000000001</v>
      </c>
      <c r="Y2889">
        <v>-0.20152410000000001</v>
      </c>
      <c r="Z2889">
        <v>3.6131860000000002E-2</v>
      </c>
      <c r="AA2889">
        <v>0.97881689999999999</v>
      </c>
      <c r="AB2889">
        <v>26</v>
      </c>
      <c r="AC2889">
        <v>7.94920000000001</v>
      </c>
      <c r="AD2889">
        <v>-1.1139850893333101</v>
      </c>
      <c r="AE2889">
        <v>0.31360000000000798</v>
      </c>
      <c r="AF2889">
        <v>-1.63920206821467</v>
      </c>
      <c r="AG2889">
        <v>-1.1139850893333101</v>
      </c>
      <c r="AH2889">
        <v>7.6282601398177903</v>
      </c>
      <c r="AI2889">
        <v>98.125478705918198</v>
      </c>
      <c r="AJ2889">
        <v>102.127606451901</v>
      </c>
      <c r="AK2889">
        <v>7.8815162856159304</v>
      </c>
      <c r="AL2889">
        <v>67.411316048416097</v>
      </c>
      <c r="AM2889">
        <v>102.910005511384</v>
      </c>
      <c r="AN2889">
        <v>1.0000000546150201</v>
      </c>
    </row>
    <row r="2890" spans="1:40" x14ac:dyDescent="0.25">
      <c r="A2890" t="str">
        <f>"20190304164426609"</f>
        <v>20190304164426609</v>
      </c>
      <c r="B2890" t="str">
        <f>"1551689066602508"</f>
        <v>1551689066602508</v>
      </c>
      <c r="C2890" t="s">
        <v>40</v>
      </c>
      <c r="D2890">
        <v>5.6321260000000004</v>
      </c>
      <c r="E2890">
        <v>0.51524409999999998</v>
      </c>
      <c r="F2890" t="s">
        <v>45</v>
      </c>
      <c r="G2890">
        <v>-452.44099999999997</v>
      </c>
      <c r="H2890" s="1">
        <v>-2.3958290000000002E-7</v>
      </c>
      <c r="I2890">
        <v>214.65690000000001</v>
      </c>
      <c r="J2890">
        <v>-460.41669999999999</v>
      </c>
      <c r="K2890">
        <v>1.1138459999999999</v>
      </c>
      <c r="L2890">
        <v>214.30879999999999</v>
      </c>
      <c r="M2890">
        <v>0.98596090000000003</v>
      </c>
      <c r="N2890">
        <v>-1.021642E-2</v>
      </c>
      <c r="O2890">
        <v>-0.1666636</v>
      </c>
      <c r="P2890">
        <v>0.92451879999999997</v>
      </c>
      <c r="Q2890">
        <v>0.37792310000000001</v>
      </c>
      <c r="R2890">
        <v>4.9386930000000002E-2</v>
      </c>
      <c r="S2890">
        <v>3.4244690000000002</v>
      </c>
      <c r="T2890">
        <v>-0.46342050000000001</v>
      </c>
      <c r="U2890">
        <v>0.12852479999999999</v>
      </c>
      <c r="V2890">
        <v>-0.20588680000000001</v>
      </c>
      <c r="W2890">
        <v>0.38549359999999999</v>
      </c>
      <c r="X2890">
        <v>0.8994472</v>
      </c>
      <c r="Y2890">
        <v>-0.20028319999999999</v>
      </c>
      <c r="Z2890">
        <v>3.5196329999999998E-2</v>
      </c>
      <c r="AA2890">
        <v>0.97910569999999997</v>
      </c>
      <c r="AB2890">
        <v>26</v>
      </c>
      <c r="AC2890">
        <v>7.9757000000000096</v>
      </c>
      <c r="AD2890">
        <v>-1.1138462395829001</v>
      </c>
      <c r="AE2890">
        <v>0.34810000000001601</v>
      </c>
      <c r="AF2890">
        <v>-1.6406220714190201</v>
      </c>
      <c r="AG2890">
        <v>-1.1138462395829001</v>
      </c>
      <c r="AH2890">
        <v>7.6570643127142102</v>
      </c>
      <c r="AI2890">
        <v>98.095343347041904</v>
      </c>
      <c r="AJ2890">
        <v>102.09348773874299</v>
      </c>
      <c r="AK2890">
        <v>7.9096730726182196</v>
      </c>
      <c r="AL2890">
        <v>67.325612499347699</v>
      </c>
      <c r="AM2890">
        <v>102.893093244596</v>
      </c>
      <c r="AN2890">
        <v>0.99999997782151895</v>
      </c>
    </row>
    <row r="2891" spans="1:40" x14ac:dyDescent="0.25">
      <c r="A2891" t="str">
        <f>"20190304164426631"</f>
        <v>20190304164426631</v>
      </c>
      <c r="B2891" t="str">
        <f>"1551689066623005"</f>
        <v>1551689066623005</v>
      </c>
      <c r="C2891" t="s">
        <v>40</v>
      </c>
      <c r="D2891">
        <v>5.6287859999999998</v>
      </c>
      <c r="E2891">
        <v>0.51609579999999999</v>
      </c>
      <c r="F2891" t="s">
        <v>45</v>
      </c>
      <c r="G2891">
        <v>-452.42169999999999</v>
      </c>
      <c r="H2891" s="1">
        <v>-2.471086E-7</v>
      </c>
      <c r="I2891">
        <v>214.59440000000001</v>
      </c>
      <c r="J2891">
        <v>-460.14920000000001</v>
      </c>
      <c r="K2891">
        <v>1.1137060000000001</v>
      </c>
      <c r="L2891">
        <v>214.26900000000001</v>
      </c>
      <c r="M2891">
        <v>0.9867496</v>
      </c>
      <c r="N2891">
        <v>-1.013199E-2</v>
      </c>
      <c r="O2891">
        <v>-0.16193450000000001</v>
      </c>
      <c r="P2891">
        <v>0.92390269999999997</v>
      </c>
      <c r="Q2891">
        <v>0.37896259999999998</v>
      </c>
      <c r="R2891">
        <v>5.2831240000000002E-2</v>
      </c>
      <c r="S2891">
        <v>3.4339900000000001</v>
      </c>
      <c r="T2891">
        <v>-0.47841869999999997</v>
      </c>
      <c r="U2891">
        <v>0.1226807</v>
      </c>
      <c r="V2891">
        <v>-0.2047368</v>
      </c>
      <c r="W2891">
        <v>0.38652819999999999</v>
      </c>
      <c r="X2891">
        <v>0.89926569999999995</v>
      </c>
      <c r="Y2891">
        <v>-0.19372819999999999</v>
      </c>
      <c r="Z2891">
        <v>3.5161770000000002E-2</v>
      </c>
      <c r="AA2891">
        <v>0.98042490000000004</v>
      </c>
      <c r="AB2891">
        <v>26</v>
      </c>
      <c r="AC2891">
        <v>7.7275000000000098</v>
      </c>
      <c r="AD2891">
        <v>-1.1137062471085999</v>
      </c>
      <c r="AE2891">
        <v>0.32540000000000102</v>
      </c>
      <c r="AF2891">
        <v>-1.5405746508031299</v>
      </c>
      <c r="AG2891">
        <v>-1.1137062471085999</v>
      </c>
      <c r="AH2891">
        <v>7.4189731458287298</v>
      </c>
      <c r="AI2891">
        <v>98.361493799739804</v>
      </c>
      <c r="AJ2891">
        <v>101.730944505515</v>
      </c>
      <c r="AK2891">
        <v>7.6586470344358899</v>
      </c>
      <c r="AL2891">
        <v>67.261354466882807</v>
      </c>
      <c r="AM2891">
        <v>102.825967524294</v>
      </c>
      <c r="AN2891">
        <v>1.0000000029329801</v>
      </c>
    </row>
    <row r="2892" spans="1:40" x14ac:dyDescent="0.25">
      <c r="A2892" t="str">
        <f>"20190304164426654"</f>
        <v>20190304164426654</v>
      </c>
      <c r="B2892" t="str">
        <f>"1551689066642524"</f>
        <v>1551689066642524</v>
      </c>
      <c r="C2892" t="s">
        <v>40</v>
      </c>
      <c r="D2892">
        <v>5.6464610000000004</v>
      </c>
      <c r="E2892">
        <v>0.5169125</v>
      </c>
      <c r="F2892" t="s">
        <v>45</v>
      </c>
      <c r="G2892">
        <v>-452.07100000000003</v>
      </c>
      <c r="H2892" s="1">
        <v>-4.3290130000000002E-7</v>
      </c>
      <c r="I2892">
        <v>214.5754</v>
      </c>
      <c r="J2892">
        <v>-459.8974</v>
      </c>
      <c r="K2892">
        <v>1.113588</v>
      </c>
      <c r="L2892">
        <v>214.23240000000001</v>
      </c>
      <c r="M2892">
        <v>0.98744359999999998</v>
      </c>
      <c r="N2892">
        <v>-1.005466E-2</v>
      </c>
      <c r="O2892">
        <v>-0.15765219999999999</v>
      </c>
      <c r="P2892">
        <v>0.9235544</v>
      </c>
      <c r="Q2892">
        <v>0.37960749999999999</v>
      </c>
      <c r="R2892">
        <v>5.4273879999999997E-2</v>
      </c>
      <c r="S2892">
        <v>3.4338380000000002</v>
      </c>
      <c r="T2892">
        <v>-0.4734101</v>
      </c>
      <c r="U2892">
        <v>0.1302643</v>
      </c>
      <c r="V2892">
        <v>-0.2020914</v>
      </c>
      <c r="W2892">
        <v>0.38717819999999997</v>
      </c>
      <c r="X2892">
        <v>0.89958449999999901</v>
      </c>
      <c r="Y2892">
        <v>-0.19176170000000001</v>
      </c>
      <c r="Z2892">
        <v>3.4112299999999998E-2</v>
      </c>
      <c r="AA2892">
        <v>0.98084850000000001</v>
      </c>
      <c r="AB2892">
        <v>26</v>
      </c>
      <c r="AC2892">
        <v>7.8264000000000298</v>
      </c>
      <c r="AD2892">
        <v>-1.1135884329012999</v>
      </c>
      <c r="AE2892">
        <v>0.34299999999998898</v>
      </c>
      <c r="AF2892">
        <v>-1.54147383515651</v>
      </c>
      <c r="AG2892">
        <v>-1.1135884329012999</v>
      </c>
      <c r="AH2892">
        <v>7.5224386830107797</v>
      </c>
      <c r="AI2892">
        <v>98.251625619862196</v>
      </c>
      <c r="AJ2892">
        <v>101.58054972886001</v>
      </c>
      <c r="AK2892">
        <v>7.7590788449416204</v>
      </c>
      <c r="AL2892">
        <v>67.220969668816394</v>
      </c>
      <c r="AM2892">
        <v>102.661279191635</v>
      </c>
      <c r="AN2892">
        <v>1.00000008257472</v>
      </c>
    </row>
    <row r="2893" spans="1:40" x14ac:dyDescent="0.25">
      <c r="A2893" t="str">
        <f>"20190304164426674"</f>
        <v>20190304164426674</v>
      </c>
      <c r="B2893" t="str">
        <f>"1551689066663020"</f>
        <v>1551689066663020</v>
      </c>
      <c r="C2893" t="s">
        <v>40</v>
      </c>
      <c r="D2893">
        <v>5.646001</v>
      </c>
      <c r="E2893">
        <v>0.51774949999999997</v>
      </c>
      <c r="F2893" t="s">
        <v>45</v>
      </c>
      <c r="G2893">
        <v>-451.82400000000001</v>
      </c>
      <c r="H2893" s="1">
        <v>-5.6313449999999995E-7</v>
      </c>
      <c r="I2893">
        <v>214.54740000000001</v>
      </c>
      <c r="J2893">
        <v>-459.66129999999998</v>
      </c>
      <c r="K2893">
        <v>1.1135010000000001</v>
      </c>
      <c r="L2893">
        <v>214.19909999999999</v>
      </c>
      <c r="M2893">
        <v>0.9880565</v>
      </c>
      <c r="N2893">
        <v>-9.9828569999999995E-3</v>
      </c>
      <c r="O2893">
        <v>-0.15376870000000001</v>
      </c>
      <c r="P2893">
        <v>0.92334570000000005</v>
      </c>
      <c r="Q2893">
        <v>0.3801158</v>
      </c>
      <c r="R2893">
        <v>5.4266540000000002E-2</v>
      </c>
      <c r="S2893">
        <v>3.4352109999999998</v>
      </c>
      <c r="T2893">
        <v>-0.47382920000000001</v>
      </c>
      <c r="U2893">
        <v>0.13403319999999999</v>
      </c>
      <c r="V2893">
        <v>-0.19842609999999999</v>
      </c>
      <c r="W2893">
        <v>0.38769320000000002</v>
      </c>
      <c r="X2893">
        <v>0.90017829999999999</v>
      </c>
      <c r="Y2893">
        <v>-0.18901970000000001</v>
      </c>
      <c r="Z2893">
        <v>3.3441390000000001E-2</v>
      </c>
      <c r="AA2893">
        <v>0.98140369999999999</v>
      </c>
      <c r="AB2893">
        <v>26</v>
      </c>
      <c r="AC2893">
        <v>7.8372999999999697</v>
      </c>
      <c r="AD2893">
        <v>-1.1135015631345</v>
      </c>
      <c r="AE2893">
        <v>0.34830000000002298</v>
      </c>
      <c r="AF2893">
        <v>-1.51875164293561</v>
      </c>
      <c r="AG2893">
        <v>-1.1135015631345</v>
      </c>
      <c r="AH2893">
        <v>7.5386457320689599</v>
      </c>
      <c r="AI2893">
        <v>98.238971719800801</v>
      </c>
      <c r="AJ2893">
        <v>101.390461703819</v>
      </c>
      <c r="AK2893">
        <v>7.7703070568455699</v>
      </c>
      <c r="AL2893">
        <v>67.188959359240101</v>
      </c>
      <c r="AM2893">
        <v>102.430903898924</v>
      </c>
      <c r="AN2893">
        <v>0.99999995313916901</v>
      </c>
    </row>
    <row r="2894" spans="1:40" x14ac:dyDescent="0.25">
      <c r="A2894" t="str">
        <f>"20190304164426698"</f>
        <v>20190304164426698</v>
      </c>
      <c r="B2894" t="str">
        <f>"1551689066693276"</f>
        <v>1551689066693276</v>
      </c>
      <c r="C2894" t="s">
        <v>40</v>
      </c>
      <c r="D2894">
        <v>5.6489409999999998</v>
      </c>
      <c r="E2894">
        <v>0.51861930000000001</v>
      </c>
      <c r="F2894" t="s">
        <v>45</v>
      </c>
      <c r="G2894">
        <v>-451.58409999999998</v>
      </c>
      <c r="H2894" s="1">
        <v>-6.8949029999999999E-7</v>
      </c>
      <c r="I2894">
        <v>214.51740000000001</v>
      </c>
      <c r="J2894">
        <v>-459.39190000000002</v>
      </c>
      <c r="K2894">
        <v>1.1134360000000001</v>
      </c>
      <c r="L2894">
        <v>214.16210000000001</v>
      </c>
      <c r="M2894">
        <v>0.98871989999999998</v>
      </c>
      <c r="N2894">
        <v>-9.9061189999999997E-3</v>
      </c>
      <c r="O2894">
        <v>-0.1494481</v>
      </c>
      <c r="P2894">
        <v>0.92310979999999998</v>
      </c>
      <c r="Q2894">
        <v>0.38068010000000002</v>
      </c>
      <c r="R2894">
        <v>5.4322719999999998E-2</v>
      </c>
      <c r="S2894">
        <v>3.4361570000000001</v>
      </c>
      <c r="T2894">
        <v>-0.47370180000000001</v>
      </c>
      <c r="U2894">
        <v>0.13542179999999901</v>
      </c>
      <c r="V2894">
        <v>-0.19443630000000001</v>
      </c>
      <c r="W2894">
        <v>0.38825280000000001</v>
      </c>
      <c r="X2894">
        <v>0.90080760000000004</v>
      </c>
      <c r="Y2894">
        <v>-0.1851901</v>
      </c>
      <c r="Z2894">
        <v>3.260043E-2</v>
      </c>
      <c r="AA2894">
        <v>0.98216179999999997</v>
      </c>
      <c r="AB2894">
        <v>26</v>
      </c>
      <c r="AC2894">
        <v>7.8078000000000403</v>
      </c>
      <c r="AD2894">
        <v>-1.1134366894903001</v>
      </c>
      <c r="AE2894">
        <v>0.35529999999999901</v>
      </c>
      <c r="AF2894">
        <v>-1.4880290286992099</v>
      </c>
      <c r="AG2894">
        <v>-1.1134366894903001</v>
      </c>
      <c r="AH2894">
        <v>7.51450287428018</v>
      </c>
      <c r="AI2894">
        <v>98.269991115197996</v>
      </c>
      <c r="AJ2894">
        <v>101.200861308315</v>
      </c>
      <c r="AK2894">
        <v>7.7409124203364899</v>
      </c>
      <c r="AL2894">
        <v>67.154173409247207</v>
      </c>
      <c r="AM2894">
        <v>102.180238121782</v>
      </c>
      <c r="AN2894">
        <v>1.0000000218416401</v>
      </c>
    </row>
    <row r="2895" spans="1:40" x14ac:dyDescent="0.25">
      <c r="A2895" t="str">
        <f>"20190304164426721"</f>
        <v>20190304164426721</v>
      </c>
      <c r="B2895" t="str">
        <f>"1551689066712797"</f>
        <v>1551689066712797</v>
      </c>
      <c r="C2895" t="s">
        <v>40</v>
      </c>
      <c r="D2895">
        <v>5.6196359999999999</v>
      </c>
      <c r="E2895">
        <v>0.5192118</v>
      </c>
      <c r="F2895" t="s">
        <v>45</v>
      </c>
      <c r="G2895">
        <v>-451.33850000000001</v>
      </c>
      <c r="H2895" s="1">
        <v>-8.1857469999999895E-7</v>
      </c>
      <c r="I2895">
        <v>214.48070000000001</v>
      </c>
      <c r="J2895">
        <v>-459.12099999999998</v>
      </c>
      <c r="K2895">
        <v>1.1133999999999999</v>
      </c>
      <c r="L2895">
        <v>214.126</v>
      </c>
      <c r="M2895">
        <v>0.98935660000000003</v>
      </c>
      <c r="N2895">
        <v>-9.8374919999999998E-3</v>
      </c>
      <c r="O2895">
        <v>-0.145179</v>
      </c>
      <c r="P2895">
        <v>0.92279389999999994</v>
      </c>
      <c r="Q2895">
        <v>0.38154870000000002</v>
      </c>
      <c r="R2895">
        <v>5.3592090000000002E-2</v>
      </c>
      <c r="S2895">
        <v>3.437897</v>
      </c>
      <c r="T2895">
        <v>-0.47531200000000001</v>
      </c>
      <c r="U2895">
        <v>0.13598629999999901</v>
      </c>
      <c r="V2895">
        <v>-0.18972820000000001</v>
      </c>
      <c r="W2895">
        <v>0.3891174</v>
      </c>
      <c r="X2895">
        <v>0.90143819999999997</v>
      </c>
      <c r="Y2895">
        <v>-0.1811478</v>
      </c>
      <c r="Z2895">
        <v>3.186017E-2</v>
      </c>
      <c r="AA2895">
        <v>0.98293969999999997</v>
      </c>
      <c r="AB2895">
        <v>26</v>
      </c>
      <c r="AC2895">
        <v>7.7824999999999704</v>
      </c>
      <c r="AD2895">
        <v>-1.1134008185747</v>
      </c>
      <c r="AE2895">
        <v>0.35470000000003599</v>
      </c>
      <c r="AF2895">
        <v>-1.4512107763312401</v>
      </c>
      <c r="AG2895">
        <v>-1.1134008185747</v>
      </c>
      <c r="AH2895">
        <v>7.4954470357785103</v>
      </c>
      <c r="AI2895">
        <v>98.297260435698007</v>
      </c>
      <c r="AJ2895">
        <v>100.957592581174</v>
      </c>
      <c r="AK2895">
        <v>7.7154002077859598</v>
      </c>
      <c r="AL2895">
        <v>67.100407032444807</v>
      </c>
      <c r="AM2895">
        <v>101.885720572956</v>
      </c>
      <c r="AN2895">
        <v>0.99999998463861905</v>
      </c>
    </row>
    <row r="2896" spans="1:40" x14ac:dyDescent="0.25">
      <c r="A2896" t="str">
        <f>"20190304164426745"</f>
        <v>20190304164426745</v>
      </c>
      <c r="B2896" t="str">
        <f>"1551689066733293"</f>
        <v>1551689066733293</v>
      </c>
      <c r="C2896" t="s">
        <v>40</v>
      </c>
      <c r="D2896">
        <v>5.6071090000000003</v>
      </c>
      <c r="E2896">
        <v>0.51969739999999998</v>
      </c>
      <c r="F2896" t="s">
        <v>45</v>
      </c>
      <c r="G2896">
        <v>-451.0299</v>
      </c>
      <c r="H2896" s="1">
        <v>-9.8152580000000004E-7</v>
      </c>
      <c r="I2896">
        <v>214.45160000000001</v>
      </c>
      <c r="J2896">
        <v>-458.85559999999998</v>
      </c>
      <c r="K2896">
        <v>1.113386</v>
      </c>
      <c r="L2896">
        <v>214.0917</v>
      </c>
      <c r="M2896">
        <v>0.98995440000000001</v>
      </c>
      <c r="N2896">
        <v>-9.7744700000000004E-3</v>
      </c>
      <c r="O2896">
        <v>-0.1410489</v>
      </c>
      <c r="P2896">
        <v>0.92245600000000005</v>
      </c>
      <c r="Q2896">
        <v>0.38262220000000002</v>
      </c>
      <c r="R2896">
        <v>5.17233E-2</v>
      </c>
      <c r="S2896">
        <v>3.438599</v>
      </c>
      <c r="T2896">
        <v>-0.47317710000000002</v>
      </c>
      <c r="U2896">
        <v>0.13833619999999999</v>
      </c>
      <c r="V2896">
        <v>-0.18403330000000001</v>
      </c>
      <c r="W2896">
        <v>0.39019290000000001</v>
      </c>
      <c r="X2896">
        <v>0.90215369999999995</v>
      </c>
      <c r="Y2896">
        <v>-0.1778025</v>
      </c>
      <c r="Z2896">
        <v>3.094587E-2</v>
      </c>
      <c r="AA2896">
        <v>0.98357950000000005</v>
      </c>
      <c r="AB2896">
        <v>26</v>
      </c>
      <c r="AC2896">
        <v>7.8256999999999799</v>
      </c>
      <c r="AD2896">
        <v>-1.1133869815258</v>
      </c>
      <c r="AE2896">
        <v>0.35990000000000999</v>
      </c>
      <c r="AF2896">
        <v>-1.4312509508711699</v>
      </c>
      <c r="AG2896">
        <v>-1.1133869815258</v>
      </c>
      <c r="AH2896">
        <v>7.5443033149388503</v>
      </c>
      <c r="AI2896">
        <v>98.250031548242106</v>
      </c>
      <c r="AJ2896">
        <v>100.742084574369</v>
      </c>
      <c r="AK2896">
        <v>7.7591637669788902</v>
      </c>
      <c r="AL2896">
        <v>67.033497911926602</v>
      </c>
      <c r="AM2896">
        <v>101.529761211638</v>
      </c>
      <c r="AN2896">
        <v>1.0000000265714899</v>
      </c>
    </row>
    <row r="2897" spans="1:40" x14ac:dyDescent="0.25">
      <c r="A2897" t="str">
        <f>"20190304164426767"</f>
        <v>20190304164426767</v>
      </c>
      <c r="B2897" t="str">
        <f>"1551689066762572"</f>
        <v>1551689066762572</v>
      </c>
      <c r="C2897" t="s">
        <v>40</v>
      </c>
      <c r="D2897">
        <v>5.5977639999999997</v>
      </c>
      <c r="E2897">
        <v>0.52018249999999999</v>
      </c>
      <c r="F2897" t="s">
        <v>45</v>
      </c>
      <c r="G2897">
        <v>-450.73360000000002</v>
      </c>
      <c r="H2897" s="1">
        <v>-1.1379900000000001E-6</v>
      </c>
      <c r="I2897">
        <v>214.42349999999999</v>
      </c>
      <c r="J2897">
        <v>-458.59370000000001</v>
      </c>
      <c r="K2897">
        <v>1.1133569999999999</v>
      </c>
      <c r="L2897">
        <v>214.05889999999999</v>
      </c>
      <c r="M2897">
        <v>0.99052059999999997</v>
      </c>
      <c r="N2897">
        <v>-9.7135750000000003E-3</v>
      </c>
      <c r="O2897">
        <v>-0.1370208</v>
      </c>
      <c r="P2897">
        <v>0.92278749999999998</v>
      </c>
      <c r="Q2897">
        <v>0.382135</v>
      </c>
      <c r="R2897">
        <v>4.9358649999999997E-2</v>
      </c>
      <c r="S2897">
        <v>3.439972</v>
      </c>
      <c r="T2897">
        <v>-0.47156009999999998</v>
      </c>
      <c r="U2897">
        <v>0.14051820000000001</v>
      </c>
      <c r="V2897">
        <v>-0.17802379999999901</v>
      </c>
      <c r="W2897">
        <v>0.3897156</v>
      </c>
      <c r="X2897">
        <v>0.90356479999999995</v>
      </c>
      <c r="Y2897">
        <v>-0.17449500000000001</v>
      </c>
      <c r="Z2897">
        <v>3.008131E-2</v>
      </c>
      <c r="AA2897">
        <v>0.98419849999999998</v>
      </c>
      <c r="AB2897">
        <v>26</v>
      </c>
      <c r="AC2897">
        <v>7.8600999999999797</v>
      </c>
      <c r="AD2897">
        <v>-1.1133581379899999</v>
      </c>
      <c r="AE2897">
        <v>0.36459999999999498</v>
      </c>
      <c r="AF2897">
        <v>-1.40997992705296</v>
      </c>
      <c r="AG2897">
        <v>-1.1133581379899999</v>
      </c>
      <c r="AH2897">
        <v>7.5841572604146004</v>
      </c>
      <c r="AI2897">
        <v>98.212645695706598</v>
      </c>
      <c r="AJ2897">
        <v>100.531691226677</v>
      </c>
      <c r="AK2897">
        <v>7.7940394590238196</v>
      </c>
      <c r="AL2897">
        <v>67.063196486272403</v>
      </c>
      <c r="AM2897">
        <v>101.145875732915</v>
      </c>
      <c r="AN2897">
        <v>1.00000003502441</v>
      </c>
    </row>
    <row r="2898" spans="1:40" x14ac:dyDescent="0.25">
      <c r="A2898" t="str">
        <f>"20190304164426787"</f>
        <v>20190304164426787</v>
      </c>
      <c r="B2898" t="str">
        <f>"1551689066783069"</f>
        <v>1551689066783069</v>
      </c>
      <c r="C2898" t="s">
        <v>40</v>
      </c>
      <c r="D2898">
        <v>5.6066580000000004</v>
      </c>
      <c r="E2898">
        <v>0.52054840000000002</v>
      </c>
      <c r="F2898" t="s">
        <v>45</v>
      </c>
      <c r="G2898">
        <v>-450.52359999999999</v>
      </c>
      <c r="H2898" s="1">
        <v>-1.2479459999999999E-6</v>
      </c>
      <c r="I2898">
        <v>214.38290000000001</v>
      </c>
      <c r="J2898">
        <v>-458.35700000000003</v>
      </c>
      <c r="K2898">
        <v>1.1133169999999999</v>
      </c>
      <c r="L2898">
        <v>214.03020000000001</v>
      </c>
      <c r="M2898">
        <v>0.99101170000000005</v>
      </c>
      <c r="N2898">
        <v>-9.6597000000000002E-3</v>
      </c>
      <c r="O2898">
        <v>-0.13342660000000001</v>
      </c>
      <c r="P2898">
        <v>0.92268399999999995</v>
      </c>
      <c r="Q2898">
        <v>0.38245780000000001</v>
      </c>
      <c r="R2898">
        <v>4.8789180000000001E-2</v>
      </c>
      <c r="S2898">
        <v>3.4402159999999999</v>
      </c>
      <c r="T2898">
        <v>-0.47461680000000001</v>
      </c>
      <c r="U2898">
        <v>0.13810729999999999</v>
      </c>
      <c r="V2898">
        <v>-0.17412939999999999</v>
      </c>
      <c r="W2898">
        <v>0.39003399999999999</v>
      </c>
      <c r="X2898">
        <v>0.90418609999999999</v>
      </c>
      <c r="Y2898">
        <v>-0.17026640000000001</v>
      </c>
      <c r="Z2898">
        <v>2.951175E-2</v>
      </c>
      <c r="AA2898">
        <v>0.98495600000000005</v>
      </c>
      <c r="AB2898">
        <v>26</v>
      </c>
      <c r="AC2898">
        <v>7.8333999999999797</v>
      </c>
      <c r="AD2898">
        <v>-1.113318247946</v>
      </c>
      <c r="AE2898">
        <v>0.35269999999999802</v>
      </c>
      <c r="AF2898">
        <v>-1.36721764467464</v>
      </c>
      <c r="AG2898">
        <v>-1.113318247946</v>
      </c>
      <c r="AH2898">
        <v>7.5638156136059003</v>
      </c>
      <c r="AI2898">
        <v>98.241565629607095</v>
      </c>
      <c r="AJ2898">
        <v>100.24601676114</v>
      </c>
      <c r="AK2898">
        <v>7.7665995291213301</v>
      </c>
      <c r="AL2898">
        <v>67.043385883314102</v>
      </c>
      <c r="AM2898">
        <v>100.900647771859</v>
      </c>
      <c r="AN2898">
        <v>1.00000003626678</v>
      </c>
    </row>
    <row r="2899" spans="1:40" x14ac:dyDescent="0.25">
      <c r="A2899" t="str">
        <f>"20190304164426810"</f>
        <v>20190304164426810</v>
      </c>
      <c r="B2899" t="str">
        <f>"1551689066802589"</f>
        <v>1551689066802589</v>
      </c>
      <c r="C2899" t="s">
        <v>40</v>
      </c>
      <c r="D2899">
        <v>5.5903289999999997</v>
      </c>
      <c r="E2899">
        <v>0.52091809999999905</v>
      </c>
      <c r="F2899" t="s">
        <v>45</v>
      </c>
      <c r="G2899">
        <v>-450.2758</v>
      </c>
      <c r="H2899" s="1">
        <v>-1.378163E-6</v>
      </c>
      <c r="I2899">
        <v>214.34450000000001</v>
      </c>
      <c r="J2899">
        <v>-458.09179999999998</v>
      </c>
      <c r="K2899">
        <v>1.1132569999999999</v>
      </c>
      <c r="L2899">
        <v>213.99889999999999</v>
      </c>
      <c r="M2899">
        <v>0.991537</v>
      </c>
      <c r="N2899">
        <v>-9.5967940000000005E-3</v>
      </c>
      <c r="O2899">
        <v>-0.129469899999999</v>
      </c>
      <c r="P2899">
        <v>0.92181599999999997</v>
      </c>
      <c r="Q2899">
        <v>0.3841502</v>
      </c>
      <c r="R2899">
        <v>5.1806159999999997E-2</v>
      </c>
      <c r="S2899">
        <v>3.4408259999999999</v>
      </c>
      <c r="T2899">
        <v>-0.47402830000000001</v>
      </c>
      <c r="U2899">
        <v>0.13381960000000001</v>
      </c>
      <c r="V2899">
        <v>-0.17335159999999999</v>
      </c>
      <c r="W2899">
        <v>0.39168770000000003</v>
      </c>
      <c r="X2899">
        <v>0.90362050000000005</v>
      </c>
      <c r="Y2899">
        <v>-0.165191</v>
      </c>
      <c r="Z2899">
        <v>2.859913E-2</v>
      </c>
      <c r="AA2899">
        <v>0.98584689999999997</v>
      </c>
      <c r="AB2899">
        <v>26</v>
      </c>
      <c r="AC2899">
        <v>7.8159999999999696</v>
      </c>
      <c r="AD2899">
        <v>-1.1132583781630001</v>
      </c>
      <c r="AE2899">
        <v>0.345600000000018</v>
      </c>
      <c r="AF2899">
        <v>-1.3277895747957</v>
      </c>
      <c r="AG2899">
        <v>-1.1132583781630001</v>
      </c>
      <c r="AH2899">
        <v>7.5525413630445701</v>
      </c>
      <c r="AI2899">
        <v>98.260226959779999</v>
      </c>
      <c r="AJ2899">
        <v>99.971102617179696</v>
      </c>
      <c r="AK2899">
        <v>7.7487579915742204</v>
      </c>
      <c r="AL2899">
        <v>66.9404466265633</v>
      </c>
      <c r="AM2899">
        <v>100.85974748578801</v>
      </c>
      <c r="AN2899">
        <v>1.00000001978705</v>
      </c>
    </row>
    <row r="2900" spans="1:40" x14ac:dyDescent="0.25">
      <c r="A2900" t="str">
        <f>"20190304164426832"</f>
        <v>20190304164426832</v>
      </c>
      <c r="B2900" t="str">
        <f>"1551689066823085"</f>
        <v>1551689066823085</v>
      </c>
      <c r="C2900" t="s">
        <v>40</v>
      </c>
      <c r="D2900">
        <v>5.5503429999999998</v>
      </c>
      <c r="E2900">
        <v>0.52115259999999997</v>
      </c>
      <c r="F2900" t="s">
        <v>45</v>
      </c>
      <c r="G2900">
        <v>-449.89839999999998</v>
      </c>
      <c r="H2900" s="1">
        <v>3.7434890000000002E-6</v>
      </c>
      <c r="I2900">
        <v>214.32220000000001</v>
      </c>
      <c r="J2900">
        <v>-457.82600000000002</v>
      </c>
      <c r="K2900">
        <v>1.113189</v>
      </c>
      <c r="L2900">
        <v>213.9684</v>
      </c>
      <c r="M2900">
        <v>0.99203410000000003</v>
      </c>
      <c r="N2900">
        <v>-9.5295940000000006E-3</v>
      </c>
      <c r="O2900">
        <v>-0.12560869999999999</v>
      </c>
      <c r="P2900">
        <v>0.92142020000000002</v>
      </c>
      <c r="Q2900">
        <v>0.38515840000000001</v>
      </c>
      <c r="R2900">
        <v>5.1360450000000002E-2</v>
      </c>
      <c r="S2900">
        <v>3.4417420000000001</v>
      </c>
      <c r="T2900">
        <v>-0.46763290000000002</v>
      </c>
      <c r="U2900">
        <v>0.13580320000000001</v>
      </c>
      <c r="V2900">
        <v>-0.16926949999999999</v>
      </c>
      <c r="W2900">
        <v>0.39269169999999998</v>
      </c>
      <c r="X2900">
        <v>0.90395859999999995</v>
      </c>
      <c r="Y2900">
        <v>-0.16204489999999999</v>
      </c>
      <c r="Z2900">
        <v>2.7495720000000001E-2</v>
      </c>
      <c r="AA2900">
        <v>0.98640019999999995</v>
      </c>
      <c r="AB2900">
        <v>26</v>
      </c>
      <c r="AC2900">
        <v>7.9275999999999804</v>
      </c>
      <c r="AD2900">
        <v>-1.1131852565109901</v>
      </c>
      <c r="AE2900">
        <v>0.353800000000006</v>
      </c>
      <c r="AF2900">
        <v>-1.3208267332222201</v>
      </c>
      <c r="AG2900">
        <v>-1.1131852565109901</v>
      </c>
      <c r="AH2900">
        <v>7.6694427254753297</v>
      </c>
      <c r="AI2900">
        <v>98.140356857344599</v>
      </c>
      <c r="AJ2900">
        <v>99.771589646133705</v>
      </c>
      <c r="AK2900">
        <v>7.8615594123465398</v>
      </c>
      <c r="AL2900">
        <v>66.877912190161695</v>
      </c>
      <c r="AM2900">
        <v>100.60601632735199</v>
      </c>
      <c r="AN2900">
        <v>1.0000000426965401</v>
      </c>
    </row>
    <row r="2901" spans="1:40" x14ac:dyDescent="0.25">
      <c r="A2901" t="str">
        <f>"20190304164426855"</f>
        <v>20190304164426855</v>
      </c>
      <c r="B2901" t="str">
        <f>"1551689066842604"</f>
        <v>1551689066842604</v>
      </c>
      <c r="C2901" t="s">
        <v>40</v>
      </c>
      <c r="D2901">
        <v>5.5617549999999998</v>
      </c>
      <c r="E2901">
        <v>0.52136400000000005</v>
      </c>
      <c r="F2901" t="s">
        <v>45</v>
      </c>
      <c r="G2901">
        <v>-449.59070000000003</v>
      </c>
      <c r="H2901" s="1">
        <v>3.581564E-6</v>
      </c>
      <c r="I2901">
        <v>214.28059999999999</v>
      </c>
      <c r="J2901">
        <v>-457.5718</v>
      </c>
      <c r="K2901">
        <v>1.1130880000000001</v>
      </c>
      <c r="L2901">
        <v>213.9402</v>
      </c>
      <c r="M2901">
        <v>0.99247719999999995</v>
      </c>
      <c r="N2901">
        <v>-9.4668700000000005E-3</v>
      </c>
      <c r="O2901">
        <v>-0.1220629</v>
      </c>
      <c r="P2901">
        <v>0.92154899999999995</v>
      </c>
      <c r="Q2901">
        <v>0.38497559999999997</v>
      </c>
      <c r="R2901">
        <v>5.0412650000000003E-2</v>
      </c>
      <c r="S2901">
        <v>3.4431150000000001</v>
      </c>
      <c r="T2901">
        <v>-0.46540959999999998</v>
      </c>
      <c r="U2901">
        <v>0.1304932</v>
      </c>
      <c r="V2901">
        <v>-0.16501279999999999</v>
      </c>
      <c r="W2901">
        <v>0.39252340000000002</v>
      </c>
      <c r="X2901">
        <v>0.90481829999999996</v>
      </c>
      <c r="Y2901">
        <v>-0.15708559999999999</v>
      </c>
      <c r="Z2901">
        <v>2.655793E-2</v>
      </c>
      <c r="AA2901">
        <v>0.98722779999999999</v>
      </c>
      <c r="AB2901">
        <v>26</v>
      </c>
      <c r="AC2901">
        <v>7.9810999999999597</v>
      </c>
      <c r="AD2901">
        <v>-1.11308441843599</v>
      </c>
      <c r="AE2901">
        <v>0.34039999999998799</v>
      </c>
      <c r="AF2901">
        <v>-1.28710489786265</v>
      </c>
      <c r="AG2901">
        <v>-1.11308441843599</v>
      </c>
      <c r="AH2901">
        <v>7.7297876055504</v>
      </c>
      <c r="AI2901">
        <v>98.084419139128997</v>
      </c>
      <c r="AJ2901">
        <v>99.4537178116679</v>
      </c>
      <c r="AK2901">
        <v>7.9148728585864001</v>
      </c>
      <c r="AL2901">
        <v>66.888395882654194</v>
      </c>
      <c r="AM2901">
        <v>100.33551520109</v>
      </c>
      <c r="AN2901">
        <v>0.99999999986314503</v>
      </c>
    </row>
    <row r="2902" spans="1:40" x14ac:dyDescent="0.25">
      <c r="A2902" t="str">
        <f>"20190304164426877"</f>
        <v>20190304164426877</v>
      </c>
      <c r="B2902" t="str">
        <f>"1551689066872861"</f>
        <v>1551689066872861</v>
      </c>
      <c r="C2902" t="s">
        <v>40</v>
      </c>
      <c r="D2902">
        <v>5.5516639999999997</v>
      </c>
      <c r="E2902">
        <v>0.52172200000000002</v>
      </c>
      <c r="F2902" t="s">
        <v>45</v>
      </c>
      <c r="G2902">
        <v>-449.37279999999998</v>
      </c>
      <c r="H2902" s="1">
        <v>3.4671389999999998E-6</v>
      </c>
      <c r="I2902">
        <v>214.24590000000001</v>
      </c>
      <c r="J2902">
        <v>-457.3098</v>
      </c>
      <c r="K2902">
        <v>1.112949</v>
      </c>
      <c r="L2902">
        <v>213.9118</v>
      </c>
      <c r="M2902">
        <v>0.99289499999999997</v>
      </c>
      <c r="N2902">
        <v>-9.4013770000000007E-3</v>
      </c>
      <c r="O2902">
        <v>-0.1186222</v>
      </c>
      <c r="P2902">
        <v>0.92168349999999999</v>
      </c>
      <c r="Q2902">
        <v>0.38482329999999998</v>
      </c>
      <c r="R2902">
        <v>4.909844E-2</v>
      </c>
      <c r="S2902">
        <v>3.4436949999999902</v>
      </c>
      <c r="T2902">
        <v>-0.46751239999999999</v>
      </c>
      <c r="U2902">
        <v>0.128418</v>
      </c>
      <c r="V2902">
        <v>-0.16045100000000001</v>
      </c>
      <c r="W2902">
        <v>0.39239800000000002</v>
      </c>
      <c r="X2902">
        <v>0.90569279999999996</v>
      </c>
      <c r="Y2902">
        <v>-0.1531062</v>
      </c>
      <c r="Z2902">
        <v>2.5959079999999999E-2</v>
      </c>
      <c r="AA2902">
        <v>0.98786870000000004</v>
      </c>
      <c r="AB2902">
        <v>27</v>
      </c>
      <c r="AC2902">
        <v>7.93700000000001</v>
      </c>
      <c r="AD2902">
        <v>-1.1129455328610001</v>
      </c>
      <c r="AE2902">
        <v>0.334100000000006</v>
      </c>
      <c r="AF2902">
        <v>-1.24877640490755</v>
      </c>
      <c r="AG2902">
        <v>-1.1129455328610001</v>
      </c>
      <c r="AH2902">
        <v>7.6903787751161197</v>
      </c>
      <c r="AI2902">
        <v>98.129598333811501</v>
      </c>
      <c r="AJ2902">
        <v>99.223279692036499</v>
      </c>
      <c r="AK2902">
        <v>7.87019796277868</v>
      </c>
      <c r="AL2902">
        <v>66.896209490352106</v>
      </c>
      <c r="AM2902">
        <v>100.046188455615</v>
      </c>
      <c r="AN2902">
        <v>1.00000008088841</v>
      </c>
    </row>
    <row r="2903" spans="1:40" x14ac:dyDescent="0.25">
      <c r="A2903" t="str">
        <f>"20190304164426899"</f>
        <v>20190304164426899</v>
      </c>
      <c r="B2903" t="str">
        <f>"1551689066893356"</f>
        <v>1551689066893356</v>
      </c>
      <c r="C2903" t="s">
        <v>40</v>
      </c>
      <c r="D2903">
        <v>5.5653499999999996</v>
      </c>
      <c r="E2903">
        <v>0.52188000000000001</v>
      </c>
      <c r="F2903" t="s">
        <v>45</v>
      </c>
      <c r="G2903">
        <v>-449.13959999999997</v>
      </c>
      <c r="H2903" s="1">
        <v>3.3449750000000001E-6</v>
      </c>
      <c r="I2903">
        <v>214.2022</v>
      </c>
      <c r="J2903">
        <v>-457.05059999999997</v>
      </c>
      <c r="K2903">
        <v>1.1128049999999901</v>
      </c>
      <c r="L2903">
        <v>213.8844</v>
      </c>
      <c r="M2903">
        <v>0.99327449999999995</v>
      </c>
      <c r="N2903">
        <v>-9.3378269999999999E-3</v>
      </c>
      <c r="O2903">
        <v>-0.1154068</v>
      </c>
      <c r="P2903">
        <v>0.9217031</v>
      </c>
      <c r="Q2903">
        <v>0.38472519999999999</v>
      </c>
      <c r="R2903">
        <v>4.9499000000000001E-2</v>
      </c>
      <c r="S2903">
        <v>3.4442750000000002</v>
      </c>
      <c r="T2903">
        <v>-0.46918070000000001</v>
      </c>
      <c r="U2903">
        <v>0.12239070000000001</v>
      </c>
      <c r="V2903">
        <v>-0.15777720000000001</v>
      </c>
      <c r="W2903">
        <v>0.39231329999999998</v>
      </c>
      <c r="X2903">
        <v>0.90619899999999998</v>
      </c>
      <c r="Y2903">
        <v>-0.148229799999999</v>
      </c>
      <c r="Z2903">
        <v>2.5293429999999999E-2</v>
      </c>
      <c r="AA2903">
        <v>0.98862950000000005</v>
      </c>
      <c r="AB2903">
        <v>27</v>
      </c>
      <c r="AC2903">
        <v>7.9109999999999996</v>
      </c>
      <c r="AD2903">
        <v>-1.11280165502499</v>
      </c>
      <c r="AE2903">
        <v>0.31780000000000502</v>
      </c>
      <c r="AF2903">
        <v>-1.2048968177220301</v>
      </c>
      <c r="AG2903">
        <v>-1.11280165502499</v>
      </c>
      <c r="AH2903">
        <v>7.6699405962172502</v>
      </c>
      <c r="AI2903">
        <v>98.1565567116713</v>
      </c>
      <c r="AJ2903">
        <v>98.927823017646006</v>
      </c>
      <c r="AK2903">
        <v>7.8433470288062903</v>
      </c>
      <c r="AL2903">
        <v>66.901483503684403</v>
      </c>
      <c r="AM2903">
        <v>99.876692072980802</v>
      </c>
      <c r="AN2903">
        <v>0.99999999889886404</v>
      </c>
    </row>
    <row r="2904" spans="1:40" x14ac:dyDescent="0.25">
      <c r="A2904" t="str">
        <f>"20190304164426921"</f>
        <v>20190304164426921</v>
      </c>
      <c r="B2904" t="str">
        <f>"1551689066912877"</f>
        <v>1551689066912877</v>
      </c>
      <c r="C2904" t="s">
        <v>40</v>
      </c>
      <c r="D2904">
        <v>5.5654190000000003</v>
      </c>
      <c r="E2904">
        <v>0.52205230000000002</v>
      </c>
      <c r="F2904" t="s">
        <v>45</v>
      </c>
      <c r="G2904">
        <v>-448.89589999999998</v>
      </c>
      <c r="H2904" s="1">
        <v>3.2168930000000001E-6</v>
      </c>
      <c r="I2904">
        <v>214.16560000000001</v>
      </c>
      <c r="J2904">
        <v>-456.78300000000002</v>
      </c>
      <c r="K2904">
        <v>1.112635</v>
      </c>
      <c r="L2904">
        <v>213.85679999999999</v>
      </c>
      <c r="M2904">
        <v>0.99362839999999997</v>
      </c>
      <c r="N2904">
        <v>-9.2724650000000006E-3</v>
      </c>
      <c r="O2904">
        <v>-0.1123242</v>
      </c>
      <c r="P2904">
        <v>0.92254510000000001</v>
      </c>
      <c r="Q2904">
        <v>0.38260739999999999</v>
      </c>
      <c r="R2904">
        <v>5.022443E-2</v>
      </c>
      <c r="S2904">
        <v>3.4446720000000002</v>
      </c>
      <c r="T2904">
        <v>-0.47006740000000002</v>
      </c>
      <c r="U2904">
        <v>0.118759199999999</v>
      </c>
      <c r="V2904">
        <v>-0.15561469999999999</v>
      </c>
      <c r="W2904">
        <v>0.3902158</v>
      </c>
      <c r="X2904">
        <v>0.90747770000000005</v>
      </c>
      <c r="Y2904">
        <v>-0.14417179999999999</v>
      </c>
      <c r="Z2904">
        <v>2.4658619999999999E-2</v>
      </c>
      <c r="AA2904">
        <v>0.98924540000000005</v>
      </c>
      <c r="AB2904">
        <v>27</v>
      </c>
      <c r="AC2904">
        <v>7.8871000000000304</v>
      </c>
      <c r="AD2904">
        <v>-1.1126317831070001</v>
      </c>
      <c r="AE2904">
        <v>0.308800000000019</v>
      </c>
      <c r="AF2904">
        <v>-1.16955650324321</v>
      </c>
      <c r="AG2904">
        <v>-1.1126317831070001</v>
      </c>
      <c r="AH2904">
        <v>7.6504790592494301</v>
      </c>
      <c r="AI2904">
        <v>98.180946447892595</v>
      </c>
      <c r="AJ2904">
        <v>98.6917211555905</v>
      </c>
      <c r="AK2904">
        <v>7.8189284262661198</v>
      </c>
      <c r="AL2904">
        <v>67.032073216716896</v>
      </c>
      <c r="AM2904">
        <v>99.730467049815701</v>
      </c>
      <c r="AN2904">
        <v>1.0000000407114999</v>
      </c>
    </row>
    <row r="2905" spans="1:40" x14ac:dyDescent="0.25">
      <c r="A2905" t="str">
        <f>"20190304164426945"</f>
        <v>20190304164426945</v>
      </c>
      <c r="B2905" t="str">
        <f>"1551689066932396"</f>
        <v>1551689066932396</v>
      </c>
      <c r="C2905" t="s">
        <v>40</v>
      </c>
      <c r="D2905">
        <v>5.5257329999999998</v>
      </c>
      <c r="E2905">
        <v>0.52214719999999903</v>
      </c>
      <c r="F2905" t="s">
        <v>45</v>
      </c>
      <c r="G2905">
        <v>-448.76929999999999</v>
      </c>
      <c r="H2905" s="1">
        <v>3.1509269999999999E-6</v>
      </c>
      <c r="I2905">
        <v>214.13249999999999</v>
      </c>
      <c r="J2905">
        <v>-456.50819999999999</v>
      </c>
      <c r="K2905">
        <v>1.11243799999999</v>
      </c>
      <c r="L2905">
        <v>213.82900000000001</v>
      </c>
      <c r="M2905">
        <v>0.99394839999999995</v>
      </c>
      <c r="N2905">
        <v>-9.2061120000000007E-3</v>
      </c>
      <c r="O2905">
        <v>-0.1094623</v>
      </c>
      <c r="P2905">
        <v>0.92377920000000002</v>
      </c>
      <c r="Q2905">
        <v>0.37958639999999999</v>
      </c>
      <c r="R2905">
        <v>5.045873E-2</v>
      </c>
      <c r="S2905">
        <v>3.4437259999999998</v>
      </c>
      <c r="T2905">
        <v>-0.47812779999999999</v>
      </c>
      <c r="U2905">
        <v>0.11843869999999999</v>
      </c>
      <c r="V2905">
        <v>-0.15317439999999999</v>
      </c>
      <c r="W2905">
        <v>0.38722869999999998</v>
      </c>
      <c r="X2905">
        <v>0.90917079999999995</v>
      </c>
      <c r="Y2905">
        <v>-0.14121129999999901</v>
      </c>
      <c r="Z2905">
        <v>2.45078E-2</v>
      </c>
      <c r="AA2905">
        <v>0.98967609999999995</v>
      </c>
      <c r="AB2905">
        <v>27</v>
      </c>
      <c r="AC2905">
        <v>7.7389000000000001</v>
      </c>
      <c r="AD2905">
        <v>-1.1124348490729901</v>
      </c>
      <c r="AE2905">
        <v>0.303499999999985</v>
      </c>
      <c r="AF2905">
        <v>-1.12560715865927</v>
      </c>
      <c r="AG2905">
        <v>-1.1124348490729901</v>
      </c>
      <c r="AH2905">
        <v>7.5043461591376897</v>
      </c>
      <c r="AI2905">
        <v>98.340085580941803</v>
      </c>
      <c r="AJ2905">
        <v>98.530431347587097</v>
      </c>
      <c r="AK2905">
        <v>7.6694011529728803</v>
      </c>
      <c r="AL2905">
        <v>67.217829522893297</v>
      </c>
      <c r="AM2905">
        <v>99.563215488583396</v>
      </c>
      <c r="AN2905">
        <v>1.00000000324584</v>
      </c>
    </row>
    <row r="2906" spans="1:40" x14ac:dyDescent="0.25">
      <c r="A2906" t="str">
        <f>"20190304164426967"</f>
        <v>20190304164426967</v>
      </c>
      <c r="B2906" t="str">
        <f>"1551689066962653"</f>
        <v>1551689066962653</v>
      </c>
      <c r="C2906" t="s">
        <v>40</v>
      </c>
      <c r="D2906">
        <v>5.5226230000000003</v>
      </c>
      <c r="E2906">
        <v>0.52219269999999995</v>
      </c>
      <c r="F2906" t="s">
        <v>45</v>
      </c>
      <c r="G2906">
        <v>-448.69779999999997</v>
      </c>
      <c r="H2906" s="1">
        <v>3.1142819999999999E-6</v>
      </c>
      <c r="I2906">
        <v>214.1001</v>
      </c>
      <c r="J2906">
        <v>-456.24</v>
      </c>
      <c r="K2906">
        <v>1.112214</v>
      </c>
      <c r="L2906">
        <v>213.80240000000001</v>
      </c>
      <c r="M2906">
        <v>0.99421660000000001</v>
      </c>
      <c r="N2906">
        <v>-9.1416510000000006E-3</v>
      </c>
      <c r="O2906">
        <v>-0.10700460000000001</v>
      </c>
      <c r="P2906">
        <v>0.92490260000000002</v>
      </c>
      <c r="Q2906">
        <v>0.3767856</v>
      </c>
      <c r="R2906">
        <v>5.0873969999999998E-2</v>
      </c>
      <c r="S2906">
        <v>3.4425050000000001</v>
      </c>
      <c r="T2906">
        <v>-0.49030940000000001</v>
      </c>
      <c r="U2906">
        <v>0.1194458</v>
      </c>
      <c r="V2906">
        <v>-0.1512424</v>
      </c>
      <c r="W2906">
        <v>0.3844669</v>
      </c>
      <c r="X2906">
        <v>0.91066510000000001</v>
      </c>
      <c r="Y2906">
        <v>-0.13898669999999999</v>
      </c>
      <c r="Z2906">
        <v>2.4654309999999999E-2</v>
      </c>
      <c r="AA2906">
        <v>0.98998730000000001</v>
      </c>
      <c r="AB2906">
        <v>27</v>
      </c>
      <c r="AC2906">
        <v>7.5422000000000304</v>
      </c>
      <c r="AD2906">
        <v>-1.112210885718</v>
      </c>
      <c r="AE2906">
        <v>0.29769999999999103</v>
      </c>
      <c r="AF2906">
        <v>-1.0796332380857301</v>
      </c>
      <c r="AG2906">
        <v>-1.112210885718</v>
      </c>
      <c r="AH2906">
        <v>7.30835656653091</v>
      </c>
      <c r="AI2906">
        <v>98.561559677535698</v>
      </c>
      <c r="AJ2906">
        <v>98.403291715673703</v>
      </c>
      <c r="AK2906">
        <v>7.4709234159268796</v>
      </c>
      <c r="AL2906">
        <v>67.389351069115307</v>
      </c>
      <c r="AM2906">
        <v>99.429561405537996</v>
      </c>
      <c r="AN2906">
        <v>0.99999999255568905</v>
      </c>
    </row>
    <row r="2907" spans="1:40" x14ac:dyDescent="0.25">
      <c r="A2907" t="str">
        <f>"20190304164426988"</f>
        <v>20190304164426988</v>
      </c>
      <c r="B2907" t="str">
        <f>"1551689066983148"</f>
        <v>1551689066983148</v>
      </c>
      <c r="C2907" t="s">
        <v>40</v>
      </c>
      <c r="D2907">
        <v>5.512092</v>
      </c>
      <c r="E2907">
        <v>0.52221779999999995</v>
      </c>
      <c r="F2907" t="s">
        <v>45</v>
      </c>
      <c r="G2907">
        <v>-448.60930000000002</v>
      </c>
      <c r="H2907" s="1">
        <v>3.0682999999999999E-6</v>
      </c>
      <c r="I2907">
        <v>214.0746</v>
      </c>
      <c r="J2907">
        <v>-455.98680000000002</v>
      </c>
      <c r="K2907">
        <v>1.1119730000000001</v>
      </c>
      <c r="L2907">
        <v>213.7775</v>
      </c>
      <c r="M2907">
        <v>0.99442989999999998</v>
      </c>
      <c r="N2907">
        <v>-9.0813839999999996E-3</v>
      </c>
      <c r="O2907">
        <v>-0.1050093</v>
      </c>
      <c r="P2907">
        <v>0.92555359999999998</v>
      </c>
      <c r="Q2907">
        <v>0.37503239999999999</v>
      </c>
      <c r="R2907">
        <v>5.1974560000000003E-2</v>
      </c>
      <c r="S2907">
        <v>3.4411619999999998</v>
      </c>
      <c r="T2907">
        <v>-0.50156449999999997</v>
      </c>
      <c r="U2907">
        <v>0.1227722</v>
      </c>
      <c r="V2907">
        <v>-0.15035470000000001</v>
      </c>
      <c r="W2907">
        <v>0.38275130000000002</v>
      </c>
      <c r="X2907">
        <v>0.91153439999999997</v>
      </c>
      <c r="Y2907">
        <v>-0.13788429999999999</v>
      </c>
      <c r="Z2907">
        <v>2.4879189999999999E-2</v>
      </c>
      <c r="AA2907">
        <v>0.99013580000000001</v>
      </c>
      <c r="AB2907">
        <v>27</v>
      </c>
      <c r="AC2907">
        <v>7.3774999999999897</v>
      </c>
      <c r="AD2907">
        <v>-1.11196993169999</v>
      </c>
      <c r="AE2907">
        <v>0.29709999999999998</v>
      </c>
      <c r="AF2907">
        <v>-1.04646037050608</v>
      </c>
      <c r="AG2907">
        <v>-1.11196993169999</v>
      </c>
      <c r="AH2907">
        <v>7.1434866086428803</v>
      </c>
      <c r="AI2907">
        <v>98.755794225056206</v>
      </c>
      <c r="AJ2907">
        <v>98.334068743397793</v>
      </c>
      <c r="AK2907">
        <v>7.3048584766513303</v>
      </c>
      <c r="AL2907">
        <v>67.495791685289205</v>
      </c>
      <c r="AM2907">
        <v>99.366418800561505</v>
      </c>
      <c r="AN2907">
        <v>1.0000000279235599</v>
      </c>
    </row>
    <row r="2908" spans="1:40" x14ac:dyDescent="0.25">
      <c r="A2908" t="str">
        <f>"20190304164427011"</f>
        <v>20190304164427011</v>
      </c>
      <c r="B2908" t="str">
        <f>"1551689067002669"</f>
        <v>1551689067002669</v>
      </c>
      <c r="C2908" t="s">
        <v>40</v>
      </c>
      <c r="D2908">
        <v>5.5311329999999996</v>
      </c>
      <c r="E2908">
        <v>0.52226779999999995</v>
      </c>
      <c r="F2908" t="s">
        <v>45</v>
      </c>
      <c r="G2908">
        <v>-448.4529</v>
      </c>
      <c r="H2908" s="1">
        <v>2.986066E-6</v>
      </c>
      <c r="I2908">
        <v>214.05260000000001</v>
      </c>
      <c r="J2908">
        <v>-455.71749999999997</v>
      </c>
      <c r="K2908">
        <v>1.111704</v>
      </c>
      <c r="L2908">
        <v>213.75120000000001</v>
      </c>
      <c r="M2908">
        <v>0.99461730000000004</v>
      </c>
      <c r="N2908">
        <v>-9.0194509999999995E-3</v>
      </c>
      <c r="O2908">
        <v>-0.10322439999999999</v>
      </c>
      <c r="P2908">
        <v>0.92619240000000003</v>
      </c>
      <c r="Q2908">
        <v>0.3730522</v>
      </c>
      <c r="R2908">
        <v>5.4772849999999998E-2</v>
      </c>
      <c r="S2908">
        <v>3.439972</v>
      </c>
      <c r="T2908">
        <v>-0.50772109999999904</v>
      </c>
      <c r="U2908">
        <v>0.12561040000000001</v>
      </c>
      <c r="V2908">
        <v>-0.15132010000000001</v>
      </c>
      <c r="W2908">
        <v>0.38080819999999999</v>
      </c>
      <c r="X2908">
        <v>0.9121882</v>
      </c>
      <c r="Y2908">
        <v>-0.1368991</v>
      </c>
      <c r="Z2908">
        <v>2.487435E-2</v>
      </c>
      <c r="AA2908">
        <v>0.99027259999999995</v>
      </c>
      <c r="AB2908">
        <v>27</v>
      </c>
      <c r="AC2908">
        <v>7.2645999999999704</v>
      </c>
      <c r="AD2908">
        <v>-1.111701013934</v>
      </c>
      <c r="AE2908">
        <v>0.301400000000001</v>
      </c>
      <c r="AF2908">
        <v>-1.0257249187448501</v>
      </c>
      <c r="AG2908">
        <v>-1.111701013934</v>
      </c>
      <c r="AH2908">
        <v>7.0303226858146504</v>
      </c>
      <c r="AI2908">
        <v>98.893120389827601</v>
      </c>
      <c r="AJ2908">
        <v>98.300891803456693</v>
      </c>
      <c r="AK2908">
        <v>7.1912048934789903</v>
      </c>
      <c r="AL2908">
        <v>67.616246237372806</v>
      </c>
      <c r="AM2908">
        <v>99.418848543550297</v>
      </c>
      <c r="AN2908">
        <v>0.99999998503524501</v>
      </c>
    </row>
    <row r="2909" spans="1:40" x14ac:dyDescent="0.25">
      <c r="A2909" t="str">
        <f>"20190304164427034"</f>
        <v>20190304164427034</v>
      </c>
      <c r="B2909" t="str">
        <f>"1551689067023165"</f>
        <v>1551689067023165</v>
      </c>
      <c r="C2909" t="s">
        <v>40</v>
      </c>
      <c r="D2909">
        <v>5.5228449999999896</v>
      </c>
      <c r="E2909">
        <v>0.52232730000000005</v>
      </c>
      <c r="F2909" t="s">
        <v>45</v>
      </c>
      <c r="G2909">
        <v>-448.28489999999999</v>
      </c>
      <c r="H2909" s="1">
        <v>2.8974040000000001E-6</v>
      </c>
      <c r="I2909">
        <v>214.03620000000001</v>
      </c>
      <c r="J2909">
        <v>-455.43639999999999</v>
      </c>
      <c r="K2909">
        <v>1.111434</v>
      </c>
      <c r="L2909">
        <v>213.72389999999999</v>
      </c>
      <c r="M2909">
        <v>0.99477340000000003</v>
      </c>
      <c r="N2909">
        <v>-8.9553429999999993E-3</v>
      </c>
      <c r="O2909">
        <v>-0.10171479999999999</v>
      </c>
      <c r="P2909">
        <v>0.92667040000000001</v>
      </c>
      <c r="Q2909">
        <v>0.37145349999999999</v>
      </c>
      <c r="R2909">
        <v>5.7485149999999999E-2</v>
      </c>
      <c r="S2909">
        <v>3.4384160000000001</v>
      </c>
      <c r="T2909">
        <v>-0.51428830000000003</v>
      </c>
      <c r="U2909">
        <v>0.1318665</v>
      </c>
      <c r="V2909">
        <v>-0.15243619999999999</v>
      </c>
      <c r="W2909">
        <v>0.37924550000000001</v>
      </c>
      <c r="X2909">
        <v>0.9126533</v>
      </c>
      <c r="Y2909">
        <v>-0.13715439999999901</v>
      </c>
      <c r="Z2909">
        <v>2.5019690000000001E-2</v>
      </c>
      <c r="AA2909">
        <v>0.99023369999999999</v>
      </c>
      <c r="AB2909">
        <v>27</v>
      </c>
      <c r="AC2909">
        <v>7.1514999999999898</v>
      </c>
      <c r="AD2909">
        <v>-1.111431102596</v>
      </c>
      <c r="AE2909">
        <v>0.31230000000002101</v>
      </c>
      <c r="AF2909">
        <v>-1.0136857072269201</v>
      </c>
      <c r="AG2909">
        <v>-1.111431102596</v>
      </c>
      <c r="AH2909">
        <v>6.9159175730215798</v>
      </c>
      <c r="AI2909">
        <v>99.034810045370705</v>
      </c>
      <c r="AJ2909">
        <v>98.338629068706993</v>
      </c>
      <c r="AK2909">
        <v>7.07762344898926</v>
      </c>
      <c r="AL2909">
        <v>67.713044862546894</v>
      </c>
      <c r="AM2909">
        <v>99.482314400562601</v>
      </c>
      <c r="AN2909">
        <v>0.99999999517078997</v>
      </c>
    </row>
    <row r="2910" spans="1:40" x14ac:dyDescent="0.25">
      <c r="A2910" t="str">
        <f>"20190304164427055"</f>
        <v>20190304164427055</v>
      </c>
      <c r="B2910" t="str">
        <f>"1551689067042684"</f>
        <v>1551689067042684</v>
      </c>
      <c r="C2910" t="s">
        <v>40</v>
      </c>
      <c r="D2910">
        <v>5.5140419999999999</v>
      </c>
      <c r="E2910">
        <v>0.5224126</v>
      </c>
      <c r="F2910" t="s">
        <v>45</v>
      </c>
      <c r="G2910">
        <v>-448.08370000000002</v>
      </c>
      <c r="H2910" s="1">
        <v>2.7909440000000002E-6</v>
      </c>
      <c r="I2910">
        <v>214.0214</v>
      </c>
      <c r="J2910">
        <v>-455.18880000000001</v>
      </c>
      <c r="K2910">
        <v>1.111213</v>
      </c>
      <c r="L2910">
        <v>213.69980000000001</v>
      </c>
      <c r="M2910">
        <v>0.99487939999999997</v>
      </c>
      <c r="N2910">
        <v>-8.8959769999999994E-3</v>
      </c>
      <c r="O2910">
        <v>-0.100675899999999</v>
      </c>
      <c r="P2910">
        <v>0.92743819999999999</v>
      </c>
      <c r="Q2910">
        <v>0.36916779999999999</v>
      </c>
      <c r="R2910">
        <v>5.9777759999999999E-2</v>
      </c>
      <c r="S2910">
        <v>3.4370419999999999</v>
      </c>
      <c r="T2910">
        <v>-0.51954219999999995</v>
      </c>
      <c r="U2910">
        <v>0.13908389999999901</v>
      </c>
      <c r="V2910">
        <v>-0.15364910000000001</v>
      </c>
      <c r="W2910">
        <v>0.37698310000000002</v>
      </c>
      <c r="X2910">
        <v>0.9133869</v>
      </c>
      <c r="Y2910">
        <v>-0.138154</v>
      </c>
      <c r="Z2910">
        <v>2.522015E-2</v>
      </c>
      <c r="AA2910">
        <v>0.99008960000000001</v>
      </c>
      <c r="AB2910">
        <v>27</v>
      </c>
      <c r="AC2910">
        <v>7.1050999999999904</v>
      </c>
      <c r="AD2910">
        <v>-1.1112102090559901</v>
      </c>
      <c r="AE2910">
        <v>0.32159999999998901</v>
      </c>
      <c r="AF2910">
        <v>-1.0106372302579201</v>
      </c>
      <c r="AG2910">
        <v>-1.1112102090559901</v>
      </c>
      <c r="AH2910">
        <v>6.8689501088296003</v>
      </c>
      <c r="AI2910">
        <v>99.093062389548706</v>
      </c>
      <c r="AJ2910">
        <v>98.369948088041696</v>
      </c>
      <c r="AK2910">
        <v>7.03126242843231</v>
      </c>
      <c r="AL2910">
        <v>67.853065548191594</v>
      </c>
      <c r="AM2910">
        <v>99.548842883426104</v>
      </c>
      <c r="AN2910">
        <v>0.999999966354014</v>
      </c>
    </row>
    <row r="2911" spans="1:40" x14ac:dyDescent="0.25">
      <c r="A2911" t="str">
        <f>"20190304164427078"</f>
        <v>20190304164427078</v>
      </c>
      <c r="B2911" t="str">
        <f>"1551689067072941"</f>
        <v>1551689067072941</v>
      </c>
      <c r="C2911" t="s">
        <v>40</v>
      </c>
      <c r="D2911">
        <v>5.5191970000000001</v>
      </c>
      <c r="E2911">
        <v>0.52575519999999998</v>
      </c>
      <c r="F2911" t="s">
        <v>45</v>
      </c>
      <c r="G2911">
        <v>-447.94569999999999</v>
      </c>
      <c r="H2911" s="1">
        <v>2.7180289999999998E-6</v>
      </c>
      <c r="I2911">
        <v>214.00970000000001</v>
      </c>
      <c r="J2911">
        <v>-454.90809999999999</v>
      </c>
      <c r="K2911">
        <v>1.1110139999999999</v>
      </c>
      <c r="L2911">
        <v>213.67259999999999</v>
      </c>
      <c r="M2911">
        <v>0.9949749</v>
      </c>
      <c r="N2911">
        <v>-8.8313599999999999E-3</v>
      </c>
      <c r="O2911">
        <v>-9.973601E-2</v>
      </c>
      <c r="P2911">
        <v>0.92768229999999996</v>
      </c>
      <c r="Q2911">
        <v>0.36823280000000003</v>
      </c>
      <c r="R2911">
        <v>6.1729029999999997E-2</v>
      </c>
      <c r="S2911">
        <v>3.435028</v>
      </c>
      <c r="T2911">
        <v>-0.52699069999999903</v>
      </c>
      <c r="U2911">
        <v>0.14697270000000001</v>
      </c>
      <c r="V2911">
        <v>-0.15458749999999999</v>
      </c>
      <c r="W2911">
        <v>0.37605369999999999</v>
      </c>
      <c r="X2911">
        <v>0.91361170000000003</v>
      </c>
      <c r="Y2911">
        <v>-0.1394253</v>
      </c>
      <c r="Z2911">
        <v>2.5565899999999999E-2</v>
      </c>
      <c r="AA2911">
        <v>0.98990250000000002</v>
      </c>
      <c r="AB2911">
        <v>27</v>
      </c>
      <c r="AC2911">
        <v>6.9623999999999997</v>
      </c>
      <c r="AD2911">
        <v>-1.1110112819710001</v>
      </c>
      <c r="AE2911">
        <v>0.33710000000001999</v>
      </c>
      <c r="AF2911">
        <v>-1.0043339339262001</v>
      </c>
      <c r="AG2911">
        <v>-1.1110112819710001</v>
      </c>
      <c r="AH2911">
        <v>6.7232622399240798</v>
      </c>
      <c r="AI2911">
        <v>99.282092658190294</v>
      </c>
      <c r="AJ2911">
        <v>98.496129298059998</v>
      </c>
      <c r="AK2911">
        <v>6.8880539970510801</v>
      </c>
      <c r="AL2911">
        <v>67.910547310933197</v>
      </c>
      <c r="AM2911">
        <v>99.603758563902204</v>
      </c>
      <c r="AN2911">
        <v>1.0000000094084101</v>
      </c>
    </row>
    <row r="2912" spans="1:40" x14ac:dyDescent="0.25">
      <c r="A2912" t="str">
        <f>"20190304164427100"</f>
        <v>20190304164427100</v>
      </c>
      <c r="B2912" t="str">
        <f>"1551689067092461"</f>
        <v>1551689067092461</v>
      </c>
      <c r="C2912" t="s">
        <v>40</v>
      </c>
      <c r="D2912">
        <v>5.5115999999999996</v>
      </c>
      <c r="E2912">
        <v>0.52582819999999997</v>
      </c>
      <c r="F2912" t="s">
        <v>45</v>
      </c>
      <c r="G2912">
        <v>-447.12729999999999</v>
      </c>
      <c r="H2912" s="1">
        <v>2.284794E-6</v>
      </c>
      <c r="I2912">
        <v>213.95769999999999</v>
      </c>
      <c r="J2912">
        <v>-454.63979999999998</v>
      </c>
      <c r="K2912">
        <v>1.110868</v>
      </c>
      <c r="L2912">
        <v>213.64670000000001</v>
      </c>
      <c r="M2912">
        <v>0.99504789999999999</v>
      </c>
      <c r="N2912">
        <v>-8.7672859999999991E-3</v>
      </c>
      <c r="O2912">
        <v>-9.9010290000000001E-2</v>
      </c>
      <c r="P2912">
        <v>0.92838849999999995</v>
      </c>
      <c r="Q2912">
        <v>0.36623800000000001</v>
      </c>
      <c r="R2912">
        <v>6.2965010000000002E-2</v>
      </c>
      <c r="S2912">
        <v>3.4193120000000001</v>
      </c>
      <c r="T2912">
        <v>-0.48823689999999997</v>
      </c>
      <c r="U2912">
        <v>0.12525939999999999</v>
      </c>
      <c r="V2912">
        <v>-0.1551032</v>
      </c>
      <c r="W2912">
        <v>0.3740521</v>
      </c>
      <c r="X2912">
        <v>0.91434570000000004</v>
      </c>
      <c r="Y2912">
        <v>-0.1330617</v>
      </c>
      <c r="Z2912">
        <v>2.3221479999999999E-2</v>
      </c>
      <c r="AA2912">
        <v>0.99083569999999999</v>
      </c>
      <c r="AB2912">
        <v>27</v>
      </c>
      <c r="AC2912">
        <v>7.5124999999999797</v>
      </c>
      <c r="AD2912">
        <v>-1.110865715206</v>
      </c>
      <c r="AE2912">
        <v>0.31099999999997802</v>
      </c>
      <c r="AF2912">
        <v>-1.03081462013595</v>
      </c>
      <c r="AG2912">
        <v>-1.110865715206</v>
      </c>
      <c r="AH2912">
        <v>7.2857581626029404</v>
      </c>
      <c r="AI2912">
        <v>98.584962397037799</v>
      </c>
      <c r="AJ2912">
        <v>98.052958130665104</v>
      </c>
      <c r="AK2912">
        <v>7.4416982888478804</v>
      </c>
      <c r="AL2912">
        <v>68.034261462641197</v>
      </c>
      <c r="AM2912">
        <v>99.6276069022217</v>
      </c>
      <c r="AN2912">
        <v>1.00000001763656</v>
      </c>
    </row>
    <row r="2913" spans="1:40" x14ac:dyDescent="0.25">
      <c r="A2913" t="str">
        <f>"20190304164427122"</f>
        <v>20190304164427122</v>
      </c>
      <c r="B2913" t="str">
        <f>"1551689067112957"</f>
        <v>1551689067112957</v>
      </c>
      <c r="C2913" t="s">
        <v>40</v>
      </c>
      <c r="D2913">
        <v>5.5081740000000003</v>
      </c>
      <c r="E2913">
        <v>0.52619139999999998</v>
      </c>
      <c r="F2913" t="s">
        <v>45</v>
      </c>
      <c r="G2913">
        <v>-447.06020000000001</v>
      </c>
      <c r="H2913" s="1">
        <v>2.2497860000000001E-6</v>
      </c>
      <c r="I2913">
        <v>213.9418</v>
      </c>
      <c r="J2913">
        <v>-454.36790000000002</v>
      </c>
      <c r="K2913">
        <v>1.1107720000000001</v>
      </c>
      <c r="L2913">
        <v>213.62049999999999</v>
      </c>
      <c r="M2913">
        <v>0.99510929999999997</v>
      </c>
      <c r="N2913">
        <v>-8.6935459999999999E-3</v>
      </c>
      <c r="O2913">
        <v>-9.8397750000000006E-2</v>
      </c>
      <c r="P2913">
        <v>0.92919180000000001</v>
      </c>
      <c r="Q2913">
        <v>0.36411369999999998</v>
      </c>
      <c r="R2913">
        <v>6.3436140000000002E-2</v>
      </c>
      <c r="S2913">
        <v>3.4200740000000001</v>
      </c>
      <c r="T2913">
        <v>-0.50124809999999997</v>
      </c>
      <c r="U2913">
        <v>0.13314819999999999</v>
      </c>
      <c r="V2913">
        <v>-0.15500249999999999</v>
      </c>
      <c r="W2913">
        <v>0.37190099999999998</v>
      </c>
      <c r="X2913">
        <v>0.91523980000000005</v>
      </c>
      <c r="Y2913">
        <v>-0.13458989999999901</v>
      </c>
      <c r="Z2913">
        <v>2.387237E-2</v>
      </c>
      <c r="AA2913">
        <v>0.99061379999999999</v>
      </c>
      <c r="AB2913">
        <v>27</v>
      </c>
      <c r="AC2913">
        <v>7.3077000000000103</v>
      </c>
      <c r="AD2913">
        <v>-1.1107697502139999</v>
      </c>
      <c r="AE2913">
        <v>0.32130000000000702</v>
      </c>
      <c r="AF2913">
        <v>-1.0154141639986201</v>
      </c>
      <c r="AG2913">
        <v>-1.1107697502139999</v>
      </c>
      <c r="AH2913">
        <v>7.0774169188335696</v>
      </c>
      <c r="AI2913">
        <v>98.830586299453699</v>
      </c>
      <c r="AJ2913">
        <v>98.164647350490498</v>
      </c>
      <c r="AK2913">
        <v>7.2356551607598796</v>
      </c>
      <c r="AL2913">
        <v>68.167095494639597</v>
      </c>
      <c r="AM2913">
        <v>99.612249325707793</v>
      </c>
      <c r="AN2913">
        <v>1.0000000101556401</v>
      </c>
    </row>
    <row r="2914" spans="1:40" x14ac:dyDescent="0.25">
      <c r="A2914" t="str">
        <f>"20190304164427146"</f>
        <v>20190304164427146</v>
      </c>
      <c r="B2914" t="str">
        <f>"1551689067143213"</f>
        <v>1551689067143213</v>
      </c>
      <c r="C2914" t="s">
        <v>40</v>
      </c>
      <c r="D2914">
        <v>5.5122269999999904</v>
      </c>
      <c r="E2914">
        <v>0.52667529999999996</v>
      </c>
      <c r="F2914" t="s">
        <v>45</v>
      </c>
      <c r="G2914">
        <v>-446.8913</v>
      </c>
      <c r="H2914" s="1">
        <v>2.1608199999999998E-6</v>
      </c>
      <c r="I2914">
        <v>213.9211</v>
      </c>
      <c r="J2914">
        <v>-454.0831</v>
      </c>
      <c r="K2914">
        <v>1.110697</v>
      </c>
      <c r="L2914">
        <v>213.59309999999999</v>
      </c>
      <c r="M2914">
        <v>0.995166</v>
      </c>
      <c r="N2914">
        <v>-8.6122909999999993E-3</v>
      </c>
      <c r="O2914">
        <v>-9.7828490000000004E-2</v>
      </c>
      <c r="P2914">
        <v>0.92967160000000004</v>
      </c>
      <c r="Q2914">
        <v>0.3630796</v>
      </c>
      <c r="R2914">
        <v>6.2321189999999999E-2</v>
      </c>
      <c r="S2914">
        <v>3.4182429999999999</v>
      </c>
      <c r="T2914">
        <v>-0.50783800000000001</v>
      </c>
      <c r="U2914">
        <v>0.13746639999999999</v>
      </c>
      <c r="V2914">
        <v>-0.1533561</v>
      </c>
      <c r="W2914">
        <v>0.3708243</v>
      </c>
      <c r="X2914">
        <v>0.91595369999999998</v>
      </c>
      <c r="Y2914">
        <v>-0.1352236</v>
      </c>
      <c r="Z2914">
        <v>2.4172119999999998E-2</v>
      </c>
      <c r="AA2914">
        <v>0.99052019999999996</v>
      </c>
      <c r="AB2914">
        <v>27</v>
      </c>
      <c r="AC2914">
        <v>7.1917999999999997</v>
      </c>
      <c r="AD2914">
        <v>-1.11069483918</v>
      </c>
      <c r="AE2914">
        <v>0.32800000000000201</v>
      </c>
      <c r="AF2914">
        <v>-1.0060692325456499</v>
      </c>
      <c r="AG2914">
        <v>-1.11069483918</v>
      </c>
      <c r="AH2914">
        <v>6.9595606442267597</v>
      </c>
      <c r="AI2914">
        <v>98.975761720172002</v>
      </c>
      <c r="AJ2914">
        <v>98.225655528208904</v>
      </c>
      <c r="AK2914">
        <v>7.1190801854682197</v>
      </c>
      <c r="AL2914">
        <v>68.233536283500001</v>
      </c>
      <c r="AM2914">
        <v>99.504747265636297</v>
      </c>
      <c r="AN2914">
        <v>0.99999996771069399</v>
      </c>
    </row>
    <row r="2915" spans="1:40" x14ac:dyDescent="0.25">
      <c r="A2915" t="str">
        <f>"20190304164427168"</f>
        <v>20190304164427168</v>
      </c>
      <c r="B2915" t="str">
        <f>"1551689067162733"</f>
        <v>1551689067162733</v>
      </c>
      <c r="C2915" t="s">
        <v>40</v>
      </c>
      <c r="D2915">
        <v>5.4928439999999998</v>
      </c>
      <c r="E2915">
        <v>0.52695289999999995</v>
      </c>
      <c r="F2915" t="s">
        <v>45</v>
      </c>
      <c r="G2915">
        <v>-446.5899</v>
      </c>
      <c r="H2915" s="1">
        <v>2.0017019999999999E-6</v>
      </c>
      <c r="I2915">
        <v>213.89160000000001</v>
      </c>
      <c r="J2915">
        <v>-453.81290000000001</v>
      </c>
      <c r="K2915">
        <v>1.110649</v>
      </c>
      <c r="L2915">
        <v>213.56720000000001</v>
      </c>
      <c r="M2915">
        <v>0.99521740000000003</v>
      </c>
      <c r="N2915">
        <v>-8.5340019999999902E-3</v>
      </c>
      <c r="O2915">
        <v>-9.7313220000000006E-2</v>
      </c>
      <c r="P2915">
        <v>0.93032619999999999</v>
      </c>
      <c r="Q2915">
        <v>0.36179860000000003</v>
      </c>
      <c r="R2915">
        <v>5.9958919999999999E-2</v>
      </c>
      <c r="S2915">
        <v>3.4155579999999999</v>
      </c>
      <c r="T2915">
        <v>-0.50627949999999999</v>
      </c>
      <c r="U2915">
        <v>0.1360779</v>
      </c>
      <c r="V2915">
        <v>-0.150558</v>
      </c>
      <c r="W2915">
        <v>0.36949579999999999</v>
      </c>
      <c r="X2915">
        <v>0.9169543</v>
      </c>
      <c r="Y2915">
        <v>-0.13436589999999901</v>
      </c>
      <c r="Z2915">
        <v>2.3981039999999999E-2</v>
      </c>
      <c r="AA2915">
        <v>0.99064160000000001</v>
      </c>
      <c r="AB2915">
        <v>27</v>
      </c>
      <c r="AC2915">
        <v>7.2230000000000096</v>
      </c>
      <c r="AD2915">
        <v>-1.1106469982979901</v>
      </c>
      <c r="AE2915">
        <v>0.32439999999999702</v>
      </c>
      <c r="AF2915">
        <v>-1.00213257682809</v>
      </c>
      <c r="AG2915">
        <v>-1.1106469982979901</v>
      </c>
      <c r="AH2915">
        <v>6.9921579634162496</v>
      </c>
      <c r="AI2915">
        <v>98.9357482497538</v>
      </c>
      <c r="AJ2915">
        <v>98.156222498425706</v>
      </c>
      <c r="AK2915">
        <v>7.1503901601055198</v>
      </c>
      <c r="AL2915">
        <v>68.315475192742895</v>
      </c>
      <c r="AM2915">
        <v>99.324398832880803</v>
      </c>
      <c r="AN2915">
        <v>1.0000000229350601</v>
      </c>
    </row>
    <row r="2916" spans="1:40" x14ac:dyDescent="0.25">
      <c r="A2916" t="str">
        <f>"20190304164427190"</f>
        <v>20190304164427190</v>
      </c>
      <c r="B2916" t="str">
        <f>"1551689067183229"</f>
        <v>1551689067183229</v>
      </c>
      <c r="C2916" t="s">
        <v>40</v>
      </c>
      <c r="D2916">
        <v>5.508419</v>
      </c>
      <c r="E2916">
        <v>0.52722419999999903</v>
      </c>
      <c r="F2916" t="s">
        <v>45</v>
      </c>
      <c r="G2916">
        <v>-446.3526</v>
      </c>
      <c r="H2916" s="1">
        <v>1.8770110000000001E-6</v>
      </c>
      <c r="I2916">
        <v>213.8553</v>
      </c>
      <c r="J2916">
        <v>-453.54320000000001</v>
      </c>
      <c r="K2916">
        <v>1.1106199999999999</v>
      </c>
      <c r="L2916">
        <v>213.54140000000001</v>
      </c>
      <c r="M2916">
        <v>0.99526820000000005</v>
      </c>
      <c r="N2916">
        <v>-8.4538169999999902E-3</v>
      </c>
      <c r="O2916">
        <v>-9.6798250000000002E-2</v>
      </c>
      <c r="P2916">
        <v>0.93083400000000005</v>
      </c>
      <c r="Q2916">
        <v>0.36091289999999998</v>
      </c>
      <c r="R2916">
        <v>5.7361629999999997E-2</v>
      </c>
      <c r="S2916">
        <v>3.413818</v>
      </c>
      <c r="T2916">
        <v>-0.50823160000000001</v>
      </c>
      <c r="U2916">
        <v>0.13183590000000001</v>
      </c>
      <c r="V2916">
        <v>-0.14752970000000001</v>
      </c>
      <c r="W2916">
        <v>0.36855329999999997</v>
      </c>
      <c r="X2916">
        <v>0.91782540000000001</v>
      </c>
      <c r="Y2916">
        <v>-0.13264690000000001</v>
      </c>
      <c r="Z2916">
        <v>2.3882250000000001E-2</v>
      </c>
      <c r="AA2916">
        <v>0.99087559999999997</v>
      </c>
      <c r="AB2916">
        <v>27</v>
      </c>
      <c r="AC2916">
        <v>7.1906000000000097</v>
      </c>
      <c r="AD2916">
        <v>-1.110618122989</v>
      </c>
      <c r="AE2916">
        <v>0.31389999999998902</v>
      </c>
      <c r="AF2916">
        <v>-0.98503378498713601</v>
      </c>
      <c r="AG2916">
        <v>-1.110618122989</v>
      </c>
      <c r="AH2916">
        <v>6.96070528345874</v>
      </c>
      <c r="AI2916">
        <v>98.977469486345697</v>
      </c>
      <c r="AJ2916">
        <v>98.054642983593993</v>
      </c>
      <c r="AK2916">
        <v>7.1172454092751396</v>
      </c>
      <c r="AL2916">
        <v>68.373576954373505</v>
      </c>
      <c r="AM2916">
        <v>99.131518085722703</v>
      </c>
      <c r="AN2916">
        <v>1.0000000061040699</v>
      </c>
    </row>
    <row r="2917" spans="1:40" x14ac:dyDescent="0.25">
      <c r="A2917" t="str">
        <f>"20190304164427211"</f>
        <v>20190304164427211</v>
      </c>
      <c r="B2917" t="str">
        <f>"1551689067202748"</f>
        <v>1551689067202748</v>
      </c>
      <c r="C2917" t="s">
        <v>40</v>
      </c>
      <c r="D2917">
        <v>5.5152839999999896</v>
      </c>
      <c r="E2917">
        <v>0.52914069999999902</v>
      </c>
      <c r="F2917" t="s">
        <v>45</v>
      </c>
      <c r="G2917">
        <v>-446.08359999999999</v>
      </c>
      <c r="H2917" s="1">
        <v>1.735862E-6</v>
      </c>
      <c r="I2917">
        <v>213.8098</v>
      </c>
      <c r="J2917">
        <v>-453.27409999999998</v>
      </c>
      <c r="K2917">
        <v>1.110592</v>
      </c>
      <c r="L2917">
        <v>213.51580000000001</v>
      </c>
      <c r="M2917">
        <v>0.99531970000000003</v>
      </c>
      <c r="N2917">
        <v>-8.3764180000000001E-3</v>
      </c>
      <c r="O2917">
        <v>-9.6273029999999996E-2</v>
      </c>
      <c r="P2917">
        <v>0.9314036</v>
      </c>
      <c r="Q2917">
        <v>0.3597862</v>
      </c>
      <c r="R2917">
        <v>5.5150329999999997E-2</v>
      </c>
      <c r="S2917">
        <v>3.4122919999999999</v>
      </c>
      <c r="T2917">
        <v>-0.50803719999999997</v>
      </c>
      <c r="U2917">
        <v>0.1227722</v>
      </c>
      <c r="V2917">
        <v>-0.144892299999999</v>
      </c>
      <c r="W2917">
        <v>0.36736629999999998</v>
      </c>
      <c r="X2917">
        <v>0.91872100000000001</v>
      </c>
      <c r="Y2917">
        <v>-0.12955249999999999</v>
      </c>
      <c r="Z2917">
        <v>2.357149E-2</v>
      </c>
      <c r="AA2917">
        <v>0.99129239999999996</v>
      </c>
      <c r="AB2917">
        <v>28</v>
      </c>
      <c r="AC2917">
        <v>7.1904999999999797</v>
      </c>
      <c r="AD2917">
        <v>-1.1105902641380001</v>
      </c>
      <c r="AE2917">
        <v>0.293999999999982</v>
      </c>
      <c r="AF2917">
        <v>-0.96199906315984396</v>
      </c>
      <c r="AG2917">
        <v>-1.1105902641380001</v>
      </c>
      <c r="AH2917">
        <v>6.9629640983168297</v>
      </c>
      <c r="AI2917">
        <v>98.978445262435002</v>
      </c>
      <c r="AJ2917">
        <v>97.866153980668997</v>
      </c>
      <c r="AK2917">
        <v>7.1162997384011</v>
      </c>
      <c r="AL2917">
        <v>68.446718999849907</v>
      </c>
      <c r="AM2917">
        <v>98.962348499766406</v>
      </c>
      <c r="AN2917">
        <v>1.00000002640798</v>
      </c>
    </row>
    <row r="2918" spans="1:40" x14ac:dyDescent="0.25">
      <c r="A2918" t="str">
        <f>"20190304164427234"</f>
        <v>20190304164427234</v>
      </c>
      <c r="B2918" t="str">
        <f>"1551689067223245"</f>
        <v>1551689067223245</v>
      </c>
      <c r="C2918" t="s">
        <v>40</v>
      </c>
      <c r="D2918">
        <v>5.5249610000000002</v>
      </c>
      <c r="E2918">
        <v>0.52938629999999998</v>
      </c>
      <c r="F2918" t="s">
        <v>45</v>
      </c>
      <c r="G2918">
        <v>-445.49799999999999</v>
      </c>
      <c r="H2918" s="1">
        <v>1.427572E-6</v>
      </c>
      <c r="I2918">
        <v>213.73269999999999</v>
      </c>
      <c r="J2918">
        <v>-452.9984</v>
      </c>
      <c r="K2918">
        <v>1.1105780000000001</v>
      </c>
      <c r="L2918">
        <v>213.4898</v>
      </c>
      <c r="M2918">
        <v>0.99537370000000003</v>
      </c>
      <c r="N2918">
        <v>-8.3039350000000001E-3</v>
      </c>
      <c r="O2918">
        <v>-9.5720100000000002E-2</v>
      </c>
      <c r="P2918">
        <v>0.93205229999999994</v>
      </c>
      <c r="Q2918">
        <v>0.35834680000000002</v>
      </c>
      <c r="R2918">
        <v>5.3539620000000003E-2</v>
      </c>
      <c r="S2918">
        <v>3.403076</v>
      </c>
      <c r="T2918">
        <v>-0.48602709999999999</v>
      </c>
      <c r="U2918">
        <v>9.4894409999999998E-2</v>
      </c>
      <c r="V2918">
        <v>-0.142842</v>
      </c>
      <c r="W2918">
        <v>0.36586770000000002</v>
      </c>
      <c r="X2918">
        <v>0.9196396</v>
      </c>
      <c r="Y2918">
        <v>-0.1212704</v>
      </c>
      <c r="Z2918">
        <v>2.1917180000000001E-2</v>
      </c>
      <c r="AA2918">
        <v>0.99237750000000002</v>
      </c>
      <c r="AB2918">
        <v>28</v>
      </c>
      <c r="AC2918">
        <v>7.5003999999999502</v>
      </c>
      <c r="AD2918">
        <v>-1.1105765724279999</v>
      </c>
      <c r="AE2918">
        <v>0.24289999999999101</v>
      </c>
      <c r="AF2918">
        <v>-0.93917897054811295</v>
      </c>
      <c r="AG2918">
        <v>-1.1105765724279999</v>
      </c>
      <c r="AH2918">
        <v>7.2831942095303202</v>
      </c>
      <c r="AI2918">
        <v>98.599822977534998</v>
      </c>
      <c r="AJ2918">
        <v>97.347829172981093</v>
      </c>
      <c r="AK2918">
        <v>7.4270017743152401</v>
      </c>
      <c r="AL2918">
        <v>68.539007854959806</v>
      </c>
      <c r="AM2918">
        <v>98.828854238204002</v>
      </c>
      <c r="AN2918">
        <v>1.00000000237772</v>
      </c>
    </row>
    <row r="2919" spans="1:40" x14ac:dyDescent="0.25">
      <c r="A2919" t="str">
        <f>"20190304164427255"</f>
        <v>20190304164427255</v>
      </c>
      <c r="B2919" t="str">
        <f>"1551689067252525"</f>
        <v>1551689067252525</v>
      </c>
      <c r="C2919" t="s">
        <v>40</v>
      </c>
      <c r="D2919">
        <v>5.5531540000000001</v>
      </c>
      <c r="E2919">
        <v>0.55190419999999996</v>
      </c>
      <c r="F2919" t="s">
        <v>45</v>
      </c>
      <c r="G2919">
        <v>-445.21850000000001</v>
      </c>
      <c r="H2919" s="1">
        <v>1.2812699999999999E-6</v>
      </c>
      <c r="I2919">
        <v>213.6773</v>
      </c>
      <c r="J2919">
        <v>-452.73399999999998</v>
      </c>
      <c r="K2919">
        <v>1.1105719999999999</v>
      </c>
      <c r="L2919">
        <v>213.4649</v>
      </c>
      <c r="M2919">
        <v>0.99542649999999999</v>
      </c>
      <c r="N2919">
        <v>-8.241132E-3</v>
      </c>
      <c r="O2919">
        <v>-9.5174449999999994E-2</v>
      </c>
      <c r="P2919">
        <v>0.93263189999999996</v>
      </c>
      <c r="Q2919">
        <v>0.35687020000000003</v>
      </c>
      <c r="R2919">
        <v>5.3305379999999999E-2</v>
      </c>
      <c r="S2919">
        <v>3.400604</v>
      </c>
      <c r="T2919">
        <v>-0.48543269999999999</v>
      </c>
      <c r="U2919">
        <v>8.1985470000000005E-2</v>
      </c>
      <c r="V2919">
        <v>-0.1421645</v>
      </c>
      <c r="W2919">
        <v>0.36433660000000001</v>
      </c>
      <c r="X2919">
        <v>0.92035219999999995</v>
      </c>
      <c r="Y2919">
        <v>-0.11703280000000001</v>
      </c>
      <c r="Z2919">
        <v>2.1517560000000002E-2</v>
      </c>
      <c r="AA2919">
        <v>0.99289490000000002</v>
      </c>
      <c r="AB2919">
        <v>28</v>
      </c>
      <c r="AC2919">
        <v>7.5155000000000296</v>
      </c>
      <c r="AD2919">
        <v>-1.11057071872999</v>
      </c>
      <c r="AE2919">
        <v>0.212400000000002</v>
      </c>
      <c r="AF2919">
        <v>-0.90695500651221395</v>
      </c>
      <c r="AG2919">
        <v>-1.11057071872999</v>
      </c>
      <c r="AH2919">
        <v>7.3018489027544398</v>
      </c>
      <c r="AI2919">
        <v>98.583129312289799</v>
      </c>
      <c r="AJ2919">
        <v>97.080385640070403</v>
      </c>
      <c r="AK2919">
        <v>7.44129908710799</v>
      </c>
      <c r="AL2919">
        <v>68.633239200989607</v>
      </c>
      <c r="AM2919">
        <v>98.780936180041394</v>
      </c>
      <c r="AN2919">
        <v>1.0000000376023199</v>
      </c>
    </row>
    <row r="2920" spans="1:40" x14ac:dyDescent="0.25">
      <c r="A2920" t="str">
        <f>"20190304164427278"</f>
        <v>20190304164427278</v>
      </c>
      <c r="B2920" t="str">
        <f>"1551689067273021"</f>
        <v>1551689067273021</v>
      </c>
      <c r="C2920" t="s">
        <v>40</v>
      </c>
      <c r="D2920">
        <v>5.5355840000000001</v>
      </c>
      <c r="E2920">
        <v>0.55645840000000002</v>
      </c>
      <c r="F2920" t="s">
        <v>41</v>
      </c>
      <c r="G2920">
        <v>-451.80509999999998</v>
      </c>
      <c r="H2920">
        <v>0.97373880000000002</v>
      </c>
      <c r="I2920">
        <v>213.4365</v>
      </c>
      <c r="J2920">
        <v>-452.44810000000001</v>
      </c>
      <c r="K2920">
        <v>1.1105700000000001</v>
      </c>
      <c r="L2920">
        <v>213.4383</v>
      </c>
      <c r="M2920">
        <v>0.99548449999999999</v>
      </c>
      <c r="N2920">
        <v>-8.1796219999999992E-3</v>
      </c>
      <c r="O2920">
        <v>-9.4571550000000004E-2</v>
      </c>
      <c r="P2920">
        <v>0.93283879999999997</v>
      </c>
      <c r="Q2920">
        <v>0.35620869999999999</v>
      </c>
      <c r="R2920">
        <v>5.4103419999999999E-2</v>
      </c>
      <c r="S2920">
        <v>3.4151310000000001</v>
      </c>
      <c r="T2920">
        <v>-0.50334880000000004</v>
      </c>
      <c r="U2920">
        <v>-0.10298160000000001</v>
      </c>
      <c r="V2920">
        <v>-0.14242920000000001</v>
      </c>
      <c r="W2920">
        <v>0.36361579999999999</v>
      </c>
      <c r="X2920">
        <v>0.92059619999999998</v>
      </c>
      <c r="Y2920">
        <v>-6.2902020000000003E-2</v>
      </c>
      <c r="Z2920">
        <v>1.793788E-2</v>
      </c>
      <c r="AA2920">
        <v>0.99785849999999998</v>
      </c>
      <c r="AB2920">
        <v>28</v>
      </c>
      <c r="AC2920">
        <v>0.64300000000002899</v>
      </c>
      <c r="AD2920">
        <v>-0.13683119999999899</v>
      </c>
      <c r="AE2920">
        <v>-1.8000000000029099E-3</v>
      </c>
      <c r="AF2920">
        <v>-5.6462746928627197E-2</v>
      </c>
      <c r="AG2920">
        <v>-0.13683119999999899</v>
      </c>
      <c r="AH2920">
        <v>0.61254945986298504</v>
      </c>
      <c r="AI2920">
        <v>102.54052668983699</v>
      </c>
      <c r="AJ2920">
        <v>95.266450181550894</v>
      </c>
      <c r="AK2920">
        <v>0.63018065652842803</v>
      </c>
      <c r="AL2920">
        <v>68.677577302625906</v>
      </c>
      <c r="AM2920">
        <v>98.794734985179801</v>
      </c>
      <c r="AN2920">
        <v>0.999999945238358</v>
      </c>
    </row>
    <row r="2921" spans="1:40" x14ac:dyDescent="0.25">
      <c r="A2921" t="str">
        <f>"20190304164427302"</f>
        <v>20190304164427302</v>
      </c>
      <c r="B2921" t="str">
        <f>"1551689067292541"</f>
        <v>1551689067292541</v>
      </c>
      <c r="C2921" t="s">
        <v>40</v>
      </c>
      <c r="D2921">
        <v>5.5109690000000002</v>
      </c>
      <c r="E2921">
        <v>0.558226</v>
      </c>
      <c r="F2921" t="s">
        <v>41</v>
      </c>
      <c r="G2921">
        <v>-451.55549999999999</v>
      </c>
      <c r="H2921">
        <v>0.97969229999999996</v>
      </c>
      <c r="I2921">
        <v>213.40090000000001</v>
      </c>
      <c r="J2921">
        <v>-452.15780000000001</v>
      </c>
      <c r="K2921">
        <v>1.110576</v>
      </c>
      <c r="L2921">
        <v>213.41139999999999</v>
      </c>
      <c r="M2921">
        <v>0.99554379999999998</v>
      </c>
      <c r="N2921">
        <v>-8.1241449999999993E-3</v>
      </c>
      <c r="O2921">
        <v>-9.3950199999999998E-2</v>
      </c>
      <c r="P2921">
        <v>0.93280149999999995</v>
      </c>
      <c r="Q2921">
        <v>0.35612090000000002</v>
      </c>
      <c r="R2921">
        <v>5.531324E-2</v>
      </c>
      <c r="S2921">
        <v>3.4155269999999902</v>
      </c>
      <c r="T2921">
        <v>-0.50105250000000001</v>
      </c>
      <c r="U2921">
        <v>-0.14163210000000001</v>
      </c>
      <c r="V2921">
        <v>-0.14306379999999999</v>
      </c>
      <c r="W2921">
        <v>0.36347190000000001</v>
      </c>
      <c r="X2921">
        <v>0.92055469999999895</v>
      </c>
      <c r="Y2921">
        <v>-5.1155270000000003E-2</v>
      </c>
      <c r="Z2921">
        <v>1.686066E-2</v>
      </c>
      <c r="AA2921">
        <v>0.9985484</v>
      </c>
      <c r="AB2921">
        <v>28</v>
      </c>
      <c r="AC2921">
        <v>0.60230000000001305</v>
      </c>
      <c r="AD2921">
        <v>-0.13088369999999899</v>
      </c>
      <c r="AE2921">
        <v>-1.0499999999979E-2</v>
      </c>
      <c r="AF2921">
        <v>-4.4054787736854097E-2</v>
      </c>
      <c r="AG2921">
        <v>-0.13088369999999899</v>
      </c>
      <c r="AH2921">
        <v>0.57354645359390399</v>
      </c>
      <c r="AI2921">
        <v>102.818307694637</v>
      </c>
      <c r="AJ2921">
        <v>94.392332571861601</v>
      </c>
      <c r="AK2921">
        <v>0.58993804901732905</v>
      </c>
      <c r="AL2921">
        <v>68.686429282837693</v>
      </c>
      <c r="AM2921">
        <v>98.833695642989497</v>
      </c>
      <c r="AN2921">
        <v>1.0000000143260599</v>
      </c>
    </row>
    <row r="2922" spans="1:40" x14ac:dyDescent="0.25">
      <c r="A2922" t="str">
        <f>"20190304164427323"</f>
        <v>20190304164427323</v>
      </c>
      <c r="B2922" t="str">
        <f>"1551689067313037"</f>
        <v>1551689067313037</v>
      </c>
      <c r="C2922" t="s">
        <v>40</v>
      </c>
      <c r="D2922">
        <v>5.5681640000000003</v>
      </c>
      <c r="E2922">
        <v>0.55886669999999905</v>
      </c>
      <c r="F2922" t="s">
        <v>41</v>
      </c>
      <c r="G2922">
        <v>-451.30380000000002</v>
      </c>
      <c r="H2922">
        <v>0.98673319999999998</v>
      </c>
      <c r="I2922">
        <v>213.3723</v>
      </c>
      <c r="J2922">
        <v>-451.89229999999998</v>
      </c>
      <c r="K2922">
        <v>1.110584</v>
      </c>
      <c r="L2922">
        <v>213.3869</v>
      </c>
      <c r="M2922">
        <v>0.99559810000000004</v>
      </c>
      <c r="N2922">
        <v>-8.0791519999999992E-3</v>
      </c>
      <c r="O2922">
        <v>-9.3377310000000005E-2</v>
      </c>
      <c r="P2922">
        <v>0.93275070000000004</v>
      </c>
      <c r="Q2922">
        <v>0.35595260000000001</v>
      </c>
      <c r="R2922">
        <v>5.7217160000000003E-2</v>
      </c>
      <c r="S2922">
        <v>3.4144290000000002</v>
      </c>
      <c r="T2922">
        <v>-0.495342</v>
      </c>
      <c r="U2922">
        <v>-0.1552277</v>
      </c>
      <c r="V2922">
        <v>-0.14443120000000001</v>
      </c>
      <c r="W2922">
        <v>0.36325639999999998</v>
      </c>
      <c r="X2922">
        <v>0.92042619999999997</v>
      </c>
      <c r="Y2922">
        <v>-4.6685770000000001E-2</v>
      </c>
      <c r="Z2922">
        <v>1.6252490000000001E-2</v>
      </c>
      <c r="AA2922">
        <v>0.99877740000000004</v>
      </c>
      <c r="AB2922">
        <v>28</v>
      </c>
      <c r="AC2922">
        <v>0.58849999999995295</v>
      </c>
      <c r="AD2922">
        <v>-0.123850799999999</v>
      </c>
      <c r="AE2922">
        <v>-1.4600000000001501E-2</v>
      </c>
      <c r="AF2922">
        <v>-3.8704946553587798E-2</v>
      </c>
      <c r="AG2922">
        <v>-0.123850799999999</v>
      </c>
      <c r="AH2922">
        <v>0.56239864903757297</v>
      </c>
      <c r="AI2922">
        <v>102.390978925892</v>
      </c>
      <c r="AJ2922">
        <v>93.936956180992595</v>
      </c>
      <c r="AK2922">
        <v>0.57717357353541698</v>
      </c>
      <c r="AL2922">
        <v>68.699681793677897</v>
      </c>
      <c r="AM2922">
        <v>98.918002288516803</v>
      </c>
      <c r="AN2922">
        <v>0.999999986660419</v>
      </c>
    </row>
    <row r="2923" spans="1:40" x14ac:dyDescent="0.25">
      <c r="A2923" t="str">
        <f>"20190304164427359"</f>
        <v>20190304164427359</v>
      </c>
      <c r="B2923" t="str">
        <f>"1551689067353053"</f>
        <v>1551689067353053</v>
      </c>
      <c r="C2923" t="s">
        <v>40</v>
      </c>
      <c r="D2923">
        <v>5.5593760000000003</v>
      </c>
      <c r="E2923">
        <v>0.55949910000000003</v>
      </c>
      <c r="F2923" t="s">
        <v>41</v>
      </c>
      <c r="G2923">
        <v>-451.05290000000002</v>
      </c>
      <c r="H2923">
        <v>0.98962280000000002</v>
      </c>
      <c r="I2923">
        <v>213.34780000000001</v>
      </c>
      <c r="J2923">
        <v>-451.45269999999999</v>
      </c>
      <c r="K2923">
        <v>1.1105940000000001</v>
      </c>
      <c r="L2923">
        <v>213.3468</v>
      </c>
      <c r="M2923">
        <v>0.99568749999999995</v>
      </c>
      <c r="N2923">
        <v>-8.0158319999999901E-3</v>
      </c>
      <c r="O2923">
        <v>-9.2424409999999999E-2</v>
      </c>
      <c r="P2923">
        <v>0.9327223</v>
      </c>
      <c r="Q2923">
        <v>0.35515089999999999</v>
      </c>
      <c r="R2923">
        <v>6.2427940000000001E-2</v>
      </c>
      <c r="S2923">
        <v>3.4137569999999999</v>
      </c>
      <c r="T2923">
        <v>-0.49198029999999998</v>
      </c>
      <c r="U2923">
        <v>-0.15876770000000001</v>
      </c>
      <c r="V2923">
        <v>-0.14874509999999999</v>
      </c>
      <c r="W2923">
        <v>0.36238409999999999</v>
      </c>
      <c r="X2923">
        <v>0.92008290000000004</v>
      </c>
      <c r="Y2923">
        <v>-4.4735160000000003E-2</v>
      </c>
      <c r="Z2923">
        <v>1.587065E-2</v>
      </c>
      <c r="AA2923">
        <v>0.99887280000000001</v>
      </c>
      <c r="AB2923">
        <v>28</v>
      </c>
      <c r="AC2923">
        <v>0.39979999999997001</v>
      </c>
      <c r="AD2923">
        <v>-0.120971199999999</v>
      </c>
      <c r="AE2923">
        <v>1.0000000000047701E-3</v>
      </c>
      <c r="AF2923">
        <v>-3.47652937909416E-2</v>
      </c>
      <c r="AG2923">
        <v>-0.120971199999999</v>
      </c>
      <c r="AH2923">
        <v>0.36461441802209898</v>
      </c>
      <c r="AI2923">
        <v>108.277381686448</v>
      </c>
      <c r="AJ2923">
        <v>95.4465784005491</v>
      </c>
      <c r="AK2923">
        <v>0.38572831204282199</v>
      </c>
      <c r="AL2923">
        <v>68.753314556388005</v>
      </c>
      <c r="AM2923">
        <v>99.183262749415903</v>
      </c>
      <c r="AN2923">
        <v>0.99999994178961304</v>
      </c>
    </row>
    <row r="2924" spans="1:40" x14ac:dyDescent="0.25">
      <c r="A2924" t="str">
        <f>"20190304164427380"</f>
        <v>20190304164427380</v>
      </c>
      <c r="B2924" t="str">
        <f>"1551689067372573"</f>
        <v>1551689067372573</v>
      </c>
      <c r="C2924" t="s">
        <v>40</v>
      </c>
      <c r="D2924">
        <v>5.4712569999999996</v>
      </c>
      <c r="E2924">
        <v>0.55991210000000002</v>
      </c>
      <c r="F2924" t="s">
        <v>41</v>
      </c>
      <c r="G2924">
        <v>-450.55470000000003</v>
      </c>
      <c r="H2924">
        <v>0.98149920000000002</v>
      </c>
      <c r="I2924">
        <v>213.30670000000001</v>
      </c>
      <c r="J2924">
        <v>-451.18430000000001</v>
      </c>
      <c r="K2924">
        <v>1.110603</v>
      </c>
      <c r="L2924">
        <v>213.32239999999999</v>
      </c>
      <c r="M2924">
        <v>0.99574180000000001</v>
      </c>
      <c r="N2924">
        <v>-7.9833960000000002E-3</v>
      </c>
      <c r="O2924">
        <v>-9.1840599999999994E-2</v>
      </c>
      <c r="P2924">
        <v>0.93199399999999999</v>
      </c>
      <c r="Q2924">
        <v>0.35636610000000002</v>
      </c>
      <c r="R2924">
        <v>6.6262920000000003E-2</v>
      </c>
      <c r="S2924">
        <v>3.4133909999999998</v>
      </c>
      <c r="T2924">
        <v>-0.4906142</v>
      </c>
      <c r="U2924">
        <v>-0.15263370000000001</v>
      </c>
      <c r="V2924">
        <v>-0.15196409999999999</v>
      </c>
      <c r="W2924">
        <v>0.36355539999999997</v>
      </c>
      <c r="X2924">
        <v>0.91909430000000003</v>
      </c>
      <c r="Y2924">
        <v>-4.5934839999999998E-2</v>
      </c>
      <c r="Z2924">
        <v>1.5842490000000001E-2</v>
      </c>
      <c r="AA2924">
        <v>0.99881880000000001</v>
      </c>
      <c r="AB2924">
        <v>28</v>
      </c>
      <c r="AC2924">
        <v>0.62959999999998195</v>
      </c>
      <c r="AD2924">
        <v>-0.12910379999999999</v>
      </c>
      <c r="AE2924">
        <v>-1.5699999999981101E-2</v>
      </c>
      <c r="AF2924">
        <v>-4.0489576109704203E-2</v>
      </c>
      <c r="AG2924">
        <v>-0.12910379999999999</v>
      </c>
      <c r="AH2924">
        <v>0.60303985578396602</v>
      </c>
      <c r="AI2924">
        <v>102.057593395881</v>
      </c>
      <c r="AJ2924">
        <v>93.841213990689695</v>
      </c>
      <c r="AK2924">
        <v>0.61803257568831205</v>
      </c>
      <c r="AL2924">
        <v>68.681292866105395</v>
      </c>
      <c r="AM2924">
        <v>99.3884119429093</v>
      </c>
      <c r="AN2924">
        <v>0.99999997442522903</v>
      </c>
    </row>
    <row r="2925" spans="1:40" x14ac:dyDescent="0.25">
      <c r="A2925" t="str">
        <f>"20190304164427401"</f>
        <v>20190304164427401</v>
      </c>
      <c r="B2925" t="str">
        <f>"1551689067393069"</f>
        <v>1551689067393069</v>
      </c>
      <c r="C2925" t="s">
        <v>40</v>
      </c>
      <c r="D2925">
        <v>5.4789370000000002</v>
      </c>
      <c r="E2925">
        <v>0.56010039999999905</v>
      </c>
      <c r="F2925" t="s">
        <v>41</v>
      </c>
      <c r="G2925">
        <v>-450.30099999999999</v>
      </c>
      <c r="H2925">
        <v>0.98561940000000003</v>
      </c>
      <c r="I2925">
        <v>213.28440000000001</v>
      </c>
      <c r="J2925">
        <v>-450.90170000000001</v>
      </c>
      <c r="K2925">
        <v>1.110622</v>
      </c>
      <c r="L2925">
        <v>213.2971</v>
      </c>
      <c r="M2925">
        <v>0.99579910000000005</v>
      </c>
      <c r="N2925">
        <v>-7.9536529999999998E-3</v>
      </c>
      <c r="O2925">
        <v>-9.1219709999999996E-2</v>
      </c>
      <c r="P2925">
        <v>0.93123639999999996</v>
      </c>
      <c r="Q2925">
        <v>0.3576725</v>
      </c>
      <c r="R2925">
        <v>6.9780599999999998E-2</v>
      </c>
      <c r="S2925">
        <v>3.4140929999999998</v>
      </c>
      <c r="T2925">
        <v>-0.48313820000000002</v>
      </c>
      <c r="U2925">
        <v>-0.14674379999999901</v>
      </c>
      <c r="V2925">
        <v>-0.1548332</v>
      </c>
      <c r="W2925">
        <v>0.36481970000000002</v>
      </c>
      <c r="X2925">
        <v>0.91811390000000004</v>
      </c>
      <c r="Y2925">
        <v>-4.7075819999999997E-2</v>
      </c>
      <c r="Z2925">
        <v>1.559746E-2</v>
      </c>
      <c r="AA2925">
        <v>0.99876949999999998</v>
      </c>
      <c r="AB2925">
        <v>28</v>
      </c>
      <c r="AC2925">
        <v>0.600700000000017</v>
      </c>
      <c r="AD2925">
        <v>-0.12500259999999999</v>
      </c>
      <c r="AE2925">
        <v>-1.26999999999952E-2</v>
      </c>
      <c r="AF2925">
        <v>-4.0401612571020602E-2</v>
      </c>
      <c r="AG2925">
        <v>-0.12500259999999999</v>
      </c>
      <c r="AH2925">
        <v>0.57448772028024597</v>
      </c>
      <c r="AI2925">
        <v>102.24629613287</v>
      </c>
      <c r="AJ2925">
        <v>94.022778636339197</v>
      </c>
      <c r="AK2925">
        <v>0.58931662207839797</v>
      </c>
      <c r="AL2925">
        <v>68.603511346136003</v>
      </c>
      <c r="AM2925">
        <v>99.572444774057203</v>
      </c>
      <c r="AN2925">
        <v>0.99999993335176696</v>
      </c>
    </row>
    <row r="2926" spans="1:40" x14ac:dyDescent="0.25">
      <c r="A2926" t="str">
        <f>"20190304164427436"</f>
        <v>20190304164427436</v>
      </c>
      <c r="B2926" t="str">
        <f>"1551689067422352"</f>
        <v>1551689067422352</v>
      </c>
      <c r="C2926" t="s">
        <v>40</v>
      </c>
      <c r="D2926">
        <v>5.407743</v>
      </c>
      <c r="E2926">
        <v>0.53338960000000002</v>
      </c>
      <c r="F2926" t="s">
        <v>41</v>
      </c>
      <c r="G2926">
        <v>-450.04590000000002</v>
      </c>
      <c r="H2926">
        <v>0.99108079999999998</v>
      </c>
      <c r="I2926">
        <v>213.2629</v>
      </c>
      <c r="J2926">
        <v>-450.49220000000003</v>
      </c>
      <c r="K2926">
        <v>1.110657</v>
      </c>
      <c r="L2926">
        <v>213.26060000000001</v>
      </c>
      <c r="M2926">
        <v>0.99588509999999997</v>
      </c>
      <c r="N2926">
        <v>-7.911731E-3</v>
      </c>
      <c r="O2926">
        <v>-9.0279880000000007E-2</v>
      </c>
      <c r="P2926">
        <v>0.93059480000000006</v>
      </c>
      <c r="Q2926">
        <v>0.3584175</v>
      </c>
      <c r="R2926">
        <v>7.4367359999999993E-2</v>
      </c>
      <c r="S2926">
        <v>3.4148860000000001</v>
      </c>
      <c r="T2926">
        <v>-0.47714609999999902</v>
      </c>
      <c r="U2926">
        <v>-0.1352844</v>
      </c>
      <c r="V2926">
        <v>-0.1585</v>
      </c>
      <c r="W2926">
        <v>0.36550379999999999</v>
      </c>
      <c r="X2926">
        <v>0.91721580000000003</v>
      </c>
      <c r="Y2926">
        <v>-4.9504699999999999E-2</v>
      </c>
      <c r="Z2926">
        <v>1.5455689999999999E-2</v>
      </c>
      <c r="AA2926">
        <v>0.99865429999999999</v>
      </c>
      <c r="AB2926">
        <v>28</v>
      </c>
      <c r="AC2926">
        <v>0.44630000000000702</v>
      </c>
      <c r="AD2926">
        <v>-0.11957619999999899</v>
      </c>
      <c r="AE2926">
        <v>2.29999999999108E-3</v>
      </c>
      <c r="AF2926">
        <v>-3.9731697623616197E-2</v>
      </c>
      <c r="AG2926">
        <v>-0.11957619999999899</v>
      </c>
      <c r="AH2926">
        <v>0.41451447098074201</v>
      </c>
      <c r="AI2926">
        <v>106.02177991681801</v>
      </c>
      <c r="AJ2926">
        <v>95.475140946197598</v>
      </c>
      <c r="AK2926">
        <v>0.43324279804162802</v>
      </c>
      <c r="AL2926">
        <v>68.561410442575394</v>
      </c>
      <c r="AM2926">
        <v>99.8042048034267</v>
      </c>
      <c r="AN2926">
        <v>1.0000000507920299</v>
      </c>
    </row>
    <row r="2927" spans="1:40" x14ac:dyDescent="0.25">
      <c r="A2927" t="str">
        <f>"20190304164427458"</f>
        <v>20190304164427458</v>
      </c>
      <c r="B2927" t="str">
        <f>"1551689067452605"</f>
        <v>1551689067452605</v>
      </c>
      <c r="C2927" t="s">
        <v>40</v>
      </c>
      <c r="D2927">
        <v>5.382307</v>
      </c>
      <c r="E2927">
        <v>0.52730819999999901</v>
      </c>
      <c r="F2927" t="s">
        <v>45</v>
      </c>
      <c r="G2927">
        <v>-442.06819999999999</v>
      </c>
      <c r="H2927" s="1">
        <v>-3.874019E-7</v>
      </c>
      <c r="I2927">
        <v>213.50059999999999</v>
      </c>
      <c r="J2927">
        <v>-450.19569999999999</v>
      </c>
      <c r="K2927">
        <v>1.1106929999999999</v>
      </c>
      <c r="L2927">
        <v>213.2345</v>
      </c>
      <c r="M2927">
        <v>0.99595310000000004</v>
      </c>
      <c r="N2927">
        <v>-7.8818269999999992E-3</v>
      </c>
      <c r="O2927">
        <v>-8.952881E-2</v>
      </c>
      <c r="P2927">
        <v>0.93029280000000003</v>
      </c>
      <c r="Q2927">
        <v>0.35877890000000001</v>
      </c>
      <c r="R2927">
        <v>7.6376230000000003E-2</v>
      </c>
      <c r="S2927">
        <v>3.3880919999999999</v>
      </c>
      <c r="T2927">
        <v>-0.44670409999999999</v>
      </c>
      <c r="U2927">
        <v>9.6557619999999997E-2</v>
      </c>
      <c r="V2927">
        <v>-0.15981699999999999</v>
      </c>
      <c r="W2927">
        <v>0.36581799999999998</v>
      </c>
      <c r="X2927">
        <v>0.91686190000000001</v>
      </c>
      <c r="Y2927">
        <v>-0.116119899999999</v>
      </c>
      <c r="Z2927">
        <v>1.9119690000000002E-2</v>
      </c>
      <c r="AA2927">
        <v>0.99305120000000002</v>
      </c>
      <c r="AB2927">
        <v>28</v>
      </c>
      <c r="AC2927">
        <v>8.1274999999999906</v>
      </c>
      <c r="AD2927">
        <v>-1.1106933874018901</v>
      </c>
      <c r="AE2927">
        <v>0.26609999999999401</v>
      </c>
      <c r="AF2927">
        <v>-0.97451907084841005</v>
      </c>
      <c r="AG2927">
        <v>-1.1106933874018901</v>
      </c>
      <c r="AH2927">
        <v>7.92322302382982</v>
      </c>
      <c r="AI2927">
        <v>97.920916261679693</v>
      </c>
      <c r="AJ2927">
        <v>97.011893957299506</v>
      </c>
      <c r="AK2927">
        <v>8.05982569945607</v>
      </c>
      <c r="AL2927">
        <v>68.542067806968902</v>
      </c>
      <c r="AM2927">
        <v>99.887809040276693</v>
      </c>
      <c r="AN2927">
        <v>1.0000000131422999</v>
      </c>
    </row>
    <row r="2928" spans="1:40" x14ac:dyDescent="0.25">
      <c r="A2928" t="str">
        <f>"20190304164427480"</f>
        <v>20190304164427480</v>
      </c>
      <c r="B2928" t="str">
        <f>"1551689067473102"</f>
        <v>1551689067473102</v>
      </c>
      <c r="C2928" t="s">
        <v>40</v>
      </c>
      <c r="D2928">
        <v>5.3463430000000001</v>
      </c>
      <c r="E2928">
        <v>0.52643619999999902</v>
      </c>
      <c r="F2928" t="s">
        <v>45</v>
      </c>
      <c r="G2928">
        <v>-441.56819999999999</v>
      </c>
      <c r="H2928" s="1">
        <v>-6.5917080000000004E-7</v>
      </c>
      <c r="I2928">
        <v>213.63030000000001</v>
      </c>
      <c r="J2928">
        <v>-449.90550000000002</v>
      </c>
      <c r="K2928">
        <v>1.11073</v>
      </c>
      <c r="L2928">
        <v>213.20920000000001</v>
      </c>
      <c r="M2928">
        <v>0.99602469999999999</v>
      </c>
      <c r="N2928">
        <v>-7.8550740000000001E-3</v>
      </c>
      <c r="O2928">
        <v>-8.8729520000000006E-2</v>
      </c>
      <c r="P2928">
        <v>0.92992450000000004</v>
      </c>
      <c r="Q2928">
        <v>0.35959160000000001</v>
      </c>
      <c r="R2928">
        <v>7.7033190000000001E-2</v>
      </c>
      <c r="S2928">
        <v>3.379883</v>
      </c>
      <c r="T2928">
        <v>-0.4351199</v>
      </c>
      <c r="U2928">
        <v>0.15509029999999999</v>
      </c>
      <c r="V2928">
        <v>-0.1597478</v>
      </c>
      <c r="W2928">
        <v>0.3665834</v>
      </c>
      <c r="X2928">
        <v>0.91656819999999894</v>
      </c>
      <c r="Y2928">
        <v>-0.13249330000000001</v>
      </c>
      <c r="Z2928">
        <v>1.9682169999999999E-2</v>
      </c>
      <c r="AA2928">
        <v>0.99098839999999999</v>
      </c>
      <c r="AB2928">
        <v>29</v>
      </c>
      <c r="AC2928">
        <v>8.3373000000000204</v>
      </c>
      <c r="AD2928">
        <v>-1.1107306591707999</v>
      </c>
      <c r="AE2928">
        <v>0.42109999999999498</v>
      </c>
      <c r="AF2928">
        <v>-1.1390610735997999</v>
      </c>
      <c r="AG2928">
        <v>-1.1107306591707999</v>
      </c>
      <c r="AH2928">
        <v>8.1232383812880808</v>
      </c>
      <c r="AI2928">
        <v>97.711528366981</v>
      </c>
      <c r="AJ2928">
        <v>97.982115194069905</v>
      </c>
      <c r="AK2928">
        <v>8.27757117310653</v>
      </c>
      <c r="AL2928">
        <v>68.4949397810161</v>
      </c>
      <c r="AM2928">
        <v>99.8867166785965</v>
      </c>
      <c r="AN2928">
        <v>1.0000000070058199</v>
      </c>
    </row>
    <row r="2929" spans="1:40" x14ac:dyDescent="0.25">
      <c r="A2929" t="str">
        <f>"20190304164427504"</f>
        <v>20190304164427504</v>
      </c>
      <c r="B2929" t="str">
        <f>"1551689067492621"</f>
        <v>1551689067492621</v>
      </c>
      <c r="C2929" t="s">
        <v>40</v>
      </c>
      <c r="D2929">
        <v>5.3428800000000001</v>
      </c>
      <c r="E2929">
        <v>0.52618900000000002</v>
      </c>
      <c r="F2929" t="s">
        <v>45</v>
      </c>
      <c r="G2929">
        <v>-441.20940000000002</v>
      </c>
      <c r="H2929" s="1">
        <v>-8.5044209999999903E-7</v>
      </c>
      <c r="I2929">
        <v>213.6387</v>
      </c>
      <c r="J2929">
        <v>-449.6157</v>
      </c>
      <c r="K2929">
        <v>1.110795</v>
      </c>
      <c r="L2929">
        <v>213.1842</v>
      </c>
      <c r="M2929">
        <v>0.99610540000000003</v>
      </c>
      <c r="N2929">
        <v>-7.8242499999999996E-3</v>
      </c>
      <c r="O2929">
        <v>-8.7823250000000005E-2</v>
      </c>
      <c r="P2929">
        <v>0.92983170000000004</v>
      </c>
      <c r="Q2929">
        <v>0.35985050000000002</v>
      </c>
      <c r="R2929">
        <v>7.694558E-2</v>
      </c>
      <c r="S2929">
        <v>3.3791809999999902</v>
      </c>
      <c r="T2929">
        <v>-0.43161460000000001</v>
      </c>
      <c r="U2929">
        <v>0.16688539999999999</v>
      </c>
      <c r="V2929">
        <v>-0.158881299999999</v>
      </c>
      <c r="W2929">
        <v>0.3667879</v>
      </c>
      <c r="X2929">
        <v>0.91663700000000004</v>
      </c>
      <c r="Y2929">
        <v>-0.13506460000000001</v>
      </c>
      <c r="Z2929">
        <v>1.9592749999999999E-2</v>
      </c>
      <c r="AA2929">
        <v>0.9906431</v>
      </c>
      <c r="AB2929">
        <v>29</v>
      </c>
      <c r="AC2929">
        <v>8.4062999999999803</v>
      </c>
      <c r="AD2929">
        <v>-1.1107958504421001</v>
      </c>
      <c r="AE2929">
        <v>0.45449999999999502</v>
      </c>
      <c r="AF2929">
        <v>-1.1706541561280499</v>
      </c>
      <c r="AG2929">
        <v>-1.1107958504421001</v>
      </c>
      <c r="AH2929">
        <v>8.1912919404854296</v>
      </c>
      <c r="AI2929">
        <v>97.645842511785801</v>
      </c>
      <c r="AJ2929">
        <v>98.1333213070277</v>
      </c>
      <c r="AK2929">
        <v>8.3487461471098108</v>
      </c>
      <c r="AL2929">
        <v>68.482345618318504</v>
      </c>
      <c r="AM2929">
        <v>99.833415492300603</v>
      </c>
      <c r="AN2929">
        <v>1.0000000104225499</v>
      </c>
    </row>
    <row r="2930" spans="1:40" x14ac:dyDescent="0.25">
      <c r="A2930" t="str">
        <f>"20190304164427524"</f>
        <v>20190304164427524</v>
      </c>
      <c r="B2930" t="str">
        <f>"1551689067513117"</f>
        <v>1551689067513117</v>
      </c>
      <c r="C2930" t="s">
        <v>40</v>
      </c>
      <c r="D2930">
        <v>5.3302740000000002</v>
      </c>
      <c r="E2930">
        <v>0.52628330000000001</v>
      </c>
      <c r="F2930" t="s">
        <v>45</v>
      </c>
      <c r="G2930">
        <v>-440.87479999999999</v>
      </c>
      <c r="H2930" s="1">
        <v>-1.0278309999999999E-6</v>
      </c>
      <c r="I2930">
        <v>213.6223</v>
      </c>
      <c r="J2930">
        <v>-449.34859999999998</v>
      </c>
      <c r="K2930">
        <v>1.1108769999999999</v>
      </c>
      <c r="L2930">
        <v>213.16159999999999</v>
      </c>
      <c r="M2930">
        <v>0.99619040000000003</v>
      </c>
      <c r="N2930">
        <v>-7.7907119999999896E-3</v>
      </c>
      <c r="O2930">
        <v>-8.6858110000000002E-2</v>
      </c>
      <c r="P2930">
        <v>0.92992980000000003</v>
      </c>
      <c r="Q2930">
        <v>0.35968220000000001</v>
      </c>
      <c r="R2930">
        <v>7.6548599999999994E-2</v>
      </c>
      <c r="S2930">
        <v>3.3785099999999999</v>
      </c>
      <c r="T2930">
        <v>-0.42933939999999998</v>
      </c>
      <c r="U2930">
        <v>0.169326799999999</v>
      </c>
      <c r="V2930">
        <v>-0.15768489999999999</v>
      </c>
      <c r="W2930">
        <v>0.36655720000000003</v>
      </c>
      <c r="X2930">
        <v>0.91693579999999997</v>
      </c>
      <c r="Y2930">
        <v>-0.13485529999999901</v>
      </c>
      <c r="Z2930">
        <v>1.9365319999999998E-2</v>
      </c>
      <c r="AA2930">
        <v>0.990676</v>
      </c>
      <c r="AB2930">
        <v>29</v>
      </c>
      <c r="AC2930">
        <v>8.4737999999999793</v>
      </c>
      <c r="AD2930">
        <v>-1.110878027831</v>
      </c>
      <c r="AE2930">
        <v>0.460700000000002</v>
      </c>
      <c r="AF2930">
        <v>-1.1748673970983301</v>
      </c>
      <c r="AG2930">
        <v>-1.110878027831</v>
      </c>
      <c r="AH2930">
        <v>8.2602140677860998</v>
      </c>
      <c r="AI2930">
        <v>97.584061171066907</v>
      </c>
      <c r="AJ2930">
        <v>98.095001881774394</v>
      </c>
      <c r="AK2930">
        <v>8.4169768824164901</v>
      </c>
      <c r="AL2930">
        <v>68.496552744853105</v>
      </c>
      <c r="AM2930">
        <v>99.757678424476794</v>
      </c>
      <c r="AN2930">
        <v>0.99999998494074405</v>
      </c>
    </row>
    <row r="2931" spans="1:40" x14ac:dyDescent="0.25">
      <c r="A2931" t="str">
        <f>"20190304164427547"</f>
        <v>20190304164427547</v>
      </c>
      <c r="B2931" t="str">
        <f>"1551689067542397"</f>
        <v>1551689067542397</v>
      </c>
      <c r="C2931" t="s">
        <v>40</v>
      </c>
      <c r="D2931">
        <v>5.4266189999999996</v>
      </c>
      <c r="E2931">
        <v>0.52669109999999997</v>
      </c>
      <c r="F2931" t="s">
        <v>45</v>
      </c>
      <c r="G2931">
        <v>-440.6139</v>
      </c>
      <c r="H2931" s="1">
        <v>-1.1653150000000001E-6</v>
      </c>
      <c r="I2931">
        <v>213.59129999999999</v>
      </c>
      <c r="J2931">
        <v>-449.06869999999998</v>
      </c>
      <c r="K2931">
        <v>1.110986</v>
      </c>
      <c r="L2931">
        <v>213.13839999999999</v>
      </c>
      <c r="M2931">
        <v>0.99629199999999996</v>
      </c>
      <c r="N2931">
        <v>-7.7513249999999999E-3</v>
      </c>
      <c r="O2931">
        <v>-8.5686559999999995E-2</v>
      </c>
      <c r="P2931">
        <v>0.92992209999999997</v>
      </c>
      <c r="Q2931">
        <v>0.35983029999999999</v>
      </c>
      <c r="R2931">
        <v>7.5942869999999996E-2</v>
      </c>
      <c r="S2931">
        <v>3.378571</v>
      </c>
      <c r="T2931">
        <v>-0.42968269999999997</v>
      </c>
      <c r="U2931">
        <v>0.16618350000000001</v>
      </c>
      <c r="V2931">
        <v>-0.15610639999999901</v>
      </c>
      <c r="W2931">
        <v>0.36662860000000003</v>
      </c>
      <c r="X2931">
        <v>0.91717729999999997</v>
      </c>
      <c r="Y2931">
        <v>-0.13279279999999999</v>
      </c>
      <c r="Z2931">
        <v>1.910392E-2</v>
      </c>
      <c r="AA2931">
        <v>0.9909597</v>
      </c>
      <c r="AB2931">
        <v>29</v>
      </c>
      <c r="AC2931">
        <v>8.4547999999999703</v>
      </c>
      <c r="AD2931">
        <v>-1.1109871653149901</v>
      </c>
      <c r="AE2931">
        <v>0.45289999999999903</v>
      </c>
      <c r="AF2931">
        <v>-1.1558185201090201</v>
      </c>
      <c r="AG2931">
        <v>-1.1109871653149901</v>
      </c>
      <c r="AH2931">
        <v>8.24297162255783</v>
      </c>
      <c r="AI2931">
        <v>97.602572399976395</v>
      </c>
      <c r="AJ2931">
        <v>97.981898064044302</v>
      </c>
      <c r="AK2931">
        <v>8.39742758844727</v>
      </c>
      <c r="AL2931">
        <v>68.492155352156203</v>
      </c>
      <c r="AM2931">
        <v>99.659353656084406</v>
      </c>
      <c r="AN2931">
        <v>0.99999996904710398</v>
      </c>
    </row>
    <row r="2932" spans="1:40" x14ac:dyDescent="0.25">
      <c r="A2932" t="str">
        <f>"20190304164427570"</f>
        <v>20190304164427570</v>
      </c>
      <c r="B2932" t="str">
        <f>"1551689067562893"</f>
        <v>1551689067562893</v>
      </c>
      <c r="C2932" t="s">
        <v>40</v>
      </c>
      <c r="D2932">
        <v>5.3018179999999999</v>
      </c>
      <c r="E2932">
        <v>0.52682519999999999</v>
      </c>
      <c r="F2932" t="s">
        <v>45</v>
      </c>
      <c r="G2932">
        <v>-440.37540000000001</v>
      </c>
      <c r="H2932" s="1">
        <v>-1.2905019999999901E-6</v>
      </c>
      <c r="I2932">
        <v>213.55250000000001</v>
      </c>
      <c r="J2932">
        <v>-448.75580000000002</v>
      </c>
      <c r="K2932">
        <v>1.111135</v>
      </c>
      <c r="L2932">
        <v>213.1129</v>
      </c>
      <c r="M2932">
        <v>0.99642180000000002</v>
      </c>
      <c r="N2932">
        <v>-7.70660099999999E-3</v>
      </c>
      <c r="O2932">
        <v>-8.4168770000000004E-2</v>
      </c>
      <c r="P2932">
        <v>0.92988389999999999</v>
      </c>
      <c r="Q2932">
        <v>0.35990870000000003</v>
      </c>
      <c r="R2932">
        <v>7.6037649999999998E-2</v>
      </c>
      <c r="S2932">
        <v>3.3800659999999998</v>
      </c>
      <c r="T2932">
        <v>-0.43196630000000003</v>
      </c>
      <c r="U2932">
        <v>0.16101070000000001</v>
      </c>
      <c r="V2932">
        <v>-0.15493579999999901</v>
      </c>
      <c r="W2932">
        <v>0.36661129999999997</v>
      </c>
      <c r="X2932">
        <v>0.9173827</v>
      </c>
      <c r="Y2932">
        <v>-0.12976779999999999</v>
      </c>
      <c r="Z2932">
        <v>1.8813070000000001E-2</v>
      </c>
      <c r="AA2932">
        <v>0.99136590000000002</v>
      </c>
      <c r="AB2932">
        <v>29</v>
      </c>
      <c r="AC2932">
        <v>8.3803999999999998</v>
      </c>
      <c r="AD2932">
        <v>-1.1111362905019999</v>
      </c>
      <c r="AE2932">
        <v>0.43960000000001198</v>
      </c>
      <c r="AF2932">
        <v>-1.12372852111291</v>
      </c>
      <c r="AG2932">
        <v>-1.1111362905019999</v>
      </c>
      <c r="AH2932">
        <v>8.1704214651584302</v>
      </c>
      <c r="AI2932">
        <v>97.673067967624704</v>
      </c>
      <c r="AJ2932">
        <v>97.831110747618695</v>
      </c>
      <c r="AK2932">
        <v>8.3218493475642106</v>
      </c>
      <c r="AL2932">
        <v>68.493221063409905</v>
      </c>
      <c r="AM2932">
        <v>99.586163501892202</v>
      </c>
      <c r="AN2932">
        <v>0.99999998283430902</v>
      </c>
    </row>
    <row r="2933" spans="1:40" x14ac:dyDescent="0.25">
      <c r="A2933" t="str">
        <f>"20190304164427592"</f>
        <v>20190304164427592</v>
      </c>
      <c r="B2933" t="str">
        <f>"1551689067582413"</f>
        <v>1551689067582413</v>
      </c>
      <c r="C2933" t="s">
        <v>40</v>
      </c>
      <c r="D2933">
        <v>5.2683739999999997</v>
      </c>
      <c r="E2933">
        <v>0.52685360000000003</v>
      </c>
      <c r="F2933" t="s">
        <v>45</v>
      </c>
      <c r="G2933">
        <v>-440.084</v>
      </c>
      <c r="H2933" s="1">
        <v>-1.4440690000000001E-6</v>
      </c>
      <c r="I2933">
        <v>213.51820000000001</v>
      </c>
      <c r="J2933">
        <v>-448.47390000000001</v>
      </c>
      <c r="K2933">
        <v>1.1112850000000001</v>
      </c>
      <c r="L2933">
        <v>213.09059999999999</v>
      </c>
      <c r="M2933">
        <v>0.99655340000000003</v>
      </c>
      <c r="N2933">
        <v>-7.6655530000000003E-3</v>
      </c>
      <c r="O2933">
        <v>-8.2598790000000005E-2</v>
      </c>
      <c r="P2933">
        <v>0.9295369</v>
      </c>
      <c r="Q2933">
        <v>0.36056670000000002</v>
      </c>
      <c r="R2933">
        <v>7.7155799999999997E-2</v>
      </c>
      <c r="S2933">
        <v>3.380951</v>
      </c>
      <c r="T2933">
        <v>-0.4332106</v>
      </c>
      <c r="U2933">
        <v>0.158004799999999</v>
      </c>
      <c r="V2933">
        <v>-0.15470719999999999</v>
      </c>
      <c r="W2933">
        <v>0.36717420000000001</v>
      </c>
      <c r="X2933">
        <v>0.91719620000000002</v>
      </c>
      <c r="Y2933">
        <v>-0.1273369</v>
      </c>
      <c r="Z2933">
        <v>1.8511059999999999E-2</v>
      </c>
      <c r="AA2933">
        <v>0.99168679999999998</v>
      </c>
      <c r="AB2933">
        <v>29</v>
      </c>
      <c r="AC2933">
        <v>8.3899000000000097</v>
      </c>
      <c r="AD2933">
        <v>-1.111286444069</v>
      </c>
      <c r="AE2933">
        <v>0.42760000000001203</v>
      </c>
      <c r="AF2933">
        <v>-1.0999074847626999</v>
      </c>
      <c r="AG2933">
        <v>-1.111286444069</v>
      </c>
      <c r="AH2933">
        <v>8.1827197982829603</v>
      </c>
      <c r="AI2933">
        <v>97.665848172754394</v>
      </c>
      <c r="AJ2933">
        <v>97.655714218241201</v>
      </c>
      <c r="AK2933">
        <v>8.3307657110868494</v>
      </c>
      <c r="AL2933">
        <v>68.458552821756498</v>
      </c>
      <c r="AM2933">
        <v>99.574191880012407</v>
      </c>
      <c r="AN2933">
        <v>1.0000000400859499</v>
      </c>
    </row>
    <row r="2934" spans="1:40" x14ac:dyDescent="0.25">
      <c r="A2934" t="str">
        <f>"20190304164427615"</f>
        <v>20190304164427615</v>
      </c>
      <c r="B2934" t="str">
        <f>"1551689067602909"</f>
        <v>1551689067602909</v>
      </c>
      <c r="C2934" t="s">
        <v>40</v>
      </c>
      <c r="D2934">
        <v>5.3115160000000001</v>
      </c>
      <c r="E2934">
        <v>0.52701489999999995</v>
      </c>
      <c r="F2934" t="s">
        <v>46</v>
      </c>
      <c r="G2934">
        <v>-439.75880000000001</v>
      </c>
      <c r="H2934" s="1">
        <v>6.6422779999999997E-6</v>
      </c>
      <c r="I2934">
        <v>213.4991</v>
      </c>
      <c r="J2934">
        <v>-448.18340000000001</v>
      </c>
      <c r="K2934">
        <v>1.111432</v>
      </c>
      <c r="L2934">
        <v>213.0684</v>
      </c>
      <c r="M2934">
        <v>0.99670270000000005</v>
      </c>
      <c r="N2934">
        <v>-7.6235499999999998E-3</v>
      </c>
      <c r="O2934">
        <v>-8.0781870000000006E-2</v>
      </c>
      <c r="P2934">
        <v>0.92931010000000003</v>
      </c>
      <c r="Q2934">
        <v>0.36093029999999998</v>
      </c>
      <c r="R2934">
        <v>7.8181490000000006E-2</v>
      </c>
      <c r="S2934">
        <v>3.381561</v>
      </c>
      <c r="T2934">
        <v>-0.4311874</v>
      </c>
      <c r="U2934">
        <v>0.15850829999999999</v>
      </c>
      <c r="V2934">
        <v>-0.15417220000000001</v>
      </c>
      <c r="W2934">
        <v>0.36744349999999998</v>
      </c>
      <c r="X2934">
        <v>0.91717839999999995</v>
      </c>
      <c r="Y2934">
        <v>-0.1257112</v>
      </c>
      <c r="Z2934">
        <v>1.8096170000000002E-2</v>
      </c>
      <c r="AA2934">
        <v>0.99190179999999994</v>
      </c>
      <c r="AB2934">
        <v>29</v>
      </c>
      <c r="AC2934">
        <v>8.4245999999999892</v>
      </c>
      <c r="AD2934">
        <v>-1.1114253577219999</v>
      </c>
      <c r="AE2934">
        <v>0.43070000000000103</v>
      </c>
      <c r="AF2934">
        <v>-1.09092938666259</v>
      </c>
      <c r="AG2934">
        <v>-1.1114253577219999</v>
      </c>
      <c r="AH2934">
        <v>8.2195863820458293</v>
      </c>
      <c r="AI2934">
        <v>97.634492262446798</v>
      </c>
      <c r="AJ2934">
        <v>97.560290302007004</v>
      </c>
      <c r="AK2934">
        <v>8.3658229448383992</v>
      </c>
      <c r="AL2934">
        <v>68.441962666240997</v>
      </c>
      <c r="AM2934">
        <v>99.541874497283999</v>
      </c>
      <c r="AN2934">
        <v>1.00000000518582</v>
      </c>
    </row>
    <row r="2935" spans="1:40" x14ac:dyDescent="0.25">
      <c r="A2935" t="str">
        <f>"20190304164427635"</f>
        <v>20190304164427635</v>
      </c>
      <c r="B2935" t="str">
        <f>"1551689067633165"</f>
        <v>1551689067633165</v>
      </c>
      <c r="C2935" t="s">
        <v>40</v>
      </c>
      <c r="D2935">
        <v>5.2713530000000004</v>
      </c>
      <c r="E2935">
        <v>0.52709899999999998</v>
      </c>
      <c r="F2935" t="s">
        <v>46</v>
      </c>
      <c r="G2935">
        <v>-439.46980000000002</v>
      </c>
      <c r="H2935" s="1">
        <v>6.5154469999999997E-6</v>
      </c>
      <c r="I2935">
        <v>213.4837</v>
      </c>
      <c r="J2935">
        <v>-447.9178</v>
      </c>
      <c r="K2935">
        <v>1.11155</v>
      </c>
      <c r="L2935">
        <v>213.04859999999999</v>
      </c>
      <c r="M2935">
        <v>0.99684890000000004</v>
      </c>
      <c r="N2935">
        <v>-7.5883499999999998E-3</v>
      </c>
      <c r="O2935">
        <v>-7.8960279999999994E-2</v>
      </c>
      <c r="P2935">
        <v>0.92915429999999999</v>
      </c>
      <c r="Q2935">
        <v>0.36104589999999998</v>
      </c>
      <c r="R2935">
        <v>7.9488530000000002E-2</v>
      </c>
      <c r="S2935">
        <v>3.3821720000000002</v>
      </c>
      <c r="T2935">
        <v>-0.4313941</v>
      </c>
      <c r="U2935">
        <v>0.16120909999999999</v>
      </c>
      <c r="V2935">
        <v>-0.1538969</v>
      </c>
      <c r="W2935">
        <v>0.36747980000000002</v>
      </c>
      <c r="X2935">
        <v>0.91721010000000003</v>
      </c>
      <c r="Y2935">
        <v>-0.1247011</v>
      </c>
      <c r="Z2935">
        <v>1.7816829999999999E-2</v>
      </c>
      <c r="AA2935">
        <v>0.99203439999999998</v>
      </c>
      <c r="AB2935">
        <v>29</v>
      </c>
      <c r="AC2935">
        <v>8.4479999999999702</v>
      </c>
      <c r="AD2935">
        <v>-1.1115434845529999</v>
      </c>
      <c r="AE2935">
        <v>0.43510000000000498</v>
      </c>
      <c r="AF2935">
        <v>-1.08213284548764</v>
      </c>
      <c r="AG2935">
        <v>-1.1115434845529999</v>
      </c>
      <c r="AH2935">
        <v>8.2449076918087201</v>
      </c>
      <c r="AI2935">
        <v>97.6135595226134</v>
      </c>
      <c r="AJ2935">
        <v>97.477253184873206</v>
      </c>
      <c r="AK2935">
        <v>8.3895794447506091</v>
      </c>
      <c r="AL2935">
        <v>68.439726561330104</v>
      </c>
      <c r="AM2935">
        <v>99.524825206015095</v>
      </c>
      <c r="AN2935">
        <v>1.0000000133898299</v>
      </c>
    </row>
    <row r="2936" spans="1:40" x14ac:dyDescent="0.25">
      <c r="A2936" t="str">
        <f>"20190304164427658"</f>
        <v>20190304164427658</v>
      </c>
      <c r="B2936" t="str">
        <f>"1551689067652685"</f>
        <v>1551689067652685</v>
      </c>
      <c r="C2936" t="s">
        <v>40</v>
      </c>
      <c r="D2936">
        <v>5.181521</v>
      </c>
      <c r="E2936">
        <v>0.52706790000000003</v>
      </c>
      <c r="F2936" t="s">
        <v>46</v>
      </c>
      <c r="G2936">
        <v>-439.23950000000002</v>
      </c>
      <c r="H2936" s="1">
        <v>6.4140739999999998E-6</v>
      </c>
      <c r="I2936">
        <v>213.4752</v>
      </c>
      <c r="J2936">
        <v>-447.62430000000001</v>
      </c>
      <c r="K2936">
        <v>1.1116490000000001</v>
      </c>
      <c r="L2936">
        <v>213.0275</v>
      </c>
      <c r="M2936">
        <v>0.99701669999999998</v>
      </c>
      <c r="N2936">
        <v>-7.5527869999999896E-3</v>
      </c>
      <c r="O2936">
        <v>-7.6815270000000005E-2</v>
      </c>
      <c r="P2936">
        <v>0.92903400000000003</v>
      </c>
      <c r="Q2936">
        <v>0.36087200000000003</v>
      </c>
      <c r="R2936">
        <v>8.1655450000000004E-2</v>
      </c>
      <c r="S2936">
        <v>3.3828740000000002</v>
      </c>
      <c r="T2936">
        <v>-0.43328879999999997</v>
      </c>
      <c r="U2936">
        <v>0.16630549999999999</v>
      </c>
      <c r="V2936">
        <v>-0.15417259999999999</v>
      </c>
      <c r="W2936">
        <v>0.36722919999999998</v>
      </c>
      <c r="X2936">
        <v>0.91726410000000003</v>
      </c>
      <c r="Y2936">
        <v>-0.124055399999999</v>
      </c>
      <c r="Z2936">
        <v>1.759088E-2</v>
      </c>
      <c r="AA2936">
        <v>0.99211939999999998</v>
      </c>
      <c r="AB2936">
        <v>29</v>
      </c>
      <c r="AC2936">
        <v>8.3847999999999807</v>
      </c>
      <c r="AD2936">
        <v>-1.111642585926</v>
      </c>
      <c r="AE2936">
        <v>0.44769999999999699</v>
      </c>
      <c r="AF2936">
        <v>-1.07169259607623</v>
      </c>
      <c r="AG2936">
        <v>-1.111642585926</v>
      </c>
      <c r="AH2936">
        <v>8.1822230484353096</v>
      </c>
      <c r="AI2936">
        <v>97.672135687320605</v>
      </c>
      <c r="AJ2936">
        <v>97.462018776643305</v>
      </c>
      <c r="AK2936">
        <v>8.3266468805681306</v>
      </c>
      <c r="AL2936">
        <v>68.455162896242896</v>
      </c>
      <c r="AM2936">
        <v>99.541023688966007</v>
      </c>
      <c r="AN2936">
        <v>0.99999995253610396</v>
      </c>
    </row>
    <row r="2937" spans="1:40" x14ac:dyDescent="0.25">
      <c r="A2937" t="str">
        <f>"20190304164427681"</f>
        <v>20190304164427681</v>
      </c>
      <c r="B2937" t="str">
        <f>"1551689067673181"</f>
        <v>1551689067673181</v>
      </c>
      <c r="C2937" t="s">
        <v>40</v>
      </c>
      <c r="D2937">
        <v>5.2052500000000004</v>
      </c>
      <c r="E2937">
        <v>0.52711669999999999</v>
      </c>
      <c r="F2937" t="s">
        <v>46</v>
      </c>
      <c r="G2937">
        <v>-438.98759999999999</v>
      </c>
      <c r="H2937" s="1">
        <v>6.3025189999999997E-6</v>
      </c>
      <c r="I2937">
        <v>213.4736</v>
      </c>
      <c r="J2937">
        <v>-447.31369999999998</v>
      </c>
      <c r="K2937">
        <v>1.111728</v>
      </c>
      <c r="L2937">
        <v>213.0059</v>
      </c>
      <c r="M2937">
        <v>0.99719760000000002</v>
      </c>
      <c r="N2937">
        <v>-7.5184240000000001E-3</v>
      </c>
      <c r="O2937">
        <v>-7.4434600000000004E-2</v>
      </c>
      <c r="P2937">
        <v>0.92850889999999997</v>
      </c>
      <c r="Q2937">
        <v>0.3615949</v>
      </c>
      <c r="R2937">
        <v>8.4382650000000003E-2</v>
      </c>
      <c r="S2937">
        <v>3.382965</v>
      </c>
      <c r="T2937">
        <v>-0.4354286</v>
      </c>
      <c r="U2937">
        <v>0.17475889999999999</v>
      </c>
      <c r="V2937">
        <v>-0.15474479999999999</v>
      </c>
      <c r="W2937">
        <v>0.36787940000000002</v>
      </c>
      <c r="X2937">
        <v>0.91690720000000003</v>
      </c>
      <c r="Y2937">
        <v>-0.1241588</v>
      </c>
      <c r="Z2937">
        <v>1.7397079999999999E-2</v>
      </c>
      <c r="AA2937">
        <v>0.99210980000000004</v>
      </c>
      <c r="AB2937">
        <v>29</v>
      </c>
      <c r="AC2937">
        <v>8.3260999999999896</v>
      </c>
      <c r="AD2937">
        <v>-1.111721697481</v>
      </c>
      <c r="AE2937">
        <v>0.467700000000007</v>
      </c>
      <c r="AF2937">
        <v>-1.0672033604133999</v>
      </c>
      <c r="AG2937">
        <v>-1.111721697481</v>
      </c>
      <c r="AH2937">
        <v>8.1238093877974205</v>
      </c>
      <c r="AI2937">
        <v>97.726797675895199</v>
      </c>
      <c r="AJ2937">
        <v>97.483940343562594</v>
      </c>
      <c r="AK2937">
        <v>8.2686835176098796</v>
      </c>
      <c r="AL2937">
        <v>68.415106519431703</v>
      </c>
      <c r="AM2937">
        <v>99.579438181156803</v>
      </c>
      <c r="AN2937">
        <v>1.00000000974162</v>
      </c>
    </row>
    <row r="2938" spans="1:40" x14ac:dyDescent="0.25">
      <c r="A2938" t="str">
        <f>"20190304164427703"</f>
        <v>20190304164427703</v>
      </c>
      <c r="B2938" t="str">
        <f>"1551689067692666"</f>
        <v>1551689067692666</v>
      </c>
      <c r="C2938" t="s">
        <v>40</v>
      </c>
      <c r="D2938">
        <v>5.1721839999999997</v>
      </c>
      <c r="E2938">
        <v>0.52722729999999995</v>
      </c>
      <c r="F2938" t="s">
        <v>46</v>
      </c>
      <c r="G2938">
        <v>-438.65309999999999</v>
      </c>
      <c r="H2938" s="1">
        <v>6.1539989999999996E-6</v>
      </c>
      <c r="I2938">
        <v>213.47540000000001</v>
      </c>
      <c r="J2938">
        <v>-447.03160000000003</v>
      </c>
      <c r="K2938">
        <v>1.1117900000000001</v>
      </c>
      <c r="L2938">
        <v>212.9871</v>
      </c>
      <c r="M2938">
        <v>0.99736170000000002</v>
      </c>
      <c r="N2938">
        <v>-7.4903440000000003E-3</v>
      </c>
      <c r="O2938">
        <v>-7.2205829999999999E-2</v>
      </c>
      <c r="P2938">
        <v>0.92803829999999998</v>
      </c>
      <c r="Q2938">
        <v>0.36206129999999997</v>
      </c>
      <c r="R2938">
        <v>8.7502839999999998E-2</v>
      </c>
      <c r="S2938">
        <v>3.3834529999999998</v>
      </c>
      <c r="T2938">
        <v>-0.43431570000000003</v>
      </c>
      <c r="U2938">
        <v>0.1834259</v>
      </c>
      <c r="V2938">
        <v>-0.15582850000000001</v>
      </c>
      <c r="W2938">
        <v>0.36828820000000001</v>
      </c>
      <c r="X2938">
        <v>0.91655949999999997</v>
      </c>
      <c r="Y2938">
        <v>-0.1244908</v>
      </c>
      <c r="Z2938">
        <v>1.7104370000000001E-2</v>
      </c>
      <c r="AA2938">
        <v>0.99207339999999999</v>
      </c>
      <c r="AB2938">
        <v>29</v>
      </c>
      <c r="AC2938">
        <v>8.3785000000000291</v>
      </c>
      <c r="AD2938">
        <v>-1.1117838460009899</v>
      </c>
      <c r="AE2938">
        <v>0.488300000000009</v>
      </c>
      <c r="AF2938">
        <v>-1.07318620305291</v>
      </c>
      <c r="AG2938">
        <v>-1.1117838460009899</v>
      </c>
      <c r="AH2938">
        <v>8.1778619783362494</v>
      </c>
      <c r="AI2938">
        <v>97.676895246628106</v>
      </c>
      <c r="AJ2938">
        <v>97.476240819235997</v>
      </c>
      <c r="AK2938">
        <v>8.3225728283607996</v>
      </c>
      <c r="AL2938">
        <v>68.389915597943698</v>
      </c>
      <c r="AM2938">
        <v>99.648858532500398</v>
      </c>
      <c r="AN2938">
        <v>1.0000000183558599</v>
      </c>
    </row>
    <row r="2939" spans="1:40" x14ac:dyDescent="0.25">
      <c r="A2939" t="str">
        <f>"20190304164427723"</f>
        <v>20190304164427723</v>
      </c>
      <c r="B2939" t="str">
        <f>"1551689067713162"</f>
        <v>1551689067713162</v>
      </c>
      <c r="C2939" t="s">
        <v>40</v>
      </c>
      <c r="D2939">
        <v>5.1548559999999997</v>
      </c>
      <c r="E2939">
        <v>0.52735769999999904</v>
      </c>
      <c r="F2939" t="s">
        <v>46</v>
      </c>
      <c r="G2939">
        <v>-438.35849999999999</v>
      </c>
      <c r="H2939" s="1">
        <v>6.0226340000000002E-6</v>
      </c>
      <c r="I2939">
        <v>213.4838</v>
      </c>
      <c r="J2939">
        <v>-446.7568</v>
      </c>
      <c r="K2939">
        <v>1.1118330000000001</v>
      </c>
      <c r="L2939">
        <v>212.9693</v>
      </c>
      <c r="M2939">
        <v>0.99751909999999999</v>
      </c>
      <c r="N2939">
        <v>-7.4662009999999996E-3</v>
      </c>
      <c r="O2939">
        <v>-6.9998840000000007E-2</v>
      </c>
      <c r="P2939">
        <v>0.92778329999999998</v>
      </c>
      <c r="Q2939">
        <v>0.36196820000000002</v>
      </c>
      <c r="R2939">
        <v>9.0537400000000004E-2</v>
      </c>
      <c r="S2939">
        <v>3.3836059999999999</v>
      </c>
      <c r="T2939">
        <v>-0.43373319999999999</v>
      </c>
      <c r="U2939">
        <v>0.1938019</v>
      </c>
      <c r="V2939">
        <v>-0.1568473</v>
      </c>
      <c r="W2939">
        <v>0.368149</v>
      </c>
      <c r="X2939">
        <v>0.91644159999999997</v>
      </c>
      <c r="Y2939">
        <v>-0.12533939999999999</v>
      </c>
      <c r="Z2939">
        <v>1.687234E-2</v>
      </c>
      <c r="AA2939">
        <v>0.99197040000000003</v>
      </c>
      <c r="AB2939">
        <v>29</v>
      </c>
      <c r="AC2939">
        <v>8.3983000000000008</v>
      </c>
      <c r="AD2939">
        <v>-1.1118269773659999</v>
      </c>
      <c r="AE2939">
        <v>0.51449999999999796</v>
      </c>
      <c r="AF2939">
        <v>-1.08222895078167</v>
      </c>
      <c r="AG2939">
        <v>-1.1118269773659999</v>
      </c>
      <c r="AH2939">
        <v>8.1985299271722401</v>
      </c>
      <c r="AI2939">
        <v>97.657309889833897</v>
      </c>
      <c r="AJ2939">
        <v>97.519728311625997</v>
      </c>
      <c r="AK2939">
        <v>8.34405606981686</v>
      </c>
      <c r="AL2939">
        <v>68.398493107161698</v>
      </c>
      <c r="AM2939">
        <v>99.711970496744897</v>
      </c>
      <c r="AN2939">
        <v>0.99999998396442402</v>
      </c>
    </row>
    <row r="2940" spans="1:40" x14ac:dyDescent="0.25">
      <c r="A2940" t="str">
        <f>"20190304164427748"</f>
        <v>20190304164427748</v>
      </c>
      <c r="B2940" t="str">
        <f>"1551689067742442"</f>
        <v>1551689067742442</v>
      </c>
      <c r="C2940" t="s">
        <v>40</v>
      </c>
      <c r="D2940">
        <v>5.1079319999999999</v>
      </c>
      <c r="E2940">
        <v>0.5342422</v>
      </c>
      <c r="F2940" t="s">
        <v>46</v>
      </c>
      <c r="G2940">
        <v>-438.08330000000001</v>
      </c>
      <c r="H2940" s="1">
        <v>5.8998010000000001E-6</v>
      </c>
      <c r="I2940">
        <v>213.49289999999999</v>
      </c>
      <c r="J2940">
        <v>-446.4436</v>
      </c>
      <c r="K2940">
        <v>1.111874</v>
      </c>
      <c r="L2940">
        <v>212.94990000000001</v>
      </c>
      <c r="M2940">
        <v>0.99769390000000002</v>
      </c>
      <c r="N2940">
        <v>-7.4420450000000004E-3</v>
      </c>
      <c r="O2940">
        <v>-6.7467399999999997E-2</v>
      </c>
      <c r="P2940">
        <v>0.92780450000000003</v>
      </c>
      <c r="Q2940">
        <v>0.3611742</v>
      </c>
      <c r="R2940">
        <v>9.3447879999999997E-2</v>
      </c>
      <c r="S2940">
        <v>3.3827820000000002</v>
      </c>
      <c r="T2940">
        <v>-0.43362810000000002</v>
      </c>
      <c r="U2940">
        <v>0.20420840000000001</v>
      </c>
      <c r="V2940">
        <v>-0.157452799999999</v>
      </c>
      <c r="W2940">
        <v>0.36731619999999998</v>
      </c>
      <c r="X2940">
        <v>0.91667189999999998</v>
      </c>
      <c r="Y2940">
        <v>-0.12589110000000001</v>
      </c>
      <c r="Z2940">
        <v>1.660472E-2</v>
      </c>
      <c r="AA2940">
        <v>0.99190509999999998</v>
      </c>
      <c r="AB2940">
        <v>30</v>
      </c>
      <c r="AC2940">
        <v>8.3602999999999899</v>
      </c>
      <c r="AD2940">
        <v>-1.1118681001989901</v>
      </c>
      <c r="AE2940">
        <v>0.54299999999997794</v>
      </c>
      <c r="AF2940">
        <v>-1.08668606243709</v>
      </c>
      <c r="AG2940">
        <v>-1.1118681001989901</v>
      </c>
      <c r="AH2940">
        <v>8.1608760942468397</v>
      </c>
      <c r="AI2940">
        <v>97.691355472570294</v>
      </c>
      <c r="AJ2940">
        <v>97.584773607314801</v>
      </c>
      <c r="AK2940">
        <v>8.3076492400789697</v>
      </c>
      <c r="AL2940">
        <v>68.449804098433901</v>
      </c>
      <c r="AM2940">
        <v>99.746342664543604</v>
      </c>
      <c r="AN2940">
        <v>0.99999997362994397</v>
      </c>
    </row>
    <row r="2941" spans="1:40" x14ac:dyDescent="0.25">
      <c r="A2941" t="str">
        <f>"20190304164427770"</f>
        <v>20190304164427770</v>
      </c>
      <c r="B2941" t="str">
        <f>"1551689067762938"</f>
        <v>1551689067762938</v>
      </c>
      <c r="C2941" t="s">
        <v>40</v>
      </c>
      <c r="D2941">
        <v>5.1505260000000002</v>
      </c>
      <c r="E2941">
        <v>0.5348311</v>
      </c>
      <c r="F2941" t="s">
        <v>46</v>
      </c>
      <c r="G2941">
        <v>-436.4273</v>
      </c>
      <c r="H2941" s="1">
        <v>5.1721610000000002E-6</v>
      </c>
      <c r="I2941">
        <v>213.4162</v>
      </c>
      <c r="J2941">
        <v>-446.13650000000001</v>
      </c>
      <c r="K2941">
        <v>1.1118950000000001</v>
      </c>
      <c r="L2941">
        <v>212.9315</v>
      </c>
      <c r="M2941">
        <v>0.99785880000000005</v>
      </c>
      <c r="N2941">
        <v>-7.4216309999999997E-3</v>
      </c>
      <c r="O2941">
        <v>-6.4984169999999994E-2</v>
      </c>
      <c r="P2941">
        <v>0.92776230000000004</v>
      </c>
      <c r="Q2941">
        <v>0.36059970000000002</v>
      </c>
      <c r="R2941">
        <v>9.6048439999999999E-2</v>
      </c>
      <c r="S2941">
        <v>3.3629760000000002</v>
      </c>
      <c r="T2941">
        <v>-0.37331130000000001</v>
      </c>
      <c r="U2941">
        <v>0.15655520000000001</v>
      </c>
      <c r="V2941">
        <v>-0.15778</v>
      </c>
      <c r="W2941">
        <v>0.36671199999999998</v>
      </c>
      <c r="X2941">
        <v>0.91685749999999999</v>
      </c>
      <c r="Y2941">
        <v>-0.1102511</v>
      </c>
      <c r="Z2941">
        <v>1.3213819999999999E-2</v>
      </c>
      <c r="AA2941">
        <v>0.99381589999999997</v>
      </c>
      <c r="AB2941">
        <v>30</v>
      </c>
      <c r="AC2941">
        <v>9.7092000000000098</v>
      </c>
      <c r="AD2941">
        <v>-1.1118898278389999</v>
      </c>
      <c r="AE2941">
        <v>0.48470000000000302</v>
      </c>
      <c r="AF2941">
        <v>-1.10024360981267</v>
      </c>
      <c r="AG2941">
        <v>-1.1118898278389999</v>
      </c>
      <c r="AH2941">
        <v>9.5324735515749204</v>
      </c>
      <c r="AI2941">
        <v>96.609560564897905</v>
      </c>
      <c r="AJ2941">
        <v>96.583978096724294</v>
      </c>
      <c r="AK2941">
        <v>9.6599630952535591</v>
      </c>
      <c r="AL2941">
        <v>68.487018661972996</v>
      </c>
      <c r="AM2941">
        <v>99.764267818946394</v>
      </c>
      <c r="AN2941">
        <v>0.99999994732512298</v>
      </c>
    </row>
    <row r="2942" spans="1:40" x14ac:dyDescent="0.25">
      <c r="A2942" t="str">
        <f>"20190304164427795"</f>
        <v>20190304164427795</v>
      </c>
      <c r="B2942" t="str">
        <f>"1551689067782458"</f>
        <v>1551689067782458</v>
      </c>
      <c r="C2942" t="s">
        <v>40</v>
      </c>
      <c r="D2942">
        <v>5.1075559999999998</v>
      </c>
      <c r="E2942">
        <v>0.53522040000000004</v>
      </c>
      <c r="F2942" t="s">
        <v>46</v>
      </c>
      <c r="G2942">
        <v>-436.18950000000001</v>
      </c>
      <c r="H2942" s="1">
        <v>5.0666849999999999E-6</v>
      </c>
      <c r="I2942">
        <v>213.41650000000001</v>
      </c>
      <c r="J2942">
        <v>-445.83010000000002</v>
      </c>
      <c r="K2942">
        <v>1.1119159999999999</v>
      </c>
      <c r="L2942">
        <v>212.91399999999999</v>
      </c>
      <c r="M2942">
        <v>0.99801680000000004</v>
      </c>
      <c r="N2942">
        <v>-7.4044030000000004E-3</v>
      </c>
      <c r="O2942">
        <v>-6.251313E-2</v>
      </c>
      <c r="P2942">
        <v>0.92758280000000004</v>
      </c>
      <c r="Q2942">
        <v>0.3606394</v>
      </c>
      <c r="R2942">
        <v>9.7619940000000002E-2</v>
      </c>
      <c r="S2942">
        <v>3.3627319999999998</v>
      </c>
      <c r="T2942">
        <v>-0.37589349999999999</v>
      </c>
      <c r="U2942">
        <v>0.16394039999999999</v>
      </c>
      <c r="V2942">
        <v>-0.15707869999999999</v>
      </c>
      <c r="W2942">
        <v>0.36673159999999999</v>
      </c>
      <c r="X2942">
        <v>0.91697010000000001</v>
      </c>
      <c r="Y2942">
        <v>-0.10997179999999999</v>
      </c>
      <c r="Z2942">
        <v>1.3032459999999999E-2</v>
      </c>
      <c r="AA2942">
        <v>0.99384930000000005</v>
      </c>
      <c r="AB2942">
        <v>30</v>
      </c>
      <c r="AC2942">
        <v>9.6405999999999992</v>
      </c>
      <c r="AD2942">
        <v>-1.1119109333149999</v>
      </c>
      <c r="AE2942">
        <v>0.50249999999999695</v>
      </c>
      <c r="AF2942">
        <v>-1.08974070261039</v>
      </c>
      <c r="AG2942">
        <v>-1.1119109333149999</v>
      </c>
      <c r="AH2942">
        <v>9.4647661052636902</v>
      </c>
      <c r="AI2942">
        <v>96.656758477296407</v>
      </c>
      <c r="AJ2942">
        <v>96.567919016497697</v>
      </c>
      <c r="AK2942">
        <v>9.5919590360832796</v>
      </c>
      <c r="AL2942">
        <v>68.485812177788901</v>
      </c>
      <c r="AM2942">
        <v>99.720526627261293</v>
      </c>
      <c r="AN2942">
        <v>0.99999997436312904</v>
      </c>
    </row>
    <row r="2943" spans="1:40" x14ac:dyDescent="0.25">
      <c r="A2943" t="str">
        <f>"20190304164427814"</f>
        <v>20190304164427814</v>
      </c>
      <c r="B2943" t="str">
        <f>"1551689067802954"</f>
        <v>1551689067802954</v>
      </c>
      <c r="C2943" t="s">
        <v>40</v>
      </c>
      <c r="D2943">
        <v>5.0962719999999999</v>
      </c>
      <c r="E2943">
        <v>0.53545559999999903</v>
      </c>
      <c r="F2943" t="s">
        <v>46</v>
      </c>
      <c r="G2943">
        <v>-435.94920000000002</v>
      </c>
      <c r="H2943" s="1">
        <v>4.9603760000000002E-6</v>
      </c>
      <c r="I2943">
        <v>213.4135</v>
      </c>
      <c r="J2943">
        <v>-445.56200000000001</v>
      </c>
      <c r="K2943">
        <v>1.1119159999999999</v>
      </c>
      <c r="L2943">
        <v>212.89940000000001</v>
      </c>
      <c r="M2943">
        <v>0.99814930000000002</v>
      </c>
      <c r="N2943">
        <v>-7.3916110000000002E-3</v>
      </c>
      <c r="O2943">
        <v>-6.0358969999999998E-2</v>
      </c>
      <c r="P2943">
        <v>0.92768569999999995</v>
      </c>
      <c r="Q2943">
        <v>0.36023509999999997</v>
      </c>
      <c r="R2943">
        <v>9.813181E-2</v>
      </c>
      <c r="S2943">
        <v>3.3634949999999999</v>
      </c>
      <c r="T2943">
        <v>-0.37850030000000001</v>
      </c>
      <c r="U2943">
        <v>0.1700287</v>
      </c>
      <c r="V2943">
        <v>-0.1556216</v>
      </c>
      <c r="W2943">
        <v>0.36631989999999998</v>
      </c>
      <c r="X2943">
        <v>0.91738310000000001</v>
      </c>
      <c r="Y2943">
        <v>-0.1096104</v>
      </c>
      <c r="Z2943">
        <v>1.2872299999999901E-2</v>
      </c>
      <c r="AA2943">
        <v>0.99389130000000003</v>
      </c>
      <c r="AB2943">
        <v>30</v>
      </c>
      <c r="AC2943">
        <v>9.6127999999999307</v>
      </c>
      <c r="AD2943">
        <v>-1.111911039624</v>
      </c>
      <c r="AE2943">
        <v>0.51409999999998401</v>
      </c>
      <c r="AF2943">
        <v>-1.07900186006198</v>
      </c>
      <c r="AG2943">
        <v>-1.111911039624</v>
      </c>
      <c r="AH2943">
        <v>9.4383209904332404</v>
      </c>
      <c r="AI2943">
        <v>96.675853177442093</v>
      </c>
      <c r="AJ2943">
        <v>96.521818769487894</v>
      </c>
      <c r="AK2943">
        <v>9.5646481530952094</v>
      </c>
      <c r="AL2943">
        <v>68.511166970333704</v>
      </c>
      <c r="AM2943">
        <v>99.627798543847206</v>
      </c>
      <c r="AN2943">
        <v>1.0000000518440799</v>
      </c>
    </row>
    <row r="2944" spans="1:40" x14ac:dyDescent="0.25">
      <c r="A2944" t="str">
        <f>"20190304164427837"</f>
        <v>20190304164427837</v>
      </c>
      <c r="B2944" t="str">
        <f>"1551689067833210"</f>
        <v>1551689067833210</v>
      </c>
      <c r="C2944" t="s">
        <v>40</v>
      </c>
      <c r="D2944">
        <v>5.0955180000000002</v>
      </c>
      <c r="E2944">
        <v>0.53573539999999997</v>
      </c>
      <c r="F2944" t="s">
        <v>46</v>
      </c>
      <c r="G2944">
        <v>-435.69</v>
      </c>
      <c r="H2944" s="1">
        <v>4.8466250000000004E-6</v>
      </c>
      <c r="I2944">
        <v>213.3999</v>
      </c>
      <c r="J2944">
        <v>-445.26369999999997</v>
      </c>
      <c r="K2944">
        <v>1.1119220000000001</v>
      </c>
      <c r="L2944">
        <v>212.8837</v>
      </c>
      <c r="M2944">
        <v>0.99829109999999999</v>
      </c>
      <c r="N2944">
        <v>-7.3794459999999996E-3</v>
      </c>
      <c r="O2944">
        <v>-5.7970340000000002E-2</v>
      </c>
      <c r="P2944">
        <v>0.92756729999999998</v>
      </c>
      <c r="Q2944">
        <v>0.3602167</v>
      </c>
      <c r="R2944">
        <v>9.9312769999999995E-2</v>
      </c>
      <c r="S2944">
        <v>3.3629150000000001</v>
      </c>
      <c r="T2944">
        <v>-0.37877810000000001</v>
      </c>
      <c r="U2944">
        <v>0.17053219999999999</v>
      </c>
      <c r="V2944">
        <v>-0.1546032</v>
      </c>
      <c r="W2944">
        <v>0.36629139999999999</v>
      </c>
      <c r="X2944">
        <v>0.91756660000000001</v>
      </c>
      <c r="Y2944">
        <v>-0.107415</v>
      </c>
      <c r="Z2944">
        <v>1.2502360000000001E-2</v>
      </c>
      <c r="AA2944">
        <v>0.99413569999999996</v>
      </c>
      <c r="AB2944">
        <v>30</v>
      </c>
      <c r="AC2944">
        <v>9.5736999999999703</v>
      </c>
      <c r="AD2944">
        <v>-1.1119171533750001</v>
      </c>
      <c r="AE2944">
        <v>0.51619999999999699</v>
      </c>
      <c r="AF2944">
        <v>-1.0561325260627601</v>
      </c>
      <c r="AG2944">
        <v>-1.1119171533750001</v>
      </c>
      <c r="AH2944">
        <v>9.4012268467818991</v>
      </c>
      <c r="AI2944">
        <v>96.703463860145206</v>
      </c>
      <c r="AJ2944">
        <v>96.409726007056506</v>
      </c>
      <c r="AK2944">
        <v>9.5254838141288101</v>
      </c>
      <c r="AL2944">
        <v>68.5129207579119</v>
      </c>
      <c r="AM2944">
        <v>99.564083809187693</v>
      </c>
      <c r="AN2944">
        <v>1.0000000022998701</v>
      </c>
    </row>
    <row r="2945" spans="1:40" x14ac:dyDescent="0.25">
      <c r="A2945" t="str">
        <f>"20190304164427859"</f>
        <v>20190304164427859</v>
      </c>
      <c r="B2945" t="str">
        <f>"1551689067852730"</f>
        <v>1551689067852730</v>
      </c>
      <c r="C2945" t="s">
        <v>40</v>
      </c>
      <c r="D2945">
        <v>5.1022049999999997</v>
      </c>
      <c r="E2945">
        <v>0.5360142</v>
      </c>
      <c r="F2945" t="s">
        <v>46</v>
      </c>
      <c r="G2945">
        <v>-435.40710000000001</v>
      </c>
      <c r="H2945" s="1">
        <v>4.7225290000000003E-6</v>
      </c>
      <c r="I2945">
        <v>213.38409999999999</v>
      </c>
      <c r="J2945">
        <v>-444.95679999999999</v>
      </c>
      <c r="K2945">
        <v>1.111939</v>
      </c>
      <c r="L2945">
        <v>212.86840000000001</v>
      </c>
      <c r="M2945">
        <v>0.9984305</v>
      </c>
      <c r="N2945">
        <v>-7.3691679999999997E-3</v>
      </c>
      <c r="O2945">
        <v>-5.5519480000000003E-2</v>
      </c>
      <c r="P2945">
        <v>0.92746700000000004</v>
      </c>
      <c r="Q2945">
        <v>0.36015330000000001</v>
      </c>
      <c r="R2945">
        <v>0.1004718</v>
      </c>
      <c r="S2945">
        <v>3.3633120000000001</v>
      </c>
      <c r="T2945">
        <v>-0.37941370000000002</v>
      </c>
      <c r="U2945">
        <v>0.170745799999999</v>
      </c>
      <c r="V2945">
        <v>-0.15350559999999999</v>
      </c>
      <c r="W2945">
        <v>0.36622090000000002</v>
      </c>
      <c r="X2945">
        <v>0.91777900000000001</v>
      </c>
      <c r="Y2945">
        <v>-0.1050575</v>
      </c>
      <c r="Z2945">
        <v>1.212334E-2</v>
      </c>
      <c r="AA2945">
        <v>0.99439219999999895</v>
      </c>
      <c r="AB2945">
        <v>30</v>
      </c>
      <c r="AC2945">
        <v>9.5496999999999694</v>
      </c>
      <c r="AD2945">
        <v>-1.1119342774709999</v>
      </c>
      <c r="AE2945">
        <v>0.51569999999998095</v>
      </c>
      <c r="AF2945">
        <v>-1.0311738082026101</v>
      </c>
      <c r="AG2945">
        <v>-1.1119342774709999</v>
      </c>
      <c r="AH2945">
        <v>9.3795444365596499</v>
      </c>
      <c r="AI2945">
        <v>96.720676345630395</v>
      </c>
      <c r="AJ2945">
        <v>96.273821502955201</v>
      </c>
      <c r="AK2945">
        <v>9.5013457519203595</v>
      </c>
      <c r="AL2945">
        <v>68.517261805259395</v>
      </c>
      <c r="AM2945">
        <v>99.495267244513897</v>
      </c>
      <c r="AN2945">
        <v>1.0000000048345801</v>
      </c>
    </row>
    <row r="2946" spans="1:40" x14ac:dyDescent="0.25">
      <c r="A2946" t="str">
        <f>"20190304164427882"</f>
        <v>20190304164427882</v>
      </c>
      <c r="B2946" t="str">
        <f>"1551689067873227"</f>
        <v>1551689067873227</v>
      </c>
      <c r="C2946" t="s">
        <v>40</v>
      </c>
      <c r="D2946">
        <v>5.0973850000000001</v>
      </c>
      <c r="E2946">
        <v>0.53615469999999998</v>
      </c>
      <c r="F2946" t="s">
        <v>46</v>
      </c>
      <c r="G2946">
        <v>-435.13659999999999</v>
      </c>
      <c r="H2946" s="1">
        <v>4.6042309999999997E-6</v>
      </c>
      <c r="I2946">
        <v>213.36539999999999</v>
      </c>
      <c r="J2946">
        <v>-444.65260000000001</v>
      </c>
      <c r="K2946">
        <v>1.11195</v>
      </c>
      <c r="L2946">
        <v>212.85400000000001</v>
      </c>
      <c r="M2946">
        <v>0.99856239999999996</v>
      </c>
      <c r="N2946">
        <v>-7.3607719999999998E-3</v>
      </c>
      <c r="O2946">
        <v>-5.309403E-2</v>
      </c>
      <c r="P2946">
        <v>0.92735599999999996</v>
      </c>
      <c r="Q2946">
        <v>0.35991299999999998</v>
      </c>
      <c r="R2946">
        <v>0.10233970000000001</v>
      </c>
      <c r="S2946">
        <v>3.3641049999999999</v>
      </c>
      <c r="T2946">
        <v>-0.38091580000000003</v>
      </c>
      <c r="U2946">
        <v>0.17024230000000001</v>
      </c>
      <c r="V2946">
        <v>-0.15313660000000001</v>
      </c>
      <c r="W2946">
        <v>0.36597200000000002</v>
      </c>
      <c r="X2946">
        <v>0.91793999999999998</v>
      </c>
      <c r="Y2946">
        <v>-0.10250479999999999</v>
      </c>
      <c r="Z2946">
        <v>1.1759250000000001E-2</v>
      </c>
      <c r="AA2946">
        <v>0.99466299999999996</v>
      </c>
      <c r="AB2946">
        <v>30</v>
      </c>
      <c r="AC2946">
        <v>9.5160000000000196</v>
      </c>
      <c r="AD2946">
        <v>-1.111945395769</v>
      </c>
      <c r="AE2946">
        <v>0.51139999999997998</v>
      </c>
      <c r="AF2946">
        <v>-1.0022893214878701</v>
      </c>
      <c r="AG2946">
        <v>-1.111945395769</v>
      </c>
      <c r="AH2946">
        <v>9.3481525368949807</v>
      </c>
      <c r="AI2946">
        <v>96.745055175980397</v>
      </c>
      <c r="AJ2946">
        <v>96.119754601413206</v>
      </c>
      <c r="AK2946">
        <v>9.4672573800545106</v>
      </c>
      <c r="AL2946">
        <v>68.532588389233396</v>
      </c>
      <c r="AM2946">
        <v>99.471225114961399</v>
      </c>
      <c r="AN2946">
        <v>1.0000000833217699</v>
      </c>
    </row>
    <row r="2947" spans="1:40" x14ac:dyDescent="0.25">
      <c r="A2947" t="str">
        <f>"20190304164427903"</f>
        <v>20190304164427903</v>
      </c>
      <c r="B2947" t="str">
        <f>"1551689067893255"</f>
        <v>1551689067893255</v>
      </c>
      <c r="C2947" t="s">
        <v>40</v>
      </c>
      <c r="D2947">
        <v>5.0911949999999999</v>
      </c>
      <c r="E2947">
        <v>0.53848619999999903</v>
      </c>
      <c r="F2947" t="s">
        <v>46</v>
      </c>
      <c r="G2947">
        <v>-434.86689999999999</v>
      </c>
      <c r="H2947" s="1">
        <v>4.4849089999999997E-6</v>
      </c>
      <c r="I2947">
        <v>213.3621</v>
      </c>
      <c r="J2947">
        <v>-444.36419999999998</v>
      </c>
      <c r="K2947">
        <v>1.111958</v>
      </c>
      <c r="L2947">
        <v>212.8409</v>
      </c>
      <c r="M2947">
        <v>0.99868179999999995</v>
      </c>
      <c r="N2947">
        <v>-7.3543499999999999E-3</v>
      </c>
      <c r="O2947">
        <v>-5.079852E-2</v>
      </c>
      <c r="P2947">
        <v>0.92714479999999999</v>
      </c>
      <c r="Q2947">
        <v>0.35989209999999999</v>
      </c>
      <c r="R2947">
        <v>0.1043085</v>
      </c>
      <c r="S2947">
        <v>3.3640439999999998</v>
      </c>
      <c r="T2947">
        <v>-0.38225749999999997</v>
      </c>
      <c r="U2947">
        <v>0.17469789999999999</v>
      </c>
      <c r="V2947">
        <v>-0.15298349999999999</v>
      </c>
      <c r="W2947">
        <v>0.36594270000000001</v>
      </c>
      <c r="X2947">
        <v>0.91797720000000005</v>
      </c>
      <c r="Y2947">
        <v>-0.1015457</v>
      </c>
      <c r="Z2947">
        <v>1.149964E-2</v>
      </c>
      <c r="AA2947">
        <v>0.99476439999999999</v>
      </c>
      <c r="AB2947">
        <v>30</v>
      </c>
      <c r="AC2947">
        <v>9.4972999999999903</v>
      </c>
      <c r="AD2947">
        <v>-1.111953515091</v>
      </c>
      <c r="AE2947">
        <v>0.521199999999993</v>
      </c>
      <c r="AF2947">
        <v>-0.98946606718277397</v>
      </c>
      <c r="AG2947">
        <v>-1.111953515091</v>
      </c>
      <c r="AH2947">
        <v>9.3310352435429902</v>
      </c>
      <c r="AI2947">
        <v>96.758194427219806</v>
      </c>
      <c r="AJ2947">
        <v>96.053043146834199</v>
      </c>
      <c r="AK2947">
        <v>9.4490053674485104</v>
      </c>
      <c r="AL2947">
        <v>68.534392109132298</v>
      </c>
      <c r="AM2947">
        <v>99.461550956191701</v>
      </c>
      <c r="AN2947">
        <v>1.0000000753376801</v>
      </c>
    </row>
    <row r="2948" spans="1:40" x14ac:dyDescent="0.25">
      <c r="A2948" t="str">
        <f>"20190304164427925"</f>
        <v>20190304164427925</v>
      </c>
      <c r="B2948" t="str">
        <f>"1551689067922535"</f>
        <v>1551689067922535</v>
      </c>
      <c r="C2948" t="s">
        <v>40</v>
      </c>
      <c r="D2948">
        <v>5.0975250000000001</v>
      </c>
      <c r="E2948">
        <v>0.53854569999999902</v>
      </c>
      <c r="F2948" t="s">
        <v>46</v>
      </c>
      <c r="G2948">
        <v>-435.05259999999998</v>
      </c>
      <c r="H2948" s="1">
        <v>4.5733510000000003E-6</v>
      </c>
      <c r="I2948">
        <v>213.29230000000001</v>
      </c>
      <c r="J2948">
        <v>-444.06560000000002</v>
      </c>
      <c r="K2948">
        <v>1.1119589999999999</v>
      </c>
      <c r="L2948">
        <v>212.82810000000001</v>
      </c>
      <c r="M2948">
        <v>0.99880000000000002</v>
      </c>
      <c r="N2948">
        <v>-7.3489250000000001E-3</v>
      </c>
      <c r="O2948">
        <v>-4.8423019999999997E-2</v>
      </c>
      <c r="P2948">
        <v>0.92697700000000005</v>
      </c>
      <c r="Q2948">
        <v>0.35966870000000001</v>
      </c>
      <c r="R2948">
        <v>0.10654760000000001</v>
      </c>
      <c r="S2948">
        <v>3.3737180000000002</v>
      </c>
      <c r="T2948">
        <v>-0.40287390000000001</v>
      </c>
      <c r="U2948">
        <v>0.16352839999999999</v>
      </c>
      <c r="V2948">
        <v>-0.15302869999999999</v>
      </c>
      <c r="W2948">
        <v>0.36571110000000001</v>
      </c>
      <c r="X2948">
        <v>0.91806189999999999</v>
      </c>
      <c r="Y2948">
        <v>-9.5702040000000002E-2</v>
      </c>
      <c r="Z2948">
        <v>1.144795E-2</v>
      </c>
      <c r="AA2948">
        <v>0.99534420000000001</v>
      </c>
      <c r="AB2948">
        <v>30</v>
      </c>
      <c r="AC2948">
        <v>9.0130000000000301</v>
      </c>
      <c r="AD2948">
        <v>-1.111954426649</v>
      </c>
      <c r="AE2948">
        <v>0.464200000000005</v>
      </c>
      <c r="AF2948">
        <v>-0.88664417852482802</v>
      </c>
      <c r="AG2948">
        <v>-1.111954426649</v>
      </c>
      <c r="AH2948">
        <v>8.8456666359175191</v>
      </c>
      <c r="AI2948">
        <v>97.129492889686503</v>
      </c>
      <c r="AJ2948">
        <v>95.7239162206358</v>
      </c>
      <c r="AK2948">
        <v>8.9592632944924997</v>
      </c>
      <c r="AL2948">
        <v>68.548648933734498</v>
      </c>
      <c r="AM2948">
        <v>99.463438490988807</v>
      </c>
      <c r="AN2948">
        <v>1.00000002195925</v>
      </c>
    </row>
    <row r="2949" spans="1:40" x14ac:dyDescent="0.25">
      <c r="A2949" t="str">
        <f>"20190304164427947"</f>
        <v>20190304164427947</v>
      </c>
      <c r="B2949" t="str">
        <f>"1551689067943030"</f>
        <v>1551689067943030</v>
      </c>
      <c r="C2949" t="s">
        <v>40</v>
      </c>
      <c r="D2949">
        <v>5.2603859999999996</v>
      </c>
      <c r="E2949">
        <v>0.54158079999999997</v>
      </c>
      <c r="F2949" t="s">
        <v>46</v>
      </c>
      <c r="G2949">
        <v>-434.68709999999999</v>
      </c>
      <c r="H2949" s="1">
        <v>4.4106179999999998E-6</v>
      </c>
      <c r="I2949">
        <v>213.2997</v>
      </c>
      <c r="J2949">
        <v>-443.7577</v>
      </c>
      <c r="K2949">
        <v>1.1119600000000001</v>
      </c>
      <c r="L2949">
        <v>212.81569999999999</v>
      </c>
      <c r="M2949">
        <v>0.99891569999999996</v>
      </c>
      <c r="N2949">
        <v>-7.3445089999999999E-3</v>
      </c>
      <c r="O2949">
        <v>-4.5974439999999998E-2</v>
      </c>
      <c r="P2949">
        <v>0.92690539999999999</v>
      </c>
      <c r="Q2949">
        <v>0.35934450000000001</v>
      </c>
      <c r="R2949">
        <v>0.1082497</v>
      </c>
      <c r="S2949">
        <v>3.3719790000000001</v>
      </c>
      <c r="T2949">
        <v>-0.39979290000000001</v>
      </c>
      <c r="U2949">
        <v>0.16952509999999901</v>
      </c>
      <c r="V2949">
        <v>-0.15247529999999901</v>
      </c>
      <c r="W2949">
        <v>0.36538389999999998</v>
      </c>
      <c r="X2949">
        <v>0.91828419999999999</v>
      </c>
      <c r="Y2949">
        <v>-9.5086989999999996E-2</v>
      </c>
      <c r="Z2949">
        <v>1.1056679999999999E-2</v>
      </c>
      <c r="AA2949">
        <v>0.99540759999999995</v>
      </c>
      <c r="AB2949">
        <v>30</v>
      </c>
      <c r="AC2949">
        <v>9.0706000000000095</v>
      </c>
      <c r="AD2949">
        <v>-1.1119555893819999</v>
      </c>
      <c r="AE2949">
        <v>0.48400000000000798</v>
      </c>
      <c r="AF2949">
        <v>-0.88721983101468305</v>
      </c>
      <c r="AG2949">
        <v>-1.1119555893819999</v>
      </c>
      <c r="AH2949">
        <v>8.9053066491106794</v>
      </c>
      <c r="AI2949">
        <v>97.082660338659295</v>
      </c>
      <c r="AJ2949">
        <v>95.689501721392304</v>
      </c>
      <c r="AK2949">
        <v>9.0182088452196805</v>
      </c>
      <c r="AL2949">
        <v>68.568789343278993</v>
      </c>
      <c r="AM2949">
        <v>99.427589650575101</v>
      </c>
      <c r="AN2949">
        <v>0.99999999172946996</v>
      </c>
    </row>
    <row r="2950" spans="1:40" x14ac:dyDescent="0.25">
      <c r="A2950" t="str">
        <f>"20190304164427972"</f>
        <v>20190304164427972</v>
      </c>
      <c r="B2950" t="str">
        <f>"1551689067962551"</f>
        <v>1551689067962551</v>
      </c>
      <c r="C2950" t="s">
        <v>40</v>
      </c>
      <c r="D2950">
        <v>5.090535</v>
      </c>
      <c r="E2950">
        <v>0.56993070000000001</v>
      </c>
      <c r="F2950" t="s">
        <v>46</v>
      </c>
      <c r="G2950">
        <v>-433.98849999999999</v>
      </c>
      <c r="H2950" s="1">
        <v>4.1052850000000001E-6</v>
      </c>
      <c r="I2950">
        <v>213.24860000000001</v>
      </c>
      <c r="J2950">
        <v>-443.42829999999998</v>
      </c>
      <c r="K2950">
        <v>1.111966</v>
      </c>
      <c r="L2950">
        <v>212.8031</v>
      </c>
      <c r="M2950">
        <v>0.9990327</v>
      </c>
      <c r="N2950">
        <v>-7.3363059999999999E-3</v>
      </c>
      <c r="O2950">
        <v>-4.3355989999999997E-2</v>
      </c>
      <c r="P2950">
        <v>0.92651550000000005</v>
      </c>
      <c r="Q2950">
        <v>0.35963279999999997</v>
      </c>
      <c r="R2950">
        <v>0.11060399999999999</v>
      </c>
      <c r="S2950">
        <v>3.3677670000000002</v>
      </c>
      <c r="T2950">
        <v>-0.38332759999999999</v>
      </c>
      <c r="U2950">
        <v>0.149231</v>
      </c>
      <c r="V2950">
        <v>-0.15240589999999901</v>
      </c>
      <c r="W2950">
        <v>0.3656605</v>
      </c>
      <c r="X2950">
        <v>0.91818569999999999</v>
      </c>
      <c r="Y2950">
        <v>-8.6701310000000004E-2</v>
      </c>
      <c r="Z2950">
        <v>9.8349639999999999E-3</v>
      </c>
      <c r="AA2950">
        <v>0.99618580000000001</v>
      </c>
      <c r="AB2950">
        <v>30</v>
      </c>
      <c r="AC2950">
        <v>9.4397999999999893</v>
      </c>
      <c r="AD2950">
        <v>-1.1119618947149901</v>
      </c>
      <c r="AE2950">
        <v>0.445500000000009</v>
      </c>
      <c r="AF2950">
        <v>-0.84269697055793402</v>
      </c>
      <c r="AG2950">
        <v>-1.1119618947149901</v>
      </c>
      <c r="AH2950">
        <v>9.2830846956945603</v>
      </c>
      <c r="AI2950">
        <v>96.8028454281921</v>
      </c>
      <c r="AJ2950">
        <v>95.186961725718504</v>
      </c>
      <c r="AK2950">
        <v>9.3873456795264705</v>
      </c>
      <c r="AL2950">
        <v>68.5517649173851</v>
      </c>
      <c r="AM2950">
        <v>99.424368385256599</v>
      </c>
      <c r="AN2950">
        <v>1.00000006964977</v>
      </c>
    </row>
    <row r="2951" spans="1:40" x14ac:dyDescent="0.25">
      <c r="A2951" t="str">
        <f>"20190304164427996"</f>
        <v>20190304164427996</v>
      </c>
      <c r="B2951" t="str">
        <f>"1551689067993314"</f>
        <v>1551689067993314</v>
      </c>
      <c r="C2951" t="s">
        <v>40</v>
      </c>
      <c r="D2951">
        <v>5.0637939999999997</v>
      </c>
      <c r="E2951">
        <v>0.57200059999999997</v>
      </c>
      <c r="F2951" t="s">
        <v>41</v>
      </c>
      <c r="G2951">
        <v>-442.69659999999999</v>
      </c>
      <c r="H2951">
        <v>1.001387</v>
      </c>
      <c r="I2951">
        <v>212.79179999999999</v>
      </c>
      <c r="J2951">
        <v>-443.11989999999997</v>
      </c>
      <c r="K2951">
        <v>1.1119669999999999</v>
      </c>
      <c r="L2951">
        <v>212.79220000000001</v>
      </c>
      <c r="M2951">
        <v>0.99913620000000003</v>
      </c>
      <c r="N2951">
        <v>-7.3205319999999898E-3</v>
      </c>
      <c r="O2951">
        <v>-4.0904429999999999E-2</v>
      </c>
      <c r="P2951">
        <v>0.92623750000000005</v>
      </c>
      <c r="Q2951">
        <v>0.35961989999999999</v>
      </c>
      <c r="R2951">
        <v>0.1129507</v>
      </c>
      <c r="S2951">
        <v>3.446472</v>
      </c>
      <c r="T2951">
        <v>-0.52083559999999995</v>
      </c>
      <c r="U2951">
        <v>-5.3237920000000001E-2</v>
      </c>
      <c r="V2951">
        <v>-0.15248800000000001</v>
      </c>
      <c r="W2951">
        <v>0.36562939999999999</v>
      </c>
      <c r="X2951">
        <v>0.91818440000000001</v>
      </c>
      <c r="Y2951">
        <v>-2.4753460000000001E-2</v>
      </c>
      <c r="Z2951">
        <v>7.7974639999999996E-3</v>
      </c>
      <c r="AA2951">
        <v>0.99966319999999997</v>
      </c>
      <c r="AB2951">
        <v>30</v>
      </c>
      <c r="AC2951">
        <v>0.42329999999998302</v>
      </c>
      <c r="AD2951">
        <v>-0.110579999999999</v>
      </c>
      <c r="AE2951">
        <v>-4.0000000001327803E-4</v>
      </c>
      <c r="AF2951">
        <v>-1.5835020132346399E-2</v>
      </c>
      <c r="AG2951">
        <v>-0.110579999999999</v>
      </c>
      <c r="AH2951">
        <v>0.39594191954646901</v>
      </c>
      <c r="AI2951">
        <v>105.59230778999</v>
      </c>
      <c r="AJ2951">
        <v>92.290226219448002</v>
      </c>
      <c r="AK2951">
        <v>0.41139845395520602</v>
      </c>
      <c r="AL2951">
        <v>68.553678274678902</v>
      </c>
      <c r="AM2951">
        <v>99.429367188176101</v>
      </c>
      <c r="AN2951">
        <v>1.0000000203458499</v>
      </c>
    </row>
    <row r="2952" spans="1:40" x14ac:dyDescent="0.25">
      <c r="A2952" t="str">
        <f>"20190304164428014"</f>
        <v>20190304164428014</v>
      </c>
      <c r="B2952" t="str">
        <f>"1551689068003074"</f>
        <v>1551689068003074</v>
      </c>
      <c r="C2952" t="s">
        <v>40</v>
      </c>
      <c r="D2952">
        <v>5.0534220000000003</v>
      </c>
      <c r="E2952">
        <v>0.57214100000000001</v>
      </c>
      <c r="F2952" t="s">
        <v>41</v>
      </c>
      <c r="G2952">
        <v>-442.1662</v>
      </c>
      <c r="H2952">
        <v>0.96672049999999998</v>
      </c>
      <c r="I2952">
        <v>212.77510000000001</v>
      </c>
      <c r="J2952">
        <v>-442.84649999999999</v>
      </c>
      <c r="K2952">
        <v>1.1119749999999999</v>
      </c>
      <c r="L2952">
        <v>212.78309999999999</v>
      </c>
      <c r="M2952">
        <v>0.99922310000000003</v>
      </c>
      <c r="N2952">
        <v>-7.3005250000000004E-3</v>
      </c>
      <c r="O2952">
        <v>-3.8732040000000002E-2</v>
      </c>
      <c r="P2952">
        <v>0.92583369999999998</v>
      </c>
      <c r="Q2952">
        <v>0.36013319999999999</v>
      </c>
      <c r="R2952">
        <v>0.1146132</v>
      </c>
      <c r="S2952">
        <v>3.4504389999999998</v>
      </c>
      <c r="T2952">
        <v>-0.52548980000000001</v>
      </c>
      <c r="U2952">
        <v>-6.1630249999999998E-2</v>
      </c>
      <c r="V2952">
        <v>-0.15214069999999999</v>
      </c>
      <c r="W2952">
        <v>0.36612149999999999</v>
      </c>
      <c r="X2952">
        <v>0.91804589999999997</v>
      </c>
      <c r="Y2952">
        <v>-2.023266E-2</v>
      </c>
      <c r="Z2952">
        <v>7.1876240000000001E-3</v>
      </c>
      <c r="AA2952">
        <v>0.99976940000000003</v>
      </c>
      <c r="AB2952">
        <v>31</v>
      </c>
      <c r="AC2952">
        <v>0.68029999999998803</v>
      </c>
      <c r="AD2952">
        <v>-0.14525449999999901</v>
      </c>
      <c r="AE2952">
        <v>-7.9999999999813502E-3</v>
      </c>
      <c r="AF2952">
        <v>-1.75558682227029E-2</v>
      </c>
      <c r="AG2952">
        <v>-0.14525449999999901</v>
      </c>
      <c r="AH2952">
        <v>0.650450212165404</v>
      </c>
      <c r="AI2952">
        <v>102.58395610452</v>
      </c>
      <c r="AJ2952">
        <v>91.546056853518195</v>
      </c>
      <c r="AK2952">
        <v>0.66670274994582202</v>
      </c>
      <c r="AL2952">
        <v>68.523382188572498</v>
      </c>
      <c r="AM2952">
        <v>99.409669652606993</v>
      </c>
      <c r="AN2952">
        <v>1.0000000099327699</v>
      </c>
    </row>
    <row r="2953" spans="1:40" x14ac:dyDescent="0.25">
      <c r="A2953" t="str">
        <f>"20190304164428038"</f>
        <v>20190304164428038</v>
      </c>
      <c r="B2953" t="str">
        <f>"1551689068033330"</f>
        <v>1551689068033330</v>
      </c>
      <c r="C2953" t="s">
        <v>40</v>
      </c>
      <c r="D2953">
        <v>5.0310889999999997</v>
      </c>
      <c r="E2953">
        <v>0.57230400000000003</v>
      </c>
      <c r="F2953" t="s">
        <v>41</v>
      </c>
      <c r="G2953">
        <v>-441.89179999999999</v>
      </c>
      <c r="H2953">
        <v>0.96662840000000005</v>
      </c>
      <c r="I2953">
        <v>212.76759999999999</v>
      </c>
      <c r="J2953">
        <v>-442.5308</v>
      </c>
      <c r="K2953">
        <v>1.1119790000000001</v>
      </c>
      <c r="L2953">
        <v>212.77340000000001</v>
      </c>
      <c r="M2953">
        <v>0.99931720000000002</v>
      </c>
      <c r="N2953">
        <v>-7.2761459999999998E-3</v>
      </c>
      <c r="O2953">
        <v>-3.622587E-2</v>
      </c>
      <c r="P2953">
        <v>0.92549130000000002</v>
      </c>
      <c r="Q2953">
        <v>0.36049160000000002</v>
      </c>
      <c r="R2953">
        <v>0.11624039999999999</v>
      </c>
      <c r="S2953">
        <v>3.4516300000000002</v>
      </c>
      <c r="T2953">
        <v>-0.52572269999999999</v>
      </c>
      <c r="U2953">
        <v>-5.5129999999999998E-2</v>
      </c>
      <c r="V2953">
        <v>-0.15145510000000001</v>
      </c>
      <c r="W2953">
        <v>0.36645739999999999</v>
      </c>
      <c r="X2953">
        <v>0.91802530000000004</v>
      </c>
      <c r="Y2953">
        <v>-1.9646589999999998E-2</v>
      </c>
      <c r="Z2953">
        <v>6.7815810000000001E-3</v>
      </c>
      <c r="AA2953">
        <v>0.99978400000000001</v>
      </c>
      <c r="AB2953">
        <v>31</v>
      </c>
      <c r="AC2953">
        <v>0.63900000000001</v>
      </c>
      <c r="AD2953">
        <v>-0.1453506</v>
      </c>
      <c r="AE2953">
        <v>-5.8000000000220098E-3</v>
      </c>
      <c r="AF2953">
        <v>-1.64991432712083E-2</v>
      </c>
      <c r="AG2953">
        <v>-0.1453506</v>
      </c>
      <c r="AH2953">
        <v>0.60736765853069596</v>
      </c>
      <c r="AI2953">
        <v>103.453692922508</v>
      </c>
      <c r="AJ2953">
        <v>91.556057246239206</v>
      </c>
      <c r="AK2953">
        <v>0.62473553706996998</v>
      </c>
      <c r="AL2953">
        <v>68.502700263808805</v>
      </c>
      <c r="AM2953">
        <v>99.368226166997999</v>
      </c>
      <c r="AN2953">
        <v>1.0000000623854199</v>
      </c>
    </row>
    <row r="2954" spans="1:40" x14ac:dyDescent="0.25">
      <c r="A2954" t="str">
        <f>"20190304164428060"</f>
        <v>20190304164428060</v>
      </c>
      <c r="B2954" t="str">
        <f>"1551689068052850"</f>
        <v>1551689068052850</v>
      </c>
      <c r="C2954" t="s">
        <v>40</v>
      </c>
      <c r="D2954">
        <v>5.3632429999999998</v>
      </c>
      <c r="E2954">
        <v>0.57261110000000004</v>
      </c>
      <c r="F2954" t="s">
        <v>41</v>
      </c>
      <c r="G2954">
        <v>-441.61419999999998</v>
      </c>
      <c r="H2954">
        <v>0.97152499999999997</v>
      </c>
      <c r="I2954">
        <v>212.76060000000001</v>
      </c>
      <c r="J2954">
        <v>-442.22050000000002</v>
      </c>
      <c r="K2954">
        <v>1.11198</v>
      </c>
      <c r="L2954">
        <v>212.7646</v>
      </c>
      <c r="M2954">
        <v>0.99940370000000001</v>
      </c>
      <c r="N2954">
        <v>-7.248404E-3</v>
      </c>
      <c r="O2954">
        <v>-3.3762720000000003E-2</v>
      </c>
      <c r="P2954">
        <v>0.92508840000000003</v>
      </c>
      <c r="Q2954">
        <v>0.3611335</v>
      </c>
      <c r="R2954">
        <v>0.1174486</v>
      </c>
      <c r="S2954">
        <v>3.453735</v>
      </c>
      <c r="T2954">
        <v>-0.52929839999999995</v>
      </c>
      <c r="U2954">
        <v>-4.7760009999999999E-2</v>
      </c>
      <c r="V2954">
        <v>-0.15039129999999901</v>
      </c>
      <c r="W2954">
        <v>0.36707440000000002</v>
      </c>
      <c r="X2954">
        <v>0.91795360000000004</v>
      </c>
      <c r="Y2954">
        <v>-1.9346909999999998E-2</v>
      </c>
      <c r="Z2954">
        <v>6.4439170000000004E-3</v>
      </c>
      <c r="AA2954">
        <v>0.99979200000000001</v>
      </c>
      <c r="AB2954">
        <v>31</v>
      </c>
      <c r="AC2954">
        <v>0.60630000000003204</v>
      </c>
      <c r="AD2954">
        <v>-0.140455</v>
      </c>
      <c r="AE2954">
        <v>-3.9999999999906699E-3</v>
      </c>
      <c r="AF2954">
        <v>-1.5634166552908502E-2</v>
      </c>
      <c r="AG2954">
        <v>-0.140455</v>
      </c>
      <c r="AH2954">
        <v>0.57522090586324104</v>
      </c>
      <c r="AI2954">
        <v>103.71686666546501</v>
      </c>
      <c r="AJ2954">
        <v>91.556882361694306</v>
      </c>
      <c r="AK2954">
        <v>0.59232687321354205</v>
      </c>
      <c r="AL2954">
        <v>68.464698954631302</v>
      </c>
      <c r="AM2954">
        <v>99.304293511108298</v>
      </c>
      <c r="AN2954">
        <v>0.99999998500200404</v>
      </c>
    </row>
    <row r="2955" spans="1:40" x14ac:dyDescent="0.25">
      <c r="A2955" t="str">
        <f>"20190304164428084"</f>
        <v>20190304164428084</v>
      </c>
      <c r="B2955" t="str">
        <f>"1551689068073346"</f>
        <v>1551689068073346</v>
      </c>
      <c r="C2955" t="s">
        <v>40</v>
      </c>
      <c r="D2955">
        <v>5.0830070000000003</v>
      </c>
      <c r="E2955">
        <v>0.57249150000000004</v>
      </c>
      <c r="F2955" t="s">
        <v>41</v>
      </c>
      <c r="G2955">
        <v>-441.33539999999999</v>
      </c>
      <c r="H2955">
        <v>0.97748900000000005</v>
      </c>
      <c r="I2955">
        <v>212.7527</v>
      </c>
      <c r="J2955">
        <v>-441.8999</v>
      </c>
      <c r="K2955">
        <v>1.1119840000000001</v>
      </c>
      <c r="L2955">
        <v>212.75630000000001</v>
      </c>
      <c r="M2955">
        <v>0.99948650000000006</v>
      </c>
      <c r="N2955">
        <v>-7.2199269999999897E-3</v>
      </c>
      <c r="O2955">
        <v>-3.1220540000000001E-2</v>
      </c>
      <c r="P2955">
        <v>0.92473669999999997</v>
      </c>
      <c r="Q2955">
        <v>0.36162759999999999</v>
      </c>
      <c r="R2955">
        <v>0.11869109999999999</v>
      </c>
      <c r="S2955">
        <v>3.4536440000000002</v>
      </c>
      <c r="T2955">
        <v>-0.52514510000000003</v>
      </c>
      <c r="U2955">
        <v>-4.5104980000000003E-2</v>
      </c>
      <c r="V2955">
        <v>-0.14929210000000001</v>
      </c>
      <c r="W2955">
        <v>0.36754360000000003</v>
      </c>
      <c r="X2955">
        <v>0.91794529999999996</v>
      </c>
      <c r="Y2955">
        <v>-1.7628350000000001E-2</v>
      </c>
      <c r="Z2955">
        <v>5.8914429999999997E-3</v>
      </c>
      <c r="AA2955">
        <v>0.99982729999999997</v>
      </c>
      <c r="AB2955">
        <v>31</v>
      </c>
      <c r="AC2955">
        <v>0.56450000000000899</v>
      </c>
      <c r="AD2955">
        <v>-0.134495</v>
      </c>
      <c r="AE2955">
        <v>-3.6000000000058199E-3</v>
      </c>
      <c r="AF2955">
        <v>-1.32728017695974E-2</v>
      </c>
      <c r="AG2955">
        <v>-0.134495</v>
      </c>
      <c r="AH2955">
        <v>0.53402428323528695</v>
      </c>
      <c r="AI2955">
        <v>104.13187204936899</v>
      </c>
      <c r="AJ2955">
        <v>91.423753590337299</v>
      </c>
      <c r="AK2955">
        <v>0.55086024305333303</v>
      </c>
      <c r="AL2955">
        <v>68.435795756250002</v>
      </c>
      <c r="AM2955">
        <v>99.237547656645503</v>
      </c>
      <c r="AN2955">
        <v>1.0000000014077299</v>
      </c>
    </row>
    <row r="2956" spans="1:40" x14ac:dyDescent="0.25">
      <c r="A2956" t="str">
        <f>"20190304164428104"</f>
        <v>20190304164428104</v>
      </c>
      <c r="B2956" t="str">
        <f>"1551689068092866"</f>
        <v>1551689068092866</v>
      </c>
      <c r="C2956" t="s">
        <v>40</v>
      </c>
      <c r="D2956">
        <v>5.0518159999999996</v>
      </c>
      <c r="E2956">
        <v>0.57227640000000002</v>
      </c>
      <c r="F2956" t="s">
        <v>41</v>
      </c>
      <c r="G2956">
        <v>-441.05540000000002</v>
      </c>
      <c r="H2956">
        <v>0.98428479999999996</v>
      </c>
      <c r="I2956">
        <v>212.7465</v>
      </c>
      <c r="J2956">
        <v>-441.61770000000001</v>
      </c>
      <c r="K2956">
        <v>1.11199</v>
      </c>
      <c r="L2956">
        <v>212.74959999999999</v>
      </c>
      <c r="M2956">
        <v>0.9995539</v>
      </c>
      <c r="N2956">
        <v>-7.1968229999999998E-3</v>
      </c>
      <c r="O2956">
        <v>-2.8988440000000001E-2</v>
      </c>
      <c r="P2956">
        <v>0.92449219999999999</v>
      </c>
      <c r="Q2956">
        <v>0.36200900000000003</v>
      </c>
      <c r="R2956">
        <v>0.11943049999999999</v>
      </c>
      <c r="S2956">
        <v>3.45343</v>
      </c>
      <c r="T2956">
        <v>-0.52209030000000001</v>
      </c>
      <c r="U2956">
        <v>-4.0283199999999998E-2</v>
      </c>
      <c r="V2956">
        <v>-0.14797689999999999</v>
      </c>
      <c r="W2956">
        <v>0.3679077</v>
      </c>
      <c r="X2956">
        <v>0.91801239999999995</v>
      </c>
      <c r="Y2956">
        <v>-1.6829179999999999E-2</v>
      </c>
      <c r="Z2956">
        <v>5.4752119999999897E-3</v>
      </c>
      <c r="AA2956">
        <v>0.99984340000000005</v>
      </c>
      <c r="AB2956">
        <v>31</v>
      </c>
      <c r="AC2956">
        <v>0.56229999999999303</v>
      </c>
      <c r="AD2956">
        <v>-0.12770519999999999</v>
      </c>
      <c r="AE2956">
        <v>-3.0999999999892199E-3</v>
      </c>
      <c r="AF2956">
        <v>-1.2554388631967299E-2</v>
      </c>
      <c r="AG2956">
        <v>-0.12770519999999999</v>
      </c>
      <c r="AH2956">
        <v>0.53458073154348396</v>
      </c>
      <c r="AI2956">
        <v>103.43193414382399</v>
      </c>
      <c r="AJ2956">
        <v>91.345318386352801</v>
      </c>
      <c r="AK2956">
        <v>0.54976612238162603</v>
      </c>
      <c r="AL2956">
        <v>68.413362593233103</v>
      </c>
      <c r="AM2956">
        <v>99.156895578542901</v>
      </c>
      <c r="AN2956">
        <v>1.00000000260332</v>
      </c>
    </row>
    <row r="2957" spans="1:40" x14ac:dyDescent="0.25">
      <c r="A2957" t="str">
        <f>"20190304164428127"</f>
        <v>20190304164428127</v>
      </c>
      <c r="B2957" t="str">
        <f>"1551689068123122"</f>
        <v>1551689068123122</v>
      </c>
      <c r="C2957" t="s">
        <v>40</v>
      </c>
      <c r="D2957">
        <v>5.0470490000000003</v>
      </c>
      <c r="E2957">
        <v>0.57222419999999996</v>
      </c>
      <c r="F2957" t="s">
        <v>41</v>
      </c>
      <c r="G2957">
        <v>-440.77699999999999</v>
      </c>
      <c r="H2957">
        <v>0.98601209999999995</v>
      </c>
      <c r="I2957">
        <v>212.74019999999999</v>
      </c>
      <c r="J2957">
        <v>-441.30549999999999</v>
      </c>
      <c r="K2957">
        <v>1.1119840000000001</v>
      </c>
      <c r="L2957">
        <v>212.74299999999999</v>
      </c>
      <c r="M2957">
        <v>0.99962209999999996</v>
      </c>
      <c r="N2957">
        <v>-7.1730250000000004E-3</v>
      </c>
      <c r="O2957">
        <v>-2.6542369999999999E-2</v>
      </c>
      <c r="P2957">
        <v>0.92402790000000001</v>
      </c>
      <c r="Q2957">
        <v>0.36254219999999998</v>
      </c>
      <c r="R2957">
        <v>0.1213912</v>
      </c>
      <c r="S2957">
        <v>3.4526370000000002</v>
      </c>
      <c r="T2957">
        <v>-0.51777280000000003</v>
      </c>
      <c r="U2957">
        <v>-3.7673949999999998E-2</v>
      </c>
      <c r="V2957">
        <v>-0.14767379999999999</v>
      </c>
      <c r="W2957">
        <v>0.36841980000000002</v>
      </c>
      <c r="X2957">
        <v>0.9178558</v>
      </c>
      <c r="Y2957">
        <v>-1.5187340000000001E-2</v>
      </c>
      <c r="Z2957">
        <v>4.9554760000000003E-3</v>
      </c>
      <c r="AA2957">
        <v>0.99987239999999999</v>
      </c>
      <c r="AB2957">
        <v>31</v>
      </c>
      <c r="AC2957">
        <v>0.52850000000000796</v>
      </c>
      <c r="AD2957">
        <v>-0.1259719</v>
      </c>
      <c r="AE2957">
        <v>-2.80000000000768E-3</v>
      </c>
      <c r="AF2957">
        <v>-1.06253343123708E-2</v>
      </c>
      <c r="AG2957">
        <v>-0.1259719</v>
      </c>
      <c r="AH2957">
        <v>0.49998276012305498</v>
      </c>
      <c r="AI2957">
        <v>104.13841954368</v>
      </c>
      <c r="AJ2957">
        <v>91.2174323560792</v>
      </c>
      <c r="AK2957">
        <v>0.51571753677679799</v>
      </c>
      <c r="AL2957">
        <v>68.381804436211794</v>
      </c>
      <c r="AM2957">
        <v>99.139989210935596</v>
      </c>
      <c r="AN2957">
        <v>0.99999998491605901</v>
      </c>
    </row>
    <row r="2958" spans="1:40" x14ac:dyDescent="0.25">
      <c r="A2958" t="str">
        <f>"20190304164428150"</f>
        <v>20190304164428150</v>
      </c>
      <c r="B2958" t="str">
        <f>"1551689068142643"</f>
        <v>1551689068142643</v>
      </c>
      <c r="C2958" t="s">
        <v>40</v>
      </c>
      <c r="D2958">
        <v>5.0008109999999997</v>
      </c>
      <c r="E2958">
        <v>0.5722254</v>
      </c>
      <c r="F2958" t="s">
        <v>41</v>
      </c>
      <c r="G2958">
        <v>-440.4957</v>
      </c>
      <c r="H2958">
        <v>0.99212529999999999</v>
      </c>
      <c r="I2958">
        <v>212.7353</v>
      </c>
      <c r="J2958">
        <v>-440.971</v>
      </c>
      <c r="K2958">
        <v>1.1119669999999999</v>
      </c>
      <c r="L2958">
        <v>212.73660000000001</v>
      </c>
      <c r="M2958">
        <v>0.99968710000000005</v>
      </c>
      <c r="N2958">
        <v>-7.1497940000000001E-3</v>
      </c>
      <c r="O2958">
        <v>-2.397142E-2</v>
      </c>
      <c r="P2958">
        <v>0.92375079999999998</v>
      </c>
      <c r="Q2958">
        <v>0.3623208</v>
      </c>
      <c r="R2958">
        <v>0.1241307</v>
      </c>
      <c r="S2958">
        <v>3.451355</v>
      </c>
      <c r="T2958">
        <v>-0.51114539999999997</v>
      </c>
      <c r="U2958">
        <v>-3.1707760000000001E-2</v>
      </c>
      <c r="V2958">
        <v>-0.14802179999999901</v>
      </c>
      <c r="W2958">
        <v>0.36818129999999999</v>
      </c>
      <c r="X2958">
        <v>0.91789540000000003</v>
      </c>
      <c r="Y2958">
        <v>-1.4385709999999999E-2</v>
      </c>
      <c r="Z2958">
        <v>4.4711450000000002E-3</v>
      </c>
      <c r="AA2958">
        <v>0.99988650000000001</v>
      </c>
      <c r="AB2958">
        <v>31</v>
      </c>
      <c r="AC2958">
        <v>0.475300000000004</v>
      </c>
      <c r="AD2958">
        <v>-0.119841699999999</v>
      </c>
      <c r="AE2958">
        <v>-1.3000000000147299E-3</v>
      </c>
      <c r="AF2958">
        <v>-9.4909088939860199E-3</v>
      </c>
      <c r="AG2958">
        <v>-0.119841699999999</v>
      </c>
      <c r="AH2958">
        <v>0.44679048144644001</v>
      </c>
      <c r="AI2958">
        <v>105.01166766923799</v>
      </c>
      <c r="AJ2958">
        <v>91.2169177163087</v>
      </c>
      <c r="AK2958">
        <v>0.46268114800763799</v>
      </c>
      <c r="AL2958">
        <v>68.396501740635898</v>
      </c>
      <c r="AM2958">
        <v>99.160774667279995</v>
      </c>
      <c r="AN2958">
        <v>0.99999994414304305</v>
      </c>
    </row>
    <row r="2959" spans="1:40" x14ac:dyDescent="0.25">
      <c r="A2959" t="str">
        <f>"20190304164428173"</f>
        <v>20190304164428173</v>
      </c>
      <c r="B2959" t="str">
        <f>"1551689068163138"</f>
        <v>1551689068163138</v>
      </c>
      <c r="C2959" t="s">
        <v>40</v>
      </c>
      <c r="D2959">
        <v>4.9751729999999998</v>
      </c>
      <c r="E2959">
        <v>0.57229030000000003</v>
      </c>
      <c r="F2959" t="s">
        <v>41</v>
      </c>
      <c r="G2959">
        <v>-440.21289999999999</v>
      </c>
      <c r="H2959">
        <v>0.99982320000000002</v>
      </c>
      <c r="I2959">
        <v>212.7312</v>
      </c>
      <c r="J2959">
        <v>-440.65019999999998</v>
      </c>
      <c r="K2959">
        <v>1.111918</v>
      </c>
      <c r="L2959">
        <v>212.7313</v>
      </c>
      <c r="M2959">
        <v>0.99974160000000001</v>
      </c>
      <c r="N2959">
        <v>-7.1292730000000002E-3</v>
      </c>
      <c r="O2959">
        <v>-2.1582799999999999E-2</v>
      </c>
      <c r="P2959">
        <v>0.92336309999999999</v>
      </c>
      <c r="Q2959">
        <v>0.3622378</v>
      </c>
      <c r="R2959">
        <v>0.12721779999999999</v>
      </c>
      <c r="S2959">
        <v>3.4510800000000001</v>
      </c>
      <c r="T2959">
        <v>-0.51073349999999995</v>
      </c>
      <c r="U2959">
        <v>-2.3223879999999999E-2</v>
      </c>
      <c r="V2959">
        <v>-0.14886489999999999</v>
      </c>
      <c r="W2959">
        <v>0.36808859999999999</v>
      </c>
      <c r="X2959">
        <v>0.91779630000000001</v>
      </c>
      <c r="Y2959">
        <v>-1.4476869999999999E-2</v>
      </c>
      <c r="Z2959">
        <v>4.1407420000000002E-3</v>
      </c>
      <c r="AA2959">
        <v>0.99988659999999996</v>
      </c>
      <c r="AB2959">
        <v>31</v>
      </c>
      <c r="AC2959">
        <v>0.43729999999999303</v>
      </c>
      <c r="AD2959">
        <v>-0.112094799999999</v>
      </c>
      <c r="AE2959">
        <v>-1.0000000000331901E-4</v>
      </c>
      <c r="AF2959">
        <v>-8.7626539009404997E-3</v>
      </c>
      <c r="AG2959">
        <v>-0.112094799999999</v>
      </c>
      <c r="AH2959">
        <v>0.41024434548573202</v>
      </c>
      <c r="AI2959">
        <v>105.279088949746</v>
      </c>
      <c r="AJ2959">
        <v>91.223628697861898</v>
      </c>
      <c r="AK2959">
        <v>0.42537330815819302</v>
      </c>
      <c r="AL2959">
        <v>68.402215776045097</v>
      </c>
      <c r="AM2959">
        <v>99.213037962978206</v>
      </c>
      <c r="AN2959">
        <v>1.0000000120978301</v>
      </c>
    </row>
    <row r="2960" spans="1:40" x14ac:dyDescent="0.25">
      <c r="A2960" t="str">
        <f>"20190304164428195"</f>
        <v>20190304164428195</v>
      </c>
      <c r="B2960" t="str">
        <f>"1551689068182658"</f>
        <v>1551689068182658</v>
      </c>
      <c r="C2960" t="s">
        <v>40</v>
      </c>
      <c r="D2960">
        <v>4.964931</v>
      </c>
      <c r="E2960">
        <v>0.57236049999999905</v>
      </c>
      <c r="F2960" t="s">
        <v>41</v>
      </c>
      <c r="G2960">
        <v>-439.93</v>
      </c>
      <c r="H2960">
        <v>1.005782</v>
      </c>
      <c r="I2960">
        <v>212.7278</v>
      </c>
      <c r="J2960">
        <v>-440.34859999999998</v>
      </c>
      <c r="K2960">
        <v>1.1118399999999999</v>
      </c>
      <c r="L2960">
        <v>212.7269</v>
      </c>
      <c r="M2960">
        <v>0.99978579999999995</v>
      </c>
      <c r="N2960">
        <v>-7.1114180000000004E-3</v>
      </c>
      <c r="O2960">
        <v>-1.9444240000000002E-2</v>
      </c>
      <c r="P2960">
        <v>0.92309399999999997</v>
      </c>
      <c r="Q2960">
        <v>0.36184620000000001</v>
      </c>
      <c r="R2960">
        <v>0.13025019999999901</v>
      </c>
      <c r="S2960">
        <v>3.450806</v>
      </c>
      <c r="T2960">
        <v>-0.50864679999999995</v>
      </c>
      <c r="U2960">
        <v>-1.6021730000000001E-2</v>
      </c>
      <c r="V2960">
        <v>-0.14986669999999999</v>
      </c>
      <c r="W2960">
        <v>0.3676971</v>
      </c>
      <c r="X2960">
        <v>0.9177902</v>
      </c>
      <c r="Y2960">
        <v>-1.4448549999999999E-2</v>
      </c>
      <c r="Z2960">
        <v>3.8236999999999902E-3</v>
      </c>
      <c r="AA2960">
        <v>0.99988829999999995</v>
      </c>
      <c r="AB2960">
        <v>31</v>
      </c>
      <c r="AC2960">
        <v>0.418599999999969</v>
      </c>
      <c r="AD2960">
        <v>-0.106058</v>
      </c>
      <c r="AE2960">
        <v>9.0000000000145497E-4</v>
      </c>
      <c r="AF2960">
        <v>-8.49413114146828E-3</v>
      </c>
      <c r="AG2960">
        <v>-0.106058</v>
      </c>
      <c r="AH2960">
        <v>0.393258957547438</v>
      </c>
      <c r="AI2960">
        <v>105.089658931074</v>
      </c>
      <c r="AJ2960">
        <v>91.237358217554899</v>
      </c>
      <c r="AK2960">
        <v>0.40739791030287098</v>
      </c>
      <c r="AL2960">
        <v>68.426339007372903</v>
      </c>
      <c r="AM2960">
        <v>99.274024782194005</v>
      </c>
      <c r="AN2960">
        <v>1.00000001816666</v>
      </c>
    </row>
    <row r="2961" spans="1:40" x14ac:dyDescent="0.25">
      <c r="A2961" t="str">
        <f>"20190304164428217"</f>
        <v>20190304164428217</v>
      </c>
      <c r="B2961" t="str">
        <f>"1551689068213421"</f>
        <v>1551689068213421</v>
      </c>
      <c r="C2961" t="s">
        <v>40</v>
      </c>
      <c r="D2961">
        <v>4.7957599999999996</v>
      </c>
      <c r="E2961">
        <v>0.57232810000000001</v>
      </c>
      <c r="F2961" t="s">
        <v>41</v>
      </c>
      <c r="G2961">
        <v>-439.38440000000003</v>
      </c>
      <c r="H2961">
        <v>0.96969439999999996</v>
      </c>
      <c r="I2961">
        <v>212.72450000000001</v>
      </c>
      <c r="J2961">
        <v>-440.04070000000002</v>
      </c>
      <c r="K2961">
        <v>1.111753</v>
      </c>
      <c r="L2961">
        <v>212.72300000000001</v>
      </c>
      <c r="M2961">
        <v>0.99982369999999998</v>
      </c>
      <c r="N2961">
        <v>-7.0896429999999996E-3</v>
      </c>
      <c r="O2961">
        <v>-1.739158E-2</v>
      </c>
      <c r="P2961">
        <v>0.92292149999999995</v>
      </c>
      <c r="Q2961">
        <v>0.36128739999999998</v>
      </c>
      <c r="R2961">
        <v>0.1329931</v>
      </c>
      <c r="S2961">
        <v>3.4505620000000001</v>
      </c>
      <c r="T2961">
        <v>-0.50879609999999997</v>
      </c>
      <c r="U2961">
        <v>-8.4228519999999998E-3</v>
      </c>
      <c r="V2961">
        <v>-0.15063879999999999</v>
      </c>
      <c r="W2961">
        <v>0.36714590000000003</v>
      </c>
      <c r="X2961">
        <v>0.91788449999999999</v>
      </c>
      <c r="Y2961">
        <v>-1.461524E-2</v>
      </c>
      <c r="Z2961">
        <v>3.5517000000000001E-3</v>
      </c>
      <c r="AA2961">
        <v>0.99988690000000002</v>
      </c>
      <c r="AB2961">
        <v>32</v>
      </c>
      <c r="AC2961">
        <v>0.656299999999987</v>
      </c>
      <c r="AD2961">
        <v>-0.14205860000000001</v>
      </c>
      <c r="AE2961">
        <v>1.5000000000213701E-3</v>
      </c>
      <c r="AF2961">
        <v>-1.2336178581748699E-2</v>
      </c>
      <c r="AG2961">
        <v>-0.14205860000000001</v>
      </c>
      <c r="AH2961">
        <v>0.62680747149180105</v>
      </c>
      <c r="AI2961">
        <v>102.76730709591</v>
      </c>
      <c r="AJ2961">
        <v>91.127490916349402</v>
      </c>
      <c r="AK2961">
        <v>0.64282224094527596</v>
      </c>
      <c r="AL2961">
        <v>68.460296439788394</v>
      </c>
      <c r="AM2961">
        <v>99.320026491846406</v>
      </c>
      <c r="AN2961">
        <v>1.00000005764624</v>
      </c>
    </row>
    <row r="2962" spans="1:40" x14ac:dyDescent="0.25">
      <c r="A2962" t="str">
        <f>"20190304164428239"</f>
        <v>20190304164428239</v>
      </c>
      <c r="B2962" t="str">
        <f>"1551689068232942"</f>
        <v>1551689068232942</v>
      </c>
      <c r="C2962" t="s">
        <v>40</v>
      </c>
      <c r="D2962">
        <v>4.7606960000000003</v>
      </c>
      <c r="E2962">
        <v>0.57219149999999996</v>
      </c>
      <c r="F2962" t="s">
        <v>41</v>
      </c>
      <c r="G2962">
        <v>-439.10039999999998</v>
      </c>
      <c r="H2962">
        <v>0.97283339999999996</v>
      </c>
      <c r="I2962">
        <v>212.7226</v>
      </c>
      <c r="J2962">
        <v>-439.72370000000001</v>
      </c>
      <c r="K2962">
        <v>1.1116629999999901</v>
      </c>
      <c r="L2962">
        <v>212.71950000000001</v>
      </c>
      <c r="M2962">
        <v>0.99985650000000004</v>
      </c>
      <c r="N2962">
        <v>-7.0676869999999996E-3</v>
      </c>
      <c r="O2962">
        <v>-1.5400469999999999E-2</v>
      </c>
      <c r="P2962">
        <v>0.92265730000000001</v>
      </c>
      <c r="Q2962">
        <v>0.36087170000000002</v>
      </c>
      <c r="R2962">
        <v>0.13592399999999999</v>
      </c>
      <c r="S2962">
        <v>3.4501949999999999</v>
      </c>
      <c r="T2962">
        <v>-0.50990020000000003</v>
      </c>
      <c r="U2962">
        <v>-5.1879879999999995E-4</v>
      </c>
      <c r="V2962">
        <v>-0.15165200000000001</v>
      </c>
      <c r="W2962">
        <v>0.3667377</v>
      </c>
      <c r="X2962">
        <v>0.91788080000000005</v>
      </c>
      <c r="Y2962">
        <v>-1.492886E-2</v>
      </c>
      <c r="Z2962">
        <v>3.30562E-3</v>
      </c>
      <c r="AA2962">
        <v>0.99988310000000002</v>
      </c>
      <c r="AB2962">
        <v>32</v>
      </c>
      <c r="AC2962">
        <v>0.62330000000002805</v>
      </c>
      <c r="AD2962">
        <v>-0.138829599999999</v>
      </c>
      <c r="AE2962">
        <v>3.0999999999892199E-3</v>
      </c>
      <c r="AF2962">
        <v>-1.20987778985515E-2</v>
      </c>
      <c r="AG2962">
        <v>-0.138829599999999</v>
      </c>
      <c r="AH2962">
        <v>0.59372435229244602</v>
      </c>
      <c r="AI2962">
        <v>103.15828193758099</v>
      </c>
      <c r="AJ2962">
        <v>91.167398607796798</v>
      </c>
      <c r="AK2962">
        <v>0.60985952871778804</v>
      </c>
      <c r="AL2962">
        <v>68.485437446756094</v>
      </c>
      <c r="AM2962">
        <v>99.381639506994105</v>
      </c>
      <c r="AN2962">
        <v>1.00000001635696</v>
      </c>
    </row>
    <row r="2963" spans="1:40" x14ac:dyDescent="0.25">
      <c r="A2963" t="str">
        <f>"20190304164428262"</f>
        <v>20190304164428262</v>
      </c>
      <c r="B2963" t="str">
        <f>"1551689068252461"</f>
        <v>1551689068252461</v>
      </c>
      <c r="C2963" t="s">
        <v>40</v>
      </c>
      <c r="D2963">
        <v>4.7384300000000001</v>
      </c>
      <c r="E2963">
        <v>0.57200960000000001</v>
      </c>
      <c r="F2963" t="s">
        <v>41</v>
      </c>
      <c r="G2963">
        <v>-438.81479999999999</v>
      </c>
      <c r="H2963">
        <v>0.97751840000000001</v>
      </c>
      <c r="I2963">
        <v>212.72149999999999</v>
      </c>
      <c r="J2963">
        <v>-439.40910000000002</v>
      </c>
      <c r="K2963">
        <v>1.1115729999999999</v>
      </c>
      <c r="L2963">
        <v>212.71639999999999</v>
      </c>
      <c r="M2963">
        <v>0.99988330000000003</v>
      </c>
      <c r="N2963">
        <v>-7.0485469999999996E-3</v>
      </c>
      <c r="O2963">
        <v>-1.356066E-2</v>
      </c>
      <c r="P2963">
        <v>0.92246550000000005</v>
      </c>
      <c r="Q2963">
        <v>0.36059560000000002</v>
      </c>
      <c r="R2963">
        <v>0.1379437</v>
      </c>
      <c r="S2963">
        <v>3.4494319999999998</v>
      </c>
      <c r="T2963">
        <v>-0.50930229999999999</v>
      </c>
      <c r="U2963">
        <v>8.4075929999999997E-3</v>
      </c>
      <c r="V2963">
        <v>-0.1518929</v>
      </c>
      <c r="W2963">
        <v>0.36647649999999998</v>
      </c>
      <c r="X2963">
        <v>0.91794529999999996</v>
      </c>
      <c r="Y2963">
        <v>-1.5686530000000001E-2</v>
      </c>
      <c r="Z2963">
        <v>3.1036710000000001E-3</v>
      </c>
      <c r="AA2963">
        <v>0.99987210000000004</v>
      </c>
      <c r="AB2963">
        <v>32</v>
      </c>
      <c r="AC2963">
        <v>0.59430000000003202</v>
      </c>
      <c r="AD2963">
        <v>-0.134054599999999</v>
      </c>
      <c r="AE2963">
        <v>5.0999999999987696E-3</v>
      </c>
      <c r="AF2963">
        <v>-1.25217631671336E-2</v>
      </c>
      <c r="AG2963">
        <v>-0.134054599999999</v>
      </c>
      <c r="AH2963">
        <v>0.56540992841309601</v>
      </c>
      <c r="AI2963">
        <v>103.334976211587</v>
      </c>
      <c r="AJ2963">
        <v>91.268684696357397</v>
      </c>
      <c r="AK2963">
        <v>0.58121925078413905</v>
      </c>
      <c r="AL2963">
        <v>68.501523267200199</v>
      </c>
      <c r="AM2963">
        <v>99.395628263282205</v>
      </c>
      <c r="AN2963">
        <v>1.00000002595737</v>
      </c>
    </row>
    <row r="2964" spans="1:40" x14ac:dyDescent="0.25">
      <c r="A2964" t="str">
        <f>"20190304164428284"</f>
        <v>20190304164428284</v>
      </c>
      <c r="B2964" t="str">
        <f>"1551689068272957"</f>
        <v>1551689068272957</v>
      </c>
      <c r="C2964" t="s">
        <v>40</v>
      </c>
      <c r="D2964">
        <v>4.7573239999999997</v>
      </c>
      <c r="E2964">
        <v>0.57184389999999996</v>
      </c>
      <c r="F2964" t="s">
        <v>41</v>
      </c>
      <c r="G2964">
        <v>-438.52879999999999</v>
      </c>
      <c r="H2964">
        <v>0.98156650000000001</v>
      </c>
      <c r="I2964">
        <v>212.71979999999999</v>
      </c>
      <c r="J2964">
        <v>-439.08780000000002</v>
      </c>
      <c r="K2964">
        <v>1.111469</v>
      </c>
      <c r="L2964">
        <v>212.71379999999999</v>
      </c>
      <c r="M2964">
        <v>0.9999053</v>
      </c>
      <c r="N2964">
        <v>-7.0309500000000002E-3</v>
      </c>
      <c r="O2964">
        <v>-1.183499E-2</v>
      </c>
      <c r="P2964">
        <v>0.92243699999999995</v>
      </c>
      <c r="Q2964">
        <v>0.36011539999999997</v>
      </c>
      <c r="R2964">
        <v>0.13938120000000001</v>
      </c>
      <c r="S2964">
        <v>3.4491879999999999</v>
      </c>
      <c r="T2964">
        <v>-0.50974830000000004</v>
      </c>
      <c r="U2964">
        <v>1.5182499999999899E-2</v>
      </c>
      <c r="V2964">
        <v>-0.1516526</v>
      </c>
      <c r="W2964">
        <v>0.36601810000000001</v>
      </c>
      <c r="X2964">
        <v>0.91816790000000004</v>
      </c>
      <c r="Y2964">
        <v>-1.5938529999999999E-2</v>
      </c>
      <c r="Z2964">
        <v>2.8845519999999999E-3</v>
      </c>
      <c r="AA2964">
        <v>0.9998688</v>
      </c>
      <c r="AB2964">
        <v>32</v>
      </c>
      <c r="AC2964">
        <v>0.55900000000002503</v>
      </c>
      <c r="AD2964">
        <v>-0.129902499999999</v>
      </c>
      <c r="AE2964">
        <v>6.0000000000002196E-3</v>
      </c>
      <c r="AF2964">
        <v>-1.19692130333815E-2</v>
      </c>
      <c r="AG2964">
        <v>-0.129902499999999</v>
      </c>
      <c r="AH2964">
        <v>0.53025803758228296</v>
      </c>
      <c r="AI2964">
        <v>103.761835870658</v>
      </c>
      <c r="AJ2964">
        <v>91.293085451488196</v>
      </c>
      <c r="AK2964">
        <v>0.54606914213083102</v>
      </c>
      <c r="AL2964">
        <v>68.529748848103395</v>
      </c>
      <c r="AM2964">
        <v>99.378794558190293</v>
      </c>
      <c r="AN2964">
        <v>1.0000000266023801</v>
      </c>
    </row>
    <row r="2965" spans="1:40" x14ac:dyDescent="0.25">
      <c r="A2965" t="str">
        <f>"20190304164428306"</f>
        <v>20190304164428306</v>
      </c>
      <c r="B2965" t="str">
        <f>"1551689068303213"</f>
        <v>1551689068303213</v>
      </c>
      <c r="C2965" t="s">
        <v>40</v>
      </c>
      <c r="D2965">
        <v>4.8148730000000004</v>
      </c>
      <c r="E2965">
        <v>0.57131679999999996</v>
      </c>
      <c r="F2965" t="s">
        <v>41</v>
      </c>
      <c r="G2965">
        <v>-438.24160000000001</v>
      </c>
      <c r="H2965">
        <v>0.98613390000000001</v>
      </c>
      <c r="I2965">
        <v>212.71899999999999</v>
      </c>
      <c r="J2965">
        <v>-438.78399999999999</v>
      </c>
      <c r="K2965">
        <v>1.1113660000000001</v>
      </c>
      <c r="L2965">
        <v>212.71170000000001</v>
      </c>
      <c r="M2965">
        <v>0.99992179999999997</v>
      </c>
      <c r="N2965">
        <v>-7.0158199999999999E-3</v>
      </c>
      <c r="O2965">
        <v>-1.0353380000000001E-2</v>
      </c>
      <c r="P2965">
        <v>0.92237919999999995</v>
      </c>
      <c r="Q2965">
        <v>0.35959000000000002</v>
      </c>
      <c r="R2965">
        <v>0.14110799999999901</v>
      </c>
      <c r="S2965">
        <v>3.4483030000000001</v>
      </c>
      <c r="T2965">
        <v>-0.51081560000000004</v>
      </c>
      <c r="U2965">
        <v>2.1926879999999999E-2</v>
      </c>
      <c r="V2965">
        <v>-0.15192259999999999</v>
      </c>
      <c r="W2965">
        <v>0.3655157</v>
      </c>
      <c r="X2965">
        <v>0.91832329999999995</v>
      </c>
      <c r="Y2965">
        <v>-1.6421399999999999E-2</v>
      </c>
      <c r="Z2965">
        <v>2.7207099999999999E-3</v>
      </c>
      <c r="AA2965">
        <v>0.99986149999999996</v>
      </c>
      <c r="AB2965">
        <v>32</v>
      </c>
      <c r="AC2965">
        <v>0.542399999999986</v>
      </c>
      <c r="AD2965">
        <v>-0.12523210000000001</v>
      </c>
      <c r="AE2965">
        <v>7.3000000000149603E-3</v>
      </c>
      <c r="AF2965">
        <v>-1.22618827564631E-2</v>
      </c>
      <c r="AG2965">
        <v>-0.12523210000000001</v>
      </c>
      <c r="AH2965">
        <v>0.51485448037398795</v>
      </c>
      <c r="AI2965">
        <v>103.667285549567</v>
      </c>
      <c r="AJ2965">
        <v>91.364310441962999</v>
      </c>
      <c r="AK2965">
        <v>0.530008083523556</v>
      </c>
      <c r="AL2965">
        <v>68.560675521276593</v>
      </c>
      <c r="AM2965">
        <v>99.393633435884993</v>
      </c>
      <c r="AN2965">
        <v>0.99999994333006803</v>
      </c>
    </row>
    <row r="2966" spans="1:40" x14ac:dyDescent="0.25">
      <c r="A2966" t="str">
        <f>"20190304164428328"</f>
        <v>20190304164428328</v>
      </c>
      <c r="B2966" t="str">
        <f>"1551689068322734"</f>
        <v>1551689068322734</v>
      </c>
      <c r="C2966" t="s">
        <v>40</v>
      </c>
      <c r="D2966">
        <v>4.6771479999999999</v>
      </c>
      <c r="E2966">
        <v>0.57104460000000001</v>
      </c>
      <c r="F2966" t="s">
        <v>41</v>
      </c>
      <c r="G2966">
        <v>-437.9547</v>
      </c>
      <c r="H2966">
        <v>0.98854370000000003</v>
      </c>
      <c r="I2966">
        <v>212.71870000000001</v>
      </c>
      <c r="J2966">
        <v>-438.46129999999999</v>
      </c>
      <c r="K2966">
        <v>1.1112470000000001</v>
      </c>
      <c r="L2966">
        <v>212.7098</v>
      </c>
      <c r="M2966">
        <v>0.99993560000000004</v>
      </c>
      <c r="N2966">
        <v>-7.0019449999999999E-3</v>
      </c>
      <c r="O2966">
        <v>-8.9363659999999994E-3</v>
      </c>
      <c r="P2966">
        <v>0.92229850000000002</v>
      </c>
      <c r="Q2966">
        <v>0.35914810000000003</v>
      </c>
      <c r="R2966">
        <v>0.14275170000000001</v>
      </c>
      <c r="S2966">
        <v>3.4470209999999999</v>
      </c>
      <c r="T2966">
        <v>-0.5106385</v>
      </c>
      <c r="U2966">
        <v>2.9769899999999998E-2</v>
      </c>
      <c r="V2966">
        <v>-0.1521557</v>
      </c>
      <c r="W2966">
        <v>0.36510389999999998</v>
      </c>
      <c r="X2966">
        <v>0.91844859999999995</v>
      </c>
      <c r="Y2966">
        <v>-1.728584E-2</v>
      </c>
      <c r="Z2966">
        <v>2.5886120000000001E-3</v>
      </c>
      <c r="AA2966">
        <v>0.99984720000000005</v>
      </c>
      <c r="AB2966">
        <v>32</v>
      </c>
      <c r="AC2966">
        <v>0.50659999999999095</v>
      </c>
      <c r="AD2966">
        <v>-0.122703299999999</v>
      </c>
      <c r="AE2966">
        <v>8.9000000000112305E-3</v>
      </c>
      <c r="AF2966">
        <v>-1.26830893282769E-2</v>
      </c>
      <c r="AG2966">
        <v>-0.122703299999999</v>
      </c>
      <c r="AH2966">
        <v>0.47844095961882199</v>
      </c>
      <c r="AI2966">
        <v>104.379488760771</v>
      </c>
      <c r="AJ2966">
        <v>91.518509908500604</v>
      </c>
      <c r="AK2966">
        <v>0.49408775781917302</v>
      </c>
      <c r="AL2966">
        <v>68.586023487486003</v>
      </c>
      <c r="AM2966">
        <v>99.406528412088505</v>
      </c>
      <c r="AN2966">
        <v>1.00000002283982</v>
      </c>
    </row>
    <row r="2967" spans="1:40" x14ac:dyDescent="0.25">
      <c r="A2967" t="str">
        <f>"20190304164428351"</f>
        <v>20190304164428351</v>
      </c>
      <c r="B2967" t="str">
        <f>"1551689068343230"</f>
        <v>1551689068343230</v>
      </c>
      <c r="C2967" t="s">
        <v>40</v>
      </c>
      <c r="D2967">
        <v>4.6465880000000004</v>
      </c>
      <c r="E2967">
        <v>0.57083499999999998</v>
      </c>
      <c r="F2967" t="s">
        <v>41</v>
      </c>
      <c r="G2967">
        <v>-437.66570000000002</v>
      </c>
      <c r="H2967">
        <v>0.99324939999999995</v>
      </c>
      <c r="I2967">
        <v>212.7184</v>
      </c>
      <c r="J2967">
        <v>-438.12920000000003</v>
      </c>
      <c r="K2967">
        <v>1.1111180000000001</v>
      </c>
      <c r="L2967">
        <v>212.7081</v>
      </c>
      <c r="M2967">
        <v>0.99994649999999996</v>
      </c>
      <c r="N2967">
        <v>-6.989856E-3</v>
      </c>
      <c r="O2967">
        <v>-7.6409039999999996E-3</v>
      </c>
      <c r="P2967">
        <v>0.92213610000000001</v>
      </c>
      <c r="Q2967">
        <v>0.35884870000000002</v>
      </c>
      <c r="R2967">
        <v>0.14454410000000001</v>
      </c>
      <c r="S2967">
        <v>3.4459840000000002</v>
      </c>
      <c r="T2967">
        <v>-0.5110074</v>
      </c>
      <c r="U2967">
        <v>3.6834720000000001E-2</v>
      </c>
      <c r="V2967">
        <v>-0.15264229999999901</v>
      </c>
      <c r="W2967">
        <v>0.36483749999999998</v>
      </c>
      <c r="X2967">
        <v>0.91847369999999995</v>
      </c>
      <c r="Y2967">
        <v>-1.8046320000000001E-2</v>
      </c>
      <c r="Z2967">
        <v>2.4679239999999998E-3</v>
      </c>
      <c r="AA2967">
        <v>0.99983409999999995</v>
      </c>
      <c r="AB2967">
        <v>32</v>
      </c>
      <c r="AC2967">
        <v>0.46350000000001002</v>
      </c>
      <c r="AD2967">
        <v>-0.1178686</v>
      </c>
      <c r="AE2967">
        <v>1.03000000000008E-2</v>
      </c>
      <c r="AF2967">
        <v>-1.3000996712047901E-2</v>
      </c>
      <c r="AG2967">
        <v>-0.1178686</v>
      </c>
      <c r="AH2967">
        <v>0.43527295205686301</v>
      </c>
      <c r="AI2967">
        <v>105.145438189093</v>
      </c>
      <c r="AJ2967">
        <v>91.710836473031605</v>
      </c>
      <c r="AK2967">
        <v>0.45113698094233301</v>
      </c>
      <c r="AL2967">
        <v>68.602417599918596</v>
      </c>
      <c r="AM2967">
        <v>99.435817464869899</v>
      </c>
      <c r="AN2967">
        <v>1.00000000537361</v>
      </c>
    </row>
    <row r="2968" spans="1:40" x14ac:dyDescent="0.25">
      <c r="A2968" t="str">
        <f>"20190304164428375"</f>
        <v>20190304164428375</v>
      </c>
      <c r="B2968" t="str">
        <f>"1551689068362749"</f>
        <v>1551689068362749</v>
      </c>
      <c r="C2968" t="s">
        <v>40</v>
      </c>
      <c r="D2968">
        <v>4.6098359999999996</v>
      </c>
      <c r="E2968">
        <v>0.57078219999999902</v>
      </c>
      <c r="F2968" t="s">
        <v>41</v>
      </c>
      <c r="G2968">
        <v>-437.37540000000001</v>
      </c>
      <c r="H2968">
        <v>0.99941219999999997</v>
      </c>
      <c r="I2968">
        <v>212.71709999999999</v>
      </c>
      <c r="J2968">
        <v>-437.78960000000001</v>
      </c>
      <c r="K2968">
        <v>1.1109869999999999</v>
      </c>
      <c r="L2968">
        <v>212.70679999999999</v>
      </c>
      <c r="M2968">
        <v>0.99995469999999997</v>
      </c>
      <c r="N2968">
        <v>-6.9794280000000002E-3</v>
      </c>
      <c r="O2968">
        <v>-6.4830720000000003E-3</v>
      </c>
      <c r="P2968">
        <v>0.92187569999999996</v>
      </c>
      <c r="Q2968">
        <v>0.35873500000000003</v>
      </c>
      <c r="R2968">
        <v>0.14647479999999999</v>
      </c>
      <c r="S2968">
        <v>3.4453740000000002</v>
      </c>
      <c r="T2968">
        <v>-0.51082609999999995</v>
      </c>
      <c r="U2968">
        <v>4.3106079999999998E-2</v>
      </c>
      <c r="V2968">
        <v>-0.15339140000000001</v>
      </c>
      <c r="W2968">
        <v>0.3647589</v>
      </c>
      <c r="X2968">
        <v>0.91838010000000003</v>
      </c>
      <c r="Y2968">
        <v>-1.8714149999999999E-2</v>
      </c>
      <c r="Z2968">
        <v>2.356347E-3</v>
      </c>
      <c r="AA2968">
        <v>0.99982210000000005</v>
      </c>
      <c r="AB2968">
        <v>32</v>
      </c>
      <c r="AC2968">
        <v>0.41419999999999302</v>
      </c>
      <c r="AD2968">
        <v>-0.1115748</v>
      </c>
      <c r="AE2968">
        <v>1.03000000000008E-2</v>
      </c>
      <c r="AF2968">
        <v>-1.21071550415922E-2</v>
      </c>
      <c r="AG2968">
        <v>-0.1115748</v>
      </c>
      <c r="AH2968">
        <v>0.38612374125711402</v>
      </c>
      <c r="AI2968">
        <v>106.109738538908</v>
      </c>
      <c r="AJ2968">
        <v>91.795957115112699</v>
      </c>
      <c r="AK2968">
        <v>0.402103298619437</v>
      </c>
      <c r="AL2968">
        <v>68.607254074913698</v>
      </c>
      <c r="AM2968">
        <v>99.482234250650095</v>
      </c>
      <c r="AN2968">
        <v>0.99999999239959003</v>
      </c>
    </row>
    <row r="2969" spans="1:40" x14ac:dyDescent="0.25">
      <c r="A2969" t="str">
        <f>"20190304164428396"</f>
        <v>20190304164428396</v>
      </c>
      <c r="B2969" t="str">
        <f>"1551689068393006"</f>
        <v>1551689068393006</v>
      </c>
      <c r="C2969" t="s">
        <v>40</v>
      </c>
      <c r="D2969">
        <v>4.5855189999999997</v>
      </c>
      <c r="E2969">
        <v>0.57077060000000002</v>
      </c>
      <c r="F2969" t="s">
        <v>41</v>
      </c>
      <c r="G2969">
        <v>-436.81299999999999</v>
      </c>
      <c r="H2969">
        <v>0.96682699999999999</v>
      </c>
      <c r="I2969">
        <v>212.72020000000001</v>
      </c>
      <c r="J2969">
        <v>-437.47519999999997</v>
      </c>
      <c r="K2969">
        <v>1.11087</v>
      </c>
      <c r="L2969">
        <v>212.70570000000001</v>
      </c>
      <c r="M2969">
        <v>0.99996039999999997</v>
      </c>
      <c r="N2969">
        <v>-6.9716090000000001E-3</v>
      </c>
      <c r="O2969">
        <v>-5.5649410000000003E-3</v>
      </c>
      <c r="P2969">
        <v>0.92170920000000001</v>
      </c>
      <c r="Q2969">
        <v>0.358518</v>
      </c>
      <c r="R2969">
        <v>0.14804500000000001</v>
      </c>
      <c r="S2969">
        <v>3.4443359999999998</v>
      </c>
      <c r="T2969">
        <v>-0.50866820000000001</v>
      </c>
      <c r="U2969">
        <v>4.9011230000000003E-2</v>
      </c>
      <c r="V2969">
        <v>-0.15401419999999999</v>
      </c>
      <c r="W2969">
        <v>0.36457460000000003</v>
      </c>
      <c r="X2969">
        <v>0.91834899999999997</v>
      </c>
      <c r="Y2969">
        <v>-1.9515850000000001E-2</v>
      </c>
      <c r="Z2969">
        <v>2.2804269999999998E-3</v>
      </c>
      <c r="AA2969">
        <v>0.99980690000000005</v>
      </c>
      <c r="AB2969">
        <v>32</v>
      </c>
      <c r="AC2969">
        <v>0.66219999999992696</v>
      </c>
      <c r="AD2969">
        <v>-0.144043</v>
      </c>
      <c r="AE2969">
        <v>1.4499999999998099E-2</v>
      </c>
      <c r="AF2969">
        <v>-1.73637812209664E-2</v>
      </c>
      <c r="AG2969">
        <v>-0.144043</v>
      </c>
      <c r="AH2969">
        <v>0.63220988667368805</v>
      </c>
      <c r="AI2969">
        <v>102.830515885239</v>
      </c>
      <c r="AJ2969">
        <v>91.573245464858203</v>
      </c>
      <c r="AK2969">
        <v>0.64864414554919603</v>
      </c>
      <c r="AL2969">
        <v>68.6185936513847</v>
      </c>
      <c r="AM2969">
        <v>99.520347218579403</v>
      </c>
      <c r="AN2969">
        <v>0.99999994928389802</v>
      </c>
    </row>
    <row r="2970" spans="1:40" x14ac:dyDescent="0.25">
      <c r="A2970" t="str">
        <f>"20190304164428417"</f>
        <v>20190304164428417</v>
      </c>
      <c r="B2970" t="str">
        <f>"1551689068412527"</f>
        <v>1551689068412527</v>
      </c>
      <c r="C2970" t="s">
        <v>40</v>
      </c>
      <c r="D2970">
        <v>4.5900660000000002</v>
      </c>
      <c r="E2970">
        <v>0.57080690000000001</v>
      </c>
      <c r="F2970" t="s">
        <v>41</v>
      </c>
      <c r="G2970">
        <v>-436.5213</v>
      </c>
      <c r="H2970">
        <v>0.97059110000000004</v>
      </c>
      <c r="I2970">
        <v>212.72040000000001</v>
      </c>
      <c r="J2970">
        <v>-437.16980000000001</v>
      </c>
      <c r="K2970">
        <v>1.11077</v>
      </c>
      <c r="L2970">
        <v>212.70480000000001</v>
      </c>
      <c r="M2970">
        <v>0.99996439999999998</v>
      </c>
      <c r="N2970">
        <v>-6.9653859999999996E-3</v>
      </c>
      <c r="O2970">
        <v>-4.7746580000000002E-3</v>
      </c>
      <c r="P2970">
        <v>0.92165680000000005</v>
      </c>
      <c r="Q2970">
        <v>0.3580179</v>
      </c>
      <c r="R2970">
        <v>0.1495715</v>
      </c>
      <c r="S2970">
        <v>3.4431150000000001</v>
      </c>
      <c r="T2970">
        <v>-0.506542099999999</v>
      </c>
      <c r="U2970">
        <v>5.4626460000000002E-2</v>
      </c>
      <c r="V2970">
        <v>-0.15472569999999999</v>
      </c>
      <c r="W2970">
        <v>0.36410389999999998</v>
      </c>
      <c r="X2970">
        <v>0.91841620000000002</v>
      </c>
      <c r="Y2970">
        <v>-2.036118E-2</v>
      </c>
      <c r="Z2970">
        <v>2.2264979999999999E-3</v>
      </c>
      <c r="AA2970">
        <v>0.99979019999999996</v>
      </c>
      <c r="AB2970">
        <v>32</v>
      </c>
      <c r="AC2970">
        <v>0.64850000000001196</v>
      </c>
      <c r="AD2970">
        <v>-0.1401789</v>
      </c>
      <c r="AE2970">
        <v>1.5600000000006199E-2</v>
      </c>
      <c r="AF2970">
        <v>-1.78621444392069E-2</v>
      </c>
      <c r="AG2970">
        <v>-0.1401789</v>
      </c>
      <c r="AH2970">
        <v>0.61948948016252003</v>
      </c>
      <c r="AI2970">
        <v>102.74511744614399</v>
      </c>
      <c r="AJ2970">
        <v>91.651589002307404</v>
      </c>
      <c r="AK2970">
        <v>0.63540254661215001</v>
      </c>
      <c r="AL2970">
        <v>68.647554512306598</v>
      </c>
      <c r="AM2970">
        <v>99.562831028734607</v>
      </c>
      <c r="AN2970">
        <v>1.00000000432907</v>
      </c>
    </row>
    <row r="2971" spans="1:40" x14ac:dyDescent="0.25">
      <c r="A2971" t="str">
        <f>"20190304164428452"</f>
        <v>20190304164428452</v>
      </c>
      <c r="B2971" t="str">
        <f>"1551689068442781"</f>
        <v>1551689068442781</v>
      </c>
      <c r="C2971" t="s">
        <v>40</v>
      </c>
      <c r="D2971">
        <v>4.5289260000000002</v>
      </c>
      <c r="E2971">
        <v>0.57091650000000005</v>
      </c>
      <c r="F2971" t="s">
        <v>41</v>
      </c>
      <c r="G2971">
        <v>-436.2296</v>
      </c>
      <c r="H2971">
        <v>0.9725085</v>
      </c>
      <c r="I2971">
        <v>212.72120000000001</v>
      </c>
      <c r="J2971">
        <v>-436.66269999999997</v>
      </c>
      <c r="K2971">
        <v>1.110633</v>
      </c>
      <c r="L2971">
        <v>212.70359999999999</v>
      </c>
      <c r="M2971">
        <v>0.99996910000000006</v>
      </c>
      <c r="N2971">
        <v>-6.9581369999999997E-3</v>
      </c>
      <c r="O2971">
        <v>-3.655742E-3</v>
      </c>
      <c r="P2971">
        <v>0.92176239999999998</v>
      </c>
      <c r="Q2971">
        <v>0.3575526</v>
      </c>
      <c r="R2971">
        <v>0.15003440000000001</v>
      </c>
      <c r="S2971">
        <v>3.4417110000000002</v>
      </c>
      <c r="T2971">
        <v>-0.50637790000000005</v>
      </c>
      <c r="U2971">
        <v>6.1645510000000001E-2</v>
      </c>
      <c r="V2971">
        <v>-0.15403929999999999</v>
      </c>
      <c r="W2971">
        <v>0.36368509999999998</v>
      </c>
      <c r="X2971">
        <v>0.91869749999999994</v>
      </c>
      <c r="Y2971">
        <v>-2.1287770000000001E-2</v>
      </c>
      <c r="Z2971">
        <v>2.141652E-3</v>
      </c>
      <c r="AA2971">
        <v>0.99977110000000002</v>
      </c>
      <c r="AB2971">
        <v>32</v>
      </c>
      <c r="AC2971">
        <v>0.43309999999996701</v>
      </c>
      <c r="AD2971">
        <v>-0.13812450000000001</v>
      </c>
      <c r="AE2971">
        <v>1.7600000000015801E-2</v>
      </c>
      <c r="AF2971">
        <v>-1.7414870565296201E-2</v>
      </c>
      <c r="AG2971">
        <v>-0.13812450000000001</v>
      </c>
      <c r="AH2971">
        <v>0.393114842146708</v>
      </c>
      <c r="AI2971">
        <v>109.341833368293</v>
      </c>
      <c r="AJ2971">
        <v>92.536527574773103</v>
      </c>
      <c r="AK2971">
        <v>0.41703828880941701</v>
      </c>
      <c r="AL2971">
        <v>68.673316713722201</v>
      </c>
      <c r="AM2971">
        <v>99.5183244235795</v>
      </c>
      <c r="AN2971">
        <v>1.00000002720637</v>
      </c>
    </row>
    <row r="2972" spans="1:40" x14ac:dyDescent="0.25">
      <c r="A2972" t="str">
        <f>"20190304164428474"</f>
        <v>20190304164428474</v>
      </c>
      <c r="B2972" t="str">
        <f>"1551689068463277"</f>
        <v>1551689068463277</v>
      </c>
      <c r="C2972" t="s">
        <v>40</v>
      </c>
      <c r="D2972">
        <v>4.5059879999999897</v>
      </c>
      <c r="E2972">
        <v>0.57103459999999995</v>
      </c>
      <c r="F2972" t="s">
        <v>41</v>
      </c>
      <c r="G2972">
        <v>-435.92419999999998</v>
      </c>
      <c r="H2972">
        <v>1.002219</v>
      </c>
      <c r="I2972">
        <v>212.71729999999999</v>
      </c>
      <c r="J2972">
        <v>-436.3329</v>
      </c>
      <c r="K2972">
        <v>1.110557</v>
      </c>
      <c r="L2972">
        <v>212.70310000000001</v>
      </c>
      <c r="M2972">
        <v>0.99997119999999995</v>
      </c>
      <c r="N2972">
        <v>-6.9548939999999997E-3</v>
      </c>
      <c r="O2972">
        <v>-3.0407450000000001E-3</v>
      </c>
      <c r="P2972">
        <v>0.9217554</v>
      </c>
      <c r="Q2972">
        <v>0.35777750000000003</v>
      </c>
      <c r="R2972">
        <v>0.1495408</v>
      </c>
      <c r="S2972">
        <v>3.4401250000000001</v>
      </c>
      <c r="T2972">
        <v>-0.50503399999999998</v>
      </c>
      <c r="U2972">
        <v>6.4041139999999996E-2</v>
      </c>
      <c r="V2972">
        <v>-0.15291289999999999</v>
      </c>
      <c r="W2972">
        <v>0.36393730000000002</v>
      </c>
      <c r="X2972">
        <v>0.91878579999999999</v>
      </c>
      <c r="Y2972">
        <v>-2.1383249999999999E-2</v>
      </c>
      <c r="Z2972">
        <v>2.0588339999999998E-3</v>
      </c>
      <c r="AA2972">
        <v>0.99976920000000002</v>
      </c>
      <c r="AB2972">
        <v>33</v>
      </c>
      <c r="AC2972">
        <v>0.40870000000001</v>
      </c>
      <c r="AD2972">
        <v>-0.108338</v>
      </c>
      <c r="AE2972">
        <v>1.4199999999988199E-2</v>
      </c>
      <c r="AF2972">
        <v>-1.44299854314455E-2</v>
      </c>
      <c r="AG2972">
        <v>-0.108338</v>
      </c>
      <c r="AH2972">
        <v>0.38185539146641101</v>
      </c>
      <c r="AI2972">
        <v>105.82868943904801</v>
      </c>
      <c r="AJ2972">
        <v>92.164128274251894</v>
      </c>
      <c r="AK2972">
        <v>0.39718872934099902</v>
      </c>
      <c r="AL2972">
        <v>68.657803708391796</v>
      </c>
      <c r="AM2972">
        <v>99.449090523814803</v>
      </c>
      <c r="AN2972">
        <v>1.0000000297996601</v>
      </c>
    </row>
    <row r="2973" spans="1:40" x14ac:dyDescent="0.25">
      <c r="A2973" t="str">
        <f>"20190304164428495"</f>
        <v>20190304164428495</v>
      </c>
      <c r="B2973" t="str">
        <f>"1551689068482797"</f>
        <v>1551689068482797</v>
      </c>
      <c r="C2973" t="s">
        <v>40</v>
      </c>
      <c r="D2973">
        <v>4.4765160000000002</v>
      </c>
      <c r="E2973">
        <v>0.57109279999999996</v>
      </c>
      <c r="F2973" t="s">
        <v>41</v>
      </c>
      <c r="G2973">
        <v>-435.35480000000001</v>
      </c>
      <c r="H2973">
        <v>0.96789860000000005</v>
      </c>
      <c r="I2973">
        <v>212.72049999999999</v>
      </c>
      <c r="J2973">
        <v>-436.029</v>
      </c>
      <c r="K2973">
        <v>1.1104969999999901</v>
      </c>
      <c r="L2973">
        <v>212.70269999999999</v>
      </c>
      <c r="M2973">
        <v>0.99997270000000005</v>
      </c>
      <c r="N2973">
        <v>-6.9479059999999898E-3</v>
      </c>
      <c r="O2973">
        <v>-2.5403510000000002E-3</v>
      </c>
      <c r="P2973">
        <v>0.92177160000000002</v>
      </c>
      <c r="Q2973">
        <v>0.35835250000000002</v>
      </c>
      <c r="R2973">
        <v>0.14805660000000001</v>
      </c>
      <c r="S2973">
        <v>3.4394230000000001</v>
      </c>
      <c r="T2973">
        <v>-0.50172589999999995</v>
      </c>
      <c r="U2973">
        <v>6.1508180000000003E-2</v>
      </c>
      <c r="V2973">
        <v>-0.15091299999999999</v>
      </c>
      <c r="W2973">
        <v>0.36453249999999998</v>
      </c>
      <c r="X2973">
        <v>0.91888049999999999</v>
      </c>
      <c r="Y2973">
        <v>-2.0172289999999999E-2</v>
      </c>
      <c r="Z2973">
        <v>1.8849629999999999E-3</v>
      </c>
      <c r="AA2973">
        <v>0.99979470000000004</v>
      </c>
      <c r="AB2973">
        <v>33</v>
      </c>
      <c r="AC2973">
        <v>0.67419999999998403</v>
      </c>
      <c r="AD2973">
        <v>-0.14259839999999899</v>
      </c>
      <c r="AE2973">
        <v>1.7799999999994001E-2</v>
      </c>
      <c r="AF2973">
        <v>-1.86777144941646E-2</v>
      </c>
      <c r="AG2973">
        <v>-0.14259839999999899</v>
      </c>
      <c r="AH2973">
        <v>0.64530471668371603</v>
      </c>
      <c r="AI2973">
        <v>102.455823969226</v>
      </c>
      <c r="AJ2973">
        <v>91.657907483181404</v>
      </c>
      <c r="AK2973">
        <v>0.66113639899459298</v>
      </c>
      <c r="AL2973">
        <v>68.621185773007298</v>
      </c>
      <c r="AM2973">
        <v>99.326750407224594</v>
      </c>
      <c r="AN2973">
        <v>1.0000000252027399</v>
      </c>
    </row>
    <row r="2974" spans="1:40" x14ac:dyDescent="0.25">
      <c r="A2974" t="str">
        <f>"20190304164428517"</f>
        <v>20190304164428517</v>
      </c>
      <c r="B2974" t="str">
        <f>"1551689068513054"</f>
        <v>1551689068513054</v>
      </c>
      <c r="C2974" t="s">
        <v>40</v>
      </c>
      <c r="D2974">
        <v>4.78566</v>
      </c>
      <c r="E2974">
        <v>0.57131690000000002</v>
      </c>
      <c r="F2974" t="s">
        <v>41</v>
      </c>
      <c r="G2974">
        <v>-435.05990000000003</v>
      </c>
      <c r="H2974">
        <v>0.97005319999999995</v>
      </c>
      <c r="I2974">
        <v>212.7182</v>
      </c>
      <c r="J2974">
        <v>-435.7054</v>
      </c>
      <c r="K2974">
        <v>1.110428</v>
      </c>
      <c r="L2974">
        <v>212.70240000000001</v>
      </c>
      <c r="M2974">
        <v>0.99997380000000002</v>
      </c>
      <c r="N2974">
        <v>-6.9393359999999999E-3</v>
      </c>
      <c r="O2974">
        <v>-2.0557779999999999E-3</v>
      </c>
      <c r="P2974">
        <v>0.92176930000000001</v>
      </c>
      <c r="Q2974">
        <v>0.35903089999999999</v>
      </c>
      <c r="R2974">
        <v>0.14641760000000001</v>
      </c>
      <c r="S2974">
        <v>3.4393919999999998</v>
      </c>
      <c r="T2974">
        <v>-0.49854900000000002</v>
      </c>
      <c r="U2974">
        <v>5.621338E-2</v>
      </c>
      <c r="V2974">
        <v>-0.14877779999999999</v>
      </c>
      <c r="W2974">
        <v>0.36522719999999997</v>
      </c>
      <c r="X2974">
        <v>0.91895280000000001</v>
      </c>
      <c r="Y2974">
        <v>-1.8178719999999999E-2</v>
      </c>
      <c r="Z2974">
        <v>1.6562440000000001E-3</v>
      </c>
      <c r="AA2974">
        <v>0.99983339999999998</v>
      </c>
      <c r="AB2974">
        <v>33</v>
      </c>
      <c r="AC2974">
        <v>0.64549999999996999</v>
      </c>
      <c r="AD2974">
        <v>-0.14037479999999999</v>
      </c>
      <c r="AE2974">
        <v>1.5799999999984399E-2</v>
      </c>
      <c r="AF2974">
        <v>-1.63540537957826E-2</v>
      </c>
      <c r="AG2974">
        <v>-0.14037479999999999</v>
      </c>
      <c r="AH2974">
        <v>0.61633597158091902</v>
      </c>
      <c r="AI2974">
        <v>102.82627935215299</v>
      </c>
      <c r="AJ2974">
        <v>91.519947703320398</v>
      </c>
      <c r="AK2974">
        <v>0.63233105997981098</v>
      </c>
      <c r="AL2974">
        <v>68.578434242106894</v>
      </c>
      <c r="AM2974">
        <v>99.196350026416098</v>
      </c>
      <c r="AN2974">
        <v>0.99999999501025905</v>
      </c>
    </row>
    <row r="2975" spans="1:40" x14ac:dyDescent="0.25">
      <c r="A2975" t="str">
        <f>"20190304164428540"</f>
        <v>20190304164428540</v>
      </c>
      <c r="B2975" t="str">
        <f>"1551689068532574"</f>
        <v>1551689068532574</v>
      </c>
      <c r="C2975" t="s">
        <v>40</v>
      </c>
      <c r="D2975">
        <v>4.6337659999999996</v>
      </c>
      <c r="E2975">
        <v>0.57952349999999997</v>
      </c>
      <c r="F2975" t="s">
        <v>41</v>
      </c>
      <c r="G2975">
        <v>-434.76280000000003</v>
      </c>
      <c r="H2975">
        <v>0.97536020000000001</v>
      </c>
      <c r="I2975">
        <v>212.71530000000001</v>
      </c>
      <c r="J2975">
        <v>-435.36579999999998</v>
      </c>
      <c r="K2975">
        <v>1.110371</v>
      </c>
      <c r="L2975">
        <v>212.7022</v>
      </c>
      <c r="M2975">
        <v>0.99997469999999999</v>
      </c>
      <c r="N2975">
        <v>-6.9317299999999997E-3</v>
      </c>
      <c r="O2975">
        <v>-1.587256E-3</v>
      </c>
      <c r="P2975">
        <v>0.92192439999999998</v>
      </c>
      <c r="Q2975">
        <v>0.3589367</v>
      </c>
      <c r="R2975">
        <v>0.1456703</v>
      </c>
      <c r="S2975">
        <v>3.4389949999999998</v>
      </c>
      <c r="T2975">
        <v>-0.49279050000000002</v>
      </c>
      <c r="U2975">
        <v>4.7775270000000002E-2</v>
      </c>
      <c r="V2975">
        <v>-0.1475553</v>
      </c>
      <c r="W2975">
        <v>0.3651469</v>
      </c>
      <c r="X2975">
        <v>0.91918180000000005</v>
      </c>
      <c r="Y2975">
        <v>-1.5299439999999999E-2</v>
      </c>
      <c r="Z2975">
        <v>1.3591860000000001E-3</v>
      </c>
      <c r="AA2975">
        <v>0.99988200000000005</v>
      </c>
      <c r="AB2975">
        <v>33</v>
      </c>
      <c r="AC2975">
        <v>0.60299999999995102</v>
      </c>
      <c r="AD2975">
        <v>-0.13501079999999999</v>
      </c>
      <c r="AE2975">
        <v>1.3100000000008501E-2</v>
      </c>
      <c r="AF2975">
        <v>-1.3386372347660399E-2</v>
      </c>
      <c r="AG2975">
        <v>-0.13501079999999999</v>
      </c>
      <c r="AH2975">
        <v>0.57420673153396595</v>
      </c>
      <c r="AI2975">
        <v>103.227912268964</v>
      </c>
      <c r="AJ2975">
        <v>91.335483708741293</v>
      </c>
      <c r="AK2975">
        <v>0.59001735704993497</v>
      </c>
      <c r="AL2975">
        <v>68.583376615706896</v>
      </c>
      <c r="AM2975">
        <v>99.119825254949305</v>
      </c>
      <c r="AN2975">
        <v>1.00000000329447</v>
      </c>
    </row>
    <row r="2976" spans="1:40" x14ac:dyDescent="0.25">
      <c r="A2976" t="str">
        <f>"20190304164428562"</f>
        <v>20190304164428562</v>
      </c>
      <c r="B2976" t="str">
        <f>"1551689068553069"</f>
        <v>1551689068553069</v>
      </c>
      <c r="C2976" t="s">
        <v>40</v>
      </c>
      <c r="D2976">
        <v>4.3132409999999997</v>
      </c>
      <c r="E2976">
        <v>0.54620340000000001</v>
      </c>
      <c r="F2976" t="s">
        <v>41</v>
      </c>
      <c r="G2976">
        <v>-434.44569999999999</v>
      </c>
      <c r="H2976">
        <v>1.0220320000000001</v>
      </c>
      <c r="I2976">
        <v>212.69139999999999</v>
      </c>
      <c r="J2976">
        <v>-435.03489999999999</v>
      </c>
      <c r="K2976">
        <v>1.110333</v>
      </c>
      <c r="L2976">
        <v>212.7021</v>
      </c>
      <c r="M2976">
        <v>0.99997539999999996</v>
      </c>
      <c r="N2976">
        <v>-6.9254759999999999E-3</v>
      </c>
      <c r="O2976">
        <v>-1.160386E-3</v>
      </c>
      <c r="P2976">
        <v>0.9222709</v>
      </c>
      <c r="Q2976">
        <v>0.35821839999999999</v>
      </c>
      <c r="R2976">
        <v>0.14524519999999999</v>
      </c>
      <c r="S2976">
        <v>3.386841</v>
      </c>
      <c r="T2976">
        <v>-0.32533719999999999</v>
      </c>
      <c r="U2976">
        <v>-3.8406370000000002E-2</v>
      </c>
      <c r="V2976">
        <v>-0.146702</v>
      </c>
      <c r="W2976">
        <v>0.3644406</v>
      </c>
      <c r="X2976">
        <v>0.91959860000000004</v>
      </c>
      <c r="Y2976">
        <v>1.0133390000000001E-2</v>
      </c>
      <c r="Z2976">
        <v>-4.1755960000000001E-4</v>
      </c>
      <c r="AA2976">
        <v>0.99994859999999997</v>
      </c>
      <c r="AB2976">
        <v>33</v>
      </c>
      <c r="AC2976">
        <v>0.58920000000000505</v>
      </c>
      <c r="AD2976">
        <v>-8.8300999999999893E-2</v>
      </c>
      <c r="AE2976">
        <v>-1.0700000000014099E-2</v>
      </c>
      <c r="AF2976">
        <v>9.7963260788636701E-3</v>
      </c>
      <c r="AG2976">
        <v>-8.8300999999999893E-2</v>
      </c>
      <c r="AH2976">
        <v>0.57627330710033497</v>
      </c>
      <c r="AI2976">
        <v>98.710301148128707</v>
      </c>
      <c r="AJ2976">
        <v>89.026097384197698</v>
      </c>
      <c r="AK2976">
        <v>0.58308143434858195</v>
      </c>
      <c r="AL2976">
        <v>68.626839811904205</v>
      </c>
      <c r="AM2976">
        <v>99.063923089128096</v>
      </c>
      <c r="AN2976">
        <v>1.0000000064271599</v>
      </c>
    </row>
    <row r="2977" spans="1:40" x14ac:dyDescent="0.25">
      <c r="A2977" t="str">
        <f>"20190304164428586"</f>
        <v>20190304164428586</v>
      </c>
      <c r="B2977" t="str">
        <f>"1551689068572589"</f>
        <v>1551689068572589</v>
      </c>
      <c r="C2977" t="s">
        <v>40</v>
      </c>
      <c r="D2977">
        <v>4.4379720000000002</v>
      </c>
      <c r="E2977">
        <v>0.53803179999999995</v>
      </c>
      <c r="F2977" t="s">
        <v>46</v>
      </c>
      <c r="G2977">
        <v>-425.01330000000002</v>
      </c>
      <c r="H2977" s="1">
        <v>3.1834150000000001E-6</v>
      </c>
      <c r="I2977">
        <v>213.37989999999999</v>
      </c>
      <c r="J2977">
        <v>-434.6902</v>
      </c>
      <c r="K2977">
        <v>1.1103050000000001</v>
      </c>
      <c r="L2977">
        <v>212.7021</v>
      </c>
      <c r="M2977">
        <v>0.99997590000000003</v>
      </c>
      <c r="N2977">
        <v>-6.9199329999999996E-3</v>
      </c>
      <c r="O2977">
        <v>-7.4002559999999896E-4</v>
      </c>
      <c r="P2977">
        <v>0.92235880000000003</v>
      </c>
      <c r="Q2977">
        <v>0.35812369999999999</v>
      </c>
      <c r="R2977">
        <v>0.14491970000000001</v>
      </c>
      <c r="S2977">
        <v>3.361694</v>
      </c>
      <c r="T2977">
        <v>-0.37245349999999999</v>
      </c>
      <c r="U2977">
        <v>0.2273712</v>
      </c>
      <c r="V2977">
        <v>-0.14596139999999999</v>
      </c>
      <c r="W2977">
        <v>0.3643535</v>
      </c>
      <c r="X2977">
        <v>0.91975090000000004</v>
      </c>
      <c r="Y2977">
        <v>-6.7777240000000002E-2</v>
      </c>
      <c r="Z2977">
        <v>4.0510320000000004E-3</v>
      </c>
      <c r="AA2977">
        <v>0.99769220000000003</v>
      </c>
      <c r="AB2977">
        <v>33</v>
      </c>
      <c r="AC2977">
        <v>9.6768999999999892</v>
      </c>
      <c r="AD2977">
        <v>-1.1103018165849901</v>
      </c>
      <c r="AE2977">
        <v>0.67779999999998997</v>
      </c>
      <c r="AF2977">
        <v>-0.67610391550502202</v>
      </c>
      <c r="AG2977">
        <v>-1.1103018165849901</v>
      </c>
      <c r="AH2977">
        <v>9.5512704059278004</v>
      </c>
      <c r="AI2977">
        <v>96.614270358644504</v>
      </c>
      <c r="AJ2977">
        <v>94.049031259573596</v>
      </c>
      <c r="AK2977">
        <v>9.6393284514858895</v>
      </c>
      <c r="AL2977">
        <v>68.632197707889702</v>
      </c>
      <c r="AM2977">
        <v>99.017450506977795</v>
      </c>
      <c r="AN2977">
        <v>0.99999996065150898</v>
      </c>
    </row>
    <row r="2978" spans="1:40" x14ac:dyDescent="0.25">
      <c r="A2978" t="str">
        <f>"20190304164428607"</f>
        <v>20190304164428607</v>
      </c>
      <c r="B2978" t="str">
        <f>"1551689068602846"</f>
        <v>1551689068602846</v>
      </c>
      <c r="C2978" t="s">
        <v>40</v>
      </c>
      <c r="D2978">
        <v>4.264589</v>
      </c>
      <c r="E2978">
        <v>0.53334099999999995</v>
      </c>
      <c r="F2978" t="s">
        <v>46</v>
      </c>
      <c r="G2978">
        <v>-423.67020000000002</v>
      </c>
      <c r="H2978" s="1">
        <v>3.3978770000000001E-6</v>
      </c>
      <c r="I2978">
        <v>213.65190000000001</v>
      </c>
      <c r="J2978">
        <v>-434.36869999999999</v>
      </c>
      <c r="K2978">
        <v>1.110271</v>
      </c>
      <c r="L2978">
        <v>212.70230000000001</v>
      </c>
      <c r="M2978">
        <v>0.99997599999999998</v>
      </c>
      <c r="N2978">
        <v>-6.9157659999999899E-3</v>
      </c>
      <c r="O2978">
        <v>-3.6551029999999998E-4</v>
      </c>
      <c r="P2978">
        <v>0.92251950000000005</v>
      </c>
      <c r="Q2978">
        <v>0.35765330000000001</v>
      </c>
      <c r="R2978">
        <v>0.1450581</v>
      </c>
      <c r="S2978">
        <v>3.33786</v>
      </c>
      <c r="T2978">
        <v>-0.33630120000000002</v>
      </c>
      <c r="U2978">
        <v>0.28768919999999998</v>
      </c>
      <c r="V2978">
        <v>-0.14573369999999999</v>
      </c>
      <c r="W2978">
        <v>0.36388930000000003</v>
      </c>
      <c r="X2978">
        <v>0.91997079999999998</v>
      </c>
      <c r="Y2978">
        <v>-8.5772950000000001E-2</v>
      </c>
      <c r="Z2978">
        <v>4.6342279999999998E-3</v>
      </c>
      <c r="AA2978">
        <v>0.99630390000000002</v>
      </c>
      <c r="AB2978">
        <v>33</v>
      </c>
      <c r="AC2978">
        <v>10.6984999999999</v>
      </c>
      <c r="AD2978">
        <v>-1.110267602123</v>
      </c>
      <c r="AE2978">
        <v>0.949600000000003</v>
      </c>
      <c r="AF2978">
        <v>-0.94342927572992996</v>
      </c>
      <c r="AG2978">
        <v>-1.110267602123</v>
      </c>
      <c r="AH2978">
        <v>10.5850439860398</v>
      </c>
      <c r="AI2978">
        <v>95.964399620867297</v>
      </c>
      <c r="AJ2978">
        <v>95.093229635741096</v>
      </c>
      <c r="AK2978">
        <v>10.684844834298</v>
      </c>
      <c r="AL2978">
        <v>68.660755770068107</v>
      </c>
      <c r="AM2978">
        <v>99.001497002547495</v>
      </c>
      <c r="AN2978">
        <v>1.00000000341141</v>
      </c>
    </row>
    <row r="2979" spans="1:40" x14ac:dyDescent="0.25">
      <c r="A2979" t="str">
        <f>"20190304164428631"</f>
        <v>20190304164428631</v>
      </c>
      <c r="B2979" t="str">
        <f>"1551689068623342"</f>
        <v>1551689068623342</v>
      </c>
      <c r="C2979" t="s">
        <v>40</v>
      </c>
      <c r="D2979">
        <v>4.2456659999999999</v>
      </c>
      <c r="E2979">
        <v>0.53229769999999998</v>
      </c>
      <c r="F2979" t="s">
        <v>46</v>
      </c>
      <c r="G2979">
        <v>-422.3064</v>
      </c>
      <c r="H2979" s="1">
        <v>3.619913E-6</v>
      </c>
      <c r="I2979">
        <v>213.8794</v>
      </c>
      <c r="J2979">
        <v>-434.02440000000001</v>
      </c>
      <c r="K2979">
        <v>1.110244</v>
      </c>
      <c r="L2979">
        <v>212.70249999999999</v>
      </c>
      <c r="M2979">
        <v>0.99997619999999998</v>
      </c>
      <c r="N2979">
        <v>-6.9124249999999998E-3</v>
      </c>
      <c r="O2979" s="1">
        <v>1.705192E-5</v>
      </c>
      <c r="P2979">
        <v>0.92240250000000001</v>
      </c>
      <c r="Q2979">
        <v>0.35764390000000001</v>
      </c>
      <c r="R2979">
        <v>0.145823799999999</v>
      </c>
      <c r="S2979">
        <v>3.319458</v>
      </c>
      <c r="T2979">
        <v>-0.30553570000000002</v>
      </c>
      <c r="U2979">
        <v>0.32392880000000002</v>
      </c>
      <c r="V2979">
        <v>-0.1461267</v>
      </c>
      <c r="W2979">
        <v>0.36388369999999998</v>
      </c>
      <c r="X2979">
        <v>0.91991069999999997</v>
      </c>
      <c r="Y2979">
        <v>-9.6671060000000003E-2</v>
      </c>
      <c r="Z2979">
        <v>4.7633689999999999E-3</v>
      </c>
      <c r="AA2979">
        <v>0.995305</v>
      </c>
      <c r="AB2979">
        <v>33</v>
      </c>
      <c r="AC2979">
        <v>11.718</v>
      </c>
      <c r="AD2979">
        <v>-1.110240380087</v>
      </c>
      <c r="AE2979">
        <v>1.17690000000001</v>
      </c>
      <c r="AF2979">
        <v>-1.16633465462666</v>
      </c>
      <c r="AG2979">
        <v>-1.110240380087</v>
      </c>
      <c r="AH2979">
        <v>11.6147962857665</v>
      </c>
      <c r="AI2979">
        <v>95.433065343979194</v>
      </c>
      <c r="AJ2979">
        <v>95.734304866769605</v>
      </c>
      <c r="AK2979">
        <v>11.7258885798908</v>
      </c>
      <c r="AL2979">
        <v>68.661100787690799</v>
      </c>
      <c r="AM2979">
        <v>99.025952238023095</v>
      </c>
      <c r="AN2979">
        <v>1.00000002777653</v>
      </c>
    </row>
    <row r="2980" spans="1:40" x14ac:dyDescent="0.25">
      <c r="A2980" t="str">
        <f>"20190304164428652"</f>
        <v>20190304164428652</v>
      </c>
      <c r="B2980" t="str">
        <f>"1551689068642861"</f>
        <v>1551689068642861</v>
      </c>
      <c r="C2980" t="s">
        <v>40</v>
      </c>
      <c r="D2980">
        <v>4.1991009999999998</v>
      </c>
      <c r="E2980">
        <v>0.53175850000000002</v>
      </c>
      <c r="F2980" t="s">
        <v>46</v>
      </c>
      <c r="G2980">
        <v>-421.72800000000001</v>
      </c>
      <c r="H2980" s="1">
        <v>3.7173660000000001E-6</v>
      </c>
      <c r="I2980">
        <v>213.93819999999999</v>
      </c>
      <c r="J2980">
        <v>-433.6927</v>
      </c>
      <c r="K2980">
        <v>1.1102080000000001</v>
      </c>
      <c r="L2980">
        <v>212.7029</v>
      </c>
      <c r="M2980">
        <v>0.99997610000000003</v>
      </c>
      <c r="N2980">
        <v>-6.9102579999999999E-3</v>
      </c>
      <c r="O2980">
        <v>3.616351E-4</v>
      </c>
      <c r="P2980">
        <v>0.92232429999999999</v>
      </c>
      <c r="Q2980">
        <v>0.35727599999999998</v>
      </c>
      <c r="R2980">
        <v>0.14721389999999901</v>
      </c>
      <c r="S2980">
        <v>3.3157960000000002</v>
      </c>
      <c r="T2980">
        <v>-0.29938379999999998</v>
      </c>
      <c r="U2980">
        <v>0.33320620000000001</v>
      </c>
      <c r="V2980">
        <v>-0.147178</v>
      </c>
      <c r="W2980">
        <v>0.36352119999999999</v>
      </c>
      <c r="X2980">
        <v>0.91988639999999999</v>
      </c>
      <c r="Y2980">
        <v>-9.9197939999999998E-2</v>
      </c>
      <c r="Z2980">
        <v>4.7723840000000002E-3</v>
      </c>
      <c r="AA2980">
        <v>0.9950563</v>
      </c>
      <c r="AB2980">
        <v>33</v>
      </c>
      <c r="AC2980">
        <v>11.964699999999899</v>
      </c>
      <c r="AD2980">
        <v>-1.110204282634</v>
      </c>
      <c r="AE2980">
        <v>1.2352999999999901</v>
      </c>
      <c r="AF2980">
        <v>-1.22057467801993</v>
      </c>
      <c r="AG2980">
        <v>-1.110204282634</v>
      </c>
      <c r="AH2980">
        <v>11.864073899391901</v>
      </c>
      <c r="AI2980">
        <v>95.318090534095404</v>
      </c>
      <c r="AJ2980">
        <v>95.873918237322002</v>
      </c>
      <c r="AK2980">
        <v>11.9782555317556</v>
      </c>
      <c r="AL2980">
        <v>68.683397044746897</v>
      </c>
      <c r="AM2980">
        <v>99.090044685333098</v>
      </c>
      <c r="AN2980">
        <v>1.0000000077191999</v>
      </c>
    </row>
    <row r="2981" spans="1:40" x14ac:dyDescent="0.25">
      <c r="A2981" t="str">
        <f>"20190304164428675"</f>
        <v>20190304164428675</v>
      </c>
      <c r="B2981" t="str">
        <f>"1551689068663358"</f>
        <v>1551689068663358</v>
      </c>
      <c r="C2981" t="s">
        <v>40</v>
      </c>
      <c r="D2981">
        <v>4.2117089999999999</v>
      </c>
      <c r="E2981">
        <v>0.53149299999999999</v>
      </c>
      <c r="F2981" t="s">
        <v>46</v>
      </c>
      <c r="G2981">
        <v>-421.45819999999998</v>
      </c>
      <c r="H2981" s="1">
        <v>3.7630740000000001E-6</v>
      </c>
      <c r="I2981">
        <v>213.96270000000001</v>
      </c>
      <c r="J2981">
        <v>-433.37560000000002</v>
      </c>
      <c r="K2981">
        <v>1.1101799999999999</v>
      </c>
      <c r="L2981">
        <v>212.70330000000001</v>
      </c>
      <c r="M2981">
        <v>0.99997599999999998</v>
      </c>
      <c r="N2981">
        <v>-6.909058E-3</v>
      </c>
      <c r="O2981">
        <v>6.612457E-4</v>
      </c>
      <c r="P2981">
        <v>0.92249270000000005</v>
      </c>
      <c r="Q2981">
        <v>0.35652399999999901</v>
      </c>
      <c r="R2981">
        <v>0.14797929999999901</v>
      </c>
      <c r="S2981">
        <v>3.3146969999999998</v>
      </c>
      <c r="T2981">
        <v>-0.30078909999999998</v>
      </c>
      <c r="U2981">
        <v>0.34132390000000001</v>
      </c>
      <c r="V2981">
        <v>-0.14764179999999999</v>
      </c>
      <c r="W2981">
        <v>0.36277920000000002</v>
      </c>
      <c r="X2981">
        <v>0.92010499999999995</v>
      </c>
      <c r="Y2981">
        <v>-0.10133200000000001</v>
      </c>
      <c r="Z2981">
        <v>4.8727589999999999E-3</v>
      </c>
      <c r="AA2981">
        <v>0.99484070000000002</v>
      </c>
      <c r="AB2981">
        <v>33</v>
      </c>
      <c r="AC2981">
        <v>11.917400000000001</v>
      </c>
      <c r="AD2981">
        <v>-1.110176236926</v>
      </c>
      <c r="AE2981">
        <v>1.2593999999999901</v>
      </c>
      <c r="AF2981">
        <v>-1.2408698392425499</v>
      </c>
      <c r="AG2981">
        <v>-1.110176236926</v>
      </c>
      <c r="AH2981">
        <v>11.8168161422346</v>
      </c>
      <c r="AI2981">
        <v>95.337939873776605</v>
      </c>
      <c r="AJ2981">
        <v>95.994592402998606</v>
      </c>
      <c r="AK2981">
        <v>11.9335406721707</v>
      </c>
      <c r="AL2981">
        <v>68.729026042085806</v>
      </c>
      <c r="AM2981">
        <v>99.1160796019945</v>
      </c>
      <c r="AN2981">
        <v>1.0000000300424301</v>
      </c>
    </row>
    <row r="2982" spans="1:40" x14ac:dyDescent="0.25">
      <c r="A2982" t="str">
        <f>"20190304164428696"</f>
        <v>20190304164428696</v>
      </c>
      <c r="B2982" t="str">
        <f>"1551689068682878"</f>
        <v>1551689068682878</v>
      </c>
      <c r="C2982" t="s">
        <v>40</v>
      </c>
      <c r="D2982">
        <v>4.2002739999999896</v>
      </c>
      <c r="E2982">
        <v>0.53127530000000001</v>
      </c>
      <c r="F2982" t="s">
        <v>46</v>
      </c>
      <c r="G2982">
        <v>-421.27370000000002</v>
      </c>
      <c r="H2982" s="1">
        <v>3.7955290000000001E-6</v>
      </c>
      <c r="I2982">
        <v>213.9659</v>
      </c>
      <c r="J2982">
        <v>-433.03879999999998</v>
      </c>
      <c r="K2982">
        <v>1.110139</v>
      </c>
      <c r="L2982">
        <v>212.7038</v>
      </c>
      <c r="M2982">
        <v>0.99997590000000003</v>
      </c>
      <c r="N2982">
        <v>-6.9086909999999998E-3</v>
      </c>
      <c r="O2982">
        <v>9.339611E-4</v>
      </c>
      <c r="P2982">
        <v>0.92275529999999995</v>
      </c>
      <c r="Q2982">
        <v>0.35572150000000002</v>
      </c>
      <c r="R2982">
        <v>0.14827419999999999</v>
      </c>
      <c r="S2982">
        <v>3.3140559999999999</v>
      </c>
      <c r="T2982">
        <v>-0.30401719999999999</v>
      </c>
      <c r="U2982">
        <v>0.34576420000000002</v>
      </c>
      <c r="V2982">
        <v>-0.14765259999999999</v>
      </c>
      <c r="W2982">
        <v>0.36199130000000002</v>
      </c>
      <c r="X2982">
        <v>0.9204135</v>
      </c>
      <c r="Y2982">
        <v>-0.102386</v>
      </c>
      <c r="Z2982">
        <v>4.9503610000000003E-3</v>
      </c>
      <c r="AA2982">
        <v>0.99473239999999996</v>
      </c>
      <c r="AB2982">
        <v>34</v>
      </c>
      <c r="AC2982">
        <v>11.765099999999901</v>
      </c>
      <c r="AD2982">
        <v>-1.110135204471</v>
      </c>
      <c r="AE2982">
        <v>1.2621</v>
      </c>
      <c r="AF2982">
        <v>-1.24019460304686</v>
      </c>
      <c r="AG2982">
        <v>-1.110135204471</v>
      </c>
      <c r="AH2982">
        <v>11.663608238411999</v>
      </c>
      <c r="AI2982">
        <v>95.406702715670093</v>
      </c>
      <c r="AJ2982">
        <v>96.069470149853203</v>
      </c>
      <c r="AK2982">
        <v>11.781775756004899</v>
      </c>
      <c r="AL2982">
        <v>68.777460991776294</v>
      </c>
      <c r="AM2982">
        <v>99.113730830271294</v>
      </c>
      <c r="AN2982">
        <v>1.00000000127235</v>
      </c>
    </row>
    <row r="2983" spans="1:40" x14ac:dyDescent="0.25">
      <c r="A2983" t="str">
        <f>"20190304164428719"</f>
        <v>20190304164428719</v>
      </c>
      <c r="B2983" t="str">
        <f>"1551689068713134"</f>
        <v>1551689068713134</v>
      </c>
      <c r="C2983" t="s">
        <v>40</v>
      </c>
      <c r="D2983">
        <v>4.1808589999999999</v>
      </c>
      <c r="E2983">
        <v>0.53106489999999995</v>
      </c>
      <c r="F2983" t="s">
        <v>46</v>
      </c>
      <c r="G2983">
        <v>-421.07299999999998</v>
      </c>
      <c r="H2983" s="1">
        <v>3.8307630000000003E-6</v>
      </c>
      <c r="I2983">
        <v>213.9701</v>
      </c>
      <c r="J2983">
        <v>-432.68130000000002</v>
      </c>
      <c r="K2983">
        <v>1.1100969999999999</v>
      </c>
      <c r="L2983">
        <v>212.70439999999999</v>
      </c>
      <c r="M2983">
        <v>0.99997559999999996</v>
      </c>
      <c r="N2983">
        <v>-6.9092040000000004E-3</v>
      </c>
      <c r="O2983">
        <v>1.178985E-3</v>
      </c>
      <c r="P2983">
        <v>0.92308089999999998</v>
      </c>
      <c r="Q2983">
        <v>0.3544098</v>
      </c>
      <c r="R2983">
        <v>0.14938470000000001</v>
      </c>
      <c r="S2983">
        <v>3.3133240000000002</v>
      </c>
      <c r="T2983">
        <v>-0.30739519999999998</v>
      </c>
      <c r="U2983">
        <v>0.35063169999999999</v>
      </c>
      <c r="V2983">
        <v>-0.14850139999999901</v>
      </c>
      <c r="W2983">
        <v>0.36069610000000002</v>
      </c>
      <c r="X2983">
        <v>0.92078539999999998</v>
      </c>
      <c r="Y2983">
        <v>-0.1035957</v>
      </c>
      <c r="Z2983">
        <v>5.0409729999999998E-3</v>
      </c>
      <c r="AA2983">
        <v>0.99460669999999995</v>
      </c>
      <c r="AB2983">
        <v>34</v>
      </c>
      <c r="AC2983">
        <v>11.6082999999999</v>
      </c>
      <c r="AD2983">
        <v>-1.110093169237</v>
      </c>
      <c r="AE2983">
        <v>1.2657</v>
      </c>
      <c r="AF2983">
        <v>-1.24079904546076</v>
      </c>
      <c r="AG2983">
        <v>-1.110093169237</v>
      </c>
      <c r="AH2983">
        <v>11.5058003758033</v>
      </c>
      <c r="AI2983">
        <v>95.479332445945502</v>
      </c>
      <c r="AJ2983">
        <v>96.155057273896304</v>
      </c>
      <c r="AK2983">
        <v>11.625632516273599</v>
      </c>
      <c r="AL2983">
        <v>68.857048998344496</v>
      </c>
      <c r="AM2983">
        <v>99.161596584073607</v>
      </c>
      <c r="AN2983">
        <v>1.00000004760516</v>
      </c>
    </row>
    <row r="2984" spans="1:40" x14ac:dyDescent="0.25">
      <c r="A2984" t="str">
        <f>"20190304164428742"</f>
        <v>20190304164428742</v>
      </c>
      <c r="B2984" t="str">
        <f>"1551689068732655"</f>
        <v>1551689068732655</v>
      </c>
      <c r="C2984" t="s">
        <v>40</v>
      </c>
      <c r="D2984">
        <v>4.1738059999999999</v>
      </c>
      <c r="E2984">
        <v>0.53096489999999996</v>
      </c>
      <c r="F2984" t="s">
        <v>46</v>
      </c>
      <c r="G2984">
        <v>-420.8972</v>
      </c>
      <c r="H2984" s="1">
        <v>3.8620240000000003E-6</v>
      </c>
      <c r="I2984">
        <v>213.9692</v>
      </c>
      <c r="J2984">
        <v>-432.34559999999999</v>
      </c>
      <c r="K2984">
        <v>1.1100540000000001</v>
      </c>
      <c r="L2984">
        <v>212.70500000000001</v>
      </c>
      <c r="M2984">
        <v>0.99997530000000001</v>
      </c>
      <c r="N2984">
        <v>-6.9104319999999898E-3</v>
      </c>
      <c r="O2984">
        <v>1.3596319999999999E-3</v>
      </c>
      <c r="P2984">
        <v>0.92327950000000003</v>
      </c>
      <c r="Q2984">
        <v>0.35324050000000001</v>
      </c>
      <c r="R2984">
        <v>0.1509172</v>
      </c>
      <c r="S2984">
        <v>3.3122250000000002</v>
      </c>
      <c r="T2984">
        <v>-0.31201909999999999</v>
      </c>
      <c r="U2984">
        <v>0.35551450000000001</v>
      </c>
      <c r="V2984">
        <v>-0.14983109999999999</v>
      </c>
      <c r="W2984">
        <v>0.35954309999999901</v>
      </c>
      <c r="X2984">
        <v>0.92102090000000003</v>
      </c>
      <c r="Y2984">
        <v>-0.104881</v>
      </c>
      <c r="Z2984">
        <v>5.1612769999999997E-3</v>
      </c>
      <c r="AA2984">
        <v>0.99447140000000001</v>
      </c>
      <c r="AB2984">
        <v>34</v>
      </c>
      <c r="AC2984">
        <v>11.4483999999999</v>
      </c>
      <c r="AD2984">
        <v>-1.1100501379759999</v>
      </c>
      <c r="AE2984">
        <v>1.26419999999998</v>
      </c>
      <c r="AF2984">
        <v>-1.2371420190248501</v>
      </c>
      <c r="AG2984">
        <v>-1.1100501379759999</v>
      </c>
      <c r="AH2984">
        <v>11.3447360469871</v>
      </c>
      <c r="AI2984">
        <v>95.5557111909594</v>
      </c>
      <c r="AJ2984">
        <v>96.223505480876199</v>
      </c>
      <c r="AK2984">
        <v>11.4658522430679</v>
      </c>
      <c r="AL2984">
        <v>68.9278621883618</v>
      </c>
      <c r="AM2984">
        <v>99.239898718229895</v>
      </c>
      <c r="AN2984">
        <v>1.0000000487608101</v>
      </c>
    </row>
    <row r="2985" spans="1:40" x14ac:dyDescent="0.25">
      <c r="A2985" t="str">
        <f>"20190304164428764"</f>
        <v>20190304164428764</v>
      </c>
      <c r="B2985" t="str">
        <f>"1551689068753149"</f>
        <v>1551689068753149</v>
      </c>
      <c r="C2985" t="s">
        <v>40</v>
      </c>
      <c r="D2985">
        <v>4.1753450000000001</v>
      </c>
      <c r="E2985">
        <v>0.53091140000000003</v>
      </c>
      <c r="F2985" t="s">
        <v>46</v>
      </c>
      <c r="G2985">
        <v>-420.69220000000001</v>
      </c>
      <c r="H2985" s="1">
        <v>3.8982430000000003E-6</v>
      </c>
      <c r="I2985">
        <v>213.9709</v>
      </c>
      <c r="J2985">
        <v>-432.00880000000001</v>
      </c>
      <c r="K2985">
        <v>1.110015</v>
      </c>
      <c r="L2985">
        <v>212.7056</v>
      </c>
      <c r="M2985">
        <v>0.99997510000000001</v>
      </c>
      <c r="N2985">
        <v>-6.9123319999999898E-3</v>
      </c>
      <c r="O2985">
        <v>1.48667E-3</v>
      </c>
      <c r="P2985">
        <v>0.92339450000000001</v>
      </c>
      <c r="Q2985">
        <v>0.35276729999999901</v>
      </c>
      <c r="R2985">
        <v>0.1513205</v>
      </c>
      <c r="S2985">
        <v>3.3112180000000002</v>
      </c>
      <c r="T2985">
        <v>-0.3154111</v>
      </c>
      <c r="U2985">
        <v>0.35971069999999999</v>
      </c>
      <c r="V2985">
        <v>-0.15008009999999999</v>
      </c>
      <c r="W2985">
        <v>0.35908780000000001</v>
      </c>
      <c r="X2985">
        <v>0.92115789999999997</v>
      </c>
      <c r="Y2985">
        <v>-0.106017</v>
      </c>
      <c r="Z2985">
        <v>5.2609750000000002E-3</v>
      </c>
      <c r="AA2985">
        <v>0.99435039999999997</v>
      </c>
      <c r="AB2985">
        <v>34</v>
      </c>
      <c r="AC2985">
        <v>11.3165999999999</v>
      </c>
      <c r="AD2985">
        <v>-1.110011101757</v>
      </c>
      <c r="AE2985">
        <v>1.2652999999999901</v>
      </c>
      <c r="AF2985">
        <v>-1.2367224871302001</v>
      </c>
      <c r="AG2985">
        <v>-1.110011101757</v>
      </c>
      <c r="AH2985">
        <v>11.211929895808</v>
      </c>
      <c r="AI2985">
        <v>95.620144478532495</v>
      </c>
      <c r="AJ2985">
        <v>96.294516546356604</v>
      </c>
      <c r="AK2985">
        <v>11.334415694896199</v>
      </c>
      <c r="AL2985">
        <v>68.955814303549602</v>
      </c>
      <c r="AM2985">
        <v>99.253636098462394</v>
      </c>
      <c r="AN2985">
        <v>0.99999998062862905</v>
      </c>
    </row>
    <row r="2986" spans="1:40" x14ac:dyDescent="0.25">
      <c r="A2986" t="str">
        <f>"20190304164428787"</f>
        <v>20190304164428787</v>
      </c>
      <c r="B2986" t="str">
        <f>"1551689068783406"</f>
        <v>1551689068783406</v>
      </c>
      <c r="C2986" t="s">
        <v>40</v>
      </c>
      <c r="D2986">
        <v>4.1788129999999999</v>
      </c>
      <c r="E2986">
        <v>0.53086359999999999</v>
      </c>
      <c r="F2986" t="s">
        <v>46</v>
      </c>
      <c r="G2986">
        <v>-420.41340000000002</v>
      </c>
      <c r="H2986" s="1">
        <v>3.9480129999999999E-6</v>
      </c>
      <c r="I2986">
        <v>213.96719999999999</v>
      </c>
      <c r="J2986">
        <v>-431.66390000000001</v>
      </c>
      <c r="K2986">
        <v>1.1099600000000001</v>
      </c>
      <c r="L2986">
        <v>212.7062</v>
      </c>
      <c r="M2986">
        <v>0.99997480000000005</v>
      </c>
      <c r="N2986">
        <v>-6.9148819999999998E-3</v>
      </c>
      <c r="O2986">
        <v>1.5675109999999999E-3</v>
      </c>
      <c r="P2986">
        <v>0.92355940000000003</v>
      </c>
      <c r="Q2986">
        <v>0.35256939999999998</v>
      </c>
      <c r="R2986">
        <v>0.15077449999999901</v>
      </c>
      <c r="S2986">
        <v>3.3109440000000001</v>
      </c>
      <c r="T2986">
        <v>-0.31695289999999998</v>
      </c>
      <c r="U2986">
        <v>0.36024479999999998</v>
      </c>
      <c r="V2986">
        <v>-0.14942349999999999</v>
      </c>
      <c r="W2986">
        <v>0.35890850000000002</v>
      </c>
      <c r="X2986">
        <v>0.92133449999999995</v>
      </c>
      <c r="Y2986">
        <v>-0.106099</v>
      </c>
      <c r="Z2986">
        <v>5.2822969999999896E-3</v>
      </c>
      <c r="AA2986">
        <v>0.99434160000000005</v>
      </c>
      <c r="AB2986">
        <v>34</v>
      </c>
      <c r="AC2986">
        <v>11.250499999999899</v>
      </c>
      <c r="AD2986">
        <v>-1.109956051987</v>
      </c>
      <c r="AE2986">
        <v>1.2609999999999899</v>
      </c>
      <c r="AF2986">
        <v>-1.2315244550423801</v>
      </c>
      <c r="AG2986">
        <v>-1.109956051987</v>
      </c>
      <c r="AH2986">
        <v>11.1453260422296</v>
      </c>
      <c r="AI2986">
        <v>95.653116552318096</v>
      </c>
      <c r="AJ2986">
        <v>96.3054292963687</v>
      </c>
      <c r="AK2986">
        <v>11.267961106975401</v>
      </c>
      <c r="AL2986">
        <v>68.966821100914004</v>
      </c>
      <c r="AM2986">
        <v>99.212111504614498</v>
      </c>
      <c r="AN2986">
        <v>0.999999977307374</v>
      </c>
    </row>
    <row r="2987" spans="1:40" x14ac:dyDescent="0.25">
      <c r="A2987" t="str">
        <f>"20190304164428809"</f>
        <v>20190304164428809</v>
      </c>
      <c r="B2987" t="str">
        <f>"1551689068802925"</f>
        <v>1551689068802925</v>
      </c>
      <c r="C2987" t="s">
        <v>40</v>
      </c>
      <c r="D2987">
        <v>4.144889</v>
      </c>
      <c r="E2987">
        <v>0.53085199999999999</v>
      </c>
      <c r="F2987" t="s">
        <v>46</v>
      </c>
      <c r="G2987">
        <v>-420.04539999999997</v>
      </c>
      <c r="H2987" s="1">
        <v>4.0133750000000003E-6</v>
      </c>
      <c r="I2987">
        <v>213.96629999999999</v>
      </c>
      <c r="J2987">
        <v>-431.3193</v>
      </c>
      <c r="K2987">
        <v>1.10992</v>
      </c>
      <c r="L2987">
        <v>212.70679999999999</v>
      </c>
      <c r="M2987">
        <v>0.99997480000000005</v>
      </c>
      <c r="N2987">
        <v>-6.917945E-3</v>
      </c>
      <c r="O2987">
        <v>1.598347E-3</v>
      </c>
      <c r="P2987">
        <v>0.92381720000000001</v>
      </c>
      <c r="Q2987">
        <v>0.35213879999999997</v>
      </c>
      <c r="R2987">
        <v>0.15020039999999901</v>
      </c>
      <c r="S2987">
        <v>3.3104550000000001</v>
      </c>
      <c r="T2987">
        <v>-0.31625900000000001</v>
      </c>
      <c r="U2987">
        <v>0.3590546</v>
      </c>
      <c r="V2987">
        <v>-0.14878529999999901</v>
      </c>
      <c r="W2987">
        <v>0.35849720000000002</v>
      </c>
      <c r="X2987">
        <v>0.92159789999999997</v>
      </c>
      <c r="Y2987">
        <v>-0.1057347</v>
      </c>
      <c r="Z2987">
        <v>5.2512779999999998E-3</v>
      </c>
      <c r="AA2987">
        <v>0.9943805</v>
      </c>
      <c r="AB2987">
        <v>34</v>
      </c>
      <c r="AC2987">
        <v>11.273899999999999</v>
      </c>
      <c r="AD2987">
        <v>-1.1099159866249999</v>
      </c>
      <c r="AE2987">
        <v>1.2595000000000001</v>
      </c>
      <c r="AF2987">
        <v>-1.2297064589586999</v>
      </c>
      <c r="AG2987">
        <v>-1.1099159866249999</v>
      </c>
      <c r="AH2987">
        <v>11.1689788848796</v>
      </c>
      <c r="AI2987">
        <v>95.641262119934098</v>
      </c>
      <c r="AJ2987">
        <v>96.282969054582395</v>
      </c>
      <c r="AK2987">
        <v>11.291154980933401</v>
      </c>
      <c r="AL2987">
        <v>68.992067388050401</v>
      </c>
      <c r="AM2987">
        <v>99.1708588913677</v>
      </c>
      <c r="AN2987">
        <v>0.99999999859416899</v>
      </c>
    </row>
    <row r="2988" spans="1:40" x14ac:dyDescent="0.25">
      <c r="A2988" t="str">
        <f>"20190304164428832"</f>
        <v>20190304164428832</v>
      </c>
      <c r="B2988" t="str">
        <f>"1551689068823423"</f>
        <v>1551689068823423</v>
      </c>
      <c r="C2988" t="s">
        <v>40</v>
      </c>
      <c r="D2988">
        <v>4.1424629999999896</v>
      </c>
      <c r="E2988">
        <v>0.53086369999999905</v>
      </c>
      <c r="F2988" t="s">
        <v>46</v>
      </c>
      <c r="G2988">
        <v>-419.76389999999998</v>
      </c>
      <c r="H2988" s="1">
        <v>3.9955320000000002E-6</v>
      </c>
      <c r="I2988">
        <v>213.9547</v>
      </c>
      <c r="J2988">
        <v>-430.97910000000002</v>
      </c>
      <c r="K2988">
        <v>1.1098760000000001</v>
      </c>
      <c r="L2988">
        <v>212.7073</v>
      </c>
      <c r="M2988">
        <v>0.9999749</v>
      </c>
      <c r="N2988">
        <v>-6.9214339999999997E-3</v>
      </c>
      <c r="O2988">
        <v>1.570854E-3</v>
      </c>
      <c r="P2988">
        <v>0.92431129999999995</v>
      </c>
      <c r="Q2988">
        <v>0.35135369999999999</v>
      </c>
      <c r="R2988">
        <v>0.1489944</v>
      </c>
      <c r="S2988">
        <v>3.3105159999999998</v>
      </c>
      <c r="T2988">
        <v>-0.31797900000000001</v>
      </c>
      <c r="U2988">
        <v>0.35752869999999998</v>
      </c>
      <c r="V2988">
        <v>-0.14756620000000001</v>
      </c>
      <c r="W2988">
        <v>0.35773500000000003</v>
      </c>
      <c r="X2988">
        <v>0.92208999999999997</v>
      </c>
      <c r="Y2988">
        <v>-0.1053037</v>
      </c>
      <c r="Z2988">
        <v>5.2582250000000001E-3</v>
      </c>
      <c r="AA2988">
        <v>0.99442620000000004</v>
      </c>
      <c r="AB2988">
        <v>34</v>
      </c>
      <c r="AC2988">
        <v>11.215199999999999</v>
      </c>
      <c r="AD2988">
        <v>-1.1098720044679999</v>
      </c>
      <c r="AE2988">
        <v>1.2473999999999901</v>
      </c>
      <c r="AF2988">
        <v>-1.21799806359866</v>
      </c>
      <c r="AG2988">
        <v>-1.1098720044679999</v>
      </c>
      <c r="AH2988">
        <v>11.109674154265999</v>
      </c>
      <c r="AI2988">
        <v>95.6712418987033</v>
      </c>
      <c r="AJ2988">
        <v>96.256578358908499</v>
      </c>
      <c r="AK2988">
        <v>11.231215204206499</v>
      </c>
      <c r="AL2988">
        <v>69.038841280990496</v>
      </c>
      <c r="AM2988">
        <v>99.092203540942094</v>
      </c>
      <c r="AN2988">
        <v>1.00000004085371</v>
      </c>
    </row>
    <row r="2989" spans="1:40" x14ac:dyDescent="0.25">
      <c r="A2989" t="str">
        <f>"20190304164428853"</f>
        <v>20190304164428853</v>
      </c>
      <c r="B2989" t="str">
        <f>"1551689068842942"</f>
        <v>1551689068842942</v>
      </c>
      <c r="C2989" t="s">
        <v>40</v>
      </c>
      <c r="D2989">
        <v>4.1430730000000002</v>
      </c>
      <c r="E2989">
        <v>0.53090000000000004</v>
      </c>
      <c r="F2989" t="s">
        <v>46</v>
      </c>
      <c r="G2989">
        <v>-419.5204</v>
      </c>
      <c r="H2989" s="1">
        <v>3.9544389999999998E-6</v>
      </c>
      <c r="I2989">
        <v>213.93090000000001</v>
      </c>
      <c r="J2989">
        <v>-430.64580000000001</v>
      </c>
      <c r="K2989">
        <v>1.1098300000000001</v>
      </c>
      <c r="L2989">
        <v>212.70779999999999</v>
      </c>
      <c r="M2989">
        <v>0.99997499999999995</v>
      </c>
      <c r="N2989">
        <v>-6.9252960000000001E-3</v>
      </c>
      <c r="O2989">
        <v>1.4794610000000001E-3</v>
      </c>
      <c r="P2989">
        <v>0.92445820000000001</v>
      </c>
      <c r="Q2989">
        <v>0.35154849999999999</v>
      </c>
      <c r="R2989">
        <v>0.14761729999999901</v>
      </c>
      <c r="S2989">
        <v>3.3106379999999902</v>
      </c>
      <c r="T2989">
        <v>-0.32066499999999998</v>
      </c>
      <c r="U2989">
        <v>0.35353089999999998</v>
      </c>
      <c r="V2989">
        <v>-0.1462291</v>
      </c>
      <c r="W2989">
        <v>0.357952299999999</v>
      </c>
      <c r="X2989">
        <v>0.9222186</v>
      </c>
      <c r="Y2989">
        <v>-0.10420020000000001</v>
      </c>
      <c r="Z2989">
        <v>5.2507730000000002E-3</v>
      </c>
      <c r="AA2989">
        <v>0.9945425</v>
      </c>
      <c r="AB2989">
        <v>34</v>
      </c>
      <c r="AC2989">
        <v>11.125400000000001</v>
      </c>
      <c r="AD2989">
        <v>-1.1098260455609901</v>
      </c>
      <c r="AE2989">
        <v>1.2231000000000101</v>
      </c>
      <c r="AF2989">
        <v>-1.1948899960249999</v>
      </c>
      <c r="AG2989">
        <v>-1.1098260455609901</v>
      </c>
      <c r="AH2989">
        <v>11.0188552341774</v>
      </c>
      <c r="AI2989">
        <v>95.718171890014503</v>
      </c>
      <c r="AJ2989">
        <v>96.188998168492901</v>
      </c>
      <c r="AK2989">
        <v>11.1388799538268</v>
      </c>
      <c r="AL2989">
        <v>69.025506497011406</v>
      </c>
      <c r="AM2989">
        <v>99.0099408129891</v>
      </c>
      <c r="AN2989">
        <v>0.99999997247402905</v>
      </c>
    </row>
    <row r="2990" spans="1:40" x14ac:dyDescent="0.25">
      <c r="A2990" t="str">
        <f>"20190304164428875"</f>
        <v>20190304164428875</v>
      </c>
      <c r="B2990" t="str">
        <f>"1551689068862465"</f>
        <v>1551689068862465</v>
      </c>
      <c r="C2990" t="s">
        <v>40</v>
      </c>
      <c r="D2990">
        <v>4.1645909999999997</v>
      </c>
      <c r="E2990">
        <v>0.53092320000000004</v>
      </c>
      <c r="F2990" t="s">
        <v>46</v>
      </c>
      <c r="G2990">
        <v>-419.1558</v>
      </c>
      <c r="H2990" s="1">
        <v>3.890888E-6</v>
      </c>
      <c r="I2990">
        <v>213.91800000000001</v>
      </c>
      <c r="J2990">
        <v>-430.32080000000002</v>
      </c>
      <c r="K2990">
        <v>1.109764</v>
      </c>
      <c r="L2990">
        <v>212.7081</v>
      </c>
      <c r="M2990">
        <v>0.99997510000000001</v>
      </c>
      <c r="N2990">
        <v>-6.9294350000000003E-3</v>
      </c>
      <c r="O2990">
        <v>1.323811E-3</v>
      </c>
      <c r="P2990">
        <v>0.92468660000000003</v>
      </c>
      <c r="Q2990">
        <v>0.35119109999999998</v>
      </c>
      <c r="R2990">
        <v>0.14703569999999999</v>
      </c>
      <c r="S2990">
        <v>3.3110659999999998</v>
      </c>
      <c r="T2990">
        <v>-0.31981789999999999</v>
      </c>
      <c r="U2990">
        <v>0.34875489999999998</v>
      </c>
      <c r="V2990">
        <v>-0.14574189999999901</v>
      </c>
      <c r="W2990">
        <v>0.357620099999999</v>
      </c>
      <c r="X2990">
        <v>0.92242460000000004</v>
      </c>
      <c r="Y2990">
        <v>-0.10293099999999999</v>
      </c>
      <c r="Z2990">
        <v>5.1863609999999996E-3</v>
      </c>
      <c r="AA2990">
        <v>0.99467499999999998</v>
      </c>
      <c r="AB2990">
        <v>34</v>
      </c>
      <c r="AC2990">
        <v>11.164999999999999</v>
      </c>
      <c r="AD2990">
        <v>-1.109760109112</v>
      </c>
      <c r="AE2990">
        <v>1.2099</v>
      </c>
      <c r="AF2990">
        <v>-1.18356080933872</v>
      </c>
      <c r="AG2990">
        <v>-1.109760109112</v>
      </c>
      <c r="AH2990">
        <v>11.0586050826305</v>
      </c>
      <c r="AI2990">
        <v>95.698269805437405</v>
      </c>
      <c r="AJ2990">
        <v>96.108897071680005</v>
      </c>
      <c r="AK2990">
        <v>11.176991100594099</v>
      </c>
      <c r="AL2990">
        <v>69.045889818984506</v>
      </c>
      <c r="AM2990">
        <v>98.978439029027101</v>
      </c>
      <c r="AN2990">
        <v>0.99999999001238904</v>
      </c>
    </row>
    <row r="2991" spans="1:40" x14ac:dyDescent="0.25">
      <c r="A2991" t="str">
        <f>"20190304164428899"</f>
        <v>20190304164428899</v>
      </c>
      <c r="B2991" t="str">
        <f>"1551689068892718"</f>
        <v>1551689068892718</v>
      </c>
      <c r="C2991" t="s">
        <v>40</v>
      </c>
      <c r="D2991">
        <v>4.1318789999999996</v>
      </c>
      <c r="E2991">
        <v>0.53086279999999997</v>
      </c>
      <c r="F2991" t="s">
        <v>46</v>
      </c>
      <c r="G2991">
        <v>-418.84780000000001</v>
      </c>
      <c r="H2991" s="1">
        <v>3.837779E-6</v>
      </c>
      <c r="I2991">
        <v>213.9006</v>
      </c>
      <c r="J2991">
        <v>-429.9348</v>
      </c>
      <c r="K2991">
        <v>1.1096839999999999</v>
      </c>
      <c r="L2991">
        <v>212.70849999999999</v>
      </c>
      <c r="M2991">
        <v>0.99997550000000002</v>
      </c>
      <c r="N2991">
        <v>-6.934801E-3</v>
      </c>
      <c r="O2991">
        <v>1.0440689999999999E-3</v>
      </c>
      <c r="P2991">
        <v>0.92490620000000001</v>
      </c>
      <c r="Q2991">
        <v>0.35056589999999999</v>
      </c>
      <c r="R2991">
        <v>0.147147</v>
      </c>
      <c r="S2991">
        <v>3.3112180000000002</v>
      </c>
      <c r="T2991">
        <v>-0.32028709999999999</v>
      </c>
      <c r="U2991">
        <v>0.34414670000000003</v>
      </c>
      <c r="V2991">
        <v>-0.14604700000000001</v>
      </c>
      <c r="W2991">
        <v>0.35702729999999999</v>
      </c>
      <c r="X2991">
        <v>0.92260600000000004</v>
      </c>
      <c r="Y2991">
        <v>-0.1018379</v>
      </c>
      <c r="Z2991">
        <v>5.162369E-3</v>
      </c>
      <c r="AA2991">
        <v>0.99478759999999999</v>
      </c>
      <c r="AB2991">
        <v>34</v>
      </c>
      <c r="AC2991">
        <v>11.0869999999999</v>
      </c>
      <c r="AD2991">
        <v>-1.109680162221</v>
      </c>
      <c r="AE2991">
        <v>1.1921000000000099</v>
      </c>
      <c r="AF2991">
        <v>-1.1689471650021099</v>
      </c>
      <c r="AG2991">
        <v>-1.109680162221</v>
      </c>
      <c r="AH2991">
        <v>10.979506398375801</v>
      </c>
      <c r="AI2991">
        <v>95.738974499319696</v>
      </c>
      <c r="AJ2991">
        <v>96.077175573029507</v>
      </c>
      <c r="AK2991">
        <v>11.0971792942607</v>
      </c>
      <c r="AL2991">
        <v>69.082256375937604</v>
      </c>
      <c r="AM2991">
        <v>98.995187578978999</v>
      </c>
      <c r="AN2991">
        <v>1.00000002519514</v>
      </c>
    </row>
    <row r="2992" spans="1:40" x14ac:dyDescent="0.25">
      <c r="A2992" t="str">
        <f>"20190304164428920"</f>
        <v>20190304164428920</v>
      </c>
      <c r="B2992" t="str">
        <f>"1551689068913214"</f>
        <v>1551689068913214</v>
      </c>
      <c r="C2992" t="s">
        <v>40</v>
      </c>
      <c r="D2992">
        <v>4.1428779999999996</v>
      </c>
      <c r="E2992">
        <v>0.53077439999999998</v>
      </c>
      <c r="F2992" t="s">
        <v>46</v>
      </c>
      <c r="G2992">
        <v>-418.48140000000001</v>
      </c>
      <c r="H2992" s="1">
        <v>3.7731930000000002E-6</v>
      </c>
      <c r="I2992">
        <v>213.89590000000001</v>
      </c>
      <c r="J2992">
        <v>-429.61380000000003</v>
      </c>
      <c r="K2992">
        <v>1.1096170000000001</v>
      </c>
      <c r="L2992">
        <v>212.70859999999999</v>
      </c>
      <c r="M2992">
        <v>0.99997559999999996</v>
      </c>
      <c r="N2992">
        <v>-6.9381069999999998E-3</v>
      </c>
      <c r="O2992">
        <v>7.5031860000000002E-4</v>
      </c>
      <c r="P2992">
        <v>0.92488170000000003</v>
      </c>
      <c r="Q2992">
        <v>0.35050510000000001</v>
      </c>
      <c r="R2992">
        <v>0.1474453</v>
      </c>
      <c r="S2992">
        <v>3.3105470000000001</v>
      </c>
      <c r="T2992">
        <v>-0.32074899999999901</v>
      </c>
      <c r="U2992">
        <v>0.34323120000000001</v>
      </c>
      <c r="V2992">
        <v>-0.14656379999999999</v>
      </c>
      <c r="W2992">
        <v>0.35699120000000001</v>
      </c>
      <c r="X2992">
        <v>0.92253799999999997</v>
      </c>
      <c r="Y2992">
        <v>-0.1018758</v>
      </c>
      <c r="Z2992">
        <v>5.1987079999999998E-3</v>
      </c>
      <c r="AA2992">
        <v>0.99478350000000004</v>
      </c>
      <c r="AB2992">
        <v>35</v>
      </c>
      <c r="AC2992">
        <v>11.132400000000001</v>
      </c>
      <c r="AD2992">
        <v>-1.109613226807</v>
      </c>
      <c r="AE2992">
        <v>1.18730000000002</v>
      </c>
      <c r="AF2992">
        <v>-1.16747823123921</v>
      </c>
      <c r="AG2992">
        <v>-1.109613226807</v>
      </c>
      <c r="AH2992">
        <v>11.0249869556999</v>
      </c>
      <c r="AI2992">
        <v>95.715455760542199</v>
      </c>
      <c r="AJ2992">
        <v>96.044743161023007</v>
      </c>
      <c r="AK2992">
        <v>11.1420188613588</v>
      </c>
      <c r="AL2992">
        <v>69.084470404558601</v>
      </c>
      <c r="AM2992">
        <v>99.027149050515803</v>
      </c>
      <c r="AN2992">
        <v>1.0000000128959301</v>
      </c>
    </row>
    <row r="2993" spans="1:40" x14ac:dyDescent="0.25">
      <c r="A2993" t="str">
        <f>"20190304164428943"</f>
        <v>20190304164428943</v>
      </c>
      <c r="B2993" t="str">
        <f>"1551689068932734"</f>
        <v>1551689068932734</v>
      </c>
      <c r="C2993" t="s">
        <v>40</v>
      </c>
      <c r="D2993">
        <v>4.1345809999999998</v>
      </c>
      <c r="E2993">
        <v>0.53070550000000005</v>
      </c>
      <c r="F2993" t="s">
        <v>46</v>
      </c>
      <c r="G2993">
        <v>-418.13920000000002</v>
      </c>
      <c r="H2993" s="1">
        <v>3.7114659999999999E-6</v>
      </c>
      <c r="I2993">
        <v>213.9076</v>
      </c>
      <c r="J2993">
        <v>-429.25990000000002</v>
      </c>
      <c r="K2993">
        <v>1.1095469999999901</v>
      </c>
      <c r="L2993">
        <v>212.70849999999999</v>
      </c>
      <c r="M2993">
        <v>0.99997590000000003</v>
      </c>
      <c r="N2993">
        <v>-6.9373179999999996E-3</v>
      </c>
      <c r="O2993">
        <v>3.4976279999999999E-4</v>
      </c>
      <c r="P2993">
        <v>0.92464020000000002</v>
      </c>
      <c r="Q2993">
        <v>0.35075770000000001</v>
      </c>
      <c r="R2993">
        <v>0.14835660000000001</v>
      </c>
      <c r="S2993">
        <v>3.3098139999999998</v>
      </c>
      <c r="T2993">
        <v>-0.32006410000000002</v>
      </c>
      <c r="U2993">
        <v>0.34587099999999998</v>
      </c>
      <c r="V2993">
        <v>-0.14778759999999999</v>
      </c>
      <c r="W2993">
        <v>0.35726599999999997</v>
      </c>
      <c r="X2993">
        <v>0.92223630000000001</v>
      </c>
      <c r="Y2993">
        <v>-0.103076</v>
      </c>
      <c r="Z2993">
        <v>5.2869529999999996E-3</v>
      </c>
      <c r="AA2993">
        <v>0.99465939999999997</v>
      </c>
      <c r="AB2993">
        <v>35</v>
      </c>
      <c r="AC2993">
        <v>11.120699999999999</v>
      </c>
      <c r="AD2993">
        <v>-1.10954328853399</v>
      </c>
      <c r="AE2993">
        <v>1.19910000000001</v>
      </c>
      <c r="AF2993">
        <v>-1.1835637180777401</v>
      </c>
      <c r="AG2993">
        <v>-1.10954328853399</v>
      </c>
      <c r="AH2993">
        <v>11.012751018739699</v>
      </c>
      <c r="AI2993">
        <v>95.720459565574401</v>
      </c>
      <c r="AJ2993">
        <v>96.134154276350003</v>
      </c>
      <c r="AK2993">
        <v>11.131603405827599</v>
      </c>
      <c r="AL2993">
        <v>69.067613234460197</v>
      </c>
      <c r="AM2993">
        <v>99.104196317859504</v>
      </c>
      <c r="AN2993">
        <v>0.99999998125372402</v>
      </c>
    </row>
    <row r="2994" spans="1:40" x14ac:dyDescent="0.25">
      <c r="A2994" t="str">
        <f>"20190304164428963"</f>
        <v>20190304164428963</v>
      </c>
      <c r="B2994" t="str">
        <f>"1551689068953230"</f>
        <v>1551689068953230</v>
      </c>
      <c r="C2994" t="s">
        <v>40</v>
      </c>
      <c r="D2994">
        <v>4.1369980000000002</v>
      </c>
      <c r="E2994">
        <v>0.53064100000000003</v>
      </c>
      <c r="F2994" t="s">
        <v>46</v>
      </c>
      <c r="G2994">
        <v>-417.71809999999999</v>
      </c>
      <c r="H2994" s="1">
        <v>3.635124E-6</v>
      </c>
      <c r="I2994">
        <v>213.9264</v>
      </c>
      <c r="J2994">
        <v>-428.93040000000002</v>
      </c>
      <c r="K2994">
        <v>1.109478</v>
      </c>
      <c r="L2994">
        <v>212.70820000000001</v>
      </c>
      <c r="M2994">
        <v>0.99997599999999998</v>
      </c>
      <c r="N2994">
        <v>-6.9354430000000003E-3</v>
      </c>
      <c r="O2994">
        <v>-1.040846E-4</v>
      </c>
      <c r="P2994">
        <v>0.92401789999999995</v>
      </c>
      <c r="Q2994">
        <v>0.3514794</v>
      </c>
      <c r="R2994">
        <v>0.1505097</v>
      </c>
      <c r="S2994">
        <v>3.3091430000000002</v>
      </c>
      <c r="T2994">
        <v>-0.31811640000000002</v>
      </c>
      <c r="U2994">
        <v>0.34919739999999999</v>
      </c>
      <c r="V2994">
        <v>-0.15030160000000001</v>
      </c>
      <c r="W2994">
        <v>0.35800749999999998</v>
      </c>
      <c r="X2994">
        <v>0.92154219999999998</v>
      </c>
      <c r="Y2994">
        <v>-0.104534</v>
      </c>
      <c r="Z2994">
        <v>5.3728459999999997E-3</v>
      </c>
      <c r="AA2994">
        <v>0.99450680000000002</v>
      </c>
      <c r="AB2994">
        <v>35</v>
      </c>
      <c r="AC2994">
        <v>11.212300000000001</v>
      </c>
      <c r="AD2994">
        <v>-1.1094743648759999</v>
      </c>
      <c r="AE2994">
        <v>1.21819999999999</v>
      </c>
      <c r="AF2994">
        <v>-1.20768011940771</v>
      </c>
      <c r="AG2994">
        <v>-1.1094743648759999</v>
      </c>
      <c r="AH2994">
        <v>11.1047109287131</v>
      </c>
      <c r="AI2994">
        <v>95.672275785276199</v>
      </c>
      <c r="AJ2994">
        <v>96.206743703875205</v>
      </c>
      <c r="AK2994">
        <v>11.2251516447401</v>
      </c>
      <c r="AL2994">
        <v>69.0221195444052</v>
      </c>
      <c r="AM2994">
        <v>99.263259043822899</v>
      </c>
      <c r="AN2994">
        <v>0.99999998369982401</v>
      </c>
    </row>
    <row r="2995" spans="1:40" x14ac:dyDescent="0.25">
      <c r="A2995" t="str">
        <f>"20190304164428988"</f>
        <v>20190304164428988</v>
      </c>
      <c r="B2995" t="str">
        <f>"1551689068982511"</f>
        <v>1551689068982511</v>
      </c>
      <c r="C2995" t="s">
        <v>40</v>
      </c>
      <c r="D2995">
        <v>4.136673</v>
      </c>
      <c r="E2995">
        <v>0.54940250000000002</v>
      </c>
      <c r="F2995" t="s">
        <v>46</v>
      </c>
      <c r="G2995">
        <v>-417.27030000000002</v>
      </c>
      <c r="H2995" s="1">
        <v>3.5521799999999999E-6</v>
      </c>
      <c r="I2995">
        <v>213.9667</v>
      </c>
      <c r="J2995">
        <v>-428.5668</v>
      </c>
      <c r="K2995">
        <v>1.1093999999999999</v>
      </c>
      <c r="L2995">
        <v>212.70769999999999</v>
      </c>
      <c r="M2995">
        <v>0.99997570000000002</v>
      </c>
      <c r="N2995">
        <v>-6.9341259999999997E-3</v>
      </c>
      <c r="O2995">
        <v>-6.9814200000000001E-4</v>
      </c>
      <c r="P2995">
        <v>0.92376639999999999</v>
      </c>
      <c r="Q2995">
        <v>0.35155180000000003</v>
      </c>
      <c r="R2995">
        <v>0.1518784</v>
      </c>
      <c r="S2995">
        <v>3.3082579999999999</v>
      </c>
      <c r="T2995">
        <v>-0.3147855</v>
      </c>
      <c r="U2995">
        <v>0.35705569999999998</v>
      </c>
      <c r="V2995">
        <v>-0.15214939999999999</v>
      </c>
      <c r="W2995">
        <v>0.35810769999999997</v>
      </c>
      <c r="X2995">
        <v>0.92120000000000002</v>
      </c>
      <c r="Y2995">
        <v>-0.10748149999999999</v>
      </c>
      <c r="Z2995">
        <v>5.5232069999999996E-3</v>
      </c>
      <c r="AA2995">
        <v>0.99419179999999996</v>
      </c>
      <c r="AB2995">
        <v>35</v>
      </c>
      <c r="AC2995">
        <v>11.296499999999901</v>
      </c>
      <c r="AD2995">
        <v>-1.10939644782</v>
      </c>
      <c r="AE2995">
        <v>1.2590000000000101</v>
      </c>
      <c r="AF2995">
        <v>-1.2549315825771601</v>
      </c>
      <c r="AG2995">
        <v>-1.10939644782</v>
      </c>
      <c r="AH2995">
        <v>11.189028166374101</v>
      </c>
      <c r="AI2995">
        <v>95.627337006114502</v>
      </c>
      <c r="AJ2995">
        <v>96.399398123576404</v>
      </c>
      <c r="AK2995">
        <v>11.3137069549859</v>
      </c>
      <c r="AL2995">
        <v>69.015971255423906</v>
      </c>
      <c r="AM2995">
        <v>99.3785518916999</v>
      </c>
      <c r="AN2995">
        <v>1.0000000023598199</v>
      </c>
    </row>
    <row r="2996" spans="1:40" x14ac:dyDescent="0.25">
      <c r="A2996" t="str">
        <f>"20190304164429010"</f>
        <v>20190304164429010</v>
      </c>
      <c r="B2996" t="str">
        <f>"1551689069003006"</f>
        <v>1551689069003006</v>
      </c>
      <c r="C2996" t="s">
        <v>40</v>
      </c>
      <c r="D2996">
        <v>4.1205610000000004</v>
      </c>
      <c r="E2996">
        <v>0.5539982</v>
      </c>
      <c r="F2996" t="s">
        <v>46</v>
      </c>
      <c r="G2996">
        <v>-416.26799999999997</v>
      </c>
      <c r="H2996" s="1">
        <v>3.4156470000000002E-6</v>
      </c>
      <c r="I2996">
        <v>213.4948</v>
      </c>
      <c r="J2996">
        <v>-428.20780000000002</v>
      </c>
      <c r="K2996">
        <v>1.1093120000000001</v>
      </c>
      <c r="L2996">
        <v>212.70689999999999</v>
      </c>
      <c r="M2996">
        <v>0.99997510000000001</v>
      </c>
      <c r="N2996">
        <v>-6.9335610000000004E-3</v>
      </c>
      <c r="O2996">
        <v>-1.3761680000000001E-3</v>
      </c>
      <c r="P2996">
        <v>0.92358609999999997</v>
      </c>
      <c r="Q2996">
        <v>0.3513889</v>
      </c>
      <c r="R2996">
        <v>0.15334539999999999</v>
      </c>
      <c r="S2996">
        <v>3.3267820000000001</v>
      </c>
      <c r="T2996">
        <v>-0.30008820000000003</v>
      </c>
      <c r="U2996">
        <v>0.21289060000000001</v>
      </c>
      <c r="V2996">
        <v>-0.154171</v>
      </c>
      <c r="W2996">
        <v>0.35797499999999999</v>
      </c>
      <c r="X2996">
        <v>0.92091540000000005</v>
      </c>
      <c r="Y2996">
        <v>-6.4947959999999999E-2</v>
      </c>
      <c r="Z2996">
        <v>3.2604980000000001E-3</v>
      </c>
      <c r="AA2996">
        <v>0.99788330000000003</v>
      </c>
      <c r="AB2996">
        <v>35</v>
      </c>
      <c r="AC2996">
        <v>11.9397999999999</v>
      </c>
      <c r="AD2996">
        <v>-1.1093085843529999</v>
      </c>
      <c r="AE2996">
        <v>0.78790000000000704</v>
      </c>
      <c r="AF2996">
        <v>-0.79747685667682999</v>
      </c>
      <c r="AG2996">
        <v>-1.1093085843529999</v>
      </c>
      <c r="AH2996">
        <v>11.8369708465077</v>
      </c>
      <c r="AI2996">
        <v>95.341830950414504</v>
      </c>
      <c r="AJ2996">
        <v>93.854289677473204</v>
      </c>
      <c r="AK2996">
        <v>11.9155534363003</v>
      </c>
      <c r="AL2996">
        <v>69.024113877159607</v>
      </c>
      <c r="AM2996">
        <v>99.503789452395196</v>
      </c>
      <c r="AN2996">
        <v>0.99999998591157901</v>
      </c>
    </row>
    <row r="2997" spans="1:40" x14ac:dyDescent="0.25">
      <c r="A2997" t="str">
        <f>"20190304164429032"</f>
        <v>20190304164429032</v>
      </c>
      <c r="B2997" t="str">
        <f>"1551689069022527"</f>
        <v>1551689069022527</v>
      </c>
      <c r="C2997" t="s">
        <v>40</v>
      </c>
      <c r="D2997">
        <v>4.0804929999999997</v>
      </c>
      <c r="E2997">
        <v>0.55607839999999997</v>
      </c>
      <c r="F2997" t="s">
        <v>46</v>
      </c>
      <c r="G2997">
        <v>-415.14280000000002</v>
      </c>
      <c r="H2997" s="1">
        <v>3.2231340000000002E-6</v>
      </c>
      <c r="I2997">
        <v>213.41380000000001</v>
      </c>
      <c r="J2997">
        <v>-427.85539999999997</v>
      </c>
      <c r="K2997">
        <v>1.109229</v>
      </c>
      <c r="L2997">
        <v>212.70580000000001</v>
      </c>
      <c r="M2997">
        <v>0.99997369999999997</v>
      </c>
      <c r="N2997">
        <v>-6.9334990000000001E-3</v>
      </c>
      <c r="O2997">
        <v>-2.1174589999999999E-3</v>
      </c>
      <c r="P2997">
        <v>0.92350379999999999</v>
      </c>
      <c r="Q2997">
        <v>0.35123310000000002</v>
      </c>
      <c r="R2997">
        <v>0.15419550000000001</v>
      </c>
      <c r="S2997">
        <v>3.3257750000000001</v>
      </c>
      <c r="T2997">
        <v>-0.2823812</v>
      </c>
      <c r="U2997">
        <v>0.1799316</v>
      </c>
      <c r="V2997">
        <v>-0.15563850000000001</v>
      </c>
      <c r="W2997">
        <v>0.35784890000000003</v>
      </c>
      <c r="X2997">
        <v>0.92071749999999997</v>
      </c>
      <c r="Y2997">
        <v>-5.591397E-2</v>
      </c>
      <c r="Z2997">
        <v>2.7268040000000002E-3</v>
      </c>
      <c r="AA2997">
        <v>0.99843190000000004</v>
      </c>
      <c r="AB2997">
        <v>35</v>
      </c>
      <c r="AC2997">
        <v>12.712599999999901</v>
      </c>
      <c r="AD2997">
        <v>-1.1092257768660001</v>
      </c>
      <c r="AE2997">
        <v>0.70799999999999796</v>
      </c>
      <c r="AF2997">
        <v>-0.72938166157960505</v>
      </c>
      <c r="AG2997">
        <v>-1.1092257768660001</v>
      </c>
      <c r="AH2997">
        <v>12.6153254202061</v>
      </c>
      <c r="AI2997">
        <v>95.0165794507908</v>
      </c>
      <c r="AJ2997">
        <v>93.308992565927099</v>
      </c>
      <c r="AK2997">
        <v>12.6849838348344</v>
      </c>
      <c r="AL2997">
        <v>69.031850579366406</v>
      </c>
      <c r="AM2997">
        <v>99.594602902311706</v>
      </c>
      <c r="AN2997">
        <v>0.99999994635985301</v>
      </c>
    </row>
    <row r="2998" spans="1:40" x14ac:dyDescent="0.25">
      <c r="A2998" t="str">
        <f>"20190304164429054"</f>
        <v>20190304164429054</v>
      </c>
      <c r="B2998" t="str">
        <f>"1551689069043022"</f>
        <v>1551689069043022</v>
      </c>
      <c r="C2998" t="s">
        <v>40</v>
      </c>
      <c r="D2998">
        <v>4.1021320000000001</v>
      </c>
      <c r="E2998">
        <v>0.55695490000000003</v>
      </c>
      <c r="F2998" t="s">
        <v>46</v>
      </c>
      <c r="G2998">
        <v>-414.39909999999998</v>
      </c>
      <c r="H2998" s="1">
        <v>3.094425E-6</v>
      </c>
      <c r="I2998">
        <v>213.37700000000001</v>
      </c>
      <c r="J2998">
        <v>-427.51740000000001</v>
      </c>
      <c r="K2998">
        <v>1.1091629999999999</v>
      </c>
      <c r="L2998">
        <v>212.70439999999999</v>
      </c>
      <c r="M2998">
        <v>0.99997190000000002</v>
      </c>
      <c r="N2998">
        <v>-6.9338239999999999E-3</v>
      </c>
      <c r="O2998">
        <v>-2.8838969999999998E-3</v>
      </c>
      <c r="P2998">
        <v>0.92369290000000004</v>
      </c>
      <c r="Q2998">
        <v>0.35077029999999998</v>
      </c>
      <c r="R2998">
        <v>0.15411620000000001</v>
      </c>
      <c r="S2998">
        <v>3.3251339999999998</v>
      </c>
      <c r="T2998">
        <v>-0.2740958</v>
      </c>
      <c r="U2998">
        <v>0.16584779999999999</v>
      </c>
      <c r="V2998">
        <v>-0.15621350000000001</v>
      </c>
      <c r="W2998">
        <v>0.3574117</v>
      </c>
      <c r="X2998">
        <v>0.92079</v>
      </c>
      <c r="Y2998">
        <v>-5.249446E-2</v>
      </c>
      <c r="Z2998">
        <v>2.5582690000000002E-3</v>
      </c>
      <c r="AA2998">
        <v>0.99861789999999995</v>
      </c>
      <c r="AB2998">
        <v>35</v>
      </c>
      <c r="AC2998">
        <v>13.1183</v>
      </c>
      <c r="AD2998">
        <v>-1.1091599055750001</v>
      </c>
      <c r="AE2998">
        <v>0.67260000000001696</v>
      </c>
      <c r="AF2998">
        <v>-0.70540038938441396</v>
      </c>
      <c r="AG2998">
        <v>-1.1091599055750001</v>
      </c>
      <c r="AH2998">
        <v>13.0234477594522</v>
      </c>
      <c r="AI2998">
        <v>94.860836553086102</v>
      </c>
      <c r="AJ2998">
        <v>93.100331935727198</v>
      </c>
      <c r="AK2998">
        <v>13.089614851043599</v>
      </c>
      <c r="AL2998">
        <v>69.058675562597898</v>
      </c>
      <c r="AM2998">
        <v>99.628643239516094</v>
      </c>
      <c r="AN2998">
        <v>1.0000000024895701</v>
      </c>
    </row>
    <row r="2999" spans="1:40" x14ac:dyDescent="0.25">
      <c r="A2999" t="str">
        <f>"20190304164429076"</f>
        <v>20190304164429076</v>
      </c>
      <c r="B2999" t="str">
        <f>"1551689069073278"</f>
        <v>1551689069073278</v>
      </c>
      <c r="C2999" t="s">
        <v>40</v>
      </c>
      <c r="D2999">
        <v>4.1412839999999997</v>
      </c>
      <c r="E2999">
        <v>0.5575137</v>
      </c>
      <c r="F2999" t="s">
        <v>46</v>
      </c>
      <c r="G2999">
        <v>-414.0797</v>
      </c>
      <c r="H2999" s="1">
        <v>3.0406440000000001E-6</v>
      </c>
      <c r="I2999">
        <v>213.3442</v>
      </c>
      <c r="J2999">
        <v>-427.1764</v>
      </c>
      <c r="K2999">
        <v>1.1091150000000001</v>
      </c>
      <c r="L2999">
        <v>212.7028</v>
      </c>
      <c r="M2999">
        <v>0.99996910000000006</v>
      </c>
      <c r="N2999">
        <v>-6.9345910000000004E-3</v>
      </c>
      <c r="O2999">
        <v>-3.6947769999999998E-3</v>
      </c>
      <c r="P2999">
        <v>0.92390380000000005</v>
      </c>
      <c r="Q2999">
        <v>0.35046040000000001</v>
      </c>
      <c r="R2999">
        <v>0.15355579999999999</v>
      </c>
      <c r="S2999">
        <v>3.3256230000000002</v>
      </c>
      <c r="T2999">
        <v>-0.27450029999999997</v>
      </c>
      <c r="U2999">
        <v>0.1583252</v>
      </c>
      <c r="V2999">
        <v>-0.15636159999999999</v>
      </c>
      <c r="W2999">
        <v>0.35712179999999999</v>
      </c>
      <c r="X2999">
        <v>0.92087730000000001</v>
      </c>
      <c r="Y2999">
        <v>-5.104583E-2</v>
      </c>
      <c r="Z2999">
        <v>2.5580659999999999E-3</v>
      </c>
      <c r="AA2999">
        <v>0.99869300000000005</v>
      </c>
      <c r="AB2999">
        <v>35</v>
      </c>
      <c r="AC2999">
        <v>13.096699999999901</v>
      </c>
      <c r="AD2999">
        <v>-1.1091119593559999</v>
      </c>
      <c r="AE2999">
        <v>0.64140000000000397</v>
      </c>
      <c r="AF2999">
        <v>-0.68488607251086098</v>
      </c>
      <c r="AG2999">
        <v>-1.1091119593559999</v>
      </c>
      <c r="AH2999">
        <v>13.001221901301999</v>
      </c>
      <c r="AI2999">
        <v>94.869280258866596</v>
      </c>
      <c r="AJ2999">
        <v>93.015473743256905</v>
      </c>
      <c r="AK2999">
        <v>13.0664061316645</v>
      </c>
      <c r="AL2999">
        <v>69.076458489537799</v>
      </c>
      <c r="AM2999">
        <v>99.636704128530994</v>
      </c>
      <c r="AN2999">
        <v>0.99999996582254402</v>
      </c>
    </row>
    <row r="3000" spans="1:40" x14ac:dyDescent="0.25">
      <c r="A3000" t="str">
        <f>"20190304164429099"</f>
        <v>20190304164429099</v>
      </c>
      <c r="B3000" t="str">
        <f>"1551689069092798"</f>
        <v>1551689069092798</v>
      </c>
      <c r="C3000" t="s">
        <v>40</v>
      </c>
      <c r="D3000">
        <v>4.1350030000000002</v>
      </c>
      <c r="E3000">
        <v>0.55775739999999996</v>
      </c>
      <c r="F3000" t="s">
        <v>46</v>
      </c>
      <c r="G3000">
        <v>-413.76920000000001</v>
      </c>
      <c r="H3000" s="1">
        <v>2.988384E-6</v>
      </c>
      <c r="I3000">
        <v>213.31180000000001</v>
      </c>
      <c r="J3000">
        <v>-426.80549999999999</v>
      </c>
      <c r="K3000">
        <v>1.1090799999999901</v>
      </c>
      <c r="L3000">
        <v>212.70060000000001</v>
      </c>
      <c r="M3000">
        <v>0.99996549999999995</v>
      </c>
      <c r="N3000">
        <v>-6.9360439999999997E-3</v>
      </c>
      <c r="O3000">
        <v>-4.599957E-3</v>
      </c>
      <c r="P3000">
        <v>0.92441580000000001</v>
      </c>
      <c r="Q3000">
        <v>0.34951559999999998</v>
      </c>
      <c r="R3000">
        <v>0.1526256</v>
      </c>
      <c r="S3000">
        <v>3.326355</v>
      </c>
      <c r="T3000">
        <v>-0.2751728</v>
      </c>
      <c r="U3000">
        <v>0.15110779999999999</v>
      </c>
      <c r="V3000">
        <v>-0.1562395</v>
      </c>
      <c r="W3000">
        <v>0.3561938</v>
      </c>
      <c r="X3000">
        <v>0.9212574</v>
      </c>
      <c r="Y3000">
        <v>-4.9778330000000003E-2</v>
      </c>
      <c r="Z3000">
        <v>2.5752919999999999E-3</v>
      </c>
      <c r="AA3000">
        <v>0.99875689999999995</v>
      </c>
      <c r="AB3000">
        <v>35</v>
      </c>
      <c r="AC3000">
        <v>13.036299999999899</v>
      </c>
      <c r="AD3000">
        <v>-1.10907701161599</v>
      </c>
      <c r="AE3000">
        <v>0.61119999999999597</v>
      </c>
      <c r="AF3000">
        <v>-0.66634897459932896</v>
      </c>
      <c r="AG3000">
        <v>-1.10907701161599</v>
      </c>
      <c r="AH3000">
        <v>12.939897786772899</v>
      </c>
      <c r="AI3000">
        <v>94.8923905222439</v>
      </c>
      <c r="AJ3000">
        <v>92.947881845359703</v>
      </c>
      <c r="AK3000">
        <v>13.004423382287101</v>
      </c>
      <c r="AL3000">
        <v>69.133372645615694</v>
      </c>
      <c r="AM3000">
        <v>99.625421352285699</v>
      </c>
      <c r="AN3000">
        <v>1.00000000078672</v>
      </c>
    </row>
    <row r="3001" spans="1:40" x14ac:dyDescent="0.25">
      <c r="A3001" t="str">
        <f>"20190304164429121"</f>
        <v>20190304164429121</v>
      </c>
      <c r="B3001" t="str">
        <f>"1551689069113198"</f>
        <v>1551689069113198</v>
      </c>
      <c r="C3001" t="s">
        <v>40</v>
      </c>
      <c r="D3001">
        <v>4.069407</v>
      </c>
      <c r="E3001">
        <v>0.55791869999999999</v>
      </c>
      <c r="F3001" t="s">
        <v>46</v>
      </c>
      <c r="G3001">
        <v>-413.38499999999999</v>
      </c>
      <c r="H3001" s="1">
        <v>2.9227329999999998E-6</v>
      </c>
      <c r="I3001">
        <v>213.28319999999999</v>
      </c>
      <c r="J3001">
        <v>-426.44810000000001</v>
      </c>
      <c r="K3001">
        <v>1.109056</v>
      </c>
      <c r="L3001">
        <v>212.69820000000001</v>
      </c>
      <c r="M3001">
        <v>0.99996110000000005</v>
      </c>
      <c r="N3001">
        <v>-6.9379569999999998E-3</v>
      </c>
      <c r="O3001">
        <v>-5.4663150000000002E-3</v>
      </c>
      <c r="P3001">
        <v>0.92467929999999998</v>
      </c>
      <c r="Q3001">
        <v>0.34935349999999998</v>
      </c>
      <c r="R3001">
        <v>0.15139559999999999</v>
      </c>
      <c r="S3001">
        <v>3.3253780000000002</v>
      </c>
      <c r="T3001">
        <v>-0.27481100000000003</v>
      </c>
      <c r="U3001">
        <v>0.1443634</v>
      </c>
      <c r="V3001">
        <v>-0.1557963</v>
      </c>
      <c r="W3001">
        <v>0.35604049999999998</v>
      </c>
      <c r="X3001">
        <v>0.92139170000000004</v>
      </c>
      <c r="Y3001">
        <v>-4.8637359999999998E-2</v>
      </c>
      <c r="Z3001">
        <v>2.587387E-3</v>
      </c>
      <c r="AA3001">
        <v>0.99881319999999996</v>
      </c>
      <c r="AB3001">
        <v>35</v>
      </c>
      <c r="AC3001">
        <v>13.0631</v>
      </c>
      <c r="AD3001">
        <v>-1.109053077267</v>
      </c>
      <c r="AE3001">
        <v>0.58499999999997898</v>
      </c>
      <c r="AF3001">
        <v>-0.65171188082910503</v>
      </c>
      <c r="AG3001">
        <v>-1.109053077267</v>
      </c>
      <c r="AH3001">
        <v>12.966432529871</v>
      </c>
      <c r="AI3001">
        <v>94.882626564655098</v>
      </c>
      <c r="AJ3001">
        <v>92.877348451719001</v>
      </c>
      <c r="AK3001">
        <v>13.030084407075201</v>
      </c>
      <c r="AL3001">
        <v>69.142772187717298</v>
      </c>
      <c r="AM3001">
        <v>99.597252864067897</v>
      </c>
      <c r="AN3001">
        <v>0.99999999478141499</v>
      </c>
    </row>
    <row r="3002" spans="1:40" x14ac:dyDescent="0.25">
      <c r="A3002" t="str">
        <f>"20190304164429143"</f>
        <v>20190304164429143</v>
      </c>
      <c r="B3002" t="str">
        <f>"1551689069132717"</f>
        <v>1551689069132717</v>
      </c>
      <c r="C3002" t="s">
        <v>40</v>
      </c>
      <c r="D3002">
        <v>4.1032690000000001</v>
      </c>
      <c r="E3002">
        <v>0.55797039999999998</v>
      </c>
      <c r="F3002" t="s">
        <v>46</v>
      </c>
      <c r="G3002">
        <v>-412.88959999999997</v>
      </c>
      <c r="H3002" s="1">
        <v>2.8374769999999999E-6</v>
      </c>
      <c r="I3002">
        <v>213.2533</v>
      </c>
      <c r="J3002">
        <v>-426.09980000000002</v>
      </c>
      <c r="K3002">
        <v>1.109051</v>
      </c>
      <c r="L3002">
        <v>212.69560000000001</v>
      </c>
      <c r="M3002">
        <v>0.99995639999999997</v>
      </c>
      <c r="N3002">
        <v>-6.9402999999999999E-3</v>
      </c>
      <c r="O3002">
        <v>-6.2740449999999998E-3</v>
      </c>
      <c r="P3002">
        <v>0.92490399999999995</v>
      </c>
      <c r="Q3002">
        <v>0.34942099999999998</v>
      </c>
      <c r="R3002">
        <v>0.14985979999999999</v>
      </c>
      <c r="S3002">
        <v>3.3248600000000001</v>
      </c>
      <c r="T3002">
        <v>-0.27196599999999999</v>
      </c>
      <c r="U3002">
        <v>0.13610839999999999</v>
      </c>
      <c r="V3002">
        <v>-0.1550108</v>
      </c>
      <c r="W3002">
        <v>0.35610829999999999</v>
      </c>
      <c r="X3002">
        <v>0.92149800000000004</v>
      </c>
      <c r="Y3002">
        <v>-4.6982929999999999E-2</v>
      </c>
      <c r="Z3002">
        <v>2.5496379999999999E-3</v>
      </c>
      <c r="AA3002">
        <v>0.99889240000000001</v>
      </c>
      <c r="AB3002">
        <v>36</v>
      </c>
      <c r="AC3002">
        <v>13.2102</v>
      </c>
      <c r="AD3002">
        <v>-1.109048162523</v>
      </c>
      <c r="AE3002">
        <v>0.55769999999998199</v>
      </c>
      <c r="AF3002">
        <v>-0.63609699283713395</v>
      </c>
      <c r="AG3002">
        <v>-1.109048162523</v>
      </c>
      <c r="AH3002">
        <v>13.1141731889157</v>
      </c>
      <c r="AI3002">
        <v>94.828276314102197</v>
      </c>
      <c r="AJ3002">
        <v>92.776929281378202</v>
      </c>
      <c r="AK3002">
        <v>13.176347962920801</v>
      </c>
      <c r="AL3002">
        <v>69.138615545282505</v>
      </c>
      <c r="AM3002">
        <v>99.548677101744104</v>
      </c>
      <c r="AN3002">
        <v>1.00000001672476</v>
      </c>
    </row>
    <row r="3003" spans="1:40" x14ac:dyDescent="0.25">
      <c r="A3003" t="str">
        <f>"20190304164429164"</f>
        <v>20190304164429164</v>
      </c>
      <c r="B3003" t="str">
        <f>"1551689069153213"</f>
        <v>1551689069153213</v>
      </c>
      <c r="C3003" t="s">
        <v>40</v>
      </c>
      <c r="D3003">
        <v>4.1221430000000003</v>
      </c>
      <c r="E3003">
        <v>0.55818179999999995</v>
      </c>
      <c r="F3003" t="s">
        <v>46</v>
      </c>
      <c r="G3003">
        <v>-412.37220000000002</v>
      </c>
      <c r="H3003" s="1">
        <v>2.7477859999999998E-6</v>
      </c>
      <c r="I3003">
        <v>213.2294</v>
      </c>
      <c r="J3003">
        <v>-425.75619999999998</v>
      </c>
      <c r="K3003">
        <v>1.1090739999999999</v>
      </c>
      <c r="L3003">
        <v>212.69280000000001</v>
      </c>
      <c r="M3003">
        <v>0.99995140000000005</v>
      </c>
      <c r="N3003">
        <v>-6.9429720000000004E-3</v>
      </c>
      <c r="O3003">
        <v>-7.0039250000000003E-3</v>
      </c>
      <c r="P3003">
        <v>0.92499229999999999</v>
      </c>
      <c r="Q3003">
        <v>0.34971920000000001</v>
      </c>
      <c r="R3003">
        <v>0.14861279999999999</v>
      </c>
      <c r="S3003">
        <v>3.3240970000000001</v>
      </c>
      <c r="T3003">
        <v>-0.26855210000000002</v>
      </c>
      <c r="U3003">
        <v>0.12924189999999999</v>
      </c>
      <c r="V3003">
        <v>-0.15446079999999901</v>
      </c>
      <c r="W3003">
        <v>0.35639789999999999</v>
      </c>
      <c r="X3003">
        <v>0.92147840000000003</v>
      </c>
      <c r="Y3003">
        <v>-4.5668359999999998E-2</v>
      </c>
      <c r="Z3003">
        <v>2.5161369999999999E-3</v>
      </c>
      <c r="AA3003">
        <v>0.99895350000000005</v>
      </c>
      <c r="AB3003">
        <v>36</v>
      </c>
      <c r="AC3003">
        <v>13.383999999999901</v>
      </c>
      <c r="AD3003">
        <v>-1.1090712522139901</v>
      </c>
      <c r="AE3003">
        <v>0.53659999999999197</v>
      </c>
      <c r="AF3003">
        <v>-0.62603772239241495</v>
      </c>
      <c r="AG3003">
        <v>-1.1090712522139901</v>
      </c>
      <c r="AH3003">
        <v>13.2888096970677</v>
      </c>
      <c r="AI3003">
        <v>94.765533283615497</v>
      </c>
      <c r="AJ3003">
        <v>92.6972181628839</v>
      </c>
      <c r="AK3003">
        <v>13.349697578493201</v>
      </c>
      <c r="AL3003">
        <v>69.120857688729103</v>
      </c>
      <c r="AM3003">
        <v>99.515616360839601</v>
      </c>
      <c r="AN3003">
        <v>1.0000000217638001</v>
      </c>
    </row>
    <row r="3004" spans="1:40" x14ac:dyDescent="0.25">
      <c r="A3004" t="str">
        <f>"20190304164429189"</f>
        <v>20190304164429189</v>
      </c>
      <c r="B3004" t="str">
        <f>"1551689069182493"</f>
        <v>1551689069182493</v>
      </c>
      <c r="C3004" t="s">
        <v>40</v>
      </c>
      <c r="D3004">
        <v>4.1295409999999997</v>
      </c>
      <c r="E3004">
        <v>0.55835869999999999</v>
      </c>
      <c r="F3004" t="s">
        <v>46</v>
      </c>
      <c r="G3004">
        <v>-411.88099999999997</v>
      </c>
      <c r="H3004" s="1">
        <v>2.6627419999999998E-6</v>
      </c>
      <c r="I3004">
        <v>213.2055</v>
      </c>
      <c r="J3004">
        <v>-425.3691</v>
      </c>
      <c r="K3004">
        <v>1.1091310000000001</v>
      </c>
      <c r="L3004">
        <v>212.68950000000001</v>
      </c>
      <c r="M3004">
        <v>0.99994620000000001</v>
      </c>
      <c r="N3004">
        <v>-6.9463830000000004E-3</v>
      </c>
      <c r="O3004">
        <v>-7.7197799999999999E-3</v>
      </c>
      <c r="P3004">
        <v>0.92512090000000002</v>
      </c>
      <c r="Q3004">
        <v>0.35009449999999998</v>
      </c>
      <c r="R3004">
        <v>0.14691949999999901</v>
      </c>
      <c r="S3004">
        <v>3.324036</v>
      </c>
      <c r="T3004">
        <v>-0.26569559999999998</v>
      </c>
      <c r="U3004">
        <v>0.122818</v>
      </c>
      <c r="V3004">
        <v>-0.15347839999999999</v>
      </c>
      <c r="W3004">
        <v>0.35675380000000001</v>
      </c>
      <c r="X3004">
        <v>0.92150480000000001</v>
      </c>
      <c r="Y3004">
        <v>-4.4462380000000003E-2</v>
      </c>
      <c r="Z3004">
        <v>2.4906440000000002E-3</v>
      </c>
      <c r="AA3004">
        <v>0.99900789999999995</v>
      </c>
      <c r="AB3004">
        <v>36</v>
      </c>
      <c r="AC3004">
        <v>13.488099999999999</v>
      </c>
      <c r="AD3004">
        <v>-1.1091283372580001</v>
      </c>
      <c r="AE3004">
        <v>0.51599999999999102</v>
      </c>
      <c r="AF3004">
        <v>-0.61595342267619202</v>
      </c>
      <c r="AG3004">
        <v>-1.1091283372580001</v>
      </c>
      <c r="AH3004">
        <v>13.3932842546717</v>
      </c>
      <c r="AI3004">
        <v>94.729016140890806</v>
      </c>
      <c r="AJ3004">
        <v>92.633161604080996</v>
      </c>
      <c r="AK3004">
        <v>13.4532385474224</v>
      </c>
      <c r="AL3004">
        <v>69.099030809079395</v>
      </c>
      <c r="AM3004">
        <v>99.455925657859794</v>
      </c>
      <c r="AN3004">
        <v>0.99999999475201995</v>
      </c>
    </row>
    <row r="3005" spans="1:40" x14ac:dyDescent="0.25">
      <c r="A3005" t="str">
        <f>"20190304164429211"</f>
        <v>20190304164429211</v>
      </c>
      <c r="B3005" t="str">
        <f>"1551689069202990"</f>
        <v>1551689069202990</v>
      </c>
      <c r="C3005" t="s">
        <v>40</v>
      </c>
      <c r="D3005">
        <v>4.1381550000000002</v>
      </c>
      <c r="E3005">
        <v>0.55841759999999996</v>
      </c>
      <c r="F3005" t="s">
        <v>46</v>
      </c>
      <c r="G3005">
        <v>-411.32089999999999</v>
      </c>
      <c r="H3005" s="1">
        <v>2.5657580000000002E-6</v>
      </c>
      <c r="I3005">
        <v>213.17840000000001</v>
      </c>
      <c r="J3005">
        <v>-425.00560000000002</v>
      </c>
      <c r="K3005">
        <v>1.1092089999999999</v>
      </c>
      <c r="L3005">
        <v>212.68620000000001</v>
      </c>
      <c r="M3005">
        <v>0.99994170000000004</v>
      </c>
      <c r="N3005">
        <v>-6.9501140000000003E-3</v>
      </c>
      <c r="O3005">
        <v>-8.2677319999999999E-3</v>
      </c>
      <c r="P3005">
        <v>0.92531079999999999</v>
      </c>
      <c r="Q3005">
        <v>0.35038900000000001</v>
      </c>
      <c r="R3005">
        <v>0.1450091</v>
      </c>
      <c r="S3005">
        <v>3.3237920000000001</v>
      </c>
      <c r="T3005">
        <v>-0.26241900000000001</v>
      </c>
      <c r="U3005">
        <v>0.11569210000000001</v>
      </c>
      <c r="V3005">
        <v>-0.15214150000000001</v>
      </c>
      <c r="W3005">
        <v>0.35702200000000001</v>
      </c>
      <c r="X3005">
        <v>0.92162259999999996</v>
      </c>
      <c r="Y3005">
        <v>-4.2881509999999998E-2</v>
      </c>
      <c r="Z3005">
        <v>2.4331560000000001E-3</v>
      </c>
      <c r="AA3005">
        <v>0.9990772</v>
      </c>
      <c r="AB3005">
        <v>36</v>
      </c>
      <c r="AC3005">
        <v>13.684699999999999</v>
      </c>
      <c r="AD3005">
        <v>-1.1092064342420001</v>
      </c>
      <c r="AE3005">
        <v>0.49219999999999597</v>
      </c>
      <c r="AF3005">
        <v>-0.60138146779400403</v>
      </c>
      <c r="AG3005">
        <v>-1.1092064342420001</v>
      </c>
      <c r="AH3005">
        <v>13.5909876503977</v>
      </c>
      <c r="AI3005">
        <v>94.6612205690721</v>
      </c>
      <c r="AJ3005">
        <v>92.533602363538805</v>
      </c>
      <c r="AK3005">
        <v>13.649430167477</v>
      </c>
      <c r="AL3005">
        <v>69.0825804937258</v>
      </c>
      <c r="AM3005">
        <v>99.373849711567502</v>
      </c>
      <c r="AN3005">
        <v>0.99999998066850404</v>
      </c>
    </row>
    <row r="3006" spans="1:40" x14ac:dyDescent="0.25">
      <c r="A3006" t="str">
        <f>"20190304164429233"</f>
        <v>20190304164429233</v>
      </c>
      <c r="B3006" t="str">
        <f>"1551689069222513"</f>
        <v>1551689069222513</v>
      </c>
      <c r="C3006" t="s">
        <v>40</v>
      </c>
      <c r="D3006">
        <v>4.2045919999999999</v>
      </c>
      <c r="E3006">
        <v>0.55849309999999996</v>
      </c>
      <c r="F3006" t="s">
        <v>46</v>
      </c>
      <c r="G3006">
        <v>-410.85989999999998</v>
      </c>
      <c r="H3006" s="1">
        <v>2.4862309999999998E-6</v>
      </c>
      <c r="I3006">
        <v>213.15280000000001</v>
      </c>
      <c r="J3006">
        <v>-424.65750000000003</v>
      </c>
      <c r="K3006">
        <v>1.109297</v>
      </c>
      <c r="L3006">
        <v>212.68299999999999</v>
      </c>
      <c r="M3006">
        <v>0.99993840000000001</v>
      </c>
      <c r="N3006">
        <v>-6.9542229999999998E-3</v>
      </c>
      <c r="O3006">
        <v>-8.66431199999999E-3</v>
      </c>
      <c r="P3006">
        <v>0.92561890000000002</v>
      </c>
      <c r="Q3006">
        <v>0.350186</v>
      </c>
      <c r="R3006">
        <v>0.14352570000000001</v>
      </c>
      <c r="S3006">
        <v>3.3237000000000001</v>
      </c>
      <c r="T3006">
        <v>-0.26062109999999999</v>
      </c>
      <c r="U3006">
        <v>0.1096497</v>
      </c>
      <c r="V3006">
        <v>-0.15110319999999999</v>
      </c>
      <c r="W3006">
        <v>0.35679119999999998</v>
      </c>
      <c r="X3006">
        <v>0.92188270000000005</v>
      </c>
      <c r="Y3006">
        <v>-4.1470319999999998E-2</v>
      </c>
      <c r="Z3006">
        <v>2.3854869999999999E-3</v>
      </c>
      <c r="AA3006">
        <v>0.99913689999999999</v>
      </c>
      <c r="AB3006">
        <v>36</v>
      </c>
      <c r="AC3006">
        <v>13.797599999999999</v>
      </c>
      <c r="AD3006">
        <v>-1.109294513769</v>
      </c>
      <c r="AE3006">
        <v>0.46980000000001998</v>
      </c>
      <c r="AF3006">
        <v>-0.58555145940533304</v>
      </c>
      <c r="AG3006">
        <v>-1.109294513769</v>
      </c>
      <c r="AH3006">
        <v>13.704530973450099</v>
      </c>
      <c r="AI3006">
        <v>94.623439529997697</v>
      </c>
      <c r="AJ3006">
        <v>92.446580172955294</v>
      </c>
      <c r="AK3006">
        <v>13.761815797057499</v>
      </c>
      <c r="AL3006">
        <v>69.096735467618203</v>
      </c>
      <c r="AM3006">
        <v>99.308420314520603</v>
      </c>
      <c r="AN3006">
        <v>0.999999925003482</v>
      </c>
    </row>
    <row r="3007" spans="1:40" x14ac:dyDescent="0.25">
      <c r="A3007" t="str">
        <f>"20190304164429254"</f>
        <v>20190304164429254</v>
      </c>
      <c r="B3007" t="str">
        <f>"1551689069243005"</f>
        <v>1551689069243005</v>
      </c>
      <c r="C3007" t="s">
        <v>40</v>
      </c>
      <c r="D3007">
        <v>4.1847519999999996</v>
      </c>
      <c r="E3007">
        <v>0.55858149999999995</v>
      </c>
      <c r="F3007" t="s">
        <v>46</v>
      </c>
      <c r="G3007">
        <v>-410.45420000000001</v>
      </c>
      <c r="H3007" s="1">
        <v>2.4164459999999999E-6</v>
      </c>
      <c r="I3007">
        <v>213.12780000000001</v>
      </c>
      <c r="J3007">
        <v>-424.31259999999997</v>
      </c>
      <c r="K3007">
        <v>1.1093850000000001</v>
      </c>
      <c r="L3007">
        <v>212.6797</v>
      </c>
      <c r="M3007">
        <v>0.99993600000000005</v>
      </c>
      <c r="N3007">
        <v>-6.9587440000000002E-3</v>
      </c>
      <c r="O3007">
        <v>-8.9328359999999996E-3</v>
      </c>
      <c r="P3007">
        <v>0.92592549999999996</v>
      </c>
      <c r="Q3007">
        <v>0.34980620000000001</v>
      </c>
      <c r="R3007">
        <v>0.14247019999999999</v>
      </c>
      <c r="S3007">
        <v>3.3231809999999999</v>
      </c>
      <c r="T3007">
        <v>-0.259544</v>
      </c>
      <c r="U3007">
        <v>0.104080199999999</v>
      </c>
      <c r="V3007">
        <v>-0.15037829999999999</v>
      </c>
      <c r="W3007">
        <v>0.35638320000000001</v>
      </c>
      <c r="X3007">
        <v>0.92215910000000001</v>
      </c>
      <c r="Y3007">
        <v>-4.0076140000000003E-2</v>
      </c>
      <c r="Z3007">
        <v>2.336332E-3</v>
      </c>
      <c r="AA3007">
        <v>0.99919389999999997</v>
      </c>
      <c r="AB3007">
        <v>36</v>
      </c>
      <c r="AC3007">
        <v>13.8583999999999</v>
      </c>
      <c r="AD3007">
        <v>-1.1093825835539901</v>
      </c>
      <c r="AE3007">
        <v>0.44810000000000999</v>
      </c>
      <c r="AF3007">
        <v>-0.56824230762859396</v>
      </c>
      <c r="AG3007">
        <v>-1.1093825835539901</v>
      </c>
      <c r="AH3007">
        <v>13.765722679176299</v>
      </c>
      <c r="AI3007">
        <v>94.603617859135895</v>
      </c>
      <c r="AJ3007">
        <v>92.363799762066293</v>
      </c>
      <c r="AK3007">
        <v>13.822038558652</v>
      </c>
      <c r="AL3007">
        <v>69.121758915129803</v>
      </c>
      <c r="AM3007">
        <v>99.261811642235202</v>
      </c>
      <c r="AN3007">
        <v>1.00000001203297</v>
      </c>
    </row>
    <row r="3008" spans="1:40" x14ac:dyDescent="0.25">
      <c r="A3008" t="str">
        <f>"20190304164429277"</f>
        <v>20190304164429277</v>
      </c>
      <c r="B3008" t="str">
        <f>"1551689069273261"</f>
        <v>1551689069273261</v>
      </c>
      <c r="C3008" t="s">
        <v>40</v>
      </c>
      <c r="D3008">
        <v>4.1632769999999999</v>
      </c>
      <c r="E3008">
        <v>0.55852729999999995</v>
      </c>
      <c r="F3008" t="s">
        <v>46</v>
      </c>
      <c r="G3008">
        <v>-410.20190000000002</v>
      </c>
      <c r="H3008" s="1">
        <v>2.3738780000000001E-6</v>
      </c>
      <c r="I3008">
        <v>213.10290000000001</v>
      </c>
      <c r="J3008">
        <v>-423.94560000000001</v>
      </c>
      <c r="K3008">
        <v>1.109461</v>
      </c>
      <c r="L3008">
        <v>212.6763</v>
      </c>
      <c r="M3008">
        <v>0.9999344</v>
      </c>
      <c r="N3008">
        <v>-6.963945E-3</v>
      </c>
      <c r="O3008">
        <v>-9.1066500000000009E-3</v>
      </c>
      <c r="P3008">
        <v>0.92583419999999905</v>
      </c>
      <c r="Q3008">
        <v>0.35021809999999998</v>
      </c>
      <c r="R3008">
        <v>0.14205179999999901</v>
      </c>
      <c r="S3008">
        <v>3.3233950000000001</v>
      </c>
      <c r="T3008">
        <v>-0.26128600000000002</v>
      </c>
      <c r="U3008">
        <v>9.9670410000000001E-2</v>
      </c>
      <c r="V3008">
        <v>-0.150196</v>
      </c>
      <c r="W3008">
        <v>0.35676629999999998</v>
      </c>
      <c r="X3008">
        <v>0.92204059999999999</v>
      </c>
      <c r="Y3008">
        <v>-3.8924590000000002E-2</v>
      </c>
      <c r="Z3008">
        <v>2.3146310000000002E-3</v>
      </c>
      <c r="AA3008">
        <v>0.9992394</v>
      </c>
      <c r="AB3008">
        <v>36</v>
      </c>
      <c r="AC3008">
        <v>13.743699999999899</v>
      </c>
      <c r="AD3008">
        <v>-1.1094586261220001</v>
      </c>
      <c r="AE3008">
        <v>0.42660000000000697</v>
      </c>
      <c r="AF3008">
        <v>-0.54817564342352498</v>
      </c>
      <c r="AG3008">
        <v>-1.1094586261220001</v>
      </c>
      <c r="AH3008">
        <v>13.650377912338399</v>
      </c>
      <c r="AI3008">
        <v>94.642876307048297</v>
      </c>
      <c r="AJ3008">
        <v>92.299664044443105</v>
      </c>
      <c r="AK3008">
        <v>13.7063566321899</v>
      </c>
      <c r="AL3008">
        <v>69.098263176427395</v>
      </c>
      <c r="AM3008">
        <v>99.251946342534296</v>
      </c>
      <c r="AN3008">
        <v>0.99999994964002303</v>
      </c>
    </row>
    <row r="3009" spans="1:40" x14ac:dyDescent="0.25">
      <c r="A3009" t="str">
        <f>"20190304164429300"</f>
        <v>20190304164429300</v>
      </c>
      <c r="B3009" t="str">
        <f>"1551689069292781"</f>
        <v>1551689069292781</v>
      </c>
      <c r="C3009" t="s">
        <v>40</v>
      </c>
      <c r="D3009">
        <v>4.1488870000000002</v>
      </c>
      <c r="E3009">
        <v>0.55852969999999902</v>
      </c>
      <c r="F3009" t="s">
        <v>46</v>
      </c>
      <c r="G3009">
        <v>-409.68189999999998</v>
      </c>
      <c r="H3009" s="1">
        <v>4.4227650000000003E-6</v>
      </c>
      <c r="I3009">
        <v>213.0966</v>
      </c>
      <c r="J3009">
        <v>-423.57209999999998</v>
      </c>
      <c r="K3009">
        <v>1.1095269999999999</v>
      </c>
      <c r="L3009">
        <v>212.6728</v>
      </c>
      <c r="M3009">
        <v>0.99993350000000003</v>
      </c>
      <c r="N3009">
        <v>-6.9694369999999898E-3</v>
      </c>
      <c r="O3009">
        <v>-9.2022010000000001E-3</v>
      </c>
      <c r="P3009">
        <v>0.92576809999999998</v>
      </c>
      <c r="Q3009">
        <v>0.35009649999999998</v>
      </c>
      <c r="R3009">
        <v>0.1427794</v>
      </c>
      <c r="S3009">
        <v>3.323029</v>
      </c>
      <c r="T3009">
        <v>-0.25847130000000001</v>
      </c>
      <c r="U3009">
        <v>9.7930909999999996E-2</v>
      </c>
      <c r="V3009">
        <v>-0.15107400000000001</v>
      </c>
      <c r="W3009">
        <v>0.35662329999999998</v>
      </c>
      <c r="X3009">
        <v>0.92195249999999995</v>
      </c>
      <c r="Y3009">
        <v>-3.85051E-2</v>
      </c>
      <c r="Z3009">
        <v>2.279863E-3</v>
      </c>
      <c r="AA3009">
        <v>0.99925580000000003</v>
      </c>
      <c r="AB3009">
        <v>36</v>
      </c>
      <c r="AC3009">
        <v>13.890199999999901</v>
      </c>
      <c r="AD3009">
        <v>-1.1095225772349999</v>
      </c>
      <c r="AE3009">
        <v>0.42380000000000001</v>
      </c>
      <c r="AF3009">
        <v>-0.54811157721772996</v>
      </c>
      <c r="AG3009">
        <v>-1.1095225772349999</v>
      </c>
      <c r="AH3009">
        <v>13.797757029418801</v>
      </c>
      <c r="AI3009">
        <v>94.593840071737304</v>
      </c>
      <c r="AJ3009">
        <v>92.274860786831994</v>
      </c>
      <c r="AK3009">
        <v>13.853142809245499</v>
      </c>
      <c r="AL3009">
        <v>69.107033855321603</v>
      </c>
      <c r="AM3009">
        <v>99.305960711816795</v>
      </c>
      <c r="AN3009">
        <v>0.99999997191756895</v>
      </c>
    </row>
    <row r="3010" spans="1:40" x14ac:dyDescent="0.25">
      <c r="A3010" t="str">
        <f>"20190304164429322"</f>
        <v>20190304164429322</v>
      </c>
      <c r="B3010" t="str">
        <f>"1551689069313277"</f>
        <v>1551689069313277</v>
      </c>
      <c r="C3010" t="s">
        <v>40</v>
      </c>
      <c r="D3010">
        <v>4.1607849999999997</v>
      </c>
      <c r="E3010">
        <v>0.55841149999999995</v>
      </c>
      <c r="F3010" t="s">
        <v>46</v>
      </c>
      <c r="G3010">
        <v>-409.30540000000002</v>
      </c>
      <c r="H3010" s="1">
        <v>4.590258E-6</v>
      </c>
      <c r="I3010">
        <v>213.0941</v>
      </c>
      <c r="J3010">
        <v>-423.2115</v>
      </c>
      <c r="K3010">
        <v>1.1095790000000001</v>
      </c>
      <c r="L3010">
        <v>212.6694</v>
      </c>
      <c r="M3010">
        <v>0.99993290000000001</v>
      </c>
      <c r="N3010">
        <v>-6.9749240000000004E-3</v>
      </c>
      <c r="O3010">
        <v>-9.2413229999999992E-3</v>
      </c>
      <c r="P3010">
        <v>0.92551159999999999</v>
      </c>
      <c r="Q3010">
        <v>0.35026649999999998</v>
      </c>
      <c r="R3010">
        <v>0.144018799999999</v>
      </c>
      <c r="S3010">
        <v>3.3231510000000002</v>
      </c>
      <c r="T3010">
        <v>-0.25844</v>
      </c>
      <c r="U3010">
        <v>9.8129270000000005E-2</v>
      </c>
      <c r="V3010">
        <v>-0.15239229999999901</v>
      </c>
      <c r="W3010">
        <v>0.35677829999999999</v>
      </c>
      <c r="X3010">
        <v>0.92167560000000004</v>
      </c>
      <c r="Y3010">
        <v>-3.8602339999999999E-2</v>
      </c>
      <c r="Z3010">
        <v>2.2864489999999999E-3</v>
      </c>
      <c r="AA3010">
        <v>0.99925200000000003</v>
      </c>
      <c r="AB3010">
        <v>36</v>
      </c>
      <c r="AC3010">
        <v>13.906099999999901</v>
      </c>
      <c r="AD3010">
        <v>-1.1095744097419999</v>
      </c>
      <c r="AE3010">
        <v>0.42470000000000102</v>
      </c>
      <c r="AF3010">
        <v>-0.54969934953400401</v>
      </c>
      <c r="AG3010">
        <v>-1.1095744097419999</v>
      </c>
      <c r="AH3010">
        <v>13.813717896961199</v>
      </c>
      <c r="AI3010">
        <v>94.588755783446004</v>
      </c>
      <c r="AJ3010">
        <v>92.278810379864694</v>
      </c>
      <c r="AK3010">
        <v>13.869106924472799</v>
      </c>
      <c r="AL3010">
        <v>69.097529171164396</v>
      </c>
      <c r="AM3010">
        <v>99.388496955015995</v>
      </c>
      <c r="AN3010">
        <v>1.00000004004276</v>
      </c>
    </row>
    <row r="3011" spans="1:40" x14ac:dyDescent="0.25">
      <c r="A3011" t="str">
        <f>"20190304164429343"</f>
        <v>20190304164429343</v>
      </c>
      <c r="B3011" t="str">
        <f>"1551689069332797"</f>
        <v>1551689069332797</v>
      </c>
      <c r="C3011" t="s">
        <v>40</v>
      </c>
      <c r="D3011">
        <v>4.1673019999999896</v>
      </c>
      <c r="E3011">
        <v>0.55823809999999996</v>
      </c>
      <c r="F3011" t="s">
        <v>46</v>
      </c>
      <c r="G3011">
        <v>-408.94409999999999</v>
      </c>
      <c r="H3011" s="1">
        <v>4.7461820000000003E-6</v>
      </c>
      <c r="I3011">
        <v>213.1148</v>
      </c>
      <c r="J3011">
        <v>-422.86270000000002</v>
      </c>
      <c r="K3011">
        <v>1.1096140000000001</v>
      </c>
      <c r="L3011">
        <v>212.6662</v>
      </c>
      <c r="M3011">
        <v>0.99993310000000002</v>
      </c>
      <c r="N3011">
        <v>-6.9804339999999998E-3</v>
      </c>
      <c r="O3011">
        <v>-9.248282E-3</v>
      </c>
      <c r="P3011">
        <v>0.92522210000000005</v>
      </c>
      <c r="Q3011">
        <v>0.35033560000000002</v>
      </c>
      <c r="R3011">
        <v>0.14570350000000001</v>
      </c>
      <c r="S3011">
        <v>3.3231809999999999</v>
      </c>
      <c r="T3011">
        <v>-0.25844289999999998</v>
      </c>
      <c r="U3011">
        <v>0.10372919999999999</v>
      </c>
      <c r="V3011">
        <v>-0.15411240000000001</v>
      </c>
      <c r="W3011">
        <v>0.35683710000000002</v>
      </c>
      <c r="X3011">
        <v>0.92136669999999998</v>
      </c>
      <c r="Y3011">
        <v>-4.0285729999999999E-2</v>
      </c>
      <c r="Z3011">
        <v>2.3581819999999999E-3</v>
      </c>
      <c r="AA3011">
        <v>0.9991854</v>
      </c>
      <c r="AB3011">
        <v>36</v>
      </c>
      <c r="AC3011">
        <v>13.9186</v>
      </c>
      <c r="AD3011">
        <v>-1.10960925381799</v>
      </c>
      <c r="AE3011">
        <v>0.448599999999998</v>
      </c>
      <c r="AF3011">
        <v>-0.573664920294917</v>
      </c>
      <c r="AG3011">
        <v>-1.10960925381799</v>
      </c>
      <c r="AH3011">
        <v>13.8260755471081</v>
      </c>
      <c r="AI3011">
        <v>94.584500751191499</v>
      </c>
      <c r="AJ3011">
        <v>92.375926309658993</v>
      </c>
      <c r="AK3011">
        <v>13.8823877330695</v>
      </c>
      <c r="AL3011">
        <v>69.093921307285697</v>
      </c>
      <c r="AM3011">
        <v>99.495674338017494</v>
      </c>
      <c r="AN3011">
        <v>0.99999997181952904</v>
      </c>
    </row>
    <row r="3012" spans="1:40" x14ac:dyDescent="0.25">
      <c r="A3012" t="str">
        <f>"20190304164429357"</f>
        <v>20190304164429357</v>
      </c>
      <c r="B3012" t="str">
        <f>"1551689069353294"</f>
        <v>1551689069353294</v>
      </c>
      <c r="C3012" t="s">
        <v>40</v>
      </c>
      <c r="D3012">
        <v>4.1509669999999996</v>
      </c>
      <c r="E3012">
        <v>0.55802850000000004</v>
      </c>
      <c r="F3012" t="s">
        <v>46</v>
      </c>
      <c r="G3012">
        <v>-408.6114</v>
      </c>
      <c r="H3012" s="1">
        <v>4.8866260000000002E-6</v>
      </c>
      <c r="I3012">
        <v>213.14920000000001</v>
      </c>
      <c r="J3012">
        <v>-422.63990000000001</v>
      </c>
      <c r="K3012">
        <v>1.109632</v>
      </c>
      <c r="L3012">
        <v>212.66409999999999</v>
      </c>
      <c r="M3012">
        <v>0.99993310000000002</v>
      </c>
      <c r="N3012">
        <v>-6.9840400000000004E-3</v>
      </c>
      <c r="O3012">
        <v>-9.2444269999999995E-3</v>
      </c>
      <c r="P3012">
        <v>0.92516520000000002</v>
      </c>
      <c r="Q3012">
        <v>0.350051</v>
      </c>
      <c r="R3012">
        <v>0.14674379999999901</v>
      </c>
      <c r="S3012">
        <v>3.3227229999999999</v>
      </c>
      <c r="T3012">
        <v>-0.25870690000000002</v>
      </c>
      <c r="U3012">
        <v>0.11262510000000001</v>
      </c>
      <c r="V3012">
        <v>-0.15516569999999999</v>
      </c>
      <c r="W3012">
        <v>0.35654849999999999</v>
      </c>
      <c r="X3012">
        <v>0.9213017</v>
      </c>
      <c r="Y3012">
        <v>-4.2949170000000002E-2</v>
      </c>
      <c r="Z3012">
        <v>2.4733189999999999E-3</v>
      </c>
      <c r="AA3012">
        <v>0.99907420000000002</v>
      </c>
      <c r="AB3012">
        <v>36</v>
      </c>
      <c r="AC3012">
        <v>14.028499999999999</v>
      </c>
      <c r="AD3012">
        <v>-1.1096271133740001</v>
      </c>
      <c r="AE3012">
        <v>0.48510000000001702</v>
      </c>
      <c r="AF3012">
        <v>-0.61095000364031304</v>
      </c>
      <c r="AG3012">
        <v>-1.1096271133740001</v>
      </c>
      <c r="AH3012">
        <v>13.9363274083038</v>
      </c>
      <c r="AI3012">
        <v>94.548005202600393</v>
      </c>
      <c r="AJ3012">
        <v>92.510163334562904</v>
      </c>
      <c r="AK3012">
        <v>13.993775540186499</v>
      </c>
      <c r="AL3012">
        <v>69.111622293695703</v>
      </c>
      <c r="AM3012">
        <v>99.560041926398299</v>
      </c>
      <c r="AN3012">
        <v>1.0000000248658101</v>
      </c>
    </row>
    <row r="3013" spans="1:40" x14ac:dyDescent="0.25">
      <c r="A3013" t="str">
        <f>"20190304164429378"</f>
        <v>20190304164429378</v>
      </c>
      <c r="B3013" t="str">
        <f>"1551689069372813"</f>
        <v>1551689069372813</v>
      </c>
      <c r="C3013" t="s">
        <v>40</v>
      </c>
      <c r="D3013">
        <v>4.1698680000000001</v>
      </c>
      <c r="E3013">
        <v>0.55780450000000004</v>
      </c>
      <c r="F3013" t="s">
        <v>46</v>
      </c>
      <c r="G3013">
        <v>-408.4828</v>
      </c>
      <c r="H3013" s="1">
        <v>4.9392920000000001E-6</v>
      </c>
      <c r="I3013">
        <v>213.1703</v>
      </c>
      <c r="J3013">
        <v>-422.30349999999999</v>
      </c>
      <c r="K3013">
        <v>1.1096629999999901</v>
      </c>
      <c r="L3013">
        <v>212.6609</v>
      </c>
      <c r="M3013">
        <v>0.99993299999999996</v>
      </c>
      <c r="N3013">
        <v>-6.9896369999999999E-3</v>
      </c>
      <c r="O3013">
        <v>-9.2320760000000005E-3</v>
      </c>
      <c r="P3013">
        <v>0.92490839999999996</v>
      </c>
      <c r="Q3013">
        <v>0.3499159</v>
      </c>
      <c r="R3013">
        <v>0.14867250000000001</v>
      </c>
      <c r="S3013">
        <v>3.322327</v>
      </c>
      <c r="T3013">
        <v>-0.26040269999999999</v>
      </c>
      <c r="U3013">
        <v>0.1187897</v>
      </c>
      <c r="V3013">
        <v>-0.1571012</v>
      </c>
      <c r="W3013">
        <v>0.35640809999999901</v>
      </c>
      <c r="X3013">
        <v>0.92102799999999996</v>
      </c>
      <c r="Y3013">
        <v>-4.4784079999999997E-2</v>
      </c>
      <c r="Z3013">
        <v>2.5665340000000001E-3</v>
      </c>
      <c r="AA3013">
        <v>0.99899340000000003</v>
      </c>
      <c r="AB3013">
        <v>37</v>
      </c>
      <c r="AC3013">
        <v>13.820699999999899</v>
      </c>
      <c r="AD3013">
        <v>-1.10965806070799</v>
      </c>
      <c r="AE3013">
        <v>0.50939999999999896</v>
      </c>
      <c r="AF3013">
        <v>-0.63290074812514896</v>
      </c>
      <c r="AG3013">
        <v>-1.10965806070799</v>
      </c>
      <c r="AH3013">
        <v>13.7270379133441</v>
      </c>
      <c r="AI3013">
        <v>94.616709264772794</v>
      </c>
      <c r="AJ3013">
        <v>92.639817804890598</v>
      </c>
      <c r="AK3013">
        <v>13.786351012616</v>
      </c>
      <c r="AL3013">
        <v>69.120232787807694</v>
      </c>
      <c r="AM3013">
        <v>99.679871491740101</v>
      </c>
      <c r="AN3013">
        <v>1.0000000487855201</v>
      </c>
    </row>
    <row r="3014" spans="1:40" x14ac:dyDescent="0.25">
      <c r="A3014" t="str">
        <f>"20190304164429402"</f>
        <v>20190304164429402</v>
      </c>
      <c r="B3014" t="str">
        <f>"1551689069393311"</f>
        <v>1551689069393311</v>
      </c>
      <c r="C3014" t="s">
        <v>40</v>
      </c>
      <c r="D3014">
        <v>4.178191</v>
      </c>
      <c r="E3014">
        <v>0.55769119999999905</v>
      </c>
      <c r="F3014" t="s">
        <v>46</v>
      </c>
      <c r="G3014">
        <v>-408.2106</v>
      </c>
      <c r="H3014" s="1">
        <v>5.0522149999999999E-6</v>
      </c>
      <c r="I3014">
        <v>213.208</v>
      </c>
      <c r="J3014">
        <v>-421.91329999999999</v>
      </c>
      <c r="K3014">
        <v>1.1096889999999999</v>
      </c>
      <c r="L3014">
        <v>212.65729999999999</v>
      </c>
      <c r="M3014">
        <v>0.99993310000000002</v>
      </c>
      <c r="N3014">
        <v>-6.9963040000000001E-3</v>
      </c>
      <c r="O3014">
        <v>-9.219016E-3</v>
      </c>
      <c r="P3014">
        <v>0.92455949999999998</v>
      </c>
      <c r="Q3014">
        <v>0.35033599999999998</v>
      </c>
      <c r="R3014">
        <v>0.14984919999999999</v>
      </c>
      <c r="S3014">
        <v>3.3217769999999902</v>
      </c>
      <c r="T3014">
        <v>-0.26155230000000002</v>
      </c>
      <c r="U3014">
        <v>0.12893679999999999</v>
      </c>
      <c r="V3014">
        <v>-0.1582829</v>
      </c>
      <c r="W3014">
        <v>0.3568229</v>
      </c>
      <c r="X3014">
        <v>0.92066499999999996</v>
      </c>
      <c r="Y3014">
        <v>-4.7812430000000003E-2</v>
      </c>
      <c r="Z3014">
        <v>2.7064739999999999E-3</v>
      </c>
      <c r="AA3014">
        <v>0.99885270000000004</v>
      </c>
      <c r="AB3014">
        <v>37</v>
      </c>
      <c r="AC3014">
        <v>13.702699999999901</v>
      </c>
      <c r="AD3014">
        <v>-1.109683947785</v>
      </c>
      <c r="AE3014">
        <v>0.55070000000000596</v>
      </c>
      <c r="AF3014">
        <v>-0.67260113322875104</v>
      </c>
      <c r="AG3014">
        <v>-1.109683947785</v>
      </c>
      <c r="AH3014">
        <v>13.6079406013551</v>
      </c>
      <c r="AI3014">
        <v>94.656312353312799</v>
      </c>
      <c r="AJ3014">
        <v>92.8296617870338</v>
      </c>
      <c r="AK3014">
        <v>13.6696685460329</v>
      </c>
      <c r="AL3014">
        <v>69.094793959352899</v>
      </c>
      <c r="AM3014">
        <v>99.755060614655207</v>
      </c>
      <c r="AN3014">
        <v>1.0000000503108999</v>
      </c>
    </row>
    <row r="3015" spans="1:40" x14ac:dyDescent="0.25">
      <c r="A3015" t="str">
        <f>"20190304164429423"</f>
        <v>20190304164429423</v>
      </c>
      <c r="B3015" t="str">
        <f>"1551689069412829"</f>
        <v>1551689069412829</v>
      </c>
      <c r="C3015" t="s">
        <v>40</v>
      </c>
      <c r="D3015">
        <v>4.1583199999999998</v>
      </c>
      <c r="E3015">
        <v>0.55765529999999996</v>
      </c>
      <c r="F3015" t="s">
        <v>46</v>
      </c>
      <c r="G3015">
        <v>-407.79419999999999</v>
      </c>
      <c r="H3015" s="1">
        <v>5.2309269999999999E-6</v>
      </c>
      <c r="I3015">
        <v>213.23679999999999</v>
      </c>
      <c r="J3015">
        <v>-421.54919999999998</v>
      </c>
      <c r="K3015">
        <v>1.109701</v>
      </c>
      <c r="L3015">
        <v>212.65389999999999</v>
      </c>
      <c r="M3015">
        <v>0.99993310000000002</v>
      </c>
      <c r="N3015">
        <v>-7.00266E-3</v>
      </c>
      <c r="O3015">
        <v>-9.2112400000000007E-3</v>
      </c>
      <c r="P3015">
        <v>0.92449709999999996</v>
      </c>
      <c r="Q3015">
        <v>0.35028209999999999</v>
      </c>
      <c r="R3015">
        <v>0.15035809999999999</v>
      </c>
      <c r="S3015">
        <v>3.3216549999999998</v>
      </c>
      <c r="T3015">
        <v>-0.26106239999999997</v>
      </c>
      <c r="U3015">
        <v>0.136322</v>
      </c>
      <c r="V3015">
        <v>-0.15880050000000001</v>
      </c>
      <c r="W3015">
        <v>0.35676720000000001</v>
      </c>
      <c r="X3015">
        <v>0.92059740000000001</v>
      </c>
      <c r="Y3015">
        <v>-5.0016539999999998E-2</v>
      </c>
      <c r="Z3015">
        <v>2.7953209999999999E-3</v>
      </c>
      <c r="AA3015">
        <v>0.99874450000000004</v>
      </c>
      <c r="AB3015">
        <v>37</v>
      </c>
      <c r="AC3015">
        <v>13.7549999999999</v>
      </c>
      <c r="AD3015">
        <v>-1.109695769073</v>
      </c>
      <c r="AE3015">
        <v>0.58289999999999498</v>
      </c>
      <c r="AF3015">
        <v>-0.70499865771211201</v>
      </c>
      <c r="AG3015">
        <v>-1.109695769073</v>
      </c>
      <c r="AH3015">
        <v>13.6602972172681</v>
      </c>
      <c r="AI3015">
        <v>94.638085248252807</v>
      </c>
      <c r="AJ3015">
        <v>92.954375096427</v>
      </c>
      <c r="AK3015">
        <v>13.7234167710296</v>
      </c>
      <c r="AL3015">
        <v>69.098209152844007</v>
      </c>
      <c r="AM3015">
        <v>99.787049454056302</v>
      </c>
      <c r="AN3015">
        <v>1.00000000334142</v>
      </c>
    </row>
    <row r="3016" spans="1:40" x14ac:dyDescent="0.25">
      <c r="A3016" t="str">
        <f>"20190304164429446"</f>
        <v>20190304164429446</v>
      </c>
      <c r="B3016" t="str">
        <f>"1551689069433326"</f>
        <v>1551689069433326</v>
      </c>
      <c r="C3016" t="s">
        <v>40</v>
      </c>
      <c r="D3016">
        <v>4.179824</v>
      </c>
      <c r="E3016">
        <v>0.55756649999999996</v>
      </c>
      <c r="F3016" t="s">
        <v>46</v>
      </c>
      <c r="G3016">
        <v>-407.4572</v>
      </c>
      <c r="H3016" s="1">
        <v>5.3790020000000001E-6</v>
      </c>
      <c r="I3016">
        <v>213.2433</v>
      </c>
      <c r="J3016">
        <v>-421.2002</v>
      </c>
      <c r="K3016">
        <v>1.1097170000000001</v>
      </c>
      <c r="L3016">
        <v>212.6507</v>
      </c>
      <c r="M3016">
        <v>0.99993310000000002</v>
      </c>
      <c r="N3016">
        <v>-7.0088919999999897E-3</v>
      </c>
      <c r="O3016">
        <v>-9.2080249999999999E-3</v>
      </c>
      <c r="P3016">
        <v>0.92436200000000002</v>
      </c>
      <c r="Q3016">
        <v>0.35038659999999999</v>
      </c>
      <c r="R3016">
        <v>0.1509443</v>
      </c>
      <c r="S3016">
        <v>3.3215330000000001</v>
      </c>
      <c r="T3016">
        <v>-0.26155879999999998</v>
      </c>
      <c r="U3016">
        <v>0.13891600000000001</v>
      </c>
      <c r="V3016">
        <v>-0.15939639999999999</v>
      </c>
      <c r="W3016">
        <v>0.35687099999999999</v>
      </c>
      <c r="X3016">
        <v>0.9204542</v>
      </c>
      <c r="Y3016">
        <v>-5.0790149999999999E-2</v>
      </c>
      <c r="Z3016">
        <v>2.8334549999999999E-3</v>
      </c>
      <c r="AA3016">
        <v>0.99870530000000002</v>
      </c>
      <c r="AB3016">
        <v>37</v>
      </c>
      <c r="AC3016">
        <v>13.742999999999901</v>
      </c>
      <c r="AD3016">
        <v>-1.109711620998</v>
      </c>
      <c r="AE3016">
        <v>0.59260000000000401</v>
      </c>
      <c r="AF3016">
        <v>-0.71447403635971796</v>
      </c>
      <c r="AG3016">
        <v>-1.109711620998</v>
      </c>
      <c r="AH3016">
        <v>13.6481378613276</v>
      </c>
      <c r="AI3016">
        <v>94.642088009544295</v>
      </c>
      <c r="AJ3016">
        <v>92.996673509957503</v>
      </c>
      <c r="AK3016">
        <v>13.711805136896199</v>
      </c>
      <c r="AL3016">
        <v>69.091843328209805</v>
      </c>
      <c r="AM3016">
        <v>99.824559724793403</v>
      </c>
      <c r="AN3016">
        <v>1.00000002863579</v>
      </c>
    </row>
    <row r="3017" spans="1:40" x14ac:dyDescent="0.25">
      <c r="A3017" t="str">
        <f>"20190304164429479"</f>
        <v>20190304164429479</v>
      </c>
      <c r="B3017" t="str">
        <f>"1551689069473342"</f>
        <v>1551689069473342</v>
      </c>
      <c r="C3017" t="s">
        <v>40</v>
      </c>
      <c r="D3017">
        <v>4.2201180000000003</v>
      </c>
      <c r="E3017">
        <v>0.55738999999999905</v>
      </c>
      <c r="F3017" t="s">
        <v>46</v>
      </c>
      <c r="G3017">
        <v>-407.11619999999999</v>
      </c>
      <c r="H3017" s="1">
        <v>5.5284189999999998E-6</v>
      </c>
      <c r="I3017">
        <v>213.25210000000001</v>
      </c>
      <c r="J3017">
        <v>-420.64030000000002</v>
      </c>
      <c r="K3017">
        <v>1.1097300000000001</v>
      </c>
      <c r="L3017">
        <v>212.6455</v>
      </c>
      <c r="M3017">
        <v>0.99993290000000001</v>
      </c>
      <c r="N3017">
        <v>-7.0191419999999999E-3</v>
      </c>
      <c r="O3017">
        <v>-9.2082520000000001E-3</v>
      </c>
      <c r="P3017">
        <v>0.92432800000000004</v>
      </c>
      <c r="Q3017">
        <v>0.3506688</v>
      </c>
      <c r="R3017">
        <v>0.15049670000000001</v>
      </c>
      <c r="S3017">
        <v>3.3215029999999999</v>
      </c>
      <c r="T3017">
        <v>-0.26170959999999999</v>
      </c>
      <c r="U3017">
        <v>0.1418304</v>
      </c>
      <c r="V3017">
        <v>-0.15896540000000001</v>
      </c>
      <c r="W3017">
        <v>0.35715429999999998</v>
      </c>
      <c r="X3017">
        <v>0.92041879999999998</v>
      </c>
      <c r="Y3017">
        <v>-5.1662310000000003E-2</v>
      </c>
      <c r="Z3017">
        <v>2.8725399999999998E-3</v>
      </c>
      <c r="AA3017">
        <v>0.99866049999999995</v>
      </c>
      <c r="AB3017">
        <v>37</v>
      </c>
      <c r="AC3017">
        <v>13.524100000000001</v>
      </c>
      <c r="AD3017">
        <v>-1.109724471581</v>
      </c>
      <c r="AE3017">
        <v>0.60660000000001402</v>
      </c>
      <c r="AF3017">
        <v>-0.72623072814473699</v>
      </c>
      <c r="AG3017">
        <v>-1.109724471581</v>
      </c>
      <c r="AH3017">
        <v>13.427712430012701</v>
      </c>
      <c r="AI3017">
        <v>94.717571941862502</v>
      </c>
      <c r="AJ3017">
        <v>93.095795761143506</v>
      </c>
      <c r="AK3017">
        <v>13.4930486020189</v>
      </c>
      <c r="AL3017">
        <v>69.074465211202494</v>
      </c>
      <c r="AM3017">
        <v>99.798879767014697</v>
      </c>
      <c r="AN3017">
        <v>0.99999997989954403</v>
      </c>
    </row>
    <row r="3018" spans="1:40" x14ac:dyDescent="0.25">
      <c r="A3018" t="str">
        <f>"20190304164429501"</f>
        <v>20190304164429501</v>
      </c>
      <c r="B3018" t="str">
        <f>"1551689069492862"</f>
        <v>1551689069492862</v>
      </c>
      <c r="C3018" t="s">
        <v>40</v>
      </c>
      <c r="D3018">
        <v>4.2336119999999999</v>
      </c>
      <c r="E3018">
        <v>0.55734600000000001</v>
      </c>
      <c r="F3018" t="s">
        <v>46</v>
      </c>
      <c r="G3018">
        <v>-406.30880000000002</v>
      </c>
      <c r="H3018" s="1">
        <v>5.8884929999999996E-6</v>
      </c>
      <c r="I3018">
        <v>213.2422</v>
      </c>
      <c r="J3018">
        <v>-420.26080000000002</v>
      </c>
      <c r="K3018">
        <v>1.109737</v>
      </c>
      <c r="L3018">
        <v>212.642</v>
      </c>
      <c r="M3018">
        <v>0.99993290000000001</v>
      </c>
      <c r="N3018">
        <v>-7.0262290000000002E-3</v>
      </c>
      <c r="O3018">
        <v>-9.2098700000000002E-3</v>
      </c>
      <c r="P3018">
        <v>0.92454579999999997</v>
      </c>
      <c r="Q3018">
        <v>0.35034670000000001</v>
      </c>
      <c r="R3018">
        <v>0.1499074</v>
      </c>
      <c r="S3018">
        <v>3.3206180000000001</v>
      </c>
      <c r="T3018">
        <v>-0.2571232</v>
      </c>
      <c r="U3018">
        <v>0.13827509999999901</v>
      </c>
      <c r="V3018">
        <v>-0.15838679999999999</v>
      </c>
      <c r="W3018">
        <v>0.35683710000000002</v>
      </c>
      <c r="X3018">
        <v>0.9206415</v>
      </c>
      <c r="Y3018">
        <v>-5.0617879999999997E-2</v>
      </c>
      <c r="Z3018">
        <v>2.781356E-3</v>
      </c>
      <c r="AA3018">
        <v>0.9987142</v>
      </c>
      <c r="AB3018">
        <v>37</v>
      </c>
      <c r="AC3018">
        <v>13.9519999999999</v>
      </c>
      <c r="AD3018">
        <v>-1.1097311115070001</v>
      </c>
      <c r="AE3018">
        <v>0.60020000000000095</v>
      </c>
      <c r="AF3018">
        <v>-0.72410126691576604</v>
      </c>
      <c r="AG3018">
        <v>-1.1097311115070001</v>
      </c>
      <c r="AH3018">
        <v>13.858367519665</v>
      </c>
      <c r="AI3018">
        <v>94.5720725341573</v>
      </c>
      <c r="AJ3018">
        <v>92.990991048612401</v>
      </c>
      <c r="AK3018">
        <v>13.9215723283939</v>
      </c>
      <c r="AL3018">
        <v>69.093920456286796</v>
      </c>
      <c r="AM3018">
        <v>99.761585249007595</v>
      </c>
      <c r="AN3018">
        <v>0.99999993293644696</v>
      </c>
    </row>
    <row r="3019" spans="1:40" x14ac:dyDescent="0.25">
      <c r="A3019" t="str">
        <f>"20190304164429523"</f>
        <v>20190304164429523</v>
      </c>
      <c r="B3019" t="str">
        <f>"1551689069513357"</f>
        <v>1551689069513357</v>
      </c>
      <c r="C3019" t="s">
        <v>40</v>
      </c>
      <c r="D3019">
        <v>4.2621260000000003</v>
      </c>
      <c r="E3019">
        <v>0.55729680000000004</v>
      </c>
      <c r="F3019" t="s">
        <v>46</v>
      </c>
      <c r="G3019">
        <v>-405.94159999999999</v>
      </c>
      <c r="H3019" s="1">
        <v>6.055235E-6</v>
      </c>
      <c r="I3019">
        <v>213.2234</v>
      </c>
      <c r="J3019">
        <v>-419.90129999999999</v>
      </c>
      <c r="K3019">
        <v>1.109734</v>
      </c>
      <c r="L3019">
        <v>212.6386</v>
      </c>
      <c r="M3019">
        <v>0.99993290000000001</v>
      </c>
      <c r="N3019">
        <v>-7.0330459999999899E-3</v>
      </c>
      <c r="O3019">
        <v>-9.2106810000000001E-3</v>
      </c>
      <c r="P3019">
        <v>0.9247919</v>
      </c>
      <c r="Q3019">
        <v>0.349780599999999</v>
      </c>
      <c r="R3019">
        <v>0.14971099999999901</v>
      </c>
      <c r="S3019">
        <v>3.3204959999999999</v>
      </c>
      <c r="T3019">
        <v>-0.25733689999999998</v>
      </c>
      <c r="U3019">
        <v>0.13482669999999999</v>
      </c>
      <c r="V3019">
        <v>-0.1581987</v>
      </c>
      <c r="W3019">
        <v>0.35627720000000002</v>
      </c>
      <c r="X3019">
        <v>0.92089069999999995</v>
      </c>
      <c r="Y3019">
        <v>-4.9587770000000003E-2</v>
      </c>
      <c r="Z3019">
        <v>2.7404119999999998E-3</v>
      </c>
      <c r="AA3019">
        <v>0.99876600000000004</v>
      </c>
      <c r="AB3019">
        <v>37</v>
      </c>
      <c r="AC3019">
        <v>13.9596999999999</v>
      </c>
      <c r="AD3019">
        <v>-1.1097279447649999</v>
      </c>
      <c r="AE3019">
        <v>0.58480000000000099</v>
      </c>
      <c r="AF3019">
        <v>-0.70888477856258103</v>
      </c>
      <c r="AG3019">
        <v>-1.1097279447649999</v>
      </c>
      <c r="AH3019">
        <v>13.8662474049996</v>
      </c>
      <c r="AI3019">
        <v>94.569736712765803</v>
      </c>
      <c r="AJ3019">
        <v>92.926586832410194</v>
      </c>
      <c r="AK3019">
        <v>13.928633487795199</v>
      </c>
      <c r="AL3019">
        <v>69.128258154541996</v>
      </c>
      <c r="AM3019">
        <v>99.747627189433402</v>
      </c>
      <c r="AN3019">
        <v>0.99999997663400897</v>
      </c>
    </row>
    <row r="3020" spans="1:40" x14ac:dyDescent="0.25">
      <c r="A3020" t="str">
        <f>"20190304164429544"</f>
        <v>20190304164429544</v>
      </c>
      <c r="B3020" t="str">
        <f>"1551689069532877"</f>
        <v>1551689069532877</v>
      </c>
      <c r="C3020" t="s">
        <v>40</v>
      </c>
      <c r="D3020">
        <v>4.2864639999999996</v>
      </c>
      <c r="E3020">
        <v>0.55727439999999995</v>
      </c>
      <c r="F3020" t="s">
        <v>46</v>
      </c>
      <c r="G3020">
        <v>-405.73680000000002</v>
      </c>
      <c r="H3020" s="1">
        <v>6.1485090000000001E-6</v>
      </c>
      <c r="I3020">
        <v>213.2115</v>
      </c>
      <c r="J3020">
        <v>-419.54239999999999</v>
      </c>
      <c r="K3020">
        <v>1.1097330000000001</v>
      </c>
      <c r="L3020">
        <v>212.6353</v>
      </c>
      <c r="M3020">
        <v>0.99993290000000001</v>
      </c>
      <c r="N3020">
        <v>-7.0399570000000003E-3</v>
      </c>
      <c r="O3020">
        <v>-9.2104289999999991E-3</v>
      </c>
      <c r="P3020">
        <v>0.9246432</v>
      </c>
      <c r="Q3020">
        <v>0.3500046</v>
      </c>
      <c r="R3020">
        <v>0.1501063</v>
      </c>
      <c r="S3020">
        <v>3.3205870000000002</v>
      </c>
      <c r="T3020">
        <v>-0.26015389999999999</v>
      </c>
      <c r="U3020">
        <v>0.13429260000000001</v>
      </c>
      <c r="V3020">
        <v>-0.15859589999999901</v>
      </c>
      <c r="W3020">
        <v>0.3565044</v>
      </c>
      <c r="X3020">
        <v>0.92073450000000001</v>
      </c>
      <c r="Y3020">
        <v>-4.9422599999999997E-2</v>
      </c>
      <c r="Z3020">
        <v>2.7621109999999998E-3</v>
      </c>
      <c r="AA3020">
        <v>0.9987741</v>
      </c>
      <c r="AB3020">
        <v>37</v>
      </c>
      <c r="AC3020">
        <v>13.805599999999901</v>
      </c>
      <c r="AD3020">
        <v>-1.1097268514909999</v>
      </c>
      <c r="AE3020">
        <v>0.57620000000000005</v>
      </c>
      <c r="AF3020">
        <v>-0.69882670040043504</v>
      </c>
      <c r="AG3020">
        <v>-1.1097268514909999</v>
      </c>
      <c r="AH3020">
        <v>13.7112682895603</v>
      </c>
      <c r="AI3020">
        <v>94.621198138358494</v>
      </c>
      <c r="AJ3020">
        <v>92.917688107048306</v>
      </c>
      <c r="AK3020">
        <v>13.773842258078</v>
      </c>
      <c r="AL3020">
        <v>69.114326941036495</v>
      </c>
      <c r="AM3020">
        <v>99.773255721643295</v>
      </c>
      <c r="AN3020">
        <v>1.0000000331032</v>
      </c>
    </row>
    <row r="3021" spans="1:40" x14ac:dyDescent="0.25">
      <c r="A3021" t="str">
        <f>"20190304164429568"</f>
        <v>20190304164429568</v>
      </c>
      <c r="B3021" t="str">
        <f>"1551689069563134"</f>
        <v>1551689069563134</v>
      </c>
      <c r="C3021" t="s">
        <v>40</v>
      </c>
      <c r="D3021">
        <v>4.3223719999999997</v>
      </c>
      <c r="E3021">
        <v>0.55721189999999998</v>
      </c>
      <c r="F3021" t="s">
        <v>46</v>
      </c>
      <c r="G3021">
        <v>-405.3852</v>
      </c>
      <c r="H3021" s="1">
        <v>6.303391E-6</v>
      </c>
      <c r="I3021">
        <v>213.2165</v>
      </c>
      <c r="J3021">
        <v>-419.1499</v>
      </c>
      <c r="K3021">
        <v>1.1097379999999999</v>
      </c>
      <c r="L3021">
        <v>212.6317</v>
      </c>
      <c r="M3021">
        <v>0.99993279999999995</v>
      </c>
      <c r="N3021">
        <v>-7.0474810000000004E-3</v>
      </c>
      <c r="O3021">
        <v>-9.2015789999999997E-3</v>
      </c>
      <c r="P3021">
        <v>0.92455860000000001</v>
      </c>
      <c r="Q3021">
        <v>0.35007460000000001</v>
      </c>
      <c r="R3021">
        <v>0.15046279999999901</v>
      </c>
      <c r="S3021">
        <v>3.3208920000000002</v>
      </c>
      <c r="T3021">
        <v>-0.26031110000000002</v>
      </c>
      <c r="U3021">
        <v>0.136322</v>
      </c>
      <c r="V3021">
        <v>-0.15894929999999999</v>
      </c>
      <c r="W3021">
        <v>0.35657830000000001</v>
      </c>
      <c r="X3021">
        <v>0.92064489999999999</v>
      </c>
      <c r="Y3021">
        <v>-5.0017249999999999E-2</v>
      </c>
      <c r="Z3021">
        <v>2.7882850000000002E-3</v>
      </c>
      <c r="AA3021">
        <v>0.99874450000000004</v>
      </c>
      <c r="AB3021">
        <v>37</v>
      </c>
      <c r="AC3021">
        <v>13.764699999999999</v>
      </c>
      <c r="AD3021">
        <v>-1.1097316966089901</v>
      </c>
      <c r="AE3021">
        <v>0.58480000000000099</v>
      </c>
      <c r="AF3021">
        <v>-0.70684923774118902</v>
      </c>
      <c r="AG3021">
        <v>-1.1097316966089901</v>
      </c>
      <c r="AH3021">
        <v>13.6700430570083</v>
      </c>
      <c r="AI3021">
        <v>94.634918974444702</v>
      </c>
      <c r="AJ3021">
        <v>92.960008327635904</v>
      </c>
      <c r="AK3021">
        <v>13.7332158456719</v>
      </c>
      <c r="AL3021">
        <v>69.109794169010797</v>
      </c>
      <c r="AM3021">
        <v>99.795546938259406</v>
      </c>
      <c r="AN3021">
        <v>0.99999999794869499</v>
      </c>
    </row>
    <row r="3022" spans="1:40" x14ac:dyDescent="0.25">
      <c r="A3022" t="str">
        <f>"20190304164429591"</f>
        <v>20190304164429591</v>
      </c>
      <c r="B3022" t="str">
        <f>"1551689069582654"</f>
        <v>1551689069582654</v>
      </c>
      <c r="C3022" t="s">
        <v>40</v>
      </c>
      <c r="D3022">
        <v>4.2954670000000004</v>
      </c>
      <c r="E3022">
        <v>0.55716359999999998</v>
      </c>
      <c r="F3022" t="s">
        <v>46</v>
      </c>
      <c r="G3022">
        <v>-405.08069999999998</v>
      </c>
      <c r="H3022" s="1">
        <v>6.4366539999999997E-6</v>
      </c>
      <c r="I3022">
        <v>213.2251</v>
      </c>
      <c r="J3022">
        <v>-418.7586</v>
      </c>
      <c r="K3022">
        <v>1.1097459999999999</v>
      </c>
      <c r="L3022">
        <v>212.62809999999999</v>
      </c>
      <c r="M3022">
        <v>0.99993310000000002</v>
      </c>
      <c r="N3022">
        <v>-7.0551269999999996E-3</v>
      </c>
      <c r="O3022">
        <v>-9.1721690000000008E-3</v>
      </c>
      <c r="P3022">
        <v>0.92457990000000001</v>
      </c>
      <c r="Q3022">
        <v>0.349829</v>
      </c>
      <c r="R3022">
        <v>0.15090399999999901</v>
      </c>
      <c r="S3022">
        <v>3.321167</v>
      </c>
      <c r="T3022">
        <v>-0.26196239999999998</v>
      </c>
      <c r="U3022">
        <v>0.1400604</v>
      </c>
      <c r="V3022">
        <v>-0.15937470000000001</v>
      </c>
      <c r="W3022">
        <v>0.35633500000000001</v>
      </c>
      <c r="X3022">
        <v>0.92066559999999997</v>
      </c>
      <c r="Y3022">
        <v>-5.1100819999999998E-2</v>
      </c>
      <c r="Z3022">
        <v>2.84943E-3</v>
      </c>
      <c r="AA3022">
        <v>0.99868939999999995</v>
      </c>
      <c r="AB3022">
        <v>37</v>
      </c>
      <c r="AC3022">
        <v>13.677899999999999</v>
      </c>
      <c r="AD3022">
        <v>-1.1097395633460001</v>
      </c>
      <c r="AE3022">
        <v>0.59700000000000797</v>
      </c>
      <c r="AF3022">
        <v>-0.71771847817438095</v>
      </c>
      <c r="AG3022">
        <v>-1.1097395633460001</v>
      </c>
      <c r="AH3022">
        <v>13.5826086160804</v>
      </c>
      <c r="AI3022">
        <v>94.664382394767699</v>
      </c>
      <c r="AJ3022">
        <v>93.024752564175301</v>
      </c>
      <c r="AK3022">
        <v>13.6467541389882</v>
      </c>
      <c r="AL3022">
        <v>69.124715164440104</v>
      </c>
      <c r="AM3022">
        <v>99.821036628601703</v>
      </c>
      <c r="AN3022">
        <v>1.0000000371242199</v>
      </c>
    </row>
    <row r="3023" spans="1:40" x14ac:dyDescent="0.25">
      <c r="A3023" t="str">
        <f>"20190304164429613"</f>
        <v>20190304164429613</v>
      </c>
      <c r="B3023" t="str">
        <f>"1551689069603149"</f>
        <v>1551689069603149</v>
      </c>
      <c r="C3023" t="s">
        <v>40</v>
      </c>
      <c r="D3023">
        <v>4.2962239999999996</v>
      </c>
      <c r="E3023">
        <v>0.55715669999999995</v>
      </c>
      <c r="F3023" t="s">
        <v>46</v>
      </c>
      <c r="G3023">
        <v>-404.78960000000001</v>
      </c>
      <c r="H3023" s="1">
        <v>6.5651839999999998E-6</v>
      </c>
      <c r="I3023">
        <v>213.2277</v>
      </c>
      <c r="J3023">
        <v>-418.37799999999999</v>
      </c>
      <c r="K3023">
        <v>1.1097779999999999</v>
      </c>
      <c r="L3023">
        <v>212.62469999999999</v>
      </c>
      <c r="M3023">
        <v>0.99993370000000004</v>
      </c>
      <c r="N3023">
        <v>-7.0626939999999996E-3</v>
      </c>
      <c r="O3023">
        <v>-9.1060619999999998E-3</v>
      </c>
      <c r="P3023">
        <v>0.924404</v>
      </c>
      <c r="Q3023">
        <v>0.35018110000000002</v>
      </c>
      <c r="R3023">
        <v>0.1511632</v>
      </c>
      <c r="S3023">
        <v>3.3213200000000001</v>
      </c>
      <c r="T3023">
        <v>-0.26385619999999999</v>
      </c>
      <c r="U3023">
        <v>0.1425476</v>
      </c>
      <c r="V3023">
        <v>-0.1595926</v>
      </c>
      <c r="W3023">
        <v>0.35668339999999998</v>
      </c>
      <c r="X3023">
        <v>0.92049289999999995</v>
      </c>
      <c r="Y3023">
        <v>-5.1774489999999999E-2</v>
      </c>
      <c r="Z3023">
        <v>2.8934059999999998E-3</v>
      </c>
      <c r="AA3023">
        <v>0.99865459999999995</v>
      </c>
      <c r="AB3023">
        <v>38</v>
      </c>
      <c r="AC3023">
        <v>13.5884</v>
      </c>
      <c r="AD3023">
        <v>-1.1097714348159999</v>
      </c>
      <c r="AE3023">
        <v>0.60300000000000797</v>
      </c>
      <c r="AF3023">
        <v>-0.72190916250862203</v>
      </c>
      <c r="AG3023">
        <v>-1.1097714348159999</v>
      </c>
      <c r="AH3023">
        <v>13.4925262619752</v>
      </c>
      <c r="AI3023">
        <v>94.695355017062795</v>
      </c>
      <c r="AJ3023">
        <v>93.062654500569494</v>
      </c>
      <c r="AK3023">
        <v>13.557323128351699</v>
      </c>
      <c r="AL3023">
        <v>69.103348869293399</v>
      </c>
      <c r="AM3023">
        <v>99.836011164052394</v>
      </c>
      <c r="AN3023">
        <v>1.0000000123803601</v>
      </c>
    </row>
    <row r="3024" spans="1:40" x14ac:dyDescent="0.25">
      <c r="A3024" t="str">
        <f>"20190304164429634"</f>
        <v>20190304164429634</v>
      </c>
      <c r="B3024" t="str">
        <f>"1551689069622670"</f>
        <v>1551689069622670</v>
      </c>
      <c r="C3024" t="s">
        <v>40</v>
      </c>
      <c r="D3024">
        <v>4.3208820000000001</v>
      </c>
      <c r="E3024">
        <v>0.55712729999999999</v>
      </c>
      <c r="F3024" t="s">
        <v>46</v>
      </c>
      <c r="G3024">
        <v>-404.35610000000003</v>
      </c>
      <c r="H3024" s="1">
        <v>6.7569310000000003E-6</v>
      </c>
      <c r="I3024">
        <v>213.23009999999999</v>
      </c>
      <c r="J3024">
        <v>-418.02760000000001</v>
      </c>
      <c r="K3024">
        <v>1.1098129999999999</v>
      </c>
      <c r="L3024">
        <v>212.6216</v>
      </c>
      <c r="M3024">
        <v>0.99993469999999995</v>
      </c>
      <c r="N3024">
        <v>-7.069774E-3</v>
      </c>
      <c r="O3024">
        <v>-8.9902519999999903E-3</v>
      </c>
      <c r="P3024">
        <v>0.9244696</v>
      </c>
      <c r="Q3024">
        <v>0.35037259999999998</v>
      </c>
      <c r="R3024">
        <v>0.15031710000000001</v>
      </c>
      <c r="S3024">
        <v>3.321472</v>
      </c>
      <c r="T3024">
        <v>-0.26288060000000002</v>
      </c>
      <c r="U3024">
        <v>0.1434174</v>
      </c>
      <c r="V3024">
        <v>-0.15867329999999999</v>
      </c>
      <c r="W3024">
        <v>0.3568674</v>
      </c>
      <c r="X3024">
        <v>0.92058050000000002</v>
      </c>
      <c r="Y3024">
        <v>-5.1919140000000003E-2</v>
      </c>
      <c r="Z3024">
        <v>2.8810509999999999E-3</v>
      </c>
      <c r="AA3024">
        <v>0.99864719999999996</v>
      </c>
      <c r="AB3024">
        <v>38</v>
      </c>
      <c r="AC3024">
        <v>13.671499999999901</v>
      </c>
      <c r="AD3024">
        <v>-1.1098062430690001</v>
      </c>
      <c r="AE3024">
        <v>0.60849999999999205</v>
      </c>
      <c r="AF3024">
        <v>-0.72661006090150904</v>
      </c>
      <c r="AG3024">
        <v>-1.1098062430690001</v>
      </c>
      <c r="AH3024">
        <v>13.576191359714599</v>
      </c>
      <c r="AI3024">
        <v>94.666689073405195</v>
      </c>
      <c r="AJ3024">
        <v>93.0635990440868</v>
      </c>
      <c r="AK3024">
        <v>13.6408432258914</v>
      </c>
      <c r="AL3024">
        <v>69.092063661642896</v>
      </c>
      <c r="AM3024">
        <v>99.779537470061697</v>
      </c>
      <c r="AN3024">
        <v>1.00000000714795</v>
      </c>
    </row>
    <row r="3025" spans="1:40" x14ac:dyDescent="0.25">
      <c r="A3025" t="str">
        <f>"20190304164429656"</f>
        <v>20190304164429656</v>
      </c>
      <c r="B3025" t="str">
        <f>"1551689069652925"</f>
        <v>1551689069652925</v>
      </c>
      <c r="C3025" t="s">
        <v>40</v>
      </c>
      <c r="D3025">
        <v>4.3360589999999997</v>
      </c>
      <c r="E3025">
        <v>0.55708659999999999</v>
      </c>
      <c r="F3025" t="s">
        <v>46</v>
      </c>
      <c r="G3025">
        <v>-404.0093</v>
      </c>
      <c r="H3025" s="1">
        <v>6.9134060000000003E-6</v>
      </c>
      <c r="I3025">
        <v>213.21709999999999</v>
      </c>
      <c r="J3025">
        <v>-417.65890000000002</v>
      </c>
      <c r="K3025">
        <v>1.1098589999999999</v>
      </c>
      <c r="L3025">
        <v>212.61840000000001</v>
      </c>
      <c r="M3025">
        <v>0.9999363</v>
      </c>
      <c r="N3025">
        <v>-7.0773559999999999E-3</v>
      </c>
      <c r="O3025">
        <v>-8.7934780000000004E-3</v>
      </c>
      <c r="P3025">
        <v>0.92487019999999998</v>
      </c>
      <c r="Q3025">
        <v>0.34989769999999998</v>
      </c>
      <c r="R3025">
        <v>0.1489531</v>
      </c>
      <c r="S3025">
        <v>3.3218380000000001</v>
      </c>
      <c r="T3025">
        <v>-0.26298589999999999</v>
      </c>
      <c r="U3025">
        <v>0.141113299999999</v>
      </c>
      <c r="V3025">
        <v>-0.15717929999999999</v>
      </c>
      <c r="W3025">
        <v>0.3563809</v>
      </c>
      <c r="X3025">
        <v>0.92102510000000004</v>
      </c>
      <c r="Y3025">
        <v>-5.1029850000000002E-2</v>
      </c>
      <c r="Z3025">
        <v>2.8295730000000002E-3</v>
      </c>
      <c r="AA3025">
        <v>0.9986931</v>
      </c>
      <c r="AB3025">
        <v>38</v>
      </c>
      <c r="AC3025">
        <v>13.6496</v>
      </c>
      <c r="AD3025">
        <v>-1.109852086594</v>
      </c>
      <c r="AE3025">
        <v>0.59869999999997903</v>
      </c>
      <c r="AF3025">
        <v>-0.713995898599598</v>
      </c>
      <c r="AG3025">
        <v>-1.109852086594</v>
      </c>
      <c r="AH3025">
        <v>13.554366814338399</v>
      </c>
      <c r="AI3025">
        <v>94.674570177999897</v>
      </c>
      <c r="AJ3025">
        <v>93.015351203522698</v>
      </c>
      <c r="AK3025">
        <v>13.6184588531512</v>
      </c>
      <c r="AL3025">
        <v>69.121898743199495</v>
      </c>
      <c r="AM3025">
        <v>99.6846224664978</v>
      </c>
      <c r="AN3025">
        <v>0.99999995653165397</v>
      </c>
    </row>
    <row r="3026" spans="1:40" x14ac:dyDescent="0.25">
      <c r="A3026" t="str">
        <f>"20190304164429680"</f>
        <v>20190304164429680</v>
      </c>
      <c r="B3026" t="str">
        <f>"1551689069673423"</f>
        <v>1551689069673423</v>
      </c>
      <c r="C3026" t="s">
        <v>40</v>
      </c>
      <c r="D3026">
        <v>4.2528610000000002</v>
      </c>
      <c r="E3026">
        <v>0.55701859999999903</v>
      </c>
      <c r="F3026" t="s">
        <v>46</v>
      </c>
      <c r="G3026">
        <v>-403.79480000000001</v>
      </c>
      <c r="H3026" s="1">
        <v>7.0143139999999999E-6</v>
      </c>
      <c r="I3026">
        <v>213.1891</v>
      </c>
      <c r="J3026">
        <v>-417.25639999999999</v>
      </c>
      <c r="K3026">
        <v>1.109931</v>
      </c>
      <c r="L3026">
        <v>212.61510000000001</v>
      </c>
      <c r="M3026">
        <v>0.99993880000000002</v>
      </c>
      <c r="N3026">
        <v>-7.0857979999999999E-3</v>
      </c>
      <c r="O3026">
        <v>-8.4976740000000002E-3</v>
      </c>
      <c r="P3026">
        <v>0.92531390000000002</v>
      </c>
      <c r="Q3026">
        <v>0.34913480000000002</v>
      </c>
      <c r="R3026">
        <v>0.14798430000000001</v>
      </c>
      <c r="S3026">
        <v>3.3222960000000001</v>
      </c>
      <c r="T3026">
        <v>-0.26595829999999998</v>
      </c>
      <c r="U3026">
        <v>0.13674929999999999</v>
      </c>
      <c r="V3026">
        <v>-0.15599969999999999</v>
      </c>
      <c r="W3026">
        <v>0.3556047</v>
      </c>
      <c r="X3026">
        <v>0.92152559999999994</v>
      </c>
      <c r="Y3026">
        <v>-4.9421020000000003E-2</v>
      </c>
      <c r="Z3026">
        <v>2.768436E-3</v>
      </c>
      <c r="AA3026">
        <v>0.99877419999999995</v>
      </c>
      <c r="AB3026">
        <v>38</v>
      </c>
      <c r="AC3026">
        <v>13.461599999999899</v>
      </c>
      <c r="AD3026">
        <v>-1.1099239856859999</v>
      </c>
      <c r="AE3026">
        <v>0.57399999999998297</v>
      </c>
      <c r="AF3026">
        <v>-0.68373471229766103</v>
      </c>
      <c r="AG3026">
        <v>-1.1099239856859999</v>
      </c>
      <c r="AH3026">
        <v>13.3655396072651</v>
      </c>
      <c r="AI3026">
        <v>94.740990307031495</v>
      </c>
      <c r="AJ3026">
        <v>92.928500785465303</v>
      </c>
      <c r="AK3026">
        <v>13.4289639735973</v>
      </c>
      <c r="AL3026">
        <v>69.169490850437398</v>
      </c>
      <c r="AM3026">
        <v>99.608178803895399</v>
      </c>
      <c r="AN3026">
        <v>1.00000002025876</v>
      </c>
    </row>
    <row r="3027" spans="1:40" x14ac:dyDescent="0.25">
      <c r="A3027" t="str">
        <f>"20190304164429702"</f>
        <v>20190304164429702</v>
      </c>
      <c r="B3027" t="str">
        <f>"1551689069692941"</f>
        <v>1551689069692941</v>
      </c>
      <c r="C3027" t="s">
        <v>40</v>
      </c>
      <c r="D3027">
        <v>4.2906459999999997</v>
      </c>
      <c r="E3027">
        <v>0.55697269999999999</v>
      </c>
      <c r="F3027" t="s">
        <v>46</v>
      </c>
      <c r="G3027">
        <v>-403.55110000000002</v>
      </c>
      <c r="H3027" s="1">
        <v>7.1272129999999999E-6</v>
      </c>
      <c r="I3027">
        <v>213.16589999999999</v>
      </c>
      <c r="J3027">
        <v>-416.87450000000001</v>
      </c>
      <c r="K3027">
        <v>1.109998</v>
      </c>
      <c r="L3027">
        <v>212.6122</v>
      </c>
      <c r="M3027">
        <v>0.99994190000000005</v>
      </c>
      <c r="N3027">
        <v>-7.0939030000000004E-3</v>
      </c>
      <c r="O3027">
        <v>-8.1277119999999901E-3</v>
      </c>
      <c r="P3027">
        <v>0.92580969999999996</v>
      </c>
      <c r="Q3027">
        <v>0.34840510000000002</v>
      </c>
      <c r="R3027">
        <v>0.146595899999999</v>
      </c>
      <c r="S3027">
        <v>3.3223569999999998</v>
      </c>
      <c r="T3027">
        <v>-0.26906059999999998</v>
      </c>
      <c r="U3027">
        <v>0.13351440000000001</v>
      </c>
      <c r="V3027">
        <v>-0.1543342</v>
      </c>
      <c r="W3027">
        <v>0.35486079999999998</v>
      </c>
      <c r="X3027">
        <v>0.92209260000000004</v>
      </c>
      <c r="Y3027">
        <v>-4.8081159999999998E-2</v>
      </c>
      <c r="Z3027">
        <v>2.7132329999999998E-3</v>
      </c>
      <c r="AA3027">
        <v>0.9988397</v>
      </c>
      <c r="AB3027">
        <v>38</v>
      </c>
      <c r="AC3027">
        <v>13.3233999999999</v>
      </c>
      <c r="AD3027">
        <v>-1.109990872787</v>
      </c>
      <c r="AE3027">
        <v>0.55369999999999198</v>
      </c>
      <c r="AF3027">
        <v>-0.65741805183839797</v>
      </c>
      <c r="AG3027">
        <v>-1.109990872787</v>
      </c>
      <c r="AH3027">
        <v>13.22681327023</v>
      </c>
      <c r="AI3027">
        <v>94.7911207573421</v>
      </c>
      <c r="AJ3027">
        <v>92.845455419159194</v>
      </c>
      <c r="AK3027">
        <v>13.2895774017869</v>
      </c>
      <c r="AL3027">
        <v>69.215086574902799</v>
      </c>
      <c r="AM3027">
        <v>99.501741897774394</v>
      </c>
      <c r="AN3027">
        <v>0.99999999782051996</v>
      </c>
    </row>
    <row r="3028" spans="1:40" x14ac:dyDescent="0.25">
      <c r="A3028" t="str">
        <f>"20190304164429724"</f>
        <v>20190304164429724</v>
      </c>
      <c r="B3028" t="str">
        <f>"1551689069712465"</f>
        <v>1551689069712465</v>
      </c>
      <c r="C3028" t="s">
        <v>40</v>
      </c>
      <c r="D3028">
        <v>3.8830930000000001</v>
      </c>
      <c r="E3028">
        <v>0.55697269999999999</v>
      </c>
      <c r="F3028" t="s">
        <v>46</v>
      </c>
      <c r="G3028">
        <v>-403.33600000000001</v>
      </c>
      <c r="H3028" s="1">
        <v>7.2292819999999902E-6</v>
      </c>
      <c r="I3028">
        <v>213.13339999999999</v>
      </c>
      <c r="J3028">
        <v>-416.50869999999998</v>
      </c>
      <c r="K3028">
        <v>1.1100760000000001</v>
      </c>
      <c r="L3028">
        <v>212.6096</v>
      </c>
      <c r="M3028">
        <v>0.99994530000000004</v>
      </c>
      <c r="N3028">
        <v>-7.1019109999999998E-3</v>
      </c>
      <c r="O3028">
        <v>-7.6772609999999899E-3</v>
      </c>
      <c r="P3028">
        <v>0.92630199999999996</v>
      </c>
      <c r="Q3028">
        <v>0.34756690000000001</v>
      </c>
      <c r="R3028">
        <v>0.14547170000000001</v>
      </c>
      <c r="S3028">
        <v>3.3226930000000001</v>
      </c>
      <c r="T3028">
        <v>-0.27241969999999999</v>
      </c>
      <c r="U3028">
        <v>0.12791440000000001</v>
      </c>
      <c r="V3028">
        <v>-0.1528621</v>
      </c>
      <c r="W3028">
        <v>0.3540065</v>
      </c>
      <c r="X3028">
        <v>0.92266610000000004</v>
      </c>
      <c r="Y3028">
        <v>-4.5950539999999998E-2</v>
      </c>
      <c r="Z3028">
        <v>2.6171219999999999E-3</v>
      </c>
      <c r="AA3028">
        <v>0.9989403</v>
      </c>
      <c r="AB3028">
        <v>38</v>
      </c>
      <c r="AC3028">
        <v>13.172699999999899</v>
      </c>
      <c r="AD3028">
        <v>-1.1100687707179999</v>
      </c>
      <c r="AE3028">
        <v>0.52379999999999405</v>
      </c>
      <c r="AF3028">
        <v>-0.62051771922372401</v>
      </c>
      <c r="AG3028">
        <v>-1.1100687707179999</v>
      </c>
      <c r="AH3028">
        <v>13.0755806605783</v>
      </c>
      <c r="AI3028">
        <v>94.847136448957599</v>
      </c>
      <c r="AJ3028">
        <v>92.717003073063495</v>
      </c>
      <c r="AK3028">
        <v>13.137279190414</v>
      </c>
      <c r="AL3028">
        <v>69.267434341282694</v>
      </c>
      <c r="AM3028">
        <v>99.406994015936903</v>
      </c>
      <c r="AN3028">
        <v>1.00000007787393</v>
      </c>
    </row>
    <row r="3029" spans="1:40" x14ac:dyDescent="0.25">
      <c r="A3029" t="str">
        <f>"20190304164429836"</f>
        <v>20190304164429836</v>
      </c>
      <c r="B3029" t="str">
        <f>"1551689069833127"</f>
        <v>1551689069833127</v>
      </c>
      <c r="C3029" t="s">
        <v>40</v>
      </c>
      <c r="D3029">
        <v>4.3236429999999997</v>
      </c>
      <c r="E3029">
        <v>0.53401469999999995</v>
      </c>
      <c r="F3029" t="s">
        <v>46</v>
      </c>
      <c r="G3029">
        <v>-403.11110000000002</v>
      </c>
      <c r="H3029" s="1">
        <v>7.3345279999999998E-6</v>
      </c>
      <c r="I3029">
        <v>213.10669999999999</v>
      </c>
      <c r="J3029">
        <v>-414.59309999999999</v>
      </c>
      <c r="K3029">
        <v>1.110452</v>
      </c>
      <c r="L3029">
        <v>212.60040000000001</v>
      </c>
      <c r="M3029">
        <v>0.99996680000000004</v>
      </c>
      <c r="N3029">
        <v>-7.1440899999999996E-3</v>
      </c>
      <c r="O3029">
        <v>-3.9589949999999999E-3</v>
      </c>
      <c r="P3029">
        <v>0.92519189999999996</v>
      </c>
      <c r="Q3029">
        <v>0.34956110000000001</v>
      </c>
      <c r="R3029">
        <v>0.1477398</v>
      </c>
      <c r="S3029">
        <v>3.3226619999999998</v>
      </c>
      <c r="T3029">
        <v>-0.275302299999999</v>
      </c>
      <c r="U3029">
        <v>0.1232758</v>
      </c>
      <c r="V3029">
        <v>-0.15202760000000001</v>
      </c>
      <c r="W3029">
        <v>0.35589080000000001</v>
      </c>
      <c r="X3029">
        <v>0.92207879999999998</v>
      </c>
      <c r="Y3029">
        <v>-4.0868799999999997E-2</v>
      </c>
      <c r="Z3029">
        <v>2.1350739999999998E-3</v>
      </c>
      <c r="AA3029">
        <v>0.99916229999999995</v>
      </c>
      <c r="AB3029">
        <v>39</v>
      </c>
      <c r="AC3029">
        <v>11.4819999999999</v>
      </c>
      <c r="AD3029">
        <v>-1.1104446654719999</v>
      </c>
      <c r="AE3029">
        <v>0.50629999999998099</v>
      </c>
      <c r="AF3029">
        <v>-0.54665136537063896</v>
      </c>
      <c r="AG3029">
        <v>-1.1104446654719999</v>
      </c>
      <c r="AH3029">
        <v>11.373731537354599</v>
      </c>
      <c r="AI3029">
        <v>95.569862277567395</v>
      </c>
      <c r="AJ3029">
        <v>92.751667926879506</v>
      </c>
      <c r="AK3029">
        <v>11.4408777702654</v>
      </c>
      <c r="AL3029">
        <v>69.151950302020495</v>
      </c>
      <c r="AM3029">
        <v>99.362404201917599</v>
      </c>
      <c r="AN3029">
        <v>0.99999998304791904</v>
      </c>
    </row>
    <row r="3030" spans="1:40" x14ac:dyDescent="0.25">
      <c r="A3030" t="str">
        <f>"20190304164429858"</f>
        <v>20190304164429858</v>
      </c>
      <c r="B3030" t="str">
        <f>"1551689069852648"</f>
        <v>1551689069852648</v>
      </c>
      <c r="C3030" t="s">
        <v>40</v>
      </c>
      <c r="D3030">
        <v>4.348147</v>
      </c>
      <c r="E3030">
        <v>0.55344930000000003</v>
      </c>
      <c r="F3030" t="s">
        <v>46</v>
      </c>
      <c r="G3030">
        <v>-410.57190000000003</v>
      </c>
      <c r="H3030" s="1">
        <v>2.4459070000000001E-6</v>
      </c>
      <c r="I3030">
        <v>213.02959999999999</v>
      </c>
      <c r="J3030">
        <v>-414.21080000000001</v>
      </c>
      <c r="K3030">
        <v>1.1105020000000001</v>
      </c>
      <c r="L3030">
        <v>212.59960000000001</v>
      </c>
      <c r="M3030">
        <v>0.99996969999999996</v>
      </c>
      <c r="N3030">
        <v>-7.1519060000000004E-3</v>
      </c>
      <c r="O3030">
        <v>-3.057981E-3</v>
      </c>
      <c r="P3030">
        <v>0.92470319999999995</v>
      </c>
      <c r="Q3030">
        <v>0.35062650000000001</v>
      </c>
      <c r="R3030">
        <v>0.14827319999999999</v>
      </c>
      <c r="S3030">
        <v>3.5526430000000002</v>
      </c>
      <c r="T3030">
        <v>-0.98105629999999999</v>
      </c>
      <c r="U3030">
        <v>0.37921139999999998</v>
      </c>
      <c r="V3030">
        <v>-0.1517684</v>
      </c>
      <c r="W3030">
        <v>0.3569444</v>
      </c>
      <c r="X3030">
        <v>0.92171420000000004</v>
      </c>
      <c r="Y3030">
        <v>-0.10507560000000001</v>
      </c>
      <c r="Z3030">
        <v>1.5392680000000001E-2</v>
      </c>
      <c r="AA3030">
        <v>0.99434509999999998</v>
      </c>
      <c r="AB3030">
        <v>39</v>
      </c>
      <c r="AC3030">
        <v>3.6388999999999698</v>
      </c>
      <c r="AD3030">
        <v>-1.1104995540930001</v>
      </c>
      <c r="AE3030">
        <v>0.42999999999997801</v>
      </c>
      <c r="AF3030">
        <v>-0.40401738986069702</v>
      </c>
      <c r="AG3030">
        <v>-1.1104995540930001</v>
      </c>
      <c r="AH3030">
        <v>3.3315670911470701</v>
      </c>
      <c r="AI3030">
        <v>108.309493020652</v>
      </c>
      <c r="AJ3030">
        <v>96.914465607388806</v>
      </c>
      <c r="AK3030">
        <v>3.53493685852587</v>
      </c>
      <c r="AL3030">
        <v>69.087340888518099</v>
      </c>
      <c r="AM3030">
        <v>99.350355635463302</v>
      </c>
      <c r="AN3030">
        <v>1.0000000092057799</v>
      </c>
    </row>
    <row r="3031" spans="1:40" x14ac:dyDescent="0.25">
      <c r="A3031" t="str">
        <f>"20190304164429881"</f>
        <v>20190304164429881</v>
      </c>
      <c r="B3031" t="str">
        <f>"1551689069873144"</f>
        <v>1551689069873144</v>
      </c>
      <c r="C3031" t="s">
        <v>40</v>
      </c>
      <c r="D3031">
        <v>4.4068389999999997</v>
      </c>
      <c r="E3031">
        <v>0.55229090000000003</v>
      </c>
      <c r="F3031" t="s">
        <v>41</v>
      </c>
      <c r="G3031">
        <v>-413.21039999999999</v>
      </c>
      <c r="H3031">
        <v>1.0105329999999999</v>
      </c>
      <c r="I3031">
        <v>212.64830000000001</v>
      </c>
      <c r="J3031">
        <v>-413.8032</v>
      </c>
      <c r="K3031">
        <v>1.1105400000000001</v>
      </c>
      <c r="L3031">
        <v>212.59909999999999</v>
      </c>
      <c r="M3031">
        <v>0.99997230000000004</v>
      </c>
      <c r="N3031">
        <v>-7.1603709999999996E-3</v>
      </c>
      <c r="O3031">
        <v>-2.0796510000000001E-3</v>
      </c>
      <c r="P3031">
        <v>0.92451139999999998</v>
      </c>
      <c r="Q3031">
        <v>0.35099439999999998</v>
      </c>
      <c r="R3031">
        <v>0.14860039999999999</v>
      </c>
      <c r="S3031">
        <v>3.3446660000000001</v>
      </c>
      <c r="T3031">
        <v>-0.33446809999999899</v>
      </c>
      <c r="U3031">
        <v>0.16452030000000001</v>
      </c>
      <c r="V3031">
        <v>-0.151226</v>
      </c>
      <c r="W3031">
        <v>0.35730650000000003</v>
      </c>
      <c r="X3031">
        <v>0.92166300000000001</v>
      </c>
      <c r="Y3031">
        <v>-5.0925959999999999E-2</v>
      </c>
      <c r="Z3031">
        <v>2.9138530000000001E-3</v>
      </c>
      <c r="AA3031">
        <v>0.99869819999999998</v>
      </c>
      <c r="AB3031">
        <v>39</v>
      </c>
      <c r="AC3031">
        <v>0.59280000000001098</v>
      </c>
      <c r="AD3031">
        <v>-0.100006999999999</v>
      </c>
      <c r="AE3031">
        <v>4.9200000000013198E-2</v>
      </c>
      <c r="AF3031">
        <v>-4.9046400633421403E-2</v>
      </c>
      <c r="AG3031">
        <v>-0.100006999999999</v>
      </c>
      <c r="AH3031">
        <v>0.57640381335403201</v>
      </c>
      <c r="AI3031">
        <v>99.808173697168698</v>
      </c>
      <c r="AJ3031">
        <v>94.863602263793297</v>
      </c>
      <c r="AK3031">
        <v>0.58706754765798796</v>
      </c>
      <c r="AL3031">
        <v>69.065128341415303</v>
      </c>
      <c r="AM3031">
        <v>99.318034309786299</v>
      </c>
      <c r="AN3031">
        <v>0.99999996179362405</v>
      </c>
    </row>
    <row r="3032" spans="1:40" x14ac:dyDescent="0.25">
      <c r="A3032" t="str">
        <f>"20190304164429903"</f>
        <v>20190304164429903</v>
      </c>
      <c r="B3032" t="str">
        <f>"1551689069892663"</f>
        <v>1551689069892663</v>
      </c>
      <c r="C3032" t="s">
        <v>40</v>
      </c>
      <c r="D3032">
        <v>4.4009689999999999</v>
      </c>
      <c r="E3032">
        <v>0.55114869999999905</v>
      </c>
      <c r="F3032" t="s">
        <v>41</v>
      </c>
      <c r="G3032">
        <v>-412.86040000000003</v>
      </c>
      <c r="H3032">
        <v>1.0142070000000001</v>
      </c>
      <c r="I3032">
        <v>212.649</v>
      </c>
      <c r="J3032">
        <v>-413.42500000000001</v>
      </c>
      <c r="K3032">
        <v>1.110565</v>
      </c>
      <c r="L3032">
        <v>212.59899999999999</v>
      </c>
      <c r="M3032">
        <v>0.99997369999999997</v>
      </c>
      <c r="N3032">
        <v>-7.1682350000000002E-3</v>
      </c>
      <c r="O3032">
        <v>-1.1650359999999999E-3</v>
      </c>
      <c r="P3032">
        <v>0.92432000000000003</v>
      </c>
      <c r="Q3032">
        <v>0.351334599999999</v>
      </c>
      <c r="R3032">
        <v>0.14898529999999999</v>
      </c>
      <c r="S3032">
        <v>3.3462519999999998</v>
      </c>
      <c r="T3032">
        <v>-0.34203919999999999</v>
      </c>
      <c r="U3032">
        <v>0.177612299999999</v>
      </c>
      <c r="V3032">
        <v>-0.15079210000000001</v>
      </c>
      <c r="W3032">
        <v>0.3576433</v>
      </c>
      <c r="X3032">
        <v>0.92160350000000002</v>
      </c>
      <c r="Y3032">
        <v>-5.3861880000000001E-2</v>
      </c>
      <c r="Z3032">
        <v>3.0477830000000001E-3</v>
      </c>
      <c r="AA3032">
        <v>0.99854370000000003</v>
      </c>
      <c r="AB3032">
        <v>39</v>
      </c>
      <c r="AC3032">
        <v>0.564599999999984</v>
      </c>
      <c r="AD3032">
        <v>-9.6357999999999902E-2</v>
      </c>
      <c r="AE3032">
        <v>4.9999999999982898E-2</v>
      </c>
      <c r="AF3032">
        <v>-4.92348639729768E-2</v>
      </c>
      <c r="AG3032">
        <v>-9.6357999999999902E-2</v>
      </c>
      <c r="AH3032">
        <v>0.54868426887317101</v>
      </c>
      <c r="AI3032">
        <v>99.921447450946104</v>
      </c>
      <c r="AJ3032">
        <v>95.127566193494701</v>
      </c>
      <c r="AK3032">
        <v>0.55925250370769397</v>
      </c>
      <c r="AL3032">
        <v>69.044466621494095</v>
      </c>
      <c r="AM3032">
        <v>99.292355235219105</v>
      </c>
      <c r="AN3032">
        <v>0.99999999933477401</v>
      </c>
    </row>
    <row r="3033" spans="1:40" x14ac:dyDescent="0.25">
      <c r="A3033" t="str">
        <f>"20190304164429923"</f>
        <v>20190304164429923</v>
      </c>
      <c r="B3033" t="str">
        <f>"1551689069913159"</f>
        <v>1551689069913159</v>
      </c>
      <c r="C3033" t="s">
        <v>40</v>
      </c>
      <c r="D3033">
        <v>4.4181189999999999</v>
      </c>
      <c r="E3033">
        <v>0.55052489999999998</v>
      </c>
      <c r="F3033" t="s">
        <v>46</v>
      </c>
      <c r="G3033">
        <v>-402.47829999999999</v>
      </c>
      <c r="H3033" s="1">
        <v>7.5919079999999902E-6</v>
      </c>
      <c r="I3033">
        <v>213.2193</v>
      </c>
      <c r="J3033">
        <v>-413.06439999999998</v>
      </c>
      <c r="K3033">
        <v>1.110589</v>
      </c>
      <c r="L3033">
        <v>212.5992</v>
      </c>
      <c r="M3033">
        <v>0.99997429999999998</v>
      </c>
      <c r="N3033">
        <v>-7.175758E-3</v>
      </c>
      <c r="O3033">
        <v>-2.9229590000000001E-4</v>
      </c>
      <c r="P3033">
        <v>0.92425650000000004</v>
      </c>
      <c r="Q3033">
        <v>0.35148410000000002</v>
      </c>
      <c r="R3033">
        <v>0.14902739999999901</v>
      </c>
      <c r="S3033">
        <v>3.3440859999999999</v>
      </c>
      <c r="T3033">
        <v>-0.33926050000000002</v>
      </c>
      <c r="U3033">
        <v>0.1894989</v>
      </c>
      <c r="V3033">
        <v>-0.1500503</v>
      </c>
      <c r="W3033">
        <v>0.35779240000000001</v>
      </c>
      <c r="X3033">
        <v>0.92166669999999995</v>
      </c>
      <c r="Y3033">
        <v>-5.6556660000000002E-2</v>
      </c>
      <c r="Z3033">
        <v>3.0903430000000002E-3</v>
      </c>
      <c r="AA3033">
        <v>0.99839460000000002</v>
      </c>
      <c r="AB3033">
        <v>39</v>
      </c>
      <c r="AC3033">
        <v>10.586099999999901</v>
      </c>
      <c r="AD3033">
        <v>-1.110581408092</v>
      </c>
      <c r="AE3033">
        <v>0.62010000000000698</v>
      </c>
      <c r="AF3033">
        <v>-0.61643307447034901</v>
      </c>
      <c r="AG3033">
        <v>-1.110581408092</v>
      </c>
      <c r="AH3033">
        <v>10.4710679800355</v>
      </c>
      <c r="AI3033">
        <v>96.043879038810999</v>
      </c>
      <c r="AJ3033">
        <v>93.369121145856198</v>
      </c>
      <c r="AK3033">
        <v>10.547826574315</v>
      </c>
      <c r="AL3033">
        <v>69.035318499723999</v>
      </c>
      <c r="AM3033">
        <v>99.246811302480893</v>
      </c>
      <c r="AN3033">
        <v>0.99999999995836997</v>
      </c>
    </row>
    <row r="3034" spans="1:40" x14ac:dyDescent="0.25">
      <c r="A3034" t="str">
        <f>"20190304164429947"</f>
        <v>20190304164429947</v>
      </c>
      <c r="B3034" t="str">
        <f>"1551689069943416"</f>
        <v>1551689069943416</v>
      </c>
      <c r="C3034" t="s">
        <v>40</v>
      </c>
      <c r="D3034">
        <v>4.4538149999999996</v>
      </c>
      <c r="E3034">
        <v>0.54954349999999996</v>
      </c>
      <c r="F3034" t="s">
        <v>46</v>
      </c>
      <c r="G3034">
        <v>-401.9699</v>
      </c>
      <c r="H3034" s="1">
        <v>7.8118700000000001E-6</v>
      </c>
      <c r="I3034">
        <v>213.2457</v>
      </c>
      <c r="J3034">
        <v>-412.65699999999998</v>
      </c>
      <c r="K3034">
        <v>1.1106069999999999</v>
      </c>
      <c r="L3034">
        <v>212.59989999999999</v>
      </c>
      <c r="M3034">
        <v>0.99997400000000003</v>
      </c>
      <c r="N3034">
        <v>-7.184228E-3</v>
      </c>
      <c r="O3034">
        <v>6.9136169999999995E-4</v>
      </c>
      <c r="P3034">
        <v>0.92393329999999996</v>
      </c>
      <c r="Q3034">
        <v>0.35192240000000002</v>
      </c>
      <c r="R3034">
        <v>0.1499934</v>
      </c>
      <c r="S3034">
        <v>3.341675</v>
      </c>
      <c r="T3034">
        <v>-0.3345089</v>
      </c>
      <c r="U3034">
        <v>0.19473270000000001</v>
      </c>
      <c r="V3034">
        <v>-0.15012979999999901</v>
      </c>
      <c r="W3034">
        <v>0.35822779999999999</v>
      </c>
      <c r="X3034">
        <v>0.92148459999999999</v>
      </c>
      <c r="Y3034">
        <v>-5.7182610000000002E-2</v>
      </c>
      <c r="Z3034">
        <v>2.9946220000000002E-3</v>
      </c>
      <c r="AA3034">
        <v>0.99835929999999995</v>
      </c>
      <c r="AB3034">
        <v>39</v>
      </c>
      <c r="AC3034">
        <v>10.6870999999999</v>
      </c>
      <c r="AD3034">
        <v>-1.1105991881299999</v>
      </c>
      <c r="AE3034">
        <v>0.64580000000000803</v>
      </c>
      <c r="AF3034">
        <v>-0.63161483232256099</v>
      </c>
      <c r="AG3034">
        <v>-1.1105991881299999</v>
      </c>
      <c r="AH3034">
        <v>10.573770241727599</v>
      </c>
      <c r="AI3034">
        <v>95.985395276827703</v>
      </c>
      <c r="AJ3034">
        <v>93.418450812639094</v>
      </c>
      <c r="AK3034">
        <v>10.6506800242017</v>
      </c>
      <c r="AL3034">
        <v>69.008600819866004</v>
      </c>
      <c r="AM3034">
        <v>99.253422422543395</v>
      </c>
      <c r="AN3034">
        <v>0.99999999078901902</v>
      </c>
    </row>
    <row r="3035" spans="1:40" x14ac:dyDescent="0.25">
      <c r="A3035" t="str">
        <f>"20190304164429969"</f>
        <v>20190304164429969</v>
      </c>
      <c r="B3035" t="str">
        <f>"1551689069962936"</f>
        <v>1551689069962936</v>
      </c>
      <c r="C3035" t="s">
        <v>40</v>
      </c>
      <c r="D3035">
        <v>4.4587789999999998</v>
      </c>
      <c r="E3035">
        <v>0.54908760000000001</v>
      </c>
      <c r="F3035" t="s">
        <v>46</v>
      </c>
      <c r="G3035">
        <v>-401.36439999999999</v>
      </c>
      <c r="H3035" s="1">
        <v>8.0710619999999906E-6</v>
      </c>
      <c r="I3035">
        <v>213.291</v>
      </c>
      <c r="J3035">
        <v>-412.26159999999999</v>
      </c>
      <c r="K3035">
        <v>1.1106279999999999</v>
      </c>
      <c r="L3035">
        <v>212.6009</v>
      </c>
      <c r="M3035">
        <v>0.99997290000000005</v>
      </c>
      <c r="N3035">
        <v>-7.1923930000000001E-3</v>
      </c>
      <c r="O3035">
        <v>1.6435829999999999E-3</v>
      </c>
      <c r="P3035">
        <v>0.924072</v>
      </c>
      <c r="Q3035">
        <v>0.35119400000000001</v>
      </c>
      <c r="R3035">
        <v>0.1508447</v>
      </c>
      <c r="S3035">
        <v>3.3388979999999999</v>
      </c>
      <c r="T3035">
        <v>-0.3283703</v>
      </c>
      <c r="U3035">
        <v>0.20434569999999999</v>
      </c>
      <c r="V3035">
        <v>-0.15011830000000001</v>
      </c>
      <c r="W3035">
        <v>0.35750159999999997</v>
      </c>
      <c r="X3035">
        <v>0.92176849999999999</v>
      </c>
      <c r="Y3035">
        <v>-5.9148159999999998E-2</v>
      </c>
      <c r="Z3035">
        <v>2.9629700000000001E-3</v>
      </c>
      <c r="AA3035">
        <v>0.99824480000000004</v>
      </c>
      <c r="AB3035">
        <v>39</v>
      </c>
      <c r="AC3035">
        <v>10.8971999999999</v>
      </c>
      <c r="AD3035">
        <v>-1.1106199289380001</v>
      </c>
      <c r="AE3035">
        <v>0.69010000000000105</v>
      </c>
      <c r="AF3035">
        <v>-0.66530506046620197</v>
      </c>
      <c r="AG3035">
        <v>-1.1106199289380001</v>
      </c>
      <c r="AH3035">
        <v>10.786722589238</v>
      </c>
      <c r="AI3035">
        <v>95.867487591402195</v>
      </c>
      <c r="AJ3035">
        <v>93.529426496148204</v>
      </c>
      <c r="AK3035">
        <v>10.864137870407101</v>
      </c>
      <c r="AL3035">
        <v>69.053160940214497</v>
      </c>
      <c r="AM3035">
        <v>99.249925341113098</v>
      </c>
      <c r="AN3035">
        <v>1.00000003279484</v>
      </c>
    </row>
    <row r="3036" spans="1:40" x14ac:dyDescent="0.25">
      <c r="A3036" t="str">
        <f>"20190304164429992"</f>
        <v>20190304164429992</v>
      </c>
      <c r="B3036" t="str">
        <f>"1551689069983431"</f>
        <v>1551689069983431</v>
      </c>
      <c r="C3036" t="s">
        <v>40</v>
      </c>
      <c r="D3036">
        <v>4.4456499999999997</v>
      </c>
      <c r="E3036">
        <v>0.54861130000000002</v>
      </c>
      <c r="F3036" t="s">
        <v>46</v>
      </c>
      <c r="G3036">
        <v>-400.93200000000002</v>
      </c>
      <c r="H3036" s="1">
        <v>8.258331E-6</v>
      </c>
      <c r="I3036">
        <v>213.3126</v>
      </c>
      <c r="J3036">
        <v>-411.86689999999999</v>
      </c>
      <c r="K3036">
        <v>1.110649</v>
      </c>
      <c r="L3036">
        <v>212.60220000000001</v>
      </c>
      <c r="M3036">
        <v>0.99997080000000005</v>
      </c>
      <c r="N3036">
        <v>-7.2006630000000004E-3</v>
      </c>
      <c r="O3036">
        <v>2.5921479999999998E-3</v>
      </c>
      <c r="P3036">
        <v>0.92415449999999999</v>
      </c>
      <c r="Q3036">
        <v>0.3511109</v>
      </c>
      <c r="R3036">
        <v>0.1505311</v>
      </c>
      <c r="S3036">
        <v>3.3366090000000002</v>
      </c>
      <c r="T3036">
        <v>-0.32708310000000002</v>
      </c>
      <c r="U3036">
        <v>0.20960999999999999</v>
      </c>
      <c r="V3036">
        <v>-0.148942299999999</v>
      </c>
      <c r="W3036">
        <v>0.35742420000000003</v>
      </c>
      <c r="X3036">
        <v>0.92198930000000001</v>
      </c>
      <c r="Y3036">
        <v>-5.9814260000000001E-2</v>
      </c>
      <c r="Z3036">
        <v>2.9033639999999999E-3</v>
      </c>
      <c r="AA3036">
        <v>0.99820529999999996</v>
      </c>
      <c r="AB3036">
        <v>39</v>
      </c>
      <c r="AC3036">
        <v>10.934900000000001</v>
      </c>
      <c r="AD3036">
        <v>-1.1106407416689901</v>
      </c>
      <c r="AE3036">
        <v>0.71039999999999204</v>
      </c>
      <c r="AF3036">
        <v>-0.67511666940988202</v>
      </c>
      <c r="AG3036">
        <v>-1.1106407416689901</v>
      </c>
      <c r="AH3036">
        <v>10.8254967097856</v>
      </c>
      <c r="AI3036">
        <v>95.846480545110893</v>
      </c>
      <c r="AJ3036">
        <v>93.568548112287402</v>
      </c>
      <c r="AK3036">
        <v>10.903241921004501</v>
      </c>
      <c r="AL3036">
        <v>69.057910155722894</v>
      </c>
      <c r="AM3036">
        <v>99.176540491122395</v>
      </c>
      <c r="AN3036">
        <v>1.0000000683946999</v>
      </c>
    </row>
    <row r="3037" spans="1:40" x14ac:dyDescent="0.25">
      <c r="A3037" t="str">
        <f>"20190304164430015"</f>
        <v>20190304164430015</v>
      </c>
      <c r="B3037" t="str">
        <f>"1551689070002952"</f>
        <v>1551689070002952</v>
      </c>
      <c r="C3037" t="s">
        <v>40</v>
      </c>
      <c r="D3037">
        <v>4.4534339999999997</v>
      </c>
      <c r="E3037">
        <v>0.54823180000000005</v>
      </c>
      <c r="F3037" t="s">
        <v>46</v>
      </c>
      <c r="G3037">
        <v>-400.5283</v>
      </c>
      <c r="H3037" s="1">
        <v>8.4351399999999993E-6</v>
      </c>
      <c r="I3037">
        <v>213.3235</v>
      </c>
      <c r="J3037">
        <v>-411.45479999999998</v>
      </c>
      <c r="K3037">
        <v>1.1106640000000001</v>
      </c>
      <c r="L3037">
        <v>212.60409999999999</v>
      </c>
      <c r="M3037">
        <v>0.99996779999999996</v>
      </c>
      <c r="N3037">
        <v>-7.2091569999999999E-3</v>
      </c>
      <c r="O3037">
        <v>3.5811670000000001E-3</v>
      </c>
      <c r="P3037">
        <v>0.92426140000000001</v>
      </c>
      <c r="Q3037">
        <v>0.35099200000000003</v>
      </c>
      <c r="R3037">
        <v>0.150151799999999</v>
      </c>
      <c r="S3037">
        <v>3.3358150000000002</v>
      </c>
      <c r="T3037">
        <v>-0.32674779999999998</v>
      </c>
      <c r="U3037">
        <v>0.21218870000000001</v>
      </c>
      <c r="V3037">
        <v>-0.1476613</v>
      </c>
      <c r="W3037">
        <v>0.35731190000000002</v>
      </c>
      <c r="X3037">
        <v>0.92223880000000003</v>
      </c>
      <c r="Y3037">
        <v>-5.9615939999999999E-2</v>
      </c>
      <c r="Z3037">
        <v>2.801656E-3</v>
      </c>
      <c r="AA3037">
        <v>0.99821749999999998</v>
      </c>
      <c r="AB3037">
        <v>39</v>
      </c>
      <c r="AC3037">
        <v>10.9264999999999</v>
      </c>
      <c r="AD3037">
        <v>-1.1106555648599901</v>
      </c>
      <c r="AE3037">
        <v>0.71940000000000703</v>
      </c>
      <c r="AF3037">
        <v>-0.67333766353427604</v>
      </c>
      <c r="AG3037">
        <v>-1.1106555648599901</v>
      </c>
      <c r="AH3037">
        <v>10.817716911808899</v>
      </c>
      <c r="AI3037">
        <v>95.850776685302705</v>
      </c>
      <c r="AJ3037">
        <v>93.561721871113207</v>
      </c>
      <c r="AK3037">
        <v>10.8954090596418</v>
      </c>
      <c r="AL3037">
        <v>69.064798545110193</v>
      </c>
      <c r="AM3037">
        <v>99.096521722063599</v>
      </c>
      <c r="AN3037">
        <v>1.0000000288123601</v>
      </c>
    </row>
    <row r="3038" spans="1:40" x14ac:dyDescent="0.25">
      <c r="A3038" t="str">
        <f>"20190304164430038"</f>
        <v>20190304164430038</v>
      </c>
      <c r="B3038" t="str">
        <f>"1551689070033208"</f>
        <v>1551689070033208</v>
      </c>
      <c r="C3038" t="s">
        <v>40</v>
      </c>
      <c r="D3038">
        <v>4.473935</v>
      </c>
      <c r="E3038">
        <v>0.54777500000000001</v>
      </c>
      <c r="F3038" t="s">
        <v>46</v>
      </c>
      <c r="G3038">
        <v>-400.14069999999998</v>
      </c>
      <c r="H3038" s="1">
        <v>8.6047879999999999E-6</v>
      </c>
      <c r="I3038">
        <v>213.33430000000001</v>
      </c>
      <c r="J3038">
        <v>-411.0643</v>
      </c>
      <c r="K3038">
        <v>1.1106769999999999</v>
      </c>
      <c r="L3038">
        <v>212.6062</v>
      </c>
      <c r="M3038">
        <v>0.99996379999999996</v>
      </c>
      <c r="N3038">
        <v>-7.2172219999999997E-3</v>
      </c>
      <c r="O3038">
        <v>4.5179520000000004E-3</v>
      </c>
      <c r="P3038">
        <v>0.92442400000000002</v>
      </c>
      <c r="Q3038">
        <v>0.35068640000000001</v>
      </c>
      <c r="R3038">
        <v>0.1498642</v>
      </c>
      <c r="S3038">
        <v>3.3352050000000002</v>
      </c>
      <c r="T3038">
        <v>-0.32740019999999997</v>
      </c>
      <c r="U3038">
        <v>0.21525569999999999</v>
      </c>
      <c r="V3038">
        <v>-0.1465158</v>
      </c>
      <c r="W3038">
        <v>0.35701440000000001</v>
      </c>
      <c r="X3038">
        <v>0.92253660000000004</v>
      </c>
      <c r="Y3038">
        <v>-5.9609240000000001E-2</v>
      </c>
      <c r="Z3038">
        <v>2.7221620000000002E-3</v>
      </c>
      <c r="AA3038">
        <v>0.9982181</v>
      </c>
      <c r="AB3038">
        <v>39</v>
      </c>
      <c r="AC3038">
        <v>10.9236</v>
      </c>
      <c r="AD3038">
        <v>-1.110668395212</v>
      </c>
      <c r="AE3038">
        <v>0.72810000000001196</v>
      </c>
      <c r="AF3038">
        <v>-0.67182437314750298</v>
      </c>
      <c r="AG3038">
        <v>-1.110668395212</v>
      </c>
      <c r="AH3038">
        <v>10.8154622269127</v>
      </c>
      <c r="AI3038">
        <v>95.852100753694401</v>
      </c>
      <c r="AJ3038">
        <v>93.554476572417997</v>
      </c>
      <c r="AK3038">
        <v>10.893078327738801</v>
      </c>
      <c r="AL3038">
        <v>69.083046427590702</v>
      </c>
      <c r="AM3038">
        <v>99.024254765849307</v>
      </c>
      <c r="AN3038">
        <v>0.999999969898279</v>
      </c>
    </row>
    <row r="3039" spans="1:40" x14ac:dyDescent="0.25">
      <c r="A3039" t="str">
        <f>"20190304164430060"</f>
        <v>20190304164430060</v>
      </c>
      <c r="B3039" t="str">
        <f>"1551689070052727"</f>
        <v>1551689070052727</v>
      </c>
      <c r="C3039" t="s">
        <v>40</v>
      </c>
      <c r="D3039">
        <v>4.4958809999999998</v>
      </c>
      <c r="E3039">
        <v>0.54754230000000004</v>
      </c>
      <c r="F3039" t="s">
        <v>45</v>
      </c>
      <c r="G3039">
        <v>-399.76440000000002</v>
      </c>
      <c r="H3039" s="1">
        <v>3.6593459999999998E-6</v>
      </c>
      <c r="I3039">
        <v>213.3417</v>
      </c>
      <c r="J3039">
        <v>-410.65690000000001</v>
      </c>
      <c r="K3039">
        <v>1.110684</v>
      </c>
      <c r="L3039">
        <v>212.6088</v>
      </c>
      <c r="M3039">
        <v>0.99995889999999998</v>
      </c>
      <c r="N3039">
        <v>-7.2257349999999996E-3</v>
      </c>
      <c r="O3039">
        <v>5.4951959999999999E-3</v>
      </c>
      <c r="P3039">
        <v>0.92428549999999998</v>
      </c>
      <c r="Q3039">
        <v>0.35089730000000002</v>
      </c>
      <c r="R3039">
        <v>0.150225</v>
      </c>
      <c r="S3039">
        <v>3.3344119999999999</v>
      </c>
      <c r="T3039">
        <v>-0.32774150000000002</v>
      </c>
      <c r="U3039">
        <v>0.21704100000000001</v>
      </c>
      <c r="V3039">
        <v>-0.14598239999999901</v>
      </c>
      <c r="W3039">
        <v>0.35723090000000002</v>
      </c>
      <c r="X3039">
        <v>0.92253739999999995</v>
      </c>
      <c r="Y3039">
        <v>-5.9186669999999997E-2</v>
      </c>
      <c r="Z3039">
        <v>2.6146659999999999E-3</v>
      </c>
      <c r="AA3039">
        <v>0.99824349999999995</v>
      </c>
      <c r="AB3039">
        <v>39</v>
      </c>
      <c r="AC3039">
        <v>10.892499999999901</v>
      </c>
      <c r="AD3039">
        <v>-1.110680340654</v>
      </c>
      <c r="AE3039">
        <v>0.7329</v>
      </c>
      <c r="AF3039">
        <v>-0.66613611325398803</v>
      </c>
      <c r="AG3039">
        <v>-1.110680340654</v>
      </c>
      <c r="AH3039">
        <v>10.7847356611009</v>
      </c>
      <c r="AI3039">
        <v>95.868846349602606</v>
      </c>
      <c r="AJ3039">
        <v>93.534473449538197</v>
      </c>
      <c r="AK3039">
        <v>10.8622222137239</v>
      </c>
      <c r="AL3039">
        <v>69.069767160528599</v>
      </c>
      <c r="AM3039">
        <v>98.991931480323899</v>
      </c>
      <c r="AN3039">
        <v>1.00000001571166</v>
      </c>
    </row>
    <row r="3040" spans="1:40" x14ac:dyDescent="0.25">
      <c r="A3040" t="str">
        <f>"20190304164430082"</f>
        <v>20190304164430082</v>
      </c>
      <c r="B3040" t="str">
        <f>"1551689070073224"</f>
        <v>1551689070073224</v>
      </c>
      <c r="C3040" t="s">
        <v>40</v>
      </c>
      <c r="D3040">
        <v>4.4906969999999999</v>
      </c>
      <c r="E3040">
        <v>0.54730819999999902</v>
      </c>
      <c r="F3040" t="s">
        <v>45</v>
      </c>
      <c r="G3040">
        <v>-399.31990000000002</v>
      </c>
      <c r="H3040" s="1">
        <v>3.422796E-6</v>
      </c>
      <c r="I3040">
        <v>213.352</v>
      </c>
      <c r="J3040">
        <v>-410.27859999999998</v>
      </c>
      <c r="K3040">
        <v>1.1106879999999999</v>
      </c>
      <c r="L3040">
        <v>212.61160000000001</v>
      </c>
      <c r="M3040">
        <v>0.99995339999999999</v>
      </c>
      <c r="N3040">
        <v>-7.2335519999999999E-3</v>
      </c>
      <c r="O3040">
        <v>6.4023359999999998E-3</v>
      </c>
      <c r="P3040">
        <v>0.92427720000000002</v>
      </c>
      <c r="Q3040">
        <v>0.35098179999999901</v>
      </c>
      <c r="R3040">
        <v>0.15007789999999999</v>
      </c>
      <c r="S3040">
        <v>3.3341980000000002</v>
      </c>
      <c r="T3040">
        <v>-0.32664919999999997</v>
      </c>
      <c r="U3040">
        <v>0.21856690000000001</v>
      </c>
      <c r="V3040">
        <v>-0.14500339999999901</v>
      </c>
      <c r="W3040">
        <v>0.35732309999999901</v>
      </c>
      <c r="X3040">
        <v>0.92265609999999998</v>
      </c>
      <c r="Y3040">
        <v>-5.8747840000000003E-2</v>
      </c>
      <c r="Z3040">
        <v>2.5021969999999998E-3</v>
      </c>
      <c r="AA3040">
        <v>0.99826970000000004</v>
      </c>
      <c r="AB3040">
        <v>40</v>
      </c>
      <c r="AC3040">
        <v>10.958699999999901</v>
      </c>
      <c r="AD3040">
        <v>-1.1106845772039999</v>
      </c>
      <c r="AE3040">
        <v>0.74039999999999395</v>
      </c>
      <c r="AF3040">
        <v>-0.66343771662349904</v>
      </c>
      <c r="AG3040">
        <v>-1.1106845772039999</v>
      </c>
      <c r="AH3040">
        <v>10.852245923181901</v>
      </c>
      <c r="AI3040">
        <v>95.832836106614806</v>
      </c>
      <c r="AJ3040">
        <v>93.498347960411394</v>
      </c>
      <c r="AK3040">
        <v>10.9290901456204</v>
      </c>
      <c r="AL3040">
        <v>69.064111529336301</v>
      </c>
      <c r="AM3040">
        <v>98.931473938571401</v>
      </c>
      <c r="AN3040">
        <v>1.0000000313361801</v>
      </c>
    </row>
    <row r="3041" spans="1:40" x14ac:dyDescent="0.25">
      <c r="A3041" t="str">
        <f>"20190304164430103"</f>
        <v>20190304164430103</v>
      </c>
      <c r="B3041" t="str">
        <f>"1551689070092743"</f>
        <v>1551689070092743</v>
      </c>
      <c r="C3041" t="s">
        <v>40</v>
      </c>
      <c r="D3041">
        <v>4.4794450000000001</v>
      </c>
      <c r="E3041">
        <v>0.54709019999999897</v>
      </c>
      <c r="F3041" t="s">
        <v>45</v>
      </c>
      <c r="G3041">
        <v>-398.87110000000001</v>
      </c>
      <c r="H3041" s="1">
        <v>3.1839550000000002E-6</v>
      </c>
      <c r="I3041">
        <v>213.36250000000001</v>
      </c>
      <c r="J3041">
        <v>-409.89760000000001</v>
      </c>
      <c r="K3041">
        <v>1.110692</v>
      </c>
      <c r="L3041">
        <v>212.6147</v>
      </c>
      <c r="M3041">
        <v>0.99994709999999998</v>
      </c>
      <c r="N3041">
        <v>-7.2413540000000002E-3</v>
      </c>
      <c r="O3041">
        <v>7.315846E-3</v>
      </c>
      <c r="P3041">
        <v>0.92422059999999995</v>
      </c>
      <c r="Q3041">
        <v>0.35142210000000002</v>
      </c>
      <c r="R3041">
        <v>0.149394</v>
      </c>
      <c r="S3041">
        <v>3.3333740000000001</v>
      </c>
      <c r="T3041">
        <v>-0.324551599999999</v>
      </c>
      <c r="U3041">
        <v>0.21940609999999999</v>
      </c>
      <c r="V3041">
        <v>-0.14348089999999999</v>
      </c>
      <c r="W3041">
        <v>0.3577728</v>
      </c>
      <c r="X3041">
        <v>0.92271979999999998</v>
      </c>
      <c r="Y3041">
        <v>-5.8112329999999997E-2</v>
      </c>
      <c r="Z3041">
        <v>2.3734950000000002E-3</v>
      </c>
      <c r="AA3041">
        <v>0.99830719999999995</v>
      </c>
      <c r="AB3041">
        <v>40</v>
      </c>
      <c r="AC3041">
        <v>11.0265</v>
      </c>
      <c r="AD3041">
        <v>-1.1106888160449999</v>
      </c>
      <c r="AE3041">
        <v>0.74780000000001201</v>
      </c>
      <c r="AF3041">
        <v>-0.66043933930279597</v>
      </c>
      <c r="AG3041">
        <v>-1.1106888160449999</v>
      </c>
      <c r="AH3041">
        <v>10.9213712124116</v>
      </c>
      <c r="AI3041">
        <v>95.796422796043501</v>
      </c>
      <c r="AJ3041">
        <v>93.460587591907199</v>
      </c>
      <c r="AK3041">
        <v>10.997552406162001</v>
      </c>
      <c r="AL3041">
        <v>69.036520823357904</v>
      </c>
      <c r="AM3041">
        <v>98.838583629421706</v>
      </c>
      <c r="AN3041">
        <v>0.99999998719834404</v>
      </c>
    </row>
    <row r="3042" spans="1:40" x14ac:dyDescent="0.25">
      <c r="A3042" t="str">
        <f>"20190304164430125"</f>
        <v>20190304164430125</v>
      </c>
      <c r="B3042" t="str">
        <f>"1551689070113239"</f>
        <v>1551689070113239</v>
      </c>
      <c r="C3042" t="s">
        <v>40</v>
      </c>
      <c r="D3042">
        <v>4.5020870000000004</v>
      </c>
      <c r="E3042">
        <v>0.54691559999999995</v>
      </c>
      <c r="F3042" t="s">
        <v>45</v>
      </c>
      <c r="G3042">
        <v>-398.28960000000001</v>
      </c>
      <c r="H3042" s="1">
        <v>2.8745219999999999E-6</v>
      </c>
      <c r="I3042">
        <v>213.37860000000001</v>
      </c>
      <c r="J3042">
        <v>-409.50729999999999</v>
      </c>
      <c r="K3042">
        <v>1.110698</v>
      </c>
      <c r="L3042">
        <v>212.6183</v>
      </c>
      <c r="M3042">
        <v>0.99993960000000004</v>
      </c>
      <c r="N3042">
        <v>-7.2493380000000001E-3</v>
      </c>
      <c r="O3042">
        <v>8.2518820000000003E-3</v>
      </c>
      <c r="P3042">
        <v>0.92421359999999997</v>
      </c>
      <c r="Q3042">
        <v>0.35167280000000001</v>
      </c>
      <c r="R3042">
        <v>0.14884729999999999</v>
      </c>
      <c r="S3042">
        <v>3.3317570000000001</v>
      </c>
      <c r="T3042">
        <v>-0.3187914</v>
      </c>
      <c r="U3042">
        <v>0.21925349999999999</v>
      </c>
      <c r="V3042">
        <v>-0.1420739</v>
      </c>
      <c r="W3042">
        <v>0.35803289999999999</v>
      </c>
      <c r="X3042">
        <v>0.92283669999999995</v>
      </c>
      <c r="Y3042">
        <v>-5.7180830000000002E-2</v>
      </c>
      <c r="Z3042">
        <v>2.2072179999999999E-3</v>
      </c>
      <c r="AA3042">
        <v>0.99836139999999995</v>
      </c>
      <c r="AB3042">
        <v>40</v>
      </c>
      <c r="AC3042">
        <v>11.217699999999899</v>
      </c>
      <c r="AD3042">
        <v>-1.110695125478</v>
      </c>
      <c r="AE3042">
        <v>0.76029999999999998</v>
      </c>
      <c r="AF3042">
        <v>-0.66125158536093198</v>
      </c>
      <c r="AG3042">
        <v>-1.110695125478</v>
      </c>
      <c r="AH3042">
        <v>11.1151230484206</v>
      </c>
      <c r="AI3042">
        <v>95.696417390450193</v>
      </c>
      <c r="AJ3042">
        <v>93.404579787341007</v>
      </c>
      <c r="AK3042">
        <v>11.190033856179101</v>
      </c>
      <c r="AL3042">
        <v>69.020562651858896</v>
      </c>
      <c r="AM3042">
        <v>98.752168019997896</v>
      </c>
      <c r="AN3042">
        <v>1.0000000627052501</v>
      </c>
    </row>
    <row r="3043" spans="1:40" x14ac:dyDescent="0.25">
      <c r="A3043" t="str">
        <f>"20190304164430149"</f>
        <v>20190304164430149</v>
      </c>
      <c r="B3043" t="str">
        <f>"1551689070142520"</f>
        <v>1551689070142520</v>
      </c>
      <c r="C3043" t="s">
        <v>40</v>
      </c>
      <c r="D3043">
        <v>4.4966699999999999</v>
      </c>
      <c r="E3043">
        <v>0.54668549999999905</v>
      </c>
      <c r="F3043" t="s">
        <v>45</v>
      </c>
      <c r="G3043">
        <v>-397.71730000000002</v>
      </c>
      <c r="H3043" s="1">
        <v>2.5699909999999999E-6</v>
      </c>
      <c r="I3043">
        <v>213.39099999999999</v>
      </c>
      <c r="J3043">
        <v>-409.09469999999999</v>
      </c>
      <c r="K3043">
        <v>1.110698</v>
      </c>
      <c r="L3043">
        <v>212.6225</v>
      </c>
      <c r="M3043">
        <v>0.99993109999999996</v>
      </c>
      <c r="N3043">
        <v>-7.2577669999999896E-3</v>
      </c>
      <c r="O3043">
        <v>9.2388120000000008E-3</v>
      </c>
      <c r="P3043">
        <v>0.92431770000000002</v>
      </c>
      <c r="Q3043">
        <v>0.3516049</v>
      </c>
      <c r="R3043">
        <v>0.1483612</v>
      </c>
      <c r="S3043">
        <v>3.3302309999999999</v>
      </c>
      <c r="T3043">
        <v>-0.31373060000000003</v>
      </c>
      <c r="U3043">
        <v>0.2182617</v>
      </c>
      <c r="V3043">
        <v>-0.14067769999999999</v>
      </c>
      <c r="W3043">
        <v>0.35797630000000003</v>
      </c>
      <c r="X3043">
        <v>0.92307249999999996</v>
      </c>
      <c r="Y3043">
        <v>-5.5946059999999999E-2</v>
      </c>
      <c r="Z3043">
        <v>2.0297689999999998E-3</v>
      </c>
      <c r="AA3043">
        <v>0.99843170000000003</v>
      </c>
      <c r="AB3043">
        <v>40</v>
      </c>
      <c r="AC3043">
        <v>11.3773999999999</v>
      </c>
      <c r="AD3043">
        <v>-1.110695430009</v>
      </c>
      <c r="AE3043">
        <v>0.76849999999998797</v>
      </c>
      <c r="AF3043">
        <v>-0.65711674516208796</v>
      </c>
      <c r="AG3043">
        <v>-1.110695430009</v>
      </c>
      <c r="AH3043">
        <v>11.277029910180101</v>
      </c>
      <c r="AI3043">
        <v>95.615560277886104</v>
      </c>
      <c r="AJ3043">
        <v>93.334875432852499</v>
      </c>
      <c r="AK3043">
        <v>11.350632156409199</v>
      </c>
      <c r="AL3043">
        <v>69.024035370153001</v>
      </c>
      <c r="AM3043">
        <v>98.6652900325372</v>
      </c>
      <c r="AN3043">
        <v>1.00000004344761</v>
      </c>
    </row>
    <row r="3044" spans="1:40" x14ac:dyDescent="0.25">
      <c r="A3044" t="str">
        <f>"20190304164430171"</f>
        <v>20190304164430171</v>
      </c>
      <c r="B3044" t="str">
        <f>"1551689070163016"</f>
        <v>1551689070163016</v>
      </c>
      <c r="C3044" t="s">
        <v>40</v>
      </c>
      <c r="D3044">
        <v>4.5175869999999998</v>
      </c>
      <c r="E3044">
        <v>0.54659419999999903</v>
      </c>
      <c r="F3044" t="s">
        <v>45</v>
      </c>
      <c r="G3044">
        <v>-397.15899999999999</v>
      </c>
      <c r="H3044" s="1">
        <v>2.272858E-6</v>
      </c>
      <c r="I3044">
        <v>213.40199999999999</v>
      </c>
      <c r="J3044">
        <v>-408.68939999999998</v>
      </c>
      <c r="K3044">
        <v>1.1106959999999999</v>
      </c>
      <c r="L3044">
        <v>212.62700000000001</v>
      </c>
      <c r="M3044">
        <v>0.99992170000000002</v>
      </c>
      <c r="N3044">
        <v>-7.2660110000000002E-3</v>
      </c>
      <c r="O3044">
        <v>1.0197879999999999E-2</v>
      </c>
      <c r="P3044">
        <v>0.92414739999999995</v>
      </c>
      <c r="Q3044">
        <v>0.35245159999999998</v>
      </c>
      <c r="R3044">
        <v>0.1474105</v>
      </c>
      <c r="S3044">
        <v>3.3285830000000001</v>
      </c>
      <c r="T3044">
        <v>-0.30974669999999999</v>
      </c>
      <c r="U3044">
        <v>0.217392</v>
      </c>
      <c r="V3044">
        <v>-0.1388431</v>
      </c>
      <c r="W3044">
        <v>0.358834599999999</v>
      </c>
      <c r="X3044">
        <v>0.92301699999999998</v>
      </c>
      <c r="Y3044">
        <v>-5.47751E-2</v>
      </c>
      <c r="Z3044">
        <v>1.8681220000000001E-3</v>
      </c>
      <c r="AA3044">
        <v>0.99849690000000002</v>
      </c>
      <c r="AB3044">
        <v>40</v>
      </c>
      <c r="AC3044">
        <v>11.530399999999901</v>
      </c>
      <c r="AD3044">
        <v>-1.1106937271420001</v>
      </c>
      <c r="AE3044">
        <v>0.77500000000000502</v>
      </c>
      <c r="AF3044">
        <v>-0.65135425338124697</v>
      </c>
      <c r="AG3044">
        <v>-1.1106937271420001</v>
      </c>
      <c r="AH3044">
        <v>11.432102857849999</v>
      </c>
      <c r="AI3044">
        <v>95.540264897542599</v>
      </c>
      <c r="AJ3044">
        <v>93.260952548248198</v>
      </c>
      <c r="AK3044">
        <v>11.5043851931067</v>
      </c>
      <c r="AL3044">
        <v>68.971358586505303</v>
      </c>
      <c r="AM3044">
        <v>98.554473847851398</v>
      </c>
      <c r="AN3044">
        <v>1.00000002943188</v>
      </c>
    </row>
    <row r="3045" spans="1:40" x14ac:dyDescent="0.25">
      <c r="A3045" t="str">
        <f>"20190304164430195"</f>
        <v>20190304164430195</v>
      </c>
      <c r="B3045" t="str">
        <f>"1551689070182535"</f>
        <v>1551689070182535</v>
      </c>
      <c r="C3045" t="s">
        <v>40</v>
      </c>
      <c r="D3045">
        <v>4.5340720000000001</v>
      </c>
      <c r="E3045">
        <v>0.54647869999999998</v>
      </c>
      <c r="F3045" t="s">
        <v>45</v>
      </c>
      <c r="G3045">
        <v>-396.66039999999998</v>
      </c>
      <c r="H3045" s="1">
        <v>2.0075210000000002E-6</v>
      </c>
      <c r="I3045">
        <v>213.4074</v>
      </c>
      <c r="J3045">
        <v>-408.27629999999999</v>
      </c>
      <c r="K3045">
        <v>1.110679</v>
      </c>
      <c r="L3045">
        <v>212.6319</v>
      </c>
      <c r="M3045">
        <v>0.99991149999999995</v>
      </c>
      <c r="N3045">
        <v>-7.2742579999999996E-3</v>
      </c>
      <c r="O3045">
        <v>1.114825E-2</v>
      </c>
      <c r="P3045">
        <v>0.92412629999999996</v>
      </c>
      <c r="Q3045">
        <v>0.35278979999999999</v>
      </c>
      <c r="R3045">
        <v>0.14673159999999999</v>
      </c>
      <c r="S3045">
        <v>3.3290099999999998</v>
      </c>
      <c r="T3045">
        <v>-0.30738219999999999</v>
      </c>
      <c r="U3045">
        <v>0.21598819999999999</v>
      </c>
      <c r="V3045">
        <v>-0.13727719999999999</v>
      </c>
      <c r="W3045">
        <v>0.3591879</v>
      </c>
      <c r="X3045">
        <v>0.92311379999999998</v>
      </c>
      <c r="Y3045">
        <v>-5.3411189999999997E-2</v>
      </c>
      <c r="Z3045">
        <v>1.7078169999999999E-3</v>
      </c>
      <c r="AA3045">
        <v>0.99857119999999999</v>
      </c>
      <c r="AB3045">
        <v>40</v>
      </c>
      <c r="AC3045">
        <v>11.6159</v>
      </c>
      <c r="AD3045">
        <v>-1.1106769924789901</v>
      </c>
      <c r="AE3045">
        <v>0.77549999999999297</v>
      </c>
      <c r="AF3045">
        <v>-0.64012499610077001</v>
      </c>
      <c r="AG3045">
        <v>-1.1106769924789901</v>
      </c>
      <c r="AH3045">
        <v>11.518977688215999</v>
      </c>
      <c r="AI3045">
        <v>95.499086160905904</v>
      </c>
      <c r="AJ3045">
        <v>93.180731572309298</v>
      </c>
      <c r="AK3045">
        <v>11.5900910425188</v>
      </c>
      <c r="AL3045">
        <v>68.949670152395598</v>
      </c>
      <c r="AM3045">
        <v>98.458524320995494</v>
      </c>
      <c r="AN3045">
        <v>1.00000003244834</v>
      </c>
    </row>
    <row r="3046" spans="1:40" x14ac:dyDescent="0.25">
      <c r="A3046" t="str">
        <f>"20190304164430216"</f>
        <v>20190304164430216</v>
      </c>
      <c r="B3046" t="str">
        <f>"1551689070203032"</f>
        <v>1551689070203032</v>
      </c>
      <c r="C3046" t="s">
        <v>40</v>
      </c>
      <c r="D3046">
        <v>4.5259019999999897</v>
      </c>
      <c r="E3046">
        <v>0.54638609999999999</v>
      </c>
      <c r="F3046" t="s">
        <v>41</v>
      </c>
      <c r="G3046">
        <v>-407.19990000000001</v>
      </c>
      <c r="H3046">
        <v>1.011463</v>
      </c>
      <c r="I3046">
        <v>212.70099999999999</v>
      </c>
      <c r="J3046">
        <v>-407.88490000000002</v>
      </c>
      <c r="K3046">
        <v>1.1106590000000001</v>
      </c>
      <c r="L3046">
        <v>212.6369</v>
      </c>
      <c r="M3046">
        <v>0.9999015</v>
      </c>
      <c r="N3046">
        <v>-7.2821830000000002E-3</v>
      </c>
      <c r="O3046">
        <v>1.199683E-2</v>
      </c>
      <c r="P3046">
        <v>0.92409129999999995</v>
      </c>
      <c r="Q3046">
        <v>0.35299269999999999</v>
      </c>
      <c r="R3046">
        <v>0.14646319999999999</v>
      </c>
      <c r="S3046">
        <v>3.3294679999999999</v>
      </c>
      <c r="T3046">
        <v>-0.3069732</v>
      </c>
      <c r="U3046">
        <v>0.21423339999999999</v>
      </c>
      <c r="V3046">
        <v>-0.13620119999999999</v>
      </c>
      <c r="W3046">
        <v>0.35941000000000001</v>
      </c>
      <c r="X3046">
        <v>0.92318670000000003</v>
      </c>
      <c r="Y3046">
        <v>-5.2040549999999998E-2</v>
      </c>
      <c r="Z3046">
        <v>1.56624E-3</v>
      </c>
      <c r="AA3046">
        <v>0.99864379999999997</v>
      </c>
      <c r="AB3046">
        <v>40</v>
      </c>
      <c r="AC3046">
        <v>0.68500000000000205</v>
      </c>
      <c r="AD3046">
        <v>-9.9196000000000006E-2</v>
      </c>
      <c r="AE3046">
        <v>6.4099999999996202E-2</v>
      </c>
      <c r="AF3046">
        <v>-5.4739396466267499E-2</v>
      </c>
      <c r="AG3046">
        <v>-9.9196000000000006E-2</v>
      </c>
      <c r="AH3046">
        <v>0.67175501564647999</v>
      </c>
      <c r="AI3046">
        <v>98.372630971395793</v>
      </c>
      <c r="AJ3046">
        <v>94.658576304209006</v>
      </c>
      <c r="AK3046">
        <v>0.68124228361699202</v>
      </c>
      <c r="AL3046">
        <v>68.936033446885901</v>
      </c>
      <c r="AM3046">
        <v>98.392519816676995</v>
      </c>
      <c r="AN3046">
        <v>0.99999999901916403</v>
      </c>
    </row>
    <row r="3047" spans="1:40" x14ac:dyDescent="0.25">
      <c r="A3047" t="str">
        <f>"20190304164430238"</f>
        <v>20190304164430238</v>
      </c>
      <c r="B3047" t="str">
        <f>"1551689070233288"</f>
        <v>1551689070233288</v>
      </c>
      <c r="C3047" t="s">
        <v>40</v>
      </c>
      <c r="D3047">
        <v>4.5247950000000001</v>
      </c>
      <c r="E3047">
        <v>0.54628829999999995</v>
      </c>
      <c r="F3047" t="s">
        <v>41</v>
      </c>
      <c r="G3047">
        <v>-406.83780000000002</v>
      </c>
      <c r="H3047">
        <v>1.0140769999999999</v>
      </c>
      <c r="I3047">
        <v>212.7037</v>
      </c>
      <c r="J3047">
        <v>-407.49200000000002</v>
      </c>
      <c r="K3047">
        <v>1.110622</v>
      </c>
      <c r="L3047">
        <v>212.64230000000001</v>
      </c>
      <c r="M3047">
        <v>0.99989159999999999</v>
      </c>
      <c r="N3047">
        <v>-7.2898889999999999E-3</v>
      </c>
      <c r="O3047">
        <v>1.279742E-2</v>
      </c>
      <c r="P3047">
        <v>0.92412260000000002</v>
      </c>
      <c r="Q3047">
        <v>0.35295989999999999</v>
      </c>
      <c r="R3047">
        <v>0.14634430000000001</v>
      </c>
      <c r="S3047">
        <v>3.3301090000000002</v>
      </c>
      <c r="T3047">
        <v>-0.30727339999999997</v>
      </c>
      <c r="U3047">
        <v>0.21272279999999999</v>
      </c>
      <c r="V3047">
        <v>-0.13530899999999901</v>
      </c>
      <c r="W3047">
        <v>0.35939890000000002</v>
      </c>
      <c r="X3047">
        <v>0.92332219999999998</v>
      </c>
      <c r="Y3047">
        <v>-5.0785740000000003E-2</v>
      </c>
      <c r="Z3047">
        <v>1.437458E-3</v>
      </c>
      <c r="AA3047">
        <v>0.9987085</v>
      </c>
      <c r="AB3047">
        <v>40</v>
      </c>
      <c r="AC3047">
        <v>0.65419999999994605</v>
      </c>
      <c r="AD3047">
        <v>-9.6544999999999798E-2</v>
      </c>
      <c r="AE3047">
        <v>6.1399999999991899E-2</v>
      </c>
      <c r="AF3047">
        <v>-5.1902169088616001E-2</v>
      </c>
      <c r="AG3047">
        <v>-9.6544999999999798E-2</v>
      </c>
      <c r="AH3047">
        <v>0.64109176865846895</v>
      </c>
      <c r="AI3047">
        <v>98.536568028451001</v>
      </c>
      <c r="AJ3047">
        <v>94.628516140086404</v>
      </c>
      <c r="AK3047">
        <v>0.65039482472014398</v>
      </c>
      <c r="AL3047">
        <v>68.936714766929398</v>
      </c>
      <c r="AM3047">
        <v>98.337112726965501</v>
      </c>
      <c r="AN3047">
        <v>0.99999998990752403</v>
      </c>
    </row>
    <row r="3048" spans="1:40" x14ac:dyDescent="0.25">
      <c r="A3048" t="str">
        <f>"20190304164430260"</f>
        <v>20190304164430260</v>
      </c>
      <c r="B3048" t="str">
        <f>"1551689070252808"</f>
        <v>1551689070252808</v>
      </c>
      <c r="C3048" t="s">
        <v>40</v>
      </c>
      <c r="D3048">
        <v>4.5431280000000003</v>
      </c>
      <c r="E3048">
        <v>0.54628460000000001</v>
      </c>
      <c r="F3048" t="s">
        <v>41</v>
      </c>
      <c r="G3048">
        <v>-406.4744</v>
      </c>
      <c r="H3048">
        <v>1.016157</v>
      </c>
      <c r="I3048">
        <v>212.7073</v>
      </c>
      <c r="J3048">
        <v>-407.08449999999999</v>
      </c>
      <c r="K3048">
        <v>1.1105609999999999</v>
      </c>
      <c r="L3048">
        <v>212.6481</v>
      </c>
      <c r="M3048">
        <v>0.99988149999999998</v>
      </c>
      <c r="N3048">
        <v>-7.2977379999999998E-3</v>
      </c>
      <c r="O3048">
        <v>1.354784E-2</v>
      </c>
      <c r="P3048">
        <v>0.92406699999999997</v>
      </c>
      <c r="Q3048">
        <v>0.35311110000000001</v>
      </c>
      <c r="R3048">
        <v>0.1463313</v>
      </c>
      <c r="S3048">
        <v>3.3307799999999999</v>
      </c>
      <c r="T3048">
        <v>-0.3091836</v>
      </c>
      <c r="U3048">
        <v>0.21258540000000001</v>
      </c>
      <c r="V3048">
        <v>-0.13455500000000001</v>
      </c>
      <c r="W3048">
        <v>0.35957689999999998</v>
      </c>
      <c r="X3048">
        <v>0.92336309999999999</v>
      </c>
      <c r="Y3048">
        <v>-4.9986679999999999E-2</v>
      </c>
      <c r="Z3048">
        <v>1.340848E-3</v>
      </c>
      <c r="AA3048">
        <v>0.998749</v>
      </c>
      <c r="AB3048">
        <v>40</v>
      </c>
      <c r="AC3048">
        <v>0.61009999999998799</v>
      </c>
      <c r="AD3048">
        <v>-9.4404000000000099E-2</v>
      </c>
      <c r="AE3048">
        <v>5.9200000000004097E-2</v>
      </c>
      <c r="AF3048">
        <v>-4.9748783371920201E-2</v>
      </c>
      <c r="AG3048">
        <v>-9.4404000000000099E-2</v>
      </c>
      <c r="AH3048">
        <v>0.59669269912365197</v>
      </c>
      <c r="AI3048">
        <v>98.959786481742398</v>
      </c>
      <c r="AJ3048">
        <v>94.765967683667597</v>
      </c>
      <c r="AK3048">
        <v>0.60615941290262498</v>
      </c>
      <c r="AL3048">
        <v>68.925785820815193</v>
      </c>
      <c r="AM3048">
        <v>98.290940238062603</v>
      </c>
      <c r="AN3048">
        <v>1.0000000047401101</v>
      </c>
    </row>
    <row r="3049" spans="1:40" x14ac:dyDescent="0.25">
      <c r="A3049" t="str">
        <f>"20190304164430284"</f>
        <v>20190304164430284</v>
      </c>
      <c r="B3049" t="str">
        <f>"1551689070273304"</f>
        <v>1551689070273304</v>
      </c>
      <c r="C3049" t="s">
        <v>40</v>
      </c>
      <c r="D3049">
        <v>4.5477439999999998</v>
      </c>
      <c r="E3049">
        <v>0.54635919999999905</v>
      </c>
      <c r="F3049" t="s">
        <v>45</v>
      </c>
      <c r="G3049">
        <v>-395.1232</v>
      </c>
      <c r="H3049" s="1">
        <v>1.1895269999999999E-6</v>
      </c>
      <c r="I3049">
        <v>213.4074</v>
      </c>
      <c r="J3049">
        <v>-406.66300000000001</v>
      </c>
      <c r="K3049">
        <v>1.110484</v>
      </c>
      <c r="L3049">
        <v>212.65430000000001</v>
      </c>
      <c r="M3049">
        <v>0.9998726</v>
      </c>
      <c r="N3049">
        <v>-7.3059600000000002E-3</v>
      </c>
      <c r="O3049">
        <v>1.420067E-2</v>
      </c>
      <c r="P3049">
        <v>0.92401739999999999</v>
      </c>
      <c r="Q3049">
        <v>0.35298350000000001</v>
      </c>
      <c r="R3049">
        <v>0.146951</v>
      </c>
      <c r="S3049">
        <v>3.331207</v>
      </c>
      <c r="T3049">
        <v>-0.30929050000000002</v>
      </c>
      <c r="U3049">
        <v>0.21147160000000001</v>
      </c>
      <c r="V3049">
        <v>-0.134499799999999</v>
      </c>
      <c r="W3049">
        <v>0.35948350000000001</v>
      </c>
      <c r="X3049">
        <v>0.92340750000000005</v>
      </c>
      <c r="Y3049">
        <v>-4.9000639999999998E-2</v>
      </c>
      <c r="Z3049">
        <v>1.2365099999999999E-3</v>
      </c>
      <c r="AA3049">
        <v>0.99879799999999996</v>
      </c>
      <c r="AB3049">
        <v>40</v>
      </c>
      <c r="AC3049">
        <v>11.5398</v>
      </c>
      <c r="AD3049">
        <v>-1.110482810473</v>
      </c>
      <c r="AE3049">
        <v>0.753099999999989</v>
      </c>
      <c r="AF3049">
        <v>-0.58376388434426896</v>
      </c>
      <c r="AG3049">
        <v>-1.110482810473</v>
      </c>
      <c r="AH3049">
        <v>11.443806975802699</v>
      </c>
      <c r="AI3049">
        <v>95.535355461190605</v>
      </c>
      <c r="AJ3049">
        <v>92.920203081557503</v>
      </c>
      <c r="AK3049">
        <v>11.51237032259</v>
      </c>
      <c r="AL3049">
        <v>68.931520548957295</v>
      </c>
      <c r="AM3049">
        <v>98.287193250839593</v>
      </c>
      <c r="AN3049">
        <v>0.99999999701427</v>
      </c>
    </row>
    <row r="3050" spans="1:40" x14ac:dyDescent="0.25">
      <c r="A3050" t="str">
        <f>"20190304164430304"</f>
        <v>20190304164430304</v>
      </c>
      <c r="B3050" t="str">
        <f>"1551689070292824"</f>
        <v>1551689070292824</v>
      </c>
      <c r="C3050" t="s">
        <v>40</v>
      </c>
      <c r="D3050">
        <v>4.4813179999999999</v>
      </c>
      <c r="E3050">
        <v>0.54649599999999998</v>
      </c>
      <c r="F3050" t="s">
        <v>45</v>
      </c>
      <c r="G3050">
        <v>-394.71350000000001</v>
      </c>
      <c r="H3050" s="1">
        <v>9.714823000000001E-7</v>
      </c>
      <c r="I3050">
        <v>213.4127</v>
      </c>
      <c r="J3050">
        <v>-406.29149999999998</v>
      </c>
      <c r="K3050">
        <v>1.1103860000000001</v>
      </c>
      <c r="L3050">
        <v>212.65989999999999</v>
      </c>
      <c r="M3050">
        <v>0.99986600000000003</v>
      </c>
      <c r="N3050">
        <v>-7.3132419999999898E-3</v>
      </c>
      <c r="O3050">
        <v>1.4648420000000001E-2</v>
      </c>
      <c r="P3050">
        <v>0.92400930000000003</v>
      </c>
      <c r="Q3050">
        <v>0.35266979999999998</v>
      </c>
      <c r="R3050">
        <v>0.147753299999999</v>
      </c>
      <c r="S3050">
        <v>3.3313290000000002</v>
      </c>
      <c r="T3050">
        <v>-0.3095849</v>
      </c>
      <c r="U3050">
        <v>0.21144099999999999</v>
      </c>
      <c r="V3050">
        <v>-0.13480539999999999</v>
      </c>
      <c r="W3050">
        <v>0.3592071</v>
      </c>
      <c r="X3050">
        <v>0.92347049999999997</v>
      </c>
      <c r="Y3050">
        <v>-4.8545360000000003E-2</v>
      </c>
      <c r="Z3050">
        <v>1.1767030000000001E-3</v>
      </c>
      <c r="AA3050">
        <v>0.99882029999999999</v>
      </c>
      <c r="AB3050">
        <v>40</v>
      </c>
      <c r="AC3050">
        <v>11.5779999999999</v>
      </c>
      <c r="AD3050">
        <v>-1.1103850285176999</v>
      </c>
      <c r="AE3050">
        <v>0.75280000000000702</v>
      </c>
      <c r="AF3050">
        <v>-0.57782300940727005</v>
      </c>
      <c r="AG3050">
        <v>-1.1103850285176999</v>
      </c>
      <c r="AH3050">
        <v>11.4826160542467</v>
      </c>
      <c r="AI3050">
        <v>95.516470950854696</v>
      </c>
      <c r="AJ3050">
        <v>92.880782303039496</v>
      </c>
      <c r="AK3050">
        <v>11.5506409255504</v>
      </c>
      <c r="AL3050">
        <v>68.948490700441695</v>
      </c>
      <c r="AM3050">
        <v>98.305201650956107</v>
      </c>
      <c r="AN3050">
        <v>1.0000000004648999</v>
      </c>
    </row>
    <row r="3051" spans="1:40" x14ac:dyDescent="0.25">
      <c r="A3051" t="str">
        <f>"20190304164430327"</f>
        <v>20190304164430327</v>
      </c>
      <c r="B3051" t="str">
        <f>"1551689070323080"</f>
        <v>1551689070323080</v>
      </c>
      <c r="C3051" t="s">
        <v>40</v>
      </c>
      <c r="D3051">
        <v>4.5511019999999904</v>
      </c>
      <c r="E3051">
        <v>0.55160669999999901</v>
      </c>
      <c r="F3051" t="s">
        <v>45</v>
      </c>
      <c r="G3051">
        <v>-394.38889999999998</v>
      </c>
      <c r="H3051" s="1">
        <v>7.9878109999999897E-7</v>
      </c>
      <c r="I3051">
        <v>213.41990000000001</v>
      </c>
      <c r="J3051">
        <v>-405.87990000000002</v>
      </c>
      <c r="K3051">
        <v>1.110263</v>
      </c>
      <c r="L3051">
        <v>212.6662</v>
      </c>
      <c r="M3051">
        <v>0.99986079999999999</v>
      </c>
      <c r="N3051">
        <v>-7.321475E-3</v>
      </c>
      <c r="O3051">
        <v>1.4992399999999999E-2</v>
      </c>
      <c r="P3051">
        <v>0.92425299999999999</v>
      </c>
      <c r="Q3051">
        <v>0.35194189999999997</v>
      </c>
      <c r="R3051">
        <v>0.14796489999999901</v>
      </c>
      <c r="S3051">
        <v>3.3313290000000002</v>
      </c>
      <c r="T3051">
        <v>-0.31077900000000003</v>
      </c>
      <c r="U3051">
        <v>0.21270749999999999</v>
      </c>
      <c r="V3051">
        <v>-0.1345867</v>
      </c>
      <c r="W3051">
        <v>0.35852919999999999</v>
      </c>
      <c r="X3051">
        <v>0.92376579999999997</v>
      </c>
      <c r="Y3051">
        <v>-4.8579789999999998E-2</v>
      </c>
      <c r="Z3051">
        <v>1.152702E-3</v>
      </c>
      <c r="AA3051">
        <v>0.9988186</v>
      </c>
      <c r="AB3051">
        <v>41</v>
      </c>
      <c r="AC3051">
        <v>11.491</v>
      </c>
      <c r="AD3051">
        <v>-1.1102622012188901</v>
      </c>
      <c r="AE3051">
        <v>0.75370000000000903</v>
      </c>
      <c r="AF3051">
        <v>-0.57597900671365798</v>
      </c>
      <c r="AG3051">
        <v>-1.1102622012188901</v>
      </c>
      <c r="AH3051">
        <v>11.3950858914941</v>
      </c>
      <c r="AI3051">
        <v>95.557907304857906</v>
      </c>
      <c r="AJ3051">
        <v>92.893624877210002</v>
      </c>
      <c r="AK3051">
        <v>11.463525480678101</v>
      </c>
      <c r="AL3051">
        <v>68.990103618424399</v>
      </c>
      <c r="AM3051">
        <v>98.289301461422994</v>
      </c>
      <c r="AN3051">
        <v>1.0000000101595801</v>
      </c>
    </row>
    <row r="3052" spans="1:40" x14ac:dyDescent="0.25">
      <c r="A3052" t="str">
        <f>"20190304164430350"</f>
        <v>20190304164430350</v>
      </c>
      <c r="B3052" t="str">
        <f>"1551689070342600"</f>
        <v>1551689070342600</v>
      </c>
      <c r="C3052" t="s">
        <v>40</v>
      </c>
      <c r="D3052">
        <v>4.5532320000000004</v>
      </c>
      <c r="E3052">
        <v>0.55581610000000004</v>
      </c>
      <c r="F3052" t="s">
        <v>45</v>
      </c>
      <c r="G3052">
        <v>-390.28320000000002</v>
      </c>
      <c r="H3052" s="1">
        <v>-1.386079E-6</v>
      </c>
      <c r="I3052">
        <v>213.45339999999999</v>
      </c>
      <c r="J3052">
        <v>-405.46129999999999</v>
      </c>
      <c r="K3052">
        <v>1.110115</v>
      </c>
      <c r="L3052">
        <v>212.67250000000001</v>
      </c>
      <c r="M3052">
        <v>0.99985800000000002</v>
      </c>
      <c r="N3052">
        <v>-7.3301269999999996E-3</v>
      </c>
      <c r="O3052">
        <v>1.517199E-2</v>
      </c>
      <c r="P3052">
        <v>0.9244272</v>
      </c>
      <c r="Q3052">
        <v>0.35118110000000002</v>
      </c>
      <c r="R3052">
        <v>0.14868199999999901</v>
      </c>
      <c r="S3052">
        <v>3.3088069999999998</v>
      </c>
      <c r="T3052">
        <v>-0.23553969999999999</v>
      </c>
      <c r="U3052">
        <v>0.167007399999999</v>
      </c>
      <c r="V3052">
        <v>-0.1350121</v>
      </c>
      <c r="W3052">
        <v>0.35782320000000001</v>
      </c>
      <c r="X3052">
        <v>0.92397739999999995</v>
      </c>
      <c r="Y3052">
        <v>-3.5183369999999999E-2</v>
      </c>
      <c r="Z3052">
        <v>4.1229839999999999E-4</v>
      </c>
      <c r="AA3052">
        <v>0.99938079999999996</v>
      </c>
      <c r="AB3052">
        <v>41</v>
      </c>
      <c r="AC3052">
        <v>15.178099999999899</v>
      </c>
      <c r="AD3052">
        <v>-1.110116386079</v>
      </c>
      <c r="AE3052">
        <v>0.78089999999997395</v>
      </c>
      <c r="AF3052">
        <v>-0.54760035686785802</v>
      </c>
      <c r="AG3052">
        <v>-1.110116386079</v>
      </c>
      <c r="AH3052">
        <v>15.107598316539599</v>
      </c>
      <c r="AI3052">
        <v>94.199830953006099</v>
      </c>
      <c r="AJ3052">
        <v>92.075873279097195</v>
      </c>
      <c r="AK3052">
        <v>15.1582238878898</v>
      </c>
      <c r="AL3052">
        <v>69.033428074906595</v>
      </c>
      <c r="AM3052">
        <v>98.313258774976006</v>
      </c>
      <c r="AN3052">
        <v>0.99999997265770402</v>
      </c>
    </row>
    <row r="3053" spans="1:40" x14ac:dyDescent="0.25">
      <c r="A3053" t="str">
        <f>"20190304164430372"</f>
        <v>20190304164430372</v>
      </c>
      <c r="B3053" t="str">
        <f>"1551689070363096"</f>
        <v>1551689070363096</v>
      </c>
      <c r="C3053" t="s">
        <v>40</v>
      </c>
      <c r="D3053">
        <v>4.5394949999999996</v>
      </c>
      <c r="E3053">
        <v>0.55606560000000005</v>
      </c>
      <c r="F3053" t="s">
        <v>41</v>
      </c>
      <c r="G3053">
        <v>-404.66090000000003</v>
      </c>
      <c r="H3053">
        <v>1.0307200000000001</v>
      </c>
      <c r="I3053">
        <v>212.70760000000001</v>
      </c>
      <c r="J3053">
        <v>-405.04820000000001</v>
      </c>
      <c r="K3053">
        <v>1.1099619999999999</v>
      </c>
      <c r="L3053">
        <v>212.6788</v>
      </c>
      <c r="M3053">
        <v>0.99985780000000002</v>
      </c>
      <c r="N3053">
        <v>-7.3389429999999997E-3</v>
      </c>
      <c r="O3053">
        <v>1.517348E-2</v>
      </c>
      <c r="P3053">
        <v>0.9245719</v>
      </c>
      <c r="Q3053">
        <v>0.3508289</v>
      </c>
      <c r="R3053">
        <v>0.1486131</v>
      </c>
      <c r="S3053">
        <v>3.3475950000000001</v>
      </c>
      <c r="T3053">
        <v>-0.33211390000000002</v>
      </c>
      <c r="U3053">
        <v>0.1478882</v>
      </c>
      <c r="V3053">
        <v>-0.13481119999999999</v>
      </c>
      <c r="W3053">
        <v>0.35752840000000002</v>
      </c>
      <c r="X3053">
        <v>0.92412090000000002</v>
      </c>
      <c r="Y3053">
        <v>-2.888191E-2</v>
      </c>
      <c r="Z3053">
        <v>1.4508570000000001E-4</v>
      </c>
      <c r="AA3053">
        <v>0.99958279999999999</v>
      </c>
      <c r="AB3053">
        <v>41</v>
      </c>
      <c r="AC3053">
        <v>0.38729999999998199</v>
      </c>
      <c r="AD3053">
        <v>-7.9242000000000007E-2</v>
      </c>
      <c r="AE3053">
        <v>2.8800000000018099E-2</v>
      </c>
      <c r="AF3053">
        <v>-2.2003787835827199E-2</v>
      </c>
      <c r="AG3053">
        <v>-7.9242000000000007E-2</v>
      </c>
      <c r="AH3053">
        <v>0.37219732228691599</v>
      </c>
      <c r="AI3053">
        <v>101.99866015038801</v>
      </c>
      <c r="AJ3053">
        <v>93.383308867029797</v>
      </c>
      <c r="AK3053">
        <v>0.38117490468376197</v>
      </c>
      <c r="AL3053">
        <v>69.051516620024302</v>
      </c>
      <c r="AM3053">
        <v>98.299789975240103</v>
      </c>
      <c r="AN3053">
        <v>1.0000000271344001</v>
      </c>
    </row>
    <row r="3054" spans="1:40" x14ac:dyDescent="0.25">
      <c r="A3054" t="str">
        <f>"20190304164430394"</f>
        <v>20190304164430394</v>
      </c>
      <c r="B3054" t="str">
        <f>"1551689070382619"</f>
        <v>1551689070382619</v>
      </c>
      <c r="C3054" t="s">
        <v>40</v>
      </c>
      <c r="D3054">
        <v>4.5484600000000004</v>
      </c>
      <c r="E3054">
        <v>0.5556759</v>
      </c>
      <c r="F3054" t="s">
        <v>41</v>
      </c>
      <c r="G3054">
        <v>-404.2867</v>
      </c>
      <c r="H3054">
        <v>1.0347379999999999</v>
      </c>
      <c r="I3054">
        <v>212.71260000000001</v>
      </c>
      <c r="J3054">
        <v>-404.65809999999999</v>
      </c>
      <c r="K3054">
        <v>1.10982</v>
      </c>
      <c r="L3054">
        <v>212.68459999999999</v>
      </c>
      <c r="M3054">
        <v>0.99986019999999998</v>
      </c>
      <c r="N3054">
        <v>-7.3474869999999998E-3</v>
      </c>
      <c r="O3054">
        <v>1.5016359999999999E-2</v>
      </c>
      <c r="P3054">
        <v>0.924647</v>
      </c>
      <c r="Q3054">
        <v>0.35057339999999998</v>
      </c>
      <c r="R3054">
        <v>0.14874849999999901</v>
      </c>
      <c r="S3054">
        <v>3.3463440000000002</v>
      </c>
      <c r="T3054">
        <v>-0.330627</v>
      </c>
      <c r="U3054">
        <v>0.14840699999999901</v>
      </c>
      <c r="V3054">
        <v>-0.13496820000000001</v>
      </c>
      <c r="W3054">
        <v>0.35732750000000002</v>
      </c>
      <c r="X3054">
        <v>0.92417570000000004</v>
      </c>
      <c r="Y3054">
        <v>-2.9208399999999999E-2</v>
      </c>
      <c r="Z3054">
        <v>1.7724329999999999E-4</v>
      </c>
      <c r="AA3054">
        <v>0.9995733</v>
      </c>
      <c r="AB3054">
        <v>41</v>
      </c>
      <c r="AC3054">
        <v>0.37139999999999401</v>
      </c>
      <c r="AD3054">
        <v>-7.5082000000000093E-2</v>
      </c>
      <c r="AE3054">
        <v>2.8000000000019998E-2</v>
      </c>
      <c r="AF3054">
        <v>-2.1544117823384799E-2</v>
      </c>
      <c r="AG3054">
        <v>-7.5082000000000093E-2</v>
      </c>
      <c r="AH3054">
        <v>0.35726043792384798</v>
      </c>
      <c r="AI3054">
        <v>101.847668660671</v>
      </c>
      <c r="AJ3054">
        <v>93.450967007653304</v>
      </c>
      <c r="AK3054">
        <v>0.36569998118994701</v>
      </c>
      <c r="AL3054">
        <v>69.063841816651106</v>
      </c>
      <c r="AM3054">
        <v>98.308835125958893</v>
      </c>
      <c r="AN3054">
        <v>1.00000004086898</v>
      </c>
    </row>
    <row r="3055" spans="1:40" x14ac:dyDescent="0.25">
      <c r="A3055" t="str">
        <f>"20190304164430417"</f>
        <v>20190304164430417</v>
      </c>
      <c r="B3055" t="str">
        <f>"1551689070412872"</f>
        <v>1551689070412872</v>
      </c>
      <c r="C3055" t="s">
        <v>40</v>
      </c>
      <c r="D3055">
        <v>4.4660869999999999</v>
      </c>
      <c r="E3055">
        <v>0.55586029999999997</v>
      </c>
      <c r="F3055" t="s">
        <v>45</v>
      </c>
      <c r="G3055">
        <v>-393.46249999999998</v>
      </c>
      <c r="H3055" s="1">
        <v>3.0579279999999998E-7</v>
      </c>
      <c r="I3055">
        <v>213.2021</v>
      </c>
      <c r="J3055">
        <v>-404.23079999999999</v>
      </c>
      <c r="K3055">
        <v>1.109674</v>
      </c>
      <c r="L3055">
        <v>212.69069999999999</v>
      </c>
      <c r="M3055">
        <v>0.99986509999999995</v>
      </c>
      <c r="N3055">
        <v>-7.3568399999999999E-3</v>
      </c>
      <c r="O3055">
        <v>1.468646E-2</v>
      </c>
      <c r="P3055">
        <v>0.92504549999999997</v>
      </c>
      <c r="Q3055">
        <v>0.34998509999999999</v>
      </c>
      <c r="R3055">
        <v>0.14765210000000001</v>
      </c>
      <c r="S3055">
        <v>3.345367</v>
      </c>
      <c r="T3055">
        <v>-0.33162839999999999</v>
      </c>
      <c r="U3055">
        <v>0.154647799999999</v>
      </c>
      <c r="V3055">
        <v>-0.13404569999999999</v>
      </c>
      <c r="W3055">
        <v>0.35679840000000002</v>
      </c>
      <c r="X3055">
        <v>0.92451430000000001</v>
      </c>
      <c r="Y3055">
        <v>-3.1398500000000003E-2</v>
      </c>
      <c r="Z3055">
        <v>3.2388289999999998E-4</v>
      </c>
      <c r="AA3055">
        <v>0.99950689999999998</v>
      </c>
      <c r="AB3055">
        <v>41</v>
      </c>
      <c r="AC3055">
        <v>10.7683</v>
      </c>
      <c r="AD3055">
        <v>-1.1096736942071901</v>
      </c>
      <c r="AE3055">
        <v>0.51140000000000896</v>
      </c>
      <c r="AF3055">
        <v>-0.34948937295529298</v>
      </c>
      <c r="AG3055">
        <v>-1.1096736942071901</v>
      </c>
      <c r="AH3055">
        <v>10.6616844679971</v>
      </c>
      <c r="AI3055">
        <v>95.938813288820896</v>
      </c>
      <c r="AJ3055">
        <v>91.877479918656803</v>
      </c>
      <c r="AK3055">
        <v>10.7249724579858</v>
      </c>
      <c r="AL3055">
        <v>69.096295939575597</v>
      </c>
      <c r="AM3055">
        <v>98.2498486266485</v>
      </c>
      <c r="AN3055">
        <v>1.0000000194177601</v>
      </c>
    </row>
    <row r="3056" spans="1:40" x14ac:dyDescent="0.25">
      <c r="A3056" t="str">
        <f>"20190304164430439"</f>
        <v>20190304164430439</v>
      </c>
      <c r="B3056" t="str">
        <f>"1551689070433383"</f>
        <v>1551689070433383</v>
      </c>
      <c r="C3056" t="s">
        <v>40</v>
      </c>
      <c r="D3056">
        <v>4.5395269999999996</v>
      </c>
      <c r="E3056">
        <v>0.55618369999999995</v>
      </c>
      <c r="F3056" t="s">
        <v>41</v>
      </c>
      <c r="G3056">
        <v>-403.20589999999999</v>
      </c>
      <c r="H3056">
        <v>1.0110170000000001</v>
      </c>
      <c r="I3056">
        <v>212.73660000000001</v>
      </c>
      <c r="J3056">
        <v>-403.81950000000001</v>
      </c>
      <c r="K3056">
        <v>1.1095520000000001</v>
      </c>
      <c r="L3056">
        <v>212.69649999999999</v>
      </c>
      <c r="M3056">
        <v>0.99987119999999996</v>
      </c>
      <c r="N3056">
        <v>-7.3656819999999897E-3</v>
      </c>
      <c r="O3056">
        <v>1.4261340000000001E-2</v>
      </c>
      <c r="P3056">
        <v>0.92538200000000004</v>
      </c>
      <c r="Q3056">
        <v>0.34996870000000002</v>
      </c>
      <c r="R3056">
        <v>0.1455697</v>
      </c>
      <c r="S3056">
        <v>3.3407589999999998</v>
      </c>
      <c r="T3056">
        <v>-0.32173679999999999</v>
      </c>
      <c r="U3056">
        <v>0.15069579999999999</v>
      </c>
      <c r="V3056">
        <v>-0.1322468</v>
      </c>
      <c r="W3056">
        <v>0.35683090000000001</v>
      </c>
      <c r="X3056">
        <v>0.92476080000000005</v>
      </c>
      <c r="Y3056">
        <v>-3.0714040000000001E-2</v>
      </c>
      <c r="Z3056">
        <v>3.2360359999999999E-4</v>
      </c>
      <c r="AA3056">
        <v>0.99952819999999998</v>
      </c>
      <c r="AB3056">
        <v>41</v>
      </c>
      <c r="AC3056">
        <v>0.61360000000001902</v>
      </c>
      <c r="AD3056">
        <v>-9.8534999999999998E-2</v>
      </c>
      <c r="AE3056">
        <v>4.01000000000237E-2</v>
      </c>
      <c r="AF3056">
        <v>-3.0560204507233301E-2</v>
      </c>
      <c r="AG3056">
        <v>-9.8534999999999998E-2</v>
      </c>
      <c r="AH3056">
        <v>0.59873522787780997</v>
      </c>
      <c r="AI3056">
        <v>99.333569941921198</v>
      </c>
      <c r="AJ3056">
        <v>92.921913528551997</v>
      </c>
      <c r="AK3056">
        <v>0.607558182749946</v>
      </c>
      <c r="AL3056">
        <v>69.094302678927306</v>
      </c>
      <c r="AM3056">
        <v>98.138488237450105</v>
      </c>
      <c r="AN3056">
        <v>1.0000000222608401</v>
      </c>
    </row>
    <row r="3057" spans="1:40" x14ac:dyDescent="0.25">
      <c r="A3057" t="str">
        <f>"20190304164430461"</f>
        <v>20190304164430461</v>
      </c>
      <c r="B3057" t="str">
        <f>"1551689070452888"</f>
        <v>1551689070452888</v>
      </c>
      <c r="C3057" t="s">
        <v>40</v>
      </c>
      <c r="D3057">
        <v>4.5156280000000004</v>
      </c>
      <c r="E3057">
        <v>0.55562630000000002</v>
      </c>
      <c r="F3057" t="s">
        <v>41</v>
      </c>
      <c r="G3057">
        <v>-402.83550000000002</v>
      </c>
      <c r="H3057">
        <v>1.0147330000000001</v>
      </c>
      <c r="I3057">
        <v>212.7388</v>
      </c>
      <c r="J3057">
        <v>-403.40429999999998</v>
      </c>
      <c r="K3057">
        <v>1.109445</v>
      </c>
      <c r="L3057">
        <v>212.702</v>
      </c>
      <c r="M3057">
        <v>0.9998783</v>
      </c>
      <c r="N3057">
        <v>-7.3743569999999998E-3</v>
      </c>
      <c r="O3057">
        <v>1.3755659999999999E-2</v>
      </c>
      <c r="P3057">
        <v>0.92583850000000001</v>
      </c>
      <c r="Q3057">
        <v>0.35006609999999899</v>
      </c>
      <c r="R3057">
        <v>0.1423973</v>
      </c>
      <c r="S3057">
        <v>3.3410639999999998</v>
      </c>
      <c r="T3057">
        <v>-0.32201829999999998</v>
      </c>
      <c r="U3057">
        <v>0.14375309999999999</v>
      </c>
      <c r="V3057">
        <v>-0.12944710000000001</v>
      </c>
      <c r="W3057">
        <v>0.35697069999999997</v>
      </c>
      <c r="X3057">
        <v>0.92510289999999995</v>
      </c>
      <c r="Y3057">
        <v>-2.914804E-2</v>
      </c>
      <c r="Z3057">
        <v>2.8776509999999997E-4</v>
      </c>
      <c r="AA3057">
        <v>0.99957510000000005</v>
      </c>
      <c r="AB3057">
        <v>41</v>
      </c>
      <c r="AC3057">
        <v>0.56879999999995301</v>
      </c>
      <c r="AD3057">
        <v>-9.4712000000000102E-2</v>
      </c>
      <c r="AE3057">
        <v>3.67999999999995E-2</v>
      </c>
      <c r="AF3057">
        <v>-2.8193641681944999E-2</v>
      </c>
      <c r="AG3057">
        <v>-9.4712000000000102E-2</v>
      </c>
      <c r="AH3057">
        <v>0.55395727740231404</v>
      </c>
      <c r="AI3057">
        <v>99.689942298170706</v>
      </c>
      <c r="AJ3057">
        <v>92.913553333076095</v>
      </c>
      <c r="AK3057">
        <v>0.56270232766736805</v>
      </c>
      <c r="AL3057">
        <v>69.085727621442999</v>
      </c>
      <c r="AM3057">
        <v>97.965521923691696</v>
      </c>
      <c r="AN3057">
        <v>1.00000000397265</v>
      </c>
    </row>
    <row r="3058" spans="1:40" x14ac:dyDescent="0.25">
      <c r="A3058" t="str">
        <f>"20190304164430485"</f>
        <v>20190304164430485</v>
      </c>
      <c r="B3058" t="str">
        <f>"1551689070473384"</f>
        <v>1551689070473384</v>
      </c>
      <c r="C3058" t="s">
        <v>40</v>
      </c>
      <c r="D3058">
        <v>4.5378429999999996</v>
      </c>
      <c r="E3058">
        <v>0.55483930000000004</v>
      </c>
      <c r="F3058" t="s">
        <v>41</v>
      </c>
      <c r="G3058">
        <v>-402.46390000000002</v>
      </c>
      <c r="H3058">
        <v>1.019433</v>
      </c>
      <c r="I3058">
        <v>212.74109999999999</v>
      </c>
      <c r="J3058">
        <v>-402.98829999999998</v>
      </c>
      <c r="K3058">
        <v>1.109367</v>
      </c>
      <c r="L3058">
        <v>212.7073</v>
      </c>
      <c r="M3058">
        <v>0.99988589999999999</v>
      </c>
      <c r="N3058">
        <v>-7.3829639999999997E-3</v>
      </c>
      <c r="O3058">
        <v>1.3197850000000001E-2</v>
      </c>
      <c r="P3058">
        <v>0.9263247</v>
      </c>
      <c r="Q3058">
        <v>0.35052909999999998</v>
      </c>
      <c r="R3058">
        <v>0.1380306</v>
      </c>
      <c r="S3058">
        <v>3.3398129999999999</v>
      </c>
      <c r="T3058">
        <v>-0.31971379999999999</v>
      </c>
      <c r="U3058">
        <v>0.139267</v>
      </c>
      <c r="V3058">
        <v>-0.12551780000000001</v>
      </c>
      <c r="W3058">
        <v>0.35746830000000002</v>
      </c>
      <c r="X3058">
        <v>0.92545219999999995</v>
      </c>
      <c r="Y3058">
        <v>-2.838417E-2</v>
      </c>
      <c r="Z3058">
        <v>2.9731799999999997E-4</v>
      </c>
      <c r="AA3058">
        <v>0.99959710000000002</v>
      </c>
      <c r="AB3058">
        <v>41</v>
      </c>
      <c r="AC3058">
        <v>0.52439999999995701</v>
      </c>
      <c r="AD3058">
        <v>-8.9933999999999903E-2</v>
      </c>
      <c r="AE3058">
        <v>3.3799999999985099E-2</v>
      </c>
      <c r="AF3058">
        <v>-2.6111117403842601E-2</v>
      </c>
      <c r="AG3058">
        <v>-8.9933999999999903E-2</v>
      </c>
      <c r="AH3058">
        <v>0.50986634970400702</v>
      </c>
      <c r="AI3058">
        <v>99.990529454523895</v>
      </c>
      <c r="AJ3058">
        <v>92.931652597300797</v>
      </c>
      <c r="AK3058">
        <v>0.51839522506343205</v>
      </c>
      <c r="AL3058">
        <v>69.055204027219503</v>
      </c>
      <c r="AM3058">
        <v>97.723817135193698</v>
      </c>
      <c r="AN3058">
        <v>1.0000000390532799</v>
      </c>
    </row>
    <row r="3059" spans="1:40" x14ac:dyDescent="0.25">
      <c r="A3059" t="str">
        <f>"20190304164430517"</f>
        <v>20190304164430517</v>
      </c>
      <c r="B3059" t="str">
        <f>"1551689070513401"</f>
        <v>1551689070513401</v>
      </c>
      <c r="C3059" t="s">
        <v>40</v>
      </c>
      <c r="D3059">
        <v>4.5013059999999996</v>
      </c>
      <c r="E3059">
        <v>0.5534635</v>
      </c>
      <c r="F3059" t="s">
        <v>41</v>
      </c>
      <c r="G3059">
        <v>-402.09</v>
      </c>
      <c r="H3059">
        <v>1.025223</v>
      </c>
      <c r="I3059">
        <v>212.74289999999999</v>
      </c>
      <c r="J3059">
        <v>-402.39859999999999</v>
      </c>
      <c r="K3059">
        <v>1.109262</v>
      </c>
      <c r="L3059">
        <v>212.71449999999999</v>
      </c>
      <c r="M3059">
        <v>0.99989629999999996</v>
      </c>
      <c r="N3059">
        <v>-7.3949690000000004E-3</v>
      </c>
      <c r="O3059">
        <v>1.235934E-2</v>
      </c>
      <c r="P3059">
        <v>0.9269387</v>
      </c>
      <c r="Q3059">
        <v>0.35089989999999999</v>
      </c>
      <c r="R3059">
        <v>0.13286889999999901</v>
      </c>
      <c r="S3059">
        <v>3.337189</v>
      </c>
      <c r="T3059">
        <v>-0.31258570000000002</v>
      </c>
      <c r="U3059">
        <v>0.1323242</v>
      </c>
      <c r="V3059">
        <v>-0.121042899999999</v>
      </c>
      <c r="W3059">
        <v>0.3578788</v>
      </c>
      <c r="X3059">
        <v>0.92588950000000003</v>
      </c>
      <c r="Y3059">
        <v>-2.7184860000000002E-2</v>
      </c>
      <c r="Z3059">
        <v>3.0727499999999997E-4</v>
      </c>
      <c r="AA3059">
        <v>0.99963040000000003</v>
      </c>
      <c r="AB3059">
        <v>41</v>
      </c>
      <c r="AC3059">
        <v>0.30860000000001198</v>
      </c>
      <c r="AD3059">
        <v>-8.4038999999999905E-2</v>
      </c>
      <c r="AE3059">
        <v>2.84000000000048E-2</v>
      </c>
      <c r="AF3059">
        <v>-2.2899656911743199E-2</v>
      </c>
      <c r="AG3059">
        <v>-8.4038999999999905E-2</v>
      </c>
      <c r="AH3059">
        <v>0.28776593401122502</v>
      </c>
      <c r="AI3059">
        <v>106.23128805117</v>
      </c>
      <c r="AJ3059">
        <v>94.549859667566693</v>
      </c>
      <c r="AK3059">
        <v>0.30065957590775</v>
      </c>
      <c r="AL3059">
        <v>69.030016950747793</v>
      </c>
      <c r="AM3059">
        <v>97.448122181591998</v>
      </c>
      <c r="AN3059">
        <v>0.99999999267005002</v>
      </c>
    </row>
    <row r="3060" spans="1:40" x14ac:dyDescent="0.25">
      <c r="A3060" t="str">
        <f>"20190304164430540"</f>
        <v>20190304164430540</v>
      </c>
      <c r="B3060" t="str">
        <f>"1551689070532920"</f>
        <v>1551689070532920</v>
      </c>
      <c r="C3060" t="s">
        <v>40</v>
      </c>
      <c r="D3060">
        <v>4.5430890000000002</v>
      </c>
      <c r="E3060">
        <v>0.55286590000000002</v>
      </c>
      <c r="F3060" t="s">
        <v>41</v>
      </c>
      <c r="G3060">
        <v>-401.3535</v>
      </c>
      <c r="H3060">
        <v>1.0146299999999999</v>
      </c>
      <c r="I3060">
        <v>212.7527</v>
      </c>
      <c r="J3060">
        <v>-401.95499999999998</v>
      </c>
      <c r="K3060">
        <v>1.1092029999999999</v>
      </c>
      <c r="L3060">
        <v>212.71960000000001</v>
      </c>
      <c r="M3060">
        <v>0.99990400000000002</v>
      </c>
      <c r="N3060">
        <v>-7.4038359999999996E-3</v>
      </c>
      <c r="O3060">
        <v>1.171122E-2</v>
      </c>
      <c r="P3060">
        <v>0.92733330000000003</v>
      </c>
      <c r="Q3060">
        <v>0.35067939999999997</v>
      </c>
      <c r="R3060">
        <v>0.1306802</v>
      </c>
      <c r="S3060">
        <v>3.3332519999999999</v>
      </c>
      <c r="T3060">
        <v>-0.30175809999999997</v>
      </c>
      <c r="U3060">
        <v>0.1218109</v>
      </c>
      <c r="V3060">
        <v>-0.11940099999999999</v>
      </c>
      <c r="W3060">
        <v>0.3576838</v>
      </c>
      <c r="X3060">
        <v>0.92617799999999995</v>
      </c>
      <c r="Y3060">
        <v>-2.4744510000000001E-2</v>
      </c>
      <c r="Z3060">
        <v>2.3813560000000001E-4</v>
      </c>
      <c r="AA3060">
        <v>0.99969379999999997</v>
      </c>
      <c r="AB3060">
        <v>41</v>
      </c>
      <c r="AC3060">
        <v>0.60149999999998705</v>
      </c>
      <c r="AD3060">
        <v>-9.4573000000000199E-2</v>
      </c>
      <c r="AE3060">
        <v>3.3099999999990297E-2</v>
      </c>
      <c r="AF3060">
        <v>-2.5426569677004698E-2</v>
      </c>
      <c r="AG3060">
        <v>-9.4573000000000199E-2</v>
      </c>
      <c r="AH3060">
        <v>0.58736996354220306</v>
      </c>
      <c r="AI3060">
        <v>99.138332077558999</v>
      </c>
      <c r="AJ3060">
        <v>92.4787208105529</v>
      </c>
      <c r="AK3060">
        <v>0.59547799022810899</v>
      </c>
      <c r="AL3060">
        <v>69.041981645717698</v>
      </c>
      <c r="AM3060">
        <v>97.345939034219299</v>
      </c>
      <c r="AN3060">
        <v>0.99999999363371905</v>
      </c>
    </row>
    <row r="3061" spans="1:40" x14ac:dyDescent="0.25">
      <c r="A3061" t="str">
        <f>"20190304164430561"</f>
        <v>20190304164430561</v>
      </c>
      <c r="B3061" t="str">
        <f>"1551689070553416"</f>
        <v>1551689070553416</v>
      </c>
      <c r="C3061" t="s">
        <v>40</v>
      </c>
      <c r="D3061">
        <v>4.5112259999999997</v>
      </c>
      <c r="E3061">
        <v>0.55237219999999998</v>
      </c>
      <c r="F3061" t="s">
        <v>41</v>
      </c>
      <c r="G3061">
        <v>-400.97800000000001</v>
      </c>
      <c r="H3061">
        <v>1.0213369999999999</v>
      </c>
      <c r="I3061">
        <v>212.7535</v>
      </c>
      <c r="J3061">
        <v>-401.55549999999999</v>
      </c>
      <c r="K3061">
        <v>1.109156</v>
      </c>
      <c r="L3061">
        <v>212.72389999999999</v>
      </c>
      <c r="M3061">
        <v>0.99991070000000004</v>
      </c>
      <c r="N3061">
        <v>-7.4119989999999998E-3</v>
      </c>
      <c r="O3061">
        <v>1.1125700000000001E-2</v>
      </c>
      <c r="P3061">
        <v>0.92730679999999999</v>
      </c>
      <c r="Q3061">
        <v>0.3511032</v>
      </c>
      <c r="R3061">
        <v>0.12972519999999901</v>
      </c>
      <c r="S3061">
        <v>3.3320310000000002</v>
      </c>
      <c r="T3061">
        <v>-0.29973939999999999</v>
      </c>
      <c r="U3061">
        <v>0.11648559999999999</v>
      </c>
      <c r="V3061">
        <v>-0.11894970000000001</v>
      </c>
      <c r="W3061">
        <v>0.35812680000000002</v>
      </c>
      <c r="X3061">
        <v>0.92606480000000002</v>
      </c>
      <c r="Y3061">
        <v>-2.375068E-2</v>
      </c>
      <c r="Z3061">
        <v>2.378754E-4</v>
      </c>
      <c r="AA3061">
        <v>0.99971790000000005</v>
      </c>
      <c r="AB3061">
        <v>42</v>
      </c>
      <c r="AC3061">
        <v>0.57749999999998602</v>
      </c>
      <c r="AD3061">
        <v>-8.78189999999998E-2</v>
      </c>
      <c r="AE3061">
        <v>2.96000000000162E-2</v>
      </c>
      <c r="AF3061">
        <v>-2.2650490427122399E-2</v>
      </c>
      <c r="AG3061">
        <v>-8.78189999999998E-2</v>
      </c>
      <c r="AH3061">
        <v>0.56476781236677998</v>
      </c>
      <c r="AI3061">
        <v>98.831481700743794</v>
      </c>
      <c r="AJ3061">
        <v>92.296664809592599</v>
      </c>
      <c r="AK3061">
        <v>0.57200341202054705</v>
      </c>
      <c r="AL3061">
        <v>69.014797467090403</v>
      </c>
      <c r="AM3061">
        <v>97.319360057741306</v>
      </c>
      <c r="AN3061">
        <v>0.99999992490368195</v>
      </c>
    </row>
    <row r="3062" spans="1:40" x14ac:dyDescent="0.25">
      <c r="A3062" t="str">
        <f>"20190304164430583"</f>
        <v>20190304164430583</v>
      </c>
      <c r="B3062" t="str">
        <f>"1551689070572936"</f>
        <v>1551689070572936</v>
      </c>
      <c r="C3062" t="s">
        <v>40</v>
      </c>
      <c r="D3062">
        <v>4.5106849999999996</v>
      </c>
      <c r="E3062">
        <v>0.55196069999999997</v>
      </c>
      <c r="F3062" t="s">
        <v>41</v>
      </c>
      <c r="G3062">
        <v>-400.6026</v>
      </c>
      <c r="H3062">
        <v>1.024743</v>
      </c>
      <c r="I3062">
        <v>212.7567</v>
      </c>
      <c r="J3062">
        <v>-401.14769999999999</v>
      </c>
      <c r="K3062">
        <v>1.1091169999999999</v>
      </c>
      <c r="L3062">
        <v>212.72810000000001</v>
      </c>
      <c r="M3062">
        <v>0.9999171</v>
      </c>
      <c r="N3062">
        <v>-7.4202579999999999E-3</v>
      </c>
      <c r="O3062">
        <v>1.0529200000000001E-2</v>
      </c>
      <c r="P3062">
        <v>0.92745180000000005</v>
      </c>
      <c r="Q3062">
        <v>0.35095279999999901</v>
      </c>
      <c r="R3062">
        <v>0.1290935</v>
      </c>
      <c r="S3062">
        <v>3.330902</v>
      </c>
      <c r="T3062">
        <v>-0.2951627</v>
      </c>
      <c r="U3062">
        <v>0.1145935</v>
      </c>
      <c r="V3062">
        <v>-0.118835999999999</v>
      </c>
      <c r="W3062">
        <v>0.35799589999999998</v>
      </c>
      <c r="X3062">
        <v>0.92613009999999996</v>
      </c>
      <c r="Y3062">
        <v>-2.3791280000000001E-2</v>
      </c>
      <c r="Z3062">
        <v>2.8732250000000002E-4</v>
      </c>
      <c r="AA3062">
        <v>0.99971690000000002</v>
      </c>
      <c r="AB3062">
        <v>42</v>
      </c>
      <c r="AC3062">
        <v>0.54509999999999004</v>
      </c>
      <c r="AD3062">
        <v>-8.4373999999999894E-2</v>
      </c>
      <c r="AE3062">
        <v>2.8599999999983E-2</v>
      </c>
      <c r="AF3062">
        <v>-2.2325369492538501E-2</v>
      </c>
      <c r="AG3062">
        <v>-8.4373999999999894E-2</v>
      </c>
      <c r="AH3062">
        <v>0.53264444150010004</v>
      </c>
      <c r="AI3062">
        <v>98.993429996552393</v>
      </c>
      <c r="AJ3062">
        <v>92.400102332316607</v>
      </c>
      <c r="AK3062">
        <v>0.53974762163434498</v>
      </c>
      <c r="AL3062">
        <v>69.022831947057298</v>
      </c>
      <c r="AM3062">
        <v>97.311929481200593</v>
      </c>
      <c r="AN3062">
        <v>1.0000000107194</v>
      </c>
    </row>
    <row r="3063" spans="1:40" x14ac:dyDescent="0.25">
      <c r="A3063" t="str">
        <f>"20190304164430606"</f>
        <v>20190304164430606</v>
      </c>
      <c r="B3063" t="str">
        <f>"1551689070603192"</f>
        <v>1551689070603192</v>
      </c>
      <c r="C3063" t="s">
        <v>40</v>
      </c>
      <c r="D3063">
        <v>4.5911900000000001</v>
      </c>
      <c r="E3063">
        <v>0.5512148</v>
      </c>
      <c r="F3063" t="s">
        <v>41</v>
      </c>
      <c r="G3063">
        <v>-400.22620000000001</v>
      </c>
      <c r="H3063">
        <v>1.0278499999999999</v>
      </c>
      <c r="I3063">
        <v>212.75980000000001</v>
      </c>
      <c r="J3063">
        <v>-400.72070000000002</v>
      </c>
      <c r="K3063">
        <v>1.1090799999999901</v>
      </c>
      <c r="L3063">
        <v>212.73220000000001</v>
      </c>
      <c r="M3063">
        <v>0.99992340000000002</v>
      </c>
      <c r="N3063">
        <v>-7.4289830000000001E-3</v>
      </c>
      <c r="O3063">
        <v>9.9061610000000001E-3</v>
      </c>
      <c r="P3063">
        <v>0.92752599999999996</v>
      </c>
      <c r="Q3063">
        <v>0.35067429999999999</v>
      </c>
      <c r="R3063">
        <v>0.1293175</v>
      </c>
      <c r="S3063">
        <v>3.3297119999999998</v>
      </c>
      <c r="T3063">
        <v>-0.29372429999999999</v>
      </c>
      <c r="U3063">
        <v>0.1157074</v>
      </c>
      <c r="V3063">
        <v>-0.1196073</v>
      </c>
      <c r="W3063">
        <v>0.35773680000000002</v>
      </c>
      <c r="X3063">
        <v>0.92613089999999998</v>
      </c>
      <c r="Y3063">
        <v>-2.475494E-2</v>
      </c>
      <c r="Z3063">
        <v>3.8318150000000002E-4</v>
      </c>
      <c r="AA3063">
        <v>0.99969350000000001</v>
      </c>
      <c r="AB3063">
        <v>42</v>
      </c>
      <c r="AC3063">
        <v>0.49450000000001598</v>
      </c>
      <c r="AD3063">
        <v>-8.12299999999999E-2</v>
      </c>
      <c r="AE3063">
        <v>2.7600000000006699E-2</v>
      </c>
      <c r="AF3063">
        <v>-2.21052857988648E-2</v>
      </c>
      <c r="AG3063">
        <v>-8.12299999999999E-2</v>
      </c>
      <c r="AH3063">
        <v>0.48178910830895499</v>
      </c>
      <c r="AI3063">
        <v>99.560235974942898</v>
      </c>
      <c r="AJ3063">
        <v>92.626983337720702</v>
      </c>
      <c r="AK3063">
        <v>0.48908864375017702</v>
      </c>
      <c r="AL3063">
        <v>69.038729594448199</v>
      </c>
      <c r="AM3063">
        <v>97.3588624218456</v>
      </c>
      <c r="AN3063">
        <v>0.99999998411116897</v>
      </c>
    </row>
    <row r="3064" spans="1:40" x14ac:dyDescent="0.25">
      <c r="A3064" t="str">
        <f>"20190304164430630"</f>
        <v>20190304164430630</v>
      </c>
      <c r="B3064" t="str">
        <f>"1551689070622712"</f>
        <v>1551689070622712</v>
      </c>
      <c r="C3064" t="s">
        <v>40</v>
      </c>
      <c r="D3064">
        <v>4.5841440000000002</v>
      </c>
      <c r="E3064">
        <v>0.55078349999999998</v>
      </c>
      <c r="F3064" t="s">
        <v>41</v>
      </c>
      <c r="G3064">
        <v>-399.84769999999997</v>
      </c>
      <c r="H3064">
        <v>1.03224</v>
      </c>
      <c r="I3064">
        <v>212.76410000000001</v>
      </c>
      <c r="J3064">
        <v>-400.27659999999997</v>
      </c>
      <c r="K3064">
        <v>1.109038</v>
      </c>
      <c r="L3064">
        <v>212.7362</v>
      </c>
      <c r="M3064">
        <v>0.99992939999999997</v>
      </c>
      <c r="N3064">
        <v>-7.4384480000000003E-3</v>
      </c>
      <c r="O3064">
        <v>9.2595660000000003E-3</v>
      </c>
      <c r="P3064">
        <v>0.9272437</v>
      </c>
      <c r="Q3064">
        <v>0.35079680000000002</v>
      </c>
      <c r="R3064">
        <v>0.1309998</v>
      </c>
      <c r="S3064">
        <v>3.3280940000000001</v>
      </c>
      <c r="T3064">
        <v>-0.29297790000000001</v>
      </c>
      <c r="U3064">
        <v>0.12246700000000001</v>
      </c>
      <c r="V3064">
        <v>-0.1218658</v>
      </c>
      <c r="W3064">
        <v>0.35787839999999999</v>
      </c>
      <c r="X3064">
        <v>0.92578170000000004</v>
      </c>
      <c r="Y3064">
        <v>-2.7432950000000001E-2</v>
      </c>
      <c r="Z3064">
        <v>5.6251900000000004E-4</v>
      </c>
      <c r="AA3064">
        <v>0.9996235</v>
      </c>
      <c r="AB3064">
        <v>42</v>
      </c>
      <c r="AC3064">
        <v>0.42889999999999801</v>
      </c>
      <c r="AD3064">
        <v>-7.6797999999999894E-2</v>
      </c>
      <c r="AE3064">
        <v>2.7900000000016599E-2</v>
      </c>
      <c r="AF3064">
        <v>-2.3186982291736598E-2</v>
      </c>
      <c r="AG3064">
        <v>-7.6797999999999894E-2</v>
      </c>
      <c r="AH3064">
        <v>0.41586283738268498</v>
      </c>
      <c r="AI3064">
        <v>100.447148203293</v>
      </c>
      <c r="AJ3064">
        <v>93.191297671203003</v>
      </c>
      <c r="AK3064">
        <v>0.42352977282332199</v>
      </c>
      <c r="AL3064">
        <v>69.030041419009393</v>
      </c>
      <c r="AM3064">
        <v>97.499046534528404</v>
      </c>
      <c r="AN3064">
        <v>0.99999998922554401</v>
      </c>
    </row>
    <row r="3065" spans="1:40" x14ac:dyDescent="0.25">
      <c r="A3065" t="str">
        <f>"20190304164430651"</f>
        <v>20190304164430651</v>
      </c>
      <c r="B3065" t="str">
        <f>"1551689070643209"</f>
        <v>1551689070643209</v>
      </c>
      <c r="C3065" t="s">
        <v>40</v>
      </c>
      <c r="D3065">
        <v>4.5771269999999999</v>
      </c>
      <c r="E3065">
        <v>0.55041980000000001</v>
      </c>
      <c r="F3065" t="s">
        <v>45</v>
      </c>
      <c r="G3065">
        <v>-387.64580000000001</v>
      </c>
      <c r="H3065" s="1">
        <v>2.5924380000000001E-6</v>
      </c>
      <c r="I3065">
        <v>213.23240000000001</v>
      </c>
      <c r="J3065">
        <v>-399.86799999999999</v>
      </c>
      <c r="K3065">
        <v>1.1090100000000001</v>
      </c>
      <c r="L3065">
        <v>212.7396</v>
      </c>
      <c r="M3065">
        <v>0.99993489999999996</v>
      </c>
      <c r="N3065">
        <v>-7.4473500000000002E-3</v>
      </c>
      <c r="O3065">
        <v>8.6639600000000001E-3</v>
      </c>
      <c r="P3065">
        <v>0.92716520000000002</v>
      </c>
      <c r="Q3065">
        <v>0.3504198</v>
      </c>
      <c r="R3065">
        <v>0.13255649999999999</v>
      </c>
      <c r="S3065">
        <v>3.327515</v>
      </c>
      <c r="T3065">
        <v>-0.29216920000000002</v>
      </c>
      <c r="U3065">
        <v>0.130722</v>
      </c>
      <c r="V3065">
        <v>-0.1239582</v>
      </c>
      <c r="W3065">
        <v>0.35751809999999901</v>
      </c>
      <c r="X3065">
        <v>0.92564310000000005</v>
      </c>
      <c r="Y3065">
        <v>-3.0496659999999998E-2</v>
      </c>
      <c r="Z3065">
        <v>7.5507350000000005E-4</v>
      </c>
      <c r="AA3065">
        <v>0.99953460000000005</v>
      </c>
      <c r="AB3065">
        <v>42</v>
      </c>
      <c r="AC3065">
        <v>12.222200000000001</v>
      </c>
      <c r="AD3065">
        <v>-1.109007407562</v>
      </c>
      <c r="AE3065">
        <v>0.492800000000016</v>
      </c>
      <c r="AF3065">
        <v>-0.38373170911061799</v>
      </c>
      <c r="AG3065">
        <v>-1.109007407562</v>
      </c>
      <c r="AH3065">
        <v>12.1263341348566</v>
      </c>
      <c r="AI3065">
        <v>95.222819044134596</v>
      </c>
      <c r="AJ3065">
        <v>91.812491124984504</v>
      </c>
      <c r="AK3065">
        <v>12.18298514342</v>
      </c>
      <c r="AL3065">
        <v>69.052147672238306</v>
      </c>
      <c r="AM3065">
        <v>97.627428608075206</v>
      </c>
      <c r="AN3065">
        <v>0.99999998787623001</v>
      </c>
    </row>
    <row r="3066" spans="1:40" x14ac:dyDescent="0.25">
      <c r="A3066" t="str">
        <f>"20190304164430673"</f>
        <v>20190304164430673</v>
      </c>
      <c r="B3066" t="str">
        <f>"1551689070662730"</f>
        <v>1551689070662730</v>
      </c>
      <c r="C3066" t="s">
        <v>40</v>
      </c>
      <c r="D3066">
        <v>4.5866119999999997</v>
      </c>
      <c r="E3066">
        <v>0.55013420000000002</v>
      </c>
      <c r="F3066" t="s">
        <v>45</v>
      </c>
      <c r="G3066">
        <v>-387.26479999999998</v>
      </c>
      <c r="H3066" s="1">
        <v>2.3884330000000001E-6</v>
      </c>
      <c r="I3066">
        <v>213.26060000000001</v>
      </c>
      <c r="J3066">
        <v>-399.4622</v>
      </c>
      <c r="K3066">
        <v>1.108995</v>
      </c>
      <c r="L3066">
        <v>212.74270000000001</v>
      </c>
      <c r="M3066">
        <v>0.99993969999999999</v>
      </c>
      <c r="N3066">
        <v>-7.4562469999999896E-3</v>
      </c>
      <c r="O3066">
        <v>8.0721609999999996E-3</v>
      </c>
      <c r="P3066">
        <v>0.92668530000000005</v>
      </c>
      <c r="Q3066">
        <v>0.35106150000000003</v>
      </c>
      <c r="R3066">
        <v>0.1342035</v>
      </c>
      <c r="S3066">
        <v>3.3266300000000002</v>
      </c>
      <c r="T3066">
        <v>-0.2927227</v>
      </c>
      <c r="U3066">
        <v>0.1375122</v>
      </c>
      <c r="V3066">
        <v>-0.1261418</v>
      </c>
      <c r="W3066">
        <v>0.35817310000000002</v>
      </c>
      <c r="X3066">
        <v>0.92509470000000005</v>
      </c>
      <c r="Y3066">
        <v>-3.3122119999999998E-2</v>
      </c>
      <c r="Z3066">
        <v>9.2910490000000002E-4</v>
      </c>
      <c r="AA3066">
        <v>0.99945090000000003</v>
      </c>
      <c r="AB3066">
        <v>42</v>
      </c>
      <c r="AC3066">
        <v>12.1974</v>
      </c>
      <c r="AD3066">
        <v>-1.1089926115669999</v>
      </c>
      <c r="AE3066">
        <v>0.51789999999999703</v>
      </c>
      <c r="AF3066">
        <v>-0.415988431153689</v>
      </c>
      <c r="AG3066">
        <v>-1.1089926115669999</v>
      </c>
      <c r="AH3066">
        <v>12.101327416616201</v>
      </c>
      <c r="AI3066">
        <v>95.233013763130799</v>
      </c>
      <c r="AJ3066">
        <v>91.968792276362507</v>
      </c>
      <c r="AK3066">
        <v>12.159154420908999</v>
      </c>
      <c r="AL3066">
        <v>69.011957044766007</v>
      </c>
      <c r="AM3066">
        <v>97.764711366982795</v>
      </c>
      <c r="AN3066">
        <v>0.99999996361946897</v>
      </c>
    </row>
    <row r="3067" spans="1:40" x14ac:dyDescent="0.25">
      <c r="A3067" t="str">
        <f>"20190304164430695"</f>
        <v>20190304164430695</v>
      </c>
      <c r="B3067" t="str">
        <f>"1551689070692984"</f>
        <v>1551689070692984</v>
      </c>
      <c r="C3067" t="s">
        <v>40</v>
      </c>
      <c r="D3067">
        <v>4.5557230000000004</v>
      </c>
      <c r="E3067">
        <v>0.54967519999999903</v>
      </c>
      <c r="F3067" t="s">
        <v>45</v>
      </c>
      <c r="G3067">
        <v>-386.73140000000001</v>
      </c>
      <c r="H3067" s="1">
        <v>2.102708E-6</v>
      </c>
      <c r="I3067">
        <v>213.30359999999999</v>
      </c>
      <c r="J3067">
        <v>-399.053</v>
      </c>
      <c r="K3067">
        <v>1.1089830000000001</v>
      </c>
      <c r="L3067">
        <v>212.7456</v>
      </c>
      <c r="M3067">
        <v>0.99994419999999995</v>
      </c>
      <c r="N3067">
        <v>-7.4650599999999999E-3</v>
      </c>
      <c r="O3067">
        <v>7.4741440000000003E-3</v>
      </c>
      <c r="P3067">
        <v>0.9263747</v>
      </c>
      <c r="Q3067">
        <v>0.351189799999999</v>
      </c>
      <c r="R3067">
        <v>0.1359979</v>
      </c>
      <c r="S3067">
        <v>3.3258969999999999</v>
      </c>
      <c r="T3067">
        <v>-0.28972239999999999</v>
      </c>
      <c r="U3067">
        <v>0.1465302</v>
      </c>
      <c r="V3067">
        <v>-0.12848109999999999</v>
      </c>
      <c r="W3067">
        <v>0.35831469999999999</v>
      </c>
      <c r="X3067">
        <v>0.92471789999999998</v>
      </c>
      <c r="Y3067">
        <v>-3.6420399999999999E-2</v>
      </c>
      <c r="Z3067">
        <v>1.1250050000000001E-3</v>
      </c>
      <c r="AA3067">
        <v>0.99933590000000005</v>
      </c>
      <c r="AB3067">
        <v>42</v>
      </c>
      <c r="AC3067">
        <v>12.3216</v>
      </c>
      <c r="AD3067">
        <v>-1.1089808972919999</v>
      </c>
      <c r="AE3067">
        <v>0.55799999999999195</v>
      </c>
      <c r="AF3067">
        <v>-0.46215241237111798</v>
      </c>
      <c r="AG3067">
        <v>-1.1089808972919999</v>
      </c>
      <c r="AH3067">
        <v>12.2265872622371</v>
      </c>
      <c r="AI3067">
        <v>95.179005325893399</v>
      </c>
      <c r="AJ3067">
        <v>92.164690934539706</v>
      </c>
      <c r="AK3067">
        <v>12.285473518099201</v>
      </c>
      <c r="AL3067">
        <v>69.003268130524901</v>
      </c>
      <c r="AM3067">
        <v>97.910084036743896</v>
      </c>
      <c r="AN3067">
        <v>1.0000000059368499</v>
      </c>
    </row>
    <row r="3068" spans="1:40" x14ac:dyDescent="0.25">
      <c r="A3068" t="str">
        <f>"20190304164430717"</f>
        <v>20190304164430717</v>
      </c>
      <c r="B3068" t="str">
        <f>"1551689070713483"</f>
        <v>1551689070713483</v>
      </c>
      <c r="C3068" t="s">
        <v>40</v>
      </c>
      <c r="D3068">
        <v>4.5204599999999999</v>
      </c>
      <c r="E3068">
        <v>0.54951479999999997</v>
      </c>
      <c r="F3068" t="s">
        <v>41</v>
      </c>
      <c r="G3068">
        <v>-397.97269999999997</v>
      </c>
      <c r="H3068">
        <v>1.015353</v>
      </c>
      <c r="I3068">
        <v>212.7961</v>
      </c>
      <c r="J3068">
        <v>-398.6361</v>
      </c>
      <c r="K3068">
        <v>1.1089659999999999</v>
      </c>
      <c r="L3068">
        <v>212.7483</v>
      </c>
      <c r="M3068">
        <v>0.99994859999999997</v>
      </c>
      <c r="N3068">
        <v>-7.4742289999999998E-3</v>
      </c>
      <c r="O3068">
        <v>6.8637000000000004E-3</v>
      </c>
      <c r="P3068">
        <v>0.92620380000000002</v>
      </c>
      <c r="Q3068">
        <v>0.35127000000000003</v>
      </c>
      <c r="R3068">
        <v>0.13695289999999999</v>
      </c>
      <c r="S3068">
        <v>3.3247070000000001</v>
      </c>
      <c r="T3068">
        <v>-0.28825489999999998</v>
      </c>
      <c r="U3068">
        <v>0.15661620000000001</v>
      </c>
      <c r="V3068">
        <v>-0.1299942</v>
      </c>
      <c r="W3068">
        <v>0.35840729999999998</v>
      </c>
      <c r="X3068">
        <v>0.92447049999999997</v>
      </c>
      <c r="Y3068">
        <v>-4.0055729999999998E-2</v>
      </c>
      <c r="Z3068">
        <v>1.339877E-3</v>
      </c>
      <c r="AA3068">
        <v>0.99919650000000004</v>
      </c>
      <c r="AB3068">
        <v>42</v>
      </c>
      <c r="AC3068">
        <v>0.66340000000002397</v>
      </c>
      <c r="AD3068">
        <v>-9.3612999999999696E-2</v>
      </c>
      <c r="AE3068">
        <v>4.7799999999995103E-2</v>
      </c>
      <c r="AF3068">
        <v>-4.2405341915475202E-2</v>
      </c>
      <c r="AG3068">
        <v>-9.3612999999999696E-2</v>
      </c>
      <c r="AH3068">
        <v>0.65082007556925803</v>
      </c>
      <c r="AI3068">
        <v>98.168113598881106</v>
      </c>
      <c r="AJ3068">
        <v>93.727939047370896</v>
      </c>
      <c r="AK3068">
        <v>0.65888419130826203</v>
      </c>
      <c r="AL3068">
        <v>68.9975848520032</v>
      </c>
      <c r="AM3068">
        <v>98.004153677976106</v>
      </c>
      <c r="AN3068">
        <v>0.99999999504858905</v>
      </c>
    </row>
    <row r="3069" spans="1:40" x14ac:dyDescent="0.25">
      <c r="A3069" t="str">
        <f>"20190304164430741"</f>
        <v>20190304164430741</v>
      </c>
      <c r="B3069" t="str">
        <f>"1551689070733004"</f>
        <v>1551689070733004</v>
      </c>
      <c r="C3069" t="s">
        <v>40</v>
      </c>
      <c r="D3069">
        <v>4.5203989999999896</v>
      </c>
      <c r="E3069">
        <v>0.54935909999999999</v>
      </c>
      <c r="F3069" t="s">
        <v>41</v>
      </c>
      <c r="G3069">
        <v>-397.59089999999998</v>
      </c>
      <c r="H3069">
        <v>1.0187489999999999</v>
      </c>
      <c r="I3069">
        <v>212.79839999999999</v>
      </c>
      <c r="J3069">
        <v>-398.17239999999998</v>
      </c>
      <c r="K3069">
        <v>1.1089560000000001</v>
      </c>
      <c r="L3069">
        <v>212.751</v>
      </c>
      <c r="M3069">
        <v>0.99995299999999998</v>
      </c>
      <c r="N3069">
        <v>-7.4842140000000003E-3</v>
      </c>
      <c r="O3069">
        <v>6.1843619999999997E-3</v>
      </c>
      <c r="P3069">
        <v>0.92606370000000005</v>
      </c>
      <c r="Q3069">
        <v>0.35113840000000002</v>
      </c>
      <c r="R3069">
        <v>0.13823179999999999</v>
      </c>
      <c r="S3069">
        <v>3.3242799999999999</v>
      </c>
      <c r="T3069">
        <v>-0.28692630000000002</v>
      </c>
      <c r="U3069">
        <v>0.15939329999999999</v>
      </c>
      <c r="V3069">
        <v>-0.1318954</v>
      </c>
      <c r="W3069">
        <v>0.35828929999999998</v>
      </c>
      <c r="X3069">
        <v>0.92424689999999998</v>
      </c>
      <c r="Y3069">
        <v>-4.1566359999999997E-2</v>
      </c>
      <c r="Z3069">
        <v>1.459157E-3</v>
      </c>
      <c r="AA3069">
        <v>0.99913470000000004</v>
      </c>
      <c r="AB3069">
        <v>42</v>
      </c>
      <c r="AC3069">
        <v>0.58150000000000501</v>
      </c>
      <c r="AD3069">
        <v>-9.0207000000000107E-2</v>
      </c>
      <c r="AE3069">
        <v>4.7400000000010302E-2</v>
      </c>
      <c r="AF3069">
        <v>-4.2780090532414501E-2</v>
      </c>
      <c r="AG3069">
        <v>-9.0207000000000107E-2</v>
      </c>
      <c r="AH3069">
        <v>0.56819872874256105</v>
      </c>
      <c r="AI3069">
        <v>98.995924135199104</v>
      </c>
      <c r="AJ3069">
        <v>94.305716740549101</v>
      </c>
      <c r="AK3069">
        <v>0.57690314121143804</v>
      </c>
      <c r="AL3069">
        <v>69.004826272161907</v>
      </c>
      <c r="AM3069">
        <v>98.121604702690306</v>
      </c>
      <c r="AN3069">
        <v>0.99999997559762899</v>
      </c>
    </row>
    <row r="3070" spans="1:40" x14ac:dyDescent="0.25">
      <c r="A3070" t="str">
        <f>"20190304164430763"</f>
        <v>20190304164430763</v>
      </c>
      <c r="B3070" t="str">
        <f>"1551689070753499"</f>
        <v>1551689070753499</v>
      </c>
      <c r="C3070" t="s">
        <v>40</v>
      </c>
      <c r="D3070">
        <v>4.5069980000000003</v>
      </c>
      <c r="E3070">
        <v>0.54931589999999997</v>
      </c>
      <c r="F3070" t="s">
        <v>45</v>
      </c>
      <c r="G3070">
        <v>-385.30259999999998</v>
      </c>
      <c r="H3070" s="1">
        <v>1.3389689999999901E-6</v>
      </c>
      <c r="I3070">
        <v>213.3811</v>
      </c>
      <c r="J3070">
        <v>-397.76519999999999</v>
      </c>
      <c r="K3070">
        <v>1.1089439999999999</v>
      </c>
      <c r="L3070">
        <v>212.75309999999999</v>
      </c>
      <c r="M3070">
        <v>0.99995639999999997</v>
      </c>
      <c r="N3070">
        <v>-7.4929760000000002E-3</v>
      </c>
      <c r="O3070">
        <v>5.5879079999999999E-3</v>
      </c>
      <c r="P3070">
        <v>0.92611719999999997</v>
      </c>
      <c r="Q3070">
        <v>0.35083379999999997</v>
      </c>
      <c r="R3070">
        <v>0.13864679999999999</v>
      </c>
      <c r="S3070">
        <v>3.3238530000000002</v>
      </c>
      <c r="T3070">
        <v>-0.28640589999999999</v>
      </c>
      <c r="U3070">
        <v>0.16273499999999999</v>
      </c>
      <c r="V3070">
        <v>-0.13285749999999999</v>
      </c>
      <c r="W3070">
        <v>0.35799639999999999</v>
      </c>
      <c r="X3070">
        <v>0.92422260000000001</v>
      </c>
      <c r="Y3070">
        <v>-4.316275E-2</v>
      </c>
      <c r="Z3070">
        <v>1.578667E-3</v>
      </c>
      <c r="AA3070">
        <v>0.99906680000000003</v>
      </c>
      <c r="AB3070">
        <v>42</v>
      </c>
      <c r="AC3070">
        <v>12.4626</v>
      </c>
      <c r="AD3070">
        <v>-1.108942661031</v>
      </c>
      <c r="AE3070">
        <v>0.62800000000001399</v>
      </c>
      <c r="AF3070">
        <v>-0.55397328019534897</v>
      </c>
      <c r="AG3070">
        <v>-1.108942661031</v>
      </c>
      <c r="AH3070">
        <v>12.3682343728993</v>
      </c>
      <c r="AI3070">
        <v>95.118366808854404</v>
      </c>
      <c r="AJ3070">
        <v>92.564564208859196</v>
      </c>
      <c r="AK3070">
        <v>12.4301995850265</v>
      </c>
      <c r="AL3070">
        <v>69.022800503766902</v>
      </c>
      <c r="AM3070">
        <v>98.180260327609602</v>
      </c>
      <c r="AN3070">
        <v>0.99999997603498403</v>
      </c>
    </row>
    <row r="3071" spans="1:40" x14ac:dyDescent="0.25">
      <c r="A3071" t="str">
        <f>"20190304164430783"</f>
        <v>20190304164430783</v>
      </c>
      <c r="B3071" t="str">
        <f>"1551689070773019"</f>
        <v>1551689070773019</v>
      </c>
      <c r="C3071" t="s">
        <v>40</v>
      </c>
      <c r="D3071">
        <v>4.5307690000000003</v>
      </c>
      <c r="E3071">
        <v>0.54915919999999996</v>
      </c>
      <c r="F3071" t="s">
        <v>45</v>
      </c>
      <c r="G3071">
        <v>-384.9307</v>
      </c>
      <c r="H3071" s="1">
        <v>1.1408120000000001E-6</v>
      </c>
      <c r="I3071">
        <v>213.38759999999999</v>
      </c>
      <c r="J3071">
        <v>-397.3612</v>
      </c>
      <c r="K3071">
        <v>1.108927</v>
      </c>
      <c r="L3071">
        <v>212.755</v>
      </c>
      <c r="M3071">
        <v>0.9999595</v>
      </c>
      <c r="N3071">
        <v>-7.5015209999999997E-3</v>
      </c>
      <c r="O3071">
        <v>4.9959380000000001E-3</v>
      </c>
      <c r="P3071">
        <v>0.92593970000000003</v>
      </c>
      <c r="Q3071">
        <v>0.35105439999999999</v>
      </c>
      <c r="R3071">
        <v>0.139271799999999</v>
      </c>
      <c r="S3071">
        <v>3.3235169999999998</v>
      </c>
      <c r="T3071">
        <v>-0.287163</v>
      </c>
      <c r="U3071">
        <v>0.1643066</v>
      </c>
      <c r="V3071">
        <v>-0.1340267</v>
      </c>
      <c r="W3071">
        <v>0.35822739999999997</v>
      </c>
      <c r="X3071">
        <v>0.92396429999999996</v>
      </c>
      <c r="Y3071">
        <v>-4.4223449999999997E-2</v>
      </c>
      <c r="Z3071">
        <v>1.6789330000000001E-3</v>
      </c>
      <c r="AA3071">
        <v>0.99902029999999997</v>
      </c>
      <c r="AB3071">
        <v>42</v>
      </c>
      <c r="AC3071">
        <v>12.430499999999901</v>
      </c>
      <c r="AD3071">
        <v>-1.108925859188</v>
      </c>
      <c r="AE3071">
        <v>0.63259999999999605</v>
      </c>
      <c r="AF3071">
        <v>-0.56599555286855996</v>
      </c>
      <c r="AG3071">
        <v>-1.108925859188</v>
      </c>
      <c r="AH3071">
        <v>12.3355869765702</v>
      </c>
      <c r="AI3071">
        <v>95.131511071712495</v>
      </c>
      <c r="AJ3071">
        <v>92.627068161722406</v>
      </c>
      <c r="AK3071">
        <v>12.3982568768183</v>
      </c>
      <c r="AL3071">
        <v>69.008626164421997</v>
      </c>
      <c r="AM3071">
        <v>98.253537865182594</v>
      </c>
      <c r="AN3071">
        <v>1.0000000270490601</v>
      </c>
    </row>
    <row r="3072" spans="1:40" x14ac:dyDescent="0.25">
      <c r="A3072" t="str">
        <f>"20190304164430808"</f>
        <v>20190304164430808</v>
      </c>
      <c r="B3072" t="str">
        <f>"1551689070803593"</f>
        <v>1551689070803593</v>
      </c>
      <c r="C3072" t="s">
        <v>40</v>
      </c>
      <c r="D3072">
        <v>4.5367800000000003</v>
      </c>
      <c r="E3072">
        <v>0.549025599999999</v>
      </c>
      <c r="F3072" t="s">
        <v>45</v>
      </c>
      <c r="G3072">
        <v>-384.4846</v>
      </c>
      <c r="H3072" s="1">
        <v>9.0287850000000001E-7</v>
      </c>
      <c r="I3072">
        <v>213.4</v>
      </c>
      <c r="J3072">
        <v>-396.91879999999998</v>
      </c>
      <c r="K3072">
        <v>1.108924</v>
      </c>
      <c r="L3072">
        <v>212.7567</v>
      </c>
      <c r="M3072">
        <v>0.99996229999999997</v>
      </c>
      <c r="N3072">
        <v>-7.510854E-3</v>
      </c>
      <c r="O3072">
        <v>4.3494980000000003E-3</v>
      </c>
      <c r="P3072">
        <v>0.92593139999999996</v>
      </c>
      <c r="Q3072">
        <v>0.3507342</v>
      </c>
      <c r="R3072">
        <v>0.14013149999999999</v>
      </c>
      <c r="S3072">
        <v>3.3234560000000002</v>
      </c>
      <c r="T3072">
        <v>-0.28621570000000002</v>
      </c>
      <c r="U3072">
        <v>0.16648859999999999</v>
      </c>
      <c r="V3072">
        <v>-0.13548170000000001</v>
      </c>
      <c r="W3072">
        <v>0.35791889999999998</v>
      </c>
      <c r="X3072">
        <v>0.92387160000000002</v>
      </c>
      <c r="Y3072">
        <v>-4.551823E-2</v>
      </c>
      <c r="Z3072">
        <v>1.7855179999999901E-3</v>
      </c>
      <c r="AA3072">
        <v>0.99896189999999996</v>
      </c>
      <c r="AB3072">
        <v>43</v>
      </c>
      <c r="AC3072">
        <v>12.434199999999899</v>
      </c>
      <c r="AD3072">
        <v>-1.1089230971214901</v>
      </c>
      <c r="AE3072">
        <v>0.64330000000000997</v>
      </c>
      <c r="AF3072">
        <v>-0.58457277645262296</v>
      </c>
      <c r="AG3072">
        <v>-1.1089230971214901</v>
      </c>
      <c r="AH3072">
        <v>12.339002213897199</v>
      </c>
      <c r="AI3072">
        <v>95.129731195850994</v>
      </c>
      <c r="AJ3072">
        <v>92.7124176985037</v>
      </c>
      <c r="AK3072">
        <v>12.4025163334244</v>
      </c>
      <c r="AL3072">
        <v>69.027556162221501</v>
      </c>
      <c r="AM3072">
        <v>98.342709657255696</v>
      </c>
      <c r="AN3072">
        <v>0.99999998164932902</v>
      </c>
    </row>
    <row r="3073" spans="1:40" x14ac:dyDescent="0.25">
      <c r="A3073" t="str">
        <f>"20190304164430831"</f>
        <v>20190304164430831</v>
      </c>
      <c r="B3073" t="str">
        <f>"1551689070823083"</f>
        <v>1551689070823083</v>
      </c>
      <c r="C3073" t="s">
        <v>40</v>
      </c>
      <c r="D3073">
        <v>4.532978</v>
      </c>
      <c r="E3073">
        <v>0.54899049999999905</v>
      </c>
      <c r="F3073" t="s">
        <v>45</v>
      </c>
      <c r="G3073">
        <v>-384.08690000000001</v>
      </c>
      <c r="H3073" s="1">
        <v>6.907826E-7</v>
      </c>
      <c r="I3073">
        <v>213.41</v>
      </c>
      <c r="J3073">
        <v>-396.4538</v>
      </c>
      <c r="K3073">
        <v>1.108919</v>
      </c>
      <c r="L3073">
        <v>212.75829999999999</v>
      </c>
      <c r="M3073">
        <v>0.99996510000000005</v>
      </c>
      <c r="N3073">
        <v>-7.5207629999999998E-3</v>
      </c>
      <c r="O3073">
        <v>3.6751280000000002E-3</v>
      </c>
      <c r="P3073">
        <v>0.92580879999999999</v>
      </c>
      <c r="Q3073">
        <v>0.35056330000000002</v>
      </c>
      <c r="R3073">
        <v>0.141364299999999</v>
      </c>
      <c r="S3073">
        <v>3.3232119999999998</v>
      </c>
      <c r="T3073">
        <v>-0.2871901</v>
      </c>
      <c r="U3073">
        <v>0.1691742</v>
      </c>
      <c r="V3073">
        <v>-0.1373385</v>
      </c>
      <c r="W3073">
        <v>0.35775990000000002</v>
      </c>
      <c r="X3073">
        <v>0.92365900000000001</v>
      </c>
      <c r="Y3073">
        <v>-4.699159E-2</v>
      </c>
      <c r="Z3073">
        <v>1.9133690000000001E-3</v>
      </c>
      <c r="AA3073">
        <v>0.99889340000000004</v>
      </c>
      <c r="AB3073">
        <v>43</v>
      </c>
      <c r="AC3073">
        <v>12.3668999999999</v>
      </c>
      <c r="AD3073">
        <v>-1.1089183092174</v>
      </c>
      <c r="AE3073">
        <v>0.65170000000000505</v>
      </c>
      <c r="AF3073">
        <v>-0.601422098755378</v>
      </c>
      <c r="AG3073">
        <v>-1.1089183092174</v>
      </c>
      <c r="AH3073">
        <v>12.270822584894001</v>
      </c>
      <c r="AI3073">
        <v>95.157654102127907</v>
      </c>
      <c r="AJ3073">
        <v>92.805956557285299</v>
      </c>
      <c r="AK3073">
        <v>12.335497366030101</v>
      </c>
      <c r="AL3073">
        <v>69.037312146761295</v>
      </c>
      <c r="AM3073">
        <v>98.457324052243294</v>
      </c>
      <c r="AN3073">
        <v>0.99999997895562898</v>
      </c>
    </row>
    <row r="3074" spans="1:40" x14ac:dyDescent="0.25">
      <c r="A3074" t="str">
        <f>"20190304164430854"</f>
        <v>20190304164430854</v>
      </c>
      <c r="B3074" t="str">
        <f>"1551689070842603"</f>
        <v>1551689070842603</v>
      </c>
      <c r="C3074" t="s">
        <v>40</v>
      </c>
      <c r="D3074">
        <v>4.4665819999999998</v>
      </c>
      <c r="E3074">
        <v>0.548987</v>
      </c>
      <c r="F3074" t="s">
        <v>45</v>
      </c>
      <c r="G3074">
        <v>-383.63479999999998</v>
      </c>
      <c r="H3074" s="1">
        <v>4.497792E-7</v>
      </c>
      <c r="I3074">
        <v>213.4195</v>
      </c>
      <c r="J3074">
        <v>-396.02620000000002</v>
      </c>
      <c r="K3074">
        <v>1.10891299999999</v>
      </c>
      <c r="L3074">
        <v>212.7595</v>
      </c>
      <c r="M3074">
        <v>0.99996700000000005</v>
      </c>
      <c r="N3074">
        <v>-7.5296929999999996E-3</v>
      </c>
      <c r="O3074">
        <v>3.06602E-3</v>
      </c>
      <c r="P3074">
        <v>0.92568269999999997</v>
      </c>
      <c r="Q3074">
        <v>0.3505317</v>
      </c>
      <c r="R3074">
        <v>0.14226459999999999</v>
      </c>
      <c r="S3074">
        <v>3.3231199999999999</v>
      </c>
      <c r="T3074">
        <v>-0.2874699</v>
      </c>
      <c r="U3074">
        <v>0.17141719999999999</v>
      </c>
      <c r="V3074">
        <v>-0.13880499999999901</v>
      </c>
      <c r="W3074">
        <v>0.35773630000000001</v>
      </c>
      <c r="X3074">
        <v>0.92344890000000002</v>
      </c>
      <c r="Y3074">
        <v>-4.8266459999999997E-2</v>
      </c>
      <c r="Z3074">
        <v>2.0230859999999999E-3</v>
      </c>
      <c r="AA3074">
        <v>0.99883250000000001</v>
      </c>
      <c r="AB3074">
        <v>43</v>
      </c>
      <c r="AC3074">
        <v>12.391400000000001</v>
      </c>
      <c r="AD3074">
        <v>-1.1089125502207899</v>
      </c>
      <c r="AE3074">
        <v>0.65999999999999603</v>
      </c>
      <c r="AF3074">
        <v>-0.61707564169740903</v>
      </c>
      <c r="AG3074">
        <v>-1.1089125502207899</v>
      </c>
      <c r="AH3074">
        <v>12.295177403587299</v>
      </c>
      <c r="AI3074">
        <v>95.147168035743704</v>
      </c>
      <c r="AJ3074">
        <v>92.873174404488495</v>
      </c>
      <c r="AK3074">
        <v>12.3604958143797</v>
      </c>
      <c r="AL3074">
        <v>69.038760174329894</v>
      </c>
      <c r="AM3074">
        <v>98.548220359133097</v>
      </c>
      <c r="AN3074">
        <v>0.99999997963694898</v>
      </c>
    </row>
    <row r="3075" spans="1:40" x14ac:dyDescent="0.25">
      <c r="A3075" t="str">
        <f>"20190304164430874"</f>
        <v>20190304164430874</v>
      </c>
      <c r="B3075" t="str">
        <f>"1551689070863100"</f>
        <v>1551689070863100</v>
      </c>
      <c r="C3075" t="s">
        <v>40</v>
      </c>
      <c r="D3075">
        <v>4.4503839999999997</v>
      </c>
      <c r="E3075">
        <v>0.54901029999999995</v>
      </c>
      <c r="F3075" t="s">
        <v>45</v>
      </c>
      <c r="G3075">
        <v>-383.20850000000002</v>
      </c>
      <c r="H3075" s="1">
        <v>2.2245340000000001E-7</v>
      </c>
      <c r="I3075">
        <v>213.43020000000001</v>
      </c>
      <c r="J3075">
        <v>-395.64069999999998</v>
      </c>
      <c r="K3075">
        <v>1.1089230000000001</v>
      </c>
      <c r="L3075">
        <v>212.7603</v>
      </c>
      <c r="M3075">
        <v>0.99996830000000003</v>
      </c>
      <c r="N3075">
        <v>-7.5376459999999899E-3</v>
      </c>
      <c r="O3075">
        <v>2.536141E-3</v>
      </c>
      <c r="P3075">
        <v>0.92562719999999998</v>
      </c>
      <c r="Q3075">
        <v>0.35054999999999997</v>
      </c>
      <c r="R3075">
        <v>0.14257990000000001</v>
      </c>
      <c r="S3075">
        <v>3.323029</v>
      </c>
      <c r="T3075">
        <v>-0.28748990000000002</v>
      </c>
      <c r="U3075">
        <v>0.17388919999999999</v>
      </c>
      <c r="V3075">
        <v>-0.13961860000000001</v>
      </c>
      <c r="W3075">
        <v>0.35775990000000002</v>
      </c>
      <c r="X3075">
        <v>0.9233171</v>
      </c>
      <c r="Y3075">
        <v>-4.95313E-2</v>
      </c>
      <c r="Z3075">
        <v>2.1245410000000002E-3</v>
      </c>
      <c r="AA3075">
        <v>0.9987703</v>
      </c>
      <c r="AB3075">
        <v>43</v>
      </c>
      <c r="AC3075">
        <v>12.4321999999999</v>
      </c>
      <c r="AD3075">
        <v>-1.1089227775466</v>
      </c>
      <c r="AE3075">
        <v>0.66990000000001204</v>
      </c>
      <c r="AF3075">
        <v>-0.63334271151014399</v>
      </c>
      <c r="AG3075">
        <v>-1.1089227775466</v>
      </c>
      <c r="AH3075">
        <v>12.3359953151651</v>
      </c>
      <c r="AI3075">
        <v>95.129977142100202</v>
      </c>
      <c r="AJ3075">
        <v>92.939043831894494</v>
      </c>
      <c r="AK3075">
        <v>12.4019197357732</v>
      </c>
      <c r="AL3075">
        <v>69.037312242853105</v>
      </c>
      <c r="AM3075">
        <v>98.598787713491504</v>
      </c>
      <c r="AN3075">
        <v>0.99999998333318896</v>
      </c>
    </row>
    <row r="3076" spans="1:40" x14ac:dyDescent="0.25">
      <c r="A3076" t="str">
        <f>"20190304164430895"</f>
        <v>20190304164430895</v>
      </c>
      <c r="B3076" t="str">
        <f>"1551689070882620"</f>
        <v>1551689070882620</v>
      </c>
      <c r="C3076" t="s">
        <v>40</v>
      </c>
      <c r="D3076">
        <v>4.4369230000000002</v>
      </c>
      <c r="E3076">
        <v>0.54903930000000001</v>
      </c>
      <c r="F3076" t="s">
        <v>45</v>
      </c>
      <c r="G3076">
        <v>-382.80220000000003</v>
      </c>
      <c r="H3076" s="1">
        <v>6.0479119999999999E-9</v>
      </c>
      <c r="I3076">
        <v>213.4341</v>
      </c>
      <c r="J3076">
        <v>-395.23469999999998</v>
      </c>
      <c r="K3076">
        <v>1.108938</v>
      </c>
      <c r="L3076">
        <v>212.761</v>
      </c>
      <c r="M3076">
        <v>0.99996969999999996</v>
      </c>
      <c r="N3076">
        <v>-7.5457669999999897E-3</v>
      </c>
      <c r="O3076">
        <v>2.0102449999999999E-3</v>
      </c>
      <c r="P3076">
        <v>0.92544820000000005</v>
      </c>
      <c r="Q3076">
        <v>0.35091539999999999</v>
      </c>
      <c r="R3076">
        <v>0.14284340000000001</v>
      </c>
      <c r="S3076">
        <v>3.3228759999999999</v>
      </c>
      <c r="T3076">
        <v>-0.28701110000000002</v>
      </c>
      <c r="U3076">
        <v>0.17440799999999901</v>
      </c>
      <c r="V3076">
        <v>-0.1403847</v>
      </c>
      <c r="W3076">
        <v>0.3581259</v>
      </c>
      <c r="X3076">
        <v>0.92305899999999996</v>
      </c>
      <c r="Y3076">
        <v>-5.0210650000000003E-2</v>
      </c>
      <c r="Z3076">
        <v>2.1948430000000001E-3</v>
      </c>
      <c r="AA3076">
        <v>0.99873630000000002</v>
      </c>
      <c r="AB3076">
        <v>43</v>
      </c>
      <c r="AC3076">
        <v>12.4324999999999</v>
      </c>
      <c r="AD3076">
        <v>-1.10893799395208</v>
      </c>
      <c r="AE3076">
        <v>0.67310000000000503</v>
      </c>
      <c r="AF3076">
        <v>-0.64300473473233499</v>
      </c>
      <c r="AG3076">
        <v>-1.10893799395208</v>
      </c>
      <c r="AH3076">
        <v>12.3359692460352</v>
      </c>
      <c r="AI3076">
        <v>95.129851713410105</v>
      </c>
      <c r="AJ3076">
        <v>92.983806588873804</v>
      </c>
      <c r="AK3076">
        <v>12.402392341901001</v>
      </c>
      <c r="AL3076">
        <v>69.014853706524804</v>
      </c>
      <c r="AM3076">
        <v>98.647639851603699</v>
      </c>
      <c r="AN3076">
        <v>0.99999997086294901</v>
      </c>
    </row>
    <row r="3077" spans="1:40" x14ac:dyDescent="0.25">
      <c r="A3077" t="str">
        <f>"20190304164430919"</f>
        <v>20190304164430919</v>
      </c>
      <c r="B3077" t="str">
        <f>"1551689070912876"</f>
        <v>1551689070912876</v>
      </c>
      <c r="C3077" t="s">
        <v>40</v>
      </c>
      <c r="D3077">
        <v>4.4706809999999999</v>
      </c>
      <c r="E3077">
        <v>0.52938739999999995</v>
      </c>
      <c r="F3077" t="s">
        <v>45</v>
      </c>
      <c r="G3077">
        <v>-382.34750000000003</v>
      </c>
      <c r="H3077" s="1">
        <v>-2.3645459999999999E-7</v>
      </c>
      <c r="I3077">
        <v>213.44710000000001</v>
      </c>
      <c r="J3077">
        <v>-394.76870000000002</v>
      </c>
      <c r="K3077">
        <v>1.1089659999999999</v>
      </c>
      <c r="L3077">
        <v>212.76150000000001</v>
      </c>
      <c r="M3077">
        <v>0.99997040000000004</v>
      </c>
      <c r="N3077">
        <v>-7.5552249999999996E-3</v>
      </c>
      <c r="O3077">
        <v>1.4477379999999901E-3</v>
      </c>
      <c r="P3077">
        <v>0.92547990000000002</v>
      </c>
      <c r="Q3077">
        <v>0.3511609</v>
      </c>
      <c r="R3077">
        <v>0.14203189999999999</v>
      </c>
      <c r="S3077">
        <v>3.3227839999999902</v>
      </c>
      <c r="T3077">
        <v>-0.28592410000000001</v>
      </c>
      <c r="U3077">
        <v>0.1769104</v>
      </c>
      <c r="V3077">
        <v>-0.14011799999999999</v>
      </c>
      <c r="W3077">
        <v>0.3583694</v>
      </c>
      <c r="X3077">
        <v>0.92300499999999996</v>
      </c>
      <c r="Y3077">
        <v>-5.1518349999999997E-2</v>
      </c>
      <c r="Z3077">
        <v>2.2927199999999998E-3</v>
      </c>
      <c r="AA3077">
        <v>0.99866940000000004</v>
      </c>
      <c r="AB3077">
        <v>43</v>
      </c>
      <c r="AC3077">
        <v>12.421200000000001</v>
      </c>
      <c r="AD3077">
        <v>-1.10896623645459</v>
      </c>
      <c r="AE3077">
        <v>0.68559999999999299</v>
      </c>
      <c r="AF3077">
        <v>-0.662352587908007</v>
      </c>
      <c r="AG3077">
        <v>-1.10896623645459</v>
      </c>
      <c r="AH3077">
        <v>12.324242160752201</v>
      </c>
      <c r="AI3077">
        <v>95.1344003966869</v>
      </c>
      <c r="AJ3077">
        <v>93.076337855790001</v>
      </c>
      <c r="AK3077">
        <v>12.3917497513937</v>
      </c>
      <c r="AL3077">
        <v>68.999910001672205</v>
      </c>
      <c r="AM3077">
        <v>98.631956279487</v>
      </c>
      <c r="AN3077">
        <v>0.99999995540267805</v>
      </c>
    </row>
    <row r="3078" spans="1:40" x14ac:dyDescent="0.25">
      <c r="A3078" t="str">
        <f>"20190304164430942"</f>
        <v>20190304164430942</v>
      </c>
      <c r="B3078" t="str">
        <f>"1551689070933372"</f>
        <v>1551689070933372</v>
      </c>
      <c r="C3078" t="s">
        <v>40</v>
      </c>
      <c r="D3078">
        <v>4.4615499999999999</v>
      </c>
      <c r="E3078">
        <v>0.52572289999999999</v>
      </c>
      <c r="F3078" t="s">
        <v>45</v>
      </c>
      <c r="G3078">
        <v>-380.5992</v>
      </c>
      <c r="H3078" s="1">
        <v>-1.1985550000000001E-6</v>
      </c>
      <c r="I3078">
        <v>214.17339999999999</v>
      </c>
      <c r="J3078">
        <v>-394.33260000000001</v>
      </c>
      <c r="K3078">
        <v>1.1090009999999999</v>
      </c>
      <c r="L3078">
        <v>212.76179999999999</v>
      </c>
      <c r="M3078">
        <v>0.99997100000000005</v>
      </c>
      <c r="N3078">
        <v>-7.5640949999999998E-3</v>
      </c>
      <c r="O3078">
        <v>9.7179380000000004E-4</v>
      </c>
      <c r="P3078">
        <v>0.92558750000000001</v>
      </c>
      <c r="Q3078">
        <v>0.35104679999999999</v>
      </c>
      <c r="R3078">
        <v>0.14161199999999999</v>
      </c>
      <c r="S3078">
        <v>3.2889400000000002</v>
      </c>
      <c r="T3078">
        <v>-0.2574072</v>
      </c>
      <c r="U3078">
        <v>0.32772829999999997</v>
      </c>
      <c r="V3078">
        <v>-0.14016970000000001</v>
      </c>
      <c r="W3078">
        <v>0.35825230000000002</v>
      </c>
      <c r="X3078">
        <v>0.92304269999999999</v>
      </c>
      <c r="Y3078">
        <v>-9.7864549999999995E-2</v>
      </c>
      <c r="Z3078">
        <v>4.117641E-3</v>
      </c>
      <c r="AA3078">
        <v>0.99519120000000005</v>
      </c>
      <c r="AB3078">
        <v>43</v>
      </c>
      <c r="AC3078">
        <v>13.7334</v>
      </c>
      <c r="AD3078">
        <v>-1.109002198555</v>
      </c>
      <c r="AE3078">
        <v>1.41159999999999</v>
      </c>
      <c r="AF3078">
        <v>-1.38928819838151</v>
      </c>
      <c r="AG3078">
        <v>-1.109002198555</v>
      </c>
      <c r="AH3078">
        <v>13.646706631484699</v>
      </c>
      <c r="AI3078">
        <v>94.622156956156303</v>
      </c>
      <c r="AJ3078">
        <v>95.812908288409801</v>
      </c>
      <c r="AK3078">
        <v>13.761998745108601</v>
      </c>
      <c r="AL3078">
        <v>69.007098378731797</v>
      </c>
      <c r="AM3078">
        <v>98.634745883271407</v>
      </c>
      <c r="AN3078">
        <v>1.00000004063833</v>
      </c>
    </row>
    <row r="3079" spans="1:40" x14ac:dyDescent="0.25">
      <c r="A3079" t="str">
        <f>"20190304164430963"</f>
        <v>20190304164430963</v>
      </c>
      <c r="B3079" t="str">
        <f>"1551689070952891"</f>
        <v>1551689070952891</v>
      </c>
      <c r="C3079" t="s">
        <v>40</v>
      </c>
      <c r="D3079">
        <v>4.4425850000000002</v>
      </c>
      <c r="E3079">
        <v>0.52362140000000001</v>
      </c>
      <c r="F3079" t="s">
        <v>45</v>
      </c>
      <c r="G3079">
        <v>-379.79880000000003</v>
      </c>
      <c r="H3079" s="1">
        <v>3.6776370000000001E-6</v>
      </c>
      <c r="I3079">
        <v>214.32939999999999</v>
      </c>
      <c r="J3079">
        <v>-393.91469999999998</v>
      </c>
      <c r="K3079">
        <v>1.1090469999999999</v>
      </c>
      <c r="L3079">
        <v>212.7619</v>
      </c>
      <c r="M3079">
        <v>0.99997130000000001</v>
      </c>
      <c r="N3079">
        <v>-7.5725940000000002E-3</v>
      </c>
      <c r="O3079">
        <v>5.8269669999999997E-4</v>
      </c>
      <c r="P3079">
        <v>0.92579560000000005</v>
      </c>
      <c r="Q3079">
        <v>0.35100179999999997</v>
      </c>
      <c r="R3079">
        <v>0.14035889999999901</v>
      </c>
      <c r="S3079">
        <v>3.2820429999999998</v>
      </c>
      <c r="T3079">
        <v>-0.25043539999999997</v>
      </c>
      <c r="U3079">
        <v>0.35400389999999998</v>
      </c>
      <c r="V3079">
        <v>-0.13931749999999901</v>
      </c>
      <c r="W3079">
        <v>0.35819889999999999</v>
      </c>
      <c r="X3079">
        <v>0.92319240000000002</v>
      </c>
      <c r="Y3079">
        <v>-0.10632460000000001</v>
      </c>
      <c r="Z3079">
        <v>4.4034909999999998E-3</v>
      </c>
      <c r="AA3079">
        <v>0.99432169999999998</v>
      </c>
      <c r="AB3079">
        <v>43</v>
      </c>
      <c r="AC3079">
        <v>14.1158999999999</v>
      </c>
      <c r="AD3079">
        <v>-1.1090433223630001</v>
      </c>
      <c r="AE3079">
        <v>1.5674999999999899</v>
      </c>
      <c r="AF3079">
        <v>-1.5498240383281801</v>
      </c>
      <c r="AG3079">
        <v>-1.1090433223630001</v>
      </c>
      <c r="AH3079">
        <v>14.031254342746999</v>
      </c>
      <c r="AI3079">
        <v>94.492108902355298</v>
      </c>
      <c r="AJ3079">
        <v>96.303062545697699</v>
      </c>
      <c r="AK3079">
        <v>14.160085807350001</v>
      </c>
      <c r="AL3079">
        <v>69.010374839782898</v>
      </c>
      <c r="AM3079">
        <v>98.581661730677894</v>
      </c>
      <c r="AN3079">
        <v>1.0000000125926001</v>
      </c>
    </row>
    <row r="3080" spans="1:40" x14ac:dyDescent="0.25">
      <c r="A3080" t="str">
        <f>"20190304164430985"</f>
        <v>20190304164430985</v>
      </c>
      <c r="B3080" t="str">
        <f>"1551689070973388"</f>
        <v>1551689070973388</v>
      </c>
      <c r="C3080" t="s">
        <v>40</v>
      </c>
      <c r="D3080">
        <v>5.0304849999999997</v>
      </c>
      <c r="E3080">
        <v>0.52271899999999905</v>
      </c>
      <c r="F3080" t="s">
        <v>45</v>
      </c>
      <c r="G3080">
        <v>-379.41269999999997</v>
      </c>
      <c r="H3080" s="1">
        <v>3.472161E-6</v>
      </c>
      <c r="I3080">
        <v>214.37729999999999</v>
      </c>
      <c r="J3080">
        <v>-393.49689999999998</v>
      </c>
      <c r="K3080">
        <v>1.10911</v>
      </c>
      <c r="L3080">
        <v>212.762</v>
      </c>
      <c r="M3080">
        <v>0.99997130000000001</v>
      </c>
      <c r="N3080">
        <v>-7.5811119999999897E-3</v>
      </c>
      <c r="O3080">
        <v>2.7654490000000002E-4</v>
      </c>
      <c r="P3080">
        <v>0.92598809999999998</v>
      </c>
      <c r="Q3080">
        <v>0.3513114</v>
      </c>
      <c r="R3080">
        <v>0.13829900000000001</v>
      </c>
      <c r="S3080">
        <v>3.2801819999999999</v>
      </c>
      <c r="T3080">
        <v>-0.25085229999999997</v>
      </c>
      <c r="U3080">
        <v>0.36538700000000002</v>
      </c>
      <c r="V3080">
        <v>-0.1375942</v>
      </c>
      <c r="W3080">
        <v>0.35849449999999999</v>
      </c>
      <c r="X3080">
        <v>0.92333609999999999</v>
      </c>
      <c r="Y3080">
        <v>-0.110084</v>
      </c>
      <c r="Z3080">
        <v>4.5905720000000002E-3</v>
      </c>
      <c r="AA3080">
        <v>0.99391169999999995</v>
      </c>
      <c r="AB3080">
        <v>43</v>
      </c>
      <c r="AC3080">
        <v>14.084199999999999</v>
      </c>
      <c r="AD3080">
        <v>-1.109106527839</v>
      </c>
      <c r="AE3080">
        <v>1.61529999999999</v>
      </c>
      <c r="AF3080">
        <v>-1.6016018574089199</v>
      </c>
      <c r="AG3080">
        <v>-1.109106527839</v>
      </c>
      <c r="AH3080">
        <v>13.9989615878647</v>
      </c>
      <c r="AI3080">
        <v>94.500716379228905</v>
      </c>
      <c r="AJ3080">
        <v>96.526752764989894</v>
      </c>
      <c r="AK3080">
        <v>14.1338661143461</v>
      </c>
      <c r="AL3080">
        <v>68.992233396005702</v>
      </c>
      <c r="AM3080">
        <v>98.475761752610694</v>
      </c>
      <c r="AN3080">
        <v>1.0000000119835499</v>
      </c>
    </row>
    <row r="3081" spans="1:40" x14ac:dyDescent="0.25">
      <c r="A3081" t="str">
        <f>"20190304164431008"</f>
        <v>20190304164431008</v>
      </c>
      <c r="B3081" t="str">
        <f>"1551689071002668"</f>
        <v>1551689071002668</v>
      </c>
      <c r="C3081" t="s">
        <v>40</v>
      </c>
      <c r="D3081">
        <v>4.4362389999999996</v>
      </c>
      <c r="E3081">
        <v>0.52223160000000002</v>
      </c>
      <c r="F3081" t="s">
        <v>45</v>
      </c>
      <c r="G3081">
        <v>-378.15230000000003</v>
      </c>
      <c r="H3081" s="1">
        <v>2.8014680000000002E-6</v>
      </c>
      <c r="I3081">
        <v>214.46969999999999</v>
      </c>
      <c r="J3081">
        <v>-393.05579999999998</v>
      </c>
      <c r="K3081">
        <v>1.1091740000000001</v>
      </c>
      <c r="L3081">
        <v>212.7619</v>
      </c>
      <c r="M3081">
        <v>0.99997130000000001</v>
      </c>
      <c r="N3081">
        <v>-7.5901839999999998E-3</v>
      </c>
      <c r="O3081" s="1">
        <v>4.1446119999999997E-5</v>
      </c>
      <c r="P3081">
        <v>0.92635820000000002</v>
      </c>
      <c r="Q3081">
        <v>0.35102339999999999</v>
      </c>
      <c r="R3081">
        <v>0.13654140000000001</v>
      </c>
      <c r="S3081">
        <v>3.2751459999999999</v>
      </c>
      <c r="T3081">
        <v>-0.23672699999999999</v>
      </c>
      <c r="U3081">
        <v>0.3644867</v>
      </c>
      <c r="V3081">
        <v>-0.1361194</v>
      </c>
      <c r="W3081">
        <v>0.35819050000000002</v>
      </c>
      <c r="X3081">
        <v>0.92367259999999995</v>
      </c>
      <c r="Y3081">
        <v>-0.110250399999999</v>
      </c>
      <c r="Z3081">
        <v>4.3846830000000003E-3</v>
      </c>
      <c r="AA3081">
        <v>0.99389419999999995</v>
      </c>
      <c r="AB3081">
        <v>43</v>
      </c>
      <c r="AC3081">
        <v>14.9034999999999</v>
      </c>
      <c r="AD3081">
        <v>-1.1091711985320001</v>
      </c>
      <c r="AE3081">
        <v>1.70779999999999</v>
      </c>
      <c r="AF3081">
        <v>-1.6978997434832299</v>
      </c>
      <c r="AG3081">
        <v>-1.1091711985320001</v>
      </c>
      <c r="AH3081">
        <v>14.8225348625914</v>
      </c>
      <c r="AI3081">
        <v>94.251770265847199</v>
      </c>
      <c r="AJ3081">
        <v>96.534666024765201</v>
      </c>
      <c r="AK3081">
        <v>14.960637153520899</v>
      </c>
      <c r="AL3081">
        <v>69.010890022532493</v>
      </c>
      <c r="AM3081">
        <v>98.383201572999397</v>
      </c>
      <c r="AN3081">
        <v>0.99999999866868405</v>
      </c>
    </row>
    <row r="3082" spans="1:40" x14ac:dyDescent="0.25">
      <c r="A3082" t="str">
        <f>"20190304164431032"</f>
        <v>20190304164431032</v>
      </c>
      <c r="B3082" t="str">
        <f>"1551689071023164"</f>
        <v>1551689071023164</v>
      </c>
      <c r="C3082" t="s">
        <v>40</v>
      </c>
      <c r="D3082">
        <v>4.404223</v>
      </c>
      <c r="E3082">
        <v>0.5218701</v>
      </c>
      <c r="F3082" t="s">
        <v>45</v>
      </c>
      <c r="G3082">
        <v>-377.32619999999997</v>
      </c>
      <c r="H3082" s="1">
        <v>2.3618669999999999E-6</v>
      </c>
      <c r="I3082">
        <v>214.4983</v>
      </c>
      <c r="J3082">
        <v>-392.58499999999998</v>
      </c>
      <c r="K3082">
        <v>1.1092489999999999</v>
      </c>
      <c r="L3082">
        <v>212.7619</v>
      </c>
      <c r="M3082">
        <v>0.99997119999999995</v>
      </c>
      <c r="N3082">
        <v>-7.5999769999999999E-3</v>
      </c>
      <c r="O3082">
        <v>-1.1208340000000001E-4</v>
      </c>
      <c r="P3082">
        <v>0.92656550000000004</v>
      </c>
      <c r="Q3082">
        <v>0.35079009999999999</v>
      </c>
      <c r="R3082">
        <v>0.13572999999999999</v>
      </c>
      <c r="S3082">
        <v>3.272675</v>
      </c>
      <c r="T3082">
        <v>-0.23077230000000001</v>
      </c>
      <c r="U3082">
        <v>0.36126710000000001</v>
      </c>
      <c r="V3082">
        <v>-0.13552510000000001</v>
      </c>
      <c r="W3082">
        <v>0.3579389</v>
      </c>
      <c r="X3082">
        <v>0.9238575</v>
      </c>
      <c r="Y3082">
        <v>-0.1095356</v>
      </c>
      <c r="Z3082">
        <v>4.2706080000000004E-3</v>
      </c>
      <c r="AA3082">
        <v>0.99397369999999996</v>
      </c>
      <c r="AB3082">
        <v>43</v>
      </c>
      <c r="AC3082">
        <v>15.258800000000001</v>
      </c>
      <c r="AD3082">
        <v>-1.109246638133</v>
      </c>
      <c r="AE3082">
        <v>1.7363999999999999</v>
      </c>
      <c r="AF3082">
        <v>-1.72908949588337</v>
      </c>
      <c r="AG3082">
        <v>-1.109246638133</v>
      </c>
      <c r="AH3082">
        <v>15.1794130435537</v>
      </c>
      <c r="AI3082">
        <v>94.152741379369402</v>
      </c>
      <c r="AJ3082">
        <v>96.498561075520499</v>
      </c>
      <c r="AK3082">
        <v>15.3177922343852</v>
      </c>
      <c r="AL3082">
        <v>69.026329225945105</v>
      </c>
      <c r="AM3082">
        <v>98.3454700896867</v>
      </c>
      <c r="AN3082">
        <v>0.99999999458473499</v>
      </c>
    </row>
    <row r="3083" spans="1:40" x14ac:dyDescent="0.25">
      <c r="A3083" t="str">
        <f>"20190304164431056"</f>
        <v>20190304164431056</v>
      </c>
      <c r="B3083" t="str">
        <f>"1551689071042683"</f>
        <v>1551689071042683</v>
      </c>
      <c r="C3083" t="s">
        <v>40</v>
      </c>
      <c r="D3083">
        <v>4.4421059999999999</v>
      </c>
      <c r="E3083">
        <v>0.52166009999999996</v>
      </c>
      <c r="F3083" t="s">
        <v>45</v>
      </c>
      <c r="G3083">
        <v>-376.8854</v>
      </c>
      <c r="H3083" s="1">
        <v>2.127279E-6</v>
      </c>
      <c r="I3083">
        <v>214.4983</v>
      </c>
      <c r="J3083">
        <v>-392.1336</v>
      </c>
      <c r="K3083">
        <v>1.109329</v>
      </c>
      <c r="L3083">
        <v>212.76179999999999</v>
      </c>
      <c r="M3083">
        <v>0.99997100000000005</v>
      </c>
      <c r="N3083">
        <v>-7.6094400000000003E-3</v>
      </c>
      <c r="O3083">
        <v>-1.449512E-4</v>
      </c>
      <c r="P3083">
        <v>0.92679990000000001</v>
      </c>
      <c r="Q3083">
        <v>0.35051880000000002</v>
      </c>
      <c r="R3083">
        <v>0.13482720000000001</v>
      </c>
      <c r="S3083">
        <v>3.272278</v>
      </c>
      <c r="T3083">
        <v>-0.2312012</v>
      </c>
      <c r="U3083">
        <v>0.3619232</v>
      </c>
      <c r="V3083">
        <v>-0.13473009999999999</v>
      </c>
      <c r="W3083">
        <v>0.35764859999999998</v>
      </c>
      <c r="X3083">
        <v>0.92408619999999997</v>
      </c>
      <c r="Y3083">
        <v>-0.1097765</v>
      </c>
      <c r="Z3083">
        <v>4.2901570000000002E-3</v>
      </c>
      <c r="AA3083">
        <v>0.99394700000000002</v>
      </c>
      <c r="AB3083">
        <v>43</v>
      </c>
      <c r="AC3083">
        <v>15.248199999999899</v>
      </c>
      <c r="AD3083">
        <v>-1.1093268727209999</v>
      </c>
      <c r="AE3083">
        <v>1.7364999999999999</v>
      </c>
      <c r="AF3083">
        <v>-1.7296727633823401</v>
      </c>
      <c r="AG3083">
        <v>-1.1093268727209999</v>
      </c>
      <c r="AH3083">
        <v>15.1686918226732</v>
      </c>
      <c r="AI3083">
        <v>94.155910361456804</v>
      </c>
      <c r="AJ3083">
        <v>96.505289793093993</v>
      </c>
      <c r="AK3083">
        <v>15.3072396463294</v>
      </c>
      <c r="AL3083">
        <v>69.044141745255203</v>
      </c>
      <c r="AM3083">
        <v>98.295173608163793</v>
      </c>
      <c r="AN3083">
        <v>1.0000000129791999</v>
      </c>
    </row>
    <row r="3084" spans="1:40" x14ac:dyDescent="0.25">
      <c r="A3084" t="str">
        <f>"20190304164431074"</f>
        <v>20190304164431074</v>
      </c>
      <c r="B3084" t="str">
        <f>"1551689071063180"</f>
        <v>1551689071063180</v>
      </c>
      <c r="C3084" t="s">
        <v>40</v>
      </c>
      <c r="D3084">
        <v>4.4920929999999997</v>
      </c>
      <c r="E3084">
        <v>0.52155680000000004</v>
      </c>
      <c r="F3084" t="s">
        <v>45</v>
      </c>
      <c r="G3084">
        <v>-376.66860000000003</v>
      </c>
      <c r="H3084" s="1">
        <v>2.011931E-6</v>
      </c>
      <c r="I3084">
        <v>214.4753</v>
      </c>
      <c r="J3084">
        <v>-391.75069999999999</v>
      </c>
      <c r="K3084">
        <v>1.109413</v>
      </c>
      <c r="L3084">
        <v>212.76179999999999</v>
      </c>
      <c r="M3084">
        <v>0.9999711</v>
      </c>
      <c r="N3084">
        <v>-7.6175699999999997E-3</v>
      </c>
      <c r="O3084" s="1">
        <v>-8.0621339999999996E-5</v>
      </c>
      <c r="P3084">
        <v>0.92675269999999998</v>
      </c>
      <c r="Q3084">
        <v>0.350618599999999</v>
      </c>
      <c r="R3084">
        <v>0.13489370000000001</v>
      </c>
      <c r="S3084">
        <v>3.27298</v>
      </c>
      <c r="T3084">
        <v>-0.23477609999999999</v>
      </c>
      <c r="U3084">
        <v>0.36264039999999997</v>
      </c>
      <c r="V3084">
        <v>-0.13480989999999901</v>
      </c>
      <c r="W3084">
        <v>0.35772779999999998</v>
      </c>
      <c r="X3084">
        <v>0.92404390000000003</v>
      </c>
      <c r="Y3084">
        <v>-0.1098954</v>
      </c>
      <c r="Z3084">
        <v>4.3500530000000004E-3</v>
      </c>
      <c r="AA3084">
        <v>0.99393359999999997</v>
      </c>
      <c r="AB3084">
        <v>44</v>
      </c>
      <c r="AC3084">
        <v>15.082099999999899</v>
      </c>
      <c r="AD3084">
        <v>-1.109410988069</v>
      </c>
      <c r="AE3084">
        <v>1.71350000000001</v>
      </c>
      <c r="AF3084">
        <v>-1.7056048876776599</v>
      </c>
      <c r="AG3084">
        <v>-1.109410988069</v>
      </c>
      <c r="AH3084">
        <v>15.001824346222699</v>
      </c>
      <c r="AI3084">
        <v>94.202448092909293</v>
      </c>
      <c r="AJ3084">
        <v>96.486286649409493</v>
      </c>
      <c r="AK3084">
        <v>15.139174828511599</v>
      </c>
      <c r="AL3084">
        <v>69.039282336104407</v>
      </c>
      <c r="AM3084">
        <v>98.300393028426498</v>
      </c>
      <c r="AN3084">
        <v>1.0000000085790299</v>
      </c>
    </row>
    <row r="3085" spans="1:40" x14ac:dyDescent="0.25">
      <c r="A3085" t="str">
        <f>"20190304164431097"</f>
        <v>20190304164431097</v>
      </c>
      <c r="B3085" t="str">
        <f>"1551689071093436"</f>
        <v>1551689071093436</v>
      </c>
      <c r="C3085" t="s">
        <v>40</v>
      </c>
      <c r="D3085">
        <v>4.4765040000000003</v>
      </c>
      <c r="E3085">
        <v>0.52122999999999997</v>
      </c>
      <c r="F3085" t="s">
        <v>45</v>
      </c>
      <c r="G3085">
        <v>-376.35329999999999</v>
      </c>
      <c r="H3085" s="1">
        <v>1.8441170000000001E-6</v>
      </c>
      <c r="I3085">
        <v>214.47409999999999</v>
      </c>
      <c r="J3085">
        <v>-391.30220000000003</v>
      </c>
      <c r="K3085">
        <v>1.10951</v>
      </c>
      <c r="L3085">
        <v>212.7619</v>
      </c>
      <c r="M3085">
        <v>0.9999709</v>
      </c>
      <c r="N3085">
        <v>-7.6272379999999997E-3</v>
      </c>
      <c r="O3085" s="1">
        <v>9.2239789999999997E-5</v>
      </c>
      <c r="P3085">
        <v>0.92663189999999995</v>
      </c>
      <c r="Q3085">
        <v>0.35084910000000002</v>
      </c>
      <c r="R3085">
        <v>0.1351242</v>
      </c>
      <c r="S3085">
        <v>3.2733460000000001</v>
      </c>
      <c r="T3085">
        <v>-0.23585100000000001</v>
      </c>
      <c r="U3085">
        <v>0.3640137</v>
      </c>
      <c r="V3085">
        <v>-0.13496449999999999</v>
      </c>
      <c r="W3085">
        <v>0.3579349</v>
      </c>
      <c r="X3085">
        <v>0.92394109999999996</v>
      </c>
      <c r="Y3085">
        <v>-0.11012039999999999</v>
      </c>
      <c r="Z3085">
        <v>4.3658639999999997E-3</v>
      </c>
      <c r="AA3085">
        <v>0.99390860000000003</v>
      </c>
      <c r="AB3085">
        <v>44</v>
      </c>
      <c r="AC3085">
        <v>14.9489</v>
      </c>
      <c r="AD3085">
        <v>-1.109508155883</v>
      </c>
      <c r="AE3085">
        <v>1.71219999999999</v>
      </c>
      <c r="AF3085">
        <v>-1.7015691506633901</v>
      </c>
      <c r="AG3085">
        <v>-1.109508155883</v>
      </c>
      <c r="AH3085">
        <v>14.8682151323657</v>
      </c>
      <c r="AI3085">
        <v>94.240088250322103</v>
      </c>
      <c r="AJ3085">
        <v>96.528720060050503</v>
      </c>
      <c r="AK3085">
        <v>15.0063375660009</v>
      </c>
      <c r="AL3085">
        <v>69.026574407242805</v>
      </c>
      <c r="AM3085">
        <v>98.310690724456506</v>
      </c>
      <c r="AN3085">
        <v>0.99999998258373402</v>
      </c>
    </row>
    <row r="3086" spans="1:40" x14ac:dyDescent="0.25">
      <c r="A3086" t="str">
        <f>"20190304164431119"</f>
        <v>20190304164431119</v>
      </c>
      <c r="B3086" t="str">
        <f>"1551689071112956"</f>
        <v>1551689071112956</v>
      </c>
      <c r="C3086" t="s">
        <v>40</v>
      </c>
      <c r="D3086">
        <v>4.4839659999999997</v>
      </c>
      <c r="E3086">
        <v>0.52103809999999995</v>
      </c>
      <c r="F3086" t="s">
        <v>45</v>
      </c>
      <c r="G3086">
        <v>-375.952</v>
      </c>
      <c r="H3086" s="1">
        <v>1.6305450000000001E-6</v>
      </c>
      <c r="I3086">
        <v>214.48140000000001</v>
      </c>
      <c r="J3086">
        <v>-390.858</v>
      </c>
      <c r="K3086">
        <v>1.109612</v>
      </c>
      <c r="L3086">
        <v>212.7621</v>
      </c>
      <c r="M3086">
        <v>0.99997069999999999</v>
      </c>
      <c r="N3086">
        <v>-7.6370750000000001E-3</v>
      </c>
      <c r="O3086">
        <v>3.5488570000000001E-4</v>
      </c>
      <c r="P3086">
        <v>0.92648299999999995</v>
      </c>
      <c r="Q3086">
        <v>0.35118120000000003</v>
      </c>
      <c r="R3086">
        <v>0.13528209999999999</v>
      </c>
      <c r="S3086">
        <v>3.2736209999999999</v>
      </c>
      <c r="T3086">
        <v>-0.23661599999999999</v>
      </c>
      <c r="U3086">
        <v>0.3667145</v>
      </c>
      <c r="V3086">
        <v>-0.13496279999999999</v>
      </c>
      <c r="W3086">
        <v>0.35824299999999998</v>
      </c>
      <c r="X3086">
        <v>0.92382189999999997</v>
      </c>
      <c r="Y3086">
        <v>-0.110657199999999</v>
      </c>
      <c r="Z3086">
        <v>4.3831510000000001E-3</v>
      </c>
      <c r="AA3086">
        <v>0.99384899999999998</v>
      </c>
      <c r="AB3086">
        <v>44</v>
      </c>
      <c r="AC3086">
        <v>14.906000000000001</v>
      </c>
      <c r="AD3086">
        <v>-1.1096103694549999</v>
      </c>
      <c r="AE3086">
        <v>1.7193000000000001</v>
      </c>
      <c r="AF3086">
        <v>-1.70468749497489</v>
      </c>
      <c r="AG3086">
        <v>-1.1096103694549999</v>
      </c>
      <c r="AH3086">
        <v>14.8255337825466</v>
      </c>
      <c r="AI3086">
        <v>94.252381711477796</v>
      </c>
      <c r="AJ3086">
        <v>96.559247076040506</v>
      </c>
      <c r="AK3086">
        <v>14.964412670230599</v>
      </c>
      <c r="AL3086">
        <v>69.007667199031303</v>
      </c>
      <c r="AM3086">
        <v>98.311644834657201</v>
      </c>
      <c r="AN3086">
        <v>0.99999995367622296</v>
      </c>
    </row>
    <row r="3087" spans="1:40" x14ac:dyDescent="0.25">
      <c r="A3087" t="str">
        <f>"20190304164431142"</f>
        <v>20190304164431142</v>
      </c>
      <c r="B3087" t="str">
        <f>"1551689071133452"</f>
        <v>1551689071133452</v>
      </c>
      <c r="C3087" t="s">
        <v>40</v>
      </c>
      <c r="D3087">
        <v>4.4826050000000004</v>
      </c>
      <c r="E3087">
        <v>0.52081719999999998</v>
      </c>
      <c r="F3087" t="s">
        <v>45</v>
      </c>
      <c r="G3087">
        <v>-375.55549999999999</v>
      </c>
      <c r="H3087" s="1">
        <v>1.4195590000000001E-6</v>
      </c>
      <c r="I3087">
        <v>214.4854</v>
      </c>
      <c r="J3087">
        <v>-390.4196</v>
      </c>
      <c r="K3087">
        <v>1.109712</v>
      </c>
      <c r="L3087">
        <v>212.76249999999999</v>
      </c>
      <c r="M3087">
        <v>0.99997069999999999</v>
      </c>
      <c r="N3087">
        <v>-7.6480659999999898E-3</v>
      </c>
      <c r="O3087">
        <v>6.9734789999999897E-4</v>
      </c>
      <c r="P3087">
        <v>0.92634340000000004</v>
      </c>
      <c r="Q3087">
        <v>0.35155259999999999</v>
      </c>
      <c r="R3087">
        <v>0.13527310000000001</v>
      </c>
      <c r="S3087">
        <v>3.2742</v>
      </c>
      <c r="T3087">
        <v>-0.23741709999999999</v>
      </c>
      <c r="U3087">
        <v>0.36872860000000002</v>
      </c>
      <c r="V3087">
        <v>-0.1347188</v>
      </c>
      <c r="W3087">
        <v>0.35859380000000002</v>
      </c>
      <c r="X3087">
        <v>0.92372149999999997</v>
      </c>
      <c r="Y3087">
        <v>-0.1108992</v>
      </c>
      <c r="Z3087">
        <v>4.3838619999999997E-3</v>
      </c>
      <c r="AA3087">
        <v>0.99382199999999998</v>
      </c>
      <c r="AB3087">
        <v>44</v>
      </c>
      <c r="AC3087">
        <v>14.864100000000001</v>
      </c>
      <c r="AD3087">
        <v>-1.1097105804409999</v>
      </c>
      <c r="AE3087">
        <v>1.7229000000000101</v>
      </c>
      <c r="AF3087">
        <v>-1.7031667683324301</v>
      </c>
      <c r="AG3087">
        <v>-1.1097105804409999</v>
      </c>
      <c r="AH3087">
        <v>14.7839890198078</v>
      </c>
      <c r="AI3087">
        <v>94.264564785985002</v>
      </c>
      <c r="AJ3087">
        <v>96.571701685668003</v>
      </c>
      <c r="AK3087">
        <v>14.923088351641301</v>
      </c>
      <c r="AL3087">
        <v>68.986139301128603</v>
      </c>
      <c r="AM3087">
        <v>98.297716767794398</v>
      </c>
      <c r="AN3087">
        <v>1.00000003901706</v>
      </c>
    </row>
    <row r="3088" spans="1:40" x14ac:dyDescent="0.25">
      <c r="A3088" t="str">
        <f>"20190304164431164"</f>
        <v>20190304164431164</v>
      </c>
      <c r="B3088" t="str">
        <f>"1551689071152972"</f>
        <v>1551689071152972</v>
      </c>
      <c r="C3088" t="s">
        <v>40</v>
      </c>
      <c r="D3088">
        <v>4.4796310000000004</v>
      </c>
      <c r="E3088">
        <v>0.52057010000000004</v>
      </c>
      <c r="F3088" t="s">
        <v>45</v>
      </c>
      <c r="G3088">
        <v>-375.05309999999997</v>
      </c>
      <c r="H3088" s="1">
        <v>1.1522059999999999E-6</v>
      </c>
      <c r="I3088">
        <v>214.5018</v>
      </c>
      <c r="J3088">
        <v>-389.9873</v>
      </c>
      <c r="K3088">
        <v>1.1098059999999901</v>
      </c>
      <c r="L3088">
        <v>212.76310000000001</v>
      </c>
      <c r="M3088">
        <v>0.99997009999999997</v>
      </c>
      <c r="N3088">
        <v>-7.6626000000000003E-3</v>
      </c>
      <c r="O3088">
        <v>1.109056E-3</v>
      </c>
      <c r="P3088">
        <v>0.92616120000000002</v>
      </c>
      <c r="Q3088">
        <v>0.35185820000000001</v>
      </c>
      <c r="R3088">
        <v>0.1357265</v>
      </c>
      <c r="S3088">
        <v>3.2741699999999998</v>
      </c>
      <c r="T3088">
        <v>-0.23644850000000001</v>
      </c>
      <c r="U3088">
        <v>0.37059019999999998</v>
      </c>
      <c r="V3088">
        <v>-0.13486879999999901</v>
      </c>
      <c r="W3088">
        <v>0.35888219999999998</v>
      </c>
      <c r="X3088">
        <v>0.92358759999999995</v>
      </c>
      <c r="Y3088">
        <v>-0.11105180000000001</v>
      </c>
      <c r="Z3088">
        <v>4.3481350000000004E-3</v>
      </c>
      <c r="AA3088">
        <v>0.9938051</v>
      </c>
      <c r="AB3088">
        <v>44</v>
      </c>
      <c r="AC3088">
        <v>14.934200000000001</v>
      </c>
      <c r="AD3088">
        <v>-1.1098048477939999</v>
      </c>
      <c r="AE3088">
        <v>1.7386999999999899</v>
      </c>
      <c r="AF3088">
        <v>-1.7128032606758701</v>
      </c>
      <c r="AG3088">
        <v>-1.1098048477939999</v>
      </c>
      <c r="AH3088">
        <v>14.855179766799999</v>
      </c>
      <c r="AI3088">
        <v>94.244515242576796</v>
      </c>
      <c r="AJ3088">
        <v>96.577164136502802</v>
      </c>
      <c r="AK3088">
        <v>14.9947233290219</v>
      </c>
      <c r="AL3088">
        <v>68.968436935593004</v>
      </c>
      <c r="AM3088">
        <v>98.3080143441301</v>
      </c>
      <c r="AN3088">
        <v>1.00000004078201</v>
      </c>
    </row>
    <row r="3089" spans="1:40" x14ac:dyDescent="0.25">
      <c r="A3089" t="str">
        <f>"20190304164431187"</f>
        <v>20190304164431187</v>
      </c>
      <c r="B3089" t="str">
        <f>"1551689071183228"</f>
        <v>1551689071183228</v>
      </c>
      <c r="C3089" t="s">
        <v>40</v>
      </c>
      <c r="D3089">
        <v>4.5114919999999996</v>
      </c>
      <c r="E3089">
        <v>0.52032</v>
      </c>
      <c r="F3089" t="s">
        <v>45</v>
      </c>
      <c r="G3089">
        <v>-374.5446</v>
      </c>
      <c r="H3089" s="1">
        <v>8.8161649999999999E-7</v>
      </c>
      <c r="I3089">
        <v>214.52799999999999</v>
      </c>
      <c r="J3089">
        <v>-389.55459999999999</v>
      </c>
      <c r="K3089">
        <v>1.10989</v>
      </c>
      <c r="L3089">
        <v>212.76390000000001</v>
      </c>
      <c r="M3089">
        <v>0.99996940000000001</v>
      </c>
      <c r="N3089">
        <v>-7.679038E-3</v>
      </c>
      <c r="O3089">
        <v>1.579928E-3</v>
      </c>
      <c r="P3089">
        <v>0.92573620000000001</v>
      </c>
      <c r="Q3089">
        <v>0.35253319999999999</v>
      </c>
      <c r="R3089">
        <v>0.13686999999999999</v>
      </c>
      <c r="S3089">
        <v>3.2737430000000001</v>
      </c>
      <c r="T3089">
        <v>-0.23527110000000001</v>
      </c>
      <c r="U3089">
        <v>0.37416080000000002</v>
      </c>
      <c r="V3089">
        <v>-0.13564960000000001</v>
      </c>
      <c r="W3089">
        <v>0.35954170000000002</v>
      </c>
      <c r="X3089">
        <v>0.92321660000000005</v>
      </c>
      <c r="Y3089">
        <v>-0.11167050000000001</v>
      </c>
      <c r="Z3089">
        <v>4.3243539999999999E-3</v>
      </c>
      <c r="AA3089">
        <v>0.99373590000000001</v>
      </c>
      <c r="AB3089">
        <v>44</v>
      </c>
      <c r="AC3089">
        <v>15.0099999999999</v>
      </c>
      <c r="AD3089">
        <v>-1.1098891183835</v>
      </c>
      <c r="AE3089">
        <v>1.76409999999998</v>
      </c>
      <c r="AF3089">
        <v>-1.73104664254769</v>
      </c>
      <c r="AG3089">
        <v>-1.1098891183835</v>
      </c>
      <c r="AH3089">
        <v>14.9322371688289</v>
      </c>
      <c r="AI3089">
        <v>94.222709593214702</v>
      </c>
      <c r="AJ3089">
        <v>96.612600144417897</v>
      </c>
      <c r="AK3089">
        <v>15.073157705004499</v>
      </c>
      <c r="AL3089">
        <v>68.927946395930604</v>
      </c>
      <c r="AM3089">
        <v>98.358745327007796</v>
      </c>
      <c r="AN3089">
        <v>0.99999996926730395</v>
      </c>
    </row>
    <row r="3090" spans="1:40" x14ac:dyDescent="0.25">
      <c r="A3090" t="str">
        <f>"20190304164431209"</f>
        <v>20190304164431209</v>
      </c>
      <c r="B3090" t="str">
        <f>"1551689071202748"</f>
        <v>1551689071202748</v>
      </c>
      <c r="C3090" t="s">
        <v>40</v>
      </c>
      <c r="D3090">
        <v>4.5328099999999996</v>
      </c>
      <c r="E3090">
        <v>0.5202078</v>
      </c>
      <c r="F3090" t="s">
        <v>45</v>
      </c>
      <c r="G3090">
        <v>-374.0335</v>
      </c>
      <c r="H3090" s="1">
        <v>6.096508E-7</v>
      </c>
      <c r="I3090">
        <v>214.5634</v>
      </c>
      <c r="J3090">
        <v>-389.10180000000003</v>
      </c>
      <c r="K3090">
        <v>1.109964</v>
      </c>
      <c r="L3090">
        <v>212.76490000000001</v>
      </c>
      <c r="M3090">
        <v>0.99996810000000003</v>
      </c>
      <c r="N3090">
        <v>-7.6988990000000004E-3</v>
      </c>
      <c r="O3090">
        <v>2.1184279999999999E-3</v>
      </c>
      <c r="P3090">
        <v>0.9253342</v>
      </c>
      <c r="Q3090">
        <v>0.3528693</v>
      </c>
      <c r="R3090">
        <v>0.1387072</v>
      </c>
      <c r="S3090">
        <v>3.2737430000000001</v>
      </c>
      <c r="T3090">
        <v>-0.23410049999999999</v>
      </c>
      <c r="U3090">
        <v>0.37956240000000002</v>
      </c>
      <c r="V3090">
        <v>-0.1370565</v>
      </c>
      <c r="W3090">
        <v>0.35986790000000002</v>
      </c>
      <c r="X3090">
        <v>0.92288170000000003</v>
      </c>
      <c r="Y3090">
        <v>-0.11275449999999999</v>
      </c>
      <c r="Z3090">
        <v>4.3144780000000001E-3</v>
      </c>
      <c r="AA3090">
        <v>0.99361350000000004</v>
      </c>
      <c r="AB3090">
        <v>44</v>
      </c>
      <c r="AC3090">
        <v>15.068300000000001</v>
      </c>
      <c r="AD3090">
        <v>-1.1099633903492001</v>
      </c>
      <c r="AE3090">
        <v>1.79849999999998</v>
      </c>
      <c r="AF3090">
        <v>-1.7571732114844301</v>
      </c>
      <c r="AG3090">
        <v>-1.1099633903492001</v>
      </c>
      <c r="AH3090">
        <v>14.9918713108533</v>
      </c>
      <c r="AI3090">
        <v>94.205635806989207</v>
      </c>
      <c r="AJ3090">
        <v>96.685045222081996</v>
      </c>
      <c r="AK3090">
        <v>15.1352529488034</v>
      </c>
      <c r="AL3090">
        <v>68.907916706684404</v>
      </c>
      <c r="AM3090">
        <v>98.4472151089618</v>
      </c>
      <c r="AN3090">
        <v>1.0000000109187701</v>
      </c>
    </row>
    <row r="3091" spans="1:40" x14ac:dyDescent="0.25">
      <c r="A3091" t="str">
        <f>"20190304164431233"</f>
        <v>20190304164431233</v>
      </c>
      <c r="B3091" t="str">
        <f>"1551689071222885"</f>
        <v>1551689071222885</v>
      </c>
      <c r="C3091" t="s">
        <v>40</v>
      </c>
      <c r="D3091">
        <v>4.9647649999999999</v>
      </c>
      <c r="E3091">
        <v>0.52007619999999999</v>
      </c>
      <c r="F3091" t="s">
        <v>45</v>
      </c>
      <c r="G3091">
        <v>-373.6028</v>
      </c>
      <c r="H3091" s="1">
        <v>3.8046940000000001E-7</v>
      </c>
      <c r="I3091">
        <v>214.5994</v>
      </c>
      <c r="J3091">
        <v>-388.62790000000001</v>
      </c>
      <c r="K3091">
        <v>1.1100350000000001</v>
      </c>
      <c r="L3091">
        <v>212.7663</v>
      </c>
      <c r="M3091">
        <v>0.99996660000000004</v>
      </c>
      <c r="N3091">
        <v>-7.7230340000000001E-3</v>
      </c>
      <c r="O3091">
        <v>2.7166719999999998E-3</v>
      </c>
      <c r="P3091">
        <v>0.92475499999999999</v>
      </c>
      <c r="Q3091">
        <v>0.35357620000000001</v>
      </c>
      <c r="R3091">
        <v>0.14075699999999999</v>
      </c>
      <c r="S3091">
        <v>3.2734070000000002</v>
      </c>
      <c r="T3091">
        <v>-0.23442579999999999</v>
      </c>
      <c r="U3091">
        <v>0.3874512</v>
      </c>
      <c r="V3091">
        <v>-0.13861389999999901</v>
      </c>
      <c r="W3091">
        <v>0.36056840000000001</v>
      </c>
      <c r="X3091">
        <v>0.92237550000000001</v>
      </c>
      <c r="Y3091">
        <v>-0.11452900000000001</v>
      </c>
      <c r="Z3091">
        <v>4.353254E-3</v>
      </c>
      <c r="AA3091">
        <v>0.99341029999999997</v>
      </c>
      <c r="AB3091">
        <v>44</v>
      </c>
      <c r="AC3091">
        <v>15.0251</v>
      </c>
      <c r="AD3091">
        <v>-1.1100346195305999</v>
      </c>
      <c r="AE3091">
        <v>1.8331</v>
      </c>
      <c r="AF3091">
        <v>-1.7826864477306501</v>
      </c>
      <c r="AG3091">
        <v>-1.1100346195305999</v>
      </c>
      <c r="AH3091">
        <v>14.949625390455299</v>
      </c>
      <c r="AI3091">
        <v>94.216748868714802</v>
      </c>
      <c r="AJ3091">
        <v>96.800194785121207</v>
      </c>
      <c r="AK3091">
        <v>15.096405106594901</v>
      </c>
      <c r="AL3091">
        <v>68.864891905968506</v>
      </c>
      <c r="AM3091">
        <v>98.546412839852806</v>
      </c>
      <c r="AN3091">
        <v>0.99999997367600901</v>
      </c>
    </row>
    <row r="3092" spans="1:40" x14ac:dyDescent="0.25">
      <c r="A3092" t="str">
        <f>"20190304164431255"</f>
        <v>20190304164431255</v>
      </c>
      <c r="B3092" t="str">
        <f>"1551689071243381"</f>
        <v>1551689071243381</v>
      </c>
      <c r="C3092" t="s">
        <v>40</v>
      </c>
      <c r="D3092">
        <v>4.5734469999999998</v>
      </c>
      <c r="E3092">
        <v>0.52002380000000004</v>
      </c>
      <c r="F3092" t="s">
        <v>45</v>
      </c>
      <c r="G3092">
        <v>-372.82780000000002</v>
      </c>
      <c r="H3092" s="1">
        <v>-3.1967030000000001E-8</v>
      </c>
      <c r="I3092">
        <v>214.68090000000001</v>
      </c>
      <c r="J3092">
        <v>-388.19720000000001</v>
      </c>
      <c r="K3092">
        <v>1.110085</v>
      </c>
      <c r="L3092">
        <v>212.76779999999999</v>
      </c>
      <c r="M3092">
        <v>0.99996479999999999</v>
      </c>
      <c r="N3092">
        <v>-7.7459800000000004E-3</v>
      </c>
      <c r="O3092">
        <v>3.2824709999999999E-3</v>
      </c>
      <c r="P3092">
        <v>0.92456539999999998</v>
      </c>
      <c r="Q3092">
        <v>0.35363499999999998</v>
      </c>
      <c r="R3092">
        <v>0.1418499</v>
      </c>
      <c r="S3092">
        <v>3.2716370000000001</v>
      </c>
      <c r="T3092">
        <v>-0.22984889999999999</v>
      </c>
      <c r="U3092">
        <v>0.39643859999999997</v>
      </c>
      <c r="V3092">
        <v>-0.13922960000000001</v>
      </c>
      <c r="W3092">
        <v>0.3606298</v>
      </c>
      <c r="X3092">
        <v>0.92225880000000005</v>
      </c>
      <c r="Y3092">
        <v>-0.1167262</v>
      </c>
      <c r="Z3092">
        <v>4.3305549999999998E-3</v>
      </c>
      <c r="AA3092">
        <v>0.99315469999999895</v>
      </c>
      <c r="AB3092">
        <v>44</v>
      </c>
      <c r="AC3092">
        <v>15.369399999999899</v>
      </c>
      <c r="AD3092">
        <v>-1.1100850319670299</v>
      </c>
      <c r="AE3092">
        <v>1.91310000000001</v>
      </c>
      <c r="AF3092">
        <v>-1.8531188495111499</v>
      </c>
      <c r="AG3092">
        <v>-1.1100850319670299</v>
      </c>
      <c r="AH3092">
        <v>15.297014186077</v>
      </c>
      <c r="AI3092">
        <v>94.120585856033401</v>
      </c>
      <c r="AJ3092">
        <v>96.907296982711699</v>
      </c>
      <c r="AK3092">
        <v>15.448785753503399</v>
      </c>
      <c r="AL3092">
        <v>68.861121084269996</v>
      </c>
      <c r="AM3092">
        <v>98.584880316107302</v>
      </c>
      <c r="AN3092">
        <v>1.0000000141708201</v>
      </c>
    </row>
    <row r="3093" spans="1:40" x14ac:dyDescent="0.25">
      <c r="A3093" t="str">
        <f>"20190304164431276"</f>
        <v>20190304164431276</v>
      </c>
      <c r="B3093" t="str">
        <f>"1551689071272662"</f>
        <v>1551689071272662</v>
      </c>
      <c r="C3093" t="s">
        <v>40</v>
      </c>
      <c r="D3093">
        <v>4.5169030000000001</v>
      </c>
      <c r="E3093">
        <v>0.5199397</v>
      </c>
      <c r="F3093" t="s">
        <v>45</v>
      </c>
      <c r="G3093">
        <v>-372.33870000000002</v>
      </c>
      <c r="H3093" s="1">
        <v>-2.9228200000000002E-7</v>
      </c>
      <c r="I3093">
        <v>214.72210000000001</v>
      </c>
      <c r="J3093">
        <v>-387.77289999999999</v>
      </c>
      <c r="K3093">
        <v>1.1101240000000001</v>
      </c>
      <c r="L3093">
        <v>212.76949999999999</v>
      </c>
      <c r="M3093">
        <v>0.99996240000000003</v>
      </c>
      <c r="N3093">
        <v>-7.7714890000000003E-3</v>
      </c>
      <c r="O3093">
        <v>3.8513480000000001E-3</v>
      </c>
      <c r="P3093">
        <v>0.92469509999999999</v>
      </c>
      <c r="Q3093">
        <v>0.35304180000000002</v>
      </c>
      <c r="R3093">
        <v>0.14248039999999901</v>
      </c>
      <c r="S3093">
        <v>3.270508</v>
      </c>
      <c r="T3093">
        <v>-0.228933</v>
      </c>
      <c r="U3093">
        <v>0.40303040000000001</v>
      </c>
      <c r="V3093">
        <v>-0.13936970000000001</v>
      </c>
      <c r="W3093">
        <v>0.36004709999999901</v>
      </c>
      <c r="X3093">
        <v>0.92246530000000004</v>
      </c>
      <c r="Y3093">
        <v>-0.1181736</v>
      </c>
      <c r="Z3093">
        <v>4.3385619999999998E-3</v>
      </c>
      <c r="AA3093">
        <v>0.99298350000000002</v>
      </c>
      <c r="AB3093">
        <v>44</v>
      </c>
      <c r="AC3093">
        <v>15.434199999999899</v>
      </c>
      <c r="AD3093">
        <v>-1.1101242922819901</v>
      </c>
      <c r="AE3093">
        <v>1.9526000000000101</v>
      </c>
      <c r="AF3093">
        <v>-1.88355041523948</v>
      </c>
      <c r="AG3093">
        <v>-1.1101242922819901</v>
      </c>
      <c r="AH3093">
        <v>15.3633772561653</v>
      </c>
      <c r="AI3093">
        <v>94.102276627611204</v>
      </c>
      <c r="AJ3093">
        <v>96.989583597611002</v>
      </c>
      <c r="AK3093">
        <v>15.518166735356299</v>
      </c>
      <c r="AL3093">
        <v>68.896912008674406</v>
      </c>
      <c r="AM3093">
        <v>98.591494983480402</v>
      </c>
      <c r="AN3093">
        <v>1.0000000286002899</v>
      </c>
    </row>
    <row r="3094" spans="1:40" x14ac:dyDescent="0.25">
      <c r="A3094" t="str">
        <f>"20190304164431299"</f>
        <v>20190304164431299</v>
      </c>
      <c r="B3094" t="str">
        <f>"1551689071293157"</f>
        <v>1551689071293157</v>
      </c>
      <c r="C3094" t="s">
        <v>40</v>
      </c>
      <c r="D3094">
        <v>4.5314360000000002</v>
      </c>
      <c r="E3094">
        <v>0.51991679999999996</v>
      </c>
      <c r="F3094" t="s">
        <v>45</v>
      </c>
      <c r="G3094">
        <v>-372.17039999999997</v>
      </c>
      <c r="H3094" s="1">
        <v>-3.8179949999999998E-7</v>
      </c>
      <c r="I3094">
        <v>214.71530000000001</v>
      </c>
      <c r="J3094">
        <v>-387.33440000000002</v>
      </c>
      <c r="K3094">
        <v>1.1101639999999999</v>
      </c>
      <c r="L3094">
        <v>212.77160000000001</v>
      </c>
      <c r="M3094">
        <v>0.99995979999999995</v>
      </c>
      <c r="N3094">
        <v>-7.7996699999999999E-3</v>
      </c>
      <c r="O3094">
        <v>4.4455670000000001E-3</v>
      </c>
      <c r="P3094">
        <v>0.92467759999999999</v>
      </c>
      <c r="Q3094">
        <v>0.35300619999999999</v>
      </c>
      <c r="R3094">
        <v>0.1426829</v>
      </c>
      <c r="S3094">
        <v>3.2703549999999999</v>
      </c>
      <c r="T3094">
        <v>-0.2326877</v>
      </c>
      <c r="U3094">
        <v>0.4078522</v>
      </c>
      <c r="V3094">
        <v>-0.13905600000000001</v>
      </c>
      <c r="W3094">
        <v>0.36002580000000001</v>
      </c>
      <c r="X3094">
        <v>0.92252089999999998</v>
      </c>
      <c r="Y3094">
        <v>-0.1190201</v>
      </c>
      <c r="Z3094">
        <v>4.3990080000000003E-3</v>
      </c>
      <c r="AA3094">
        <v>0.99288209999999999</v>
      </c>
      <c r="AB3094">
        <v>44</v>
      </c>
      <c r="AC3094">
        <v>15.164</v>
      </c>
      <c r="AD3094">
        <v>-1.1101643817994999</v>
      </c>
      <c r="AE3094">
        <v>1.9437</v>
      </c>
      <c r="AF3094">
        <v>-1.8664242456693201</v>
      </c>
      <c r="AG3094">
        <v>-1.1101643817994999</v>
      </c>
      <c r="AH3094">
        <v>15.092904194710499</v>
      </c>
      <c r="AI3094">
        <v>94.175148057713599</v>
      </c>
      <c r="AJ3094">
        <v>97.049542285083007</v>
      </c>
      <c r="AK3094">
        <v>15.2483363502432</v>
      </c>
      <c r="AL3094">
        <v>68.898219045392196</v>
      </c>
      <c r="AM3094">
        <v>98.571935473326803</v>
      </c>
      <c r="AN3094">
        <v>0.99999997936922402</v>
      </c>
    </row>
    <row r="3095" spans="1:40" x14ac:dyDescent="0.25">
      <c r="A3095" t="str">
        <f>"20190304164431321"</f>
        <v>20190304164431321</v>
      </c>
      <c r="B3095" t="str">
        <f>"1551689071312683"</f>
        <v>1551689071312683</v>
      </c>
      <c r="C3095" t="s">
        <v>40</v>
      </c>
      <c r="D3095">
        <v>4.5158950000000004</v>
      </c>
      <c r="E3095">
        <v>0.51991220000000005</v>
      </c>
      <c r="F3095" t="s">
        <v>45</v>
      </c>
      <c r="G3095">
        <v>-371.60289999999998</v>
      </c>
      <c r="H3095" s="1">
        <v>-6.838009E-7</v>
      </c>
      <c r="I3095">
        <v>214.7329</v>
      </c>
      <c r="J3095">
        <v>-386.86619999999999</v>
      </c>
      <c r="K3095">
        <v>1.110196</v>
      </c>
      <c r="L3095">
        <v>212.774</v>
      </c>
      <c r="M3095">
        <v>0.99995639999999997</v>
      </c>
      <c r="N3095">
        <v>-7.8304099999999995E-3</v>
      </c>
      <c r="O3095">
        <v>5.0833199999999997E-3</v>
      </c>
      <c r="P3095">
        <v>0.92464069999999998</v>
      </c>
      <c r="Q3095">
        <v>0.35299239999999998</v>
      </c>
      <c r="R3095">
        <v>0.14295479999999899</v>
      </c>
      <c r="S3095">
        <v>3.2695620000000001</v>
      </c>
      <c r="T3095">
        <v>-0.23073150000000001</v>
      </c>
      <c r="U3095">
        <v>0.40763850000000001</v>
      </c>
      <c r="V3095">
        <v>-0.13876759999999999</v>
      </c>
      <c r="W3095">
        <v>0.360029299999999</v>
      </c>
      <c r="X3095">
        <v>0.92256300000000002</v>
      </c>
      <c r="Y3095">
        <v>-0.1183603</v>
      </c>
      <c r="Z3095">
        <v>4.3036699999999999E-3</v>
      </c>
      <c r="AA3095">
        <v>0.99296139999999999</v>
      </c>
      <c r="AB3095">
        <v>45</v>
      </c>
      <c r="AC3095">
        <v>15.263299999999999</v>
      </c>
      <c r="AD3095">
        <v>-1.1101966838009001</v>
      </c>
      <c r="AE3095">
        <v>1.9589000000000001</v>
      </c>
      <c r="AF3095">
        <v>-1.8715429782661701</v>
      </c>
      <c r="AG3095">
        <v>-1.1101966838009001</v>
      </c>
      <c r="AH3095">
        <v>15.1939784921623</v>
      </c>
      <c r="AI3095">
        <v>94.147835456185106</v>
      </c>
      <c r="AJ3095">
        <v>97.022128887526193</v>
      </c>
      <c r="AK3095">
        <v>15.349012744033701</v>
      </c>
      <c r="AL3095">
        <v>68.898004912997393</v>
      </c>
      <c r="AM3095">
        <v>98.554036105396904</v>
      </c>
      <c r="AN3095">
        <v>1.00000001631862</v>
      </c>
    </row>
    <row r="3096" spans="1:40" x14ac:dyDescent="0.25">
      <c r="A3096" t="str">
        <f>"20190304164431342"</f>
        <v>20190304164431342</v>
      </c>
      <c r="B3096" t="str">
        <f>"1551689071333173"</f>
        <v>1551689071333173</v>
      </c>
      <c r="C3096" t="s">
        <v>40</v>
      </c>
      <c r="D3096">
        <v>4.5254830000000004</v>
      </c>
      <c r="E3096">
        <v>0.51986659999999996</v>
      </c>
      <c r="F3096" t="s">
        <v>45</v>
      </c>
      <c r="G3096">
        <v>-371.01170000000002</v>
      </c>
      <c r="H3096" s="1">
        <v>-9.9838259999999897E-7</v>
      </c>
      <c r="I3096">
        <v>214.74639999999999</v>
      </c>
      <c r="J3096">
        <v>-386.44040000000001</v>
      </c>
      <c r="K3096">
        <v>1.1102259999999999</v>
      </c>
      <c r="L3096">
        <v>212.7766</v>
      </c>
      <c r="M3096">
        <v>0.99995299999999998</v>
      </c>
      <c r="N3096">
        <v>-7.8606939999999997E-3</v>
      </c>
      <c r="O3096">
        <v>5.6639739999999996E-3</v>
      </c>
      <c r="P3096">
        <v>0.9245023</v>
      </c>
      <c r="Q3096">
        <v>0.35337459999999998</v>
      </c>
      <c r="R3096">
        <v>0.1429059</v>
      </c>
      <c r="S3096">
        <v>3.269012</v>
      </c>
      <c r="T3096">
        <v>-0.22891069999999999</v>
      </c>
      <c r="U3096">
        <v>0.40667720000000002</v>
      </c>
      <c r="V3096">
        <v>-0.13820660000000001</v>
      </c>
      <c r="W3096">
        <v>0.36043049999999999</v>
      </c>
      <c r="X3096">
        <v>0.92249049999999999</v>
      </c>
      <c r="Y3096">
        <v>-0.1175244</v>
      </c>
      <c r="Z3096">
        <v>4.2080779999999996E-3</v>
      </c>
      <c r="AA3096">
        <v>0.99306110000000003</v>
      </c>
      <c r="AB3096">
        <v>45</v>
      </c>
      <c r="AC3096">
        <v>15.4286999999999</v>
      </c>
      <c r="AD3096">
        <v>-1.1102269983826001</v>
      </c>
      <c r="AE3096">
        <v>1.96979999999999</v>
      </c>
      <c r="AF3096">
        <v>-1.87283586765704</v>
      </c>
      <c r="AG3096">
        <v>-1.1102269983826001</v>
      </c>
      <c r="AH3096">
        <v>15.3613439089709</v>
      </c>
      <c r="AI3096">
        <v>94.103531662777996</v>
      </c>
      <c r="AJ3096">
        <v>96.951124430455295</v>
      </c>
      <c r="AK3096">
        <v>15.5148639976249</v>
      </c>
      <c r="AL3096">
        <v>68.873362398593102</v>
      </c>
      <c r="AM3096">
        <v>98.520622750836296</v>
      </c>
      <c r="AN3096">
        <v>0.99999996610202901</v>
      </c>
    </row>
    <row r="3097" spans="1:40" x14ac:dyDescent="0.25">
      <c r="A3097" t="str">
        <f>"20190304164431365"</f>
        <v>20190304164431365</v>
      </c>
      <c r="B3097" t="str">
        <f>"1551689071352693"</f>
        <v>1551689071352693</v>
      </c>
      <c r="C3097" t="s">
        <v>40</v>
      </c>
      <c r="D3097">
        <v>4.5321610000000003</v>
      </c>
      <c r="E3097">
        <v>0.51986759999999999</v>
      </c>
      <c r="F3097" t="s">
        <v>45</v>
      </c>
      <c r="G3097">
        <v>-370.34629999999999</v>
      </c>
      <c r="H3097" s="1">
        <v>-1.352502E-6</v>
      </c>
      <c r="I3097">
        <v>214.77590000000001</v>
      </c>
      <c r="J3097">
        <v>-385.99779999999998</v>
      </c>
      <c r="K3097">
        <v>1.110255</v>
      </c>
      <c r="L3097">
        <v>212.77940000000001</v>
      </c>
      <c r="M3097">
        <v>0.99994930000000004</v>
      </c>
      <c r="N3097">
        <v>-7.8946280000000008E-3</v>
      </c>
      <c r="O3097">
        <v>6.2676579999999997E-3</v>
      </c>
      <c r="P3097">
        <v>0.92452619999999996</v>
      </c>
      <c r="Q3097">
        <v>0.35336099999999998</v>
      </c>
      <c r="R3097">
        <v>0.1427862</v>
      </c>
      <c r="S3097">
        <v>3.268402</v>
      </c>
      <c r="T3097">
        <v>-0.22546550000000001</v>
      </c>
      <c r="U3097">
        <v>0.40603640000000002</v>
      </c>
      <c r="V3097">
        <v>-0.13754959999999999</v>
      </c>
      <c r="W3097">
        <v>0.36044209999999999</v>
      </c>
      <c r="X3097">
        <v>0.92258419999999997</v>
      </c>
      <c r="Y3097">
        <v>-0.1167673</v>
      </c>
      <c r="Z3097">
        <v>4.0897499999999996E-3</v>
      </c>
      <c r="AA3097">
        <v>0.99315089999999995</v>
      </c>
      <c r="AB3097">
        <v>45</v>
      </c>
      <c r="AC3097">
        <v>15.6515</v>
      </c>
      <c r="AD3097">
        <v>-1.1102563525019999</v>
      </c>
      <c r="AE3097">
        <v>1.9964999999999899</v>
      </c>
      <c r="AF3097">
        <v>-1.8890063281663001</v>
      </c>
      <c r="AG3097">
        <v>-1.1102563525019999</v>
      </c>
      <c r="AH3097">
        <v>15.5865317277679</v>
      </c>
      <c r="AI3097">
        <v>94.044899879362006</v>
      </c>
      <c r="AJ3097">
        <v>96.910248086439196</v>
      </c>
      <c r="AK3097">
        <v>15.7397898771501</v>
      </c>
      <c r="AL3097">
        <v>68.872650691322704</v>
      </c>
      <c r="AM3097">
        <v>98.479859415724405</v>
      </c>
      <c r="AN3097">
        <v>1.0000000030011</v>
      </c>
    </row>
    <row r="3098" spans="1:40" x14ac:dyDescent="0.25">
      <c r="A3098" t="str">
        <f>"20190304164431387"</f>
        <v>20190304164431387</v>
      </c>
      <c r="B3098" t="str">
        <f>"1551689071382950"</f>
        <v>1551689071382950</v>
      </c>
      <c r="C3098" t="s">
        <v>40</v>
      </c>
      <c r="D3098">
        <v>4.5599860000000003</v>
      </c>
      <c r="E3098">
        <v>0.51986379999999999</v>
      </c>
      <c r="F3098" t="s">
        <v>45</v>
      </c>
      <c r="G3098">
        <v>-369.8073</v>
      </c>
      <c r="H3098" s="1">
        <v>3.6821529999999998E-6</v>
      </c>
      <c r="I3098">
        <v>214.7903</v>
      </c>
      <c r="J3098">
        <v>-385.55279999999999</v>
      </c>
      <c r="K3098">
        <v>1.1102730000000001</v>
      </c>
      <c r="L3098">
        <v>212.7826</v>
      </c>
      <c r="M3098">
        <v>0.99994490000000003</v>
      </c>
      <c r="N3098">
        <v>-7.9335489999999998E-3</v>
      </c>
      <c r="O3098">
        <v>6.8751119999999897E-3</v>
      </c>
      <c r="P3098">
        <v>0.92463079999999997</v>
      </c>
      <c r="Q3098">
        <v>0.35285460000000002</v>
      </c>
      <c r="R3098">
        <v>0.14335829999999999</v>
      </c>
      <c r="S3098">
        <v>3.2679140000000002</v>
      </c>
      <c r="T3098">
        <v>-0.2240944</v>
      </c>
      <c r="U3098">
        <v>0.40588380000000002</v>
      </c>
      <c r="V3098">
        <v>-0.137575799999999</v>
      </c>
      <c r="W3098">
        <v>0.35996660000000003</v>
      </c>
      <c r="X3098">
        <v>0.92276590000000003</v>
      </c>
      <c r="Y3098">
        <v>-0.1161422</v>
      </c>
      <c r="Z3098">
        <v>4.0106450000000002E-3</v>
      </c>
      <c r="AA3098">
        <v>0.99322449999999995</v>
      </c>
      <c r="AB3098">
        <v>45</v>
      </c>
      <c r="AC3098">
        <v>15.7454999999999</v>
      </c>
      <c r="AD3098">
        <v>-1.110269317847</v>
      </c>
      <c r="AE3098">
        <v>2.0076999999999998</v>
      </c>
      <c r="AF3098">
        <v>-1.89014932481064</v>
      </c>
      <c r="AG3098">
        <v>-1.110269317847</v>
      </c>
      <c r="AH3098">
        <v>15.6822047278393</v>
      </c>
      <c r="AI3098">
        <v>94.020669125585599</v>
      </c>
      <c r="AJ3098">
        <v>96.872610669446999</v>
      </c>
      <c r="AK3098">
        <v>15.8346742168603</v>
      </c>
      <c r="AL3098">
        <v>68.901854728111701</v>
      </c>
      <c r="AM3098">
        <v>98.479805358945598</v>
      </c>
      <c r="AN3098">
        <v>0.99999998003200397</v>
      </c>
    </row>
    <row r="3099" spans="1:40" x14ac:dyDescent="0.25">
      <c r="A3099" t="str">
        <f>"20190304164431412"</f>
        <v>20190304164431412</v>
      </c>
      <c r="B3099" t="str">
        <f>"1551689071403446"</f>
        <v>1551689071403446</v>
      </c>
      <c r="C3099" t="s">
        <v>40</v>
      </c>
      <c r="D3099">
        <v>5.0617169999999998</v>
      </c>
      <c r="E3099">
        <v>0.51984889999999995</v>
      </c>
      <c r="F3099" t="s">
        <v>45</v>
      </c>
      <c r="G3099">
        <v>-369.35610000000003</v>
      </c>
      <c r="H3099" s="1">
        <v>3.442045E-6</v>
      </c>
      <c r="I3099">
        <v>214.79990000000001</v>
      </c>
      <c r="J3099">
        <v>-385.06319999999999</v>
      </c>
      <c r="K3099">
        <v>1.1102959999999999</v>
      </c>
      <c r="L3099">
        <v>212.78630000000001</v>
      </c>
      <c r="M3099">
        <v>0.99993969999999999</v>
      </c>
      <c r="N3099">
        <v>-7.983403E-3</v>
      </c>
      <c r="O3099">
        <v>7.5433119999999999E-3</v>
      </c>
      <c r="P3099">
        <v>0.92463450000000003</v>
      </c>
      <c r="Q3099">
        <v>0.35247659999999997</v>
      </c>
      <c r="R3099">
        <v>0.1442628</v>
      </c>
      <c r="S3099">
        <v>3.266937</v>
      </c>
      <c r="T3099">
        <v>-0.22394539999999999</v>
      </c>
      <c r="U3099">
        <v>0.40690609999999999</v>
      </c>
      <c r="V3099">
        <v>-0.1378771</v>
      </c>
      <c r="W3099">
        <v>0.35962889999999997</v>
      </c>
      <c r="X3099">
        <v>0.92285260000000002</v>
      </c>
      <c r="Y3099">
        <v>-0.11582290000000001</v>
      </c>
      <c r="Z3099">
        <v>3.9601289999999997E-3</v>
      </c>
      <c r="AA3099">
        <v>0.99326199999999998</v>
      </c>
      <c r="AB3099">
        <v>45</v>
      </c>
      <c r="AC3099">
        <v>15.707099999999899</v>
      </c>
      <c r="AD3099">
        <v>-1.110292557955</v>
      </c>
      <c r="AE3099">
        <v>2.0135999999999901</v>
      </c>
      <c r="AF3099">
        <v>-1.88578503756535</v>
      </c>
      <c r="AG3099">
        <v>-1.110292557955</v>
      </c>
      <c r="AH3099">
        <v>15.6449337754265</v>
      </c>
      <c r="AI3099">
        <v>94.030296226500397</v>
      </c>
      <c r="AJ3099">
        <v>96.873072425786205</v>
      </c>
      <c r="AK3099">
        <v>15.7972430382531</v>
      </c>
      <c r="AL3099">
        <v>68.922592320709896</v>
      </c>
      <c r="AM3099">
        <v>98.497319085186206</v>
      </c>
      <c r="AN3099">
        <v>0.99999998087318898</v>
      </c>
    </row>
    <row r="3100" spans="1:40" x14ac:dyDescent="0.25">
      <c r="A3100" t="str">
        <f>"20190304164431433"</f>
        <v>20190304164431433</v>
      </c>
      <c r="B3100" t="str">
        <f>"1551689071422965"</f>
        <v>1551689071422965</v>
      </c>
      <c r="C3100" t="s">
        <v>40</v>
      </c>
      <c r="D3100">
        <v>5.0573480000000002</v>
      </c>
      <c r="E3100">
        <v>0.5198777</v>
      </c>
      <c r="F3100" t="s">
        <v>45</v>
      </c>
      <c r="G3100">
        <v>-368.85599999999999</v>
      </c>
      <c r="H3100" s="1">
        <v>3.1759660000000001E-6</v>
      </c>
      <c r="I3100">
        <v>214.81659999999999</v>
      </c>
      <c r="J3100">
        <v>-384.61739999999998</v>
      </c>
      <c r="K3100">
        <v>1.110311</v>
      </c>
      <c r="L3100">
        <v>212.7901</v>
      </c>
      <c r="M3100">
        <v>0.9999344</v>
      </c>
      <c r="N3100">
        <v>-8.0354060000000001E-3</v>
      </c>
      <c r="O3100">
        <v>8.1524619999999992E-3</v>
      </c>
      <c r="P3100">
        <v>0.92438370000000003</v>
      </c>
      <c r="Q3100">
        <v>0.35256320000000002</v>
      </c>
      <c r="R3100">
        <v>0.14564959999999999</v>
      </c>
      <c r="S3100">
        <v>3.2659910000000001</v>
      </c>
      <c r="T3100">
        <v>-0.22374169999999999</v>
      </c>
      <c r="U3100">
        <v>0.40913389999999999</v>
      </c>
      <c r="V3100">
        <v>-0.13871420000000001</v>
      </c>
      <c r="W3100">
        <v>0.35975610000000002</v>
      </c>
      <c r="X3100">
        <v>0.92267759999999999</v>
      </c>
      <c r="Y3100">
        <v>-0.1159212</v>
      </c>
      <c r="Z3100">
        <v>3.9283970000000001E-3</v>
      </c>
      <c r="AA3100">
        <v>0.99325070000000004</v>
      </c>
      <c r="AB3100">
        <v>45</v>
      </c>
      <c r="AC3100">
        <v>15.761399999999901</v>
      </c>
      <c r="AD3100">
        <v>-1.1103078240340001</v>
      </c>
      <c r="AE3100">
        <v>2.0264999999999902</v>
      </c>
      <c r="AF3100">
        <v>-1.88871402700446</v>
      </c>
      <c r="AG3100">
        <v>-1.1103078240340001</v>
      </c>
      <c r="AH3100">
        <v>15.7007503726743</v>
      </c>
      <c r="AI3100">
        <v>94.016185379110397</v>
      </c>
      <c r="AJ3100">
        <v>96.859407309409605</v>
      </c>
      <c r="AK3100">
        <v>15.8528731277629</v>
      </c>
      <c r="AL3100">
        <v>68.914782329600897</v>
      </c>
      <c r="AM3100">
        <v>98.549746699540805</v>
      </c>
      <c r="AN3100">
        <v>1.0000000171553001</v>
      </c>
    </row>
    <row r="3101" spans="1:40" x14ac:dyDescent="0.25">
      <c r="A3101" t="str">
        <f>"20190304164431457"</f>
        <v>20190304164431457</v>
      </c>
      <c r="B3101" t="str">
        <f>"1551689071453222"</f>
        <v>1551689071453222</v>
      </c>
      <c r="C3101" t="s">
        <v>40</v>
      </c>
      <c r="D3101">
        <v>4.5745779999999998</v>
      </c>
      <c r="E3101">
        <v>0.51988040000000002</v>
      </c>
      <c r="F3101" t="s">
        <v>45</v>
      </c>
      <c r="G3101">
        <v>-368.38299999999998</v>
      </c>
      <c r="H3101" s="1">
        <v>2.9242069999999999E-6</v>
      </c>
      <c r="I3101">
        <v>214.84100000000001</v>
      </c>
      <c r="J3101">
        <v>-384.1678</v>
      </c>
      <c r="K3101">
        <v>1.110325</v>
      </c>
      <c r="L3101">
        <v>212.79409999999999</v>
      </c>
      <c r="M3101">
        <v>0.9999287</v>
      </c>
      <c r="N3101">
        <v>-8.0936510000000003E-3</v>
      </c>
      <c r="O3101">
        <v>8.7674090000000003E-3</v>
      </c>
      <c r="P3101">
        <v>0.9241646</v>
      </c>
      <c r="Q3101">
        <v>0.35246809999999901</v>
      </c>
      <c r="R3101">
        <v>0.1472608</v>
      </c>
      <c r="S3101">
        <v>3.265533</v>
      </c>
      <c r="T3101">
        <v>-0.22333629999999999</v>
      </c>
      <c r="U3101">
        <v>0.41255190000000003</v>
      </c>
      <c r="V3101">
        <v>-0.13976749999999999</v>
      </c>
      <c r="W3101">
        <v>0.35970809999999998</v>
      </c>
      <c r="X3101">
        <v>0.9225373</v>
      </c>
      <c r="Y3101">
        <v>-0.1163516</v>
      </c>
      <c r="Z3101">
        <v>3.905922E-3</v>
      </c>
      <c r="AA3101">
        <v>0.99320039999999998</v>
      </c>
      <c r="AB3101">
        <v>45</v>
      </c>
      <c r="AC3101">
        <v>15.784799999999899</v>
      </c>
      <c r="AD3101">
        <v>-1.1103220757929999</v>
      </c>
      <c r="AE3101">
        <v>2.0468999999999902</v>
      </c>
      <c r="AF3101">
        <v>-1.8991834352479899</v>
      </c>
      <c r="AG3101">
        <v>-1.1103220757929999</v>
      </c>
      <c r="AH3101">
        <v>15.7256180643693</v>
      </c>
      <c r="AI3101">
        <v>94.009680627085501</v>
      </c>
      <c r="AJ3101">
        <v>96.886262861074101</v>
      </c>
      <c r="AK3101">
        <v>15.8787523546131</v>
      </c>
      <c r="AL3101">
        <v>68.917728817779903</v>
      </c>
      <c r="AM3101">
        <v>98.614987699627903</v>
      </c>
      <c r="AN3101">
        <v>0.99999997057657397</v>
      </c>
    </row>
    <row r="3102" spans="1:40" x14ac:dyDescent="0.25">
      <c r="A3102" t="str">
        <f>"20190304164431479"</f>
        <v>20190304164431479</v>
      </c>
      <c r="B3102" t="str">
        <f>"1551689071472741"</f>
        <v>1551689071472741</v>
      </c>
      <c r="C3102" t="s">
        <v>40</v>
      </c>
      <c r="D3102">
        <v>5.1191069999999996</v>
      </c>
      <c r="E3102">
        <v>0.51988729999999905</v>
      </c>
      <c r="F3102" t="s">
        <v>45</v>
      </c>
      <c r="G3102">
        <v>-367.84109999999998</v>
      </c>
      <c r="H3102" s="1">
        <v>2.6358510000000002E-6</v>
      </c>
      <c r="I3102">
        <v>214.8852</v>
      </c>
      <c r="J3102">
        <v>-383.71480000000003</v>
      </c>
      <c r="K3102">
        <v>1.1103369999999999</v>
      </c>
      <c r="L3102">
        <v>212.79849999999999</v>
      </c>
      <c r="M3102">
        <v>0.99992289999999995</v>
      </c>
      <c r="N3102">
        <v>-8.1522399999999998E-3</v>
      </c>
      <c r="O3102">
        <v>9.3878820000000002E-3</v>
      </c>
      <c r="P3102">
        <v>0.92395170000000004</v>
      </c>
      <c r="Q3102">
        <v>0.3523771</v>
      </c>
      <c r="R3102">
        <v>0.14880839999999901</v>
      </c>
      <c r="S3102">
        <v>3.264221</v>
      </c>
      <c r="T3102">
        <v>-0.22198760000000001</v>
      </c>
      <c r="U3102">
        <v>0.41807559999999999</v>
      </c>
      <c r="V3102">
        <v>-0.1407505</v>
      </c>
      <c r="W3102">
        <v>0.35966579999999998</v>
      </c>
      <c r="X3102">
        <v>0.92240429999999995</v>
      </c>
      <c r="Y3102">
        <v>-0.11744</v>
      </c>
      <c r="Z3102">
        <v>3.8949639999999999E-3</v>
      </c>
      <c r="AA3102">
        <v>0.99307230000000002</v>
      </c>
      <c r="AB3102">
        <v>45</v>
      </c>
      <c r="AC3102">
        <v>15.873699999999999</v>
      </c>
      <c r="AD3102">
        <v>-1.110334364149</v>
      </c>
      <c r="AE3102">
        <v>2.0867</v>
      </c>
      <c r="AF3102">
        <v>-1.9283082721867799</v>
      </c>
      <c r="AG3102">
        <v>-1.110334364149</v>
      </c>
      <c r="AH3102">
        <v>15.8165194050114</v>
      </c>
      <c r="AI3102">
        <v>93.986209347787195</v>
      </c>
      <c r="AJ3102">
        <v>96.951045817962196</v>
      </c>
      <c r="AK3102">
        <v>15.9722728902901</v>
      </c>
      <c r="AL3102">
        <v>68.920325633282701</v>
      </c>
      <c r="AM3102">
        <v>98.675891061274697</v>
      </c>
      <c r="AN3102">
        <v>0.99999994179918805</v>
      </c>
    </row>
    <row r="3103" spans="1:40" x14ac:dyDescent="0.25">
      <c r="A3103" t="str">
        <f>"20190304164431500"</f>
        <v>20190304164431500</v>
      </c>
      <c r="B3103" t="str">
        <f>"1551689071493238"</f>
        <v>1551689071493238</v>
      </c>
      <c r="C3103" t="s">
        <v>40</v>
      </c>
      <c r="D3103">
        <v>4.6056660000000003</v>
      </c>
      <c r="E3103">
        <v>0.51994169999999995</v>
      </c>
      <c r="F3103" t="s">
        <v>45</v>
      </c>
      <c r="G3103">
        <v>-367.33089999999999</v>
      </c>
      <c r="H3103" s="1">
        <v>2.364355E-6</v>
      </c>
      <c r="I3103">
        <v>214.9228</v>
      </c>
      <c r="J3103">
        <v>-383.27109999999999</v>
      </c>
      <c r="K3103">
        <v>1.110349</v>
      </c>
      <c r="L3103">
        <v>212.8031</v>
      </c>
      <c r="M3103">
        <v>0.99991640000000004</v>
      </c>
      <c r="N3103">
        <v>-8.2076879999999994E-3</v>
      </c>
      <c r="O3103">
        <v>9.9965479999999992E-3</v>
      </c>
      <c r="P3103">
        <v>0.92382169999999997</v>
      </c>
      <c r="Q3103">
        <v>0.35232390000000002</v>
      </c>
      <c r="R3103">
        <v>0.1497385</v>
      </c>
      <c r="S3103">
        <v>3.2631230000000002</v>
      </c>
      <c r="T3103">
        <v>-0.2211409</v>
      </c>
      <c r="U3103">
        <v>0.42308040000000002</v>
      </c>
      <c r="V3103">
        <v>-0.14112459999999999</v>
      </c>
      <c r="W3103">
        <v>0.35966049999999999</v>
      </c>
      <c r="X3103">
        <v>0.92234930000000004</v>
      </c>
      <c r="Y3103">
        <v>-0.1183761</v>
      </c>
      <c r="Z3103">
        <v>3.8862480000000001E-3</v>
      </c>
      <c r="AA3103">
        <v>0.99296119999999999</v>
      </c>
      <c r="AB3103">
        <v>45</v>
      </c>
      <c r="AC3103">
        <v>15.940200000000001</v>
      </c>
      <c r="AD3103">
        <v>-1.110346635645</v>
      </c>
      <c r="AE3103">
        <v>2.1196999999999901</v>
      </c>
      <c r="AF3103">
        <v>-1.95094007427419</v>
      </c>
      <c r="AG3103">
        <v>-1.110346635645</v>
      </c>
      <c r="AH3103">
        <v>15.884858211628799</v>
      </c>
      <c r="AI3103">
        <v>93.968729403219299</v>
      </c>
      <c r="AJ3103">
        <v>97.001864566923501</v>
      </c>
      <c r="AK3103">
        <v>16.042685474329001</v>
      </c>
      <c r="AL3103">
        <v>68.920653018069103</v>
      </c>
      <c r="AM3103">
        <v>98.699109182690606</v>
      </c>
      <c r="AN3103">
        <v>1.0000000295979401</v>
      </c>
    </row>
    <row r="3104" spans="1:40" x14ac:dyDescent="0.25">
      <c r="A3104" t="str">
        <f>"20190304164431522"</f>
        <v>20190304164431522</v>
      </c>
      <c r="B3104" t="str">
        <f>"1551689071512757"</f>
        <v>1551689071512757</v>
      </c>
      <c r="C3104" t="s">
        <v>40</v>
      </c>
      <c r="D3104">
        <v>4.7727849999999998</v>
      </c>
      <c r="E3104">
        <v>0.54458600000000001</v>
      </c>
      <c r="F3104" t="s">
        <v>45</v>
      </c>
      <c r="G3104">
        <v>-366.9126</v>
      </c>
      <c r="H3104" s="1">
        <v>2.1417460000000002E-6</v>
      </c>
      <c r="I3104">
        <v>214.93690000000001</v>
      </c>
      <c r="J3104">
        <v>-382.8193</v>
      </c>
      <c r="K3104">
        <v>1.110365</v>
      </c>
      <c r="L3104">
        <v>212.80799999999999</v>
      </c>
      <c r="M3104">
        <v>0.99990950000000001</v>
      </c>
      <c r="N3104">
        <v>-8.2640419999999992E-3</v>
      </c>
      <c r="O3104">
        <v>1.0616830000000001E-2</v>
      </c>
      <c r="P3104">
        <v>0.92367239999999995</v>
      </c>
      <c r="Q3104">
        <v>0.3523618</v>
      </c>
      <c r="R3104">
        <v>0.15056659999999999</v>
      </c>
      <c r="S3104">
        <v>3.262848</v>
      </c>
      <c r="T3104">
        <v>-0.2214689</v>
      </c>
      <c r="U3104">
        <v>0.42561339999999998</v>
      </c>
      <c r="V3104">
        <v>-0.1413856</v>
      </c>
      <c r="W3104">
        <v>0.3597477</v>
      </c>
      <c r="X3104">
        <v>0.92227530000000002</v>
      </c>
      <c r="Y3104">
        <v>-0.11852849999999999</v>
      </c>
      <c r="Z3104">
        <v>3.8642239999999999E-3</v>
      </c>
      <c r="AA3104">
        <v>0.99294309999999997</v>
      </c>
      <c r="AB3104">
        <v>45</v>
      </c>
      <c r="AC3104">
        <v>15.906700000000001</v>
      </c>
      <c r="AD3104">
        <v>-1.1103628582539999</v>
      </c>
      <c r="AE3104">
        <v>2.12890000000001</v>
      </c>
      <c r="AF3104">
        <v>-1.9505582772829799</v>
      </c>
      <c r="AG3104">
        <v>-1.1103628582539999</v>
      </c>
      <c r="AH3104">
        <v>15.852521074224301</v>
      </c>
      <c r="AI3104">
        <v>93.976748369856907</v>
      </c>
      <c r="AJ3104">
        <v>97.014645932426006</v>
      </c>
      <c r="AK3104">
        <v>16.010621714311799</v>
      </c>
      <c r="AL3104">
        <v>68.915298041298101</v>
      </c>
      <c r="AM3104">
        <v>98.715639313909406</v>
      </c>
      <c r="AN3104">
        <v>1.0000000122663699</v>
      </c>
    </row>
    <row r="3105" spans="1:40" x14ac:dyDescent="0.25">
      <c r="A3105" t="str">
        <f>"20190304164431543"</f>
        <v>20190304164431543</v>
      </c>
      <c r="B3105" t="str">
        <f>"1551689071533253"</f>
        <v>1551689071533253</v>
      </c>
      <c r="C3105" t="s">
        <v>40</v>
      </c>
      <c r="D3105">
        <v>4.6656610000000001</v>
      </c>
      <c r="E3105">
        <v>0.55493309999999996</v>
      </c>
      <c r="F3105" t="s">
        <v>45</v>
      </c>
      <c r="G3105">
        <v>-369.49040000000002</v>
      </c>
      <c r="H3105" s="1">
        <v>3.513518E-6</v>
      </c>
      <c r="I3105">
        <v>213.7739</v>
      </c>
      <c r="J3105">
        <v>-382.4015</v>
      </c>
      <c r="K3105">
        <v>1.1103670000000001</v>
      </c>
      <c r="L3105">
        <v>212.81280000000001</v>
      </c>
      <c r="M3105">
        <v>0.99990290000000004</v>
      </c>
      <c r="N3105">
        <v>-8.3162840000000002E-3</v>
      </c>
      <c r="O3105">
        <v>1.119175E-2</v>
      </c>
      <c r="P3105">
        <v>0.92362889999999997</v>
      </c>
      <c r="Q3105">
        <v>0.35236719999999999</v>
      </c>
      <c r="R3105">
        <v>0.1508226</v>
      </c>
      <c r="S3105">
        <v>3.3140869999999998</v>
      </c>
      <c r="T3105">
        <v>-0.27607939999999997</v>
      </c>
      <c r="U3105">
        <v>0.24015810000000001</v>
      </c>
      <c r="V3105">
        <v>-0.14111479999999901</v>
      </c>
      <c r="W3105">
        <v>0.3597998</v>
      </c>
      <c r="X3105">
        <v>0.92229649999999996</v>
      </c>
      <c r="Y3105">
        <v>-6.0909199999999997E-2</v>
      </c>
      <c r="Z3105">
        <v>1.9468409999999999E-3</v>
      </c>
      <c r="AA3105">
        <v>0.99814139999999996</v>
      </c>
      <c r="AB3105">
        <v>45</v>
      </c>
      <c r="AC3105">
        <v>12.9110999999999</v>
      </c>
      <c r="AD3105">
        <v>-1.110363486482</v>
      </c>
      <c r="AE3105">
        <v>0.96109999999998696</v>
      </c>
      <c r="AF3105">
        <v>-0.81057494763754001</v>
      </c>
      <c r="AG3105">
        <v>-1.110363486482</v>
      </c>
      <c r="AH3105">
        <v>12.826703067465701</v>
      </c>
      <c r="AI3105">
        <v>94.937763298971305</v>
      </c>
      <c r="AJ3105">
        <v>93.615960223126095</v>
      </c>
      <c r="AK3105">
        <v>12.900164743087</v>
      </c>
      <c r="AL3105">
        <v>68.912099721108206</v>
      </c>
      <c r="AM3105">
        <v>98.699004696231896</v>
      </c>
      <c r="AN3105">
        <v>1.0000000583856601</v>
      </c>
    </row>
    <row r="3106" spans="1:40" x14ac:dyDescent="0.25">
      <c r="A3106" t="str">
        <f>"20190304164431576"</f>
        <v>20190304164431576</v>
      </c>
      <c r="B3106" t="str">
        <f>"1551689071573270"</f>
        <v>1551689071573270</v>
      </c>
      <c r="C3106" t="s">
        <v>40</v>
      </c>
      <c r="D3106">
        <v>4.6735340000000001</v>
      </c>
      <c r="E3106">
        <v>0.56227510000000003</v>
      </c>
      <c r="F3106" t="s">
        <v>41</v>
      </c>
      <c r="G3106">
        <v>-381.46210000000002</v>
      </c>
      <c r="H3106">
        <v>1.023407</v>
      </c>
      <c r="I3106">
        <v>212.85830000000001</v>
      </c>
      <c r="J3106">
        <v>-381.74450000000002</v>
      </c>
      <c r="K3106">
        <v>1.1103940000000001</v>
      </c>
      <c r="L3106">
        <v>212.82079999999999</v>
      </c>
      <c r="M3106">
        <v>0.99989150000000004</v>
      </c>
      <c r="N3106">
        <v>-8.3985969999999903E-3</v>
      </c>
      <c r="O3106">
        <v>1.2104810000000001E-2</v>
      </c>
      <c r="P3106">
        <v>0.92375830000000003</v>
      </c>
      <c r="Q3106">
        <v>0.35225210000000001</v>
      </c>
      <c r="R3106">
        <v>0.15029729999999999</v>
      </c>
      <c r="S3106">
        <v>3.3394469999999998</v>
      </c>
      <c r="T3106">
        <v>-0.30924889999999999</v>
      </c>
      <c r="U3106">
        <v>0.16256709999999999</v>
      </c>
      <c r="V3106">
        <v>-0.13975170000000001</v>
      </c>
      <c r="W3106">
        <v>0.35976200000000003</v>
      </c>
      <c r="X3106">
        <v>0.92251870000000002</v>
      </c>
      <c r="Y3106">
        <v>-3.6401969999999999E-2</v>
      </c>
      <c r="Z3106">
        <v>8.1783050000000003E-4</v>
      </c>
      <c r="AA3106">
        <v>0.99933689999999997</v>
      </c>
      <c r="AB3106">
        <v>45</v>
      </c>
      <c r="AC3106">
        <v>0.28239999999999499</v>
      </c>
      <c r="AD3106">
        <v>-8.6987000000000106E-2</v>
      </c>
      <c r="AE3106">
        <v>3.7500000000022703E-2</v>
      </c>
      <c r="AF3106">
        <v>-3.11723216196894E-2</v>
      </c>
      <c r="AG3106">
        <v>-8.6987000000000106E-2</v>
      </c>
      <c r="AH3106">
        <v>0.25871176123436701</v>
      </c>
      <c r="AI3106">
        <v>108.459880445398</v>
      </c>
      <c r="AJ3106">
        <v>96.870479089040501</v>
      </c>
      <c r="AK3106">
        <v>0.27471845079125901</v>
      </c>
      <c r="AL3106">
        <v>68.914419494578297</v>
      </c>
      <c r="AM3106">
        <v>98.614199501452802</v>
      </c>
      <c r="AN3106">
        <v>0.99999999307329002</v>
      </c>
    </row>
    <row r="3107" spans="1:40" x14ac:dyDescent="0.25">
      <c r="A3107" t="str">
        <f>"20190304164431600"</f>
        <v>20190304164431600</v>
      </c>
      <c r="B3107" t="str">
        <f>"1551689071592789"</f>
        <v>1551689071592789</v>
      </c>
      <c r="C3107" t="s">
        <v>40</v>
      </c>
      <c r="D3107">
        <v>4.6773989999999896</v>
      </c>
      <c r="E3107">
        <v>0.56301000000000001</v>
      </c>
      <c r="F3107" t="s">
        <v>41</v>
      </c>
      <c r="G3107">
        <v>-380.65809999999999</v>
      </c>
      <c r="H3107">
        <v>1.0090600000000001</v>
      </c>
      <c r="I3107">
        <v>212.85390000000001</v>
      </c>
      <c r="J3107">
        <v>-381.23439999999999</v>
      </c>
      <c r="K3107">
        <v>1.110411</v>
      </c>
      <c r="L3107">
        <v>212.82749999999999</v>
      </c>
      <c r="M3107">
        <v>0.99988189999999999</v>
      </c>
      <c r="N3107">
        <v>-8.4624790000000002E-3</v>
      </c>
      <c r="O3107">
        <v>1.2827079999999999E-2</v>
      </c>
      <c r="P3107">
        <v>0.92392750000000001</v>
      </c>
      <c r="Q3107">
        <v>0.35213460000000002</v>
      </c>
      <c r="R3107">
        <v>0.14952950000000001</v>
      </c>
      <c r="S3107">
        <v>3.350006</v>
      </c>
      <c r="T3107">
        <v>-0.31266270000000002</v>
      </c>
      <c r="U3107">
        <v>0.1033478</v>
      </c>
      <c r="V3107">
        <v>-0.138323</v>
      </c>
      <c r="W3107">
        <v>0.35970410000000003</v>
      </c>
      <c r="X3107">
        <v>0.92275660000000004</v>
      </c>
      <c r="Y3107">
        <v>-1.7972289999999998E-2</v>
      </c>
      <c r="Z3107">
        <v>-1.729736E-4</v>
      </c>
      <c r="AA3107">
        <v>0.99983849999999996</v>
      </c>
      <c r="AB3107">
        <v>46</v>
      </c>
      <c r="AC3107">
        <v>0.57630000000000303</v>
      </c>
      <c r="AD3107">
        <v>-0.101350999999999</v>
      </c>
      <c r="AE3107">
        <v>2.64000000000237E-2</v>
      </c>
      <c r="AF3107">
        <v>-1.8436303738822699E-2</v>
      </c>
      <c r="AG3107">
        <v>-0.101350999999999</v>
      </c>
      <c r="AH3107">
        <v>0.55932827398289298</v>
      </c>
      <c r="AI3107">
        <v>100.265171822017</v>
      </c>
      <c r="AJ3107">
        <v>91.887871830030505</v>
      </c>
      <c r="AK3107">
        <v>0.568735475043743</v>
      </c>
      <c r="AL3107">
        <v>68.917975475026296</v>
      </c>
      <c r="AM3107">
        <v>98.525270467052707</v>
      </c>
      <c r="AN3107">
        <v>1.0000000173646799</v>
      </c>
    </row>
    <row r="3108" spans="1:40" x14ac:dyDescent="0.25">
      <c r="A3108" t="str">
        <f>"20190304164431622"</f>
        <v>20190304164431622</v>
      </c>
      <c r="B3108" t="str">
        <f>"1551689071612816"</f>
        <v>1551689071612816</v>
      </c>
      <c r="C3108" t="s">
        <v>40</v>
      </c>
      <c r="D3108">
        <v>4.7153589999999896</v>
      </c>
      <c r="E3108">
        <v>0.56394609999999901</v>
      </c>
      <c r="F3108" t="s">
        <v>41</v>
      </c>
      <c r="G3108">
        <v>-380.24549999999999</v>
      </c>
      <c r="H3108">
        <v>1.0196719999999999</v>
      </c>
      <c r="I3108">
        <v>212.85570000000001</v>
      </c>
      <c r="J3108">
        <v>-380.78440000000001</v>
      </c>
      <c r="K3108">
        <v>1.1104339999999999</v>
      </c>
      <c r="L3108">
        <v>212.83369999999999</v>
      </c>
      <c r="M3108">
        <v>0.99987300000000001</v>
      </c>
      <c r="N3108">
        <v>-8.5171020000000004E-3</v>
      </c>
      <c r="O3108">
        <v>1.3473560000000001E-2</v>
      </c>
      <c r="P3108">
        <v>0.92391540000000005</v>
      </c>
      <c r="Q3108">
        <v>0.3523328</v>
      </c>
      <c r="R3108">
        <v>0.1491382</v>
      </c>
      <c r="S3108">
        <v>3.3485719999999999</v>
      </c>
      <c r="T3108">
        <v>-0.30734529999999999</v>
      </c>
      <c r="U3108">
        <v>9.6145629999999996E-2</v>
      </c>
      <c r="V3108">
        <v>-0.13734350000000001</v>
      </c>
      <c r="W3108">
        <v>0.35995100000000002</v>
      </c>
      <c r="X3108">
        <v>0.92280660000000003</v>
      </c>
      <c r="Y3108">
        <v>-1.5206239999999999E-2</v>
      </c>
      <c r="Z3108">
        <v>-3.580414E-4</v>
      </c>
      <c r="AA3108">
        <v>0.99988429999999995</v>
      </c>
      <c r="AB3108">
        <v>46</v>
      </c>
      <c r="AC3108">
        <v>0.53890000000001204</v>
      </c>
      <c r="AD3108">
        <v>-9.0761999999999995E-2</v>
      </c>
      <c r="AE3108">
        <v>2.2000000000019702E-2</v>
      </c>
      <c r="AF3108">
        <v>-1.43310072922749E-2</v>
      </c>
      <c r="AG3108">
        <v>-9.0761999999999995E-2</v>
      </c>
      <c r="AH3108">
        <v>0.52430017146260399</v>
      </c>
      <c r="AI3108">
        <v>99.817587425125893</v>
      </c>
      <c r="AJ3108">
        <v>91.565709646068399</v>
      </c>
      <c r="AK3108">
        <v>0.53229107470417603</v>
      </c>
      <c r="AL3108">
        <v>68.902812985690801</v>
      </c>
      <c r="AM3108">
        <v>98.465326696515106</v>
      </c>
      <c r="AN3108">
        <v>0.99999999019840502</v>
      </c>
    </row>
    <row r="3109" spans="1:40" x14ac:dyDescent="0.25">
      <c r="A3109" t="str">
        <f>"20190304164431646"</f>
        <v>20190304164431646</v>
      </c>
      <c r="B3109" t="str">
        <f>"1551689071633312"</f>
        <v>1551689071633312</v>
      </c>
      <c r="C3109" t="s">
        <v>40</v>
      </c>
      <c r="D3109">
        <v>4.6853249999999997</v>
      </c>
      <c r="E3109">
        <v>0.56475509999999995</v>
      </c>
      <c r="F3109" t="s">
        <v>41</v>
      </c>
      <c r="G3109">
        <v>-379.83530000000002</v>
      </c>
      <c r="H3109">
        <v>1.023901</v>
      </c>
      <c r="I3109">
        <v>212.85820000000001</v>
      </c>
      <c r="J3109">
        <v>-380.32650000000001</v>
      </c>
      <c r="K3109">
        <v>1.1104459999999901</v>
      </c>
      <c r="L3109">
        <v>212.84030000000001</v>
      </c>
      <c r="M3109">
        <v>0.99986339999999996</v>
      </c>
      <c r="N3109">
        <v>-8.5685220000000003E-3</v>
      </c>
      <c r="O3109">
        <v>1.414284E-2</v>
      </c>
      <c r="P3109">
        <v>0.92372880000000002</v>
      </c>
      <c r="Q3109">
        <v>0.35283300000000001</v>
      </c>
      <c r="R3109">
        <v>0.1491122</v>
      </c>
      <c r="S3109">
        <v>3.3493650000000001</v>
      </c>
      <c r="T3109">
        <v>-0.30557820000000002</v>
      </c>
      <c r="U3109">
        <v>8.7814329999999996E-2</v>
      </c>
      <c r="V3109">
        <v>-0.13671249999999999</v>
      </c>
      <c r="W3109">
        <v>0.36049550000000002</v>
      </c>
      <c r="X3109">
        <v>0.92268779999999995</v>
      </c>
      <c r="Y3109">
        <v>-1.2061469999999999E-2</v>
      </c>
      <c r="Z3109">
        <v>-5.6560589999999895E-4</v>
      </c>
      <c r="AA3109">
        <v>0.99992709999999996</v>
      </c>
      <c r="AB3109">
        <v>46</v>
      </c>
      <c r="AC3109">
        <v>0.49119999999999198</v>
      </c>
      <c r="AD3109">
        <v>-8.6544999999999803E-2</v>
      </c>
      <c r="AE3109">
        <v>1.78999999999973E-2</v>
      </c>
      <c r="AF3109">
        <v>-1.06216976824767E-2</v>
      </c>
      <c r="AG3109">
        <v>-8.6544999999999803E-2</v>
      </c>
      <c r="AH3109">
        <v>0.47662758631966801</v>
      </c>
      <c r="AI3109">
        <v>100.28901511337</v>
      </c>
      <c r="AJ3109">
        <v>91.276631379789507</v>
      </c>
      <c r="AK3109">
        <v>0.48453762859820398</v>
      </c>
      <c r="AL3109">
        <v>68.869371502793001</v>
      </c>
      <c r="AM3109">
        <v>98.428063427280804</v>
      </c>
      <c r="AN3109">
        <v>1.00000004472266</v>
      </c>
    </row>
    <row r="3110" spans="1:40" x14ac:dyDescent="0.25">
      <c r="A3110" t="str">
        <f>"20190304164431667"</f>
        <v>20190304164431667</v>
      </c>
      <c r="B3110" t="str">
        <f>"1551689071663569"</f>
        <v>1551689071663569</v>
      </c>
      <c r="C3110" t="s">
        <v>40</v>
      </c>
      <c r="D3110">
        <v>4.6982559999999998</v>
      </c>
      <c r="E3110">
        <v>0.56542040000000005</v>
      </c>
      <c r="F3110" t="s">
        <v>41</v>
      </c>
      <c r="G3110">
        <v>-379.42419999999998</v>
      </c>
      <c r="H3110">
        <v>1.0289469999999901</v>
      </c>
      <c r="I3110">
        <v>212.8622</v>
      </c>
      <c r="J3110">
        <v>-379.87580000000003</v>
      </c>
      <c r="K3110">
        <v>1.1104579999999999</v>
      </c>
      <c r="L3110">
        <v>212.84700000000001</v>
      </c>
      <c r="M3110">
        <v>0.99985329999999994</v>
      </c>
      <c r="N3110">
        <v>-8.6168870000000002E-3</v>
      </c>
      <c r="O3110">
        <v>1.481356E-2</v>
      </c>
      <c r="P3110">
        <v>0.92390159999999999</v>
      </c>
      <c r="Q3110">
        <v>0.35246650000000002</v>
      </c>
      <c r="R3110">
        <v>0.1489077</v>
      </c>
      <c r="S3110">
        <v>3.3500670000000001</v>
      </c>
      <c r="T3110">
        <v>-0.30254550000000002</v>
      </c>
      <c r="U3110">
        <v>8.1771849999999993E-2</v>
      </c>
      <c r="V3110">
        <v>-0.1358955</v>
      </c>
      <c r="W3110">
        <v>0.36017300000000002</v>
      </c>
      <c r="X3110">
        <v>0.92293440000000004</v>
      </c>
      <c r="Y3110">
        <v>-9.5958999999999992E-3</v>
      </c>
      <c r="Z3110">
        <v>-7.3359800000000002E-4</v>
      </c>
      <c r="AA3110">
        <v>0.99995369999999995</v>
      </c>
      <c r="AB3110">
        <v>46</v>
      </c>
      <c r="AC3110">
        <v>0.45160000000004102</v>
      </c>
      <c r="AD3110">
        <v>-8.1511000000000097E-2</v>
      </c>
      <c r="AE3110">
        <v>1.51999999999929E-2</v>
      </c>
      <c r="AF3110">
        <v>-8.24013748311948E-3</v>
      </c>
      <c r="AG3110">
        <v>-8.1511000000000097E-2</v>
      </c>
      <c r="AH3110">
        <v>0.43753764146229202</v>
      </c>
      <c r="AI3110">
        <v>100.551105703312</v>
      </c>
      <c r="AJ3110">
        <v>91.078922701907004</v>
      </c>
      <c r="AK3110">
        <v>0.44514169730898701</v>
      </c>
      <c r="AL3110">
        <v>68.889180000431907</v>
      </c>
      <c r="AM3110">
        <v>98.376207112609606</v>
      </c>
      <c r="AN3110">
        <v>1.0000000417763</v>
      </c>
    </row>
    <row r="3111" spans="1:40" x14ac:dyDescent="0.25">
      <c r="A3111" t="str">
        <f>"20190304164431688"</f>
        <v>20190304164431688</v>
      </c>
      <c r="B3111" t="str">
        <f>"1551689071683089"</f>
        <v>1551689071683089</v>
      </c>
      <c r="C3111" t="s">
        <v>40</v>
      </c>
      <c r="D3111">
        <v>4.7060459999999997</v>
      </c>
      <c r="E3111">
        <v>0.56576870000000001</v>
      </c>
      <c r="F3111" t="s">
        <v>41</v>
      </c>
      <c r="G3111">
        <v>-379.01330000000002</v>
      </c>
      <c r="H3111">
        <v>1.0319700000000001</v>
      </c>
      <c r="I3111">
        <v>212.86660000000001</v>
      </c>
      <c r="J3111">
        <v>-379.42599999999999</v>
      </c>
      <c r="K3111">
        <v>1.110468</v>
      </c>
      <c r="L3111">
        <v>212.85409999999999</v>
      </c>
      <c r="M3111">
        <v>0.99984260000000003</v>
      </c>
      <c r="N3111">
        <v>-8.6646999999999991E-3</v>
      </c>
      <c r="O3111">
        <v>1.549322E-2</v>
      </c>
      <c r="P3111">
        <v>0.92393479999999995</v>
      </c>
      <c r="Q3111">
        <v>0.35234480000000001</v>
      </c>
      <c r="R3111">
        <v>0.1489887</v>
      </c>
      <c r="S3111">
        <v>3.3510740000000001</v>
      </c>
      <c r="T3111">
        <v>-0.30511700000000003</v>
      </c>
      <c r="U3111">
        <v>7.7301030000000007E-2</v>
      </c>
      <c r="V3111">
        <v>-0.1353569</v>
      </c>
      <c r="W3111">
        <v>0.36009340000000001</v>
      </c>
      <c r="X3111">
        <v>0.92304459999999999</v>
      </c>
      <c r="Y3111">
        <v>-7.5870249999999998E-3</v>
      </c>
      <c r="Z3111">
        <v>-8.9588269999999999E-4</v>
      </c>
      <c r="AA3111">
        <v>0.99997080000000005</v>
      </c>
      <c r="AB3111">
        <v>46</v>
      </c>
      <c r="AC3111">
        <v>0.41269999999997198</v>
      </c>
      <c r="AD3111">
        <v>-7.8497999999999901E-2</v>
      </c>
      <c r="AE3111">
        <v>1.2500000000016999E-2</v>
      </c>
      <c r="AF3111">
        <v>-5.8912679551378E-3</v>
      </c>
      <c r="AG3111">
        <v>-7.8497999999999901E-2</v>
      </c>
      <c r="AH3111">
        <v>0.39844237476961603</v>
      </c>
      <c r="AI3111">
        <v>101.14404532415899</v>
      </c>
      <c r="AJ3111">
        <v>90.847099145537697</v>
      </c>
      <c r="AK3111">
        <v>0.40614402501350499</v>
      </c>
      <c r="AL3111">
        <v>68.894068745136195</v>
      </c>
      <c r="AM3111">
        <v>98.342495512657507</v>
      </c>
      <c r="AN3111">
        <v>1.0000000403451601</v>
      </c>
    </row>
    <row r="3112" spans="1:40" x14ac:dyDescent="0.25">
      <c r="A3112" t="str">
        <f>"20190304164431711"</f>
        <v>20190304164431711</v>
      </c>
      <c r="B3112" t="str">
        <f>"1551689071702612"</f>
        <v>1551689071702612</v>
      </c>
      <c r="C3112" t="s">
        <v>40</v>
      </c>
      <c r="D3112">
        <v>4.725689</v>
      </c>
      <c r="E3112">
        <v>0.56602379999999997</v>
      </c>
      <c r="F3112" t="s">
        <v>41</v>
      </c>
      <c r="G3112">
        <v>-378.60129999999998</v>
      </c>
      <c r="H3112">
        <v>1.0349790000000001</v>
      </c>
      <c r="I3112">
        <v>212.8724</v>
      </c>
      <c r="J3112">
        <v>-378.95819999999998</v>
      </c>
      <c r="K3112">
        <v>1.1104889999999901</v>
      </c>
      <c r="L3112">
        <v>212.86179999999999</v>
      </c>
      <c r="M3112">
        <v>0.99983080000000002</v>
      </c>
      <c r="N3112">
        <v>-8.7119969999999904E-3</v>
      </c>
      <c r="O3112">
        <v>1.620798E-2</v>
      </c>
      <c r="P3112">
        <v>0.92367690000000002</v>
      </c>
      <c r="Q3112">
        <v>0.35284379999999999</v>
      </c>
      <c r="R3112">
        <v>0.14940690000000001</v>
      </c>
      <c r="S3112">
        <v>3.3518979999999998</v>
      </c>
      <c r="T3112">
        <v>-0.30678759999999999</v>
      </c>
      <c r="U3112">
        <v>7.4966430000000001E-2</v>
      </c>
      <c r="V3112">
        <v>-0.13512859999999999</v>
      </c>
      <c r="W3112">
        <v>0.3606316</v>
      </c>
      <c r="X3112">
        <v>0.92286789999999996</v>
      </c>
      <c r="Y3112">
        <v>-6.1794379999999998E-3</v>
      </c>
      <c r="Z3112">
        <v>-1.0299839999999901E-3</v>
      </c>
      <c r="AA3112">
        <v>0.99998039999999999</v>
      </c>
      <c r="AB3112">
        <v>46</v>
      </c>
      <c r="AC3112">
        <v>0.356899999999996</v>
      </c>
      <c r="AD3112">
        <v>-7.5509999999999702E-2</v>
      </c>
      <c r="AE3112">
        <v>1.06000000000108E-2</v>
      </c>
      <c r="AF3112">
        <v>-4.6076898956312002E-3</v>
      </c>
      <c r="AG3112">
        <v>-7.5509999999999702E-2</v>
      </c>
      <c r="AH3112">
        <v>0.34174116559074402</v>
      </c>
      <c r="AI3112">
        <v>102.458595282571</v>
      </c>
      <c r="AJ3112">
        <v>90.772471141869104</v>
      </c>
      <c r="AK3112">
        <v>0.35001430708685999</v>
      </c>
      <c r="AL3112">
        <v>68.861010754569193</v>
      </c>
      <c r="AM3112">
        <v>98.330194457097207</v>
      </c>
      <c r="AN3112">
        <v>1.00000002515346</v>
      </c>
    </row>
    <row r="3113" spans="1:40" x14ac:dyDescent="0.25">
      <c r="A3113" t="str">
        <f>"20190304164431733"</f>
        <v>20190304164431733</v>
      </c>
      <c r="B3113" t="str">
        <f>"1551689071722639"</f>
        <v>1551689071722639</v>
      </c>
      <c r="C3113" t="s">
        <v>40</v>
      </c>
      <c r="D3113">
        <v>4.7221849999999996</v>
      </c>
      <c r="E3113">
        <v>0.5662954</v>
      </c>
      <c r="F3113" t="s">
        <v>41</v>
      </c>
      <c r="G3113">
        <v>-378.1866</v>
      </c>
      <c r="H3113">
        <v>1.040235</v>
      </c>
      <c r="I3113">
        <v>212.87880000000001</v>
      </c>
      <c r="J3113">
        <v>-378.5265</v>
      </c>
      <c r="K3113">
        <v>1.1105020000000001</v>
      </c>
      <c r="L3113">
        <v>212.86920000000001</v>
      </c>
      <c r="M3113">
        <v>0.99981929999999997</v>
      </c>
      <c r="N3113">
        <v>-8.7518730000000003E-3</v>
      </c>
      <c r="O3113">
        <v>1.6873160000000002E-2</v>
      </c>
      <c r="P3113">
        <v>0.92344680000000001</v>
      </c>
      <c r="Q3113">
        <v>0.3532923</v>
      </c>
      <c r="R3113">
        <v>0.14976879999999901</v>
      </c>
      <c r="S3113">
        <v>3.3523559999999999</v>
      </c>
      <c r="T3113">
        <v>-0.30539240000000001</v>
      </c>
      <c r="U3113">
        <v>7.5180049999999998E-2</v>
      </c>
      <c r="V3113">
        <v>-0.13488789999999901</v>
      </c>
      <c r="W3113">
        <v>0.36111280000000001</v>
      </c>
      <c r="X3113">
        <v>0.9227149</v>
      </c>
      <c r="Y3113">
        <v>-5.5793730000000003E-3</v>
      </c>
      <c r="Z3113">
        <v>-1.108169E-3</v>
      </c>
      <c r="AA3113">
        <v>0.99998379999999998</v>
      </c>
      <c r="AB3113">
        <v>46</v>
      </c>
      <c r="AC3113">
        <v>0.33989999999999998</v>
      </c>
      <c r="AD3113">
        <v>-7.0266999999999996E-2</v>
      </c>
      <c r="AE3113">
        <v>9.6000000000060395E-3</v>
      </c>
      <c r="AF3113">
        <v>-3.70501265491858E-3</v>
      </c>
      <c r="AG3113">
        <v>-7.0266999999999996E-2</v>
      </c>
      <c r="AH3113">
        <v>0.32608876198676201</v>
      </c>
      <c r="AI3113">
        <v>102.15963694449501</v>
      </c>
      <c r="AJ3113">
        <v>90.650965254946698</v>
      </c>
      <c r="AK3113">
        <v>0.333594153278849</v>
      </c>
      <c r="AL3113">
        <v>68.831447236974896</v>
      </c>
      <c r="AM3113">
        <v>98.316923396231303</v>
      </c>
      <c r="AN3113">
        <v>0.99999999328612899</v>
      </c>
    </row>
    <row r="3114" spans="1:40" x14ac:dyDescent="0.25">
      <c r="A3114" t="str">
        <f>"20190304164431756"</f>
        <v>20190304164431756</v>
      </c>
      <c r="B3114" t="str">
        <f>"1551689071752892"</f>
        <v>1551689071752892</v>
      </c>
      <c r="C3114" t="s">
        <v>40</v>
      </c>
      <c r="D3114">
        <v>4.7469409999999996</v>
      </c>
      <c r="E3114">
        <v>0.56660630000000001</v>
      </c>
      <c r="F3114" t="s">
        <v>41</v>
      </c>
      <c r="G3114">
        <v>-377.77440000000001</v>
      </c>
      <c r="H3114">
        <v>1.0419879999999999</v>
      </c>
      <c r="I3114">
        <v>212.8862</v>
      </c>
      <c r="J3114">
        <v>-378.05529999999999</v>
      </c>
      <c r="K3114">
        <v>1.110514</v>
      </c>
      <c r="L3114">
        <v>212.8777</v>
      </c>
      <c r="M3114">
        <v>0.99980639999999998</v>
      </c>
      <c r="N3114">
        <v>-8.7918119999999995E-3</v>
      </c>
      <c r="O3114">
        <v>1.7603589999999999E-2</v>
      </c>
      <c r="P3114">
        <v>0.92314110000000005</v>
      </c>
      <c r="Q3114">
        <v>0.35396290000000002</v>
      </c>
      <c r="R3114">
        <v>0.15006939999999999</v>
      </c>
      <c r="S3114">
        <v>3.3532709999999999</v>
      </c>
      <c r="T3114">
        <v>-0.3055137</v>
      </c>
      <c r="U3114">
        <v>7.6110839999999999E-2</v>
      </c>
      <c r="V3114">
        <v>-0.13452639999999999</v>
      </c>
      <c r="W3114">
        <v>0.36181649999999999</v>
      </c>
      <c r="X3114">
        <v>0.92249199999999998</v>
      </c>
      <c r="Y3114">
        <v>-5.1245910000000004E-3</v>
      </c>
      <c r="Z3114">
        <v>-1.1901940000000001E-3</v>
      </c>
      <c r="AA3114">
        <v>0.99998620000000005</v>
      </c>
      <c r="AB3114">
        <v>46</v>
      </c>
      <c r="AC3114">
        <v>0.280899999999974</v>
      </c>
      <c r="AD3114">
        <v>-6.8526000000000004E-2</v>
      </c>
      <c r="AE3114">
        <v>8.4999999999979502E-3</v>
      </c>
      <c r="AF3114">
        <v>-3.35420894938856E-3</v>
      </c>
      <c r="AG3114">
        <v>-6.8526000000000004E-2</v>
      </c>
      <c r="AH3114">
        <v>0.26523573752860102</v>
      </c>
      <c r="AI3114">
        <v>104.48499457848401</v>
      </c>
      <c r="AJ3114">
        <v>90.7245319740112</v>
      </c>
      <c r="AK3114">
        <v>0.27396543551334501</v>
      </c>
      <c r="AL3114">
        <v>68.7882047578357</v>
      </c>
      <c r="AM3114">
        <v>98.296920962706594</v>
      </c>
      <c r="AN3114">
        <v>1.0000000110166001</v>
      </c>
    </row>
    <row r="3115" spans="1:40" x14ac:dyDescent="0.25">
      <c r="A3115" t="str">
        <f>"20190304164431778"</f>
        <v>20190304164431778</v>
      </c>
      <c r="B3115" t="str">
        <f>"1551689071773388"</f>
        <v>1551689071773388</v>
      </c>
      <c r="C3115" t="s">
        <v>40</v>
      </c>
      <c r="D3115">
        <v>4.7699889999999998</v>
      </c>
      <c r="E3115">
        <v>0.56676769999999999</v>
      </c>
      <c r="F3115" t="s">
        <v>41</v>
      </c>
      <c r="G3115">
        <v>-376.96949999999998</v>
      </c>
      <c r="H3115">
        <v>1.011757</v>
      </c>
      <c r="I3115">
        <v>212.9023</v>
      </c>
      <c r="J3115">
        <v>-377.59809999999999</v>
      </c>
      <c r="K3115">
        <v>1.1105240000000001</v>
      </c>
      <c r="L3115">
        <v>212.8862</v>
      </c>
      <c r="M3115">
        <v>0.99979340000000005</v>
      </c>
      <c r="N3115">
        <v>-8.8310850000000007E-3</v>
      </c>
      <c r="O3115">
        <v>1.8314830000000001E-2</v>
      </c>
      <c r="P3115">
        <v>0.92285910000000004</v>
      </c>
      <c r="Q3115">
        <v>0.35448930000000001</v>
      </c>
      <c r="R3115">
        <v>0.15056040000000001</v>
      </c>
      <c r="S3115">
        <v>3.3543699999999999</v>
      </c>
      <c r="T3115">
        <v>-0.3050175</v>
      </c>
      <c r="U3115">
        <v>7.6141360000000005E-2</v>
      </c>
      <c r="V3115">
        <v>-0.1343715</v>
      </c>
      <c r="W3115">
        <v>0.36237520000000001</v>
      </c>
      <c r="X3115">
        <v>0.92229519999999998</v>
      </c>
      <c r="Y3115">
        <v>-4.4202260000000002E-3</v>
      </c>
      <c r="Z3115">
        <v>-1.2800649999999999E-3</v>
      </c>
      <c r="AA3115">
        <v>0.99998940000000003</v>
      </c>
      <c r="AB3115">
        <v>46</v>
      </c>
      <c r="AC3115">
        <v>0.62860000000000504</v>
      </c>
      <c r="AD3115">
        <v>-9.8766999999999994E-2</v>
      </c>
      <c r="AE3115">
        <v>1.60999999999944E-2</v>
      </c>
      <c r="AF3115">
        <v>-4.47377635113262E-3</v>
      </c>
      <c r="AG3115">
        <v>-9.8766999999999994E-2</v>
      </c>
      <c r="AH3115">
        <v>0.61364995939536804</v>
      </c>
      <c r="AI3115">
        <v>99.143106059657995</v>
      </c>
      <c r="AJ3115">
        <v>90.417703868954504</v>
      </c>
      <c r="AK3115">
        <v>0.621563518580182</v>
      </c>
      <c r="AL3115">
        <v>68.7538620989978</v>
      </c>
      <c r="AM3115">
        <v>98.289244091246601</v>
      </c>
      <c r="AN3115">
        <v>0.99999996076516395</v>
      </c>
    </row>
    <row r="3116" spans="1:40" x14ac:dyDescent="0.25">
      <c r="A3116" t="str">
        <f>"20190304164431801"</f>
        <v>20190304164431801</v>
      </c>
      <c r="B3116" t="str">
        <f>"1551689071792908"</f>
        <v>1551689071792908</v>
      </c>
      <c r="C3116" t="s">
        <v>40</v>
      </c>
      <c r="D3116">
        <v>4.7594820000000002</v>
      </c>
      <c r="E3116">
        <v>0.56687489999999996</v>
      </c>
      <c r="F3116" t="s">
        <v>41</v>
      </c>
      <c r="G3116">
        <v>-376.55520000000001</v>
      </c>
      <c r="H3116">
        <v>1.015987</v>
      </c>
      <c r="I3116">
        <v>212.91</v>
      </c>
      <c r="J3116">
        <v>-377.10419999999999</v>
      </c>
      <c r="K3116">
        <v>1.110536</v>
      </c>
      <c r="L3116">
        <v>212.89570000000001</v>
      </c>
      <c r="M3116">
        <v>0.99977870000000002</v>
      </c>
      <c r="N3116">
        <v>-8.8728939999999992E-3</v>
      </c>
      <c r="O3116">
        <v>1.908381E-2</v>
      </c>
      <c r="P3116">
        <v>0.92239420000000005</v>
      </c>
      <c r="Q3116">
        <v>0.35554459999999999</v>
      </c>
      <c r="R3116">
        <v>0.1509209</v>
      </c>
      <c r="S3116">
        <v>3.3549799999999999</v>
      </c>
      <c r="T3116">
        <v>-0.30430580000000002</v>
      </c>
      <c r="U3116">
        <v>7.7560420000000005E-2</v>
      </c>
      <c r="V3116">
        <v>-0.13403779999999901</v>
      </c>
      <c r="W3116">
        <v>0.36346390000000001</v>
      </c>
      <c r="X3116">
        <v>0.92191540000000005</v>
      </c>
      <c r="Y3116">
        <v>-4.0735149999999998E-3</v>
      </c>
      <c r="Z3116">
        <v>-1.3555380000000001E-3</v>
      </c>
      <c r="AA3116">
        <v>0.99999079999999996</v>
      </c>
      <c r="AB3116">
        <v>46</v>
      </c>
      <c r="AC3116">
        <v>0.54899999999997795</v>
      </c>
      <c r="AD3116">
        <v>-9.4548999999999994E-2</v>
      </c>
      <c r="AE3116">
        <v>1.42999999999915E-2</v>
      </c>
      <c r="AF3116">
        <v>-3.7100096052284301E-3</v>
      </c>
      <c r="AG3116">
        <v>-9.4548999999999994E-2</v>
      </c>
      <c r="AH3116">
        <v>0.533364138194792</v>
      </c>
      <c r="AI3116">
        <v>100.052107118089</v>
      </c>
      <c r="AJ3116">
        <v>90.398535351197793</v>
      </c>
      <c r="AK3116">
        <v>0.54169233101876602</v>
      </c>
      <c r="AL3116">
        <v>68.686922579879806</v>
      </c>
      <c r="AM3116">
        <v>98.272302881030697</v>
      </c>
      <c r="AN3116">
        <v>1.0000000715946</v>
      </c>
    </row>
    <row r="3117" spans="1:40" x14ac:dyDescent="0.25">
      <c r="A3117" t="str">
        <f>"20190304164431824"</f>
        <v>20190304164431824</v>
      </c>
      <c r="B3117" t="str">
        <f>"1551689071813405"</f>
        <v>1551689071813405</v>
      </c>
      <c r="C3117" t="s">
        <v>40</v>
      </c>
      <c r="D3117">
        <v>4.7540440000000004</v>
      </c>
      <c r="E3117">
        <v>0.56696979999999997</v>
      </c>
      <c r="F3117" t="s">
        <v>41</v>
      </c>
      <c r="G3117">
        <v>-376.13869999999997</v>
      </c>
      <c r="H3117">
        <v>1.0238830000000001</v>
      </c>
      <c r="I3117">
        <v>212.91829999999999</v>
      </c>
      <c r="J3117">
        <v>-376.65530000000001</v>
      </c>
      <c r="K3117">
        <v>1.1105480000000001</v>
      </c>
      <c r="L3117">
        <v>212.90469999999999</v>
      </c>
      <c r="M3117">
        <v>0.9997646</v>
      </c>
      <c r="N3117">
        <v>-8.9082499999999995E-3</v>
      </c>
      <c r="O3117">
        <v>1.9783180000000001E-2</v>
      </c>
      <c r="P3117">
        <v>0.92214949999999996</v>
      </c>
      <c r="Q3117">
        <v>0.35604550000000001</v>
      </c>
      <c r="R3117">
        <v>0.15123519999999999</v>
      </c>
      <c r="S3117">
        <v>3.3556520000000001</v>
      </c>
      <c r="T3117">
        <v>-0.30121049999999999</v>
      </c>
      <c r="U3117">
        <v>7.8536990000000001E-2</v>
      </c>
      <c r="V3117">
        <v>-0.13371659999999999</v>
      </c>
      <c r="W3117">
        <v>0.3639947</v>
      </c>
      <c r="X3117">
        <v>0.92175260000000003</v>
      </c>
      <c r="Y3117">
        <v>-3.6631480000000002E-3</v>
      </c>
      <c r="Z3117">
        <v>-1.415466E-3</v>
      </c>
      <c r="AA3117">
        <v>0.99999229999999995</v>
      </c>
      <c r="AB3117">
        <v>46</v>
      </c>
      <c r="AC3117">
        <v>0.51660000000003903</v>
      </c>
      <c r="AD3117">
        <v>-8.6664999999999701E-2</v>
      </c>
      <c r="AE3117">
        <v>1.35999999999967E-2</v>
      </c>
      <c r="AF3117">
        <v>-3.2845664916519501E-3</v>
      </c>
      <c r="AG3117">
        <v>-8.6664999999999701E-2</v>
      </c>
      <c r="AH3117">
        <v>0.50263190934275304</v>
      </c>
      <c r="AI3117">
        <v>99.782681084319407</v>
      </c>
      <c r="AJ3117">
        <v>90.374407424801902</v>
      </c>
      <c r="AK3117">
        <v>0.51005925821572895</v>
      </c>
      <c r="AL3117">
        <v>68.654273497554399</v>
      </c>
      <c r="AM3117">
        <v>98.254190524373399</v>
      </c>
      <c r="AN3117">
        <v>1.0000000631752</v>
      </c>
    </row>
    <row r="3118" spans="1:40" x14ac:dyDescent="0.25">
      <c r="A3118" t="str">
        <f>"20190304164431846"</f>
        <v>20190304164431846</v>
      </c>
      <c r="B3118" t="str">
        <f>"1551689071842684"</f>
        <v>1551689071842684</v>
      </c>
      <c r="C3118" t="s">
        <v>40</v>
      </c>
      <c r="D3118">
        <v>4.7481710000000001</v>
      </c>
      <c r="E3118">
        <v>0.5670925</v>
      </c>
      <c r="F3118" t="s">
        <v>41</v>
      </c>
      <c r="G3118">
        <v>-375.72390000000001</v>
      </c>
      <c r="H3118">
        <v>1.0271300000000001</v>
      </c>
      <c r="I3118">
        <v>212.9264</v>
      </c>
      <c r="J3118">
        <v>-376.19810000000001</v>
      </c>
      <c r="K3118">
        <v>1.11056</v>
      </c>
      <c r="L3118">
        <v>212.91419999999999</v>
      </c>
      <c r="M3118">
        <v>0.99975000000000003</v>
      </c>
      <c r="N3118">
        <v>-8.9411400000000002E-3</v>
      </c>
      <c r="O3118">
        <v>2.0495380000000001E-2</v>
      </c>
      <c r="P3118">
        <v>0.92194189999999998</v>
      </c>
      <c r="Q3118">
        <v>0.356595</v>
      </c>
      <c r="R3118">
        <v>0.15120600000000001</v>
      </c>
      <c r="S3118">
        <v>3.3563839999999998</v>
      </c>
      <c r="T3118">
        <v>-0.30071599999999998</v>
      </c>
      <c r="U3118">
        <v>7.9193120000000006E-2</v>
      </c>
      <c r="V3118">
        <v>-0.13303899999999999</v>
      </c>
      <c r="W3118">
        <v>0.36457329999999999</v>
      </c>
      <c r="X3118">
        <v>0.92162189999999999</v>
      </c>
      <c r="Y3118">
        <v>-3.1453750000000002E-3</v>
      </c>
      <c r="Z3118">
        <v>-1.494537E-3</v>
      </c>
      <c r="AA3118">
        <v>0.99999389999999999</v>
      </c>
      <c r="AB3118">
        <v>46</v>
      </c>
      <c r="AC3118">
        <v>0.47419999999999601</v>
      </c>
      <c r="AD3118">
        <v>-8.3430000000000101E-2</v>
      </c>
      <c r="AE3118">
        <v>1.2200000000007E-2</v>
      </c>
      <c r="AF3118">
        <v>-2.4037815532666502E-3</v>
      </c>
      <c r="AG3118">
        <v>-8.3430000000000101E-2</v>
      </c>
      <c r="AH3118">
        <v>0.460117239672509</v>
      </c>
      <c r="AI3118">
        <v>100.277262388889</v>
      </c>
      <c r="AJ3118">
        <v>90.299326504255802</v>
      </c>
      <c r="AK3118">
        <v>0.46762615122510498</v>
      </c>
      <c r="AL3118">
        <v>68.618674702143394</v>
      </c>
      <c r="AM3118">
        <v>98.214083817662399</v>
      </c>
      <c r="AN3118">
        <v>0.99999999657674898</v>
      </c>
    </row>
    <row r="3119" spans="1:40" x14ac:dyDescent="0.25">
      <c r="A3119" t="str">
        <f>"20190304164431869"</f>
        <v>20190304164431869</v>
      </c>
      <c r="B3119" t="str">
        <f>"1551689071863180"</f>
        <v>1551689071863180</v>
      </c>
      <c r="C3119" t="s">
        <v>40</v>
      </c>
      <c r="D3119">
        <v>4.7615550000000004</v>
      </c>
      <c r="E3119">
        <v>0.56717810000000002</v>
      </c>
      <c r="F3119" t="s">
        <v>41</v>
      </c>
      <c r="G3119">
        <v>-375.30840000000001</v>
      </c>
      <c r="H3119">
        <v>1.030872</v>
      </c>
      <c r="I3119">
        <v>212.93520000000001</v>
      </c>
      <c r="J3119">
        <v>-375.72719999999998</v>
      </c>
      <c r="K3119">
        <v>1.1105700000000001</v>
      </c>
      <c r="L3119">
        <v>212.92429999999999</v>
      </c>
      <c r="M3119">
        <v>0.99973449999999997</v>
      </c>
      <c r="N3119">
        <v>-8.9746559999999993E-3</v>
      </c>
      <c r="O3119">
        <v>2.1228070000000002E-2</v>
      </c>
      <c r="P3119">
        <v>0.92178539999999998</v>
      </c>
      <c r="Q3119">
        <v>0.35711229999999999</v>
      </c>
      <c r="R3119">
        <v>0.15093999999999999</v>
      </c>
      <c r="S3119">
        <v>3.3573300000000001</v>
      </c>
      <c r="T3119">
        <v>-0.30074099999999998</v>
      </c>
      <c r="U3119">
        <v>7.9254149999999995E-2</v>
      </c>
      <c r="V3119">
        <v>-0.132105</v>
      </c>
      <c r="W3119">
        <v>0.36512119999999998</v>
      </c>
      <c r="X3119">
        <v>0.92153940000000001</v>
      </c>
      <c r="Y3119">
        <v>-2.429456E-3</v>
      </c>
      <c r="Z3119">
        <v>-1.5875889999999999E-3</v>
      </c>
      <c r="AA3119">
        <v>0.99999579999999999</v>
      </c>
      <c r="AB3119">
        <v>46</v>
      </c>
      <c r="AC3119">
        <v>0.41879999999997602</v>
      </c>
      <c r="AD3119">
        <v>-7.9698000000000005E-2</v>
      </c>
      <c r="AE3119">
        <v>1.09000000000207E-2</v>
      </c>
      <c r="AF3119">
        <v>-1.9367790646625501E-3</v>
      </c>
      <c r="AG3119">
        <v>-7.9698000000000005E-2</v>
      </c>
      <c r="AH3119">
        <v>0.404305247458568</v>
      </c>
      <c r="AI3119">
        <v>101.151239085585</v>
      </c>
      <c r="AJ3119">
        <v>90.274466923517494</v>
      </c>
      <c r="AK3119">
        <v>0.41209010597159401</v>
      </c>
      <c r="AL3119">
        <v>68.584959235248505</v>
      </c>
      <c r="AM3119">
        <v>98.1579160703985</v>
      </c>
      <c r="AN3119">
        <v>1.00000004373339</v>
      </c>
    </row>
    <row r="3120" spans="1:40" x14ac:dyDescent="0.25">
      <c r="A3120" t="str">
        <f>"20190304164431891"</f>
        <v>20190304164431891</v>
      </c>
      <c r="B3120" t="str">
        <f>"1551689071882700"</f>
        <v>1551689071882700</v>
      </c>
      <c r="C3120" t="s">
        <v>40</v>
      </c>
      <c r="D3120">
        <v>4.7601649999999998</v>
      </c>
      <c r="E3120">
        <v>0.56725109999999901</v>
      </c>
      <c r="F3120" t="s">
        <v>41</v>
      </c>
      <c r="G3120">
        <v>-374.89069999999998</v>
      </c>
      <c r="H3120">
        <v>1.0358130000000001</v>
      </c>
      <c r="I3120">
        <v>212.9435</v>
      </c>
      <c r="J3120">
        <v>-375.2593</v>
      </c>
      <c r="K3120">
        <v>1.1105830000000001</v>
      </c>
      <c r="L3120">
        <v>212.93459999999999</v>
      </c>
      <c r="M3120">
        <v>0.99971840000000001</v>
      </c>
      <c r="N3120">
        <v>-9.0121090000000008E-3</v>
      </c>
      <c r="O3120">
        <v>2.1955740000000001E-2</v>
      </c>
      <c r="P3120">
        <v>0.92153350000000001</v>
      </c>
      <c r="Q3120">
        <v>0.35761749999999998</v>
      </c>
      <c r="R3120">
        <v>0.1512819</v>
      </c>
      <c r="S3120">
        <v>3.3580930000000002</v>
      </c>
      <c r="T3120">
        <v>-0.30017129999999997</v>
      </c>
      <c r="U3120">
        <v>7.7911380000000002E-2</v>
      </c>
      <c r="V3120">
        <v>-0.13178419999999999</v>
      </c>
      <c r="W3120">
        <v>0.36565829999999999</v>
      </c>
      <c r="X3120">
        <v>0.92137239999999998</v>
      </c>
      <c r="Y3120">
        <v>-1.303516E-3</v>
      </c>
      <c r="Z3120">
        <v>-1.6966189999999999E-3</v>
      </c>
      <c r="AA3120">
        <v>0.99999769999999999</v>
      </c>
      <c r="AB3120">
        <v>46</v>
      </c>
      <c r="AC3120">
        <v>0.36860000000001403</v>
      </c>
      <c r="AD3120">
        <v>-7.4770000000000197E-2</v>
      </c>
      <c r="AE3120">
        <v>8.9000000000112305E-3</v>
      </c>
      <c r="AF3120">
        <v>-7.7285792196539905E-4</v>
      </c>
      <c r="AG3120">
        <v>-7.4770000000000197E-2</v>
      </c>
      <c r="AH3120">
        <v>0.35414292633137701</v>
      </c>
      <c r="AI3120">
        <v>101.921716674348</v>
      </c>
      <c r="AJ3120">
        <v>90.125038292456495</v>
      </c>
      <c r="AK3120">
        <v>0.361950773558945</v>
      </c>
      <c r="AL3120">
        <v>68.551900660872704</v>
      </c>
      <c r="AM3120">
        <v>98.139826648777202</v>
      </c>
      <c r="AN3120">
        <v>1.0000000836051399</v>
      </c>
    </row>
    <row r="3121" spans="1:40" x14ac:dyDescent="0.25">
      <c r="A3121" t="str">
        <f>"20190304164431912"</f>
        <v>20190304164431912</v>
      </c>
      <c r="B3121" t="str">
        <f>"1551689071903196"</f>
        <v>1551689071903196</v>
      </c>
      <c r="C3121" t="s">
        <v>40</v>
      </c>
      <c r="D3121">
        <v>4.7558559999999996</v>
      </c>
      <c r="E3121">
        <v>0.56731999999999905</v>
      </c>
      <c r="F3121" t="s">
        <v>41</v>
      </c>
      <c r="G3121">
        <v>-374.47210000000001</v>
      </c>
      <c r="H3121">
        <v>1.040373</v>
      </c>
      <c r="I3121">
        <v>212.953</v>
      </c>
      <c r="J3121">
        <v>-374.80799999999999</v>
      </c>
      <c r="K3121">
        <v>1.110598</v>
      </c>
      <c r="L3121">
        <v>212.94499999999999</v>
      </c>
      <c r="M3121">
        <v>0.99970230000000004</v>
      </c>
      <c r="N3121">
        <v>-9.0540870000000006E-3</v>
      </c>
      <c r="O3121">
        <v>2.2657219999999999E-2</v>
      </c>
      <c r="P3121">
        <v>0.92125239999999997</v>
      </c>
      <c r="Q3121">
        <v>0.35826960000000002</v>
      </c>
      <c r="R3121">
        <v>0.15145029999999901</v>
      </c>
      <c r="S3121">
        <v>3.3588260000000001</v>
      </c>
      <c r="T3121">
        <v>-0.29963459999999997</v>
      </c>
      <c r="U3121">
        <v>7.8750609999999999E-2</v>
      </c>
      <c r="V3121">
        <v>-0.13131579999999901</v>
      </c>
      <c r="W3121">
        <v>0.36634729999999999</v>
      </c>
      <c r="X3121">
        <v>0.92116549999999997</v>
      </c>
      <c r="Y3121">
        <v>-8.5034909999999995E-4</v>
      </c>
      <c r="Z3121">
        <v>-1.770179E-3</v>
      </c>
      <c r="AA3121">
        <v>0.9999981</v>
      </c>
      <c r="AB3121">
        <v>46</v>
      </c>
      <c r="AC3121">
        <v>0.335900000000037</v>
      </c>
      <c r="AD3121">
        <v>-7.0224999999999899E-2</v>
      </c>
      <c r="AE3121">
        <v>8.0000000000097701E-3</v>
      </c>
      <c r="AF3121">
        <v>-3.7087304052141898E-4</v>
      </c>
      <c r="AG3121">
        <v>-7.0224999999999899E-2</v>
      </c>
      <c r="AH3121">
        <v>0.32193192375225299</v>
      </c>
      <c r="AI3121">
        <v>102.305511810639</v>
      </c>
      <c r="AJ3121">
        <v>90.066006037266902</v>
      </c>
      <c r="AK3121">
        <v>0.32950243049579803</v>
      </c>
      <c r="AL3121">
        <v>68.509479307617099</v>
      </c>
      <c r="AM3121">
        <v>98.113078575208405</v>
      </c>
      <c r="AN3121">
        <v>1.0000000309685799</v>
      </c>
    </row>
    <row r="3122" spans="1:40" x14ac:dyDescent="0.25">
      <c r="A3122" t="str">
        <f>"20190304164431934"</f>
        <v>20190304164431934</v>
      </c>
      <c r="B3122" t="str">
        <f>"1551689071922716"</f>
        <v>1551689071922716</v>
      </c>
      <c r="C3122" t="s">
        <v>40</v>
      </c>
      <c r="D3122">
        <v>4.7493259999999999</v>
      </c>
      <c r="E3122">
        <v>0.56737179999999998</v>
      </c>
      <c r="F3122" t="s">
        <v>41</v>
      </c>
      <c r="G3122">
        <v>-374.05259999999998</v>
      </c>
      <c r="H3122">
        <v>1.043501</v>
      </c>
      <c r="I3122">
        <v>212.9624</v>
      </c>
      <c r="J3122">
        <v>-374.37020000000001</v>
      </c>
      <c r="K3122">
        <v>1.1106100000000001</v>
      </c>
      <c r="L3122">
        <v>212.95529999999999</v>
      </c>
      <c r="M3122">
        <v>0.99968630000000003</v>
      </c>
      <c r="N3122">
        <v>-9.1003109999999998E-3</v>
      </c>
      <c r="O3122">
        <v>2.333764E-2</v>
      </c>
      <c r="P3122">
        <v>0.92104680000000005</v>
      </c>
      <c r="Q3122">
        <v>0.35872920000000003</v>
      </c>
      <c r="R3122">
        <v>0.15161160000000001</v>
      </c>
      <c r="S3122">
        <v>3.3596499999999998</v>
      </c>
      <c r="T3122">
        <v>-0.29861399999999999</v>
      </c>
      <c r="U3122">
        <v>7.8521729999999998E-2</v>
      </c>
      <c r="V3122">
        <v>-0.13085669999999999</v>
      </c>
      <c r="W3122">
        <v>0.36684830000000002</v>
      </c>
      <c r="X3122">
        <v>0.92103139999999994</v>
      </c>
      <c r="Y3122">
        <v>-1.0064399999999999E-4</v>
      </c>
      <c r="Z3122">
        <v>-1.8527319999999999E-3</v>
      </c>
      <c r="AA3122">
        <v>0.99999830000000001</v>
      </c>
      <c r="AB3122">
        <v>46</v>
      </c>
      <c r="AC3122">
        <v>0.31760000000002703</v>
      </c>
      <c r="AD3122">
        <v>-6.7109000000000002E-2</v>
      </c>
      <c r="AE3122">
        <v>7.1000000000083201E-3</v>
      </c>
      <c r="AF3122">
        <v>3.00849163856175E-4</v>
      </c>
      <c r="AG3122">
        <v>-6.7109000000000002E-2</v>
      </c>
      <c r="AH3122">
        <v>0.30410820039970698</v>
      </c>
      <c r="AI3122">
        <v>102.44428275563099</v>
      </c>
      <c r="AJ3122">
        <v>89.943318260694497</v>
      </c>
      <c r="AK3122">
        <v>0.31142496037017903</v>
      </c>
      <c r="AL3122">
        <v>68.478625305937797</v>
      </c>
      <c r="AM3122">
        <v>98.086251306568201</v>
      </c>
      <c r="AN3122">
        <v>0.99999999546686902</v>
      </c>
    </row>
    <row r="3123" spans="1:40" x14ac:dyDescent="0.25">
      <c r="A3123" t="str">
        <f>"20190304164431956"</f>
        <v>20190304164431956</v>
      </c>
      <c r="B3123" t="str">
        <f>"1551689071952973"</f>
        <v>1551689071952973</v>
      </c>
      <c r="C3123" t="s">
        <v>40</v>
      </c>
      <c r="D3123">
        <v>4.7333780000000001</v>
      </c>
      <c r="E3123">
        <v>0.56744719999999904</v>
      </c>
      <c r="F3123" t="s">
        <v>41</v>
      </c>
      <c r="G3123">
        <v>-373.24239999999998</v>
      </c>
      <c r="H3123">
        <v>1.010497</v>
      </c>
      <c r="I3123">
        <v>212.98159999999999</v>
      </c>
      <c r="J3123">
        <v>-373.89499999999998</v>
      </c>
      <c r="K3123">
        <v>1.1106229999999999</v>
      </c>
      <c r="L3123">
        <v>212.96690000000001</v>
      </c>
      <c r="M3123">
        <v>0.99966820000000001</v>
      </c>
      <c r="N3123">
        <v>-9.1602720000000006E-3</v>
      </c>
      <c r="O3123">
        <v>2.4075530000000001E-2</v>
      </c>
      <c r="P3123">
        <v>0.92067330000000003</v>
      </c>
      <c r="Q3123">
        <v>0.35949569999999997</v>
      </c>
      <c r="R3123">
        <v>0.15206410000000001</v>
      </c>
      <c r="S3123">
        <v>3.360382</v>
      </c>
      <c r="T3123">
        <v>-0.29844189999999998</v>
      </c>
      <c r="U3123">
        <v>7.920837E-2</v>
      </c>
      <c r="V3123">
        <v>-0.13064089999999901</v>
      </c>
      <c r="W3123">
        <v>0.36766650000000001</v>
      </c>
      <c r="X3123">
        <v>0.92073579999999999</v>
      </c>
      <c r="Y3123">
        <v>4.339519E-4</v>
      </c>
      <c r="Z3123">
        <v>-1.9344589999999999E-3</v>
      </c>
      <c r="AA3123">
        <v>0.99999800000000005</v>
      </c>
      <c r="AB3123">
        <v>47</v>
      </c>
      <c r="AC3123">
        <v>0.65260000000000595</v>
      </c>
      <c r="AD3123">
        <v>-0.10012599999999899</v>
      </c>
      <c r="AE3123">
        <v>1.46999999999764E-2</v>
      </c>
      <c r="AF3123">
        <v>9.932422683389321E-4</v>
      </c>
      <c r="AG3123">
        <v>-0.10012599999999899</v>
      </c>
      <c r="AH3123">
        <v>0.63775973470542402</v>
      </c>
      <c r="AI3123">
        <v>98.922391657869497</v>
      </c>
      <c r="AJ3123">
        <v>89.910768051190701</v>
      </c>
      <c r="AK3123">
        <v>0.64557236745212099</v>
      </c>
      <c r="AL3123">
        <v>68.428225193902804</v>
      </c>
      <c r="AM3123">
        <v>98.0756496139403</v>
      </c>
      <c r="AN3123">
        <v>1.00000005668834</v>
      </c>
    </row>
    <row r="3124" spans="1:40" x14ac:dyDescent="0.25">
      <c r="A3124" t="str">
        <f>"20190304164431980"</f>
        <v>20190304164431980</v>
      </c>
      <c r="B3124" t="str">
        <f>"1551689071973469"</f>
        <v>1551689071973469</v>
      </c>
      <c r="C3124" t="s">
        <v>40</v>
      </c>
      <c r="D3124">
        <v>4.7564859999999998</v>
      </c>
      <c r="E3124">
        <v>0.56746819999999998</v>
      </c>
      <c r="F3124" t="s">
        <v>41</v>
      </c>
      <c r="G3124">
        <v>-372.8236</v>
      </c>
      <c r="H3124">
        <v>1.0155160000000001</v>
      </c>
      <c r="I3124">
        <v>212.99260000000001</v>
      </c>
      <c r="J3124">
        <v>-373.40839999999997</v>
      </c>
      <c r="K3124">
        <v>1.1106309999999999</v>
      </c>
      <c r="L3124">
        <v>212.97909999999999</v>
      </c>
      <c r="M3124">
        <v>0.99964920000000002</v>
      </c>
      <c r="N3124">
        <v>-9.2269009999999992E-3</v>
      </c>
      <c r="O3124">
        <v>2.4830609999999999E-2</v>
      </c>
      <c r="P3124">
        <v>0.92030480000000003</v>
      </c>
      <c r="Q3124">
        <v>0.36003420000000003</v>
      </c>
      <c r="R3124">
        <v>0.1530194</v>
      </c>
      <c r="S3124">
        <v>3.3616640000000002</v>
      </c>
      <c r="T3124">
        <v>-0.29842849999999999</v>
      </c>
      <c r="U3124">
        <v>8.0856319999999995E-2</v>
      </c>
      <c r="V3124">
        <v>-0.1309119</v>
      </c>
      <c r="W3124">
        <v>0.36826239999999999</v>
      </c>
      <c r="X3124">
        <v>0.92045900000000003</v>
      </c>
      <c r="Y3124">
        <v>7.0499470000000004E-4</v>
      </c>
      <c r="Z3124">
        <v>-2.0051119999999999E-3</v>
      </c>
      <c r="AA3124">
        <v>0.99999769999999999</v>
      </c>
      <c r="AB3124">
        <v>47</v>
      </c>
      <c r="AC3124">
        <v>0.58479999999997201</v>
      </c>
      <c r="AD3124">
        <v>-9.5114999999999797E-2</v>
      </c>
      <c r="AE3124">
        <v>1.35000000000218E-2</v>
      </c>
      <c r="AF3124">
        <v>9.9929918915142493E-4</v>
      </c>
      <c r="AG3124">
        <v>-9.5114999999999797E-2</v>
      </c>
      <c r="AH3124">
        <v>0.56988741003177701</v>
      </c>
      <c r="AI3124">
        <v>99.4753924998776</v>
      </c>
      <c r="AJ3124">
        <v>89.899531791159404</v>
      </c>
      <c r="AK3124">
        <v>0.57777116745005297</v>
      </c>
      <c r="AL3124">
        <v>68.391503930106893</v>
      </c>
      <c r="AM3124">
        <v>98.094581219070193</v>
      </c>
      <c r="AN3124">
        <v>0.99999994574818296</v>
      </c>
    </row>
    <row r="3125" spans="1:40" x14ac:dyDescent="0.25">
      <c r="A3125" t="str">
        <f>"20190304164432002"</f>
        <v>20190304164432002</v>
      </c>
      <c r="B3125" t="str">
        <f>"1551689071992988"</f>
        <v>1551689071992988</v>
      </c>
      <c r="C3125" t="s">
        <v>40</v>
      </c>
      <c r="D3125">
        <v>4.7581600000000002</v>
      </c>
      <c r="E3125">
        <v>0.56748790000000005</v>
      </c>
      <c r="F3125" t="s">
        <v>41</v>
      </c>
      <c r="G3125">
        <v>-372.40370000000001</v>
      </c>
      <c r="H3125">
        <v>1.0219039999999999</v>
      </c>
      <c r="I3125">
        <v>213.0035</v>
      </c>
      <c r="J3125">
        <v>-372.94319999999999</v>
      </c>
      <c r="K3125">
        <v>1.110646</v>
      </c>
      <c r="L3125">
        <v>212.99109999999999</v>
      </c>
      <c r="M3125">
        <v>0.99963040000000003</v>
      </c>
      <c r="N3125">
        <v>-9.2988259999999996E-3</v>
      </c>
      <c r="O3125">
        <v>2.5552229999999999E-2</v>
      </c>
      <c r="P3125">
        <v>0.92002779999999995</v>
      </c>
      <c r="Q3125">
        <v>0.36063640000000002</v>
      </c>
      <c r="R3125">
        <v>0.1532665</v>
      </c>
      <c r="S3125">
        <v>3.3622740000000002</v>
      </c>
      <c r="T3125">
        <v>-0.2970061</v>
      </c>
      <c r="U3125">
        <v>8.2260130000000001E-2</v>
      </c>
      <c r="V3125">
        <v>-0.13050349999999999</v>
      </c>
      <c r="W3125">
        <v>0.3689287</v>
      </c>
      <c r="X3125">
        <v>0.92025020000000002</v>
      </c>
      <c r="Y3125">
        <v>1.0114499999999999E-3</v>
      </c>
      <c r="Z3125">
        <v>-2.0641660000000001E-3</v>
      </c>
      <c r="AA3125">
        <v>0.99999740000000004</v>
      </c>
      <c r="AB3125">
        <v>47</v>
      </c>
      <c r="AC3125">
        <v>0.539499999999975</v>
      </c>
      <c r="AD3125">
        <v>-8.8741999999999793E-2</v>
      </c>
      <c r="AE3125">
        <v>1.24000000000137E-2</v>
      </c>
      <c r="AF3125">
        <v>1.35346985020425E-3</v>
      </c>
      <c r="AG3125">
        <v>-8.8741999999999793E-2</v>
      </c>
      <c r="AH3125">
        <v>0.52543172784422398</v>
      </c>
      <c r="AI3125">
        <v>99.586385437356299</v>
      </c>
      <c r="AJ3125">
        <v>89.852411008916704</v>
      </c>
      <c r="AK3125">
        <v>0.53287472737032804</v>
      </c>
      <c r="AL3125">
        <v>68.350437165636706</v>
      </c>
      <c r="AM3125">
        <v>98.071468887314595</v>
      </c>
      <c r="AN3125">
        <v>0.99999998989798999</v>
      </c>
    </row>
    <row r="3126" spans="1:40" x14ac:dyDescent="0.25">
      <c r="A3126" t="str">
        <f>"20190304164432023"</f>
        <v>20190304164432023</v>
      </c>
      <c r="B3126" t="str">
        <f>"1551689072013484"</f>
        <v>1551689072013484</v>
      </c>
      <c r="C3126" t="s">
        <v>40</v>
      </c>
      <c r="D3126">
        <v>4.7658180000000003</v>
      </c>
      <c r="E3126">
        <v>0.56751030000000002</v>
      </c>
      <c r="F3126" t="s">
        <v>41</v>
      </c>
      <c r="G3126">
        <v>-371.98439999999999</v>
      </c>
      <c r="H3126">
        <v>1.026203</v>
      </c>
      <c r="I3126">
        <v>213.0147</v>
      </c>
      <c r="J3126">
        <v>-372.51609999999999</v>
      </c>
      <c r="K3126">
        <v>1.110668</v>
      </c>
      <c r="L3126">
        <v>213.0025</v>
      </c>
      <c r="M3126">
        <v>0.99961250000000001</v>
      </c>
      <c r="N3126">
        <v>-9.3768029999999995E-3</v>
      </c>
      <c r="O3126">
        <v>2.621416E-2</v>
      </c>
      <c r="P3126">
        <v>0.91978380000000004</v>
      </c>
      <c r="Q3126">
        <v>0.36136190000000001</v>
      </c>
      <c r="R3126">
        <v>0.15302099999999999</v>
      </c>
      <c r="S3126">
        <v>3.3630680000000002</v>
      </c>
      <c r="T3126">
        <v>-0.2962053</v>
      </c>
      <c r="U3126">
        <v>8.2855219999999993E-2</v>
      </c>
      <c r="V3126">
        <v>-0.1296572</v>
      </c>
      <c r="W3126">
        <v>0.36972539999999998</v>
      </c>
      <c r="X3126">
        <v>0.92005009999999998</v>
      </c>
      <c r="Y3126">
        <v>1.4991399999999999E-3</v>
      </c>
      <c r="Z3126">
        <v>-2.1311809999999998E-3</v>
      </c>
      <c r="AA3126">
        <v>0.99999660000000001</v>
      </c>
      <c r="AB3126">
        <v>47</v>
      </c>
      <c r="AC3126">
        <v>0.53169999999999995</v>
      </c>
      <c r="AD3126">
        <v>-8.4464999999999998E-2</v>
      </c>
      <c r="AE3126">
        <v>1.2200000000007E-2</v>
      </c>
      <c r="AF3126">
        <v>1.6999943151324701E-3</v>
      </c>
      <c r="AG3126">
        <v>-8.4464999999999998E-2</v>
      </c>
      <c r="AH3126">
        <v>0.51875274446358999</v>
      </c>
      <c r="AI3126">
        <v>99.247880057326</v>
      </c>
      <c r="AJ3126">
        <v>89.812237811137607</v>
      </c>
      <c r="AK3126">
        <v>0.52558694437188802</v>
      </c>
      <c r="AL3126">
        <v>68.301317549753904</v>
      </c>
      <c r="AM3126">
        <v>98.021531036848202</v>
      </c>
      <c r="AN3126">
        <v>1.0000000237135001</v>
      </c>
    </row>
    <row r="3127" spans="1:40" x14ac:dyDescent="0.25">
      <c r="A3127" t="str">
        <f>"20190304164432047"</f>
        <v>20190304164432047</v>
      </c>
      <c r="B3127" t="str">
        <f>"1551689072042766"</f>
        <v>1551689072042766</v>
      </c>
      <c r="C3127" t="s">
        <v>40</v>
      </c>
      <c r="D3127">
        <v>4.7315110000000002</v>
      </c>
      <c r="E3127">
        <v>0.5746945</v>
      </c>
      <c r="F3127" t="s">
        <v>41</v>
      </c>
      <c r="G3127">
        <v>-371.56630000000001</v>
      </c>
      <c r="H3127">
        <v>1.0274209999999999</v>
      </c>
      <c r="I3127">
        <v>213.02539999999999</v>
      </c>
      <c r="J3127">
        <v>-372.02350000000001</v>
      </c>
      <c r="K3127">
        <v>1.110684</v>
      </c>
      <c r="L3127">
        <v>213.01589999999999</v>
      </c>
      <c r="M3127">
        <v>0.99959120000000001</v>
      </c>
      <c r="N3127">
        <v>-9.4837859999999993E-3</v>
      </c>
      <c r="O3127">
        <v>2.697689E-2</v>
      </c>
      <c r="P3127">
        <v>0.91968749999999999</v>
      </c>
      <c r="Q3127">
        <v>0.36164210000000002</v>
      </c>
      <c r="R3127">
        <v>0.152938299999999</v>
      </c>
      <c r="S3127">
        <v>3.363861</v>
      </c>
      <c r="T3127">
        <v>-0.29512729999999998</v>
      </c>
      <c r="U3127">
        <v>8.2489010000000001E-2</v>
      </c>
      <c r="V3127">
        <v>-0.12887589999999999</v>
      </c>
      <c r="W3127">
        <v>0.37010460000000001</v>
      </c>
      <c r="X3127">
        <v>0.92000740000000003</v>
      </c>
      <c r="Y3127">
        <v>2.3717230000000001E-3</v>
      </c>
      <c r="Z3127">
        <v>-2.2211890000000001E-3</v>
      </c>
      <c r="AA3127">
        <v>0.99999470000000001</v>
      </c>
      <c r="AB3127">
        <v>47</v>
      </c>
      <c r="AC3127">
        <v>0.4572</v>
      </c>
      <c r="AD3127">
        <v>-8.3263000000000004E-2</v>
      </c>
      <c r="AE3127">
        <v>9.5000000000027198E-3</v>
      </c>
      <c r="AF3127">
        <v>2.74678471396718E-3</v>
      </c>
      <c r="AG3127">
        <v>-8.3263000000000004E-2</v>
      </c>
      <c r="AH3127">
        <v>0.44261644899706398</v>
      </c>
      <c r="AI3127">
        <v>100.653517056556</v>
      </c>
      <c r="AJ3127">
        <v>89.644438991310096</v>
      </c>
      <c r="AK3127">
        <v>0.45038826907240298</v>
      </c>
      <c r="AL3127">
        <v>68.277931947231295</v>
      </c>
      <c r="AM3127">
        <v>97.974183062206293</v>
      </c>
      <c r="AN3127">
        <v>1.0000000142983601</v>
      </c>
    </row>
    <row r="3128" spans="1:40" x14ac:dyDescent="0.25">
      <c r="A3128" t="str">
        <f>"20190304164432071"</f>
        <v>20190304164432071</v>
      </c>
      <c r="B3128" t="str">
        <f>"1551689072063261"</f>
        <v>1551689072063261</v>
      </c>
      <c r="C3128" t="s">
        <v>40</v>
      </c>
      <c r="D3128">
        <v>4.7357990000000001</v>
      </c>
      <c r="E3128">
        <v>0.57511630000000002</v>
      </c>
      <c r="F3128" t="s">
        <v>41</v>
      </c>
      <c r="G3128">
        <v>-371.15210000000002</v>
      </c>
      <c r="H3128">
        <v>1.0197769999999999</v>
      </c>
      <c r="I3128">
        <v>213.02420000000001</v>
      </c>
      <c r="J3128">
        <v>-371.53489999999999</v>
      </c>
      <c r="K3128">
        <v>1.110708</v>
      </c>
      <c r="L3128">
        <v>213.02959999999999</v>
      </c>
      <c r="M3128">
        <v>0.99956920000000005</v>
      </c>
      <c r="N3128">
        <v>-9.6043589999999998E-3</v>
      </c>
      <c r="O3128">
        <v>2.7732469999999999E-2</v>
      </c>
      <c r="P3128">
        <v>0.91969999999999996</v>
      </c>
      <c r="Q3128">
        <v>0.36137910000000001</v>
      </c>
      <c r="R3128">
        <v>0.15348310000000001</v>
      </c>
      <c r="S3128">
        <v>3.3958740000000001</v>
      </c>
      <c r="T3128">
        <v>-0.35447000000000001</v>
      </c>
      <c r="U3128">
        <v>3.3233640000000002E-2</v>
      </c>
      <c r="V3128">
        <v>-0.12872449999999999</v>
      </c>
      <c r="W3128">
        <v>0.36995359999999999</v>
      </c>
      <c r="X3128">
        <v>0.9200893</v>
      </c>
      <c r="Y3128">
        <v>1.7720840000000002E-2</v>
      </c>
      <c r="Z3128">
        <v>-3.6284669999999998E-3</v>
      </c>
      <c r="AA3128">
        <v>0.99983639999999996</v>
      </c>
      <c r="AB3128">
        <v>47</v>
      </c>
      <c r="AC3128">
        <v>0.38279999999997399</v>
      </c>
      <c r="AD3128">
        <v>-9.0931000000000095E-2</v>
      </c>
      <c r="AE3128">
        <v>-5.3999999999802999E-3</v>
      </c>
      <c r="AF3128">
        <v>1.5159198142967499E-2</v>
      </c>
      <c r="AG3128">
        <v>-9.0931000000000095E-2</v>
      </c>
      <c r="AH3128">
        <v>0.362076490576973</v>
      </c>
      <c r="AI3128">
        <v>104.085721470614</v>
      </c>
      <c r="AJ3128">
        <v>87.602575318159296</v>
      </c>
      <c r="AK3128">
        <v>0.373627666371048</v>
      </c>
      <c r="AL3128">
        <v>68.287244102090298</v>
      </c>
      <c r="AM3128">
        <v>97.964235609647503</v>
      </c>
      <c r="AN3128">
        <v>0.99999999151385</v>
      </c>
    </row>
    <row r="3129" spans="1:40" x14ac:dyDescent="0.25">
      <c r="A3129" t="str">
        <f>"20190304164432092"</f>
        <v>20190304164432092</v>
      </c>
      <c r="B3129" t="str">
        <f>"1551689072082780"</f>
        <v>1551689072082780</v>
      </c>
      <c r="C3129" t="s">
        <v>40</v>
      </c>
      <c r="D3129">
        <v>4.7365440000000003</v>
      </c>
      <c r="E3129">
        <v>0.57544240000000002</v>
      </c>
      <c r="F3129" t="s">
        <v>41</v>
      </c>
      <c r="G3129">
        <v>-370.73110000000003</v>
      </c>
      <c r="H3129">
        <v>1.0257889999999901</v>
      </c>
      <c r="I3129">
        <v>213.03630000000001</v>
      </c>
      <c r="J3129">
        <v>-371.06020000000001</v>
      </c>
      <c r="K3129">
        <v>1.110733</v>
      </c>
      <c r="L3129">
        <v>213.04320000000001</v>
      </c>
      <c r="M3129">
        <v>0.99954770000000004</v>
      </c>
      <c r="N3129">
        <v>-9.7354220000000005E-3</v>
      </c>
      <c r="O3129">
        <v>2.8459720000000001E-2</v>
      </c>
      <c r="P3129">
        <v>0.91959349999999995</v>
      </c>
      <c r="Q3129">
        <v>0.36153940000000001</v>
      </c>
      <c r="R3129">
        <v>0.15374460000000001</v>
      </c>
      <c r="S3129">
        <v>3.3980410000000001</v>
      </c>
      <c r="T3129">
        <v>-0.35930420000000002</v>
      </c>
      <c r="U3129">
        <v>3.0395510000000001E-2</v>
      </c>
      <c r="V3129">
        <v>-0.12831809999999999</v>
      </c>
      <c r="W3129">
        <v>0.37023479999999998</v>
      </c>
      <c r="X3129">
        <v>0.92003299999999999</v>
      </c>
      <c r="Y3129">
        <v>1.9270809999999999E-2</v>
      </c>
      <c r="Z3129">
        <v>-3.834138E-3</v>
      </c>
      <c r="AA3129">
        <v>0.99980690000000005</v>
      </c>
      <c r="AB3129">
        <v>47</v>
      </c>
      <c r="AC3129">
        <v>0.32909999999998202</v>
      </c>
      <c r="AD3129">
        <v>-8.4944000000000103E-2</v>
      </c>
      <c r="AE3129">
        <v>-6.90000000000168E-3</v>
      </c>
      <c r="AF3129">
        <v>1.5248331721649201E-2</v>
      </c>
      <c r="AG3129">
        <v>-8.4944000000000103E-2</v>
      </c>
      <c r="AH3129">
        <v>0.308243879215856</v>
      </c>
      <c r="AI3129">
        <v>105.38889829287599</v>
      </c>
      <c r="AJ3129">
        <v>87.167978018411105</v>
      </c>
      <c r="AK3129">
        <v>0.32009730369113198</v>
      </c>
      <c r="AL3129">
        <v>68.269901986780098</v>
      </c>
      <c r="AM3129">
        <v>97.939892256332101</v>
      </c>
      <c r="AN3129">
        <v>1.00000003150382</v>
      </c>
    </row>
    <row r="3130" spans="1:40" x14ac:dyDescent="0.25">
      <c r="A3130" t="str">
        <f>"20190304164432115"</f>
        <v>20190304164432115</v>
      </c>
      <c r="B3130" t="str">
        <f>"1551689072113037"</f>
        <v>1551689072113037</v>
      </c>
      <c r="C3130" t="s">
        <v>40</v>
      </c>
      <c r="D3130">
        <v>4.7569549999999996</v>
      </c>
      <c r="E3130">
        <v>0.5756502</v>
      </c>
      <c r="F3130" t="s">
        <v>41</v>
      </c>
      <c r="G3130">
        <v>-370.31009999999998</v>
      </c>
      <c r="H3130">
        <v>1.031425</v>
      </c>
      <c r="I3130">
        <v>213.04900000000001</v>
      </c>
      <c r="J3130">
        <v>-370.5899</v>
      </c>
      <c r="K3130">
        <v>1.110741</v>
      </c>
      <c r="L3130">
        <v>213.05709999999999</v>
      </c>
      <c r="M3130">
        <v>0.99952589999999997</v>
      </c>
      <c r="N3130">
        <v>-9.8869890000000005E-3</v>
      </c>
      <c r="O3130">
        <v>2.9159689999999999E-2</v>
      </c>
      <c r="P3130">
        <v>0.91952690000000004</v>
      </c>
      <c r="Q3130">
        <v>0.36166009999999998</v>
      </c>
      <c r="R3130">
        <v>0.15385789999999999</v>
      </c>
      <c r="S3130">
        <v>3.3990480000000001</v>
      </c>
      <c r="T3130">
        <v>-0.35948239999999998</v>
      </c>
      <c r="U3130">
        <v>2.7572630000000001E-2</v>
      </c>
      <c r="V3130">
        <v>-0.1277807</v>
      </c>
      <c r="W3130">
        <v>0.37049880000000002</v>
      </c>
      <c r="X3130">
        <v>0.92000150000000003</v>
      </c>
      <c r="Y3130">
        <v>2.079158E-2</v>
      </c>
      <c r="Z3130">
        <v>-3.9867409999999898E-3</v>
      </c>
      <c r="AA3130">
        <v>0.99977590000000005</v>
      </c>
      <c r="AB3130">
        <v>47</v>
      </c>
      <c r="AC3130">
        <v>0.27980000000002198</v>
      </c>
      <c r="AD3130">
        <v>-7.93159999999999E-2</v>
      </c>
      <c r="AE3130">
        <v>-8.0999999999846698E-3</v>
      </c>
      <c r="AF3130">
        <v>1.5047656199036599E-2</v>
      </c>
      <c r="AG3130">
        <v>-7.93159999999999E-2</v>
      </c>
      <c r="AH3130">
        <v>0.25867568794063101</v>
      </c>
      <c r="AI3130">
        <v>107.019655402065</v>
      </c>
      <c r="AJ3130">
        <v>86.670747635798307</v>
      </c>
      <c r="AK3130">
        <v>0.27098075825534801</v>
      </c>
      <c r="AL3130">
        <v>68.253617466813196</v>
      </c>
      <c r="AM3130">
        <v>97.907328519620805</v>
      </c>
      <c r="AN3130">
        <v>1.00000001404809</v>
      </c>
    </row>
    <row r="3131" spans="1:40" x14ac:dyDescent="0.25">
      <c r="A3131" t="str">
        <f>"20190304164432136"</f>
        <v>20190304164432136</v>
      </c>
      <c r="B3131" t="str">
        <f>"1551689072133533"</f>
        <v>1551689072133533</v>
      </c>
      <c r="C3131" t="s">
        <v>40</v>
      </c>
      <c r="D3131">
        <v>4.7518449999999897</v>
      </c>
      <c r="E3131">
        <v>0.57569309999999996</v>
      </c>
      <c r="F3131" t="s">
        <v>41</v>
      </c>
      <c r="G3131">
        <v>-369.49119999999999</v>
      </c>
      <c r="H3131">
        <v>0.99367260000000002</v>
      </c>
      <c r="I3131">
        <v>213.0652</v>
      </c>
      <c r="J3131">
        <v>-370.15519999999998</v>
      </c>
      <c r="K3131">
        <v>1.1107450000000001</v>
      </c>
      <c r="L3131">
        <v>213.0701</v>
      </c>
      <c r="M3131">
        <v>0.99950620000000001</v>
      </c>
      <c r="N3131">
        <v>-1.0048090000000001E-2</v>
      </c>
      <c r="O3131">
        <v>2.977554E-2</v>
      </c>
      <c r="P3131">
        <v>0.91939859999999896</v>
      </c>
      <c r="Q3131">
        <v>0.3617746</v>
      </c>
      <c r="R3131">
        <v>0.15435499999999999</v>
      </c>
      <c r="S3131">
        <v>3.4008790000000002</v>
      </c>
      <c r="T3131">
        <v>-0.3623459</v>
      </c>
      <c r="U3131">
        <v>2.5085449999999999E-2</v>
      </c>
      <c r="V3131">
        <v>-0.12769759999999999</v>
      </c>
      <c r="W3131">
        <v>0.37076629999999999</v>
      </c>
      <c r="X3131">
        <v>0.91990519999999998</v>
      </c>
      <c r="Y3131">
        <v>2.212824E-2</v>
      </c>
      <c r="Z3131">
        <v>-4.151531E-3</v>
      </c>
      <c r="AA3131">
        <v>0.99974649999999998</v>
      </c>
      <c r="AB3131">
        <v>47</v>
      </c>
      <c r="AC3131">
        <v>0.66399999999998705</v>
      </c>
      <c r="AD3131">
        <v>-0.11707239999999999</v>
      </c>
      <c r="AE3131">
        <v>-4.8999999999921303E-3</v>
      </c>
      <c r="AF3131">
        <v>2.3926043734246099E-2</v>
      </c>
      <c r="AG3131">
        <v>-0.11707239999999999</v>
      </c>
      <c r="AH3131">
        <v>0.64355482572765099</v>
      </c>
      <c r="AI3131">
        <v>100.303261310191</v>
      </c>
      <c r="AJ3131">
        <v>87.870841467246905</v>
      </c>
      <c r="AK3131">
        <v>0.65455421175627704</v>
      </c>
      <c r="AL3131">
        <v>68.237114146429505</v>
      </c>
      <c r="AM3131">
        <v>97.903067901289504</v>
      </c>
      <c r="AN3131">
        <v>0.99999995162424304</v>
      </c>
    </row>
    <row r="3132" spans="1:40" x14ac:dyDescent="0.25">
      <c r="A3132" t="str">
        <f>"20190304164432158"</f>
        <v>20190304164432158</v>
      </c>
      <c r="B3132" t="str">
        <f>"1551689072153053"</f>
        <v>1551689072153053</v>
      </c>
      <c r="C3132" t="s">
        <v>40</v>
      </c>
      <c r="D3132">
        <v>4.7574930000000002</v>
      </c>
      <c r="E3132">
        <v>0.57569890000000001</v>
      </c>
      <c r="F3132" t="s">
        <v>41</v>
      </c>
      <c r="G3132">
        <v>-369.07170000000002</v>
      </c>
      <c r="H3132">
        <v>0.99507769999999995</v>
      </c>
      <c r="I3132">
        <v>213.07810000000001</v>
      </c>
      <c r="J3132">
        <v>-369.6891</v>
      </c>
      <c r="K3132">
        <v>1.110749</v>
      </c>
      <c r="L3132">
        <v>213.08449999999999</v>
      </c>
      <c r="M3132">
        <v>0.99948559999999997</v>
      </c>
      <c r="N3132">
        <v>-1.0225980000000001E-2</v>
      </c>
      <c r="O3132">
        <v>3.0400130000000001E-2</v>
      </c>
      <c r="P3132">
        <v>0.91944590000000004</v>
      </c>
      <c r="Q3132">
        <v>0.36147190000000001</v>
      </c>
      <c r="R3132">
        <v>0.1547828</v>
      </c>
      <c r="S3132">
        <v>3.401672</v>
      </c>
      <c r="T3132">
        <v>-0.36332059999999999</v>
      </c>
      <c r="U3132">
        <v>2.5894170000000001E-2</v>
      </c>
      <c r="V3132">
        <v>-0.12752349999999901</v>
      </c>
      <c r="W3132">
        <v>0.37063659999999998</v>
      </c>
      <c r="X3132">
        <v>0.91998170000000001</v>
      </c>
      <c r="Y3132">
        <v>2.251073E-2</v>
      </c>
      <c r="Z3132">
        <v>-4.2412650000000001E-3</v>
      </c>
      <c r="AA3132">
        <v>0.9997376</v>
      </c>
      <c r="AB3132">
        <v>47</v>
      </c>
      <c r="AC3132">
        <v>0.61739999999997497</v>
      </c>
      <c r="AD3132">
        <v>-0.1156713</v>
      </c>
      <c r="AE3132">
        <v>-6.39999999998508E-3</v>
      </c>
      <c r="AF3132">
        <v>2.4313720211005699E-2</v>
      </c>
      <c r="AG3132">
        <v>-0.1156713</v>
      </c>
      <c r="AH3132">
        <v>0.59600209347406097</v>
      </c>
      <c r="AI3132">
        <v>100.974440051358</v>
      </c>
      <c r="AJ3132">
        <v>87.663931803437706</v>
      </c>
      <c r="AK3132">
        <v>0.60760966257923599</v>
      </c>
      <c r="AL3132">
        <v>68.245117287796603</v>
      </c>
      <c r="AM3132">
        <v>97.891780896973501</v>
      </c>
      <c r="AN3132">
        <v>1.0000000303233401</v>
      </c>
    </row>
    <row r="3133" spans="1:40" x14ac:dyDescent="0.25">
      <c r="A3133" t="str">
        <f>"20190304164432181"</f>
        <v>20190304164432181</v>
      </c>
      <c r="B3133" t="str">
        <f>"1551689072173549"</f>
        <v>1551689072173549</v>
      </c>
      <c r="C3133" t="s">
        <v>40</v>
      </c>
      <c r="D3133">
        <v>4.8007980000000003</v>
      </c>
      <c r="E3133">
        <v>0.57529430000000004</v>
      </c>
      <c r="F3133" t="s">
        <v>41</v>
      </c>
      <c r="G3133">
        <v>-368.65100000000001</v>
      </c>
      <c r="H3133">
        <v>0.99896660000000004</v>
      </c>
      <c r="I3133">
        <v>213.0925</v>
      </c>
      <c r="J3133">
        <v>-369.21050000000002</v>
      </c>
      <c r="K3133">
        <v>1.1107400000000001</v>
      </c>
      <c r="L3133">
        <v>213.0994</v>
      </c>
      <c r="M3133">
        <v>0.99946550000000001</v>
      </c>
      <c r="N3133">
        <v>-1.0415239999999999E-2</v>
      </c>
      <c r="O3133">
        <v>3.0986260000000002E-2</v>
      </c>
      <c r="P3133">
        <v>0.91961689999999996</v>
      </c>
      <c r="Q3133">
        <v>0.36086259999999998</v>
      </c>
      <c r="R3133">
        <v>0.1551865</v>
      </c>
      <c r="S3133">
        <v>3.4025270000000001</v>
      </c>
      <c r="T3133">
        <v>-0.36633729999999998</v>
      </c>
      <c r="U3133">
        <v>2.5939940000000002E-2</v>
      </c>
      <c r="V3133">
        <v>-0.12734419999999999</v>
      </c>
      <c r="W3133">
        <v>0.37021670000000001</v>
      </c>
      <c r="X3133">
        <v>0.92017559999999998</v>
      </c>
      <c r="Y3133">
        <v>2.3074830000000001E-2</v>
      </c>
      <c r="Z3133">
        <v>-4.3632159999999996E-3</v>
      </c>
      <c r="AA3133">
        <v>0.99972419999999995</v>
      </c>
      <c r="AB3133">
        <v>47</v>
      </c>
      <c r="AC3133">
        <v>0.55950000000001399</v>
      </c>
      <c r="AD3133">
        <v>-0.11177339999999999</v>
      </c>
      <c r="AE3133">
        <v>-6.90000000000168E-3</v>
      </c>
      <c r="AF3133">
        <v>2.3304509124721099E-2</v>
      </c>
      <c r="AG3133">
        <v>-0.11177339999999999</v>
      </c>
      <c r="AH3133">
        <v>0.53756670938782003</v>
      </c>
      <c r="AI3133">
        <v>101.735132252434</v>
      </c>
      <c r="AJ3133">
        <v>87.517676498025807</v>
      </c>
      <c r="AK3133">
        <v>0.54955833187674696</v>
      </c>
      <c r="AL3133">
        <v>68.271018620269899</v>
      </c>
      <c r="AM3133">
        <v>97.879184656258403</v>
      </c>
      <c r="AN3133">
        <v>1.0000000425339399</v>
      </c>
    </row>
    <row r="3134" spans="1:40" x14ac:dyDescent="0.25">
      <c r="A3134" t="str">
        <f>"20190304164432202"</f>
        <v>20190304164432202</v>
      </c>
      <c r="B3134" t="str">
        <f>"1551689072193069"</f>
        <v>1551689072193069</v>
      </c>
      <c r="C3134" t="s">
        <v>40</v>
      </c>
      <c r="D3134">
        <v>4.8081050000000003</v>
      </c>
      <c r="E3134">
        <v>0.5750092</v>
      </c>
      <c r="F3134" t="s">
        <v>41</v>
      </c>
      <c r="G3134">
        <v>-368.2294</v>
      </c>
      <c r="H3134">
        <v>1.004348</v>
      </c>
      <c r="I3134">
        <v>213.1078</v>
      </c>
      <c r="J3134">
        <v>-368.75020000000001</v>
      </c>
      <c r="K3134">
        <v>1.1107149999999999</v>
      </c>
      <c r="L3134">
        <v>213.11410000000001</v>
      </c>
      <c r="M3134">
        <v>0.99944809999999995</v>
      </c>
      <c r="N3134">
        <v>-1.06131E-2</v>
      </c>
      <c r="O3134">
        <v>3.147929E-2</v>
      </c>
      <c r="P3134">
        <v>0.91969690000000004</v>
      </c>
      <c r="Q3134">
        <v>0.36043130000000001</v>
      </c>
      <c r="R3134">
        <v>0.15571399999999999</v>
      </c>
      <c r="S3134">
        <v>3.4020999999999999</v>
      </c>
      <c r="T3134">
        <v>-0.36897039999999998</v>
      </c>
      <c r="U3134">
        <v>2.9296880000000001E-2</v>
      </c>
      <c r="V3134">
        <v>-0.1273657</v>
      </c>
      <c r="W3134">
        <v>0.36998500000000001</v>
      </c>
      <c r="X3134">
        <v>0.92026580000000002</v>
      </c>
      <c r="Y3134">
        <v>2.2577509999999999E-2</v>
      </c>
      <c r="Z3134">
        <v>-4.4111030000000004E-3</v>
      </c>
      <c r="AA3134">
        <v>0.99973540000000005</v>
      </c>
      <c r="AB3134">
        <v>47</v>
      </c>
      <c r="AC3134">
        <v>0.52080000000000803</v>
      </c>
      <c r="AD3134">
        <v>-0.106366999999999</v>
      </c>
      <c r="AE3134">
        <v>-6.3000000000101803E-3</v>
      </c>
      <c r="AF3134">
        <v>2.1783683525400301E-2</v>
      </c>
      <c r="AG3134">
        <v>-0.106366999999999</v>
      </c>
      <c r="AH3134">
        <v>0.49951048057817499</v>
      </c>
      <c r="AI3134">
        <v>102.010070684485</v>
      </c>
      <c r="AJ3134">
        <v>87.502909664056006</v>
      </c>
      <c r="AK3134">
        <v>0.51117432228582604</v>
      </c>
      <c r="AL3134">
        <v>68.285308537229398</v>
      </c>
      <c r="AM3134">
        <v>97.879735511306194</v>
      </c>
      <c r="AN3134">
        <v>1.00000003220556</v>
      </c>
    </row>
    <row r="3135" spans="1:40" x14ac:dyDescent="0.25">
      <c r="A3135" t="str">
        <f>"20190304164432224"</f>
        <v>20190304164432224</v>
      </c>
      <c r="B3135" t="str">
        <f>"1551689072212589"</f>
        <v>1551689072212589</v>
      </c>
      <c r="C3135" t="s">
        <v>40</v>
      </c>
      <c r="D3135">
        <v>4.7752949999999998</v>
      </c>
      <c r="E3135">
        <v>0.57491840000000005</v>
      </c>
      <c r="F3135" t="s">
        <v>41</v>
      </c>
      <c r="G3135">
        <v>-367.80869999999999</v>
      </c>
      <c r="H3135">
        <v>1.007959</v>
      </c>
      <c r="I3135">
        <v>213.12299999999999</v>
      </c>
      <c r="J3135">
        <v>-368.3048</v>
      </c>
      <c r="K3135">
        <v>1.1106799999999999</v>
      </c>
      <c r="L3135">
        <v>213.1284</v>
      </c>
      <c r="M3135">
        <v>0.99943349999999997</v>
      </c>
      <c r="N3135">
        <v>-1.0823340000000001E-2</v>
      </c>
      <c r="O3135">
        <v>3.1867069999999997E-2</v>
      </c>
      <c r="P3135">
        <v>0.9196394</v>
      </c>
      <c r="Q3135">
        <v>0.3603403</v>
      </c>
      <c r="R3135">
        <v>0.15626409999999999</v>
      </c>
      <c r="S3135">
        <v>3.4019780000000002</v>
      </c>
      <c r="T3135">
        <v>-0.37139800000000001</v>
      </c>
      <c r="U3135">
        <v>3.2547E-2</v>
      </c>
      <c r="V3135">
        <v>-0.127498</v>
      </c>
      <c r="W3135">
        <v>0.3701082</v>
      </c>
      <c r="X3135">
        <v>0.92019790000000001</v>
      </c>
      <c r="Y3135">
        <v>2.2008340000000001E-2</v>
      </c>
      <c r="Z3135">
        <v>-4.4412130000000003E-3</v>
      </c>
      <c r="AA3135">
        <v>0.99974790000000002</v>
      </c>
      <c r="AB3135">
        <v>47</v>
      </c>
      <c r="AC3135">
        <v>0.49610000000001198</v>
      </c>
      <c r="AD3135">
        <v>-0.10272099999999899</v>
      </c>
      <c r="AE3135">
        <v>-5.4000000000087303E-3</v>
      </c>
      <c r="AF3135">
        <v>2.0335695530435599E-2</v>
      </c>
      <c r="AG3135">
        <v>-0.10272099999999899</v>
      </c>
      <c r="AH3135">
        <v>0.47530093468698498</v>
      </c>
      <c r="AI3135">
        <v>102.184269141524</v>
      </c>
      <c r="AJ3135">
        <v>87.550100854383899</v>
      </c>
      <c r="AK3135">
        <v>0.48669921190405502</v>
      </c>
      <c r="AL3135">
        <v>68.277709530971293</v>
      </c>
      <c r="AM3135">
        <v>97.888392245967495</v>
      </c>
      <c r="AN3135">
        <v>0.99999999743782497</v>
      </c>
    </row>
    <row r="3136" spans="1:40" x14ac:dyDescent="0.25">
      <c r="A3136" t="str">
        <f>"20190304164432248"</f>
        <v>20190304164432248</v>
      </c>
      <c r="B3136" t="str">
        <f>"1551689072242845"</f>
        <v>1551689072242845</v>
      </c>
      <c r="C3136" t="s">
        <v>40</v>
      </c>
      <c r="D3136">
        <v>4.781339</v>
      </c>
      <c r="E3136">
        <v>0.57501769999999996</v>
      </c>
      <c r="F3136" t="s">
        <v>41</v>
      </c>
      <c r="G3136">
        <v>-367.38869999999997</v>
      </c>
      <c r="H3136">
        <v>1.0102009999999999</v>
      </c>
      <c r="I3136">
        <v>213.13759999999999</v>
      </c>
      <c r="J3136">
        <v>-367.80720000000002</v>
      </c>
      <c r="K3136">
        <v>1.110625</v>
      </c>
      <c r="L3136">
        <v>213.14449999999999</v>
      </c>
      <c r="M3136">
        <v>0.99942050000000004</v>
      </c>
      <c r="N3136">
        <v>-1.1081529999999999E-2</v>
      </c>
      <c r="O3136">
        <v>3.2187529999999999E-2</v>
      </c>
      <c r="P3136">
        <v>0.91965439999999998</v>
      </c>
      <c r="Q3136">
        <v>0.36040179999999999</v>
      </c>
      <c r="R3136">
        <v>0.1560347</v>
      </c>
      <c r="S3136">
        <v>3.4025569999999998</v>
      </c>
      <c r="T3136">
        <v>-0.37325629999999999</v>
      </c>
      <c r="U3136">
        <v>3.4606930000000001E-2</v>
      </c>
      <c r="V3136">
        <v>-0.12688679999999999</v>
      </c>
      <c r="W3136">
        <v>0.37043809999999999</v>
      </c>
      <c r="X3136">
        <v>0.92014960000000001</v>
      </c>
      <c r="Y3136">
        <v>2.1723289999999999E-2</v>
      </c>
      <c r="Z3136">
        <v>-4.4725729999999997E-3</v>
      </c>
      <c r="AA3136">
        <v>0.99975400000000003</v>
      </c>
      <c r="AB3136">
        <v>47</v>
      </c>
      <c r="AC3136">
        <v>0.418500000000051</v>
      </c>
      <c r="AD3136">
        <v>-0.100423999999999</v>
      </c>
      <c r="AE3136">
        <v>-6.90000000000168E-3</v>
      </c>
      <c r="AF3136">
        <v>1.92590642841068E-2</v>
      </c>
      <c r="AG3136">
        <v>-0.100423999999999</v>
      </c>
      <c r="AH3136">
        <v>0.39530489654196299</v>
      </c>
      <c r="AI3136">
        <v>104.23779609622299</v>
      </c>
      <c r="AJ3136">
        <v>87.2107826265716</v>
      </c>
      <c r="AK3136">
        <v>0.40831587351357201</v>
      </c>
      <c r="AL3136">
        <v>68.257360650279395</v>
      </c>
      <c r="AM3136">
        <v>97.851456533321794</v>
      </c>
      <c r="AN3136">
        <v>0.99999996616300402</v>
      </c>
    </row>
    <row r="3137" spans="1:40" x14ac:dyDescent="0.25">
      <c r="A3137" t="str">
        <f>"20190304164432272"</f>
        <v>20190304164432272</v>
      </c>
      <c r="B3137" t="str">
        <f>"1551689072263341"</f>
        <v>1551689072263341</v>
      </c>
      <c r="C3137" t="s">
        <v>40</v>
      </c>
      <c r="D3137">
        <v>4.774165</v>
      </c>
      <c r="E3137">
        <v>0.57507790000000003</v>
      </c>
      <c r="F3137" t="s">
        <v>41</v>
      </c>
      <c r="G3137">
        <v>-366.96620000000001</v>
      </c>
      <c r="H3137">
        <v>1.0178119999999999</v>
      </c>
      <c r="I3137">
        <v>213.1533</v>
      </c>
      <c r="J3137">
        <v>-367.31200000000001</v>
      </c>
      <c r="K3137">
        <v>1.110571</v>
      </c>
      <c r="L3137">
        <v>213.16059999999999</v>
      </c>
      <c r="M3137">
        <v>0.99941009999999997</v>
      </c>
      <c r="N3137">
        <v>-1.1365460000000001E-2</v>
      </c>
      <c r="O3137">
        <v>3.2408569999999998E-2</v>
      </c>
      <c r="P3137">
        <v>0.91962940000000004</v>
      </c>
      <c r="Q3137">
        <v>0.36087849999999999</v>
      </c>
      <c r="R3137">
        <v>0.15507699999999999</v>
      </c>
      <c r="S3137">
        <v>3.4032900000000001</v>
      </c>
      <c r="T3137">
        <v>-0.37561610000000001</v>
      </c>
      <c r="U3137">
        <v>3.5385130000000001E-2</v>
      </c>
      <c r="V3137">
        <v>-0.12563679999999999</v>
      </c>
      <c r="W3137">
        <v>0.37120779999999998</v>
      </c>
      <c r="X3137">
        <v>0.92001100000000002</v>
      </c>
      <c r="Y3137">
        <v>2.1713860000000001E-2</v>
      </c>
      <c r="Z3137">
        <v>-4.5163579999999998E-3</v>
      </c>
      <c r="AA3137">
        <v>0.99975400000000003</v>
      </c>
      <c r="AB3137">
        <v>47</v>
      </c>
      <c r="AC3137">
        <v>0.34579999999993999</v>
      </c>
      <c r="AD3137">
        <v>-9.27589999999998E-2</v>
      </c>
      <c r="AE3137">
        <v>-7.2999999999865299E-3</v>
      </c>
      <c r="AF3137">
        <v>1.7262219041505399E-2</v>
      </c>
      <c r="AG3137">
        <v>-9.27589999999998E-2</v>
      </c>
      <c r="AH3137">
        <v>0.32220755265606599</v>
      </c>
      <c r="AI3137">
        <v>106.03854606669201</v>
      </c>
      <c r="AJ3137">
        <v>86.9333194273689</v>
      </c>
      <c r="AK3137">
        <v>0.33573787882192901</v>
      </c>
      <c r="AL3137">
        <v>68.209876142329904</v>
      </c>
      <c r="AM3137">
        <v>97.776217127209193</v>
      </c>
      <c r="AN3137">
        <v>1.0000000382080301</v>
      </c>
    </row>
    <row r="3138" spans="1:40" x14ac:dyDescent="0.25">
      <c r="A3138" t="str">
        <f>"20190304164432294"</f>
        <v>20190304164432294</v>
      </c>
      <c r="B3138" t="str">
        <f>"1551689072282860"</f>
        <v>1551689072282860</v>
      </c>
      <c r="C3138" t="s">
        <v>40</v>
      </c>
      <c r="D3138">
        <v>4.7768069999999998</v>
      </c>
      <c r="E3138">
        <v>0.57509279999999996</v>
      </c>
      <c r="F3138" t="s">
        <v>41</v>
      </c>
      <c r="G3138">
        <v>-366.54379999999998</v>
      </c>
      <c r="H3138">
        <v>1.0255719999999999</v>
      </c>
      <c r="I3138">
        <v>213.16810000000001</v>
      </c>
      <c r="J3138">
        <v>-366.84769999999997</v>
      </c>
      <c r="K3138">
        <v>1.110527</v>
      </c>
      <c r="L3138">
        <v>213.17580000000001</v>
      </c>
      <c r="M3138">
        <v>0.99940229999999997</v>
      </c>
      <c r="N3138">
        <v>-1.1660790000000001E-2</v>
      </c>
      <c r="O3138">
        <v>3.254452E-2</v>
      </c>
      <c r="P3138">
        <v>0.91963320000000004</v>
      </c>
      <c r="Q3138">
        <v>0.3611393</v>
      </c>
      <c r="R3138">
        <v>0.15444559999999999</v>
      </c>
      <c r="S3138">
        <v>3.404236</v>
      </c>
      <c r="T3138">
        <v>-0.37672949999999999</v>
      </c>
      <c r="U3138">
        <v>3.414917E-2</v>
      </c>
      <c r="V3138">
        <v>-0.124803399999999</v>
      </c>
      <c r="W3138">
        <v>0.37176740000000003</v>
      </c>
      <c r="X3138">
        <v>0.91989849999999995</v>
      </c>
      <c r="Y3138">
        <v>2.221068E-2</v>
      </c>
      <c r="Z3138">
        <v>-4.5664750000000004E-3</v>
      </c>
      <c r="AA3138">
        <v>0.99974289999999999</v>
      </c>
      <c r="AB3138">
        <v>47</v>
      </c>
      <c r="AC3138">
        <v>0.30389999999999801</v>
      </c>
      <c r="AD3138">
        <v>-8.49550000000001E-2</v>
      </c>
      <c r="AE3138">
        <v>-7.6999999999998103E-3</v>
      </c>
      <c r="AF3138">
        <v>1.63128756971208E-2</v>
      </c>
      <c r="AG3138">
        <v>-8.49550000000001E-2</v>
      </c>
      <c r="AH3138">
        <v>0.28150362663892298</v>
      </c>
      <c r="AI3138">
        <v>106.766746595809</v>
      </c>
      <c r="AJ3138">
        <v>86.683471475796196</v>
      </c>
      <c r="AK3138">
        <v>0.29449576185299497</v>
      </c>
      <c r="AL3138">
        <v>68.175342810577106</v>
      </c>
      <c r="AM3138">
        <v>97.726192609448304</v>
      </c>
      <c r="AN3138">
        <v>1.00000006932828</v>
      </c>
    </row>
    <row r="3139" spans="1:40" x14ac:dyDescent="0.25">
      <c r="A3139" t="str">
        <f>"20190304164432314"</f>
        <v>20190304164432314</v>
      </c>
      <c r="B3139" t="str">
        <f>"1551689072303357"</f>
        <v>1551689072303357</v>
      </c>
      <c r="C3139" t="s">
        <v>40</v>
      </c>
      <c r="D3139">
        <v>4.7892440000000001</v>
      </c>
      <c r="E3139">
        <v>0.5751406</v>
      </c>
      <c r="F3139" t="s">
        <v>41</v>
      </c>
      <c r="G3139">
        <v>-365.72649999999999</v>
      </c>
      <c r="H3139">
        <v>0.98607180000000005</v>
      </c>
      <c r="I3139">
        <v>213.18639999999999</v>
      </c>
      <c r="J3139">
        <v>-366.4237</v>
      </c>
      <c r="K3139">
        <v>1.1105100000000001</v>
      </c>
      <c r="L3139">
        <v>213.18960000000001</v>
      </c>
      <c r="M3139">
        <v>0.99939639999999996</v>
      </c>
      <c r="N3139">
        <v>-1.1950529999999999E-2</v>
      </c>
      <c r="O3139">
        <v>3.2615379999999999E-2</v>
      </c>
      <c r="P3139">
        <v>0.91974149999999999</v>
      </c>
      <c r="Q3139">
        <v>0.36129169999999999</v>
      </c>
      <c r="R3139">
        <v>0.153440299999999</v>
      </c>
      <c r="S3139">
        <v>3.4049680000000002</v>
      </c>
      <c r="T3139">
        <v>-0.37809730000000003</v>
      </c>
      <c r="U3139">
        <v>3.3706670000000001E-2</v>
      </c>
      <c r="V3139">
        <v>-0.123666</v>
      </c>
      <c r="W3139">
        <v>0.37220910000000001</v>
      </c>
      <c r="X3139">
        <v>0.91987339999999995</v>
      </c>
      <c r="Y3139">
        <v>2.2410429999999999E-2</v>
      </c>
      <c r="Z3139">
        <v>-4.595905E-3</v>
      </c>
      <c r="AA3139">
        <v>0.99973829999999997</v>
      </c>
      <c r="AB3139">
        <v>47</v>
      </c>
      <c r="AC3139">
        <v>0.69720000000000903</v>
      </c>
      <c r="AD3139">
        <v>-0.1244382</v>
      </c>
      <c r="AE3139">
        <v>-3.2000000000209599E-3</v>
      </c>
      <c r="AF3139">
        <v>2.5138567107839401E-2</v>
      </c>
      <c r="AG3139">
        <v>-0.1244382</v>
      </c>
      <c r="AH3139">
        <v>0.67521536484193001</v>
      </c>
      <c r="AI3139">
        <v>100.435035336224</v>
      </c>
      <c r="AJ3139">
        <v>87.867837521017506</v>
      </c>
      <c r="AK3139">
        <v>0.68704628817431002</v>
      </c>
      <c r="AL3139">
        <v>68.148076738957101</v>
      </c>
      <c r="AM3139">
        <v>97.656825195479897</v>
      </c>
      <c r="AN3139">
        <v>0.99999998285318403</v>
      </c>
    </row>
    <row r="3140" spans="1:40" x14ac:dyDescent="0.25">
      <c r="A3140" t="str">
        <f>"20190304164432336"</f>
        <v>20190304164432336</v>
      </c>
      <c r="B3140" t="str">
        <f>"1551689072322877"</f>
        <v>1551689072322877</v>
      </c>
      <c r="C3140" t="s">
        <v>40</v>
      </c>
      <c r="D3140">
        <v>4.7896489999999998</v>
      </c>
      <c r="E3140">
        <v>0.57518199999999997</v>
      </c>
      <c r="F3140" t="s">
        <v>41</v>
      </c>
      <c r="G3140">
        <v>-365.30869999999999</v>
      </c>
      <c r="H3140">
        <v>0.98620399999999997</v>
      </c>
      <c r="I3140">
        <v>213.19980000000001</v>
      </c>
      <c r="J3140">
        <v>-365.96539999999999</v>
      </c>
      <c r="K3140">
        <v>1.1104860000000001</v>
      </c>
      <c r="L3140">
        <v>213.2046</v>
      </c>
      <c r="M3140">
        <v>0.99939180000000005</v>
      </c>
      <c r="N3140">
        <v>-1.225711E-2</v>
      </c>
      <c r="O3140">
        <v>3.2649480000000002E-2</v>
      </c>
      <c r="P3140">
        <v>0.92011080000000001</v>
      </c>
      <c r="Q3140">
        <v>0.36091610000000002</v>
      </c>
      <c r="R3140">
        <v>0.1521045</v>
      </c>
      <c r="S3140">
        <v>3.4057919999999999</v>
      </c>
      <c r="T3140">
        <v>-0.37974170000000002</v>
      </c>
      <c r="U3140">
        <v>3.1021119999999999E-2</v>
      </c>
      <c r="V3140">
        <v>-0.1222263</v>
      </c>
      <c r="W3140">
        <v>0.372141</v>
      </c>
      <c r="X3140">
        <v>0.92009339999999995</v>
      </c>
      <c r="Y3140">
        <v>2.3227439999999999E-2</v>
      </c>
      <c r="Z3140">
        <v>-4.6630109999999999E-3</v>
      </c>
      <c r="AA3140">
        <v>0.99971929999999998</v>
      </c>
      <c r="AB3140">
        <v>47</v>
      </c>
      <c r="AC3140">
        <v>0.65669999999999995</v>
      </c>
      <c r="AD3140">
        <v>-0.124281999999999</v>
      </c>
      <c r="AE3140">
        <v>-4.7999999999888097E-3</v>
      </c>
      <c r="AF3140">
        <v>2.53326846278169E-2</v>
      </c>
      <c r="AG3140">
        <v>-0.124281999999999</v>
      </c>
      <c r="AH3140">
        <v>0.63350444480547896</v>
      </c>
      <c r="AI3140">
        <v>101.09077871344699</v>
      </c>
      <c r="AJ3140">
        <v>87.710066576248707</v>
      </c>
      <c r="AK3140">
        <v>0.64607711770557996</v>
      </c>
      <c r="AL3140">
        <v>68.152281623198306</v>
      </c>
      <c r="AM3140">
        <v>97.566936252745407</v>
      </c>
      <c r="AN3140">
        <v>1.0000000285081201</v>
      </c>
    </row>
    <row r="3141" spans="1:40" x14ac:dyDescent="0.25">
      <c r="A3141" t="str">
        <f>"20190304164432359"</f>
        <v>20190304164432359</v>
      </c>
      <c r="B3141" t="str">
        <f>"1551689072353133"</f>
        <v>1551689072353133</v>
      </c>
      <c r="C3141" t="s">
        <v>40</v>
      </c>
      <c r="D3141">
        <v>4.9259629999999897</v>
      </c>
      <c r="E3141">
        <v>0.57514799999999999</v>
      </c>
      <c r="F3141" t="s">
        <v>41</v>
      </c>
      <c r="G3141">
        <v>-364.8897</v>
      </c>
      <c r="H3141">
        <v>0.98940360000000005</v>
      </c>
      <c r="I3141">
        <v>213.21299999999999</v>
      </c>
      <c r="J3141">
        <v>-365.46769999999998</v>
      </c>
      <c r="K3141">
        <v>1.1104560000000001</v>
      </c>
      <c r="L3141">
        <v>213.2209</v>
      </c>
      <c r="M3141">
        <v>0.99938800000000005</v>
      </c>
      <c r="N3141">
        <v>-1.2563899999999999E-2</v>
      </c>
      <c r="O3141">
        <v>3.265067E-2</v>
      </c>
      <c r="P3141">
        <v>0.92038339999999996</v>
      </c>
      <c r="Q3141">
        <v>0.36077629999999999</v>
      </c>
      <c r="R3141">
        <v>0.15078050000000001</v>
      </c>
      <c r="S3141">
        <v>3.4063720000000002</v>
      </c>
      <c r="T3141">
        <v>-0.38350649999999997</v>
      </c>
      <c r="U3141">
        <v>2.742004E-2</v>
      </c>
      <c r="V3141">
        <v>-0.12083430000000001</v>
      </c>
      <c r="W3141">
        <v>0.37230600000000003</v>
      </c>
      <c r="X3141">
        <v>0.92021050000000004</v>
      </c>
      <c r="Y3141">
        <v>2.427383E-2</v>
      </c>
      <c r="Z3141">
        <v>-4.7697219999999997E-3</v>
      </c>
      <c r="AA3141">
        <v>0.99969399999999997</v>
      </c>
      <c r="AB3141">
        <v>47</v>
      </c>
      <c r="AC3141">
        <v>0.57799999999997398</v>
      </c>
      <c r="AD3141">
        <v>-0.12105239999999901</v>
      </c>
      <c r="AE3141">
        <v>-7.9000000000064505E-3</v>
      </c>
      <c r="AF3141">
        <v>2.5644735144610901E-2</v>
      </c>
      <c r="AG3141">
        <v>-0.12105239999999901</v>
      </c>
      <c r="AH3141">
        <v>0.55317484150381602</v>
      </c>
      <c r="AI3141">
        <v>102.33073760120401</v>
      </c>
      <c r="AJ3141">
        <v>87.345714742135002</v>
      </c>
      <c r="AK3141">
        <v>0.56684542977708596</v>
      </c>
      <c r="AL3141">
        <v>68.142095825504697</v>
      </c>
      <c r="AM3141">
        <v>97.480799127629396</v>
      </c>
      <c r="AN3141">
        <v>1.0000000250013601</v>
      </c>
    </row>
    <row r="3142" spans="1:40" x14ac:dyDescent="0.25">
      <c r="A3142" t="str">
        <f>"20190304164432382"</f>
        <v>20190304164432382</v>
      </c>
      <c r="B3142" t="str">
        <f>"1551689072372653"</f>
        <v>1551689072372653</v>
      </c>
      <c r="C3142" t="s">
        <v>40</v>
      </c>
      <c r="D3142">
        <v>4.7966610000000003</v>
      </c>
      <c r="E3142">
        <v>0.55850299999999997</v>
      </c>
      <c r="F3142" t="s">
        <v>41</v>
      </c>
      <c r="G3142">
        <v>-364.46859999999998</v>
      </c>
      <c r="H3142">
        <v>0.99757839999999998</v>
      </c>
      <c r="I3142">
        <v>213.22800000000001</v>
      </c>
      <c r="J3142">
        <v>-365.00569999999999</v>
      </c>
      <c r="K3142">
        <v>1.110436</v>
      </c>
      <c r="L3142">
        <v>213.23599999999999</v>
      </c>
      <c r="M3142">
        <v>0.99938539999999998</v>
      </c>
      <c r="N3142">
        <v>-1.2821580000000001E-2</v>
      </c>
      <c r="O3142">
        <v>3.2630970000000002E-2</v>
      </c>
      <c r="P3142">
        <v>0.92081900000000005</v>
      </c>
      <c r="Q3142">
        <v>0.36029119999999998</v>
      </c>
      <c r="R3142">
        <v>0.1492742</v>
      </c>
      <c r="S3142">
        <v>3.4064030000000001</v>
      </c>
      <c r="T3142">
        <v>-0.38481280000000001</v>
      </c>
      <c r="U3142">
        <v>2.3849490000000001E-2</v>
      </c>
      <c r="V3142">
        <v>-0.119285</v>
      </c>
      <c r="W3142">
        <v>0.37207950000000001</v>
      </c>
      <c r="X3142">
        <v>0.92050419999999999</v>
      </c>
      <c r="Y3142">
        <v>2.5293110000000001E-2</v>
      </c>
      <c r="Z3142">
        <v>-4.8434619999999998E-3</v>
      </c>
      <c r="AA3142">
        <v>0.99966840000000001</v>
      </c>
      <c r="AB3142">
        <v>47</v>
      </c>
      <c r="AC3142">
        <v>0.53710000000000901</v>
      </c>
      <c r="AD3142">
        <v>-0.1128576</v>
      </c>
      <c r="AE3142">
        <v>-8.0000000000097701E-3</v>
      </c>
      <c r="AF3142">
        <v>2.44442454561438E-2</v>
      </c>
      <c r="AG3142">
        <v>-0.1128576</v>
      </c>
      <c r="AH3142">
        <v>0.51386947932975702</v>
      </c>
      <c r="AI3142">
        <v>102.373258621871</v>
      </c>
      <c r="AJ3142">
        <v>87.276551356036805</v>
      </c>
      <c r="AK3142">
        <v>0.52668415658752799</v>
      </c>
      <c r="AL3142">
        <v>68.156077825745101</v>
      </c>
      <c r="AM3142">
        <v>97.3836178801523</v>
      </c>
      <c r="AN3142">
        <v>1.0000000238814399</v>
      </c>
    </row>
    <row r="3143" spans="1:40" x14ac:dyDescent="0.25">
      <c r="A3143" t="str">
        <f>"20190304164432403"</f>
        <v>20190304164432403</v>
      </c>
      <c r="B3143" t="str">
        <f>"1551689072393149"</f>
        <v>1551689072393149</v>
      </c>
      <c r="C3143" t="s">
        <v>40</v>
      </c>
      <c r="D3143">
        <v>4.8009360000000001</v>
      </c>
      <c r="E3143">
        <v>0.55834130000000004</v>
      </c>
      <c r="F3143" t="s">
        <v>41</v>
      </c>
      <c r="G3143">
        <v>-364.04989999999998</v>
      </c>
      <c r="H3143">
        <v>1.0021119999999999</v>
      </c>
      <c r="I3143">
        <v>213.27809999999999</v>
      </c>
      <c r="J3143">
        <v>-364.56380000000001</v>
      </c>
      <c r="K3143">
        <v>1.110412</v>
      </c>
      <c r="L3143">
        <v>213.25049999999999</v>
      </c>
      <c r="M3143">
        <v>0.99938340000000003</v>
      </c>
      <c r="N3143">
        <v>-1.3044099999999999E-2</v>
      </c>
      <c r="O3143">
        <v>3.2600829999999997E-2</v>
      </c>
      <c r="P3143">
        <v>0.92118979999999995</v>
      </c>
      <c r="Q3143">
        <v>0.35985830000000002</v>
      </c>
      <c r="R3143">
        <v>0.1480252</v>
      </c>
      <c r="S3143">
        <v>3.3837890000000002</v>
      </c>
      <c r="T3143">
        <v>-0.38356109999999999</v>
      </c>
      <c r="U3143">
        <v>0.1496429</v>
      </c>
      <c r="V3143">
        <v>-0.11801300000000001</v>
      </c>
      <c r="W3143">
        <v>0.3718687</v>
      </c>
      <c r="X3143">
        <v>0.92075320000000005</v>
      </c>
      <c r="Y3143">
        <v>-1.1664900000000001E-2</v>
      </c>
      <c r="Z3143">
        <v>-2.5215820000000001E-3</v>
      </c>
      <c r="AA3143">
        <v>0.99992879999999995</v>
      </c>
      <c r="AB3143">
        <v>47</v>
      </c>
      <c r="AC3143">
        <v>0.513900000000035</v>
      </c>
      <c r="AD3143">
        <v>-0.10829999999999999</v>
      </c>
      <c r="AE3143">
        <v>2.7600000000006699E-2</v>
      </c>
      <c r="AF3143">
        <v>-1.0371061794865299E-2</v>
      </c>
      <c r="AG3143">
        <v>-0.10829999999999999</v>
      </c>
      <c r="AH3143">
        <v>0.49270749391392299</v>
      </c>
      <c r="AI3143">
        <v>102.394148296794</v>
      </c>
      <c r="AJ3143">
        <v>91.205847975453807</v>
      </c>
      <c r="AK3143">
        <v>0.50457618203963095</v>
      </c>
      <c r="AL3143">
        <v>68.169087220240101</v>
      </c>
      <c r="AM3143">
        <v>97.303783191022404</v>
      </c>
      <c r="AN3143">
        <v>0.99999992675946203</v>
      </c>
    </row>
    <row r="3144" spans="1:40" x14ac:dyDescent="0.25">
      <c r="A3144" t="str">
        <f>"20190304164432426"</f>
        <v>20190304164432426</v>
      </c>
      <c r="B3144" t="str">
        <f>"1551689072423405"</f>
        <v>1551689072423405</v>
      </c>
      <c r="C3144" t="s">
        <v>40</v>
      </c>
      <c r="D3144">
        <v>4.7946819999999999</v>
      </c>
      <c r="E3144">
        <v>0.55775669999999899</v>
      </c>
      <c r="F3144" t="s">
        <v>41</v>
      </c>
      <c r="G3144">
        <v>-363.63220000000001</v>
      </c>
      <c r="H3144">
        <v>1.004688</v>
      </c>
      <c r="I3144">
        <v>213.29050000000001</v>
      </c>
      <c r="J3144">
        <v>-364.09800000000001</v>
      </c>
      <c r="K3144">
        <v>1.110387</v>
      </c>
      <c r="L3144">
        <v>213.26570000000001</v>
      </c>
      <c r="M3144">
        <v>0.99938199999999999</v>
      </c>
      <c r="N3144">
        <v>-1.325457E-2</v>
      </c>
      <c r="O3144">
        <v>3.25615E-2</v>
      </c>
      <c r="P3144">
        <v>0.92130860000000003</v>
      </c>
      <c r="Q3144">
        <v>0.3601645</v>
      </c>
      <c r="R3144">
        <v>0.1465341</v>
      </c>
      <c r="S3144">
        <v>3.3832399999999998</v>
      </c>
      <c r="T3144">
        <v>-0.38393650000000001</v>
      </c>
      <c r="U3144">
        <v>0.14561459999999901</v>
      </c>
      <c r="V3144">
        <v>-0.116518899999999</v>
      </c>
      <c r="W3144">
        <v>0.37238090000000001</v>
      </c>
      <c r="X3144">
        <v>0.92073660000000002</v>
      </c>
      <c r="Y3144">
        <v>-1.0530350000000001E-2</v>
      </c>
      <c r="Z3144">
        <v>-2.5847869999999998E-3</v>
      </c>
      <c r="AA3144">
        <v>0.99994119999999997</v>
      </c>
      <c r="AB3144">
        <v>47</v>
      </c>
      <c r="AC3144">
        <v>0.46580000000000099</v>
      </c>
      <c r="AD3144">
        <v>-0.105699</v>
      </c>
      <c r="AE3144">
        <v>2.4799999999999E-2</v>
      </c>
      <c r="AF3144">
        <v>-9.1486179850637801E-3</v>
      </c>
      <c r="AG3144">
        <v>-0.105699</v>
      </c>
      <c r="AH3144">
        <v>0.443583935864446</v>
      </c>
      <c r="AI3144">
        <v>103.399991099551</v>
      </c>
      <c r="AJ3144">
        <v>91.181519107673694</v>
      </c>
      <c r="AK3144">
        <v>0.45609503830783898</v>
      </c>
      <c r="AL3144">
        <v>68.137472178579003</v>
      </c>
      <c r="AM3144">
        <v>97.212422378362703</v>
      </c>
      <c r="AN3144">
        <v>1.0000000376607801</v>
      </c>
    </row>
    <row r="3145" spans="1:40" x14ac:dyDescent="0.25">
      <c r="A3145" t="str">
        <f>"20190304164432448"</f>
        <v>20190304164432448</v>
      </c>
      <c r="B3145" t="str">
        <f>"1551689072442926"</f>
        <v>1551689072442926</v>
      </c>
      <c r="C3145" t="s">
        <v>40</v>
      </c>
      <c r="D3145">
        <v>4.808675</v>
      </c>
      <c r="E3145">
        <v>0.55767670000000003</v>
      </c>
      <c r="F3145" t="s">
        <v>41</v>
      </c>
      <c r="G3145">
        <v>-363.21339999999998</v>
      </c>
      <c r="H3145">
        <v>1.009995</v>
      </c>
      <c r="I3145">
        <v>213.30340000000001</v>
      </c>
      <c r="J3145">
        <v>-363.62119999999999</v>
      </c>
      <c r="K3145">
        <v>1.110366</v>
      </c>
      <c r="L3145">
        <v>213.28120000000001</v>
      </c>
      <c r="M3145">
        <v>0.99938079999999996</v>
      </c>
      <c r="N3145">
        <v>-1.3446029999999999E-2</v>
      </c>
      <c r="O3145">
        <v>3.2516730000000001E-2</v>
      </c>
      <c r="P3145">
        <v>0.92143339999999996</v>
      </c>
      <c r="Q3145">
        <v>0.36033769999999998</v>
      </c>
      <c r="R3145">
        <v>0.145317</v>
      </c>
      <c r="S3145">
        <v>3.3833310000000001</v>
      </c>
      <c r="T3145">
        <v>-0.38399660000000002</v>
      </c>
      <c r="U3145">
        <v>0.1444397</v>
      </c>
      <c r="V3145">
        <v>-0.1153093</v>
      </c>
      <c r="W3145">
        <v>0.37274109999999999</v>
      </c>
      <c r="X3145">
        <v>0.92074310000000004</v>
      </c>
      <c r="Y3145">
        <v>-1.022852E-2</v>
      </c>
      <c r="Z3145">
        <v>-2.5926249999999999E-3</v>
      </c>
      <c r="AA3145">
        <v>0.99994430000000001</v>
      </c>
      <c r="AB3145">
        <v>47</v>
      </c>
      <c r="AC3145">
        <v>0.40780000000000799</v>
      </c>
      <c r="AD3145">
        <v>-0.100371</v>
      </c>
      <c r="AE3145">
        <v>2.2199999999997999E-2</v>
      </c>
      <c r="AF3145">
        <v>-8.4182740198797401E-3</v>
      </c>
      <c r="AG3145">
        <v>-0.100371</v>
      </c>
      <c r="AH3145">
        <v>0.38504927472946499</v>
      </c>
      <c r="AI3145">
        <v>104.606855247646</v>
      </c>
      <c r="AJ3145">
        <v>91.252449431427905</v>
      </c>
      <c r="AK3145">
        <v>0.398005212212304</v>
      </c>
      <c r="AL3145">
        <v>68.1152325508003</v>
      </c>
      <c r="AM3145">
        <v>97.138275647406303</v>
      </c>
      <c r="AN3145">
        <v>1.0000000092466499</v>
      </c>
    </row>
    <row r="3146" spans="1:40" x14ac:dyDescent="0.25">
      <c r="A3146" t="str">
        <f>"20190304164432473"</f>
        <v>20190304164432473</v>
      </c>
      <c r="B3146" t="str">
        <f>"1551689072463422"</f>
        <v>1551689072463422</v>
      </c>
      <c r="C3146" t="s">
        <v>40</v>
      </c>
      <c r="D3146">
        <v>4.7836410000000003</v>
      </c>
      <c r="E3146">
        <v>0.55762579999999995</v>
      </c>
      <c r="F3146" t="s">
        <v>41</v>
      </c>
      <c r="G3146">
        <v>-362.79419999999999</v>
      </c>
      <c r="H3146">
        <v>1.016918</v>
      </c>
      <c r="I3146">
        <v>213.31530000000001</v>
      </c>
      <c r="J3146">
        <v>-363.12459999999999</v>
      </c>
      <c r="K3146">
        <v>1.1103529999999999</v>
      </c>
      <c r="L3146">
        <v>213.29730000000001</v>
      </c>
      <c r="M3146">
        <v>0.99938009999999999</v>
      </c>
      <c r="N3146">
        <v>-1.3621279999999999E-2</v>
      </c>
      <c r="O3146">
        <v>3.2465929999999997E-2</v>
      </c>
      <c r="P3146">
        <v>0.9215875</v>
      </c>
      <c r="Q3146">
        <v>0.36059020000000003</v>
      </c>
      <c r="R3146">
        <v>0.14370529999999901</v>
      </c>
      <c r="S3146">
        <v>3.38327</v>
      </c>
      <c r="T3146">
        <v>-0.38232719999999998</v>
      </c>
      <c r="U3146">
        <v>0.13970949999999999</v>
      </c>
      <c r="V3146">
        <v>-0.1137152</v>
      </c>
      <c r="W3146">
        <v>0.373164</v>
      </c>
      <c r="X3146">
        <v>0.92076999999999998</v>
      </c>
      <c r="Y3146">
        <v>-8.892077E-3</v>
      </c>
      <c r="Z3146">
        <v>-2.6521600000000002E-3</v>
      </c>
      <c r="AA3146">
        <v>0.99995699999999998</v>
      </c>
      <c r="AB3146">
        <v>47</v>
      </c>
      <c r="AC3146">
        <v>0.33039999999999697</v>
      </c>
      <c r="AD3146">
        <v>-9.3435000000000101E-2</v>
      </c>
      <c r="AE3146">
        <v>1.8000000000000599E-2</v>
      </c>
      <c r="AF3146">
        <v>-6.72643566042025E-3</v>
      </c>
      <c r="AG3146">
        <v>-9.3435000000000101E-2</v>
      </c>
      <c r="AH3146">
        <v>0.30638079320744699</v>
      </c>
      <c r="AI3146">
        <v>106.95594816994</v>
      </c>
      <c r="AJ3146">
        <v>91.257697873429507</v>
      </c>
      <c r="AK3146">
        <v>0.32038185748902598</v>
      </c>
      <c r="AL3146">
        <v>68.089116768241297</v>
      </c>
      <c r="AM3146">
        <v>97.040385761749903</v>
      </c>
      <c r="AN3146">
        <v>0.99999995525351804</v>
      </c>
    </row>
    <row r="3147" spans="1:40" x14ac:dyDescent="0.25">
      <c r="A3147" t="str">
        <f>"20190304164432497"</f>
        <v>20190304164432497</v>
      </c>
      <c r="B3147" t="str">
        <f>"1551689072492702"</f>
        <v>1551689072492702</v>
      </c>
      <c r="C3147" t="s">
        <v>40</v>
      </c>
      <c r="D3147">
        <v>4.7869919999999997</v>
      </c>
      <c r="E3147">
        <v>0.55725309999999995</v>
      </c>
      <c r="F3147" t="s">
        <v>41</v>
      </c>
      <c r="G3147">
        <v>-362.37419999999997</v>
      </c>
      <c r="H3147">
        <v>1.026071</v>
      </c>
      <c r="I3147">
        <v>213.32650000000001</v>
      </c>
      <c r="J3147">
        <v>-362.63580000000002</v>
      </c>
      <c r="K3147">
        <v>1.110347</v>
      </c>
      <c r="L3147">
        <v>213.31319999999999</v>
      </c>
      <c r="M3147">
        <v>0.99937989999999999</v>
      </c>
      <c r="N3147">
        <v>-1.3770009999999999E-2</v>
      </c>
      <c r="O3147">
        <v>3.2409960000000002E-2</v>
      </c>
      <c r="P3147">
        <v>0.92164919999999995</v>
      </c>
      <c r="Q3147">
        <v>0.3610022</v>
      </c>
      <c r="R3147">
        <v>0.1422688</v>
      </c>
      <c r="S3147">
        <v>3.3833009999999999</v>
      </c>
      <c r="T3147">
        <v>-0.3802391</v>
      </c>
      <c r="U3147">
        <v>0.13316349999999999</v>
      </c>
      <c r="V3147">
        <v>-0.11230759999999999</v>
      </c>
      <c r="W3147">
        <v>0.37371989999999999</v>
      </c>
      <c r="X3147">
        <v>0.92071740000000002</v>
      </c>
      <c r="Y3147">
        <v>-7.0270849999999998E-3</v>
      </c>
      <c r="Z3147">
        <v>-2.741486E-3</v>
      </c>
      <c r="AA3147">
        <v>0.99997159999999996</v>
      </c>
      <c r="AB3147">
        <v>47</v>
      </c>
      <c r="AC3147">
        <v>0.26160000000004302</v>
      </c>
      <c r="AD3147">
        <v>-8.4276000000000004E-2</v>
      </c>
      <c r="AE3147">
        <v>1.33000000000151E-2</v>
      </c>
      <c r="AF3147">
        <v>-4.3622014945626604E-3</v>
      </c>
      <c r="AG3147">
        <v>-8.4276000000000004E-2</v>
      </c>
      <c r="AH3147">
        <v>0.23732635142386299</v>
      </c>
      <c r="AI3147">
        <v>109.547201990319</v>
      </c>
      <c r="AJ3147">
        <v>91.053012413434004</v>
      </c>
      <c r="AK3147">
        <v>0.25188344538306201</v>
      </c>
      <c r="AL3147">
        <v>68.054784134114598</v>
      </c>
      <c r="AM3147">
        <v>96.954489804321398</v>
      </c>
      <c r="AN3147">
        <v>1.0000000456682601</v>
      </c>
    </row>
    <row r="3148" spans="1:40" x14ac:dyDescent="0.25">
      <c r="A3148" t="str">
        <f>"20190304164432517"</f>
        <v>20190304164432517</v>
      </c>
      <c r="B3148" t="str">
        <f>"1551689072513197"</f>
        <v>1551689072513197</v>
      </c>
      <c r="C3148" t="s">
        <v>40</v>
      </c>
      <c r="D3148">
        <v>4.8143539999999998</v>
      </c>
      <c r="E3148">
        <v>0.55713449999999998</v>
      </c>
      <c r="F3148" t="s">
        <v>41</v>
      </c>
      <c r="G3148">
        <v>-361.56209999999999</v>
      </c>
      <c r="H3148">
        <v>0.98935220000000001</v>
      </c>
      <c r="I3148">
        <v>213.35489999999999</v>
      </c>
      <c r="J3148">
        <v>-362.2183</v>
      </c>
      <c r="K3148">
        <v>1.1103379999999901</v>
      </c>
      <c r="L3148">
        <v>213.32669999999999</v>
      </c>
      <c r="M3148">
        <v>0.99938009999999999</v>
      </c>
      <c r="N3148">
        <v>-1.3881640000000001E-2</v>
      </c>
      <c r="O3148">
        <v>3.2354969999999997E-2</v>
      </c>
      <c r="P3148">
        <v>0.92173499999999997</v>
      </c>
      <c r="Q3148">
        <v>0.36143789999999998</v>
      </c>
      <c r="R3148">
        <v>0.14059639999999901</v>
      </c>
      <c r="S3148">
        <v>3.3840330000000001</v>
      </c>
      <c r="T3148">
        <v>-0.38143709999999997</v>
      </c>
      <c r="U3148">
        <v>0.13203429999999999</v>
      </c>
      <c r="V3148">
        <v>-0.1106678</v>
      </c>
      <c r="W3148">
        <v>0.37426350000000003</v>
      </c>
      <c r="X3148">
        <v>0.92069509999999999</v>
      </c>
      <c r="Y3148">
        <v>-6.7425310000000004E-3</v>
      </c>
      <c r="Z3148">
        <v>-2.7594970000000001E-3</v>
      </c>
      <c r="AA3148">
        <v>0.99997349999999996</v>
      </c>
      <c r="AB3148">
        <v>46</v>
      </c>
      <c r="AC3148">
        <v>0.656200000000012</v>
      </c>
      <c r="AD3148">
        <v>-0.12098579999999901</v>
      </c>
      <c r="AE3148">
        <v>2.8199999999998199E-2</v>
      </c>
      <c r="AF3148">
        <v>-6.7237153766628796E-3</v>
      </c>
      <c r="AG3148">
        <v>-0.12098579999999901</v>
      </c>
      <c r="AH3148">
        <v>0.63521545786099498</v>
      </c>
      <c r="AI3148">
        <v>100.783044675922</v>
      </c>
      <c r="AJ3148">
        <v>90.606449547735807</v>
      </c>
      <c r="AK3148">
        <v>0.64666950605054796</v>
      </c>
      <c r="AL3148">
        <v>68.021200001336098</v>
      </c>
      <c r="AM3148">
        <v>96.854084905321898</v>
      </c>
      <c r="AN3148">
        <v>0.99999999827654995</v>
      </c>
    </row>
    <row r="3149" spans="1:40" x14ac:dyDescent="0.25">
      <c r="A3149" t="str">
        <f>"20190304164432538"</f>
        <v>20190304164432538</v>
      </c>
      <c r="B3149" t="str">
        <f>"1551689072532717"</f>
        <v>1551689072532717</v>
      </c>
      <c r="C3149" t="s">
        <v>40</v>
      </c>
      <c r="D3149">
        <v>4.8156619999999997</v>
      </c>
      <c r="E3149">
        <v>0.55701750000000005</v>
      </c>
      <c r="F3149" t="s">
        <v>41</v>
      </c>
      <c r="G3149">
        <v>-361.1472</v>
      </c>
      <c r="H3149">
        <v>0.98989570000000005</v>
      </c>
      <c r="I3149">
        <v>213.36750000000001</v>
      </c>
      <c r="J3149">
        <v>-361.76940000000002</v>
      </c>
      <c r="K3149">
        <v>1.11032999999999</v>
      </c>
      <c r="L3149">
        <v>213.34119999999999</v>
      </c>
      <c r="M3149">
        <v>0.99938070000000001</v>
      </c>
      <c r="N3149">
        <v>-1.3986729999999999E-2</v>
      </c>
      <c r="O3149">
        <v>3.2287200000000002E-2</v>
      </c>
      <c r="P3149">
        <v>0.92184929999999998</v>
      </c>
      <c r="Q3149">
        <v>0.36155039999999999</v>
      </c>
      <c r="R3149">
        <v>0.13955319999999999</v>
      </c>
      <c r="S3149">
        <v>3.384369</v>
      </c>
      <c r="T3149">
        <v>-0.38058389999999997</v>
      </c>
      <c r="U3149">
        <v>0.1287384</v>
      </c>
      <c r="V3149">
        <v>-0.109667</v>
      </c>
      <c r="W3149">
        <v>0.3744789</v>
      </c>
      <c r="X3149">
        <v>0.92072730000000003</v>
      </c>
      <c r="Y3149">
        <v>-5.8391129999999999E-3</v>
      </c>
      <c r="Z3149">
        <v>-2.7985779999999999E-3</v>
      </c>
      <c r="AA3149">
        <v>0.99997899999999995</v>
      </c>
      <c r="AB3149">
        <v>46</v>
      </c>
      <c r="AC3149">
        <v>0.62220000000001996</v>
      </c>
      <c r="AD3149">
        <v>-0.12043429999999899</v>
      </c>
      <c r="AE3149">
        <v>2.6300000000020401E-2</v>
      </c>
      <c r="AF3149">
        <v>-5.97187806580425E-3</v>
      </c>
      <c r="AG3149">
        <v>-0.12043429999999899</v>
      </c>
      <c r="AH3149">
        <v>0.60027483481166799</v>
      </c>
      <c r="AI3149">
        <v>101.344195893079</v>
      </c>
      <c r="AJ3149">
        <v>90.569992445669897</v>
      </c>
      <c r="AK3149">
        <v>0.61226625029663195</v>
      </c>
      <c r="AL3149">
        <v>68.007891333231697</v>
      </c>
      <c r="AM3149">
        <v>96.792447919676206</v>
      </c>
      <c r="AN3149">
        <v>1.00000002919974</v>
      </c>
    </row>
    <row r="3150" spans="1:40" x14ac:dyDescent="0.25">
      <c r="A3150" t="str">
        <f>"20190304164432561"</f>
        <v>20190304164432561</v>
      </c>
      <c r="B3150" t="str">
        <f>"1551689072553213"</f>
        <v>1551689072553213</v>
      </c>
      <c r="C3150" t="s">
        <v>40</v>
      </c>
      <c r="D3150">
        <v>4.795553</v>
      </c>
      <c r="E3150">
        <v>0.55685620000000002</v>
      </c>
      <c r="F3150" t="s">
        <v>41</v>
      </c>
      <c r="G3150">
        <v>-360.73110000000003</v>
      </c>
      <c r="H3150">
        <v>0.99368259999999997</v>
      </c>
      <c r="I3150">
        <v>213.37960000000001</v>
      </c>
      <c r="J3150">
        <v>-361.28100000000001</v>
      </c>
      <c r="K3150">
        <v>1.1103080000000001</v>
      </c>
      <c r="L3150">
        <v>213.3569</v>
      </c>
      <c r="M3150">
        <v>0.99938249999999995</v>
      </c>
      <c r="N3150">
        <v>-1.408585E-2</v>
      </c>
      <c r="O3150">
        <v>3.219238E-2</v>
      </c>
      <c r="P3150">
        <v>0.92177909999999996</v>
      </c>
      <c r="Q3150">
        <v>0.36200589999999999</v>
      </c>
      <c r="R3150">
        <v>0.13883509999999999</v>
      </c>
      <c r="S3150">
        <v>3.3843990000000002</v>
      </c>
      <c r="T3150">
        <v>-0.38041380000000002</v>
      </c>
      <c r="U3150">
        <v>0.12632750000000001</v>
      </c>
      <c r="V3150">
        <v>-0.1090183</v>
      </c>
      <c r="W3150">
        <v>0.37502970000000002</v>
      </c>
      <c r="X3150">
        <v>0.92058010000000001</v>
      </c>
      <c r="Y3150">
        <v>-5.2257049999999998E-3</v>
      </c>
      <c r="Z3150">
        <v>-2.823061E-3</v>
      </c>
      <c r="AA3150">
        <v>0.99998240000000005</v>
      </c>
      <c r="AB3150">
        <v>46</v>
      </c>
      <c r="AC3150">
        <v>0.54989999999997896</v>
      </c>
      <c r="AD3150">
        <v>-0.1166254</v>
      </c>
      <c r="AE3150">
        <v>2.2700000000014601E-2</v>
      </c>
      <c r="AF3150">
        <v>-4.7697107626165497E-3</v>
      </c>
      <c r="AG3150">
        <v>-0.1166254</v>
      </c>
      <c r="AH3150">
        <v>0.526695342618136</v>
      </c>
      <c r="AI3150">
        <v>102.484971890548</v>
      </c>
      <c r="AJ3150">
        <v>90.518851798750205</v>
      </c>
      <c r="AK3150">
        <v>0.53947401976513598</v>
      </c>
      <c r="AL3150">
        <v>67.973851349454904</v>
      </c>
      <c r="AM3150">
        <v>96.753711247713895</v>
      </c>
      <c r="AN3150">
        <v>0.99999999306649501</v>
      </c>
    </row>
    <row r="3151" spans="1:40" x14ac:dyDescent="0.25">
      <c r="A3151" t="str">
        <f>"20190304164432583"</f>
        <v>20190304164432583</v>
      </c>
      <c r="B3151" t="str">
        <f>"1551689072572733"</f>
        <v>1551689072572733</v>
      </c>
      <c r="C3151" t="s">
        <v>40</v>
      </c>
      <c r="D3151">
        <v>4.82517</v>
      </c>
      <c r="E3151">
        <v>0.55677469999999996</v>
      </c>
      <c r="F3151" t="s">
        <v>41</v>
      </c>
      <c r="G3151">
        <v>-360.31310000000002</v>
      </c>
      <c r="H3151">
        <v>1.0019690000000001</v>
      </c>
      <c r="I3151">
        <v>213.39250000000001</v>
      </c>
      <c r="J3151">
        <v>-360.82350000000002</v>
      </c>
      <c r="K3151">
        <v>1.110282</v>
      </c>
      <c r="L3151">
        <v>213.3716</v>
      </c>
      <c r="M3151">
        <v>0.99938519999999997</v>
      </c>
      <c r="N3151">
        <v>-1.4166430000000001E-2</v>
      </c>
      <c r="O3151">
        <v>3.2070220000000003E-2</v>
      </c>
      <c r="P3151">
        <v>0.92163510000000004</v>
      </c>
      <c r="Q3151">
        <v>0.3625814</v>
      </c>
      <c r="R3151">
        <v>0.13828760000000001</v>
      </c>
      <c r="S3151">
        <v>3.3845209999999999</v>
      </c>
      <c r="T3151">
        <v>-0.37885479999999999</v>
      </c>
      <c r="U3151">
        <v>0.1248474</v>
      </c>
      <c r="V3151">
        <v>-0.1085618</v>
      </c>
      <c r="W3151">
        <v>0.3756852</v>
      </c>
      <c r="X3151">
        <v>0.92036680000000004</v>
      </c>
      <c r="Y3151">
        <v>-4.9100430000000002E-3</v>
      </c>
      <c r="Z3151">
        <v>-2.8146339999999999E-3</v>
      </c>
      <c r="AA3151">
        <v>0.99998399999999998</v>
      </c>
      <c r="AB3151">
        <v>46</v>
      </c>
      <c r="AC3151">
        <v>0.51040000000000396</v>
      </c>
      <c r="AD3151">
        <v>-0.10831299999999899</v>
      </c>
      <c r="AE3151">
        <v>2.09000000000116E-2</v>
      </c>
      <c r="AF3151">
        <v>-4.3245389684143697E-3</v>
      </c>
      <c r="AG3151">
        <v>-0.10831299999999899</v>
      </c>
      <c r="AH3151">
        <v>0.488830628274185</v>
      </c>
      <c r="AI3151">
        <v>102.493030834743</v>
      </c>
      <c r="AJ3151">
        <v>90.506865472748203</v>
      </c>
      <c r="AK3151">
        <v>0.50070529330657598</v>
      </c>
      <c r="AL3151">
        <v>67.933332227112999</v>
      </c>
      <c r="AM3151">
        <v>96.727234999271801</v>
      </c>
      <c r="AN3151">
        <v>1.00000004023025</v>
      </c>
    </row>
    <row r="3152" spans="1:40" x14ac:dyDescent="0.25">
      <c r="A3152" t="str">
        <f>"20190304164432603"</f>
        <v>20190304164432603</v>
      </c>
      <c r="B3152" t="str">
        <f>"1551689072593229"</f>
        <v>1551689072593229</v>
      </c>
      <c r="C3152" t="s">
        <v>40</v>
      </c>
      <c r="D3152">
        <v>4.8268259999999996</v>
      </c>
      <c r="E3152">
        <v>0.55664179999999996</v>
      </c>
      <c r="F3152" t="s">
        <v>41</v>
      </c>
      <c r="G3152">
        <v>-359.89710000000002</v>
      </c>
      <c r="H3152">
        <v>1.0069859999999999</v>
      </c>
      <c r="I3152">
        <v>213.4049</v>
      </c>
      <c r="J3152">
        <v>-360.4008</v>
      </c>
      <c r="K3152">
        <v>1.1102479999999999</v>
      </c>
      <c r="L3152">
        <v>213.38499999999999</v>
      </c>
      <c r="M3152">
        <v>0.99938939999999998</v>
      </c>
      <c r="N3152">
        <v>-1.423137E-2</v>
      </c>
      <c r="O3152">
        <v>3.1912490000000002E-2</v>
      </c>
      <c r="P3152">
        <v>0.92143430000000004</v>
      </c>
      <c r="Q3152">
        <v>0.3633209</v>
      </c>
      <c r="R3152">
        <v>0.137684</v>
      </c>
      <c r="S3152">
        <v>3.3851619999999998</v>
      </c>
      <c r="T3152">
        <v>-0.37760389999999999</v>
      </c>
      <c r="U3152">
        <v>0.1234283</v>
      </c>
      <c r="V3152">
        <v>-0.10807559999999999</v>
      </c>
      <c r="W3152">
        <v>0.37649070000000001</v>
      </c>
      <c r="X3152">
        <v>0.92009479999999999</v>
      </c>
      <c r="Y3152">
        <v>-4.6421580000000004E-3</v>
      </c>
      <c r="Z3152">
        <v>-2.80248E-3</v>
      </c>
      <c r="AA3152">
        <v>0.99998529999999997</v>
      </c>
      <c r="AB3152">
        <v>46</v>
      </c>
      <c r="AC3152">
        <v>0.50369999999998005</v>
      </c>
      <c r="AD3152">
        <v>-0.10326199999999899</v>
      </c>
      <c r="AE3152">
        <v>1.9900000000006898E-2</v>
      </c>
      <c r="AF3152">
        <v>-3.6603183082585698E-3</v>
      </c>
      <c r="AG3152">
        <v>-0.10326199999999899</v>
      </c>
      <c r="AH3152">
        <v>0.48377805477798502</v>
      </c>
      <c r="AI3152">
        <v>102.048585506392</v>
      </c>
      <c r="AJ3152">
        <v>90.433497937555401</v>
      </c>
      <c r="AK3152">
        <v>0.49468944284155603</v>
      </c>
      <c r="AL3152">
        <v>67.883523071682504</v>
      </c>
      <c r="AM3152">
        <v>96.699342902515895</v>
      </c>
      <c r="AN3152">
        <v>1.0000000117444401</v>
      </c>
    </row>
    <row r="3153" spans="1:40" x14ac:dyDescent="0.25">
      <c r="A3153" t="str">
        <f>"20190304164432640"</f>
        <v>20190304164432640</v>
      </c>
      <c r="B3153" t="str">
        <f>"1551689072633245"</f>
        <v>1551689072633245</v>
      </c>
      <c r="C3153" t="s">
        <v>40</v>
      </c>
      <c r="D3153">
        <v>4.8373339999999896</v>
      </c>
      <c r="E3153">
        <v>0.55645169999999999</v>
      </c>
      <c r="F3153" t="s">
        <v>41</v>
      </c>
      <c r="G3153">
        <v>-359.483</v>
      </c>
      <c r="H3153">
        <v>1.008338</v>
      </c>
      <c r="I3153">
        <v>213.41800000000001</v>
      </c>
      <c r="J3153">
        <v>-359.67570000000001</v>
      </c>
      <c r="K3153">
        <v>1.110177</v>
      </c>
      <c r="L3153">
        <v>213.40780000000001</v>
      </c>
      <c r="M3153">
        <v>0.99940119999999999</v>
      </c>
      <c r="N3153">
        <v>-1.432398E-2</v>
      </c>
      <c r="O3153">
        <v>3.1499810000000003E-2</v>
      </c>
      <c r="P3153">
        <v>0.92128920000000003</v>
      </c>
      <c r="Q3153">
        <v>0.36375099999999999</v>
      </c>
      <c r="R3153">
        <v>0.13752029999999901</v>
      </c>
      <c r="S3153">
        <v>3.385742</v>
      </c>
      <c r="T3153">
        <v>-0.37605070000000002</v>
      </c>
      <c r="U3153">
        <v>0.122879</v>
      </c>
      <c r="V3153">
        <v>-0.10820970000000001</v>
      </c>
      <c r="W3153">
        <v>0.37702859999999999</v>
      </c>
      <c r="X3153">
        <v>0.91985879999999998</v>
      </c>
      <c r="Y3153">
        <v>-4.8816739999999999E-3</v>
      </c>
      <c r="Z3153">
        <v>-2.7305839999999999E-3</v>
      </c>
      <c r="AA3153">
        <v>0.9999844</v>
      </c>
      <c r="AB3153">
        <v>46</v>
      </c>
      <c r="AC3153">
        <v>0.19270000000000201</v>
      </c>
      <c r="AD3153">
        <v>-0.101839</v>
      </c>
      <c r="AE3153">
        <v>1.0199999999997499E-2</v>
      </c>
      <c r="AF3153">
        <v>-3.2258513098571101E-3</v>
      </c>
      <c r="AG3153">
        <v>-0.101839</v>
      </c>
      <c r="AH3153">
        <v>0.15089817193556099</v>
      </c>
      <c r="AI3153">
        <v>124.00877684519099</v>
      </c>
      <c r="AJ3153">
        <v>91.224663725416406</v>
      </c>
      <c r="AK3153">
        <v>0.18207648483856301</v>
      </c>
      <c r="AL3153">
        <v>67.850253041012195</v>
      </c>
      <c r="AM3153">
        <v>96.709284956170805</v>
      </c>
      <c r="AN3153">
        <v>1.0000000581647399</v>
      </c>
    </row>
    <row r="3154" spans="1:40" x14ac:dyDescent="0.25">
      <c r="A3154" t="str">
        <f>"20190304164432662"</f>
        <v>20190304164432662</v>
      </c>
      <c r="B3154" t="str">
        <f>"1551689072652769"</f>
        <v>1551689072652769</v>
      </c>
      <c r="C3154" t="s">
        <v>40</v>
      </c>
      <c r="D3154">
        <v>4.8251030000000004</v>
      </c>
      <c r="E3154">
        <v>0.55635279999999998</v>
      </c>
      <c r="F3154" t="s">
        <v>41</v>
      </c>
      <c r="G3154">
        <v>-358.6628</v>
      </c>
      <c r="H3154">
        <v>0.99676050000000005</v>
      </c>
      <c r="I3154">
        <v>213.44540000000001</v>
      </c>
      <c r="J3154">
        <v>-359.21280000000002</v>
      </c>
      <c r="K3154">
        <v>1.110117</v>
      </c>
      <c r="L3154">
        <v>213.4221</v>
      </c>
      <c r="M3154">
        <v>0.99941239999999998</v>
      </c>
      <c r="N3154">
        <v>-1.4372289999999999E-2</v>
      </c>
      <c r="O3154">
        <v>3.1120399999999999E-2</v>
      </c>
      <c r="P3154">
        <v>0.92113579999999995</v>
      </c>
      <c r="Q3154">
        <v>0.36395040000000001</v>
      </c>
      <c r="R3154">
        <v>0.13801859999999999</v>
      </c>
      <c r="S3154">
        <v>3.3872379999999902</v>
      </c>
      <c r="T3154">
        <v>-0.37926860000000001</v>
      </c>
      <c r="U3154">
        <v>0.12599179999999999</v>
      </c>
      <c r="V3154">
        <v>-0.10899010000000001</v>
      </c>
      <c r="W3154">
        <v>0.37729180000000001</v>
      </c>
      <c r="X3154">
        <v>0.91965870000000005</v>
      </c>
      <c r="Y3154">
        <v>-6.1542979999999999E-3</v>
      </c>
      <c r="Z3154">
        <v>-2.6377800000000002E-3</v>
      </c>
      <c r="AA3154">
        <v>0.99997760000000002</v>
      </c>
      <c r="AB3154">
        <v>46</v>
      </c>
      <c r="AC3154">
        <v>0.55000000000001104</v>
      </c>
      <c r="AD3154">
        <v>-0.1133565</v>
      </c>
      <c r="AE3154">
        <v>2.3300000000006E-2</v>
      </c>
      <c r="AF3154">
        <v>-5.9197164815720099E-3</v>
      </c>
      <c r="AG3154">
        <v>-0.1133565</v>
      </c>
      <c r="AH3154">
        <v>0.52806748671667603</v>
      </c>
      <c r="AI3154">
        <v>102.11467934485999</v>
      </c>
      <c r="AJ3154">
        <v>90.642267460434198</v>
      </c>
      <c r="AK3154">
        <v>0.54012962301908496</v>
      </c>
      <c r="AL3154">
        <v>67.833969723282905</v>
      </c>
      <c r="AM3154">
        <v>96.758682597944301</v>
      </c>
      <c r="AN3154">
        <v>1.00000003436546</v>
      </c>
    </row>
    <row r="3155" spans="1:40" x14ac:dyDescent="0.25">
      <c r="A3155" t="str">
        <f>"20190304164432683"</f>
        <v>20190304164432683</v>
      </c>
      <c r="B3155" t="str">
        <f>"1551689072673261"</f>
        <v>1551689072673261</v>
      </c>
      <c r="C3155" t="s">
        <v>40</v>
      </c>
      <c r="D3155">
        <v>4.8373220000000003</v>
      </c>
      <c r="E3155">
        <v>0.55628159999999904</v>
      </c>
      <c r="F3155" t="s">
        <v>41</v>
      </c>
      <c r="G3155">
        <v>-358.24759999999998</v>
      </c>
      <c r="H3155">
        <v>1.0020990000000001</v>
      </c>
      <c r="I3155">
        <v>213.45840000000001</v>
      </c>
      <c r="J3155">
        <v>-358.75889999999998</v>
      </c>
      <c r="K3155">
        <v>1.1100350000000001</v>
      </c>
      <c r="L3155">
        <v>213.4359</v>
      </c>
      <c r="M3155">
        <v>0.99942600000000004</v>
      </c>
      <c r="N3155">
        <v>-1.441304E-2</v>
      </c>
      <c r="O3155">
        <v>3.0660090000000001E-2</v>
      </c>
      <c r="P3155">
        <v>0.92106089999999996</v>
      </c>
      <c r="Q3155">
        <v>0.36399169999999997</v>
      </c>
      <c r="R3155">
        <v>0.13840829999999901</v>
      </c>
      <c r="S3155">
        <v>3.3873899999999999</v>
      </c>
      <c r="T3155">
        <v>-0.37917079999999997</v>
      </c>
      <c r="U3155">
        <v>0.12840270000000001</v>
      </c>
      <c r="V3155">
        <v>-0.1097289</v>
      </c>
      <c r="W3155">
        <v>0.37739200000000001</v>
      </c>
      <c r="X3155">
        <v>0.91952970000000001</v>
      </c>
      <c r="Y3155">
        <v>-7.3133169999999997E-3</v>
      </c>
      <c r="Z3155">
        <v>-2.5176769999999998E-3</v>
      </c>
      <c r="AA3155">
        <v>0.99997009999999997</v>
      </c>
      <c r="AB3155">
        <v>46</v>
      </c>
      <c r="AC3155">
        <v>0.51130000000000497</v>
      </c>
      <c r="AD3155">
        <v>-0.107936</v>
      </c>
      <c r="AE3155">
        <v>2.2500000000007899E-2</v>
      </c>
      <c r="AF3155">
        <v>-6.5212393765789198E-3</v>
      </c>
      <c r="AG3155">
        <v>-0.107936</v>
      </c>
      <c r="AH3155">
        <v>0.48995739100611602</v>
      </c>
      <c r="AI3155">
        <v>102.422566657055</v>
      </c>
      <c r="AJ3155">
        <v>90.762550864904696</v>
      </c>
      <c r="AK3155">
        <v>0.50174789651828799</v>
      </c>
      <c r="AL3155">
        <v>67.827769853391999</v>
      </c>
      <c r="AM3155">
        <v>96.805014481727596</v>
      </c>
      <c r="AN3155">
        <v>1.00000001117065</v>
      </c>
    </row>
    <row r="3156" spans="1:40" x14ac:dyDescent="0.25">
      <c r="A3156" t="str">
        <f>"20190304164432705"</f>
        <v>20190304164432705</v>
      </c>
      <c r="B3156" t="str">
        <f>"1551689072692781"</f>
        <v>1551689072692781</v>
      </c>
      <c r="C3156" t="s">
        <v>40</v>
      </c>
      <c r="D3156">
        <v>4.8348399999999998</v>
      </c>
      <c r="E3156">
        <v>0.55601109999999998</v>
      </c>
      <c r="F3156" t="s">
        <v>41</v>
      </c>
      <c r="G3156">
        <v>-357.83359999999999</v>
      </c>
      <c r="H3156">
        <v>1.0056830000000001</v>
      </c>
      <c r="I3156">
        <v>213.47149999999999</v>
      </c>
      <c r="J3156">
        <v>-358.3211</v>
      </c>
      <c r="K3156">
        <v>1.109955</v>
      </c>
      <c r="L3156">
        <v>213.44890000000001</v>
      </c>
      <c r="M3156">
        <v>0.9994421</v>
      </c>
      <c r="N3156">
        <v>-1.444717E-2</v>
      </c>
      <c r="O3156">
        <v>3.0115949999999999E-2</v>
      </c>
      <c r="P3156">
        <v>0.920821</v>
      </c>
      <c r="Q3156">
        <v>0.3647415</v>
      </c>
      <c r="R3156">
        <v>0.13803089999999901</v>
      </c>
      <c r="S3156">
        <v>3.388458</v>
      </c>
      <c r="T3156">
        <v>-0.38212669999999999</v>
      </c>
      <c r="U3156">
        <v>0.1304321</v>
      </c>
      <c r="V3156">
        <v>-0.109777</v>
      </c>
      <c r="W3156">
        <v>0.37819380000000002</v>
      </c>
      <c r="X3156">
        <v>0.91919450000000003</v>
      </c>
      <c r="Y3156">
        <v>-8.4348630000000008E-3</v>
      </c>
      <c r="Z3156">
        <v>-2.4144449999999999E-3</v>
      </c>
      <c r="AA3156">
        <v>0.99996149999999995</v>
      </c>
      <c r="AB3156">
        <v>46</v>
      </c>
      <c r="AC3156">
        <v>0.48750000000001098</v>
      </c>
      <c r="AD3156">
        <v>-0.104272</v>
      </c>
      <c r="AE3156">
        <v>2.2599999999982801E-2</v>
      </c>
      <c r="AF3156">
        <v>-7.5614975119841204E-3</v>
      </c>
      <c r="AG3156">
        <v>-0.104272</v>
      </c>
      <c r="AH3156">
        <v>0.46665603443715897</v>
      </c>
      <c r="AI3156">
        <v>102.593957963089</v>
      </c>
      <c r="AJ3156">
        <v>90.928315400410597</v>
      </c>
      <c r="AK3156">
        <v>0.47822346314796998</v>
      </c>
      <c r="AL3156">
        <v>67.778153541933904</v>
      </c>
      <c r="AM3156">
        <v>96.810428817154602</v>
      </c>
      <c r="AN3156">
        <v>1.00000003445884</v>
      </c>
    </row>
    <row r="3157" spans="1:40" x14ac:dyDescent="0.25">
      <c r="A3157" t="str">
        <f>"20190304164432726"</f>
        <v>20190304164432726</v>
      </c>
      <c r="B3157" t="str">
        <f>"1551689072723038"</f>
        <v>1551689072723038</v>
      </c>
      <c r="C3157" t="s">
        <v>40</v>
      </c>
      <c r="D3157">
        <v>4.8321769999999997</v>
      </c>
      <c r="E3157">
        <v>0.55583570000000004</v>
      </c>
      <c r="F3157" t="s">
        <v>41</v>
      </c>
      <c r="G3157">
        <v>-357.4205</v>
      </c>
      <c r="H3157">
        <v>1.007959</v>
      </c>
      <c r="I3157">
        <v>213.48400000000001</v>
      </c>
      <c r="J3157">
        <v>-357.86649999999997</v>
      </c>
      <c r="K3157">
        <v>1.1098650000000001</v>
      </c>
      <c r="L3157">
        <v>213.46209999999999</v>
      </c>
      <c r="M3157">
        <v>0.99946170000000001</v>
      </c>
      <c r="N3157">
        <v>-1.4477830000000001E-2</v>
      </c>
      <c r="O3157">
        <v>2.9441930000000002E-2</v>
      </c>
      <c r="P3157">
        <v>0.92088130000000001</v>
      </c>
      <c r="Q3157">
        <v>0.36460490000000001</v>
      </c>
      <c r="R3157">
        <v>0.13798940000000001</v>
      </c>
      <c r="S3157">
        <v>3.3900450000000002</v>
      </c>
      <c r="T3157">
        <v>-0.38399169999999999</v>
      </c>
      <c r="U3157">
        <v>0.1334534</v>
      </c>
      <c r="V3157">
        <v>-0.1102612</v>
      </c>
      <c r="W3157">
        <v>0.3781139</v>
      </c>
      <c r="X3157">
        <v>0.91916940000000003</v>
      </c>
      <c r="Y3157">
        <v>-9.967577E-3</v>
      </c>
      <c r="Z3157">
        <v>-2.2621709999999999E-3</v>
      </c>
      <c r="AA3157">
        <v>0.99994780000000005</v>
      </c>
      <c r="AB3157">
        <v>46</v>
      </c>
      <c r="AC3157">
        <v>0.44599999999996898</v>
      </c>
      <c r="AD3157">
        <v>-0.101905999999999</v>
      </c>
      <c r="AE3157">
        <v>2.1900000000016399E-2</v>
      </c>
      <c r="AF3157">
        <v>-8.3244761873536195E-3</v>
      </c>
      <c r="AG3157">
        <v>-0.101905999999999</v>
      </c>
      <c r="AH3157">
        <v>0.424350621917159</v>
      </c>
      <c r="AI3157">
        <v>103.501126852933</v>
      </c>
      <c r="AJ3157">
        <v>91.123825817278799</v>
      </c>
      <c r="AK3157">
        <v>0.43649465066741999</v>
      </c>
      <c r="AL3157">
        <v>67.783098343094494</v>
      </c>
      <c r="AM3157">
        <v>96.840369007364302</v>
      </c>
      <c r="AN3157">
        <v>1.0000000197475001</v>
      </c>
    </row>
    <row r="3158" spans="1:40" x14ac:dyDescent="0.25">
      <c r="A3158" t="str">
        <f>"20190304164432751"</f>
        <v>20190304164432751</v>
      </c>
      <c r="B3158" t="str">
        <f>"1551689072743533"</f>
        <v>1551689072743533</v>
      </c>
      <c r="C3158" t="s">
        <v>40</v>
      </c>
      <c r="D3158">
        <v>4.7995449999999904</v>
      </c>
      <c r="E3158">
        <v>0.55573349999999999</v>
      </c>
      <c r="F3158" t="s">
        <v>41</v>
      </c>
      <c r="G3158">
        <v>-357.00689999999997</v>
      </c>
      <c r="H3158">
        <v>1.0117969999999901</v>
      </c>
      <c r="I3158">
        <v>213.4965</v>
      </c>
      <c r="J3158">
        <v>-357.37549999999999</v>
      </c>
      <c r="K3158">
        <v>1.109764</v>
      </c>
      <c r="L3158">
        <v>213.47579999999999</v>
      </c>
      <c r="M3158">
        <v>0.99948579999999998</v>
      </c>
      <c r="N3158">
        <v>-1.4506450000000001E-2</v>
      </c>
      <c r="O3158">
        <v>2.8594339999999999E-2</v>
      </c>
      <c r="P3158">
        <v>0.92065330000000001</v>
      </c>
      <c r="Q3158">
        <v>0.36519940000000001</v>
      </c>
      <c r="R3158">
        <v>0.1379377</v>
      </c>
      <c r="S3158">
        <v>3.3905029999999998</v>
      </c>
      <c r="T3158">
        <v>-0.38680579999999998</v>
      </c>
      <c r="U3158">
        <v>0.13604740000000001</v>
      </c>
      <c r="V3158">
        <v>-0.1108894</v>
      </c>
      <c r="W3158">
        <v>0.37876320000000002</v>
      </c>
      <c r="X3158">
        <v>0.91882640000000004</v>
      </c>
      <c r="Y3158">
        <v>-1.155954E-2</v>
      </c>
      <c r="Z3158">
        <v>-2.0947790000000002E-3</v>
      </c>
      <c r="AA3158">
        <v>0.99993100000000001</v>
      </c>
      <c r="AB3158">
        <v>46</v>
      </c>
      <c r="AC3158">
        <v>0.36860000000001403</v>
      </c>
      <c r="AD3158">
        <v>-9.7967000000000096E-2</v>
      </c>
      <c r="AE3158">
        <v>2.0700000000004999E-2</v>
      </c>
      <c r="AF3158">
        <v>-9.4827947377749897E-3</v>
      </c>
      <c r="AG3158">
        <v>-9.7967000000000096E-2</v>
      </c>
      <c r="AH3158">
        <v>0.34476376276774301</v>
      </c>
      <c r="AI3158">
        <v>105.857169139936</v>
      </c>
      <c r="AJ3158">
        <v>91.575534387809498</v>
      </c>
      <c r="AK3158">
        <v>0.35853801556154602</v>
      </c>
      <c r="AL3158">
        <v>67.742906253130201</v>
      </c>
      <c r="AM3158">
        <v>96.881512115426801</v>
      </c>
      <c r="AN3158">
        <v>0.99999998702177995</v>
      </c>
    </row>
    <row r="3159" spans="1:40" x14ac:dyDescent="0.25">
      <c r="A3159" t="str">
        <f>"20190304164432772"</f>
        <v>20190304164432772</v>
      </c>
      <c r="B3159" t="str">
        <f>"1551689072763053"</f>
        <v>1551689072763053</v>
      </c>
      <c r="C3159" t="s">
        <v>40</v>
      </c>
      <c r="D3159">
        <v>4.8000780000000001</v>
      </c>
      <c r="E3159">
        <v>0.55575140000000001</v>
      </c>
      <c r="F3159" t="s">
        <v>41</v>
      </c>
      <c r="G3159">
        <v>-356.59109999999998</v>
      </c>
      <c r="H3159">
        <v>1.0206059999999999</v>
      </c>
      <c r="I3159">
        <v>213.50649999999999</v>
      </c>
      <c r="J3159">
        <v>-356.93040000000002</v>
      </c>
      <c r="K3159">
        <v>1.109661</v>
      </c>
      <c r="L3159">
        <v>213.4879</v>
      </c>
      <c r="M3159">
        <v>0.99951000000000001</v>
      </c>
      <c r="N3159">
        <v>-1.452845E-2</v>
      </c>
      <c r="O3159">
        <v>2.7724579999999999E-2</v>
      </c>
      <c r="P3159">
        <v>0.92070350000000001</v>
      </c>
      <c r="Q3159">
        <v>0.3651547</v>
      </c>
      <c r="R3159">
        <v>0.13772100000000001</v>
      </c>
      <c r="S3159">
        <v>3.3915709999999999</v>
      </c>
      <c r="T3159">
        <v>-0.38553300000000001</v>
      </c>
      <c r="U3159">
        <v>0.13323969999999999</v>
      </c>
      <c r="V3159">
        <v>-0.1113768</v>
      </c>
      <c r="W3159">
        <v>0.37876799999999999</v>
      </c>
      <c r="X3159">
        <v>0.91876550000000001</v>
      </c>
      <c r="Y3159">
        <v>-1.15855E-2</v>
      </c>
      <c r="Z3159">
        <v>-1.9972670000000001E-3</v>
      </c>
      <c r="AA3159">
        <v>0.99993089999999996</v>
      </c>
      <c r="AB3159">
        <v>46</v>
      </c>
      <c r="AC3159">
        <v>0.33930000000003602</v>
      </c>
      <c r="AD3159">
        <v>-8.9055000000000106E-2</v>
      </c>
      <c r="AE3159">
        <v>1.8599999999992099E-2</v>
      </c>
      <c r="AF3159">
        <v>-8.5946069267200803E-3</v>
      </c>
      <c r="AG3159">
        <v>-8.9055000000000106E-2</v>
      </c>
      <c r="AH3159">
        <v>0.31785426831156499</v>
      </c>
      <c r="AI3159">
        <v>105.64613557403599</v>
      </c>
      <c r="AJ3159">
        <v>91.548869383059895</v>
      </c>
      <c r="AK3159">
        <v>0.33020599052274202</v>
      </c>
      <c r="AL3159">
        <v>67.742609788582797</v>
      </c>
      <c r="AM3159">
        <v>96.911920670420997</v>
      </c>
      <c r="AN3159">
        <v>1.0000000166962399</v>
      </c>
    </row>
    <row r="3160" spans="1:40" x14ac:dyDescent="0.25">
      <c r="A3160" t="str">
        <f>"20190304164432794"</f>
        <v>20190304164432794</v>
      </c>
      <c r="B3160" t="str">
        <f>"1551689072783549"</f>
        <v>1551689072783549</v>
      </c>
      <c r="C3160" t="s">
        <v>40</v>
      </c>
      <c r="D3160">
        <v>4.7944719999999998</v>
      </c>
      <c r="E3160">
        <v>0.555697</v>
      </c>
      <c r="F3160" t="s">
        <v>41</v>
      </c>
      <c r="G3160">
        <v>-356.178</v>
      </c>
      <c r="H3160">
        <v>1.0242549999999999</v>
      </c>
      <c r="I3160">
        <v>213.51669999999999</v>
      </c>
      <c r="J3160">
        <v>-356.4991</v>
      </c>
      <c r="K3160">
        <v>1.1095699999999999</v>
      </c>
      <c r="L3160">
        <v>213.4992</v>
      </c>
      <c r="M3160">
        <v>0.9995349</v>
      </c>
      <c r="N3160">
        <v>-1.454682E-2</v>
      </c>
      <c r="O3160">
        <v>2.6804169999999999E-2</v>
      </c>
      <c r="P3160">
        <v>0.92081590000000002</v>
      </c>
      <c r="Q3160">
        <v>0.3653015</v>
      </c>
      <c r="R3160">
        <v>0.1365767</v>
      </c>
      <c r="S3160">
        <v>3.391724</v>
      </c>
      <c r="T3160">
        <v>-0.38505339999999999</v>
      </c>
      <c r="U3160">
        <v>0.12953190000000001</v>
      </c>
      <c r="V3160">
        <v>-0.1109908</v>
      </c>
      <c r="W3160">
        <v>0.37895689999999999</v>
      </c>
      <c r="X3160">
        <v>0.9187343</v>
      </c>
      <c r="Y3160">
        <v>-1.1409549999999999E-2</v>
      </c>
      <c r="Z3160">
        <v>-1.9140559999999999E-3</v>
      </c>
      <c r="AA3160">
        <v>0.99993310000000002</v>
      </c>
      <c r="AB3160">
        <v>46</v>
      </c>
      <c r="AC3160">
        <v>0.32109999999994399</v>
      </c>
      <c r="AD3160">
        <v>-8.5315000000000196E-2</v>
      </c>
      <c r="AE3160">
        <v>1.7499999999984001E-2</v>
      </c>
      <c r="AF3160">
        <v>-8.3016661261145399E-3</v>
      </c>
      <c r="AG3160">
        <v>-8.5315000000000196E-2</v>
      </c>
      <c r="AH3160">
        <v>0.30031589616718202</v>
      </c>
      <c r="AI3160">
        <v>105.85325901575</v>
      </c>
      <c r="AJ3160">
        <v>91.583430443633404</v>
      </c>
      <c r="AK3160">
        <v>0.31230946891851902</v>
      </c>
      <c r="AL3160">
        <v>67.730914440918298</v>
      </c>
      <c r="AM3160">
        <v>96.888428156253397</v>
      </c>
      <c r="AN3160">
        <v>1.00000000186936</v>
      </c>
    </row>
    <row r="3161" spans="1:40" x14ac:dyDescent="0.25">
      <c r="A3161" t="str">
        <f>"20190304164432817"</f>
        <v>20190304164432817</v>
      </c>
      <c r="B3161" t="str">
        <f>"1551689072812829"</f>
        <v>1551689072812829</v>
      </c>
      <c r="C3161" t="s">
        <v>40</v>
      </c>
      <c r="D3161">
        <v>4.8053509999999999</v>
      </c>
      <c r="E3161">
        <v>0.55563379999999996</v>
      </c>
      <c r="F3161" t="s">
        <v>41</v>
      </c>
      <c r="G3161">
        <v>-355.76580000000001</v>
      </c>
      <c r="H3161">
        <v>1.026311</v>
      </c>
      <c r="I3161">
        <v>213.52590000000001</v>
      </c>
      <c r="J3161">
        <v>-356.02179999999998</v>
      </c>
      <c r="K3161">
        <v>1.1094869999999999</v>
      </c>
      <c r="L3161">
        <v>213.5111</v>
      </c>
      <c r="M3161">
        <v>0.99956319999999999</v>
      </c>
      <c r="N3161">
        <v>-1.456351E-2</v>
      </c>
      <c r="O3161">
        <v>2.5714190000000001E-2</v>
      </c>
      <c r="P3161">
        <v>0.92067690000000002</v>
      </c>
      <c r="Q3161">
        <v>0.36629270000000003</v>
      </c>
      <c r="R3161">
        <v>0.1348461</v>
      </c>
      <c r="S3161">
        <v>3.392242</v>
      </c>
      <c r="T3161">
        <v>-0.38524849999999999</v>
      </c>
      <c r="U3161">
        <v>0.12518309999999999</v>
      </c>
      <c r="V3161">
        <v>-0.1101828</v>
      </c>
      <c r="W3161">
        <v>0.3799826</v>
      </c>
      <c r="X3161">
        <v>0.91840790000000005</v>
      </c>
      <c r="Y3161">
        <v>-1.121016E-2</v>
      </c>
      <c r="Z3161">
        <v>-1.8197039999999999E-3</v>
      </c>
      <c r="AA3161">
        <v>0.99993549999999998</v>
      </c>
      <c r="AB3161">
        <v>46</v>
      </c>
      <c r="AC3161">
        <v>0.25599999999997097</v>
      </c>
      <c r="AD3161">
        <v>-8.3176000000000097E-2</v>
      </c>
      <c r="AE3161">
        <v>1.48000000000081E-2</v>
      </c>
      <c r="AF3161">
        <v>-7.4298603715200204E-3</v>
      </c>
      <c r="AG3161">
        <v>-8.3176000000000097E-2</v>
      </c>
      <c r="AH3161">
        <v>0.23189745009145499</v>
      </c>
      <c r="AI3161">
        <v>109.72234204186699</v>
      </c>
      <c r="AJ3161">
        <v>91.8350959332477</v>
      </c>
      <c r="AK3161">
        <v>0.24647490168384101</v>
      </c>
      <c r="AL3161">
        <v>67.667396269507606</v>
      </c>
      <c r="AM3161">
        <v>96.841165295346102</v>
      </c>
      <c r="AN3161">
        <v>1.0000000482505</v>
      </c>
    </row>
    <row r="3162" spans="1:40" x14ac:dyDescent="0.25">
      <c r="A3162" t="str">
        <f>"20190304164432839"</f>
        <v>20190304164432839</v>
      </c>
      <c r="B3162" t="str">
        <f>"1551689072833325"</f>
        <v>1551689072833325</v>
      </c>
      <c r="C3162" t="s">
        <v>40</v>
      </c>
      <c r="D3162">
        <v>4.7903129999999896</v>
      </c>
      <c r="E3162">
        <v>0.55563070000000003</v>
      </c>
      <c r="F3162" t="s">
        <v>41</v>
      </c>
      <c r="G3162">
        <v>-354.96269999999998</v>
      </c>
      <c r="H3162">
        <v>0.98979930000000005</v>
      </c>
      <c r="I3162">
        <v>213.54900000000001</v>
      </c>
      <c r="J3162">
        <v>-355.55579999999998</v>
      </c>
      <c r="K3162">
        <v>1.1094250000000001</v>
      </c>
      <c r="L3162">
        <v>213.5222</v>
      </c>
      <c r="M3162">
        <v>0.99959109999999995</v>
      </c>
      <c r="N3162">
        <v>-1.457717E-2</v>
      </c>
      <c r="O3162">
        <v>2.4601379999999999E-2</v>
      </c>
      <c r="P3162">
        <v>0.92009240000000003</v>
      </c>
      <c r="Q3162">
        <v>0.3681738</v>
      </c>
      <c r="R3162">
        <v>0.13370960000000001</v>
      </c>
      <c r="S3162">
        <v>3.3932190000000002</v>
      </c>
      <c r="T3162">
        <v>-0.38349240000000001</v>
      </c>
      <c r="U3162">
        <v>0.1216431</v>
      </c>
      <c r="V3162">
        <v>-0.11001320000000001</v>
      </c>
      <c r="W3162">
        <v>0.38188549999999999</v>
      </c>
      <c r="X3162">
        <v>0.91763859999999997</v>
      </c>
      <c r="Y3162">
        <v>-1.126451E-2</v>
      </c>
      <c r="Z3162">
        <v>-1.6958159999999999E-3</v>
      </c>
      <c r="AA3162">
        <v>0.99993509999999997</v>
      </c>
      <c r="AB3162">
        <v>46</v>
      </c>
      <c r="AC3162">
        <v>0.59309999999999197</v>
      </c>
      <c r="AD3162">
        <v>-0.1196257</v>
      </c>
      <c r="AE3162">
        <v>2.6800000000008602E-2</v>
      </c>
      <c r="AF3162">
        <v>-1.1723312700737299E-2</v>
      </c>
      <c r="AG3162">
        <v>-0.1196257</v>
      </c>
      <c r="AH3162">
        <v>0.57042171873839997</v>
      </c>
      <c r="AI3162">
        <v>101.84168067432999</v>
      </c>
      <c r="AJ3162">
        <v>91.177377666475707</v>
      </c>
      <c r="AK3162">
        <v>0.58294826646079001</v>
      </c>
      <c r="AL3162">
        <v>67.549476601684503</v>
      </c>
      <c r="AM3162">
        <v>96.836406887910499</v>
      </c>
      <c r="AN3162">
        <v>1.0000000197472201</v>
      </c>
    </row>
    <row r="3163" spans="1:40" x14ac:dyDescent="0.25">
      <c r="A3163" t="str">
        <f>"20190304164432861"</f>
        <v>20190304164432861</v>
      </c>
      <c r="B3163" t="str">
        <f>"1551689072852845"</f>
        <v>1551689072852845</v>
      </c>
      <c r="C3163" t="s">
        <v>40</v>
      </c>
      <c r="D3163">
        <v>4.8419489999999996</v>
      </c>
      <c r="E3163">
        <v>0.55568439999999997</v>
      </c>
      <c r="F3163" t="s">
        <v>41</v>
      </c>
      <c r="G3163">
        <v>-354.5489</v>
      </c>
      <c r="H3163">
        <v>0.99760139999999997</v>
      </c>
      <c r="I3163">
        <v>213.55680000000001</v>
      </c>
      <c r="J3163">
        <v>-355.09899999999999</v>
      </c>
      <c r="K3163">
        <v>1.109378</v>
      </c>
      <c r="L3163">
        <v>213.5326</v>
      </c>
      <c r="M3163">
        <v>0.99961789999999995</v>
      </c>
      <c r="N3163">
        <v>-1.4588210000000001E-2</v>
      </c>
      <c r="O3163">
        <v>2.3478309999999999E-2</v>
      </c>
      <c r="P3163">
        <v>0.91984549999999998</v>
      </c>
      <c r="Q3163">
        <v>0.36925720000000001</v>
      </c>
      <c r="R3163">
        <v>0.13241359999999999</v>
      </c>
      <c r="S3163">
        <v>3.394409</v>
      </c>
      <c r="T3163">
        <v>-0.37697019999999998</v>
      </c>
      <c r="U3163">
        <v>0.1169586</v>
      </c>
      <c r="V3163">
        <v>-0.10969859999999999</v>
      </c>
      <c r="W3163">
        <v>0.38298959999999999</v>
      </c>
      <c r="X3163">
        <v>0.91721600000000003</v>
      </c>
      <c r="Y3163">
        <v>-1.099174E-2</v>
      </c>
      <c r="Z3163">
        <v>-1.567864E-3</v>
      </c>
      <c r="AA3163">
        <v>0.99993840000000001</v>
      </c>
      <c r="AB3163">
        <v>46</v>
      </c>
      <c r="AC3163">
        <v>0.55009999999998604</v>
      </c>
      <c r="AD3163">
        <v>-0.111776599999999</v>
      </c>
      <c r="AE3163">
        <v>2.42000000000075E-2</v>
      </c>
      <c r="AF3163">
        <v>-1.08302449204652E-2</v>
      </c>
      <c r="AG3163">
        <v>-0.111776599999999</v>
      </c>
      <c r="AH3163">
        <v>0.52872884416730004</v>
      </c>
      <c r="AI3163">
        <v>101.93449649167199</v>
      </c>
      <c r="AJ3163">
        <v>91.173456995234901</v>
      </c>
      <c r="AK3163">
        <v>0.54052335117651196</v>
      </c>
      <c r="AL3163">
        <v>67.481011335265904</v>
      </c>
      <c r="AM3163">
        <v>96.820152667948605</v>
      </c>
      <c r="AN3163">
        <v>1.0000000036030601</v>
      </c>
    </row>
    <row r="3164" spans="1:40" x14ac:dyDescent="0.25">
      <c r="A3164" t="str">
        <f>"20190304164432885"</f>
        <v>20190304164432885</v>
      </c>
      <c r="B3164" t="str">
        <f>"1551689072873341"</f>
        <v>1551689072873341</v>
      </c>
      <c r="C3164" t="s">
        <v>40</v>
      </c>
      <c r="D3164">
        <v>4.8677789999999996</v>
      </c>
      <c r="E3164">
        <v>0.55586459999999904</v>
      </c>
      <c r="F3164" t="s">
        <v>41</v>
      </c>
      <c r="G3164">
        <v>-354.1361</v>
      </c>
      <c r="H3164">
        <v>1.0036889999999901</v>
      </c>
      <c r="I3164">
        <v>213.56379999999999</v>
      </c>
      <c r="J3164">
        <v>-354.63069999999999</v>
      </c>
      <c r="K3164">
        <v>1.109324</v>
      </c>
      <c r="L3164">
        <v>213.5427</v>
      </c>
      <c r="M3164">
        <v>0.9996448</v>
      </c>
      <c r="N3164">
        <v>-1.459735E-2</v>
      </c>
      <c r="O3164">
        <v>2.2306869999999999E-2</v>
      </c>
      <c r="P3164">
        <v>0.91975499999999999</v>
      </c>
      <c r="Q3164">
        <v>0.36986550000000001</v>
      </c>
      <c r="R3164">
        <v>0.1313405</v>
      </c>
      <c r="S3164">
        <v>3.3951419999999999</v>
      </c>
      <c r="T3164">
        <v>-0.3726932</v>
      </c>
      <c r="U3164">
        <v>0.1104431</v>
      </c>
      <c r="V3164">
        <v>-0.109657199999999</v>
      </c>
      <c r="W3164">
        <v>0.38361669999999998</v>
      </c>
      <c r="X3164">
        <v>0.91695890000000002</v>
      </c>
      <c r="Y3164">
        <v>-1.0237929999999999E-2</v>
      </c>
      <c r="Z3164">
        <v>-1.4804849999999999E-3</v>
      </c>
      <c r="AA3164">
        <v>0.99994649999999996</v>
      </c>
      <c r="AB3164">
        <v>46</v>
      </c>
      <c r="AC3164">
        <v>0.49459999999999099</v>
      </c>
      <c r="AD3164">
        <v>-0.10563500000000001</v>
      </c>
      <c r="AE3164">
        <v>2.1099999999989901E-2</v>
      </c>
      <c r="AF3164">
        <v>-9.6224660795833604E-3</v>
      </c>
      <c r="AG3164">
        <v>-0.10563500000000001</v>
      </c>
      <c r="AH3164">
        <v>0.473393043680503</v>
      </c>
      <c r="AI3164">
        <v>102.576632340348</v>
      </c>
      <c r="AJ3164">
        <v>91.164467434513497</v>
      </c>
      <c r="AK3164">
        <v>0.48513123882465398</v>
      </c>
      <c r="AL3164">
        <v>67.442111049568695</v>
      </c>
      <c r="AM3164">
        <v>96.819496531724099</v>
      </c>
      <c r="AN3164">
        <v>1.0000000491599601</v>
      </c>
    </row>
    <row r="3165" spans="1:40" x14ac:dyDescent="0.25">
      <c r="A3165" t="str">
        <f>"20190304164432906"</f>
        <v>20190304164432906</v>
      </c>
      <c r="B3165" t="str">
        <f>"1551689072903597"</f>
        <v>1551689072903597</v>
      </c>
      <c r="C3165" t="s">
        <v>40</v>
      </c>
      <c r="D3165">
        <v>4.8418809999999999</v>
      </c>
      <c r="E3165">
        <v>0.55615740000000002</v>
      </c>
      <c r="F3165" t="s">
        <v>41</v>
      </c>
      <c r="G3165">
        <v>-353.72329999999999</v>
      </c>
      <c r="H3165">
        <v>1.0104919999999999</v>
      </c>
      <c r="I3165">
        <v>213.57040000000001</v>
      </c>
      <c r="J3165">
        <v>-354.18799999999999</v>
      </c>
      <c r="K3165">
        <v>1.109283</v>
      </c>
      <c r="L3165">
        <v>213.55179999999999</v>
      </c>
      <c r="M3165">
        <v>0.99966900000000003</v>
      </c>
      <c r="N3165">
        <v>-1.4604310000000001E-2</v>
      </c>
      <c r="O3165">
        <v>2.1189429999999999E-2</v>
      </c>
      <c r="P3165">
        <v>0.91995269999999996</v>
      </c>
      <c r="Q3165">
        <v>0.36977199999999999</v>
      </c>
      <c r="R3165">
        <v>0.13021559999999999</v>
      </c>
      <c r="S3165">
        <v>3.3956909999999998</v>
      </c>
      <c r="T3165">
        <v>-0.36994529999999998</v>
      </c>
      <c r="U3165">
        <v>0.1036682</v>
      </c>
      <c r="V3165">
        <v>-0.1095192</v>
      </c>
      <c r="W3165">
        <v>0.38354139999999998</v>
      </c>
      <c r="X3165">
        <v>0.91700689999999996</v>
      </c>
      <c r="Y3165">
        <v>-9.3575640000000005E-3</v>
      </c>
      <c r="Z3165">
        <v>-1.4154930000000001E-3</v>
      </c>
      <c r="AA3165">
        <v>0.99995520000000004</v>
      </c>
      <c r="AB3165">
        <v>46</v>
      </c>
      <c r="AC3165">
        <v>0.46470000000005002</v>
      </c>
      <c r="AD3165">
        <v>-9.8791000000000004E-2</v>
      </c>
      <c r="AE3165">
        <v>1.86000000000206E-2</v>
      </c>
      <c r="AF3165">
        <v>-8.3703543231871003E-3</v>
      </c>
      <c r="AG3165">
        <v>-9.8791000000000004E-2</v>
      </c>
      <c r="AH3165">
        <v>0.44491412201904201</v>
      </c>
      <c r="AI3165">
        <v>102.516991330192</v>
      </c>
      <c r="AJ3165">
        <v>91.077802168414806</v>
      </c>
      <c r="AK3165">
        <v>0.45582705106703603</v>
      </c>
      <c r="AL3165">
        <v>67.446782972964897</v>
      </c>
      <c r="AM3165">
        <v>96.810641922742803</v>
      </c>
      <c r="AN3165">
        <v>1.0000000576651</v>
      </c>
    </row>
    <row r="3166" spans="1:40" x14ac:dyDescent="0.25">
      <c r="A3166" t="str">
        <f>"20190304164432928"</f>
        <v>20190304164432928</v>
      </c>
      <c r="B3166" t="str">
        <f>"1551689072923117"</f>
        <v>1551689072923117</v>
      </c>
      <c r="C3166" t="s">
        <v>40</v>
      </c>
      <c r="D3166">
        <v>4.8805930000000002</v>
      </c>
      <c r="E3166">
        <v>0.556307199999999</v>
      </c>
      <c r="F3166" t="s">
        <v>41</v>
      </c>
      <c r="G3166">
        <v>-353.3125</v>
      </c>
      <c r="H3166">
        <v>1.0138100000000001</v>
      </c>
      <c r="I3166">
        <v>213.57640000000001</v>
      </c>
      <c r="J3166">
        <v>-353.72770000000003</v>
      </c>
      <c r="K3166">
        <v>1.1092519999999999</v>
      </c>
      <c r="L3166">
        <v>213.5607</v>
      </c>
      <c r="M3166">
        <v>0.99969280000000005</v>
      </c>
      <c r="N3166">
        <v>-1.4610329999999999E-2</v>
      </c>
      <c r="O3166">
        <v>2.0023280000000001E-2</v>
      </c>
      <c r="P3166">
        <v>0.92032069999999999</v>
      </c>
      <c r="Q3166">
        <v>0.36925439999999998</v>
      </c>
      <c r="R3166">
        <v>0.12907739999999901</v>
      </c>
      <c r="S3166">
        <v>3.3963009999999998</v>
      </c>
      <c r="T3166">
        <v>-0.3704441</v>
      </c>
      <c r="U3166">
        <v>9.6420290000000006E-2</v>
      </c>
      <c r="V3166">
        <v>-0.1094156</v>
      </c>
      <c r="W3166">
        <v>0.38304280000000002</v>
      </c>
      <c r="X3166">
        <v>0.91722760000000003</v>
      </c>
      <c r="Y3166">
        <v>-8.3878709999999999E-3</v>
      </c>
      <c r="Z3166">
        <v>-1.3675530000000001E-3</v>
      </c>
      <c r="AA3166">
        <v>0.99996390000000002</v>
      </c>
      <c r="AB3166">
        <v>46</v>
      </c>
      <c r="AC3166">
        <v>0.41520000000002699</v>
      </c>
      <c r="AD3166">
        <v>-9.5441999999999999E-2</v>
      </c>
      <c r="AE3166">
        <v>1.5700000000009501E-2</v>
      </c>
      <c r="AF3166">
        <v>-7.0122966895094004E-3</v>
      </c>
      <c r="AG3166">
        <v>-9.5441999999999999E-2</v>
      </c>
      <c r="AH3166">
        <v>0.39460966109141499</v>
      </c>
      <c r="AI3166">
        <v>103.594624273912</v>
      </c>
      <c r="AJ3166">
        <v>91.018050903809197</v>
      </c>
      <c r="AK3166">
        <v>0.406048189622295</v>
      </c>
      <c r="AL3166">
        <v>67.477711839683707</v>
      </c>
      <c r="AM3166">
        <v>96.802637935597303</v>
      </c>
      <c r="AN3166">
        <v>1.00000001517847</v>
      </c>
    </row>
    <row r="3167" spans="1:40" x14ac:dyDescent="0.25">
      <c r="A3167" t="str">
        <f>"20190304164432952"</f>
        <v>20190304164432952</v>
      </c>
      <c r="B3167" t="str">
        <f>"1551689072943614"</f>
        <v>1551689072943614</v>
      </c>
      <c r="C3167" t="s">
        <v>40</v>
      </c>
      <c r="D3167">
        <v>4.8537990000000004</v>
      </c>
      <c r="E3167">
        <v>0.556473</v>
      </c>
      <c r="F3167" t="s">
        <v>41</v>
      </c>
      <c r="G3167">
        <v>-352.90129999999999</v>
      </c>
      <c r="H3167">
        <v>1.0185070000000001</v>
      </c>
      <c r="I3167">
        <v>213.58330000000001</v>
      </c>
      <c r="J3167">
        <v>-353.25310000000002</v>
      </c>
      <c r="K3167">
        <v>1.109229</v>
      </c>
      <c r="L3167">
        <v>213.5693</v>
      </c>
      <c r="M3167">
        <v>0.99971620000000005</v>
      </c>
      <c r="N3167">
        <v>-1.4615299999999999E-2</v>
      </c>
      <c r="O3167">
        <v>1.8819160000000001E-2</v>
      </c>
      <c r="P3167">
        <v>0.92035389999999995</v>
      </c>
      <c r="Q3167">
        <v>0.36955830000000001</v>
      </c>
      <c r="R3167">
        <v>0.127967</v>
      </c>
      <c r="S3167">
        <v>3.3963320000000001</v>
      </c>
      <c r="T3167">
        <v>-0.37295990000000001</v>
      </c>
      <c r="U3167">
        <v>9.2910770000000004E-2</v>
      </c>
      <c r="V3167">
        <v>-0.10938390000000001</v>
      </c>
      <c r="W3167">
        <v>0.3833587</v>
      </c>
      <c r="X3167">
        <v>0.91709940000000001</v>
      </c>
      <c r="Y3167">
        <v>-8.5536750000000002E-3</v>
      </c>
      <c r="Z3167">
        <v>-1.2545639999999999E-3</v>
      </c>
      <c r="AA3167">
        <v>0.99996260000000003</v>
      </c>
      <c r="AB3167">
        <v>46</v>
      </c>
      <c r="AC3167">
        <v>0.35180000000002498</v>
      </c>
      <c r="AD3167">
        <v>-9.07219999999999E-2</v>
      </c>
      <c r="AE3167">
        <v>1.4000000000009999E-2</v>
      </c>
      <c r="AF3167">
        <v>-6.9169694762453403E-3</v>
      </c>
      <c r="AG3167">
        <v>-9.07219999999999E-2</v>
      </c>
      <c r="AH3167">
        <v>0.33008465718344498</v>
      </c>
      <c r="AI3167">
        <v>105.364761842609</v>
      </c>
      <c r="AJ3167">
        <v>91.200465260283394</v>
      </c>
      <c r="AK3167">
        <v>0.34239481108604403</v>
      </c>
      <c r="AL3167">
        <v>67.458116391283298</v>
      </c>
      <c r="AM3167">
        <v>96.801627282221105</v>
      </c>
      <c r="AN3167">
        <v>1.00000001996262</v>
      </c>
    </row>
    <row r="3168" spans="1:40" x14ac:dyDescent="0.25">
      <c r="A3168" t="str">
        <f>"20190304164432971"</f>
        <v>20190304164432971</v>
      </c>
      <c r="B3168" t="str">
        <f>"1551689072963133"</f>
        <v>1551689072963133</v>
      </c>
      <c r="C3168" t="s">
        <v>40</v>
      </c>
      <c r="D3168">
        <v>4.8622160000000001</v>
      </c>
      <c r="E3168">
        <v>0.55661959999999999</v>
      </c>
      <c r="F3168" t="s">
        <v>41</v>
      </c>
      <c r="G3168">
        <v>-352.48930000000001</v>
      </c>
      <c r="H3168">
        <v>1.025452</v>
      </c>
      <c r="I3168">
        <v>213.58920000000001</v>
      </c>
      <c r="J3168">
        <v>-352.83530000000002</v>
      </c>
      <c r="K3168">
        <v>1.1092089999999999</v>
      </c>
      <c r="L3168">
        <v>213.57640000000001</v>
      </c>
      <c r="M3168">
        <v>0.99973540000000005</v>
      </c>
      <c r="N3168">
        <v>-1.461872E-2</v>
      </c>
      <c r="O3168">
        <v>1.775883E-2</v>
      </c>
      <c r="P3168">
        <v>0.91981380000000001</v>
      </c>
      <c r="Q3168">
        <v>0.37108429999999998</v>
      </c>
      <c r="R3168">
        <v>0.1274323</v>
      </c>
      <c r="S3168">
        <v>3.3967589999999999</v>
      </c>
      <c r="T3168">
        <v>-0.37261119999999998</v>
      </c>
      <c r="U3168">
        <v>8.9645390000000005E-2</v>
      </c>
      <c r="V3168">
        <v>-0.1098104</v>
      </c>
      <c r="W3168">
        <v>0.38488549999999999</v>
      </c>
      <c r="X3168">
        <v>0.91640869999999996</v>
      </c>
      <c r="Y3168">
        <v>-8.6447350000000006E-3</v>
      </c>
      <c r="Z3168">
        <v>-1.1467269999999999E-3</v>
      </c>
      <c r="AA3168">
        <v>0.99996200000000002</v>
      </c>
      <c r="AB3168">
        <v>46</v>
      </c>
      <c r="AC3168">
        <v>0.34600000000000303</v>
      </c>
      <c r="AD3168">
        <v>-8.3756999999999998E-2</v>
      </c>
      <c r="AE3168">
        <v>1.27999999999985E-2</v>
      </c>
      <c r="AF3168">
        <v>-6.2849790164426697E-3</v>
      </c>
      <c r="AG3168">
        <v>-8.3756999999999998E-2</v>
      </c>
      <c r="AH3168">
        <v>0.32703503442285797</v>
      </c>
      <c r="AI3168">
        <v>104.362718380354</v>
      </c>
      <c r="AJ3168">
        <v>91.100978216948405</v>
      </c>
      <c r="AK3168">
        <v>0.33764870760925098</v>
      </c>
      <c r="AL3168">
        <v>67.363368777770106</v>
      </c>
      <c r="AM3168">
        <v>96.832995261856993</v>
      </c>
      <c r="AN3168">
        <v>1.00000003874704</v>
      </c>
    </row>
    <row r="3169" spans="1:40" x14ac:dyDescent="0.25">
      <c r="A3169" t="str">
        <f>"20190304164432995"</f>
        <v>20190304164432995</v>
      </c>
      <c r="B3169" t="str">
        <f>"1551689072983629"</f>
        <v>1551689072983629</v>
      </c>
      <c r="C3169" t="s">
        <v>40</v>
      </c>
      <c r="D3169">
        <v>4.8920070000000004</v>
      </c>
      <c r="E3169">
        <v>0.5567415</v>
      </c>
      <c r="F3169" t="s">
        <v>41</v>
      </c>
      <c r="G3169">
        <v>-352.07929999999999</v>
      </c>
      <c r="H3169">
        <v>1.0274209999999999</v>
      </c>
      <c r="I3169">
        <v>213.59620000000001</v>
      </c>
      <c r="J3169">
        <v>-352.37970000000001</v>
      </c>
      <c r="K3169">
        <v>1.1091949999999999</v>
      </c>
      <c r="L3169">
        <v>213.58359999999999</v>
      </c>
      <c r="M3169">
        <v>0.99975530000000001</v>
      </c>
      <c r="N3169">
        <v>-1.462162E-2</v>
      </c>
      <c r="O3169">
        <v>1.6602909999999999E-2</v>
      </c>
      <c r="P3169">
        <v>0.91947440000000003</v>
      </c>
      <c r="Q3169">
        <v>0.37214459999999999</v>
      </c>
      <c r="R3169">
        <v>0.12678819999999999</v>
      </c>
      <c r="S3169">
        <v>3.3975219999999999</v>
      </c>
      <c r="T3169">
        <v>-0.3675908</v>
      </c>
      <c r="U3169">
        <v>8.8668819999999995E-2</v>
      </c>
      <c r="V3169">
        <v>-0.1102144</v>
      </c>
      <c r="W3169">
        <v>0.38594859999999998</v>
      </c>
      <c r="X3169">
        <v>0.91591290000000003</v>
      </c>
      <c r="Y3169">
        <v>-9.4960700000000006E-3</v>
      </c>
      <c r="Z3169">
        <v>-9.6670450000000004E-4</v>
      </c>
      <c r="AA3169">
        <v>0.99995449999999997</v>
      </c>
      <c r="AB3169">
        <v>46</v>
      </c>
      <c r="AC3169">
        <v>0.30040000000002398</v>
      </c>
      <c r="AD3169">
        <v>-8.1774000000000194E-2</v>
      </c>
      <c r="AE3169">
        <v>1.26000000000203E-2</v>
      </c>
      <c r="AF3169">
        <v>-7.0860468354984902E-3</v>
      </c>
      <c r="AG3169">
        <v>-8.1774000000000194E-2</v>
      </c>
      <c r="AH3169">
        <v>0.279865591813099</v>
      </c>
      <c r="AI3169">
        <v>106.282906669421</v>
      </c>
      <c r="AJ3169">
        <v>91.450388555650207</v>
      </c>
      <c r="AK3169">
        <v>0.29165381639308502</v>
      </c>
      <c r="AL3169">
        <v>67.297356573177794</v>
      </c>
      <c r="AM3169">
        <v>96.861572256875405</v>
      </c>
      <c r="AN3169">
        <v>0.99999998809786494</v>
      </c>
    </row>
    <row r="3170" spans="1:40" x14ac:dyDescent="0.25">
      <c r="A3170" t="str">
        <f>"20190304164433017"</f>
        <v>20190304164433017</v>
      </c>
      <c r="B3170" t="str">
        <f>"1551689073012909"</f>
        <v>1551689073012909</v>
      </c>
      <c r="C3170" t="s">
        <v>40</v>
      </c>
      <c r="D3170">
        <v>5.0640749999999999</v>
      </c>
      <c r="E3170">
        <v>0.55693530000000002</v>
      </c>
      <c r="F3170" t="s">
        <v>41</v>
      </c>
      <c r="G3170">
        <v>-351.28179999999998</v>
      </c>
      <c r="H3170">
        <v>0.99153270000000004</v>
      </c>
      <c r="I3170">
        <v>213.6114</v>
      </c>
      <c r="J3170">
        <v>-351.91359999999997</v>
      </c>
      <c r="K3170">
        <v>1.109175</v>
      </c>
      <c r="L3170">
        <v>213.59039999999999</v>
      </c>
      <c r="M3170">
        <v>0.99977419999999995</v>
      </c>
      <c r="N3170">
        <v>-1.4623809999999999E-2</v>
      </c>
      <c r="O3170">
        <v>1.5421010000000001E-2</v>
      </c>
      <c r="P3170">
        <v>0.91952809999999996</v>
      </c>
      <c r="Q3170">
        <v>0.37233260000000001</v>
      </c>
      <c r="R3170">
        <v>0.12584500000000001</v>
      </c>
      <c r="S3170">
        <v>3.3982239999999999</v>
      </c>
      <c r="T3170">
        <v>-0.36426009999999998</v>
      </c>
      <c r="U3170">
        <v>8.6563109999999999E-2</v>
      </c>
      <c r="V3170">
        <v>-0.110344899999999</v>
      </c>
      <c r="W3170">
        <v>0.38614169999999998</v>
      </c>
      <c r="X3170">
        <v>0.91581579999999996</v>
      </c>
      <c r="Y3170">
        <v>-1.0044519999999999E-2</v>
      </c>
      <c r="Z3170">
        <v>-8.1251339999999998E-4</v>
      </c>
      <c r="AA3170">
        <v>0.99994919999999998</v>
      </c>
      <c r="AB3170">
        <v>46</v>
      </c>
      <c r="AC3170">
        <v>0.63179999999999803</v>
      </c>
      <c r="AD3170">
        <v>-0.11764230000000001</v>
      </c>
      <c r="AE3170">
        <v>2.1000000000015E-2</v>
      </c>
      <c r="AF3170">
        <v>-1.08767731596623E-2</v>
      </c>
      <c r="AG3170">
        <v>-0.11764230000000001</v>
      </c>
      <c r="AH3170">
        <v>0.61089180757832795</v>
      </c>
      <c r="AI3170">
        <v>100.89859258663699</v>
      </c>
      <c r="AJ3170">
        <v>91.020028995237595</v>
      </c>
      <c r="AK3170">
        <v>0.62221123062025596</v>
      </c>
      <c r="AL3170">
        <v>67.285363169194397</v>
      </c>
      <c r="AM3170">
        <v>96.8703405430293</v>
      </c>
      <c r="AN3170">
        <v>0.99999999448226995</v>
      </c>
    </row>
    <row r="3171" spans="1:40" x14ac:dyDescent="0.25">
      <c r="A3171" t="str">
        <f>"20190304164433041"</f>
        <v>20190304164433041</v>
      </c>
      <c r="B3171" t="str">
        <f>"1551689073033405"</f>
        <v>1551689073033405</v>
      </c>
      <c r="C3171" t="s">
        <v>40</v>
      </c>
      <c r="D3171">
        <v>4.9840710000000001</v>
      </c>
      <c r="E3171">
        <v>0.53835919999999904</v>
      </c>
      <c r="F3171" t="s">
        <v>41</v>
      </c>
      <c r="G3171">
        <v>-350.8716</v>
      </c>
      <c r="H3171">
        <v>0.99735019999999996</v>
      </c>
      <c r="I3171">
        <v>213.6156</v>
      </c>
      <c r="J3171">
        <v>-351.43810000000002</v>
      </c>
      <c r="K3171">
        <v>1.1091629999999999</v>
      </c>
      <c r="L3171">
        <v>213.5968</v>
      </c>
      <c r="M3171">
        <v>0.99979200000000001</v>
      </c>
      <c r="N3171">
        <v>-1.462544E-2</v>
      </c>
      <c r="O3171">
        <v>1.4215729999999999E-2</v>
      </c>
      <c r="P3171">
        <v>0.91978870000000001</v>
      </c>
      <c r="Q3171">
        <v>0.3721063</v>
      </c>
      <c r="R3171">
        <v>0.1246023</v>
      </c>
      <c r="S3171">
        <v>3.3988649999999998</v>
      </c>
      <c r="T3171">
        <v>-0.36487150000000002</v>
      </c>
      <c r="U3171">
        <v>8.311462E-2</v>
      </c>
      <c r="V3171">
        <v>-0.11019959999999999</v>
      </c>
      <c r="W3171">
        <v>0.38592120000000002</v>
      </c>
      <c r="X3171">
        <v>0.91592620000000002</v>
      </c>
      <c r="Y3171">
        <v>-1.022499E-2</v>
      </c>
      <c r="Z3171">
        <v>-6.9177069999999999E-4</v>
      </c>
      <c r="AA3171">
        <v>0.99994749999999999</v>
      </c>
      <c r="AB3171">
        <v>46</v>
      </c>
      <c r="AC3171">
        <v>0.56650000000001899</v>
      </c>
      <c r="AD3171">
        <v>-0.111812799999999</v>
      </c>
      <c r="AE3171">
        <v>1.87999999999988E-2</v>
      </c>
      <c r="AF3171">
        <v>-1.0341595329453401E-2</v>
      </c>
      <c r="AG3171">
        <v>-0.111812799999999</v>
      </c>
      <c r="AH3171">
        <v>0.54548313134333604</v>
      </c>
      <c r="AI3171">
        <v>101.58196801931901</v>
      </c>
      <c r="AJ3171">
        <v>91.086117528464698</v>
      </c>
      <c r="AK3171">
        <v>0.55692090768611702</v>
      </c>
      <c r="AL3171">
        <v>67.2990577445089</v>
      </c>
      <c r="AM3171">
        <v>96.860560969150896</v>
      </c>
      <c r="AN3171">
        <v>0.99999996414801895</v>
      </c>
    </row>
    <row r="3172" spans="1:40" x14ac:dyDescent="0.25">
      <c r="A3172" t="str">
        <f>"20190304164433062"</f>
        <v>20190304164433062</v>
      </c>
      <c r="B3172" t="str">
        <f>"1551689073052925"</f>
        <v>1551689073052925</v>
      </c>
      <c r="C3172" t="s">
        <v>40</v>
      </c>
      <c r="D3172">
        <v>4.9477589999999996</v>
      </c>
      <c r="E3172">
        <v>0.53414189999999995</v>
      </c>
      <c r="F3172" t="s">
        <v>41</v>
      </c>
      <c r="G3172">
        <v>-350.54109999999997</v>
      </c>
      <c r="H3172">
        <v>0.82301489999999999</v>
      </c>
      <c r="I3172">
        <v>213.67240000000001</v>
      </c>
      <c r="J3172">
        <v>-351.00369999999998</v>
      </c>
      <c r="K3172">
        <v>1.109159</v>
      </c>
      <c r="L3172">
        <v>213.60210000000001</v>
      </c>
      <c r="M3172">
        <v>0.999807</v>
      </c>
      <c r="N3172">
        <v>-1.4626429999999999E-2</v>
      </c>
      <c r="O3172">
        <v>1.3116650000000001E-2</v>
      </c>
      <c r="P3172">
        <v>0.91973329999999998</v>
      </c>
      <c r="Q3172">
        <v>0.37262620000000002</v>
      </c>
      <c r="R3172">
        <v>0.12345159999999999</v>
      </c>
      <c r="S3172">
        <v>3.6964109999999999</v>
      </c>
      <c r="T3172">
        <v>-1.1792210000000001</v>
      </c>
      <c r="U3172">
        <v>0.31192019999999998</v>
      </c>
      <c r="V3172">
        <v>-0.1100549</v>
      </c>
      <c r="W3172">
        <v>0.3864398</v>
      </c>
      <c r="X3172">
        <v>0.91572489999999995</v>
      </c>
      <c r="Y3172">
        <v>-6.8077009999999993E-2</v>
      </c>
      <c r="Z3172">
        <v>7.2011269999999999E-3</v>
      </c>
      <c r="AA3172">
        <v>0.99765409999999999</v>
      </c>
      <c r="AB3172">
        <v>46</v>
      </c>
      <c r="AC3172">
        <v>0.462600000000008</v>
      </c>
      <c r="AD3172">
        <v>-0.28614409999999901</v>
      </c>
      <c r="AE3172">
        <v>7.0300000000003096E-2</v>
      </c>
      <c r="AF3172">
        <v>-4.6744322670936402E-2</v>
      </c>
      <c r="AG3172">
        <v>-0.28614409999999901</v>
      </c>
      <c r="AH3172">
        <v>0.33732952235654601</v>
      </c>
      <c r="AI3172">
        <v>130.03812135116399</v>
      </c>
      <c r="AJ3172">
        <v>97.889331834053493</v>
      </c>
      <c r="AK3172">
        <v>0.44480859290268898</v>
      </c>
      <c r="AL3172">
        <v>67.266844777441506</v>
      </c>
      <c r="AM3172">
        <v>96.853130095496198</v>
      </c>
      <c r="AN3172">
        <v>0.99999994625902799</v>
      </c>
    </row>
    <row r="3173" spans="1:40" x14ac:dyDescent="0.25">
      <c r="A3173" t="str">
        <f>"20190304164433086"</f>
        <v>20190304164433086</v>
      </c>
      <c r="B3173" t="str">
        <f>"1551689073073422"</f>
        <v>1551689073073422</v>
      </c>
      <c r="C3173" t="s">
        <v>40</v>
      </c>
      <c r="D3173">
        <v>4.9321159999999997</v>
      </c>
      <c r="E3173">
        <v>0.53176080000000003</v>
      </c>
      <c r="F3173" t="s">
        <v>41</v>
      </c>
      <c r="G3173">
        <v>-350.13819999999998</v>
      </c>
      <c r="H3173">
        <v>0.8131429</v>
      </c>
      <c r="I3173">
        <v>213.68389999999999</v>
      </c>
      <c r="J3173">
        <v>-350.53149999999999</v>
      </c>
      <c r="K3173">
        <v>1.1091660000000001</v>
      </c>
      <c r="L3173">
        <v>213.60740000000001</v>
      </c>
      <c r="M3173">
        <v>0.99982199999999999</v>
      </c>
      <c r="N3173">
        <v>-1.4626979999999999E-2</v>
      </c>
      <c r="O3173">
        <v>1.192791E-2</v>
      </c>
      <c r="P3173">
        <v>0.9200121</v>
      </c>
      <c r="Q3173">
        <v>0.37232219999999999</v>
      </c>
      <c r="R3173">
        <v>0.1222857</v>
      </c>
      <c r="S3173">
        <v>3.7313230000000002</v>
      </c>
      <c r="T3173">
        <v>-1.275984</v>
      </c>
      <c r="U3173">
        <v>0.35336299999999998</v>
      </c>
      <c r="V3173">
        <v>-0.10997999999999999</v>
      </c>
      <c r="W3173">
        <v>0.3861386</v>
      </c>
      <c r="X3173">
        <v>0.91586100000000004</v>
      </c>
      <c r="Y3173">
        <v>-7.8394530000000004E-2</v>
      </c>
      <c r="Z3173">
        <v>9.810025E-3</v>
      </c>
      <c r="AA3173">
        <v>0.99687420000000004</v>
      </c>
      <c r="AB3173">
        <v>45</v>
      </c>
      <c r="AC3173">
        <v>0.39330000000000997</v>
      </c>
      <c r="AD3173">
        <v>-0.29602309999999998</v>
      </c>
      <c r="AE3173">
        <v>7.6499999999981499E-2</v>
      </c>
      <c r="AF3173">
        <v>-4.64486658044026E-2</v>
      </c>
      <c r="AG3173">
        <v>-0.29602309999999998</v>
      </c>
      <c r="AH3173">
        <v>0.25499488193007103</v>
      </c>
      <c r="AI3173">
        <v>138.79538051030599</v>
      </c>
      <c r="AJ3173">
        <v>100.323541971407</v>
      </c>
      <c r="AK3173">
        <v>0.39345844011680597</v>
      </c>
      <c r="AL3173">
        <v>67.285555734343902</v>
      </c>
      <c r="AM3173">
        <v>96.847502328937196</v>
      </c>
      <c r="AN3173">
        <v>0.99999999506547999</v>
      </c>
    </row>
    <row r="3174" spans="1:40" x14ac:dyDescent="0.25">
      <c r="A3174" t="str">
        <f>"20190304164433107"</f>
        <v>20190304164433107</v>
      </c>
      <c r="B3174" t="str">
        <f>"1551689073103677"</f>
        <v>1551689073103677</v>
      </c>
      <c r="C3174" t="s">
        <v>40</v>
      </c>
      <c r="D3174">
        <v>5.2006489999999896</v>
      </c>
      <c r="E3174">
        <v>0.53023730000000002</v>
      </c>
      <c r="F3174" t="s">
        <v>41</v>
      </c>
      <c r="G3174">
        <v>-349.72719999999998</v>
      </c>
      <c r="H3174">
        <v>0.82323109999999999</v>
      </c>
      <c r="I3174">
        <v>213.68729999999999</v>
      </c>
      <c r="J3174">
        <v>-350.08690000000001</v>
      </c>
      <c r="K3174">
        <v>1.1091719999999901</v>
      </c>
      <c r="L3174">
        <v>213.61179999999999</v>
      </c>
      <c r="M3174">
        <v>0.99983460000000002</v>
      </c>
      <c r="N3174">
        <v>-1.4626770000000001E-2</v>
      </c>
      <c r="O3174">
        <v>1.0820949999999999E-2</v>
      </c>
      <c r="P3174">
        <v>0.92017439999999995</v>
      </c>
      <c r="Q3174">
        <v>0.37229309999999899</v>
      </c>
      <c r="R3174">
        <v>0.1211499</v>
      </c>
      <c r="S3174">
        <v>3.7506710000000001</v>
      </c>
      <c r="T3174">
        <v>-1.3331930000000001</v>
      </c>
      <c r="U3174">
        <v>0.37374879999999999</v>
      </c>
      <c r="V3174">
        <v>-0.10986659999999999</v>
      </c>
      <c r="W3174">
        <v>0.38610820000000001</v>
      </c>
      <c r="X3174">
        <v>0.91588740000000002</v>
      </c>
      <c r="Y3174">
        <v>-8.3683850000000004E-2</v>
      </c>
      <c r="Z3174">
        <v>1.146085E-2</v>
      </c>
      <c r="AA3174">
        <v>0.99642649999999999</v>
      </c>
      <c r="AB3174">
        <v>45</v>
      </c>
      <c r="AC3174">
        <v>0.35970000000003199</v>
      </c>
      <c r="AD3174">
        <v>-0.285940899999999</v>
      </c>
      <c r="AE3174">
        <v>7.5500000000005202E-2</v>
      </c>
      <c r="AF3174">
        <v>-4.4604936335951202E-2</v>
      </c>
      <c r="AG3174">
        <v>-0.285940899999999</v>
      </c>
      <c r="AH3174">
        <v>0.22457063532662799</v>
      </c>
      <c r="AI3174">
        <v>141.315171317829</v>
      </c>
      <c r="AJ3174">
        <v>101.234061171631</v>
      </c>
      <c r="AK3174">
        <v>0.36631102752899702</v>
      </c>
      <c r="AL3174">
        <v>67.287443379083399</v>
      </c>
      <c r="AM3174">
        <v>96.840313521957796</v>
      </c>
      <c r="AN3174">
        <v>0.99999997069077895</v>
      </c>
    </row>
    <row r="3175" spans="1:40" x14ac:dyDescent="0.25">
      <c r="A3175" t="str">
        <f>"20190304164433131"</f>
        <v>20190304164433131</v>
      </c>
      <c r="B3175" t="str">
        <f>"1551689073123198"</f>
        <v>1551689073123198</v>
      </c>
      <c r="C3175" t="s">
        <v>40</v>
      </c>
      <c r="D3175">
        <v>4.951562</v>
      </c>
      <c r="E3175">
        <v>0.52968329999999997</v>
      </c>
      <c r="F3175" t="s">
        <v>41</v>
      </c>
      <c r="G3175">
        <v>-349.31819999999999</v>
      </c>
      <c r="H3175">
        <v>0.82950879999999905</v>
      </c>
      <c r="I3175">
        <v>213.69040000000001</v>
      </c>
      <c r="J3175">
        <v>-349.61619999999999</v>
      </c>
      <c r="K3175">
        <v>1.1091819999999999</v>
      </c>
      <c r="L3175">
        <v>213.61600000000001</v>
      </c>
      <c r="M3175">
        <v>0.99984629999999997</v>
      </c>
      <c r="N3175">
        <v>-1.4626129999999999E-2</v>
      </c>
      <c r="O3175">
        <v>9.6704330000000008E-3</v>
      </c>
      <c r="P3175">
        <v>0.92043070000000005</v>
      </c>
      <c r="Q3175">
        <v>0.37192570000000003</v>
      </c>
      <c r="R3175">
        <v>0.1203297</v>
      </c>
      <c r="S3175">
        <v>3.763458</v>
      </c>
      <c r="T3175">
        <v>-1.369078</v>
      </c>
      <c r="U3175">
        <v>0.3851929</v>
      </c>
      <c r="V3175">
        <v>-0.11011700000000001</v>
      </c>
      <c r="W3175">
        <v>0.38573960000000002</v>
      </c>
      <c r="X3175">
        <v>0.91601270000000001</v>
      </c>
      <c r="Y3175">
        <v>-8.6999499999999994E-2</v>
      </c>
      <c r="Z3175">
        <v>1.2691650000000001E-2</v>
      </c>
      <c r="AA3175">
        <v>0.99612750000000005</v>
      </c>
      <c r="AB3175">
        <v>45</v>
      </c>
      <c r="AC3175">
        <v>0.29800000000000099</v>
      </c>
      <c r="AD3175">
        <v>-0.27967320000000001</v>
      </c>
      <c r="AE3175">
        <v>7.4400000000025501E-2</v>
      </c>
      <c r="AF3175">
        <v>-3.90980723237822E-2</v>
      </c>
      <c r="AG3175">
        <v>-0.27967320000000001</v>
      </c>
      <c r="AH3175">
        <v>0.163307112320145</v>
      </c>
      <c r="AI3175">
        <v>149.01842628604101</v>
      </c>
      <c r="AJ3175">
        <v>103.464003362011</v>
      </c>
      <c r="AK3175">
        <v>0.32621307605922201</v>
      </c>
      <c r="AL3175">
        <v>67.310337500247996</v>
      </c>
      <c r="AM3175">
        <v>96.854826390821003</v>
      </c>
      <c r="AN3175">
        <v>1.00000002962922</v>
      </c>
    </row>
    <row r="3176" spans="1:40" x14ac:dyDescent="0.25">
      <c r="A3176" t="str">
        <f>"20190304164433152"</f>
        <v>20190304164433152</v>
      </c>
      <c r="B3176" t="str">
        <f>"1551689073142721"</f>
        <v>1551689073142721</v>
      </c>
      <c r="C3176" t="s">
        <v>40</v>
      </c>
      <c r="D3176">
        <v>4.9581330000000001</v>
      </c>
      <c r="E3176">
        <v>0.52943609999999997</v>
      </c>
      <c r="F3176" t="s">
        <v>41</v>
      </c>
      <c r="G3176">
        <v>-348.90440000000001</v>
      </c>
      <c r="H3176">
        <v>0.84804840000000004</v>
      </c>
      <c r="I3176">
        <v>213.68899999999999</v>
      </c>
      <c r="J3176">
        <v>-349.17599999999999</v>
      </c>
      <c r="K3176">
        <v>1.109205</v>
      </c>
      <c r="L3176">
        <v>213.61949999999999</v>
      </c>
      <c r="M3176">
        <v>0.99985590000000002</v>
      </c>
      <c r="N3176">
        <v>-1.4625000000000001E-2</v>
      </c>
      <c r="O3176">
        <v>8.6268590000000006E-3</v>
      </c>
      <c r="P3176">
        <v>0.9207052</v>
      </c>
      <c r="Q3176">
        <v>0.3713629</v>
      </c>
      <c r="R3176">
        <v>0.11996569999999999</v>
      </c>
      <c r="S3176">
        <v>3.7671809999999999</v>
      </c>
      <c r="T3176">
        <v>-1.3819380000000001</v>
      </c>
      <c r="U3176">
        <v>0.38691710000000001</v>
      </c>
      <c r="V3176">
        <v>-0.1107336</v>
      </c>
      <c r="W3176">
        <v>0.38517469999999998</v>
      </c>
      <c r="X3176">
        <v>0.91617610000000005</v>
      </c>
      <c r="Y3176">
        <v>-8.8167019999999999E-2</v>
      </c>
      <c r="Z3176">
        <v>1.335621E-2</v>
      </c>
      <c r="AA3176">
        <v>0.99601609999999996</v>
      </c>
      <c r="AB3176">
        <v>45</v>
      </c>
      <c r="AC3176">
        <v>0.27159999999997803</v>
      </c>
      <c r="AD3176">
        <v>-0.26115660000000002</v>
      </c>
      <c r="AE3176">
        <v>6.9500000000033396E-2</v>
      </c>
      <c r="AF3176">
        <v>-3.5954453445153502E-2</v>
      </c>
      <c r="AG3176">
        <v>-0.26115660000000002</v>
      </c>
      <c r="AH3176">
        <v>0.14573085408254699</v>
      </c>
      <c r="AI3176">
        <v>150.111717007203</v>
      </c>
      <c r="AJ3176">
        <v>103.85913455584</v>
      </c>
      <c r="AK3176">
        <v>0.30121914659883098</v>
      </c>
      <c r="AL3176">
        <v>67.345415226443194</v>
      </c>
      <c r="AM3176">
        <v>96.891624206581596</v>
      </c>
      <c r="AN3176">
        <v>1.00000006295012</v>
      </c>
    </row>
    <row r="3177" spans="1:40" x14ac:dyDescent="0.25">
      <c r="A3177" t="str">
        <f>"20190304164433172"</f>
        <v>20190304164433172</v>
      </c>
      <c r="B3177" t="str">
        <f>"1551689073163214"</f>
        <v>1551689073163214</v>
      </c>
      <c r="C3177" t="s">
        <v>40</v>
      </c>
      <c r="D3177">
        <v>5.0593490000000001</v>
      </c>
      <c r="E3177">
        <v>0.52945129999999996</v>
      </c>
      <c r="F3177" t="s">
        <v>41</v>
      </c>
      <c r="G3177">
        <v>-348.49470000000002</v>
      </c>
      <c r="H3177">
        <v>0.85769280000000003</v>
      </c>
      <c r="I3177">
        <v>213.6891</v>
      </c>
      <c r="J3177">
        <v>-348.75380000000001</v>
      </c>
      <c r="K3177">
        <v>1.1092340000000001</v>
      </c>
      <c r="L3177">
        <v>213.6224</v>
      </c>
      <c r="M3177">
        <v>0.99986370000000002</v>
      </c>
      <c r="N3177">
        <v>-1.4623550000000001E-2</v>
      </c>
      <c r="O3177">
        <v>7.6667100000000002E-3</v>
      </c>
      <c r="P3177">
        <v>0.9209155</v>
      </c>
      <c r="Q3177">
        <v>0.3710676</v>
      </c>
      <c r="R3177">
        <v>0.1192624</v>
      </c>
      <c r="S3177">
        <v>3.7690730000000001</v>
      </c>
      <c r="T3177">
        <v>-1.3911830000000001</v>
      </c>
      <c r="U3177">
        <v>0.38685609999999998</v>
      </c>
      <c r="V3177">
        <v>-0.1109436</v>
      </c>
      <c r="W3177">
        <v>0.38487189999999999</v>
      </c>
      <c r="X3177">
        <v>0.91627789999999998</v>
      </c>
      <c r="Y3177">
        <v>-8.8885870000000006E-2</v>
      </c>
      <c r="Z3177">
        <v>1.3891489999999999E-2</v>
      </c>
      <c r="AA3177">
        <v>0.99594490000000002</v>
      </c>
      <c r="AB3177">
        <v>45</v>
      </c>
      <c r="AC3177">
        <v>0.25909999999998901</v>
      </c>
      <c r="AD3177">
        <v>-0.25154120000000002</v>
      </c>
      <c r="AE3177">
        <v>6.6699999999997303E-2</v>
      </c>
      <c r="AF3177">
        <v>-3.4349204038886E-2</v>
      </c>
      <c r="AG3177">
        <v>-0.25154120000000002</v>
      </c>
      <c r="AH3177">
        <v>0.137799315031743</v>
      </c>
      <c r="AI3177">
        <v>150.55166137563899</v>
      </c>
      <c r="AJ3177">
        <v>103.996858919228</v>
      </c>
      <c r="AK3177">
        <v>0.28886241420226799</v>
      </c>
      <c r="AL3177">
        <v>67.3642127292227</v>
      </c>
      <c r="AM3177">
        <v>96.903808029722299</v>
      </c>
      <c r="AN3177">
        <v>1.0000000259094799</v>
      </c>
    </row>
    <row r="3178" spans="1:40" x14ac:dyDescent="0.25">
      <c r="A3178" t="str">
        <f>"20190304164433197"</f>
        <v>20190304164433197</v>
      </c>
      <c r="B3178" t="str">
        <f>"1551689073182734"</f>
        <v>1551689073182734</v>
      </c>
      <c r="C3178" t="s">
        <v>40</v>
      </c>
      <c r="D3178">
        <v>4.9439289999999998</v>
      </c>
      <c r="E3178">
        <v>0.529281</v>
      </c>
      <c r="F3178" t="s">
        <v>41</v>
      </c>
      <c r="G3178">
        <v>-348.08710000000002</v>
      </c>
      <c r="H3178">
        <v>0.86316229999999905</v>
      </c>
      <c r="I3178">
        <v>213.6901</v>
      </c>
      <c r="J3178">
        <v>-348.28960000000001</v>
      </c>
      <c r="K3178">
        <v>1.1092839999999999</v>
      </c>
      <c r="L3178">
        <v>213.62520000000001</v>
      </c>
      <c r="M3178">
        <v>0.99987090000000001</v>
      </c>
      <c r="N3178">
        <v>-1.462161E-2</v>
      </c>
      <c r="O3178">
        <v>6.6746219999999998E-3</v>
      </c>
      <c r="P3178">
        <v>0.92103639999999998</v>
      </c>
      <c r="Q3178">
        <v>0.37114570000000002</v>
      </c>
      <c r="R3178">
        <v>0.1180799</v>
      </c>
      <c r="S3178">
        <v>3.7686160000000002</v>
      </c>
      <c r="T3178">
        <v>-1.3909149999999999</v>
      </c>
      <c r="U3178">
        <v>0.38188169999999999</v>
      </c>
      <c r="V3178">
        <v>-0.11071979999999999</v>
      </c>
      <c r="W3178">
        <v>0.38493440000000001</v>
      </c>
      <c r="X3178">
        <v>0.9162787</v>
      </c>
      <c r="Y3178">
        <v>-8.854795E-2</v>
      </c>
      <c r="Z3178">
        <v>1.416802E-2</v>
      </c>
      <c r="AA3178">
        <v>0.9959711</v>
      </c>
      <c r="AB3178">
        <v>45</v>
      </c>
      <c r="AC3178">
        <v>0.202499999999986</v>
      </c>
      <c r="AD3178">
        <v>-0.2461217</v>
      </c>
      <c r="AE3178">
        <v>6.4899999999994407E-2</v>
      </c>
      <c r="AF3178">
        <v>-2.7161006831873901E-2</v>
      </c>
      <c r="AG3178">
        <v>-0.2461217</v>
      </c>
      <c r="AH3178">
        <v>8.67352628072698E-2</v>
      </c>
      <c r="AI3178">
        <v>159.73167372551401</v>
      </c>
      <c r="AJ3178">
        <v>107.387862590119</v>
      </c>
      <c r="AK3178">
        <v>0.26236733279365598</v>
      </c>
      <c r="AL3178">
        <v>67.360332472962895</v>
      </c>
      <c r="AM3178">
        <v>96.890009432561399</v>
      </c>
      <c r="AN3178">
        <v>1.00000001124454</v>
      </c>
    </row>
    <row r="3179" spans="1:40" x14ac:dyDescent="0.25">
      <c r="A3179" t="str">
        <f>"20190304164433219"</f>
        <v>20190304164433219</v>
      </c>
      <c r="B3179" t="str">
        <f>"1551689073212990"</f>
        <v>1551689073212990</v>
      </c>
      <c r="C3179" t="s">
        <v>40</v>
      </c>
      <c r="D3179">
        <v>4.9815610000000001</v>
      </c>
      <c r="E3179">
        <v>0.52920480000000003</v>
      </c>
      <c r="F3179" t="s">
        <v>45</v>
      </c>
      <c r="G3179">
        <v>-345.28059999999999</v>
      </c>
      <c r="H3179" s="1">
        <v>1.2733050000000001E-6</v>
      </c>
      <c r="I3179">
        <v>213.92740000000001</v>
      </c>
      <c r="J3179">
        <v>-347.81110000000001</v>
      </c>
      <c r="K3179">
        <v>1.1093470000000001</v>
      </c>
      <c r="L3179">
        <v>213.6276</v>
      </c>
      <c r="M3179">
        <v>0.99987669999999995</v>
      </c>
      <c r="N3179">
        <v>-1.4619409999999999E-2</v>
      </c>
      <c r="O3179">
        <v>5.7307060000000003E-3</v>
      </c>
      <c r="P3179">
        <v>0.92129000000000005</v>
      </c>
      <c r="Q3179">
        <v>0.37090489999999998</v>
      </c>
      <c r="R3179">
        <v>0.11685139999999999</v>
      </c>
      <c r="S3179">
        <v>3.7685240000000002</v>
      </c>
      <c r="T3179">
        <v>-1.3893120000000001</v>
      </c>
      <c r="U3179">
        <v>0.37853999999999999</v>
      </c>
      <c r="V3179">
        <v>-0.110419</v>
      </c>
      <c r="W3179">
        <v>0.3846755</v>
      </c>
      <c r="X3179">
        <v>0.91642369999999995</v>
      </c>
      <c r="Y3179">
        <v>-8.8569140000000005E-2</v>
      </c>
      <c r="Z3179">
        <v>1.448086E-2</v>
      </c>
      <c r="AA3179">
        <v>0.99596479999999998</v>
      </c>
      <c r="AB3179">
        <v>45</v>
      </c>
      <c r="AC3179">
        <v>2.5305000000000102</v>
      </c>
      <c r="AD3179">
        <v>-1.10934572669499</v>
      </c>
      <c r="AE3179">
        <v>0.29980000000000401</v>
      </c>
      <c r="AF3179">
        <v>-0.239836785477685</v>
      </c>
      <c r="AG3179">
        <v>-1.10934572669499</v>
      </c>
      <c r="AH3179">
        <v>2.1287283607596001</v>
      </c>
      <c r="AI3179">
        <v>117.37757485344299</v>
      </c>
      <c r="AJ3179">
        <v>96.428218014841505</v>
      </c>
      <c r="AK3179">
        <v>2.4123959166992002</v>
      </c>
      <c r="AL3179">
        <v>67.376403539463993</v>
      </c>
      <c r="AM3179">
        <v>96.870393251334505</v>
      </c>
      <c r="AN3179">
        <v>0.99999999689146901</v>
      </c>
    </row>
    <row r="3180" spans="1:40" x14ac:dyDescent="0.25">
      <c r="A3180" t="str">
        <f>"20190304164433241"</f>
        <v>20190304164433241</v>
      </c>
      <c r="B3180" t="str">
        <f>"1551689073233017"</f>
        <v>1551689073233017</v>
      </c>
      <c r="C3180" t="s">
        <v>40</v>
      </c>
      <c r="D3180">
        <v>4.977201</v>
      </c>
      <c r="E3180">
        <v>0.52913049999999995</v>
      </c>
      <c r="F3180" t="s">
        <v>45</v>
      </c>
      <c r="G3180">
        <v>-344.79759999999999</v>
      </c>
      <c r="H3180" s="1">
        <v>1.0162610000000001E-6</v>
      </c>
      <c r="I3180">
        <v>213.92619999999999</v>
      </c>
      <c r="J3180">
        <v>-347.37450000000001</v>
      </c>
      <c r="K3180">
        <v>1.1094059999999999</v>
      </c>
      <c r="L3180">
        <v>213.62950000000001</v>
      </c>
      <c r="M3180">
        <v>0.99988109999999997</v>
      </c>
      <c r="N3180">
        <v>-1.461718E-2</v>
      </c>
      <c r="O3180">
        <v>4.9332580000000003E-3</v>
      </c>
      <c r="P3180">
        <v>0.92146939999999999</v>
      </c>
      <c r="Q3180">
        <v>0.37090230000000002</v>
      </c>
      <c r="R3180">
        <v>0.11543639999999999</v>
      </c>
      <c r="S3180">
        <v>3.767242</v>
      </c>
      <c r="T3180">
        <v>-1.386825</v>
      </c>
      <c r="U3180">
        <v>0.37332149999999997</v>
      </c>
      <c r="V3180">
        <v>-0.10979609999999999</v>
      </c>
      <c r="W3180">
        <v>0.384654</v>
      </c>
      <c r="X3180">
        <v>0.91650759999999998</v>
      </c>
      <c r="Y3180">
        <v>-8.8033910000000007E-2</v>
      </c>
      <c r="Z3180">
        <v>1.4635860000000001E-2</v>
      </c>
      <c r="AA3180">
        <v>0.9960099</v>
      </c>
      <c r="AB3180">
        <v>45</v>
      </c>
      <c r="AC3180">
        <v>2.5769000000000202</v>
      </c>
      <c r="AD3180">
        <v>-1.1094049837390001</v>
      </c>
      <c r="AE3180">
        <v>0.29669999999998697</v>
      </c>
      <c r="AF3180">
        <v>-0.24006871020111201</v>
      </c>
      <c r="AG3180">
        <v>-1.1094049837390001</v>
      </c>
      <c r="AH3180">
        <v>2.1796304815663299</v>
      </c>
      <c r="AI3180">
        <v>116.83613163072999</v>
      </c>
      <c r="AJ3180">
        <v>96.285333193957996</v>
      </c>
      <c r="AK3180">
        <v>2.45747867533691</v>
      </c>
      <c r="AL3180">
        <v>67.377738923438201</v>
      </c>
      <c r="AM3180">
        <v>96.831383566887297</v>
      </c>
      <c r="AN3180">
        <v>1.00000003207448</v>
      </c>
    </row>
    <row r="3181" spans="1:40" x14ac:dyDescent="0.25">
      <c r="A3181" t="str">
        <f>"20190304164433263"</f>
        <v>20190304164433263</v>
      </c>
      <c r="B3181" t="str">
        <f>"1551689073253514"</f>
        <v>1551689073253514</v>
      </c>
      <c r="C3181" t="s">
        <v>40</v>
      </c>
      <c r="D3181">
        <v>5.00223</v>
      </c>
      <c r="E3181">
        <v>0.52847239999999995</v>
      </c>
      <c r="F3181" t="s">
        <v>45</v>
      </c>
      <c r="G3181">
        <v>-344.35820000000001</v>
      </c>
      <c r="H3181" s="1">
        <v>7.824084E-7</v>
      </c>
      <c r="I3181">
        <v>213.92490000000001</v>
      </c>
      <c r="J3181">
        <v>-346.93790000000001</v>
      </c>
      <c r="K3181">
        <v>1.10947</v>
      </c>
      <c r="L3181">
        <v>213.631</v>
      </c>
      <c r="M3181">
        <v>0.99988440000000001</v>
      </c>
      <c r="N3181">
        <v>-1.461491E-2</v>
      </c>
      <c r="O3181">
        <v>4.2061109999999898E-3</v>
      </c>
      <c r="P3181">
        <v>0.92189129999999997</v>
      </c>
      <c r="Q3181">
        <v>0.37016199999999999</v>
      </c>
      <c r="R3181">
        <v>0.1144405</v>
      </c>
      <c r="S3181">
        <v>3.7671809999999999</v>
      </c>
      <c r="T3181">
        <v>-1.3855869999999999</v>
      </c>
      <c r="U3181">
        <v>0.36904910000000002</v>
      </c>
      <c r="V3181">
        <v>-0.109533199999999</v>
      </c>
      <c r="W3181">
        <v>0.38389770000000001</v>
      </c>
      <c r="X3181">
        <v>0.91685609999999995</v>
      </c>
      <c r="Y3181">
        <v>-8.7633039999999995E-2</v>
      </c>
      <c r="Z3181">
        <v>1.4798769999999999E-2</v>
      </c>
      <c r="AA3181">
        <v>0.99604289999999995</v>
      </c>
      <c r="AB3181">
        <v>45</v>
      </c>
      <c r="AC3181">
        <v>2.5796999999999999</v>
      </c>
      <c r="AD3181">
        <v>-1.1094692175916001</v>
      </c>
      <c r="AE3181">
        <v>0.29390000000003602</v>
      </c>
      <c r="AF3181">
        <v>-0.239342701213132</v>
      </c>
      <c r="AG3181">
        <v>-1.1094692175916001</v>
      </c>
      <c r="AH3181">
        <v>2.1824133867567199</v>
      </c>
      <c r="AI3181">
        <v>116.809213823755</v>
      </c>
      <c r="AJ3181">
        <v>96.258549463017602</v>
      </c>
      <c r="AK3181">
        <v>2.4599054990186602</v>
      </c>
      <c r="AL3181">
        <v>67.424675716547</v>
      </c>
      <c r="AM3181">
        <v>96.812614151971999</v>
      </c>
      <c r="AN3181">
        <v>1.0000000370373601</v>
      </c>
    </row>
    <row r="3182" spans="1:40" x14ac:dyDescent="0.25">
      <c r="A3182" t="str">
        <f>"20190304164433287"</f>
        <v>20190304164433287</v>
      </c>
      <c r="B3182" t="str">
        <f>"1551689073282793"</f>
        <v>1551689073282793</v>
      </c>
      <c r="C3182" t="s">
        <v>40</v>
      </c>
      <c r="D3182">
        <v>4.9513220000000002</v>
      </c>
      <c r="E3182">
        <v>0.52770240000000002</v>
      </c>
      <c r="F3182" t="s">
        <v>41</v>
      </c>
      <c r="G3182">
        <v>-346.08659999999998</v>
      </c>
      <c r="H3182">
        <v>0.79470280000000004</v>
      </c>
      <c r="I3182">
        <v>213.71449999999999</v>
      </c>
      <c r="J3182">
        <v>-346.47370000000001</v>
      </c>
      <c r="K3182">
        <v>1.10955</v>
      </c>
      <c r="L3182">
        <v>213.63239999999999</v>
      </c>
      <c r="M3182">
        <v>0.99988699999999997</v>
      </c>
      <c r="N3182">
        <v>-1.461237E-2</v>
      </c>
      <c r="O3182">
        <v>3.5181019999999999E-3</v>
      </c>
      <c r="P3182">
        <v>0.92212769999999999</v>
      </c>
      <c r="Q3182">
        <v>0.36971680000000001</v>
      </c>
      <c r="R3182">
        <v>0.1139737</v>
      </c>
      <c r="S3182">
        <v>3.7675480000000001</v>
      </c>
      <c r="T3182">
        <v>-1.393097</v>
      </c>
      <c r="U3182">
        <v>0.37034610000000001</v>
      </c>
      <c r="V3182">
        <v>-0.10977389999999999</v>
      </c>
      <c r="W3182">
        <v>0.3834322</v>
      </c>
      <c r="X3182">
        <v>0.917022</v>
      </c>
      <c r="Y3182">
        <v>-8.8490780000000005E-2</v>
      </c>
      <c r="Z3182">
        <v>1.526457E-2</v>
      </c>
      <c r="AA3182">
        <v>0.99595999999999996</v>
      </c>
      <c r="AB3182">
        <v>45</v>
      </c>
      <c r="AC3182">
        <v>0.38710000000003197</v>
      </c>
      <c r="AD3182">
        <v>-0.31484719999999999</v>
      </c>
      <c r="AE3182">
        <v>8.2099999999996898E-2</v>
      </c>
      <c r="AF3182">
        <v>-4.9439407241448997E-2</v>
      </c>
      <c r="AG3182">
        <v>-0.31484719999999999</v>
      </c>
      <c r="AH3182">
        <v>0.23721517378439699</v>
      </c>
      <c r="AI3182">
        <v>142.41743559120599</v>
      </c>
      <c r="AJ3182">
        <v>101.77282124327</v>
      </c>
      <c r="AK3182">
        <v>0.39729592624363402</v>
      </c>
      <c r="AL3182">
        <v>67.453555171117301</v>
      </c>
      <c r="AM3182">
        <v>96.826220249538295</v>
      </c>
      <c r="AN3182">
        <v>0.99999995480102399</v>
      </c>
    </row>
    <row r="3183" spans="1:40" x14ac:dyDescent="0.25">
      <c r="A3183" t="str">
        <f>"20190304164433309"</f>
        <v>20190304164433309</v>
      </c>
      <c r="B3183" t="str">
        <f>"1551689073303291"</f>
        <v>1551689073303291</v>
      </c>
      <c r="C3183" t="s">
        <v>40</v>
      </c>
      <c r="D3183">
        <v>4.9664429999999999</v>
      </c>
      <c r="E3183">
        <v>0.52725180000000005</v>
      </c>
      <c r="F3183" t="s">
        <v>41</v>
      </c>
      <c r="G3183">
        <v>-345.68189999999998</v>
      </c>
      <c r="H3183">
        <v>0.81562029999999996</v>
      </c>
      <c r="I3183">
        <v>213.7106</v>
      </c>
      <c r="J3183">
        <v>-346.02080000000001</v>
      </c>
      <c r="K3183">
        <v>1.1096299999999999</v>
      </c>
      <c r="L3183">
        <v>213.6335</v>
      </c>
      <c r="M3183">
        <v>0.99988909999999998</v>
      </c>
      <c r="N3183">
        <v>-1.460973E-2</v>
      </c>
      <c r="O3183">
        <v>2.9315909999999999E-3</v>
      </c>
      <c r="P3183">
        <v>0.92226280000000005</v>
      </c>
      <c r="Q3183">
        <v>0.36957859999999998</v>
      </c>
      <c r="R3183">
        <v>0.1133285</v>
      </c>
      <c r="S3183">
        <v>3.767944</v>
      </c>
      <c r="T3183">
        <v>-1.398636</v>
      </c>
      <c r="U3183">
        <v>0.37313839999999998</v>
      </c>
      <c r="V3183">
        <v>-0.1097451</v>
      </c>
      <c r="W3183">
        <v>0.38327099999999997</v>
      </c>
      <c r="X3183">
        <v>0.91709289999999999</v>
      </c>
      <c r="Y3183">
        <v>-8.9638220000000005E-2</v>
      </c>
      <c r="Z3183">
        <v>1.5733150000000001E-2</v>
      </c>
      <c r="AA3183">
        <v>0.99585009999999996</v>
      </c>
      <c r="AB3183">
        <v>45</v>
      </c>
      <c r="AC3183">
        <v>0.33890000000002302</v>
      </c>
      <c r="AD3183">
        <v>-0.29400969999999899</v>
      </c>
      <c r="AE3183">
        <v>7.7100000000001501E-2</v>
      </c>
      <c r="AF3183">
        <v>-4.4361413278135302E-2</v>
      </c>
      <c r="AG3183">
        <v>-0.29400969999999899</v>
      </c>
      <c r="AH3183">
        <v>0.19767215510444699</v>
      </c>
      <c r="AI3183">
        <v>145.43103051032</v>
      </c>
      <c r="AJ3183">
        <v>102.64870189518901</v>
      </c>
      <c r="AK3183">
        <v>0.35704890363332498</v>
      </c>
      <c r="AL3183">
        <v>67.463556705594897</v>
      </c>
      <c r="AM3183">
        <v>96.823923613096298</v>
      </c>
      <c r="AN3183">
        <v>1.0000000168226999</v>
      </c>
    </row>
    <row r="3184" spans="1:40" x14ac:dyDescent="0.25">
      <c r="A3184" t="str">
        <f>"20190304164433331"</f>
        <v>20190304164433331</v>
      </c>
      <c r="B3184" t="str">
        <f>"1551689073322813"</f>
        <v>1551689073322813</v>
      </c>
      <c r="C3184" t="s">
        <v>40</v>
      </c>
      <c r="D3184">
        <v>4.9737339999999897</v>
      </c>
      <c r="E3184">
        <v>0.52707499999999996</v>
      </c>
      <c r="F3184" t="s">
        <v>41</v>
      </c>
      <c r="G3184">
        <v>-345.27269999999999</v>
      </c>
      <c r="H3184">
        <v>0.83127770000000001</v>
      </c>
      <c r="I3184">
        <v>213.708</v>
      </c>
      <c r="J3184">
        <v>-345.55430000000001</v>
      </c>
      <c r="K3184">
        <v>1.1097220000000001</v>
      </c>
      <c r="L3184">
        <v>213.6345</v>
      </c>
      <c r="M3184">
        <v>0.99989059999999996</v>
      </c>
      <c r="N3184">
        <v>-1.460696E-2</v>
      </c>
      <c r="O3184">
        <v>2.4106900000000001E-3</v>
      </c>
      <c r="P3184">
        <v>0.92229369999999999</v>
      </c>
      <c r="Q3184">
        <v>0.3696082</v>
      </c>
      <c r="R3184">
        <v>0.1129797</v>
      </c>
      <c r="S3184">
        <v>3.7685849999999999</v>
      </c>
      <c r="T3184">
        <v>-1.402272</v>
      </c>
      <c r="U3184">
        <v>0.37586979999999998</v>
      </c>
      <c r="V3184">
        <v>-0.10995829999999999</v>
      </c>
      <c r="W3184">
        <v>0.38327460000000002</v>
      </c>
      <c r="X3184">
        <v>0.91706589999999999</v>
      </c>
      <c r="Y3184">
        <v>-9.0720850000000006E-2</v>
      </c>
      <c r="Z3184">
        <v>1.614925E-2</v>
      </c>
      <c r="AA3184">
        <v>0.9957454</v>
      </c>
      <c r="AB3184">
        <v>45</v>
      </c>
      <c r="AC3184">
        <v>0.281600000000025</v>
      </c>
      <c r="AD3184">
        <v>-0.27844429999999898</v>
      </c>
      <c r="AE3184">
        <v>7.3499999999995597E-2</v>
      </c>
      <c r="AF3184">
        <v>-3.8019531871331599E-2</v>
      </c>
      <c r="AG3184">
        <v>-0.27844429999999898</v>
      </c>
      <c r="AH3184">
        <v>0.14711451826180599</v>
      </c>
      <c r="AI3184">
        <v>151.378567610826</v>
      </c>
      <c r="AJ3184">
        <v>104.490190914325</v>
      </c>
      <c r="AK3184">
        <v>0.31720560286604099</v>
      </c>
      <c r="AL3184">
        <v>67.463334314862493</v>
      </c>
      <c r="AM3184">
        <v>96.8372543585496</v>
      </c>
      <c r="AN3184">
        <v>1.0000000558434201</v>
      </c>
    </row>
    <row r="3185" spans="1:40" x14ac:dyDescent="0.25">
      <c r="A3185" t="str">
        <f>"20190304164433353"</f>
        <v>20190304164433353</v>
      </c>
      <c r="B3185" t="str">
        <f>"1551689073343305"</f>
        <v>1551689073343305</v>
      </c>
      <c r="C3185" t="s">
        <v>40</v>
      </c>
      <c r="D3185">
        <v>4.9433980000000002</v>
      </c>
      <c r="E3185">
        <v>0.52697649999999996</v>
      </c>
      <c r="F3185" t="s">
        <v>41</v>
      </c>
      <c r="G3185">
        <v>-344.86160000000001</v>
      </c>
      <c r="H3185">
        <v>0.85153210000000001</v>
      </c>
      <c r="I3185">
        <v>213.70339999999999</v>
      </c>
      <c r="J3185">
        <v>-345.12819999999999</v>
      </c>
      <c r="K3185">
        <v>1.1098059999999901</v>
      </c>
      <c r="L3185">
        <v>213.63509999999999</v>
      </c>
      <c r="M3185">
        <v>0.99989130000000004</v>
      </c>
      <c r="N3185">
        <v>-1.460439E-2</v>
      </c>
      <c r="O3185">
        <v>2.0053079999999999E-3</v>
      </c>
      <c r="P3185">
        <v>0.92223500000000003</v>
      </c>
      <c r="Q3185">
        <v>0.3696044</v>
      </c>
      <c r="R3185">
        <v>0.11346970000000001</v>
      </c>
      <c r="S3185">
        <v>3.7697449999999999</v>
      </c>
      <c r="T3185">
        <v>-1.4048969999999901</v>
      </c>
      <c r="U3185">
        <v>0.37573240000000002</v>
      </c>
      <c r="V3185">
        <v>-0.1108968</v>
      </c>
      <c r="W3185">
        <v>0.3832468</v>
      </c>
      <c r="X3185">
        <v>0.91696440000000001</v>
      </c>
      <c r="Y3185">
        <v>-9.0995969999999995E-2</v>
      </c>
      <c r="Z3185">
        <v>1.6363530000000001E-2</v>
      </c>
      <c r="AA3185">
        <v>0.99571679999999996</v>
      </c>
      <c r="AB3185">
        <v>45</v>
      </c>
      <c r="AC3185">
        <v>0.26659999999998202</v>
      </c>
      <c r="AD3185">
        <v>-0.258273899999999</v>
      </c>
      <c r="AE3185">
        <v>6.8299999999993505E-2</v>
      </c>
      <c r="AF3185">
        <v>-3.6031697339706598E-2</v>
      </c>
      <c r="AG3185">
        <v>-0.258273899999999</v>
      </c>
      <c r="AH3185">
        <v>0.14182748757029301</v>
      </c>
      <c r="AI3185">
        <v>150.46496313233899</v>
      </c>
      <c r="AJ3185">
        <v>104.254593470892</v>
      </c>
      <c r="AK3185">
        <v>0.29684798612234398</v>
      </c>
      <c r="AL3185">
        <v>67.4650565515972</v>
      </c>
      <c r="AM3185">
        <v>96.895807123759198</v>
      </c>
      <c r="AN3185">
        <v>0.99999996041391903</v>
      </c>
    </row>
    <row r="3186" spans="1:40" x14ac:dyDescent="0.25">
      <c r="A3186" t="str">
        <f>"20190304164433375"</f>
        <v>20190304164433375</v>
      </c>
      <c r="B3186" t="str">
        <f>"1551689073362826"</f>
        <v>1551689073362826</v>
      </c>
      <c r="C3186" t="s">
        <v>40</v>
      </c>
      <c r="D3186">
        <v>4.9554330000000002</v>
      </c>
      <c r="E3186">
        <v>0.52688000000000001</v>
      </c>
      <c r="F3186" t="s">
        <v>41</v>
      </c>
      <c r="G3186">
        <v>-344.45609999999999</v>
      </c>
      <c r="H3186">
        <v>0.85913249999999997</v>
      </c>
      <c r="I3186">
        <v>213.7021</v>
      </c>
      <c r="J3186">
        <v>-344.69510000000002</v>
      </c>
      <c r="K3186">
        <v>1.109883</v>
      </c>
      <c r="L3186">
        <v>213.63570000000001</v>
      </c>
      <c r="M3186">
        <v>0.99989220000000001</v>
      </c>
      <c r="N3186">
        <v>-1.460175E-2</v>
      </c>
      <c r="O3186">
        <v>1.6578470000000001E-3</v>
      </c>
      <c r="P3186">
        <v>0.92263969999999995</v>
      </c>
      <c r="Q3186">
        <v>0.36851220000000001</v>
      </c>
      <c r="R3186">
        <v>0.1137319</v>
      </c>
      <c r="S3186">
        <v>3.7702939999999998</v>
      </c>
      <c r="T3186">
        <v>-1.4063619999999999</v>
      </c>
      <c r="U3186">
        <v>0.37646479999999999</v>
      </c>
      <c r="V3186">
        <v>-0.11155610000000001</v>
      </c>
      <c r="W3186">
        <v>0.38213710000000001</v>
      </c>
      <c r="X3186">
        <v>0.91734749999999998</v>
      </c>
      <c r="Y3186">
        <v>-9.1455300000000003E-2</v>
      </c>
      <c r="Z3186">
        <v>1.658283E-2</v>
      </c>
      <c r="AA3186">
        <v>0.99567110000000003</v>
      </c>
      <c r="AB3186">
        <v>45</v>
      </c>
      <c r="AC3186">
        <v>0.23900000000003199</v>
      </c>
      <c r="AD3186">
        <v>-0.25075049999999899</v>
      </c>
      <c r="AE3186">
        <v>6.6399999999987303E-2</v>
      </c>
      <c r="AF3186">
        <v>-3.2644798486565402E-2</v>
      </c>
      <c r="AG3186">
        <v>-0.25075049999999899</v>
      </c>
      <c r="AH3186">
        <v>0.118261507045352</v>
      </c>
      <c r="AI3186">
        <v>153.92893466725701</v>
      </c>
      <c r="AJ3186">
        <v>105.43158605016001</v>
      </c>
      <c r="AK3186">
        <v>0.27915458113224001</v>
      </c>
      <c r="AL3186">
        <v>67.5338770317898</v>
      </c>
      <c r="AM3186">
        <v>96.933537052503695</v>
      </c>
      <c r="AN3186">
        <v>0.99999998119993405</v>
      </c>
    </row>
    <row r="3187" spans="1:40" x14ac:dyDescent="0.25">
      <c r="A3187" t="str">
        <f>"20190304164433396"</f>
        <v>20190304164433396</v>
      </c>
      <c r="B3187" t="str">
        <f>"1551689073393082"</f>
        <v>1551689073393082</v>
      </c>
      <c r="C3187" t="s">
        <v>40</v>
      </c>
      <c r="D3187">
        <v>4.9445489999999896</v>
      </c>
      <c r="E3187">
        <v>0.52674359999999998</v>
      </c>
      <c r="F3187" t="s">
        <v>45</v>
      </c>
      <c r="G3187">
        <v>-341.73379999999997</v>
      </c>
      <c r="H3187" s="1">
        <v>-6.1416319999999905E-7</v>
      </c>
      <c r="I3187">
        <v>213.934</v>
      </c>
      <c r="J3187">
        <v>-344.24180000000001</v>
      </c>
      <c r="K3187">
        <v>1.1099619999999999</v>
      </c>
      <c r="L3187">
        <v>213.6362</v>
      </c>
      <c r="M3187">
        <v>0.99989260000000002</v>
      </c>
      <c r="N3187">
        <v>-1.4598979999999999E-2</v>
      </c>
      <c r="O3187">
        <v>1.3635079999999901E-3</v>
      </c>
      <c r="P3187">
        <v>0.92304370000000002</v>
      </c>
      <c r="Q3187">
        <v>0.3674596</v>
      </c>
      <c r="R3187">
        <v>0.1138594</v>
      </c>
      <c r="S3187">
        <v>3.7689509999999999</v>
      </c>
      <c r="T3187">
        <v>-1.4125890000000001</v>
      </c>
      <c r="U3187">
        <v>0.37968439999999998</v>
      </c>
      <c r="V3187">
        <v>-0.112032199999999</v>
      </c>
      <c r="W3187">
        <v>0.38106610000000002</v>
      </c>
      <c r="X3187">
        <v>0.91773499999999997</v>
      </c>
      <c r="Y3187">
        <v>-9.2478989999999997E-2</v>
      </c>
      <c r="Z3187">
        <v>1.694857E-2</v>
      </c>
      <c r="AA3187">
        <v>0.99557039999999997</v>
      </c>
      <c r="AB3187">
        <v>45</v>
      </c>
      <c r="AC3187">
        <v>2.5080000000000302</v>
      </c>
      <c r="AD3187">
        <v>-1.1099626141632</v>
      </c>
      <c r="AE3187">
        <v>0.29780000000002299</v>
      </c>
      <c r="AF3187">
        <v>-0.24672603078899899</v>
      </c>
      <c r="AG3187">
        <v>-1.1099626141632</v>
      </c>
      <c r="AH3187">
        <v>2.10234790116264</v>
      </c>
      <c r="AI3187">
        <v>117.670930882541</v>
      </c>
      <c r="AJ3187">
        <v>96.6934651804726</v>
      </c>
      <c r="AK3187">
        <v>2.3901375350870202</v>
      </c>
      <c r="AL3187">
        <v>67.600266389999106</v>
      </c>
      <c r="AM3187">
        <v>96.959927072769105</v>
      </c>
      <c r="AN3187">
        <v>1.00000005831552</v>
      </c>
    </row>
    <row r="3188" spans="1:40" x14ac:dyDescent="0.25">
      <c r="A3188" t="str">
        <f>"20190304164433420"</f>
        <v>20190304164433420</v>
      </c>
      <c r="B3188" t="str">
        <f>"1551689073413578"</f>
        <v>1551689073413578</v>
      </c>
      <c r="C3188" t="s">
        <v>40</v>
      </c>
      <c r="D3188">
        <v>4.9377509999999996</v>
      </c>
      <c r="E3188">
        <v>0.52665580000000001</v>
      </c>
      <c r="F3188" t="s">
        <v>45</v>
      </c>
      <c r="G3188">
        <v>-341.29610000000002</v>
      </c>
      <c r="H3188" s="1">
        <v>-8.4708310000000001E-7</v>
      </c>
      <c r="I3188">
        <v>213.9374</v>
      </c>
      <c r="J3188">
        <v>-343.76350000000002</v>
      </c>
      <c r="K3188">
        <v>1.1100460000000001</v>
      </c>
      <c r="L3188">
        <v>213.63659999999999</v>
      </c>
      <c r="M3188">
        <v>0.99989300000000003</v>
      </c>
      <c r="N3188">
        <v>-1.459598E-2</v>
      </c>
      <c r="O3188">
        <v>1.110731E-3</v>
      </c>
      <c r="P3188">
        <v>0.92331419999999997</v>
      </c>
      <c r="Q3188">
        <v>0.36662420000000001</v>
      </c>
      <c r="R3188">
        <v>0.1143571</v>
      </c>
      <c r="S3188">
        <v>3.767792</v>
      </c>
      <c r="T3188">
        <v>-1.4197109999999999</v>
      </c>
      <c r="U3188">
        <v>0.38525389999999998</v>
      </c>
      <c r="V3188">
        <v>-0.1128392</v>
      </c>
      <c r="W3188">
        <v>0.38020979999999999</v>
      </c>
      <c r="X3188">
        <v>0.91799120000000001</v>
      </c>
      <c r="Y3188">
        <v>-9.4028039999999993E-2</v>
      </c>
      <c r="Z3188">
        <v>1.7410399999999999E-2</v>
      </c>
      <c r="AA3188">
        <v>0.99541729999999995</v>
      </c>
      <c r="AB3188">
        <v>45</v>
      </c>
      <c r="AC3188">
        <v>2.4673999999999898</v>
      </c>
      <c r="AD3188">
        <v>-1.1100468470831</v>
      </c>
      <c r="AE3188">
        <v>0.300800000000009</v>
      </c>
      <c r="AF3188">
        <v>-0.24849988552664701</v>
      </c>
      <c r="AG3188">
        <v>-1.1100468470831</v>
      </c>
      <c r="AH3188">
        <v>2.0574163805987999</v>
      </c>
      <c r="AI3188">
        <v>118.175346797103</v>
      </c>
      <c r="AJ3188">
        <v>96.886966584140296</v>
      </c>
      <c r="AK3188">
        <v>2.35093988842381</v>
      </c>
      <c r="AL3188">
        <v>67.653321484166199</v>
      </c>
      <c r="AM3188">
        <v>97.007627597853002</v>
      </c>
      <c r="AN3188">
        <v>1.0000000101750599</v>
      </c>
    </row>
    <row r="3189" spans="1:40" x14ac:dyDescent="0.25">
      <c r="A3189" t="str">
        <f>"20190304164433442"</f>
        <v>20190304164433442</v>
      </c>
      <c r="B3189" t="str">
        <f>"1551689073433098"</f>
        <v>1551689073433098</v>
      </c>
      <c r="C3189" t="s">
        <v>40</v>
      </c>
      <c r="D3189">
        <v>4.9226609999999997</v>
      </c>
      <c r="E3189">
        <v>0.52655169999999996</v>
      </c>
      <c r="F3189" t="s">
        <v>45</v>
      </c>
      <c r="G3189">
        <v>-340.82850000000002</v>
      </c>
      <c r="H3189" s="1">
        <v>-1.095894E-6</v>
      </c>
      <c r="I3189">
        <v>213.94030000000001</v>
      </c>
      <c r="J3189">
        <v>-343.32</v>
      </c>
      <c r="K3189">
        <v>1.110115</v>
      </c>
      <c r="L3189">
        <v>213.6369</v>
      </c>
      <c r="M3189">
        <v>0.99989309999999998</v>
      </c>
      <c r="N3189">
        <v>-1.4593170000000001E-2</v>
      </c>
      <c r="O3189">
        <v>9.276124E-4</v>
      </c>
      <c r="P3189">
        <v>0.92336450000000003</v>
      </c>
      <c r="Q3189">
        <v>0.36617670000000002</v>
      </c>
      <c r="R3189">
        <v>0.115382</v>
      </c>
      <c r="S3189">
        <v>3.7665709999999999</v>
      </c>
      <c r="T3189">
        <v>-1.4245540000000001</v>
      </c>
      <c r="U3189">
        <v>0.38977050000000002</v>
      </c>
      <c r="V3189">
        <v>-0.1141007</v>
      </c>
      <c r="W3189">
        <v>0.37974180000000002</v>
      </c>
      <c r="X3189">
        <v>0.91802899999999998</v>
      </c>
      <c r="Y3189">
        <v>-9.5277440000000005E-2</v>
      </c>
      <c r="Z3189">
        <v>1.776933E-2</v>
      </c>
      <c r="AA3189">
        <v>0.99529210000000001</v>
      </c>
      <c r="AB3189">
        <v>45</v>
      </c>
      <c r="AC3189">
        <v>2.4914999999999701</v>
      </c>
      <c r="AD3189">
        <v>-1.110116095894</v>
      </c>
      <c r="AE3189">
        <v>0.30340000000001</v>
      </c>
      <c r="AF3189">
        <v>-0.25182538283695499</v>
      </c>
      <c r="AG3189">
        <v>-1.110116095894</v>
      </c>
      <c r="AH3189">
        <v>2.0840835828921702</v>
      </c>
      <c r="AI3189">
        <v>117.870664406088</v>
      </c>
      <c r="AJ3189">
        <v>96.889799970170003</v>
      </c>
      <c r="AK3189">
        <v>2.3746953805245399</v>
      </c>
      <c r="AL3189">
        <v>67.682310503440405</v>
      </c>
      <c r="AM3189">
        <v>97.084889588965396</v>
      </c>
      <c r="AN3189">
        <v>1.0000000246243601</v>
      </c>
    </row>
    <row r="3190" spans="1:40" x14ac:dyDescent="0.25">
      <c r="A3190" t="str">
        <f>"20190304164433465"</f>
        <v>20190304164433465</v>
      </c>
      <c r="B3190" t="str">
        <f>"1551689073453594"</f>
        <v>1551689073453594</v>
      </c>
      <c r="C3190" t="s">
        <v>40</v>
      </c>
      <c r="D3190">
        <v>4.947025</v>
      </c>
      <c r="E3190">
        <v>0.52645280000000005</v>
      </c>
      <c r="F3190" t="s">
        <v>45</v>
      </c>
      <c r="G3190">
        <v>-340.39159999999998</v>
      </c>
      <c r="H3190" s="1">
        <v>-1.328399E-6</v>
      </c>
      <c r="I3190">
        <v>213.94220000000001</v>
      </c>
      <c r="J3190">
        <v>-342.88889999999998</v>
      </c>
      <c r="K3190">
        <v>1.1101840000000001</v>
      </c>
      <c r="L3190">
        <v>213.6371</v>
      </c>
      <c r="M3190">
        <v>0.99989329999999998</v>
      </c>
      <c r="N3190">
        <v>-1.459042E-2</v>
      </c>
      <c r="O3190">
        <v>7.9835629999999995E-4</v>
      </c>
      <c r="P3190">
        <v>0.92338929999999997</v>
      </c>
      <c r="Q3190">
        <v>0.36586249999999998</v>
      </c>
      <c r="R3190">
        <v>0.1161765</v>
      </c>
      <c r="S3190">
        <v>3.7661440000000002</v>
      </c>
      <c r="T3190">
        <v>-1.427705</v>
      </c>
      <c r="U3190">
        <v>0.39260859999999997</v>
      </c>
      <c r="V3190">
        <v>-0.1150786</v>
      </c>
      <c r="W3190">
        <v>0.37940740000000001</v>
      </c>
      <c r="X3190">
        <v>0.91804520000000001</v>
      </c>
      <c r="Y3190">
        <v>-9.606584E-2</v>
      </c>
      <c r="Z3190">
        <v>1.8001219999999998E-2</v>
      </c>
      <c r="AA3190">
        <v>0.99521219999999999</v>
      </c>
      <c r="AB3190">
        <v>45</v>
      </c>
      <c r="AC3190">
        <v>2.4972999999999899</v>
      </c>
      <c r="AD3190">
        <v>-1.110185328399</v>
      </c>
      <c r="AE3190">
        <v>0.30510000000000997</v>
      </c>
      <c r="AF3190">
        <v>-0.25370415840305099</v>
      </c>
      <c r="AG3190">
        <v>-1.110185328399</v>
      </c>
      <c r="AH3190">
        <v>2.0904801931627199</v>
      </c>
      <c r="AI3190">
        <v>117.798147186034</v>
      </c>
      <c r="AJ3190">
        <v>96.919671171999198</v>
      </c>
      <c r="AK3190">
        <v>2.3805429425635301</v>
      </c>
      <c r="AL3190">
        <v>67.703020086326404</v>
      </c>
      <c r="AM3190">
        <v>97.144860917135006</v>
      </c>
      <c r="AN3190">
        <v>1.0000000242978699</v>
      </c>
    </row>
    <row r="3191" spans="1:40" x14ac:dyDescent="0.25">
      <c r="A3191" t="str">
        <f>"20190304164433488"</f>
        <v>20190304164433488</v>
      </c>
      <c r="B3191" t="str">
        <f>"1551689073482874"</f>
        <v>1551689073482874</v>
      </c>
      <c r="C3191" t="s">
        <v>40</v>
      </c>
      <c r="D3191">
        <v>4.9324349999999999</v>
      </c>
      <c r="E3191">
        <v>0.52626600000000001</v>
      </c>
      <c r="F3191" t="s">
        <v>41</v>
      </c>
      <c r="G3191">
        <v>-342.06240000000003</v>
      </c>
      <c r="H3191">
        <v>0.79625380000000001</v>
      </c>
      <c r="I3191">
        <v>213.72370000000001</v>
      </c>
      <c r="J3191">
        <v>-342.41640000000001</v>
      </c>
      <c r="K3191">
        <v>1.1102609999999999</v>
      </c>
      <c r="L3191">
        <v>213.63740000000001</v>
      </c>
      <c r="M3191">
        <v>0.99989340000000004</v>
      </c>
      <c r="N3191">
        <v>-1.45874E-2</v>
      </c>
      <c r="O3191">
        <v>7.023388E-4</v>
      </c>
      <c r="P3191">
        <v>0.92342420000000003</v>
      </c>
      <c r="Q3191">
        <v>0.36558980000000002</v>
      </c>
      <c r="R3191">
        <v>0.11675720000000001</v>
      </c>
      <c r="S3191">
        <v>3.7658999999999998</v>
      </c>
      <c r="T3191">
        <v>-1.4303809999999999</v>
      </c>
      <c r="U3191">
        <v>0.39546199999999998</v>
      </c>
      <c r="V3191">
        <v>-0.11581470000000001</v>
      </c>
      <c r="W3191">
        <v>0.37911260000000002</v>
      </c>
      <c r="X3191">
        <v>0.91807439999999996</v>
      </c>
      <c r="Y3191">
        <v>-9.6828479999999995E-2</v>
      </c>
      <c r="Z3191">
        <v>1.8211049999999999E-2</v>
      </c>
      <c r="AA3191">
        <v>0.99513450000000003</v>
      </c>
      <c r="AB3191">
        <v>45</v>
      </c>
      <c r="AC3191">
        <v>0.35399999999998399</v>
      </c>
      <c r="AD3191">
        <v>-0.31400719999999999</v>
      </c>
      <c r="AE3191">
        <v>8.6299999999994201E-2</v>
      </c>
      <c r="AF3191">
        <v>-4.9378818209928198E-2</v>
      </c>
      <c r="AG3191">
        <v>-0.31400719999999999</v>
      </c>
      <c r="AH3191">
        <v>0.20317050004193399</v>
      </c>
      <c r="AI3191">
        <v>146.34192619154601</v>
      </c>
      <c r="AJ3191">
        <v>103.660381352418</v>
      </c>
      <c r="AK3191">
        <v>0.37724930937900802</v>
      </c>
      <c r="AL3191">
        <v>67.721274252026802</v>
      </c>
      <c r="AM3191">
        <v>97.189859906498796</v>
      </c>
      <c r="AN3191">
        <v>1.0000000060751</v>
      </c>
    </row>
    <row r="3192" spans="1:40" x14ac:dyDescent="0.25">
      <c r="A3192" t="str">
        <f>"20190304164433513"</f>
        <v>20190304164433513</v>
      </c>
      <c r="B3192" t="str">
        <f>"1551689073503370"</f>
        <v>1551689073503370</v>
      </c>
      <c r="C3192" t="s">
        <v>40</v>
      </c>
      <c r="D3192">
        <v>4.9349259999999999</v>
      </c>
      <c r="E3192">
        <v>0.52619519999999997</v>
      </c>
      <c r="F3192" t="s">
        <v>41</v>
      </c>
      <c r="G3192">
        <v>-341.6635</v>
      </c>
      <c r="H3192">
        <v>0.82375689999999901</v>
      </c>
      <c r="I3192">
        <v>213.71719999999999</v>
      </c>
      <c r="J3192">
        <v>-341.93380000000002</v>
      </c>
      <c r="K3192">
        <v>1.11032999999999</v>
      </c>
      <c r="L3192">
        <v>213.63759999999999</v>
      </c>
      <c r="M3192">
        <v>0.99989349999999999</v>
      </c>
      <c r="N3192">
        <v>-1.458431E-2</v>
      </c>
      <c r="O3192">
        <v>6.5277070000000002E-4</v>
      </c>
      <c r="P3192">
        <v>0.9235911</v>
      </c>
      <c r="Q3192">
        <v>0.36501670000000003</v>
      </c>
      <c r="R3192">
        <v>0.1172285</v>
      </c>
      <c r="S3192">
        <v>3.7655029999999998</v>
      </c>
      <c r="T3192">
        <v>-1.4328650000000001</v>
      </c>
      <c r="U3192">
        <v>0.39950560000000002</v>
      </c>
      <c r="V3192">
        <v>-0.11639670000000001</v>
      </c>
      <c r="W3192">
        <v>0.37851950000000001</v>
      </c>
      <c r="X3192">
        <v>0.91824550000000005</v>
      </c>
      <c r="Y3192">
        <v>-9.7845719999999997E-2</v>
      </c>
      <c r="Z3192">
        <v>1.8451909999999998E-2</v>
      </c>
      <c r="AA3192">
        <v>0.99503050000000004</v>
      </c>
      <c r="AB3192">
        <v>45</v>
      </c>
      <c r="AC3192">
        <v>0.27030000000002002</v>
      </c>
      <c r="AD3192">
        <v>-0.28657309999999903</v>
      </c>
      <c r="AE3192">
        <v>7.9599999999999199E-2</v>
      </c>
      <c r="AF3192">
        <v>-3.9041574739957098E-2</v>
      </c>
      <c r="AG3192">
        <v>-0.28657309999999903</v>
      </c>
      <c r="AH3192">
        <v>0.132894691554898</v>
      </c>
      <c r="AI3192">
        <v>154.20389649883501</v>
      </c>
      <c r="AJ3192">
        <v>106.37164283422599</v>
      </c>
      <c r="AK3192">
        <v>0.31829135276544501</v>
      </c>
      <c r="AL3192">
        <v>67.757992831307604</v>
      </c>
      <c r="AM3192">
        <v>97.224277809965301</v>
      </c>
      <c r="AN3192">
        <v>1.00000000096069</v>
      </c>
    </row>
    <row r="3193" spans="1:40" x14ac:dyDescent="0.25">
      <c r="A3193" t="str">
        <f>"20190304164433533"</f>
        <v>20190304164433533</v>
      </c>
      <c r="B3193" t="str">
        <f>"1551689073522890"</f>
        <v>1551689073522890</v>
      </c>
      <c r="C3193" t="s">
        <v>40</v>
      </c>
      <c r="D3193">
        <v>4.9428039999999998</v>
      </c>
      <c r="E3193">
        <v>0.52605469999999999</v>
      </c>
      <c r="F3193" t="s">
        <v>41</v>
      </c>
      <c r="G3193">
        <v>-341.25279999999998</v>
      </c>
      <c r="H3193">
        <v>0.85063310000000003</v>
      </c>
      <c r="I3193">
        <v>213.7097</v>
      </c>
      <c r="J3193">
        <v>-341.51199999999898</v>
      </c>
      <c r="K3193">
        <v>1.1103909999999999</v>
      </c>
      <c r="L3193">
        <v>213.6379</v>
      </c>
      <c r="M3193">
        <v>0.99989349999999999</v>
      </c>
      <c r="N3193">
        <v>-1.458161E-2</v>
      </c>
      <c r="O3193">
        <v>6.6632919999999997E-4</v>
      </c>
      <c r="P3193">
        <v>0.92373320000000003</v>
      </c>
      <c r="Q3193">
        <v>0.36458269999999998</v>
      </c>
      <c r="R3193">
        <v>0.1174591</v>
      </c>
      <c r="S3193">
        <v>3.7646790000000001</v>
      </c>
      <c r="T3193">
        <v>-1.4356009999999999</v>
      </c>
      <c r="U3193">
        <v>0.40065000000000001</v>
      </c>
      <c r="V3193">
        <v>-0.1166749</v>
      </c>
      <c r="W3193">
        <v>0.37806709999999999</v>
      </c>
      <c r="X3193">
        <v>0.91839660000000001</v>
      </c>
      <c r="Y3193">
        <v>-9.8108029999999999E-2</v>
      </c>
      <c r="Z3193">
        <v>1.853223E-2</v>
      </c>
      <c r="AA3193">
        <v>0.99500319999999998</v>
      </c>
      <c r="AB3193">
        <v>45</v>
      </c>
      <c r="AC3193">
        <v>0.25919999999996401</v>
      </c>
      <c r="AD3193">
        <v>-0.25975789999999899</v>
      </c>
      <c r="AE3193">
        <v>7.1799999999996006E-2</v>
      </c>
      <c r="AF3193">
        <v>-3.70599880674954E-2</v>
      </c>
      <c r="AG3193">
        <v>-0.25975789999999899</v>
      </c>
      <c r="AH3193">
        <v>0.134134977642963</v>
      </c>
      <c r="AI3193">
        <v>151.820647758349</v>
      </c>
      <c r="AJ3193">
        <v>105.444878101754</v>
      </c>
      <c r="AK3193">
        <v>0.29468593715216701</v>
      </c>
      <c r="AL3193">
        <v>67.785995258423398</v>
      </c>
      <c r="AM3193">
        <v>97.240182753500406</v>
      </c>
      <c r="AN3193">
        <v>1.0000000396419799</v>
      </c>
    </row>
    <row r="3194" spans="1:40" x14ac:dyDescent="0.25">
      <c r="A3194" t="str">
        <f>"20190304164433554"</f>
        <v>20190304164433554</v>
      </c>
      <c r="B3194" t="str">
        <f>"1551689073543386"</f>
        <v>1551689073543386</v>
      </c>
      <c r="C3194" t="s">
        <v>40</v>
      </c>
      <c r="D3194">
        <v>4.9322869999999996</v>
      </c>
      <c r="E3194">
        <v>0.52594490000000005</v>
      </c>
      <c r="F3194" t="s">
        <v>41</v>
      </c>
      <c r="G3194">
        <v>-340.85039999999998</v>
      </c>
      <c r="H3194">
        <v>0.85758969999999901</v>
      </c>
      <c r="I3194">
        <v>213.70849999999999</v>
      </c>
      <c r="J3194">
        <v>-341.1044</v>
      </c>
      <c r="K3194">
        <v>1.110463</v>
      </c>
      <c r="L3194">
        <v>213.63820000000001</v>
      </c>
      <c r="M3194">
        <v>0.99989360000000005</v>
      </c>
      <c r="N3194">
        <v>-1.457906E-2</v>
      </c>
      <c r="O3194">
        <v>7.4261559999999995E-4</v>
      </c>
      <c r="P3194">
        <v>0.92368300000000003</v>
      </c>
      <c r="Q3194">
        <v>0.36474479999999998</v>
      </c>
      <c r="R3194">
        <v>0.1173511</v>
      </c>
      <c r="S3194">
        <v>3.7642519999999999</v>
      </c>
      <c r="T3194">
        <v>-1.4383950000000001</v>
      </c>
      <c r="U3194">
        <v>0.40223690000000001</v>
      </c>
      <c r="V3194">
        <v>-0.1165614</v>
      </c>
      <c r="W3194">
        <v>0.37820530000000002</v>
      </c>
      <c r="X3194">
        <v>0.91835409999999995</v>
      </c>
      <c r="Y3194">
        <v>-9.8414280000000007E-2</v>
      </c>
      <c r="Z3194">
        <v>1.8597740000000001E-2</v>
      </c>
      <c r="AA3194">
        <v>0.99497179999999996</v>
      </c>
      <c r="AB3194">
        <v>45</v>
      </c>
      <c r="AC3194">
        <v>0.25400000000001899</v>
      </c>
      <c r="AD3194">
        <v>-0.25287330000000002</v>
      </c>
      <c r="AE3194">
        <v>7.0299999999974702E-2</v>
      </c>
      <c r="AF3194">
        <v>-3.6504423837700799E-2</v>
      </c>
      <c r="AG3194">
        <v>-0.25287330000000002</v>
      </c>
      <c r="AH3194">
        <v>0.132275713800941</v>
      </c>
      <c r="AI3194">
        <v>151.51375651320501</v>
      </c>
      <c r="AJ3194">
        <v>105.428026609149</v>
      </c>
      <c r="AK3194">
        <v>0.28770530630170998</v>
      </c>
      <c r="AL3194">
        <v>67.777441691152404</v>
      </c>
      <c r="AM3194">
        <v>97.233545414110594</v>
      </c>
      <c r="AN3194">
        <v>1.00000003095242</v>
      </c>
    </row>
    <row r="3195" spans="1:40" x14ac:dyDescent="0.25">
      <c r="A3195" t="str">
        <f>"20190304164433576"</f>
        <v>20190304164433576</v>
      </c>
      <c r="B3195" t="str">
        <f>"1551689073562907"</f>
        <v>1551689073562907</v>
      </c>
      <c r="C3195" t="s">
        <v>40</v>
      </c>
      <c r="D3195">
        <v>4.9380470000000001</v>
      </c>
      <c r="E3195">
        <v>0.52623019999999998</v>
      </c>
      <c r="F3195" t="s">
        <v>41</v>
      </c>
      <c r="G3195">
        <v>-340.45010000000002</v>
      </c>
      <c r="H3195">
        <v>0.86051819999999901</v>
      </c>
      <c r="I3195">
        <v>213.7079</v>
      </c>
      <c r="J3195">
        <v>-340.67320000000001</v>
      </c>
      <c r="K3195">
        <v>1.110547</v>
      </c>
      <c r="L3195">
        <v>213.6386</v>
      </c>
      <c r="M3195">
        <v>0.99989340000000004</v>
      </c>
      <c r="N3195">
        <v>-1.457672E-2</v>
      </c>
      <c r="O3195">
        <v>9.0167470000000001E-4</v>
      </c>
      <c r="P3195">
        <v>0.92363640000000002</v>
      </c>
      <c r="Q3195">
        <v>0.36487710000000001</v>
      </c>
      <c r="R3195">
        <v>0.1173059</v>
      </c>
      <c r="S3195">
        <v>3.7646480000000002</v>
      </c>
      <c r="T3195">
        <v>-1.438205</v>
      </c>
      <c r="U3195">
        <v>0.40261839999999999</v>
      </c>
      <c r="V3195">
        <v>-0.1164473</v>
      </c>
      <c r="W3195">
        <v>0.37831160000000003</v>
      </c>
      <c r="X3195">
        <v>0.91832469999999999</v>
      </c>
      <c r="Y3195">
        <v>-9.8362099999999994E-2</v>
      </c>
      <c r="Z3195">
        <v>1.852726E-2</v>
      </c>
      <c r="AA3195">
        <v>0.99497820000000003</v>
      </c>
      <c r="AB3195">
        <v>45</v>
      </c>
      <c r="AC3195">
        <v>0.223099999999988</v>
      </c>
      <c r="AD3195">
        <v>-0.2500288</v>
      </c>
      <c r="AE3195">
        <v>6.9299999999998294E-2</v>
      </c>
      <c r="AF3195">
        <v>-3.2207072933798597E-2</v>
      </c>
      <c r="AG3195">
        <v>-0.2500288</v>
      </c>
      <c r="AH3195">
        <v>0.10401641021701</v>
      </c>
      <c r="AI3195">
        <v>156.46668689980899</v>
      </c>
      <c r="AJ3195">
        <v>107.204330546031</v>
      </c>
      <c r="AK3195">
        <v>0.272710670804859</v>
      </c>
      <c r="AL3195">
        <v>67.770860347456306</v>
      </c>
      <c r="AM3195">
        <v>97.226768419910599</v>
      </c>
      <c r="AN3195">
        <v>0.99999994750096799</v>
      </c>
    </row>
    <row r="3196" spans="1:40" x14ac:dyDescent="0.25">
      <c r="A3196" t="str">
        <f>"20190304164433599"</f>
        <v>20190304164433599</v>
      </c>
      <c r="B3196" t="str">
        <f>"1551689073593163"</f>
        <v>1551689073593163</v>
      </c>
      <c r="C3196" t="s">
        <v>40</v>
      </c>
      <c r="D3196">
        <v>4.9363570000000001</v>
      </c>
      <c r="E3196">
        <v>0.52610610000000002</v>
      </c>
      <c r="F3196" t="s">
        <v>45</v>
      </c>
      <c r="G3196">
        <v>-337.75369999999998</v>
      </c>
      <c r="H3196" s="1">
        <v>2.6185800000000001E-6</v>
      </c>
      <c r="I3196">
        <v>213.9477</v>
      </c>
      <c r="J3196">
        <v>-340.19240000000002</v>
      </c>
      <c r="K3196">
        <v>1.110657</v>
      </c>
      <c r="L3196">
        <v>213.63919999999999</v>
      </c>
      <c r="M3196">
        <v>0.99989309999999998</v>
      </c>
      <c r="N3196">
        <v>-1.4573920000000001E-2</v>
      </c>
      <c r="O3196">
        <v>1.1735859999999999E-3</v>
      </c>
      <c r="P3196">
        <v>0.92354420000000004</v>
      </c>
      <c r="Q3196">
        <v>0.36512319999999998</v>
      </c>
      <c r="R3196">
        <v>0.1172665</v>
      </c>
      <c r="S3196">
        <v>3.7628780000000002</v>
      </c>
      <c r="T3196">
        <v>-1.4313400000000001</v>
      </c>
      <c r="U3196">
        <v>0.39839170000000002</v>
      </c>
      <c r="V3196">
        <v>-0.1162498</v>
      </c>
      <c r="W3196">
        <v>0.37852530000000001</v>
      </c>
      <c r="X3196">
        <v>0.91826169999999996</v>
      </c>
      <c r="Y3196">
        <v>-9.7194459999999996E-2</v>
      </c>
      <c r="Z3196">
        <v>1.8137540000000001E-2</v>
      </c>
      <c r="AA3196">
        <v>0.99510010000000004</v>
      </c>
      <c r="AB3196">
        <v>45</v>
      </c>
      <c r="AC3196">
        <v>2.4387000000000398</v>
      </c>
      <c r="AD3196">
        <v>-1.1106543814200001</v>
      </c>
      <c r="AE3196">
        <v>0.30850000000000899</v>
      </c>
      <c r="AF3196">
        <v>-0.25382039936753098</v>
      </c>
      <c r="AG3196">
        <v>-1.1106543814200001</v>
      </c>
      <c r="AH3196">
        <v>2.0255478131663698</v>
      </c>
      <c r="AI3196">
        <v>118.549196888705</v>
      </c>
      <c r="AJ3196">
        <v>97.142476347484802</v>
      </c>
      <c r="AK3196">
        <v>2.3239668443257999</v>
      </c>
      <c r="AL3196">
        <v>67.757633408705004</v>
      </c>
      <c r="AM3196">
        <v>97.215130510751806</v>
      </c>
      <c r="AN3196">
        <v>0.999999984213509</v>
      </c>
    </row>
    <row r="3197" spans="1:40" x14ac:dyDescent="0.25">
      <c r="A3197" t="str">
        <f>"20190304164433621"</f>
        <v>20190304164433621</v>
      </c>
      <c r="B3197" t="str">
        <f>"1551689073613658"</f>
        <v>1551689073613658</v>
      </c>
      <c r="C3197" t="s">
        <v>40</v>
      </c>
      <c r="D3197">
        <v>5.0240019999999896</v>
      </c>
      <c r="E3197">
        <v>0.5419467</v>
      </c>
      <c r="F3197" t="s">
        <v>45</v>
      </c>
      <c r="G3197">
        <v>-337.2706</v>
      </c>
      <c r="H3197" s="1">
        <v>2.3614520000000001E-6</v>
      </c>
      <c r="I3197">
        <v>213.94800000000001</v>
      </c>
      <c r="J3197">
        <v>-339.74919999999997</v>
      </c>
      <c r="K3197">
        <v>1.110754</v>
      </c>
      <c r="L3197">
        <v>213.64</v>
      </c>
      <c r="M3197">
        <v>0.99989280000000003</v>
      </c>
      <c r="N3197">
        <v>-1.457115E-2</v>
      </c>
      <c r="O3197">
        <v>1.497911E-3</v>
      </c>
      <c r="P3197">
        <v>0.92339939999999998</v>
      </c>
      <c r="Q3197">
        <v>0.36548229999999998</v>
      </c>
      <c r="R3197">
        <v>0.1172879</v>
      </c>
      <c r="S3197">
        <v>3.7633969999999999</v>
      </c>
      <c r="T3197">
        <v>-1.430528</v>
      </c>
      <c r="U3197">
        <v>0.39778140000000001</v>
      </c>
      <c r="V3197">
        <v>-0.1160542</v>
      </c>
      <c r="W3197">
        <v>0.37885540000000001</v>
      </c>
      <c r="X3197">
        <v>0.91815029999999997</v>
      </c>
      <c r="Y3197">
        <v>-9.6759139999999993E-2</v>
      </c>
      <c r="Z3197">
        <v>1.792875E-2</v>
      </c>
      <c r="AA3197">
        <v>0.99514630000000004</v>
      </c>
      <c r="AB3197">
        <v>45</v>
      </c>
      <c r="AC3197">
        <v>2.4785999999999699</v>
      </c>
      <c r="AD3197">
        <v>-1.1107516385480001</v>
      </c>
      <c r="AE3197">
        <v>0.307999999999992</v>
      </c>
      <c r="AF3197">
        <v>-0.254043660972195</v>
      </c>
      <c r="AG3197">
        <v>-1.1107516385480001</v>
      </c>
      <c r="AH3197">
        <v>2.0697239259467901</v>
      </c>
      <c r="AI3197">
        <v>118.042845881896</v>
      </c>
      <c r="AJ3197">
        <v>96.997641467372205</v>
      </c>
      <c r="AK3197">
        <v>2.3626393109939201</v>
      </c>
      <c r="AL3197">
        <v>67.737198079162098</v>
      </c>
      <c r="AM3197">
        <v>97.203982848514002</v>
      </c>
      <c r="AN3197">
        <v>0.99999998241844401</v>
      </c>
    </row>
    <row r="3198" spans="1:40" x14ac:dyDescent="0.25">
      <c r="A3198" t="str">
        <f>"20190304164433642"</f>
        <v>20190304164433642</v>
      </c>
      <c r="B3198" t="str">
        <f>"1551689073633178"</f>
        <v>1551689073633178</v>
      </c>
      <c r="C3198" t="s">
        <v>40</v>
      </c>
      <c r="D3198">
        <v>4.8292710000000003</v>
      </c>
      <c r="E3198">
        <v>0.53506799999999999</v>
      </c>
      <c r="F3198" t="s">
        <v>41</v>
      </c>
      <c r="G3198">
        <v>-338.84519999999998</v>
      </c>
      <c r="H3198">
        <v>0.89030609999999999</v>
      </c>
      <c r="I3198">
        <v>213.6952</v>
      </c>
      <c r="J3198">
        <v>-339.33080000000001</v>
      </c>
      <c r="K3198">
        <v>1.110835</v>
      </c>
      <c r="L3198">
        <v>213.64089999999999</v>
      </c>
      <c r="M3198">
        <v>0.99989220000000001</v>
      </c>
      <c r="N3198">
        <v>-1.456852E-2</v>
      </c>
      <c r="O3198">
        <v>1.871592E-3</v>
      </c>
      <c r="P3198">
        <v>0.92332530000000002</v>
      </c>
      <c r="Q3198">
        <v>0.36565910000000001</v>
      </c>
      <c r="R3198">
        <v>0.1173207</v>
      </c>
      <c r="S3198">
        <v>3.5651860000000002</v>
      </c>
      <c r="T3198">
        <v>-0.86957419999999996</v>
      </c>
      <c r="U3198">
        <v>0.21894839999999999</v>
      </c>
      <c r="V3198">
        <v>-0.11581710000000001</v>
      </c>
      <c r="W3198">
        <v>0.37900590000000001</v>
      </c>
      <c r="X3198">
        <v>0.9181182</v>
      </c>
      <c r="Y3198">
        <v>-5.7688530000000002E-2</v>
      </c>
      <c r="Z3198">
        <v>6.9318829999999998E-3</v>
      </c>
      <c r="AA3198">
        <v>0.99831060000000005</v>
      </c>
      <c r="AB3198">
        <v>45</v>
      </c>
      <c r="AC3198">
        <v>0.48560000000003301</v>
      </c>
      <c r="AD3198">
        <v>-0.2205289</v>
      </c>
      <c r="AE3198">
        <v>5.4300000000011998E-2</v>
      </c>
      <c r="AF3198">
        <v>-4.43559485362632E-2</v>
      </c>
      <c r="AG3198">
        <v>-0.2205289</v>
      </c>
      <c r="AH3198">
        <v>0.403508716841041</v>
      </c>
      <c r="AI3198">
        <v>118.513278815726</v>
      </c>
      <c r="AJ3198">
        <v>96.273088118572105</v>
      </c>
      <c r="AK3198">
        <v>0.461973733530885</v>
      </c>
      <c r="AL3198">
        <v>67.727881792719202</v>
      </c>
      <c r="AM3198">
        <v>97.189667921949606</v>
      </c>
      <c r="AN3198">
        <v>1.00000005102922</v>
      </c>
    </row>
    <row r="3199" spans="1:40" x14ac:dyDescent="0.25">
      <c r="A3199" t="str">
        <f>"20190304164433677"</f>
        <v>20190304164433677</v>
      </c>
      <c r="B3199" t="str">
        <f>"1551689073673194"</f>
        <v>1551689073673194</v>
      </c>
      <c r="C3199" t="s">
        <v>40</v>
      </c>
      <c r="D3199">
        <v>4.765339</v>
      </c>
      <c r="E3199">
        <v>0.52972790000000003</v>
      </c>
      <c r="F3199" t="s">
        <v>41</v>
      </c>
      <c r="G3199">
        <v>-338.42469999999997</v>
      </c>
      <c r="H3199">
        <v>0.9422661</v>
      </c>
      <c r="I3199">
        <v>213.70660000000001</v>
      </c>
      <c r="J3199">
        <v>-338.66910000000001</v>
      </c>
      <c r="K3199">
        <v>1.1109690000000001</v>
      </c>
      <c r="L3199">
        <v>213.64269999999999</v>
      </c>
      <c r="M3199">
        <v>0.99989059999999996</v>
      </c>
      <c r="N3199">
        <v>-1.456443E-2</v>
      </c>
      <c r="O3199">
        <v>2.5991310000000002E-3</v>
      </c>
      <c r="P3199">
        <v>0.92306310000000003</v>
      </c>
      <c r="Q3199">
        <v>0.36589509999999997</v>
      </c>
      <c r="R3199">
        <v>0.11864039999999999</v>
      </c>
      <c r="S3199">
        <v>3.4729610000000002</v>
      </c>
      <c r="T3199">
        <v>-0.64604519999999999</v>
      </c>
      <c r="U3199">
        <v>0.25202940000000001</v>
      </c>
      <c r="V3199">
        <v>-0.1165805</v>
      </c>
      <c r="W3199">
        <v>0.37920039999999999</v>
      </c>
      <c r="X3199">
        <v>0.91794120000000001</v>
      </c>
      <c r="Y3199">
        <v>-6.8559949999999995E-2</v>
      </c>
      <c r="Z3199">
        <v>6.3777549999999997E-3</v>
      </c>
      <c r="AA3199">
        <v>0.99762660000000003</v>
      </c>
      <c r="AB3199">
        <v>45</v>
      </c>
      <c r="AC3199">
        <v>0.244400000000041</v>
      </c>
      <c r="AD3199">
        <v>-0.16870289999999999</v>
      </c>
      <c r="AE3199">
        <v>6.3900000000017998E-2</v>
      </c>
      <c r="AF3199">
        <v>-4.3751674209092303E-2</v>
      </c>
      <c r="AG3199">
        <v>-0.16870289999999999</v>
      </c>
      <c r="AH3199">
        <v>0.16913343393619901</v>
      </c>
      <c r="AI3199">
        <v>133.99939154958901</v>
      </c>
      <c r="AJ3199">
        <v>104.50342732818299</v>
      </c>
      <c r="AK3199">
        <v>0.24286003363987099</v>
      </c>
      <c r="AL3199">
        <v>67.715837645722303</v>
      </c>
      <c r="AM3199">
        <v>97.237937912393605</v>
      </c>
      <c r="AN3199">
        <v>1.0000000014989201</v>
      </c>
    </row>
    <row r="3200" spans="1:40" x14ac:dyDescent="0.25">
      <c r="A3200" t="str">
        <f>"20190304164433701"</f>
        <v>20190304164433701</v>
      </c>
      <c r="B3200" t="str">
        <f>"1551689073693691"</f>
        <v>1551689073693691</v>
      </c>
      <c r="C3200" t="s">
        <v>40</v>
      </c>
      <c r="D3200">
        <v>4.7386689999999998</v>
      </c>
      <c r="E3200">
        <v>0.52926340000000005</v>
      </c>
      <c r="F3200" t="s">
        <v>41</v>
      </c>
      <c r="G3200">
        <v>-337.61930000000001</v>
      </c>
      <c r="H3200">
        <v>0.96351419999999999</v>
      </c>
      <c r="I3200">
        <v>213.7296</v>
      </c>
      <c r="J3200">
        <v>-338.185</v>
      </c>
      <c r="K3200">
        <v>1.1110580000000001</v>
      </c>
      <c r="L3200">
        <v>213.64449999999999</v>
      </c>
      <c r="M3200">
        <v>0.99988869999999996</v>
      </c>
      <c r="N3200">
        <v>-1.456179E-2</v>
      </c>
      <c r="O3200">
        <v>3.2419509999999999E-3</v>
      </c>
      <c r="P3200">
        <v>0.92300079999999995</v>
      </c>
      <c r="Q3200">
        <v>0.36585119999999999</v>
      </c>
      <c r="R3200">
        <v>0.119258</v>
      </c>
      <c r="S3200">
        <v>3.4033509999999998</v>
      </c>
      <c r="T3200">
        <v>-0.47802470000000002</v>
      </c>
      <c r="U3200">
        <v>0.28164670000000003</v>
      </c>
      <c r="V3200">
        <v>-0.1166885</v>
      </c>
      <c r="W3200">
        <v>0.37912810000000002</v>
      </c>
      <c r="X3200">
        <v>0.91795740000000003</v>
      </c>
      <c r="Y3200">
        <v>-7.8422459999999999E-2</v>
      </c>
      <c r="Z3200">
        <v>5.6410080000000003E-3</v>
      </c>
      <c r="AA3200">
        <v>0.99690429999999997</v>
      </c>
      <c r="AB3200">
        <v>44</v>
      </c>
      <c r="AC3200">
        <v>0.56569999999999199</v>
      </c>
      <c r="AD3200">
        <v>-0.1475438</v>
      </c>
      <c r="AE3200">
        <v>8.5100000000011194E-2</v>
      </c>
      <c r="AF3200">
        <v>-7.8072048737976005E-2</v>
      </c>
      <c r="AG3200">
        <v>-0.1475438</v>
      </c>
      <c r="AH3200">
        <v>0.53067269922632698</v>
      </c>
      <c r="AI3200">
        <v>105.380020238269</v>
      </c>
      <c r="AJ3200">
        <v>98.369262224258705</v>
      </c>
      <c r="AK3200">
        <v>0.55630740729990302</v>
      </c>
      <c r="AL3200">
        <v>67.720315674879203</v>
      </c>
      <c r="AM3200">
        <v>97.244445428393405</v>
      </c>
      <c r="AN3200">
        <v>1.0000000552282999</v>
      </c>
    </row>
    <row r="3201" spans="1:40" x14ac:dyDescent="0.25">
      <c r="A3201" t="str">
        <f>"20190304164433722"</f>
        <v>20190304164433722</v>
      </c>
      <c r="B3201" t="str">
        <f>"1551689073713210"</f>
        <v>1551689073713210</v>
      </c>
      <c r="C3201" t="s">
        <v>40</v>
      </c>
      <c r="D3201">
        <v>4.7379980000000002</v>
      </c>
      <c r="E3201">
        <v>0.52899130000000005</v>
      </c>
      <c r="F3201" t="s">
        <v>41</v>
      </c>
      <c r="G3201">
        <v>-337.21120000000002</v>
      </c>
      <c r="H3201">
        <v>0.98213700000000004</v>
      </c>
      <c r="I3201">
        <v>213.7259</v>
      </c>
      <c r="J3201">
        <v>-337.74759999999998</v>
      </c>
      <c r="K3201">
        <v>1.1111329999999999</v>
      </c>
      <c r="L3201">
        <v>213.6465</v>
      </c>
      <c r="M3201">
        <v>0.99988650000000001</v>
      </c>
      <c r="N3201">
        <v>-1.455942E-2</v>
      </c>
      <c r="O3201">
        <v>3.8830029999999999E-3</v>
      </c>
      <c r="P3201">
        <v>0.92302799999999996</v>
      </c>
      <c r="Q3201">
        <v>0.36556569999999999</v>
      </c>
      <c r="R3201">
        <v>0.11992120000000001</v>
      </c>
      <c r="S3201">
        <v>3.3915709999999999</v>
      </c>
      <c r="T3201">
        <v>-0.44921410000000001</v>
      </c>
      <c r="U3201">
        <v>0.28457640000000001</v>
      </c>
      <c r="V3201">
        <v>-0.1168318</v>
      </c>
      <c r="W3201">
        <v>0.37882009999999999</v>
      </c>
      <c r="X3201">
        <v>0.9180663</v>
      </c>
      <c r="Y3201">
        <v>-7.9007789999999994E-2</v>
      </c>
      <c r="Z3201">
        <v>5.3245460000000003E-3</v>
      </c>
      <c r="AA3201">
        <v>0.99685979999999996</v>
      </c>
      <c r="AB3201">
        <v>44</v>
      </c>
      <c r="AC3201">
        <v>0.53639999999995702</v>
      </c>
      <c r="AD3201">
        <v>-0.128995999999999</v>
      </c>
      <c r="AE3201">
        <v>7.9399999999992504E-2</v>
      </c>
      <c r="AF3201">
        <v>-7.3175145055373106E-2</v>
      </c>
      <c r="AG3201">
        <v>-0.128995999999999</v>
      </c>
      <c r="AH3201">
        <v>0.50795751619379703</v>
      </c>
      <c r="AI3201">
        <v>104.109322724311</v>
      </c>
      <c r="AJ3201">
        <v>98.197496984713794</v>
      </c>
      <c r="AK3201">
        <v>0.52916482132474196</v>
      </c>
      <c r="AL3201">
        <v>67.739384735593802</v>
      </c>
      <c r="AM3201">
        <v>97.252396112650203</v>
      </c>
      <c r="AN3201">
        <v>1.00000003442546</v>
      </c>
    </row>
    <row r="3202" spans="1:40" x14ac:dyDescent="0.25">
      <c r="A3202" t="str">
        <f>"20190304164433743"</f>
        <v>20190304164433743</v>
      </c>
      <c r="B3202" t="str">
        <f>"1551689073732730"</f>
        <v>1551689073732730</v>
      </c>
      <c r="C3202" t="s">
        <v>40</v>
      </c>
      <c r="D3202">
        <v>4.7545339999999996</v>
      </c>
      <c r="E3202">
        <v>0.52901909999999996</v>
      </c>
      <c r="F3202" t="s">
        <v>45</v>
      </c>
      <c r="G3202">
        <v>-329.0496</v>
      </c>
      <c r="H3202" s="1">
        <v>3.278967E-6</v>
      </c>
      <c r="I3202">
        <v>214.38640000000001</v>
      </c>
      <c r="J3202">
        <v>-337.33859999999999</v>
      </c>
      <c r="K3202">
        <v>1.11121</v>
      </c>
      <c r="L3202">
        <v>213.64859999999999</v>
      </c>
      <c r="M3202">
        <v>0.99988390000000005</v>
      </c>
      <c r="N3202">
        <v>-1.455714E-2</v>
      </c>
      <c r="O3202">
        <v>4.5366900000000003E-3</v>
      </c>
      <c r="P3202">
        <v>0.92329419999999995</v>
      </c>
      <c r="Q3202">
        <v>0.36457250000000002</v>
      </c>
      <c r="R3202">
        <v>0.1208926</v>
      </c>
      <c r="S3202">
        <v>3.3840029999999999</v>
      </c>
      <c r="T3202">
        <v>-0.43229089999999998</v>
      </c>
      <c r="U3202">
        <v>0.28785709999999998</v>
      </c>
      <c r="V3202">
        <v>-0.1172628</v>
      </c>
      <c r="W3202">
        <v>0.3778088</v>
      </c>
      <c r="X3202">
        <v>0.91842789999999996</v>
      </c>
      <c r="Y3202">
        <v>-7.9549060000000005E-2</v>
      </c>
      <c r="Z3202">
        <v>5.1236700000000003E-3</v>
      </c>
      <c r="AA3202">
        <v>0.99681779999999998</v>
      </c>
      <c r="AB3202">
        <v>44</v>
      </c>
      <c r="AC3202">
        <v>8.2889999999999802</v>
      </c>
      <c r="AD3202">
        <v>-1.1112067210330001</v>
      </c>
      <c r="AE3202">
        <v>0.73780000000002099</v>
      </c>
      <c r="AF3202">
        <v>-0.68791803055088996</v>
      </c>
      <c r="AG3202">
        <v>-1.1112067210330001</v>
      </c>
      <c r="AH3202">
        <v>8.1469989161843799</v>
      </c>
      <c r="AI3202">
        <v>97.739701430076096</v>
      </c>
      <c r="AJ3202">
        <v>94.826504278690294</v>
      </c>
      <c r="AK3202">
        <v>8.2511576723472793</v>
      </c>
      <c r="AL3202">
        <v>67.801977807341302</v>
      </c>
      <c r="AM3202">
        <v>97.276029158247894</v>
      </c>
      <c r="AN3202">
        <v>0.99999993055984204</v>
      </c>
    </row>
    <row r="3203" spans="1:40" x14ac:dyDescent="0.25">
      <c r="A3203" t="str">
        <f>"20190304164433765"</f>
        <v>20190304164433765</v>
      </c>
      <c r="B3203" t="str">
        <f>"1551689073753226"</f>
        <v>1551689073753226</v>
      </c>
      <c r="C3203" t="s">
        <v>40</v>
      </c>
      <c r="D3203">
        <v>4.7728989999999998</v>
      </c>
      <c r="E3203">
        <v>0.52917669999999895</v>
      </c>
      <c r="F3203" t="s">
        <v>45</v>
      </c>
      <c r="G3203">
        <v>-328.5111</v>
      </c>
      <c r="H3203" s="1">
        <v>2.992418E-6</v>
      </c>
      <c r="I3203">
        <v>214.4033</v>
      </c>
      <c r="J3203">
        <v>-336.89210000000003</v>
      </c>
      <c r="K3203">
        <v>1.1112850000000001</v>
      </c>
      <c r="L3203">
        <v>213.65119999999999</v>
      </c>
      <c r="M3203">
        <v>0.99987999999999999</v>
      </c>
      <c r="N3203">
        <v>-1.4554579999999999E-2</v>
      </c>
      <c r="O3203">
        <v>5.3111499999999997E-3</v>
      </c>
      <c r="P3203">
        <v>0.92341669999999998</v>
      </c>
      <c r="Q3203">
        <v>0.36399280000000001</v>
      </c>
      <c r="R3203">
        <v>0.1217004</v>
      </c>
      <c r="S3203">
        <v>3.3793329999999999</v>
      </c>
      <c r="T3203">
        <v>-0.42539500000000002</v>
      </c>
      <c r="U3203">
        <v>0.28892519999999999</v>
      </c>
      <c r="V3203">
        <v>-0.11742519999999999</v>
      </c>
      <c r="W3203">
        <v>0.37720789999999998</v>
      </c>
      <c r="X3203">
        <v>0.91865419999999998</v>
      </c>
      <c r="Y3203">
        <v>-7.9232339999999998E-2</v>
      </c>
      <c r="Z3203">
        <v>4.9507819999999999E-3</v>
      </c>
      <c r="AA3203">
        <v>0.9968439</v>
      </c>
      <c r="AB3203">
        <v>44</v>
      </c>
      <c r="AC3203">
        <v>8.3810000000000198</v>
      </c>
      <c r="AD3203">
        <v>-1.111282007582</v>
      </c>
      <c r="AE3203">
        <v>0.75210000000001198</v>
      </c>
      <c r="AF3203">
        <v>-0.69544265308353204</v>
      </c>
      <c r="AG3203">
        <v>-1.111282007582</v>
      </c>
      <c r="AH3203">
        <v>8.2411422421435301</v>
      </c>
      <c r="AI3203">
        <v>97.652884949085802</v>
      </c>
      <c r="AJ3203">
        <v>94.823572677070899</v>
      </c>
      <c r="AK3203">
        <v>8.3447596513827609</v>
      </c>
      <c r="AL3203">
        <v>67.839159759490997</v>
      </c>
      <c r="AM3203">
        <v>97.284222150090798</v>
      </c>
      <c r="AN3203">
        <v>1.00000000829754</v>
      </c>
    </row>
    <row r="3204" spans="1:40" x14ac:dyDescent="0.25">
      <c r="A3204" t="str">
        <f>"20190304164433789"</f>
        <v>20190304164433789</v>
      </c>
      <c r="B3204" t="str">
        <f>"1551689073783482"</f>
        <v>1551689073783482</v>
      </c>
      <c r="C3204" t="s">
        <v>40</v>
      </c>
      <c r="D3204">
        <v>4.7788339999999998</v>
      </c>
      <c r="E3204">
        <v>0.52925880000000003</v>
      </c>
      <c r="F3204" t="s">
        <v>45</v>
      </c>
      <c r="G3204">
        <v>-327.99290000000002</v>
      </c>
      <c r="H3204" s="1">
        <v>2.7166060000000001E-6</v>
      </c>
      <c r="I3204">
        <v>214.41329999999999</v>
      </c>
      <c r="J3204">
        <v>-336.44240000000002</v>
      </c>
      <c r="K3204">
        <v>1.111364</v>
      </c>
      <c r="L3204">
        <v>213.6542</v>
      </c>
      <c r="M3204">
        <v>0.99987539999999997</v>
      </c>
      <c r="N3204">
        <v>-1.45521E-2</v>
      </c>
      <c r="O3204">
        <v>6.149814E-3</v>
      </c>
      <c r="P3204">
        <v>0.92350949999999998</v>
      </c>
      <c r="Q3204">
        <v>0.36341420000000002</v>
      </c>
      <c r="R3204">
        <v>0.12272130000000001</v>
      </c>
      <c r="S3204">
        <v>3.3769230000000001</v>
      </c>
      <c r="T3204">
        <v>-0.4216876</v>
      </c>
      <c r="U3204">
        <v>0.28918460000000001</v>
      </c>
      <c r="V3204">
        <v>-0.1177388</v>
      </c>
      <c r="W3204">
        <v>0.37660719999999998</v>
      </c>
      <c r="X3204">
        <v>0.91886049999999997</v>
      </c>
      <c r="Y3204">
        <v>-7.8553449999999997E-2</v>
      </c>
      <c r="Z3204">
        <v>4.7774050000000002E-3</v>
      </c>
      <c r="AA3204">
        <v>0.99689850000000002</v>
      </c>
      <c r="AB3204">
        <v>44</v>
      </c>
      <c r="AC3204">
        <v>8.4495000000000005</v>
      </c>
      <c r="AD3204">
        <v>-1.1113612833939901</v>
      </c>
      <c r="AE3204">
        <v>0.75909999999998901</v>
      </c>
      <c r="AF3204">
        <v>-0.69518679135067096</v>
      </c>
      <c r="AG3204">
        <v>-1.1113612833939901</v>
      </c>
      <c r="AH3204">
        <v>8.3113726983111498</v>
      </c>
      <c r="AI3204">
        <v>97.589976053843998</v>
      </c>
      <c r="AJ3204">
        <v>94.7812521912101</v>
      </c>
      <c r="AK3204">
        <v>8.4141146122053492</v>
      </c>
      <c r="AL3204">
        <v>67.876317816375504</v>
      </c>
      <c r="AM3204">
        <v>97.301843835114795</v>
      </c>
      <c r="AN3204">
        <v>1.0000000132887601</v>
      </c>
    </row>
    <row r="3205" spans="1:40" x14ac:dyDescent="0.25">
      <c r="A3205" t="str">
        <f>"20190304164433810"</f>
        <v>20190304164433810</v>
      </c>
      <c r="B3205" t="str">
        <f>"1551689073803002"</f>
        <v>1551689073803002</v>
      </c>
      <c r="C3205" t="s">
        <v>40</v>
      </c>
      <c r="D3205">
        <v>4.8008509999999998</v>
      </c>
      <c r="E3205">
        <v>0.5292924</v>
      </c>
      <c r="F3205" t="s">
        <v>45</v>
      </c>
      <c r="G3205">
        <v>-327.44630000000001</v>
      </c>
      <c r="H3205" s="1">
        <v>2.4257630000000002E-6</v>
      </c>
      <c r="I3205">
        <v>214.42910000000001</v>
      </c>
      <c r="J3205">
        <v>-335.99869999999999</v>
      </c>
      <c r="K3205">
        <v>1.111434</v>
      </c>
      <c r="L3205">
        <v>213.65770000000001</v>
      </c>
      <c r="M3205">
        <v>0.99986960000000003</v>
      </c>
      <c r="N3205">
        <v>-1.454976E-2</v>
      </c>
      <c r="O3205">
        <v>7.0269159999999898E-3</v>
      </c>
      <c r="P3205">
        <v>0.923454</v>
      </c>
      <c r="Q3205">
        <v>0.36302030000000002</v>
      </c>
      <c r="R3205">
        <v>0.12429469999999999</v>
      </c>
      <c r="S3205">
        <v>3.37384</v>
      </c>
      <c r="T3205">
        <v>-0.41679729999999998</v>
      </c>
      <c r="U3205">
        <v>0.29058840000000002</v>
      </c>
      <c r="V3205">
        <v>-0.1185649</v>
      </c>
      <c r="W3205">
        <v>0.3761911</v>
      </c>
      <c r="X3205">
        <v>0.91892470000000004</v>
      </c>
      <c r="Y3205">
        <v>-7.8189159999999994E-2</v>
      </c>
      <c r="Z3205">
        <v>4.6134499999999998E-3</v>
      </c>
      <c r="AA3205">
        <v>0.99692789999999998</v>
      </c>
      <c r="AB3205">
        <v>44</v>
      </c>
      <c r="AC3205">
        <v>8.5523999999999702</v>
      </c>
      <c r="AD3205">
        <v>-1.111431574237</v>
      </c>
      <c r="AE3205">
        <v>0.77139999999999898</v>
      </c>
      <c r="AF3205">
        <v>-0.69955849225709399</v>
      </c>
      <c r="AG3205">
        <v>-1.111431574237</v>
      </c>
      <c r="AH3205">
        <v>8.4166135682424397</v>
      </c>
      <c r="AI3205">
        <v>97.496949225533399</v>
      </c>
      <c r="AJ3205">
        <v>94.751296961098504</v>
      </c>
      <c r="AK3205">
        <v>8.5184532742407306</v>
      </c>
      <c r="AL3205">
        <v>67.902050574850193</v>
      </c>
      <c r="AM3205">
        <v>97.352009600256594</v>
      </c>
      <c r="AN3205">
        <v>0.99999999175065502</v>
      </c>
    </row>
    <row r="3206" spans="1:40" x14ac:dyDescent="0.25">
      <c r="A3206" t="str">
        <f>"20190304164433834"</f>
        <v>20190304164433834</v>
      </c>
      <c r="B3206" t="str">
        <f>"1551689073823497"</f>
        <v>1551689073823497</v>
      </c>
      <c r="C3206" t="s">
        <v>40</v>
      </c>
      <c r="D3206">
        <v>4.8075219999999996</v>
      </c>
      <c r="E3206">
        <v>0.52938069999999904</v>
      </c>
      <c r="F3206" t="s">
        <v>45</v>
      </c>
      <c r="G3206">
        <v>-326.96469999999999</v>
      </c>
      <c r="H3206" s="1">
        <v>2.1694969999999999E-6</v>
      </c>
      <c r="I3206">
        <v>214.4434</v>
      </c>
      <c r="J3206">
        <v>-335.55650000000003</v>
      </c>
      <c r="K3206">
        <v>1.1114930000000001</v>
      </c>
      <c r="L3206">
        <v>213.66149999999999</v>
      </c>
      <c r="M3206">
        <v>0.99986269999999999</v>
      </c>
      <c r="N3206">
        <v>-1.4547569999999999E-2</v>
      </c>
      <c r="O3206">
        <v>7.9390959999999997E-3</v>
      </c>
      <c r="P3206">
        <v>0.9230315</v>
      </c>
      <c r="Q3206">
        <v>0.36341699999999999</v>
      </c>
      <c r="R3206">
        <v>0.12625799999999901</v>
      </c>
      <c r="S3206">
        <v>3.3722840000000001</v>
      </c>
      <c r="T3206">
        <v>-0.41488789999999998</v>
      </c>
      <c r="U3206">
        <v>0.29330440000000002</v>
      </c>
      <c r="V3206">
        <v>-0.1197442</v>
      </c>
      <c r="W3206">
        <v>0.37656089999999998</v>
      </c>
      <c r="X3206">
        <v>0.91862029999999995</v>
      </c>
      <c r="Y3206">
        <v>-7.8126639999999997E-2</v>
      </c>
      <c r="Z3206">
        <v>4.4944429999999999E-3</v>
      </c>
      <c r="AA3206">
        <v>0.99693330000000002</v>
      </c>
      <c r="AB3206">
        <v>44</v>
      </c>
      <c r="AC3206">
        <v>8.5918000000000294</v>
      </c>
      <c r="AD3206">
        <v>-1.111490830503</v>
      </c>
      <c r="AE3206">
        <v>0.78190000000000703</v>
      </c>
      <c r="AF3206">
        <v>-0.70200498065590899</v>
      </c>
      <c r="AG3206">
        <v>-1.111490830503</v>
      </c>
      <c r="AH3206">
        <v>8.4573603030194704</v>
      </c>
      <c r="AI3206">
        <v>97.461698561832605</v>
      </c>
      <c r="AJ3206">
        <v>94.744970843124193</v>
      </c>
      <c r="AK3206">
        <v>8.5589231889442399</v>
      </c>
      <c r="AL3206">
        <v>67.879181583714299</v>
      </c>
      <c r="AM3206">
        <v>97.426756847016094</v>
      </c>
      <c r="AN3206">
        <v>1.0000000202072701</v>
      </c>
    </row>
    <row r="3207" spans="1:40" x14ac:dyDescent="0.25">
      <c r="A3207" t="str">
        <f>"20190304164433856"</f>
        <v>20190304164433856</v>
      </c>
      <c r="B3207" t="str">
        <f>"1551689073843019"</f>
        <v>1551689073843019</v>
      </c>
      <c r="C3207" t="s">
        <v>40</v>
      </c>
      <c r="D3207">
        <v>4.7585160000000002</v>
      </c>
      <c r="E3207">
        <v>0.52947580000000005</v>
      </c>
      <c r="F3207" t="s">
        <v>45</v>
      </c>
      <c r="G3207">
        <v>-326.43060000000003</v>
      </c>
      <c r="H3207" s="1">
        <v>1.8852359999999999E-6</v>
      </c>
      <c r="I3207">
        <v>214.46940000000001</v>
      </c>
      <c r="J3207">
        <v>-335.12650000000002</v>
      </c>
      <c r="K3207">
        <v>1.1115469999999901</v>
      </c>
      <c r="L3207">
        <v>213.66560000000001</v>
      </c>
      <c r="M3207">
        <v>0.9998551</v>
      </c>
      <c r="N3207">
        <v>-1.454519E-2</v>
      </c>
      <c r="O3207">
        <v>8.8550759999999999E-3</v>
      </c>
      <c r="P3207">
        <v>0.92272730000000003</v>
      </c>
      <c r="Q3207">
        <v>0.36341200000000001</v>
      </c>
      <c r="R3207">
        <v>0.12847649999999999</v>
      </c>
      <c r="S3207">
        <v>3.3710019999999998</v>
      </c>
      <c r="T3207">
        <v>-0.4105723</v>
      </c>
      <c r="U3207">
        <v>0.29844670000000001</v>
      </c>
      <c r="V3207">
        <v>-0.1211629</v>
      </c>
      <c r="W3207">
        <v>0.37653429999999999</v>
      </c>
      <c r="X3207">
        <v>0.91844510000000001</v>
      </c>
      <c r="Y3207">
        <v>-7.8766539999999996E-2</v>
      </c>
      <c r="Z3207">
        <v>4.4019530000000001E-3</v>
      </c>
      <c r="AA3207">
        <v>0.99688339999999998</v>
      </c>
      <c r="AB3207">
        <v>44</v>
      </c>
      <c r="AC3207">
        <v>8.6958999999999893</v>
      </c>
      <c r="AD3207">
        <v>-1.1115451147640001</v>
      </c>
      <c r="AE3207">
        <v>0.80379999999999496</v>
      </c>
      <c r="AF3207">
        <v>-0.71517130351848301</v>
      </c>
      <c r="AG3207">
        <v>-1.1115451147640001</v>
      </c>
      <c r="AH3207">
        <v>8.5639368177505499</v>
      </c>
      <c r="AI3207">
        <v>97.3699183415563</v>
      </c>
      <c r="AJ3207">
        <v>94.773673657802206</v>
      </c>
      <c r="AK3207">
        <v>8.6653341743960102</v>
      </c>
      <c r="AL3207">
        <v>67.880825443538598</v>
      </c>
      <c r="AM3207">
        <v>97.515164594214696</v>
      </c>
      <c r="AN3207">
        <v>0.99999996456345397</v>
      </c>
    </row>
    <row r="3208" spans="1:40" x14ac:dyDescent="0.25">
      <c r="A3208" t="str">
        <f>"20190304164433877"</f>
        <v>20190304164433877</v>
      </c>
      <c r="B3208" t="str">
        <f>"1551689073873274"</f>
        <v>1551689073873274</v>
      </c>
      <c r="C3208" t="s">
        <v>40</v>
      </c>
      <c r="D3208">
        <v>4.8148059999999999</v>
      </c>
      <c r="E3208">
        <v>0.52967969999999998</v>
      </c>
      <c r="F3208" t="s">
        <v>45</v>
      </c>
      <c r="G3208">
        <v>-325.95549999999997</v>
      </c>
      <c r="H3208" s="1">
        <v>1.632421E-6</v>
      </c>
      <c r="I3208">
        <v>214.4958</v>
      </c>
      <c r="J3208">
        <v>-334.69659999999999</v>
      </c>
      <c r="K3208">
        <v>1.111588</v>
      </c>
      <c r="L3208">
        <v>213.67019999999999</v>
      </c>
      <c r="M3208">
        <v>0.99984629999999997</v>
      </c>
      <c r="N3208">
        <v>-1.4542680000000001E-2</v>
      </c>
      <c r="O3208">
        <v>9.7900460000000002E-3</v>
      </c>
      <c r="P3208">
        <v>0.92232910000000001</v>
      </c>
      <c r="Q3208">
        <v>0.36362939999999999</v>
      </c>
      <c r="R3208">
        <v>0.1307005</v>
      </c>
      <c r="S3208">
        <v>3.3695979999999999</v>
      </c>
      <c r="T3208">
        <v>-0.40840080000000001</v>
      </c>
      <c r="U3208">
        <v>0.3050079</v>
      </c>
      <c r="V3208">
        <v>-0.1225633</v>
      </c>
      <c r="W3208">
        <v>0.37673089999999998</v>
      </c>
      <c r="X3208">
        <v>0.91817870000000001</v>
      </c>
      <c r="Y3208">
        <v>-7.9798899999999895E-2</v>
      </c>
      <c r="Z3208">
        <v>4.3542800000000003E-3</v>
      </c>
      <c r="AA3208">
        <v>0.99680150000000001</v>
      </c>
      <c r="AB3208">
        <v>44</v>
      </c>
      <c r="AC3208">
        <v>8.7411000000000101</v>
      </c>
      <c r="AD3208">
        <v>-1.1115863675790001</v>
      </c>
      <c r="AE3208">
        <v>0.82560000000000799</v>
      </c>
      <c r="AF3208">
        <v>-0.72830190084578905</v>
      </c>
      <c r="AG3208">
        <v>-1.1115863675790001</v>
      </c>
      <c r="AH3208">
        <v>8.6107458297470902</v>
      </c>
      <c r="AI3208">
        <v>97.329912598753296</v>
      </c>
      <c r="AJ3208">
        <v>94.834603619337997</v>
      </c>
      <c r="AK3208">
        <v>8.7126914128683595</v>
      </c>
      <c r="AL3208">
        <v>67.868667190046395</v>
      </c>
      <c r="AM3208">
        <v>97.6031945277402</v>
      </c>
      <c r="AN3208">
        <v>1.0000000293276901</v>
      </c>
    </row>
    <row r="3209" spans="1:40" x14ac:dyDescent="0.25">
      <c r="A3209" t="str">
        <f>"20190304164433901"</f>
        <v>20190304164433901</v>
      </c>
      <c r="B3209" t="str">
        <f>"1551689073893770"</f>
        <v>1551689073893770</v>
      </c>
      <c r="C3209" t="s">
        <v>40</v>
      </c>
      <c r="D3209">
        <v>4.84375</v>
      </c>
      <c r="E3209">
        <v>0.52976509999999999</v>
      </c>
      <c r="F3209" t="s">
        <v>45</v>
      </c>
      <c r="G3209">
        <v>-325.45409999999998</v>
      </c>
      <c r="H3209" s="1">
        <v>1.3656000000000001E-6</v>
      </c>
      <c r="I3209">
        <v>214.52719999999999</v>
      </c>
      <c r="J3209">
        <v>-334.2165</v>
      </c>
      <c r="K3209">
        <v>1.1116220000000001</v>
      </c>
      <c r="L3209">
        <v>213.67580000000001</v>
      </c>
      <c r="M3209">
        <v>0.99983560000000005</v>
      </c>
      <c r="N3209">
        <v>-1.453979E-2</v>
      </c>
      <c r="O3209">
        <v>1.0848150000000001E-2</v>
      </c>
      <c r="P3209">
        <v>0.9218324</v>
      </c>
      <c r="Q3209">
        <v>0.36430780000000001</v>
      </c>
      <c r="R3209">
        <v>0.13230699999999901</v>
      </c>
      <c r="S3209">
        <v>3.3680729999999999</v>
      </c>
      <c r="T3209">
        <v>-0.40507530000000003</v>
      </c>
      <c r="U3209">
        <v>0.31230160000000001</v>
      </c>
      <c r="V3209">
        <v>-0.1232311</v>
      </c>
      <c r="W3209">
        <v>0.37738939999999999</v>
      </c>
      <c r="X3209">
        <v>0.91781880000000005</v>
      </c>
      <c r="Y3209">
        <v>-8.0930550000000004E-2</v>
      </c>
      <c r="Z3209">
        <v>4.290833E-3</v>
      </c>
      <c r="AA3209">
        <v>0.99671050000000005</v>
      </c>
      <c r="AB3209">
        <v>44</v>
      </c>
      <c r="AC3209">
        <v>8.7624000000000102</v>
      </c>
      <c r="AD3209">
        <v>-1.1116206343999999</v>
      </c>
      <c r="AE3209">
        <v>0.85139999999998395</v>
      </c>
      <c r="AF3209">
        <v>-0.74441537422294901</v>
      </c>
      <c r="AG3209">
        <v>-1.1116206343999999</v>
      </c>
      <c r="AH3209">
        <v>8.6334728365166598</v>
      </c>
      <c r="AI3209">
        <v>97.310041281525002</v>
      </c>
      <c r="AJ3209">
        <v>94.928101199136407</v>
      </c>
      <c r="AK3209">
        <v>8.7365157759300303</v>
      </c>
      <c r="AL3209">
        <v>67.827930607125296</v>
      </c>
      <c r="AM3209">
        <v>97.647094848365199</v>
      </c>
      <c r="AN3209">
        <v>1.0000000064365</v>
      </c>
    </row>
    <row r="3210" spans="1:40" x14ac:dyDescent="0.25">
      <c r="A3210" t="str">
        <f>"20190304164433924"</f>
        <v>20190304164433924</v>
      </c>
      <c r="B3210" t="str">
        <f>"1551689073913290"</f>
        <v>1551689073913290</v>
      </c>
      <c r="C3210" t="s">
        <v>40</v>
      </c>
      <c r="D3210">
        <v>5.3866069999999997</v>
      </c>
      <c r="E3210">
        <v>0.52982069999999903</v>
      </c>
      <c r="F3210" t="s">
        <v>45</v>
      </c>
      <c r="G3210">
        <v>-324.88990000000001</v>
      </c>
      <c r="H3210" s="1">
        <v>1.06536E-6</v>
      </c>
      <c r="I3210">
        <v>214.5583</v>
      </c>
      <c r="J3210">
        <v>-333.78500000000003</v>
      </c>
      <c r="K3210">
        <v>1.1116509999999999</v>
      </c>
      <c r="L3210">
        <v>213.68119999999999</v>
      </c>
      <c r="M3210">
        <v>0.99982470000000001</v>
      </c>
      <c r="N3210">
        <v>-1.453729E-2</v>
      </c>
      <c r="O3210">
        <v>1.1805619999999999E-2</v>
      </c>
      <c r="P3210">
        <v>0.92166440000000005</v>
      </c>
      <c r="Q3210">
        <v>0.36423739999999999</v>
      </c>
      <c r="R3210">
        <v>0.13366339999999999</v>
      </c>
      <c r="S3210">
        <v>3.3672789999999999</v>
      </c>
      <c r="T3210">
        <v>-0.4013408</v>
      </c>
      <c r="U3210">
        <v>0.31860349999999998</v>
      </c>
      <c r="V3210">
        <v>-0.1237284</v>
      </c>
      <c r="W3210">
        <v>0.37730730000000001</v>
      </c>
      <c r="X3210">
        <v>0.91778559999999998</v>
      </c>
      <c r="Y3210">
        <v>-8.1854560000000007E-2</v>
      </c>
      <c r="Z3210">
        <v>4.2207340000000003E-3</v>
      </c>
      <c r="AA3210">
        <v>0.99663539999999995</v>
      </c>
      <c r="AB3210">
        <v>44</v>
      </c>
      <c r="AC3210">
        <v>8.89510000000001</v>
      </c>
      <c r="AD3210">
        <v>-1.1116499346399999</v>
      </c>
      <c r="AE3210">
        <v>0.87710000000001198</v>
      </c>
      <c r="AF3210">
        <v>-0.76025601458648595</v>
      </c>
      <c r="AG3210">
        <v>-1.1116499346399999</v>
      </c>
      <c r="AH3210">
        <v>8.7691944928860401</v>
      </c>
      <c r="AI3210">
        <v>97.1979982274935</v>
      </c>
      <c r="AJ3210">
        <v>94.954938128693897</v>
      </c>
      <c r="AK3210">
        <v>8.8720080499829894</v>
      </c>
      <c r="AL3210">
        <v>67.833009064238695</v>
      </c>
      <c r="AM3210">
        <v>97.677861812557495</v>
      </c>
      <c r="AN3210">
        <v>0.99999996158360405</v>
      </c>
    </row>
    <row r="3211" spans="1:40" x14ac:dyDescent="0.25">
      <c r="A3211" t="str">
        <f>"20190304164433944"</f>
        <v>20190304164433944</v>
      </c>
      <c r="B3211" t="str">
        <f>"1551689073932814"</f>
        <v>1551689073932814</v>
      </c>
      <c r="C3211" t="s">
        <v>40</v>
      </c>
      <c r="D3211">
        <v>4.8282400000000001</v>
      </c>
      <c r="E3211">
        <v>0.52913109999999997</v>
      </c>
      <c r="F3211" t="s">
        <v>45</v>
      </c>
      <c r="G3211">
        <v>-324.46789999999999</v>
      </c>
      <c r="H3211" s="1">
        <v>8.4081809999999997E-7</v>
      </c>
      <c r="I3211">
        <v>214.57390000000001</v>
      </c>
      <c r="J3211">
        <v>-333.37529999999998</v>
      </c>
      <c r="K3211">
        <v>1.1116699999999999</v>
      </c>
      <c r="L3211">
        <v>213.68680000000001</v>
      </c>
      <c r="M3211">
        <v>0.99981350000000002</v>
      </c>
      <c r="N3211">
        <v>-1.4534899999999899E-2</v>
      </c>
      <c r="O3211">
        <v>1.2717529999999999E-2</v>
      </c>
      <c r="P3211">
        <v>0.92159100000000005</v>
      </c>
      <c r="Q3211">
        <v>0.36419669999999998</v>
      </c>
      <c r="R3211">
        <v>0.134278799999999</v>
      </c>
      <c r="S3211">
        <v>3.366943</v>
      </c>
      <c r="T3211">
        <v>-0.4017192</v>
      </c>
      <c r="U3211">
        <v>0.32258609999999999</v>
      </c>
      <c r="V3211">
        <v>-0.1235213</v>
      </c>
      <c r="W3211">
        <v>0.37725950000000003</v>
      </c>
      <c r="X3211">
        <v>0.91783309999999996</v>
      </c>
      <c r="Y3211">
        <v>-8.2124929999999999E-2</v>
      </c>
      <c r="Z3211">
        <v>4.1470839999999997E-3</v>
      </c>
      <c r="AA3211">
        <v>0.99661339999999998</v>
      </c>
      <c r="AB3211">
        <v>44</v>
      </c>
      <c r="AC3211">
        <v>8.9073999999999902</v>
      </c>
      <c r="AD3211">
        <v>-1.1116691591818999</v>
      </c>
      <c r="AE3211">
        <v>0.887100000000003</v>
      </c>
      <c r="AF3211">
        <v>-0.76198422983344005</v>
      </c>
      <c r="AG3211">
        <v>-1.1116691591818999</v>
      </c>
      <c r="AH3211">
        <v>8.7825115907645692</v>
      </c>
      <c r="AI3211">
        <v>97.187280982107097</v>
      </c>
      <c r="AJ3211">
        <v>94.9586527450613</v>
      </c>
      <c r="AK3211">
        <v>8.8853214982860997</v>
      </c>
      <c r="AL3211">
        <v>67.835965397762095</v>
      </c>
      <c r="AM3211">
        <v>97.664771340473294</v>
      </c>
      <c r="AN3211">
        <v>0.99999992067477095</v>
      </c>
    </row>
    <row r="3212" spans="1:40" x14ac:dyDescent="0.25">
      <c r="A3212" t="str">
        <f>"20190304164433966"</f>
        <v>20190304164433966</v>
      </c>
      <c r="B3212" t="str">
        <f>"1551689073963067"</f>
        <v>1551689073963067</v>
      </c>
      <c r="C3212" t="s">
        <v>40</v>
      </c>
      <c r="D3212">
        <v>4.8069030000000001</v>
      </c>
      <c r="E3212">
        <v>0.52944309999999895</v>
      </c>
      <c r="F3212" t="s">
        <v>45</v>
      </c>
      <c r="G3212">
        <v>-320.971</v>
      </c>
      <c r="H3212" s="1">
        <v>-1.0200829999999999E-6</v>
      </c>
      <c r="I3212">
        <v>214.8715</v>
      </c>
      <c r="J3212">
        <v>-332.94299999999998</v>
      </c>
      <c r="K3212">
        <v>1.1116839999999999</v>
      </c>
      <c r="L3212">
        <v>213.69309999999999</v>
      </c>
      <c r="M3212">
        <v>0.99980080000000005</v>
      </c>
      <c r="N3212">
        <v>-1.453248E-2</v>
      </c>
      <c r="O3212">
        <v>1.368049E-2</v>
      </c>
      <c r="P3212">
        <v>0.92158850000000003</v>
      </c>
      <c r="Q3212">
        <v>0.36415520000000001</v>
      </c>
      <c r="R3212">
        <v>0.13440849999999999</v>
      </c>
      <c r="S3212">
        <v>3.3267519999999902</v>
      </c>
      <c r="T3212">
        <v>-0.29814289999999999</v>
      </c>
      <c r="U3212">
        <v>0.31773380000000001</v>
      </c>
      <c r="V3212">
        <v>-0.1227776</v>
      </c>
      <c r="W3212">
        <v>0.3772141</v>
      </c>
      <c r="X3212">
        <v>0.91795159999999998</v>
      </c>
      <c r="Y3212">
        <v>-8.1110440000000006E-2</v>
      </c>
      <c r="Z3212">
        <v>3.1886689999999999E-3</v>
      </c>
      <c r="AA3212">
        <v>0.99670000000000003</v>
      </c>
      <c r="AB3212">
        <v>44</v>
      </c>
      <c r="AC3212">
        <v>11.972</v>
      </c>
      <c r="AD3212">
        <v>-1.111685020083</v>
      </c>
      <c r="AE3212">
        <v>1.1784000000000101</v>
      </c>
      <c r="AF3212">
        <v>-1.00589949241503</v>
      </c>
      <c r="AG3212">
        <v>-1.111685020083</v>
      </c>
      <c r="AH3212">
        <v>11.8855035281606</v>
      </c>
      <c r="AI3212">
        <v>95.324566418265206</v>
      </c>
      <c r="AJ3212">
        <v>94.837555269981905</v>
      </c>
      <c r="AK3212">
        <v>11.9796857843032</v>
      </c>
      <c r="AL3212">
        <v>67.8387754861849</v>
      </c>
      <c r="AM3212">
        <v>97.618194815656395</v>
      </c>
      <c r="AN3212">
        <v>0.99999997812156405</v>
      </c>
    </row>
    <row r="3213" spans="1:40" x14ac:dyDescent="0.25">
      <c r="A3213" t="str">
        <f>"20190304164433990"</f>
        <v>20190304164433990</v>
      </c>
      <c r="B3213" t="str">
        <f>"1551689073983562"</f>
        <v>1551689073983562</v>
      </c>
      <c r="C3213" t="s">
        <v>40</v>
      </c>
      <c r="D3213">
        <v>4.8248819999999997</v>
      </c>
      <c r="E3213">
        <v>0.52967880000000001</v>
      </c>
      <c r="F3213" t="s">
        <v>45</v>
      </c>
      <c r="G3213">
        <v>-320.7559</v>
      </c>
      <c r="H3213" s="1">
        <v>-1.1345619999999999E-6</v>
      </c>
      <c r="I3213">
        <v>214.8442</v>
      </c>
      <c r="J3213">
        <v>-332.48410000000001</v>
      </c>
      <c r="K3213">
        <v>1.1116999999999999</v>
      </c>
      <c r="L3213">
        <v>213.70009999999999</v>
      </c>
      <c r="M3213">
        <v>0.99978639999999996</v>
      </c>
      <c r="N3213">
        <v>-1.452989E-2</v>
      </c>
      <c r="O3213">
        <v>1.470308E-2</v>
      </c>
      <c r="P3213">
        <v>0.92174350000000005</v>
      </c>
      <c r="Q3213">
        <v>0.36391560000000001</v>
      </c>
      <c r="R3213">
        <v>0.13399459999999999</v>
      </c>
      <c r="S3213">
        <v>3.3293759999999999</v>
      </c>
      <c r="T3213">
        <v>-0.30369869999999999</v>
      </c>
      <c r="U3213">
        <v>0.31448359999999997</v>
      </c>
      <c r="V3213">
        <v>-0.1214306</v>
      </c>
      <c r="W3213">
        <v>0.37697560000000002</v>
      </c>
      <c r="X3213">
        <v>0.91822870000000001</v>
      </c>
      <c r="Y3213">
        <v>-7.9054120000000005E-2</v>
      </c>
      <c r="Z3213">
        <v>3.044826E-3</v>
      </c>
      <c r="AA3213">
        <v>0.99686569999999997</v>
      </c>
      <c r="AB3213">
        <v>44</v>
      </c>
      <c r="AC3213">
        <v>11.728199999999999</v>
      </c>
      <c r="AD3213">
        <v>-1.11170113456199</v>
      </c>
      <c r="AE3213">
        <v>1.1440999999999999</v>
      </c>
      <c r="AF3213">
        <v>-0.96294701825381002</v>
      </c>
      <c r="AG3213">
        <v>-1.11170113456199</v>
      </c>
      <c r="AH3213">
        <v>11.640155743185501</v>
      </c>
      <c r="AI3213">
        <v>95.437064949283396</v>
      </c>
      <c r="AJ3213">
        <v>94.729099387472701</v>
      </c>
      <c r="AK3213">
        <v>11.7327052335838</v>
      </c>
      <c r="AL3213">
        <v>67.853529570549199</v>
      </c>
      <c r="AM3213">
        <v>97.533332951410799</v>
      </c>
      <c r="AN3213">
        <v>0.99999996955770398</v>
      </c>
    </row>
    <row r="3214" spans="1:40" x14ac:dyDescent="0.25">
      <c r="A3214" t="str">
        <f>"20190304164434011"</f>
        <v>20190304164434011</v>
      </c>
      <c r="B3214" t="str">
        <f>"1551689074003082"</f>
        <v>1551689074003082</v>
      </c>
      <c r="C3214" t="s">
        <v>40</v>
      </c>
      <c r="D3214">
        <v>4.9082710000000001</v>
      </c>
      <c r="E3214">
        <v>0.55267069999999996</v>
      </c>
      <c r="F3214" t="s">
        <v>45</v>
      </c>
      <c r="G3214">
        <v>-320.29629999999997</v>
      </c>
      <c r="H3214" s="1">
        <v>-1.37912E-6</v>
      </c>
      <c r="I3214">
        <v>214.8372</v>
      </c>
      <c r="J3214">
        <v>-332.04390000000001</v>
      </c>
      <c r="K3214">
        <v>1.111715</v>
      </c>
      <c r="L3214">
        <v>213.70740000000001</v>
      </c>
      <c r="M3214">
        <v>0.99977150000000004</v>
      </c>
      <c r="N3214">
        <v>-1.452736E-2</v>
      </c>
      <c r="O3214">
        <v>1.568406E-2</v>
      </c>
      <c r="P3214">
        <v>0.92176800000000003</v>
      </c>
      <c r="Q3214">
        <v>0.36390860000000003</v>
      </c>
      <c r="R3214">
        <v>0.13384470000000001</v>
      </c>
      <c r="S3214">
        <v>3.329437</v>
      </c>
      <c r="T3214">
        <v>-0.30369259999999998</v>
      </c>
      <c r="U3214">
        <v>0.31060789999999999</v>
      </c>
      <c r="V3214">
        <v>-0.12038500000000001</v>
      </c>
      <c r="W3214">
        <v>0.37696760000000001</v>
      </c>
      <c r="X3214">
        <v>0.91836969999999996</v>
      </c>
      <c r="Y3214">
        <v>-7.6936809999999994E-2</v>
      </c>
      <c r="Z3214">
        <v>2.858232E-3</v>
      </c>
      <c r="AA3214">
        <v>0.99703189999999997</v>
      </c>
      <c r="AB3214">
        <v>44</v>
      </c>
      <c r="AC3214">
        <v>11.7476</v>
      </c>
      <c r="AD3214">
        <v>-1.11171637912</v>
      </c>
      <c r="AE3214">
        <v>1.1297999999999799</v>
      </c>
      <c r="AF3214">
        <v>-0.93707642422263404</v>
      </c>
      <c r="AG3214">
        <v>-1.11171637912</v>
      </c>
      <c r="AH3214">
        <v>11.6604086691961</v>
      </c>
      <c r="AI3214">
        <v>95.428784338436998</v>
      </c>
      <c r="AJ3214">
        <v>94.5946404829036</v>
      </c>
      <c r="AK3214">
        <v>11.7507087388421</v>
      </c>
      <c r="AL3214">
        <v>67.854025454170696</v>
      </c>
      <c r="AM3214">
        <v>97.468067554213206</v>
      </c>
      <c r="AN3214">
        <v>1.0000000127764199</v>
      </c>
    </row>
    <row r="3215" spans="1:40" x14ac:dyDescent="0.25">
      <c r="A3215" t="str">
        <f>"20190304164434033"</f>
        <v>20190304164434033</v>
      </c>
      <c r="B3215" t="str">
        <f>"1551689074023578"</f>
        <v>1551689074023578</v>
      </c>
      <c r="C3215" t="s">
        <v>40</v>
      </c>
      <c r="D3215">
        <v>4.8754559999999998</v>
      </c>
      <c r="E3215">
        <v>0.55691639999999998</v>
      </c>
      <c r="F3215" t="s">
        <v>41</v>
      </c>
      <c r="G3215">
        <v>-331.28440000000001</v>
      </c>
      <c r="H3215">
        <v>1.027166</v>
      </c>
      <c r="I3215">
        <v>213.7379</v>
      </c>
      <c r="J3215">
        <v>-331.63150000000002</v>
      </c>
      <c r="K3215">
        <v>1.111715</v>
      </c>
      <c r="L3215">
        <v>213.71459999999999</v>
      </c>
      <c r="M3215">
        <v>0.9997568</v>
      </c>
      <c r="N3215">
        <v>-1.4524830000000001E-2</v>
      </c>
      <c r="O3215">
        <v>1.6603670000000001E-2</v>
      </c>
      <c r="P3215">
        <v>0.92171670000000006</v>
      </c>
      <c r="Q3215">
        <v>0.36386839999999998</v>
      </c>
      <c r="R3215">
        <v>0.13430699999999901</v>
      </c>
      <c r="S3215">
        <v>3.3836059999999999</v>
      </c>
      <c r="T3215">
        <v>-0.37685669999999999</v>
      </c>
      <c r="U3215">
        <v>0.13635249999999999</v>
      </c>
      <c r="V3215">
        <v>-0.1200053</v>
      </c>
      <c r="W3215">
        <v>0.3769248</v>
      </c>
      <c r="X3215">
        <v>0.9184369</v>
      </c>
      <c r="Y3215">
        <v>-2.3580609999999998E-2</v>
      </c>
      <c r="Z3215">
        <v>-1.216246E-4</v>
      </c>
      <c r="AA3215">
        <v>0.99972190000000005</v>
      </c>
      <c r="AB3215">
        <v>44</v>
      </c>
      <c r="AC3215">
        <v>0.34710000000001101</v>
      </c>
      <c r="AD3215">
        <v>-8.4548999999999902E-2</v>
      </c>
      <c r="AE3215">
        <v>2.3300000000006E-2</v>
      </c>
      <c r="AF3215">
        <v>-1.65551597851284E-2</v>
      </c>
      <c r="AG3215">
        <v>-8.4548999999999902E-2</v>
      </c>
      <c r="AH3215">
        <v>0.32806101233172502</v>
      </c>
      <c r="AI3215">
        <v>104.434369777258</v>
      </c>
      <c r="AJ3215">
        <v>92.888904193385102</v>
      </c>
      <c r="AK3215">
        <v>0.33918525104819602</v>
      </c>
      <c r="AL3215">
        <v>67.8566717348059</v>
      </c>
      <c r="AM3215">
        <v>97.444238944031497</v>
      </c>
      <c r="AN3215">
        <v>0.99999995808236897</v>
      </c>
    </row>
    <row r="3216" spans="1:40" x14ac:dyDescent="0.25">
      <c r="A3216" t="str">
        <f>"20190304164434056"</f>
        <v>20190304164434056</v>
      </c>
      <c r="B3216" t="str">
        <f>"1551689074043098"</f>
        <v>1551689074043098</v>
      </c>
      <c r="C3216" t="s">
        <v>40</v>
      </c>
      <c r="D3216">
        <v>4.8613530000000003</v>
      </c>
      <c r="E3216">
        <v>0.55951499999999998</v>
      </c>
      <c r="F3216" t="s">
        <v>41</v>
      </c>
      <c r="G3216">
        <v>-330.8956</v>
      </c>
      <c r="H3216">
        <v>1.025811</v>
      </c>
      <c r="I3216">
        <v>213.73750000000001</v>
      </c>
      <c r="J3216">
        <v>-331.1943</v>
      </c>
      <c r="K3216">
        <v>1.1117250000000001</v>
      </c>
      <c r="L3216">
        <v>213.7227</v>
      </c>
      <c r="M3216">
        <v>0.99974010000000002</v>
      </c>
      <c r="N3216">
        <v>-1.4522210000000001E-2</v>
      </c>
      <c r="O3216">
        <v>1.75797E-2</v>
      </c>
      <c r="P3216">
        <v>0.92213920000000005</v>
      </c>
      <c r="Q3216">
        <v>0.36260150000000002</v>
      </c>
      <c r="R3216">
        <v>0.13483100000000001</v>
      </c>
      <c r="S3216">
        <v>3.3958439999999999</v>
      </c>
      <c r="T3216">
        <v>-0.39653670000000002</v>
      </c>
      <c r="U3216">
        <v>0.1062622</v>
      </c>
      <c r="V3216">
        <v>-0.1196226</v>
      </c>
      <c r="W3216">
        <v>0.3756622</v>
      </c>
      <c r="X3216">
        <v>0.91900400000000004</v>
      </c>
      <c r="Y3216">
        <v>-1.368569E-2</v>
      </c>
      <c r="Z3216">
        <v>-8.9468899999999897E-4</v>
      </c>
      <c r="AA3216">
        <v>0.99990590000000001</v>
      </c>
      <c r="AB3216">
        <v>44</v>
      </c>
      <c r="AC3216">
        <v>0.29869999999999602</v>
      </c>
      <c r="AD3216">
        <v>-8.5914000000000004E-2</v>
      </c>
      <c r="AE3216">
        <v>1.48000000000081E-2</v>
      </c>
      <c r="AF3216">
        <v>-8.8183561702062391E-3</v>
      </c>
      <c r="AG3216">
        <v>-8.5914000000000004E-2</v>
      </c>
      <c r="AH3216">
        <v>0.27612634334073599</v>
      </c>
      <c r="AI3216">
        <v>107.274734301791</v>
      </c>
      <c r="AJ3216">
        <v>91.829173266171196</v>
      </c>
      <c r="AK3216">
        <v>0.28931770821757702</v>
      </c>
      <c r="AL3216">
        <v>67.934753332020406</v>
      </c>
      <c r="AM3216">
        <v>97.416235862945797</v>
      </c>
      <c r="AN3216">
        <v>1.0000000034778</v>
      </c>
    </row>
    <row r="3217" spans="1:40" x14ac:dyDescent="0.25">
      <c r="A3217" t="str">
        <f>"20190304164434079"</f>
        <v>20190304164434079</v>
      </c>
      <c r="B3217" t="str">
        <f>"1551689074073355"</f>
        <v>1551689074073355</v>
      </c>
      <c r="C3217" t="s">
        <v>40</v>
      </c>
      <c r="D3217">
        <v>4.8214689999999996</v>
      </c>
      <c r="E3217">
        <v>0.56108859999999905</v>
      </c>
      <c r="F3217" t="s">
        <v>41</v>
      </c>
      <c r="G3217">
        <v>-330.13249999999999</v>
      </c>
      <c r="H3217">
        <v>0.98652989999999996</v>
      </c>
      <c r="I3217">
        <v>213.7501</v>
      </c>
      <c r="J3217">
        <v>-330.75279999999998</v>
      </c>
      <c r="K3217">
        <v>1.111723</v>
      </c>
      <c r="L3217">
        <v>213.7313</v>
      </c>
      <c r="M3217">
        <v>0.99972229999999995</v>
      </c>
      <c r="N3217">
        <v>-1.4520129999999999E-2</v>
      </c>
      <c r="O3217">
        <v>1.8566659999999999E-2</v>
      </c>
      <c r="P3217">
        <v>0.92201460000000002</v>
      </c>
      <c r="Q3217">
        <v>0.3627997</v>
      </c>
      <c r="R3217">
        <v>0.13515060000000001</v>
      </c>
      <c r="S3217">
        <v>3.3979490000000001</v>
      </c>
      <c r="T3217">
        <v>-0.40075470000000002</v>
      </c>
      <c r="U3217">
        <v>8.8378910000000005E-2</v>
      </c>
      <c r="V3217">
        <v>-0.11903610000000001</v>
      </c>
      <c r="W3217">
        <v>0.37585879999999999</v>
      </c>
      <c r="X3217">
        <v>0.91899969999999997</v>
      </c>
      <c r="Y3217">
        <v>-7.47453099999999E-3</v>
      </c>
      <c r="Z3217">
        <v>-1.4191640000000001E-3</v>
      </c>
      <c r="AA3217">
        <v>0.99997100000000005</v>
      </c>
      <c r="AB3217">
        <v>44</v>
      </c>
      <c r="AC3217">
        <v>0.62029999999998597</v>
      </c>
      <c r="AD3217">
        <v>-0.125193099999999</v>
      </c>
      <c r="AE3217">
        <v>1.87999999999988E-2</v>
      </c>
      <c r="AF3217">
        <v>-6.9940137227089503E-3</v>
      </c>
      <c r="AG3217">
        <v>-0.125193099999999</v>
      </c>
      <c r="AH3217">
        <v>0.596275728658616</v>
      </c>
      <c r="AI3217">
        <v>101.856703946468</v>
      </c>
      <c r="AJ3217">
        <v>90.6720197937302</v>
      </c>
      <c r="AK3217">
        <v>0.60931680848547598</v>
      </c>
      <c r="AL3217">
        <v>67.922596732130501</v>
      </c>
      <c r="AM3217">
        <v>97.380310647924503</v>
      </c>
      <c r="AN3217">
        <v>0.99999993962036804</v>
      </c>
    </row>
    <row r="3218" spans="1:40" x14ac:dyDescent="0.25">
      <c r="A3218" t="str">
        <f>"20190304164434102"</f>
        <v>20190304164434102</v>
      </c>
      <c r="B3218" t="str">
        <f>"1551689074092874"</f>
        <v>1551689074092874</v>
      </c>
      <c r="C3218" t="s">
        <v>40</v>
      </c>
      <c r="D3218">
        <v>4.8653890000000004</v>
      </c>
      <c r="E3218">
        <v>0.56176389999999998</v>
      </c>
      <c r="F3218" t="s">
        <v>41</v>
      </c>
      <c r="G3218">
        <v>-329.73939999999999</v>
      </c>
      <c r="H3218">
        <v>0.99155550000000003</v>
      </c>
      <c r="I3218">
        <v>213.75479999999999</v>
      </c>
      <c r="J3218">
        <v>-330.28120000000001</v>
      </c>
      <c r="K3218">
        <v>1.111728</v>
      </c>
      <c r="L3218">
        <v>213.74090000000001</v>
      </c>
      <c r="M3218">
        <v>0.99970219999999999</v>
      </c>
      <c r="N3218">
        <v>-1.451739E-2</v>
      </c>
      <c r="O3218">
        <v>1.962173E-2</v>
      </c>
      <c r="P3218">
        <v>0.92208800000000002</v>
      </c>
      <c r="Q3218">
        <v>0.36255110000000002</v>
      </c>
      <c r="R3218">
        <v>0.13531650000000001</v>
      </c>
      <c r="S3218">
        <v>3.4007869999999998</v>
      </c>
      <c r="T3218">
        <v>-0.40332580000000001</v>
      </c>
      <c r="U3218">
        <v>7.9406740000000003E-2</v>
      </c>
      <c r="V3218">
        <v>-0.1182276</v>
      </c>
      <c r="W3218">
        <v>0.3756118</v>
      </c>
      <c r="X3218">
        <v>0.9192051</v>
      </c>
      <c r="Y3218">
        <v>-3.7961570000000001E-3</v>
      </c>
      <c r="Z3218">
        <v>-1.78246E-3</v>
      </c>
      <c r="AA3218">
        <v>0.99999119999999997</v>
      </c>
      <c r="AB3218">
        <v>44</v>
      </c>
      <c r="AC3218">
        <v>0.54180000000002304</v>
      </c>
      <c r="AD3218">
        <v>-0.1201725</v>
      </c>
      <c r="AE3218">
        <v>1.3899999999978201E-2</v>
      </c>
      <c r="AF3218">
        <v>-3.1121456818883802E-3</v>
      </c>
      <c r="AG3218">
        <v>-0.1201725</v>
      </c>
      <c r="AH3218">
        <v>0.516571750620617</v>
      </c>
      <c r="AI3218">
        <v>103.095823549714</v>
      </c>
      <c r="AJ3218">
        <v>90.3451808103883</v>
      </c>
      <c r="AK3218">
        <v>0.53037485681944296</v>
      </c>
      <c r="AL3218">
        <v>67.937869209817094</v>
      </c>
      <c r="AM3218">
        <v>97.329109990176505</v>
      </c>
      <c r="AN3218">
        <v>1.0000000027835001</v>
      </c>
    </row>
    <row r="3219" spans="1:40" x14ac:dyDescent="0.25">
      <c r="A3219" t="str">
        <f>"20190304164434124"</f>
        <v>20190304164434124</v>
      </c>
      <c r="B3219" t="str">
        <f>"1551689074113370"</f>
        <v>1551689074113370</v>
      </c>
      <c r="C3219" t="s">
        <v>40</v>
      </c>
      <c r="D3219">
        <v>4.8694540000000002</v>
      </c>
      <c r="E3219">
        <v>0.56220839999999905</v>
      </c>
      <c r="F3219" t="s">
        <v>41</v>
      </c>
      <c r="G3219">
        <v>-329.34480000000002</v>
      </c>
      <c r="H3219">
        <v>1.0004280000000001</v>
      </c>
      <c r="I3219">
        <v>213.762</v>
      </c>
      <c r="J3219">
        <v>-329.86290000000002</v>
      </c>
      <c r="K3219">
        <v>1.111726</v>
      </c>
      <c r="L3219">
        <v>213.7499</v>
      </c>
      <c r="M3219">
        <v>0.9996834</v>
      </c>
      <c r="N3219">
        <v>-1.451475E-2</v>
      </c>
      <c r="O3219">
        <v>2.055829E-2</v>
      </c>
      <c r="P3219">
        <v>0.92213080000000003</v>
      </c>
      <c r="Q3219">
        <v>0.36269410000000002</v>
      </c>
      <c r="R3219">
        <v>0.1346396</v>
      </c>
      <c r="S3219">
        <v>3.4012150000000001</v>
      </c>
      <c r="T3219">
        <v>-0.40439199999999997</v>
      </c>
      <c r="U3219">
        <v>7.6721189999999995E-2</v>
      </c>
      <c r="V3219">
        <v>-0.1166859</v>
      </c>
      <c r="W3219">
        <v>0.3757585</v>
      </c>
      <c r="X3219">
        <v>0.9193422</v>
      </c>
      <c r="Y3219">
        <v>-2.0862810000000002E-3</v>
      </c>
      <c r="Z3219">
        <v>-1.9988829999999999E-3</v>
      </c>
      <c r="AA3219">
        <v>0.99999579999999999</v>
      </c>
      <c r="AB3219">
        <v>44</v>
      </c>
      <c r="AC3219">
        <v>0.518100000000004</v>
      </c>
      <c r="AD3219">
        <v>-0.11129799999999899</v>
      </c>
      <c r="AE3219">
        <v>1.21000000000037E-2</v>
      </c>
      <c r="AF3219">
        <v>-1.38135970894975E-3</v>
      </c>
      <c r="AG3219">
        <v>-0.11129799999999899</v>
      </c>
      <c r="AH3219">
        <v>0.49539071437031801</v>
      </c>
      <c r="AI3219">
        <v>102.662180407406</v>
      </c>
      <c r="AJ3219">
        <v>90.159764553288596</v>
      </c>
      <c r="AK3219">
        <v>0.50774118686884095</v>
      </c>
      <c r="AL3219">
        <v>67.928800990527506</v>
      </c>
      <c r="AM3219">
        <v>97.233489363840505</v>
      </c>
      <c r="AN3219">
        <v>1.00000006514094</v>
      </c>
    </row>
    <row r="3220" spans="1:40" x14ac:dyDescent="0.25">
      <c r="A3220" t="str">
        <f>"20190304164434145"</f>
        <v>20190304164434145</v>
      </c>
      <c r="B3220" t="str">
        <f>"1551689074132891"</f>
        <v>1551689074132891</v>
      </c>
      <c r="C3220" t="s">
        <v>40</v>
      </c>
      <c r="D3220">
        <v>4.8708280000000004</v>
      </c>
      <c r="E3220">
        <v>0.56257279999999998</v>
      </c>
      <c r="F3220" t="s">
        <v>41</v>
      </c>
      <c r="G3220">
        <v>-328.95319999999998</v>
      </c>
      <c r="H3220">
        <v>1.0035609999999999</v>
      </c>
      <c r="I3220">
        <v>213.76830000000001</v>
      </c>
      <c r="J3220">
        <v>-329.45209999999997</v>
      </c>
      <c r="K3220">
        <v>1.1117330000000001</v>
      </c>
      <c r="L3220">
        <v>213.75909999999999</v>
      </c>
      <c r="M3220">
        <v>0.999664</v>
      </c>
      <c r="N3220">
        <v>-1.4512209999999999E-2</v>
      </c>
      <c r="O3220">
        <v>2.1477489999999998E-2</v>
      </c>
      <c r="P3220">
        <v>0.92225250000000003</v>
      </c>
      <c r="Q3220">
        <v>0.36257699999999998</v>
      </c>
      <c r="R3220">
        <v>0.1341205</v>
      </c>
      <c r="S3220">
        <v>3.4024049999999999</v>
      </c>
      <c r="T3220">
        <v>-0.40472599999999997</v>
      </c>
      <c r="U3220">
        <v>6.9396970000000002E-2</v>
      </c>
      <c r="V3220">
        <v>-0.1153141</v>
      </c>
      <c r="W3220">
        <v>0.37564540000000002</v>
      </c>
      <c r="X3220">
        <v>0.91956139999999997</v>
      </c>
      <c r="Y3220">
        <v>9.6353040000000001E-4</v>
      </c>
      <c r="Z3220">
        <v>-2.2986650000000001E-3</v>
      </c>
      <c r="AA3220">
        <v>0.99999689999999997</v>
      </c>
      <c r="AB3220">
        <v>44</v>
      </c>
      <c r="AC3220">
        <v>0.49889999999999102</v>
      </c>
      <c r="AD3220">
        <v>-0.10817199999999901</v>
      </c>
      <c r="AE3220">
        <v>9.2000000000211895E-3</v>
      </c>
      <c r="AF3220">
        <v>1.45021735918151E-3</v>
      </c>
      <c r="AG3220">
        <v>-0.10817199999999901</v>
      </c>
      <c r="AH3220">
        <v>0.47658521196452702</v>
      </c>
      <c r="AI3220">
        <v>102.787880937746</v>
      </c>
      <c r="AJ3220">
        <v>89.8256532609212</v>
      </c>
      <c r="AK3220">
        <v>0.48870926835661899</v>
      </c>
      <c r="AL3220">
        <v>67.935791618124</v>
      </c>
      <c r="AM3220">
        <v>97.147648463641104</v>
      </c>
      <c r="AN3220">
        <v>0.99999998828496395</v>
      </c>
    </row>
    <row r="3221" spans="1:40" x14ac:dyDescent="0.25">
      <c r="A3221" t="str">
        <f>"20190304164434169"</f>
        <v>20190304164434169</v>
      </c>
      <c r="B3221" t="str">
        <f>"1551689074163147"</f>
        <v>1551689074163147</v>
      </c>
      <c r="C3221" t="s">
        <v>40</v>
      </c>
      <c r="D3221">
        <v>4.8751449999999998</v>
      </c>
      <c r="E3221">
        <v>0.56300509999999904</v>
      </c>
      <c r="F3221" t="s">
        <v>41</v>
      </c>
      <c r="G3221">
        <v>-328.56240000000003</v>
      </c>
      <c r="H3221">
        <v>1.005835</v>
      </c>
      <c r="I3221">
        <v>213.77529999999999</v>
      </c>
      <c r="J3221">
        <v>-328.99149999999997</v>
      </c>
      <c r="K3221">
        <v>1.1117300000000001</v>
      </c>
      <c r="L3221">
        <v>213.7698</v>
      </c>
      <c r="M3221">
        <v>0.99964169999999997</v>
      </c>
      <c r="N3221">
        <v>-1.4509350000000001E-2</v>
      </c>
      <c r="O3221">
        <v>2.2497719999999999E-2</v>
      </c>
      <c r="P3221">
        <v>0.9224002</v>
      </c>
      <c r="Q3221">
        <v>0.36210779999999998</v>
      </c>
      <c r="R3221">
        <v>0.13437299999999999</v>
      </c>
      <c r="S3221">
        <v>3.4030149999999999</v>
      </c>
      <c r="T3221">
        <v>-0.40529130000000002</v>
      </c>
      <c r="U3221">
        <v>6.3385010000000006E-2</v>
      </c>
      <c r="V3221">
        <v>-0.1146143</v>
      </c>
      <c r="W3221">
        <v>0.37518049999999997</v>
      </c>
      <c r="X3221">
        <v>0.91983870000000001</v>
      </c>
      <c r="Y3221">
        <v>3.7259150000000002E-3</v>
      </c>
      <c r="Z3221">
        <v>-2.5922229999999998E-3</v>
      </c>
      <c r="AA3221">
        <v>0.99998969999999998</v>
      </c>
      <c r="AB3221">
        <v>44</v>
      </c>
      <c r="AC3221">
        <v>0.42909999999994802</v>
      </c>
      <c r="AD3221">
        <v>-0.105894999999999</v>
      </c>
      <c r="AE3221">
        <v>5.4999999999836204E-3</v>
      </c>
      <c r="AF3221">
        <v>3.9176260500552998E-3</v>
      </c>
      <c r="AG3221">
        <v>-0.105894999999999</v>
      </c>
      <c r="AH3221">
        <v>0.40448508391606303</v>
      </c>
      <c r="AI3221">
        <v>104.67022420342499</v>
      </c>
      <c r="AJ3221">
        <v>89.445081094804706</v>
      </c>
      <c r="AK3221">
        <v>0.41813548274387402</v>
      </c>
      <c r="AL3221">
        <v>67.9645316443615</v>
      </c>
      <c r="AM3221">
        <v>97.102596600778895</v>
      </c>
      <c r="AN3221">
        <v>1.0000000396812101</v>
      </c>
    </row>
    <row r="3222" spans="1:40" x14ac:dyDescent="0.25">
      <c r="A3222" t="str">
        <f>"20190304164434191"</f>
        <v>20190304164434191</v>
      </c>
      <c r="B3222" t="str">
        <f>"1551689074183642"</f>
        <v>1551689074183642</v>
      </c>
      <c r="C3222" t="s">
        <v>40</v>
      </c>
      <c r="D3222">
        <v>4.876932</v>
      </c>
      <c r="E3222">
        <v>0.56312779999999996</v>
      </c>
      <c r="F3222" t="s">
        <v>41</v>
      </c>
      <c r="G3222">
        <v>-328.16930000000002</v>
      </c>
      <c r="H3222">
        <v>1.013242</v>
      </c>
      <c r="I3222">
        <v>213.7843</v>
      </c>
      <c r="J3222">
        <v>-328.55079999999998</v>
      </c>
      <c r="K3222">
        <v>1.1117189999999999</v>
      </c>
      <c r="L3222">
        <v>213.78049999999999</v>
      </c>
      <c r="M3222">
        <v>0.99961990000000001</v>
      </c>
      <c r="N3222">
        <v>-1.4506399999999999E-2</v>
      </c>
      <c r="O3222">
        <v>2.344649E-2</v>
      </c>
      <c r="P3222">
        <v>0.92224899999999999</v>
      </c>
      <c r="Q3222">
        <v>0.36219649999999998</v>
      </c>
      <c r="R3222">
        <v>0.1351697</v>
      </c>
      <c r="S3222">
        <v>3.4036870000000001</v>
      </c>
      <c r="T3222">
        <v>-0.40774549999999998</v>
      </c>
      <c r="U3222">
        <v>6.0150149999999999E-2</v>
      </c>
      <c r="V3222">
        <v>-0.1145225</v>
      </c>
      <c r="W3222">
        <v>0.37527060000000001</v>
      </c>
      <c r="X3222">
        <v>0.91981329999999994</v>
      </c>
      <c r="Y3222">
        <v>5.6064849999999996E-3</v>
      </c>
      <c r="Z3222">
        <v>-2.8345530000000001E-3</v>
      </c>
      <c r="AA3222">
        <v>0.99998030000000004</v>
      </c>
      <c r="AB3222">
        <v>44</v>
      </c>
      <c r="AC3222">
        <v>0.38149999999995998</v>
      </c>
      <c r="AD3222">
        <v>-9.8477000000000106E-2</v>
      </c>
      <c r="AE3222">
        <v>3.8000000000124601E-3</v>
      </c>
      <c r="AF3222">
        <v>4.8253335609405E-3</v>
      </c>
      <c r="AG3222">
        <v>-9.8477000000000106E-2</v>
      </c>
      <c r="AH3222">
        <v>0.35765540337145602</v>
      </c>
      <c r="AI3222">
        <v>105.393050183047</v>
      </c>
      <c r="AJ3222">
        <v>89.227036772415602</v>
      </c>
      <c r="AK3222">
        <v>0.37099648372157601</v>
      </c>
      <c r="AL3222">
        <v>67.958960670964601</v>
      </c>
      <c r="AM3222">
        <v>97.097159807452798</v>
      </c>
      <c r="AN3222">
        <v>0.99999996654374901</v>
      </c>
    </row>
    <row r="3223" spans="1:40" x14ac:dyDescent="0.25">
      <c r="A3223" t="str">
        <f>"20190304164434211"</f>
        <v>20190304164434211</v>
      </c>
      <c r="B3223" t="str">
        <f>"1551689074203162"</f>
        <v>1551689074203162</v>
      </c>
      <c r="C3223" t="s">
        <v>40</v>
      </c>
      <c r="D3223">
        <v>4.8816379999999997</v>
      </c>
      <c r="E3223">
        <v>0.56334219999999902</v>
      </c>
      <c r="F3223" t="s">
        <v>41</v>
      </c>
      <c r="G3223">
        <v>-327.77730000000003</v>
      </c>
      <c r="H3223">
        <v>1.019096</v>
      </c>
      <c r="I3223">
        <v>213.79390000000001</v>
      </c>
      <c r="J3223">
        <v>-328.14620000000002</v>
      </c>
      <c r="K3223">
        <v>1.111691</v>
      </c>
      <c r="L3223">
        <v>213.79069999999999</v>
      </c>
      <c r="M3223">
        <v>0.99960020000000005</v>
      </c>
      <c r="N3223">
        <v>-1.450364E-2</v>
      </c>
      <c r="O3223">
        <v>2.4271009999999999E-2</v>
      </c>
      <c r="P3223">
        <v>0.92204299999999995</v>
      </c>
      <c r="Q3223">
        <v>0.36222369999999998</v>
      </c>
      <c r="R3223">
        <v>0.136494899999999</v>
      </c>
      <c r="S3223">
        <v>3.4043269999999999</v>
      </c>
      <c r="T3223">
        <v>-0.40786899999999998</v>
      </c>
      <c r="U3223">
        <v>6.0180659999999997E-2</v>
      </c>
      <c r="V3223">
        <v>-0.1150617</v>
      </c>
      <c r="W3223">
        <v>0.37530160000000001</v>
      </c>
      <c r="X3223">
        <v>0.91973340000000003</v>
      </c>
      <c r="Y3223">
        <v>6.414599E-3</v>
      </c>
      <c r="Z3223">
        <v>-2.975554E-3</v>
      </c>
      <c r="AA3223">
        <v>0.99997499999999995</v>
      </c>
      <c r="AB3223">
        <v>44</v>
      </c>
      <c r="AC3223">
        <v>0.36889999999999601</v>
      </c>
      <c r="AD3223">
        <v>-9.25949999999999E-2</v>
      </c>
      <c r="AE3223">
        <v>3.2000000000209599E-3</v>
      </c>
      <c r="AF3223">
        <v>5.4143673394189103E-3</v>
      </c>
      <c r="AG3223">
        <v>-9.25949999999999E-2</v>
      </c>
      <c r="AH3223">
        <v>0.34700823975027101</v>
      </c>
      <c r="AI3223">
        <v>104.938847059856</v>
      </c>
      <c r="AJ3223">
        <v>89.106086857060305</v>
      </c>
      <c r="AK3223">
        <v>0.359190573168711</v>
      </c>
      <c r="AL3223">
        <v>67.957045367890501</v>
      </c>
      <c r="AM3223">
        <v>97.130844887085203</v>
      </c>
      <c r="AN3223">
        <v>1.0000000064225001</v>
      </c>
    </row>
    <row r="3224" spans="1:40" x14ac:dyDescent="0.25">
      <c r="A3224" t="str">
        <f>"20190304164434234"</f>
        <v>20190304164434234</v>
      </c>
      <c r="B3224" t="str">
        <f>"1551689074223659"</f>
        <v>1551689074223659</v>
      </c>
      <c r="C3224" t="s">
        <v>40</v>
      </c>
      <c r="D3224">
        <v>4.8848520000000004</v>
      </c>
      <c r="E3224">
        <v>0.56350180000000005</v>
      </c>
      <c r="F3224" t="s">
        <v>41</v>
      </c>
      <c r="G3224">
        <v>-327.38760000000002</v>
      </c>
      <c r="H3224">
        <v>1.0208729999999999</v>
      </c>
      <c r="I3224">
        <v>213.80449999999999</v>
      </c>
      <c r="J3224">
        <v>-327.71719999999999</v>
      </c>
      <c r="K3224">
        <v>1.111634</v>
      </c>
      <c r="L3224">
        <v>213.80179999999999</v>
      </c>
      <c r="M3224">
        <v>0.99958060000000004</v>
      </c>
      <c r="N3224">
        <v>-1.450038E-2</v>
      </c>
      <c r="O3224">
        <v>2.5070680000000001E-2</v>
      </c>
      <c r="P3224">
        <v>0.92170229999999997</v>
      </c>
      <c r="Q3224">
        <v>0.36244389999999999</v>
      </c>
      <c r="R3224">
        <v>0.1382004</v>
      </c>
      <c r="S3224">
        <v>3.404541</v>
      </c>
      <c r="T3224">
        <v>-0.40755780000000003</v>
      </c>
      <c r="U3224">
        <v>6.1996460000000003E-2</v>
      </c>
      <c r="V3224">
        <v>-0.11598559999999999</v>
      </c>
      <c r="W3224">
        <v>0.37552780000000002</v>
      </c>
      <c r="X3224">
        <v>0.91952500000000004</v>
      </c>
      <c r="Y3224">
        <v>6.6763500000000002E-3</v>
      </c>
      <c r="Z3224">
        <v>-3.0742130000000001E-3</v>
      </c>
      <c r="AA3224">
        <v>0.999973</v>
      </c>
      <c r="AB3224">
        <v>44</v>
      </c>
      <c r="AC3224">
        <v>0.32959999999996997</v>
      </c>
      <c r="AD3224">
        <v>-9.0760999999999994E-2</v>
      </c>
      <c r="AE3224">
        <v>2.7000000000043599E-3</v>
      </c>
      <c r="AF3224">
        <v>5.1728011867055498E-3</v>
      </c>
      <c r="AG3224">
        <v>-9.0760999999999994E-2</v>
      </c>
      <c r="AH3224">
        <v>0.306337005082362</v>
      </c>
      <c r="AI3224">
        <v>106.501187847721</v>
      </c>
      <c r="AJ3224">
        <v>89.032596432633696</v>
      </c>
      <c r="AK3224">
        <v>0.31954135518888299</v>
      </c>
      <c r="AL3224">
        <v>67.943062307053594</v>
      </c>
      <c r="AM3224">
        <v>97.189118217266596</v>
      </c>
      <c r="AN3224">
        <v>1.0000000068026</v>
      </c>
    </row>
    <row r="3225" spans="1:40" x14ac:dyDescent="0.25">
      <c r="A3225" t="str">
        <f>"20190304164434256"</f>
        <v>20190304164434256</v>
      </c>
      <c r="B3225" t="str">
        <f>"1551689074252939"</f>
        <v>1551689074252939</v>
      </c>
      <c r="C3225" t="s">
        <v>40</v>
      </c>
      <c r="D3225">
        <v>4.9199289999999998</v>
      </c>
      <c r="E3225">
        <v>0.56372609999999901</v>
      </c>
      <c r="F3225" t="s">
        <v>41</v>
      </c>
      <c r="G3225">
        <v>-326.62970000000001</v>
      </c>
      <c r="H3225">
        <v>0.98154719999999995</v>
      </c>
      <c r="I3225">
        <v>213.82329999999999</v>
      </c>
      <c r="J3225">
        <v>-327.27690000000001</v>
      </c>
      <c r="K3225">
        <v>1.11155</v>
      </c>
      <c r="L3225">
        <v>213.8134</v>
      </c>
      <c r="M3225">
        <v>0.99956270000000003</v>
      </c>
      <c r="N3225">
        <v>-1.449698E-2</v>
      </c>
      <c r="O3225">
        <v>2.577875E-2</v>
      </c>
      <c r="P3225">
        <v>0.92187549999999996</v>
      </c>
      <c r="Q3225">
        <v>0.36167559999999999</v>
      </c>
      <c r="R3225">
        <v>0.13905590000000001</v>
      </c>
      <c r="S3225">
        <v>3.4049680000000002</v>
      </c>
      <c r="T3225">
        <v>-0.40733160000000002</v>
      </c>
      <c r="U3225">
        <v>6.7245479999999996E-2</v>
      </c>
      <c r="V3225">
        <v>-0.116104</v>
      </c>
      <c r="W3225">
        <v>0.37478349999999999</v>
      </c>
      <c r="X3225">
        <v>0.91981369999999896</v>
      </c>
      <c r="Y3225">
        <v>5.8490030000000002E-3</v>
      </c>
      <c r="Z3225">
        <v>-3.0907360000000002E-3</v>
      </c>
      <c r="AA3225">
        <v>0.99997809999999998</v>
      </c>
      <c r="AB3225">
        <v>44</v>
      </c>
      <c r="AC3225">
        <v>0.647199999999997</v>
      </c>
      <c r="AD3225">
        <v>-0.1300028</v>
      </c>
      <c r="AE3225">
        <v>9.8999999999875802E-3</v>
      </c>
      <c r="AF3225">
        <v>6.52580331281902E-3</v>
      </c>
      <c r="AG3225">
        <v>-0.1300028</v>
      </c>
      <c r="AH3225">
        <v>0.62214337171558698</v>
      </c>
      <c r="AI3225">
        <v>101.802040770825</v>
      </c>
      <c r="AJ3225">
        <v>89.399033578143602</v>
      </c>
      <c r="AK3225">
        <v>0.63561441856392498</v>
      </c>
      <c r="AL3225">
        <v>67.989068168068798</v>
      </c>
      <c r="AM3225">
        <v>97.194145043080397</v>
      </c>
      <c r="AN3225">
        <v>1.0000000266979601</v>
      </c>
    </row>
    <row r="3226" spans="1:40" x14ac:dyDescent="0.25">
      <c r="A3226" t="str">
        <f>"20190304164434280"</f>
        <v>20190304164434280</v>
      </c>
      <c r="B3226" t="str">
        <f>"1551689074273434"</f>
        <v>1551689074273434</v>
      </c>
      <c r="C3226" t="s">
        <v>40</v>
      </c>
      <c r="D3226">
        <v>4.8876439999999999</v>
      </c>
      <c r="E3226">
        <v>0.56386599999999998</v>
      </c>
      <c r="F3226" t="s">
        <v>41</v>
      </c>
      <c r="G3226">
        <v>-326.23919999999998</v>
      </c>
      <c r="H3226">
        <v>0.98651</v>
      </c>
      <c r="I3226">
        <v>213.83410000000001</v>
      </c>
      <c r="J3226">
        <v>-326.8236</v>
      </c>
      <c r="K3226">
        <v>1.1114470000000001</v>
      </c>
      <c r="L3226">
        <v>213.82570000000001</v>
      </c>
      <c r="M3226">
        <v>0.99954639999999995</v>
      </c>
      <c r="N3226">
        <v>-1.4493570000000001E-2</v>
      </c>
      <c r="O3226">
        <v>2.6401009999999999E-2</v>
      </c>
      <c r="P3226">
        <v>0.92187920000000001</v>
      </c>
      <c r="Q3226">
        <v>0.36148409999999997</v>
      </c>
      <c r="R3226">
        <v>0.1395286</v>
      </c>
      <c r="S3226">
        <v>3.404846</v>
      </c>
      <c r="T3226">
        <v>-0.41039759999999997</v>
      </c>
      <c r="U3226">
        <v>6.8817139999999999E-2</v>
      </c>
      <c r="V3226">
        <v>-0.11591369999999999</v>
      </c>
      <c r="W3226">
        <v>0.3746177</v>
      </c>
      <c r="X3226">
        <v>0.91990519999999998</v>
      </c>
      <c r="Y3226">
        <v>6.0015900000000002E-3</v>
      </c>
      <c r="Z3226">
        <v>-3.1924789999999998E-3</v>
      </c>
      <c r="AA3226">
        <v>0.99997689999999995</v>
      </c>
      <c r="AB3226">
        <v>43</v>
      </c>
      <c r="AC3226">
        <v>0.58440000000001602</v>
      </c>
      <c r="AD3226">
        <v>-0.12493699999999899</v>
      </c>
      <c r="AE3226">
        <v>8.3999999999946305E-3</v>
      </c>
      <c r="AF3226">
        <v>6.7259541198094299E-3</v>
      </c>
      <c r="AG3226">
        <v>-0.12493699999999899</v>
      </c>
      <c r="AH3226">
        <v>0.55887983607939695</v>
      </c>
      <c r="AI3226">
        <v>102.600342648252</v>
      </c>
      <c r="AJ3226">
        <v>89.310495465836496</v>
      </c>
      <c r="AK3226">
        <v>0.57271385840047195</v>
      </c>
      <c r="AL3226">
        <v>67.999313476209295</v>
      </c>
      <c r="AM3226">
        <v>97.181769782650093</v>
      </c>
      <c r="AN3226">
        <v>0.99999999199400902</v>
      </c>
    </row>
    <row r="3227" spans="1:40" x14ac:dyDescent="0.25">
      <c r="A3227" t="str">
        <f>"20190304164434305"</f>
        <v>20190304164434305</v>
      </c>
      <c r="B3227" t="str">
        <f>"1551689074292954"</f>
        <v>1551689074292954</v>
      </c>
      <c r="C3227" t="s">
        <v>40</v>
      </c>
      <c r="D3227">
        <v>4.9027750000000001</v>
      </c>
      <c r="E3227">
        <v>0.56405169999999905</v>
      </c>
      <c r="F3227" t="s">
        <v>41</v>
      </c>
      <c r="G3227">
        <v>-325.84789999999998</v>
      </c>
      <c r="H3227">
        <v>0.99359920000000002</v>
      </c>
      <c r="I3227">
        <v>213.84540000000001</v>
      </c>
      <c r="J3227">
        <v>-326.34719999999999</v>
      </c>
      <c r="K3227">
        <v>1.1113379999999999</v>
      </c>
      <c r="L3227">
        <v>213.83869999999999</v>
      </c>
      <c r="M3227">
        <v>0.99953259999999999</v>
      </c>
      <c r="N3227">
        <v>-1.448998E-2</v>
      </c>
      <c r="O3227">
        <v>2.692056E-2</v>
      </c>
      <c r="P3227">
        <v>0.92203769999999996</v>
      </c>
      <c r="Q3227">
        <v>0.3614252</v>
      </c>
      <c r="R3227">
        <v>0.13863210000000001</v>
      </c>
      <c r="S3227">
        <v>3.4049990000000001</v>
      </c>
      <c r="T3227">
        <v>-0.41134379999999998</v>
      </c>
      <c r="U3227">
        <v>6.9564819999999999E-2</v>
      </c>
      <c r="V3227">
        <v>-0.1144318</v>
      </c>
      <c r="W3227">
        <v>0.37459120000000001</v>
      </c>
      <c r="X3227">
        <v>0.92010150000000002</v>
      </c>
      <c r="Y3227">
        <v>6.2964880000000003E-3</v>
      </c>
      <c r="Z3227">
        <v>-3.2753729999999998E-3</v>
      </c>
      <c r="AA3227">
        <v>0.99997480000000005</v>
      </c>
      <c r="AB3227">
        <v>43</v>
      </c>
      <c r="AC3227">
        <v>0.49930000000000502</v>
      </c>
      <c r="AD3227">
        <v>-0.11773879999999901</v>
      </c>
      <c r="AE3227">
        <v>6.7000000000234598E-3</v>
      </c>
      <c r="AF3227">
        <v>6.3900200976638403E-3</v>
      </c>
      <c r="AG3227">
        <v>-0.11773879999999901</v>
      </c>
      <c r="AH3227">
        <v>0.47300267643576199</v>
      </c>
      <c r="AI3227">
        <v>103.976646803558</v>
      </c>
      <c r="AJ3227">
        <v>89.226010908251695</v>
      </c>
      <c r="AK3227">
        <v>0.487477988526336</v>
      </c>
      <c r="AL3227">
        <v>68.000950942683602</v>
      </c>
      <c r="AM3227">
        <v>97.089397553073994</v>
      </c>
      <c r="AN3227">
        <v>0.99999998713546401</v>
      </c>
    </row>
    <row r="3228" spans="1:40" x14ac:dyDescent="0.25">
      <c r="A3228" t="str">
        <f>"20190304164434325"</f>
        <v>20190304164434325</v>
      </c>
      <c r="B3228" t="str">
        <f>"1551689074313451"</f>
        <v>1551689074313451</v>
      </c>
      <c r="C3228" t="s">
        <v>40</v>
      </c>
      <c r="D3228">
        <v>4.9061110000000001</v>
      </c>
      <c r="E3228">
        <v>0.56422620000000001</v>
      </c>
      <c r="F3228" t="s">
        <v>41</v>
      </c>
      <c r="G3228">
        <v>-325.45549999999997</v>
      </c>
      <c r="H3228">
        <v>1.0033399999999999</v>
      </c>
      <c r="I3228">
        <v>213.85589999999999</v>
      </c>
      <c r="J3228">
        <v>-325.95400000000001</v>
      </c>
      <c r="K3228">
        <v>1.111251</v>
      </c>
      <c r="L3228">
        <v>213.84960000000001</v>
      </c>
      <c r="M3228">
        <v>0.99952410000000003</v>
      </c>
      <c r="N3228">
        <v>-1.4487119999999999E-2</v>
      </c>
      <c r="O3228">
        <v>2.7235470000000001E-2</v>
      </c>
      <c r="P3228">
        <v>0.9221241</v>
      </c>
      <c r="Q3228">
        <v>0.36155569999999998</v>
      </c>
      <c r="R3228">
        <v>0.13771220000000001</v>
      </c>
      <c r="S3228">
        <v>3.4053040000000001</v>
      </c>
      <c r="T3228">
        <v>-0.41258410000000001</v>
      </c>
      <c r="U3228">
        <v>6.6909789999999997E-2</v>
      </c>
      <c r="V3228">
        <v>-0.1131292</v>
      </c>
      <c r="W3228">
        <v>0.37474990000000002</v>
      </c>
      <c r="X3228">
        <v>0.92019799999999996</v>
      </c>
      <c r="Y3228">
        <v>7.3807480000000003E-3</v>
      </c>
      <c r="Z3228">
        <v>-3.3927649999999998E-3</v>
      </c>
      <c r="AA3228">
        <v>0.99996700000000005</v>
      </c>
      <c r="AB3228">
        <v>43</v>
      </c>
      <c r="AC3228">
        <v>0.49850000000003503</v>
      </c>
      <c r="AD3228">
        <v>-0.10791100000000001</v>
      </c>
      <c r="AE3228">
        <v>6.2999999999817603E-3</v>
      </c>
      <c r="AF3228">
        <v>6.9547949868529199E-3</v>
      </c>
      <c r="AG3228">
        <v>-0.10791100000000001</v>
      </c>
      <c r="AH3228">
        <v>0.476176628819587</v>
      </c>
      <c r="AI3228">
        <v>102.767365442177</v>
      </c>
      <c r="AJ3228">
        <v>89.163226321995097</v>
      </c>
      <c r="AK3228">
        <v>0.48830045558886798</v>
      </c>
      <c r="AL3228">
        <v>67.9911447484549</v>
      </c>
      <c r="AM3228">
        <v>97.0087771162287</v>
      </c>
      <c r="AN3228">
        <v>1.0000000313233199</v>
      </c>
    </row>
    <row r="3229" spans="1:40" x14ac:dyDescent="0.25">
      <c r="A3229" t="str">
        <f>"20190304164434346"</f>
        <v>20190304164434346</v>
      </c>
      <c r="B3229" t="str">
        <f>"1551689074332971"</f>
        <v>1551689074332971</v>
      </c>
      <c r="C3229" t="s">
        <v>40</v>
      </c>
      <c r="D3229">
        <v>4.9028330000000002</v>
      </c>
      <c r="E3229">
        <v>0.56436569999999997</v>
      </c>
      <c r="F3229" t="s">
        <v>41</v>
      </c>
      <c r="G3229">
        <v>-325.06799999999998</v>
      </c>
      <c r="H3229">
        <v>1.003676</v>
      </c>
      <c r="I3229">
        <v>213.8665</v>
      </c>
      <c r="J3229">
        <v>-325.54750000000001</v>
      </c>
      <c r="K3229">
        <v>1.111157</v>
      </c>
      <c r="L3229">
        <v>213.86080000000001</v>
      </c>
      <c r="M3229">
        <v>0.99951800000000002</v>
      </c>
      <c r="N3229">
        <v>-1.4484250000000001E-2</v>
      </c>
      <c r="O3229">
        <v>2.7461180000000002E-2</v>
      </c>
      <c r="P3229">
        <v>0.92209209999999997</v>
      </c>
      <c r="Q3229">
        <v>0.36212270000000002</v>
      </c>
      <c r="R3229">
        <v>0.1364311</v>
      </c>
      <c r="S3229">
        <v>3.4057309999999998</v>
      </c>
      <c r="T3229">
        <v>-0.41360449999999999</v>
      </c>
      <c r="U3229">
        <v>6.5719600000000003E-2</v>
      </c>
      <c r="V3229">
        <v>-0.1115477</v>
      </c>
      <c r="W3229">
        <v>0.37534400000000001</v>
      </c>
      <c r="X3229">
        <v>0.92014890000000005</v>
      </c>
      <c r="Y3229">
        <v>7.9512679999999992E-3</v>
      </c>
      <c r="Z3229">
        <v>-3.4642520000000001E-3</v>
      </c>
      <c r="AA3229">
        <v>0.99996240000000003</v>
      </c>
      <c r="AB3229">
        <v>43</v>
      </c>
      <c r="AC3229">
        <v>0.47950000000003001</v>
      </c>
      <c r="AD3229">
        <v>-0.10748099999999899</v>
      </c>
      <c r="AE3229">
        <v>5.6999999999902597E-3</v>
      </c>
      <c r="AF3229">
        <v>7.1137900362574199E-3</v>
      </c>
      <c r="AG3229">
        <v>-0.10748099999999899</v>
      </c>
      <c r="AH3229">
        <v>0.45654039517911799</v>
      </c>
      <c r="AI3229">
        <v>103.246071382157</v>
      </c>
      <c r="AJ3229">
        <v>89.107292219308206</v>
      </c>
      <c r="AK3229">
        <v>0.46907558431449498</v>
      </c>
      <c r="AL3229">
        <v>67.954424339526497</v>
      </c>
      <c r="AM3229">
        <v>96.912116929076603</v>
      </c>
      <c r="AN3229">
        <v>1.0000000029412499</v>
      </c>
    </row>
    <row r="3230" spans="1:40" x14ac:dyDescent="0.25">
      <c r="A3230" t="str">
        <f>"20190304164434370"</f>
        <v>20190304164434370</v>
      </c>
      <c r="B3230" t="str">
        <f>"1551689074363227"</f>
        <v>1551689074363227</v>
      </c>
      <c r="C3230" t="s">
        <v>40</v>
      </c>
      <c r="D3230">
        <v>4.9065620000000001</v>
      </c>
      <c r="E3230">
        <v>0.56456280000000003</v>
      </c>
      <c r="F3230" t="s">
        <v>41</v>
      </c>
      <c r="G3230">
        <v>-324.67970000000003</v>
      </c>
      <c r="H3230">
        <v>1.0060389999999999</v>
      </c>
      <c r="I3230">
        <v>213.8768</v>
      </c>
      <c r="J3230">
        <v>-325.09390000000002</v>
      </c>
      <c r="K3230">
        <v>1.1110519999999999</v>
      </c>
      <c r="L3230">
        <v>213.87350000000001</v>
      </c>
      <c r="M3230">
        <v>0.9995136</v>
      </c>
      <c r="N3230">
        <v>-1.4481229999999999E-2</v>
      </c>
      <c r="O3230">
        <v>2.7620229999999999E-2</v>
      </c>
      <c r="P3230">
        <v>0.92195830000000001</v>
      </c>
      <c r="Q3230">
        <v>0.36281000000000002</v>
      </c>
      <c r="R3230">
        <v>0.13550519999999999</v>
      </c>
      <c r="S3230">
        <v>3.40625</v>
      </c>
      <c r="T3230">
        <v>-0.41270469999999998</v>
      </c>
      <c r="U3230">
        <v>6.2728880000000001E-2</v>
      </c>
      <c r="V3230">
        <v>-0.11038249999999999</v>
      </c>
      <c r="W3230">
        <v>0.37605630000000001</v>
      </c>
      <c r="X3230">
        <v>0.9199986</v>
      </c>
      <c r="Y3230">
        <v>8.9827309999999903E-3</v>
      </c>
      <c r="Z3230">
        <v>-3.542215E-3</v>
      </c>
      <c r="AA3230">
        <v>0.99995339999999999</v>
      </c>
      <c r="AB3230">
        <v>43</v>
      </c>
      <c r="AC3230">
        <v>0.41419999999999302</v>
      </c>
      <c r="AD3230">
        <v>-0.105013</v>
      </c>
      <c r="AE3230">
        <v>3.2999999999958601E-3</v>
      </c>
      <c r="AF3230">
        <v>7.6509946618721E-3</v>
      </c>
      <c r="AG3230">
        <v>-0.105013</v>
      </c>
      <c r="AH3230">
        <v>0.38912246817055202</v>
      </c>
      <c r="AI3230">
        <v>105.09991861260001</v>
      </c>
      <c r="AJ3230">
        <v>88.873585411432103</v>
      </c>
      <c r="AK3230">
        <v>0.40311606656576998</v>
      </c>
      <c r="AL3230">
        <v>67.910387032320102</v>
      </c>
      <c r="AM3230">
        <v>96.841709328727504</v>
      </c>
      <c r="AN3230">
        <v>1.00000003053894</v>
      </c>
    </row>
    <row r="3231" spans="1:40" x14ac:dyDescent="0.25">
      <c r="A3231" t="str">
        <f>"20190304164434391"</f>
        <v>20190304164434391</v>
      </c>
      <c r="B3231" t="str">
        <f>"1551689074382750"</f>
        <v>1551689074382750</v>
      </c>
      <c r="C3231" t="s">
        <v>40</v>
      </c>
      <c r="D3231">
        <v>4.89757</v>
      </c>
      <c r="E3231">
        <v>0.56470629999999999</v>
      </c>
      <c r="F3231" t="s">
        <v>41</v>
      </c>
      <c r="G3231">
        <v>-324.28899999999999</v>
      </c>
      <c r="H3231">
        <v>1.0139320000000001</v>
      </c>
      <c r="I3231">
        <v>213.88740000000001</v>
      </c>
      <c r="J3231">
        <v>-324.66829999999999</v>
      </c>
      <c r="K3231">
        <v>1.110967</v>
      </c>
      <c r="L3231">
        <v>213.8853</v>
      </c>
      <c r="M3231">
        <v>0.9995115</v>
      </c>
      <c r="N3231">
        <v>-1.4478319999999999E-2</v>
      </c>
      <c r="O3231">
        <v>2.7700579999999999E-2</v>
      </c>
      <c r="P3231">
        <v>0.92206730000000003</v>
      </c>
      <c r="Q3231">
        <v>0.36301899999999998</v>
      </c>
      <c r="R3231">
        <v>0.13419890000000001</v>
      </c>
      <c r="S3231">
        <v>3.4070740000000002</v>
      </c>
      <c r="T3231">
        <v>-0.41116520000000001</v>
      </c>
      <c r="U3231">
        <v>5.8944700000000003E-2</v>
      </c>
      <c r="V3231">
        <v>-0.10891969999999999</v>
      </c>
      <c r="W3231">
        <v>0.37628820000000002</v>
      </c>
      <c r="X3231">
        <v>0.92007810000000001</v>
      </c>
      <c r="Y3231">
        <v>1.016968E-2</v>
      </c>
      <c r="Z3231">
        <v>-3.6155190000000002E-3</v>
      </c>
      <c r="AA3231">
        <v>0.99994179999999999</v>
      </c>
      <c r="AB3231">
        <v>43</v>
      </c>
      <c r="AC3231">
        <v>0.37930000000000003</v>
      </c>
      <c r="AD3231">
        <v>-9.7034999999999899E-2</v>
      </c>
      <c r="AE3231">
        <v>2.1000000000128598E-3</v>
      </c>
      <c r="AF3231">
        <v>7.8922279829993901E-3</v>
      </c>
      <c r="AG3231">
        <v>-9.7034999999999899E-2</v>
      </c>
      <c r="AH3231">
        <v>0.35591937997761303</v>
      </c>
      <c r="AI3231">
        <v>105.24646255741899</v>
      </c>
      <c r="AJ3231">
        <v>88.729720020229394</v>
      </c>
      <c r="AK3231">
        <v>0.36899415107991101</v>
      </c>
      <c r="AL3231">
        <v>67.896046380726702</v>
      </c>
      <c r="AM3231">
        <v>96.751306889086095</v>
      </c>
      <c r="AN3231">
        <v>1.0000000103034701</v>
      </c>
    </row>
    <row r="3232" spans="1:40" x14ac:dyDescent="0.25">
      <c r="A3232" t="str">
        <f>"20190304164434413"</f>
        <v>20190304164434413</v>
      </c>
      <c r="B3232" t="str">
        <f>"1551689074403242"</f>
        <v>1551689074403242</v>
      </c>
      <c r="C3232" t="s">
        <v>40</v>
      </c>
      <c r="D3232">
        <v>4.899521</v>
      </c>
      <c r="E3232">
        <v>0.56480699999999995</v>
      </c>
      <c r="F3232" t="s">
        <v>41</v>
      </c>
      <c r="G3232">
        <v>-323.90039999999999</v>
      </c>
      <c r="H3232">
        <v>1.018313</v>
      </c>
      <c r="I3232">
        <v>213.89750000000001</v>
      </c>
      <c r="J3232">
        <v>-324.25720000000001</v>
      </c>
      <c r="K3232">
        <v>1.1108990000000001</v>
      </c>
      <c r="L3232">
        <v>213.89680000000001</v>
      </c>
      <c r="M3232">
        <v>0.99951049999999997</v>
      </c>
      <c r="N3232">
        <v>-1.447557E-2</v>
      </c>
      <c r="O3232">
        <v>2.7734149999999999E-2</v>
      </c>
      <c r="P3232">
        <v>0.9222013</v>
      </c>
      <c r="Q3232">
        <v>0.36319119999999999</v>
      </c>
      <c r="R3232">
        <v>0.13280359999999999</v>
      </c>
      <c r="S3232">
        <v>3.407349</v>
      </c>
      <c r="T3232">
        <v>-0.4112574</v>
      </c>
      <c r="U3232">
        <v>5.5847170000000002E-2</v>
      </c>
      <c r="V3232">
        <v>-0.10742500000000001</v>
      </c>
      <c r="W3232">
        <v>0.37647910000000001</v>
      </c>
      <c r="X3232">
        <v>0.92017570000000004</v>
      </c>
      <c r="Y3232">
        <v>1.1105540000000001E-2</v>
      </c>
      <c r="Z3232">
        <v>-3.6828049999999999E-3</v>
      </c>
      <c r="AA3232">
        <v>0.99993160000000003</v>
      </c>
      <c r="AB3232">
        <v>43</v>
      </c>
      <c r="AC3232">
        <v>0.35680000000002099</v>
      </c>
      <c r="AD3232">
        <v>-9.2586000000000002E-2</v>
      </c>
      <c r="AE3232">
        <v>6.9999999999481501E-4</v>
      </c>
      <c r="AF3232">
        <v>8.6166510632266092E-3</v>
      </c>
      <c r="AG3232">
        <v>-9.2586000000000002E-2</v>
      </c>
      <c r="AH3232">
        <v>0.33418019701936902</v>
      </c>
      <c r="AI3232">
        <v>105.48071298132599</v>
      </c>
      <c r="AJ3232">
        <v>88.522987364679196</v>
      </c>
      <c r="AK3232">
        <v>0.346875796433608</v>
      </c>
      <c r="AL3232">
        <v>67.884239775108696</v>
      </c>
      <c r="AM3232">
        <v>96.658796877738595</v>
      </c>
      <c r="AN3232">
        <v>0.99999998111614896</v>
      </c>
    </row>
    <row r="3233" spans="1:40" x14ac:dyDescent="0.25">
      <c r="A3233" t="str">
        <f>"20190304164434434"</f>
        <v>20190304164434434</v>
      </c>
      <c r="B3233" t="str">
        <f>"1551689074422766"</f>
        <v>1551689074422766</v>
      </c>
      <c r="C3233" t="s">
        <v>40</v>
      </c>
      <c r="D3233">
        <v>4.9071559999999996</v>
      </c>
      <c r="E3233">
        <v>0.56488340000000004</v>
      </c>
      <c r="F3233" t="s">
        <v>41</v>
      </c>
      <c r="G3233">
        <v>-323.51280000000003</v>
      </c>
      <c r="H3233">
        <v>1.0209980000000001</v>
      </c>
      <c r="I3233">
        <v>213.90790000000001</v>
      </c>
      <c r="J3233">
        <v>-323.8442</v>
      </c>
      <c r="K3233">
        <v>1.1108370000000001</v>
      </c>
      <c r="L3233">
        <v>213.9083</v>
      </c>
      <c r="M3233">
        <v>0.99951049999999997</v>
      </c>
      <c r="N3233">
        <v>-1.44729E-2</v>
      </c>
      <c r="O3233">
        <v>2.773977E-2</v>
      </c>
      <c r="P3233">
        <v>0.92225679999999999</v>
      </c>
      <c r="Q3233">
        <v>0.36376629999999999</v>
      </c>
      <c r="R3233">
        <v>0.13083</v>
      </c>
      <c r="S3233">
        <v>3.4077760000000001</v>
      </c>
      <c r="T3233">
        <v>-0.41152369999999999</v>
      </c>
      <c r="U3233">
        <v>5.1315310000000003E-2</v>
      </c>
      <c r="V3233">
        <v>-0.1053896</v>
      </c>
      <c r="W3233">
        <v>0.37706879999999998</v>
      </c>
      <c r="X3233">
        <v>0.92016969999999998</v>
      </c>
      <c r="Y3233">
        <v>1.243152E-2</v>
      </c>
      <c r="Z3233">
        <v>-3.7749910000000001E-3</v>
      </c>
      <c r="AA3233">
        <v>0.99991560000000002</v>
      </c>
      <c r="AB3233">
        <v>43</v>
      </c>
      <c r="AC3233">
        <v>0.33139999999997299</v>
      </c>
      <c r="AD3233">
        <v>-8.9839000000000196E-2</v>
      </c>
      <c r="AE3233">
        <v>-3.9999999998485599E-4</v>
      </c>
      <c r="AF3233">
        <v>8.9369942971172008E-3</v>
      </c>
      <c r="AG3233">
        <v>-8.9839000000000196E-2</v>
      </c>
      <c r="AH3233">
        <v>0.30858373987889698</v>
      </c>
      <c r="AI3233">
        <v>106.225591363235</v>
      </c>
      <c r="AJ3233">
        <v>88.341101950778594</v>
      </c>
      <c r="AK3233">
        <v>0.321519579972533</v>
      </c>
      <c r="AL3233">
        <v>67.847766301609795</v>
      </c>
      <c r="AM3233">
        <v>96.533775056294004</v>
      </c>
      <c r="AN3233">
        <v>1.00000006225984</v>
      </c>
    </row>
    <row r="3234" spans="1:40" x14ac:dyDescent="0.25">
      <c r="A3234" t="str">
        <f>"20190304164434459"</f>
        <v>20190304164434459</v>
      </c>
      <c r="B3234" t="str">
        <f>"1551689074453019"</f>
        <v>1551689074453019</v>
      </c>
      <c r="C3234" t="s">
        <v>40</v>
      </c>
      <c r="D3234">
        <v>4.887848</v>
      </c>
      <c r="E3234">
        <v>0.56499080000000002</v>
      </c>
      <c r="F3234" t="s">
        <v>41</v>
      </c>
      <c r="G3234">
        <v>-322.76069999999999</v>
      </c>
      <c r="H3234">
        <v>0.98060329999999996</v>
      </c>
      <c r="I3234">
        <v>213.9221</v>
      </c>
      <c r="J3234">
        <v>-323.35840000000002</v>
      </c>
      <c r="K3234">
        <v>1.1107800000000001</v>
      </c>
      <c r="L3234">
        <v>213.92179999999999</v>
      </c>
      <c r="M3234">
        <v>0.99951080000000003</v>
      </c>
      <c r="N3234">
        <v>-1.446979E-2</v>
      </c>
      <c r="O3234">
        <v>2.7727180000000001E-2</v>
      </c>
      <c r="P3234">
        <v>0.92241289999999998</v>
      </c>
      <c r="Q3234">
        <v>0.36379230000000001</v>
      </c>
      <c r="R3234">
        <v>0.1296525</v>
      </c>
      <c r="S3234">
        <v>3.408264</v>
      </c>
      <c r="T3234">
        <v>-0.40981479999999998</v>
      </c>
      <c r="U3234">
        <v>4.400635E-2</v>
      </c>
      <c r="V3234">
        <v>-0.104167</v>
      </c>
      <c r="W3234">
        <v>0.37710900000000003</v>
      </c>
      <c r="X3234">
        <v>0.92029240000000001</v>
      </c>
      <c r="Y3234">
        <v>1.4550209999999999E-2</v>
      </c>
      <c r="Z3234">
        <v>-3.8986839999999999E-3</v>
      </c>
      <c r="AA3234">
        <v>0.99988650000000001</v>
      </c>
      <c r="AB3234">
        <v>43</v>
      </c>
      <c r="AC3234">
        <v>0.59770000000003098</v>
      </c>
      <c r="AD3234">
        <v>-0.13017669999999901</v>
      </c>
      <c r="AE3234">
        <v>3.0000000000995799E-4</v>
      </c>
      <c r="AF3234">
        <v>1.5537369184787399E-2</v>
      </c>
      <c r="AG3234">
        <v>-0.13017669999999901</v>
      </c>
      <c r="AH3234">
        <v>0.57042051316940401</v>
      </c>
      <c r="AI3234">
        <v>102.850810651313</v>
      </c>
      <c r="AJ3234">
        <v>88.439737713101394</v>
      </c>
      <c r="AK3234">
        <v>0.58529218763667201</v>
      </c>
      <c r="AL3234">
        <v>67.845278708273398</v>
      </c>
      <c r="AM3234">
        <v>96.457768595638598</v>
      </c>
      <c r="AN3234">
        <v>1.00000003163387</v>
      </c>
    </row>
    <row r="3235" spans="1:40" x14ac:dyDescent="0.25">
      <c r="A3235" t="str">
        <f>"20190304164434482"</f>
        <v>20190304164434482</v>
      </c>
      <c r="B3235" t="str">
        <f>"1551689074473517"</f>
        <v>1551689074473517</v>
      </c>
      <c r="C3235" t="s">
        <v>40</v>
      </c>
      <c r="D3235">
        <v>4.8818330000000003</v>
      </c>
      <c r="E3235">
        <v>0.56504849999999995</v>
      </c>
      <c r="F3235" t="s">
        <v>41</v>
      </c>
      <c r="G3235">
        <v>-322.3698</v>
      </c>
      <c r="H3235">
        <v>0.99193949999999997</v>
      </c>
      <c r="I3235">
        <v>213.9324</v>
      </c>
      <c r="J3235">
        <v>-322.92529999999999</v>
      </c>
      <c r="K3235">
        <v>1.1107370000000001</v>
      </c>
      <c r="L3235">
        <v>213.93389999999999</v>
      </c>
      <c r="M3235">
        <v>0.99951140000000005</v>
      </c>
      <c r="N3235">
        <v>-1.4467020000000001E-2</v>
      </c>
      <c r="O3235">
        <v>2.7709830000000001E-2</v>
      </c>
      <c r="P3235">
        <v>0.92240440000000001</v>
      </c>
      <c r="Q3235">
        <v>0.36415150000000002</v>
      </c>
      <c r="R3235">
        <v>0.1287007</v>
      </c>
      <c r="S3235">
        <v>3.4087519999999998</v>
      </c>
      <c r="T3235">
        <v>-0.40991440000000001</v>
      </c>
      <c r="U3235">
        <v>3.7734990000000003E-2</v>
      </c>
      <c r="V3235">
        <v>-0.1031923</v>
      </c>
      <c r="W3235">
        <v>0.37747589999999998</v>
      </c>
      <c r="X3235">
        <v>0.92025170000000001</v>
      </c>
      <c r="Y3235">
        <v>1.63594E-2</v>
      </c>
      <c r="Z3235">
        <v>-4.0189199999999996E-3</v>
      </c>
      <c r="AA3235">
        <v>0.99985809999999997</v>
      </c>
      <c r="AB3235">
        <v>43</v>
      </c>
      <c r="AC3235">
        <v>0.555499999999995</v>
      </c>
      <c r="AD3235">
        <v>-0.118797499999999</v>
      </c>
      <c r="AE3235">
        <v>-1.4999999999929499E-3</v>
      </c>
      <c r="AF3235">
        <v>1.6155004256082899E-2</v>
      </c>
      <c r="AG3235">
        <v>-0.118797499999999</v>
      </c>
      <c r="AH3235">
        <v>0.53096183997379998</v>
      </c>
      <c r="AI3235">
        <v>102.606013999636</v>
      </c>
      <c r="AJ3235">
        <v>88.257260643008294</v>
      </c>
      <c r="AK3235">
        <v>0.54432922544828299</v>
      </c>
      <c r="AL3235">
        <v>67.822577327017299</v>
      </c>
      <c r="AM3235">
        <v>96.398126658003605</v>
      </c>
      <c r="AN3235">
        <v>0.99999994860649299</v>
      </c>
    </row>
    <row r="3236" spans="1:40" x14ac:dyDescent="0.25">
      <c r="A3236" t="str">
        <f>"20190304164434504"</f>
        <v>20190304164434504</v>
      </c>
      <c r="B3236" t="str">
        <f>"1551689074493034"</f>
        <v>1551689074493034</v>
      </c>
      <c r="C3236" t="s">
        <v>40</v>
      </c>
      <c r="D3236">
        <v>4.8847490000000002</v>
      </c>
      <c r="E3236">
        <v>0.56489869999999898</v>
      </c>
      <c r="F3236" t="s">
        <v>41</v>
      </c>
      <c r="G3236">
        <v>-321.9819</v>
      </c>
      <c r="H3236">
        <v>0.99766679999999996</v>
      </c>
      <c r="I3236">
        <v>213.94280000000001</v>
      </c>
      <c r="J3236">
        <v>-322.50119999999998</v>
      </c>
      <c r="K3236">
        <v>1.110706</v>
      </c>
      <c r="L3236">
        <v>213.94560000000001</v>
      </c>
      <c r="M3236">
        <v>0.99951199999999996</v>
      </c>
      <c r="N3236">
        <v>-1.4464309999999999E-2</v>
      </c>
      <c r="O3236">
        <v>2.7691489999999999E-2</v>
      </c>
      <c r="P3236">
        <v>0.92239839999999995</v>
      </c>
      <c r="Q3236">
        <v>0.36439129999999997</v>
      </c>
      <c r="R3236">
        <v>0.1280636</v>
      </c>
      <c r="S3236">
        <v>3.4091800000000001</v>
      </c>
      <c r="T3236">
        <v>-0.4087344</v>
      </c>
      <c r="U3236">
        <v>3.2836909999999997E-2</v>
      </c>
      <c r="V3236">
        <v>-0.10254099999999999</v>
      </c>
      <c r="W3236">
        <v>0.3777218</v>
      </c>
      <c r="X3236">
        <v>0.92022369999999998</v>
      </c>
      <c r="Y3236">
        <v>1.7769360000000001E-2</v>
      </c>
      <c r="Z3236">
        <v>-4.0987150000000002E-3</v>
      </c>
      <c r="AA3236">
        <v>0.99983370000000005</v>
      </c>
      <c r="AB3236">
        <v>43</v>
      </c>
      <c r="AC3236">
        <v>0.51929999999998699</v>
      </c>
      <c r="AD3236">
        <v>-0.11303920000000001</v>
      </c>
      <c r="AE3236">
        <v>-2.80000000000768E-3</v>
      </c>
      <c r="AF3236">
        <v>1.6403401439918398E-2</v>
      </c>
      <c r="AG3236">
        <v>-0.11303920000000001</v>
      </c>
      <c r="AH3236">
        <v>0.49554366527847299</v>
      </c>
      <c r="AI3236">
        <v>102.84315358857801</v>
      </c>
      <c r="AJ3236">
        <v>88.104097195054194</v>
      </c>
      <c r="AK3236">
        <v>0.50853756647180204</v>
      </c>
      <c r="AL3236">
        <v>67.807363937123398</v>
      </c>
      <c r="AM3236">
        <v>96.358268380051001</v>
      </c>
      <c r="AN3236">
        <v>1.0000000364589601</v>
      </c>
    </row>
    <row r="3237" spans="1:40" x14ac:dyDescent="0.25">
      <c r="A3237" t="str">
        <f>"20190304164434526"</f>
        <v>20190304164434526</v>
      </c>
      <c r="B3237" t="str">
        <f>"1551689074513531"</f>
        <v>1551689074513531</v>
      </c>
      <c r="C3237" t="s">
        <v>40</v>
      </c>
      <c r="D3237">
        <v>4.8641329999999998</v>
      </c>
      <c r="E3237">
        <v>0.56472</v>
      </c>
      <c r="F3237" t="s">
        <v>41</v>
      </c>
      <c r="G3237">
        <v>-321.59480000000002</v>
      </c>
      <c r="H3237">
        <v>1.0023340000000001</v>
      </c>
      <c r="I3237">
        <v>213.9537</v>
      </c>
      <c r="J3237">
        <v>-322.08859999999999</v>
      </c>
      <c r="K3237">
        <v>1.110679</v>
      </c>
      <c r="L3237">
        <v>213.9571</v>
      </c>
      <c r="M3237">
        <v>0.99951250000000003</v>
      </c>
      <c r="N3237">
        <v>-1.4461679999999999E-2</v>
      </c>
      <c r="O3237">
        <v>2.7673570000000002E-2</v>
      </c>
      <c r="P3237">
        <v>0.92244760000000003</v>
      </c>
      <c r="Q3237">
        <v>0.36435109999999998</v>
      </c>
      <c r="R3237">
        <v>0.12782279999999999</v>
      </c>
      <c r="S3237">
        <v>3.4090579999999999</v>
      </c>
      <c r="T3237">
        <v>-0.40780349999999999</v>
      </c>
      <c r="U3237">
        <v>3.1982419999999998E-2</v>
      </c>
      <c r="V3237">
        <v>-0.1022903</v>
      </c>
      <c r="W3237">
        <v>0.37768649999999998</v>
      </c>
      <c r="X3237">
        <v>0.92026600000000003</v>
      </c>
      <c r="Y3237">
        <v>1.800129E-2</v>
      </c>
      <c r="Z3237">
        <v>-4.1026700000000001E-3</v>
      </c>
      <c r="AA3237">
        <v>0.99982950000000004</v>
      </c>
      <c r="AB3237">
        <v>43</v>
      </c>
      <c r="AC3237">
        <v>0.49379999999996399</v>
      </c>
      <c r="AD3237">
        <v>-0.108345</v>
      </c>
      <c r="AE3237">
        <v>-3.3999999999991802E-3</v>
      </c>
      <c r="AF3237">
        <v>1.6281559971272699E-2</v>
      </c>
      <c r="AG3237">
        <v>-0.108345</v>
      </c>
      <c r="AH3237">
        <v>0.47085057430489802</v>
      </c>
      <c r="AI3237">
        <v>102.950990627184</v>
      </c>
      <c r="AJ3237">
        <v>88.019556148348201</v>
      </c>
      <c r="AK3237">
        <v>0.483429406990669</v>
      </c>
      <c r="AL3237">
        <v>67.809546359219098</v>
      </c>
      <c r="AM3237">
        <v>96.342560880636398</v>
      </c>
      <c r="AN3237">
        <v>0.99999995425616905</v>
      </c>
    </row>
    <row r="3238" spans="1:40" x14ac:dyDescent="0.25">
      <c r="A3238" t="str">
        <f>"20190304164434548"</f>
        <v>20190304164434548</v>
      </c>
      <c r="B3238" t="str">
        <f>"1551689074542811"</f>
        <v>1551689074542811</v>
      </c>
      <c r="C3238" t="s">
        <v>40</v>
      </c>
      <c r="D3238">
        <v>4.8605999999999998</v>
      </c>
      <c r="E3238">
        <v>0.56447349999999996</v>
      </c>
      <c r="F3238" t="s">
        <v>41</v>
      </c>
      <c r="G3238">
        <v>-321.20870000000002</v>
      </c>
      <c r="H3238">
        <v>1.0054920000000001</v>
      </c>
      <c r="I3238">
        <v>213.96559999999999</v>
      </c>
      <c r="J3238">
        <v>-321.65030000000002</v>
      </c>
      <c r="K3238">
        <v>1.1106609999999999</v>
      </c>
      <c r="L3238">
        <v>213.9693</v>
      </c>
      <c r="M3238">
        <v>0.99951299999999998</v>
      </c>
      <c r="N3238">
        <v>-1.44589E-2</v>
      </c>
      <c r="O3238">
        <v>2.765459E-2</v>
      </c>
      <c r="P3238">
        <v>0.92234360000000004</v>
      </c>
      <c r="Q3238">
        <v>0.36463780000000001</v>
      </c>
      <c r="R3238">
        <v>0.1277566</v>
      </c>
      <c r="S3238">
        <v>3.4085390000000002</v>
      </c>
      <c r="T3238">
        <v>-0.40760249999999998</v>
      </c>
      <c r="U3238">
        <v>3.3676150000000002E-2</v>
      </c>
      <c r="V3238">
        <v>-0.1022233</v>
      </c>
      <c r="W3238">
        <v>0.3779748</v>
      </c>
      <c r="X3238">
        <v>0.9201551</v>
      </c>
      <c r="Y3238">
        <v>1.748852E-2</v>
      </c>
      <c r="Z3238">
        <v>-4.0649670000000001E-3</v>
      </c>
      <c r="AA3238">
        <v>0.99983880000000003</v>
      </c>
      <c r="AB3238">
        <v>43</v>
      </c>
      <c r="AC3238">
        <v>0.441599999999993</v>
      </c>
      <c r="AD3238">
        <v>-0.105169</v>
      </c>
      <c r="AE3238">
        <v>-3.70000000000914E-3</v>
      </c>
      <c r="AF3238">
        <v>1.50581278747885E-2</v>
      </c>
      <c r="AG3238">
        <v>-0.105169</v>
      </c>
      <c r="AH3238">
        <v>0.41764273292376097</v>
      </c>
      <c r="AI3238">
        <v>104.125303861074</v>
      </c>
      <c r="AJ3238">
        <v>87.935092504079506</v>
      </c>
      <c r="AK3238">
        <v>0.43094398492161501</v>
      </c>
      <c r="AL3238">
        <v>67.791706137124507</v>
      </c>
      <c r="AM3238">
        <v>96.339198045439701</v>
      </c>
      <c r="AN3238">
        <v>0.99999998027696901</v>
      </c>
    </row>
    <row r="3239" spans="1:40" x14ac:dyDescent="0.25">
      <c r="A3239" t="str">
        <f>"20190304164434571"</f>
        <v>20190304164434571</v>
      </c>
      <c r="B3239" t="str">
        <f>"1551689074563307"</f>
        <v>1551689074563307</v>
      </c>
      <c r="C3239" t="s">
        <v>40</v>
      </c>
      <c r="D3239">
        <v>4.8757060000000001</v>
      </c>
      <c r="E3239">
        <v>0.56432490000000002</v>
      </c>
      <c r="F3239" t="s">
        <v>41</v>
      </c>
      <c r="G3239">
        <v>-320.82139999999998</v>
      </c>
      <c r="H3239">
        <v>1.011984</v>
      </c>
      <c r="I3239">
        <v>213.9778</v>
      </c>
      <c r="J3239">
        <v>-321.21440000000001</v>
      </c>
      <c r="K3239">
        <v>1.110641</v>
      </c>
      <c r="L3239">
        <v>213.9813</v>
      </c>
      <c r="M3239">
        <v>0.9995136</v>
      </c>
      <c r="N3239">
        <v>-1.4456170000000001E-2</v>
      </c>
      <c r="O3239">
        <v>2.7635349999999999E-2</v>
      </c>
      <c r="P3239">
        <v>0.92211089999999996</v>
      </c>
      <c r="Q3239">
        <v>0.36517369999999999</v>
      </c>
      <c r="R3239">
        <v>0.12790670000000001</v>
      </c>
      <c r="S3239">
        <v>3.40802</v>
      </c>
      <c r="T3239">
        <v>-0.40580959999999999</v>
      </c>
      <c r="U3239">
        <v>3.5812379999999998E-2</v>
      </c>
      <c r="V3239">
        <v>-0.10238170000000001</v>
      </c>
      <c r="W3239">
        <v>0.37850899999999998</v>
      </c>
      <c r="X3239">
        <v>0.91991789999999996</v>
      </c>
      <c r="Y3239">
        <v>1.6848849999999999E-2</v>
      </c>
      <c r="Z3239">
        <v>-4.0020979999999999E-3</v>
      </c>
      <c r="AA3239">
        <v>0.99985000000000002</v>
      </c>
      <c r="AB3239">
        <v>43</v>
      </c>
      <c r="AC3239">
        <v>0.39300000000002899</v>
      </c>
      <c r="AD3239">
        <v>-9.8656999999999995E-2</v>
      </c>
      <c r="AE3239">
        <v>-3.5000000000024998E-3</v>
      </c>
      <c r="AF3239">
        <v>1.35092212936061E-2</v>
      </c>
      <c r="AG3239">
        <v>-9.8656999999999995E-2</v>
      </c>
      <c r="AH3239">
        <v>0.36947131329307198</v>
      </c>
      <c r="AI3239">
        <v>104.940890441844</v>
      </c>
      <c r="AJ3239">
        <v>87.905989766222206</v>
      </c>
      <c r="AK3239">
        <v>0.38265487590708602</v>
      </c>
      <c r="AL3239">
        <v>67.7586429894872</v>
      </c>
      <c r="AM3239">
        <v>96.350564487502197</v>
      </c>
      <c r="AN3239">
        <v>1.00000000915815</v>
      </c>
    </row>
    <row r="3240" spans="1:40" x14ac:dyDescent="0.25">
      <c r="A3240" t="str">
        <f>"20190304164434591"</f>
        <v>20190304164434591</v>
      </c>
      <c r="B3240" t="str">
        <f>"1551689074582830"</f>
        <v>1551689074582830</v>
      </c>
      <c r="C3240" t="s">
        <v>40</v>
      </c>
      <c r="D3240">
        <v>4.8668879999999897</v>
      </c>
      <c r="E3240">
        <v>0.5641931</v>
      </c>
      <c r="F3240" t="s">
        <v>41</v>
      </c>
      <c r="G3240">
        <v>-320.43430000000001</v>
      </c>
      <c r="H3240">
        <v>1.0183040000000001</v>
      </c>
      <c r="I3240">
        <v>213.98990000000001</v>
      </c>
      <c r="J3240">
        <v>-320.81099999999998</v>
      </c>
      <c r="K3240">
        <v>1.110633</v>
      </c>
      <c r="L3240">
        <v>213.99250000000001</v>
      </c>
      <c r="M3240">
        <v>0.99951409999999996</v>
      </c>
      <c r="N3240">
        <v>-1.445401E-2</v>
      </c>
      <c r="O3240">
        <v>2.7616849999999998E-2</v>
      </c>
      <c r="P3240">
        <v>0.92205079999999995</v>
      </c>
      <c r="Q3240">
        <v>0.36538140000000002</v>
      </c>
      <c r="R3240">
        <v>0.12774479999999999</v>
      </c>
      <c r="S3240">
        <v>3.4078979999999999</v>
      </c>
      <c r="T3240">
        <v>-0.40340599999999999</v>
      </c>
      <c r="U3240">
        <v>3.7780759999999997E-2</v>
      </c>
      <c r="V3240">
        <v>-0.1022271</v>
      </c>
      <c r="W3240">
        <v>0.37871719999999998</v>
      </c>
      <c r="X3240">
        <v>0.91984940000000004</v>
      </c>
      <c r="Y3240">
        <v>1.6260710000000001E-2</v>
      </c>
      <c r="Z3240">
        <v>-3.9362169999999997E-3</v>
      </c>
      <c r="AA3240">
        <v>0.99985999999999997</v>
      </c>
      <c r="AB3240">
        <v>43</v>
      </c>
      <c r="AC3240">
        <v>0.376699999999971</v>
      </c>
      <c r="AD3240">
        <v>-9.23289999999998E-2</v>
      </c>
      <c r="AE3240">
        <v>-2.6000000000010398E-3</v>
      </c>
      <c r="AF3240">
        <v>1.22665020068678E-2</v>
      </c>
      <c r="AG3240">
        <v>-9.23289999999998E-2</v>
      </c>
      <c r="AH3240">
        <v>0.35515027240249802</v>
      </c>
      <c r="AI3240">
        <v>104.564379374035</v>
      </c>
      <c r="AJ3240">
        <v>88.021852786796401</v>
      </c>
      <c r="AK3240">
        <v>0.36716049256429101</v>
      </c>
      <c r="AL3240">
        <v>67.745754502687902</v>
      </c>
      <c r="AM3240">
        <v>96.341521444002396</v>
      </c>
      <c r="AN3240">
        <v>1.0000000081153</v>
      </c>
    </row>
    <row r="3241" spans="1:40" x14ac:dyDescent="0.25">
      <c r="A3241" t="str">
        <f>"20190304164434615"</f>
        <v>20190304164434615</v>
      </c>
      <c r="B3241" t="str">
        <f>"1551689074603323"</f>
        <v>1551689074603323</v>
      </c>
      <c r="C3241" t="s">
        <v>40</v>
      </c>
      <c r="D3241">
        <v>4.890784</v>
      </c>
      <c r="E3241">
        <v>0.56407019999999997</v>
      </c>
      <c r="F3241" t="s">
        <v>41</v>
      </c>
      <c r="G3241">
        <v>-320.04950000000002</v>
      </c>
      <c r="H3241">
        <v>1.020753</v>
      </c>
      <c r="I3241">
        <v>214.0008</v>
      </c>
      <c r="J3241">
        <v>-320.38490000000002</v>
      </c>
      <c r="K3241">
        <v>1.1106259999999999</v>
      </c>
      <c r="L3241">
        <v>214.0043</v>
      </c>
      <c r="M3241">
        <v>0.99951469999999998</v>
      </c>
      <c r="N3241">
        <v>-1.4451469999999999E-2</v>
      </c>
      <c r="O3241">
        <v>2.7596059999999999E-2</v>
      </c>
      <c r="P3241">
        <v>0.92180850000000003</v>
      </c>
      <c r="Q3241">
        <v>0.36598639999999999</v>
      </c>
      <c r="R3241">
        <v>0.12776209999999999</v>
      </c>
      <c r="S3241">
        <v>3.4077449999999998</v>
      </c>
      <c r="T3241">
        <v>-0.40242650000000002</v>
      </c>
      <c r="U3241">
        <v>3.8513180000000001E-2</v>
      </c>
      <c r="V3241">
        <v>-0.1022613</v>
      </c>
      <c r="W3241">
        <v>0.37931870000000001</v>
      </c>
      <c r="X3241">
        <v>0.91959769999999996</v>
      </c>
      <c r="Y3241">
        <v>1.6027860000000001E-2</v>
      </c>
      <c r="Z3241">
        <v>-3.9087360000000003E-3</v>
      </c>
      <c r="AA3241">
        <v>0.99986390000000003</v>
      </c>
      <c r="AB3241">
        <v>43</v>
      </c>
      <c r="AC3241">
        <v>0.33539999999999198</v>
      </c>
      <c r="AD3241">
        <v>-8.9872999999999995E-2</v>
      </c>
      <c r="AE3241">
        <v>-3.5000000000024998E-3</v>
      </c>
      <c r="AF3241">
        <v>1.19009416931546E-2</v>
      </c>
      <c r="AG3241">
        <v>-8.9872999999999995E-2</v>
      </c>
      <c r="AH3241">
        <v>0.312724088044669</v>
      </c>
      <c r="AI3241">
        <v>106.02298807576901</v>
      </c>
      <c r="AJ3241">
        <v>87.820619289691706</v>
      </c>
      <c r="AK3241">
        <v>0.32559966797519002</v>
      </c>
      <c r="AL3241">
        <v>67.708512003244607</v>
      </c>
      <c r="AM3241">
        <v>96.345347835029699</v>
      </c>
      <c r="AN3241">
        <v>0.99999998974633497</v>
      </c>
    </row>
    <row r="3242" spans="1:40" x14ac:dyDescent="0.25">
      <c r="A3242" t="str">
        <f>"20190304164434637"</f>
        <v>20190304164434637</v>
      </c>
      <c r="B3242" t="str">
        <f>"1551689074633579"</f>
        <v>1551689074633579</v>
      </c>
      <c r="C3242" t="s">
        <v>40</v>
      </c>
      <c r="D3242">
        <v>4.8321670000000001</v>
      </c>
      <c r="E3242">
        <v>0.56389679999999998</v>
      </c>
      <c r="F3242" t="s">
        <v>41</v>
      </c>
      <c r="G3242">
        <v>-319.30119999999999</v>
      </c>
      <c r="H3242">
        <v>0.9835064</v>
      </c>
      <c r="I3242">
        <v>214.0163</v>
      </c>
      <c r="J3242">
        <v>-319.93869999999998</v>
      </c>
      <c r="K3242">
        <v>1.110616</v>
      </c>
      <c r="L3242">
        <v>214.01660000000001</v>
      </c>
      <c r="M3242">
        <v>0.9995155</v>
      </c>
      <c r="N3242">
        <v>-1.444841E-2</v>
      </c>
      <c r="O3242">
        <v>2.7570170000000001E-2</v>
      </c>
      <c r="P3242">
        <v>0.92162200000000005</v>
      </c>
      <c r="Q3242">
        <v>0.36662909999999999</v>
      </c>
      <c r="R3242">
        <v>0.12726390000000001</v>
      </c>
      <c r="S3242">
        <v>3.4078369999999998</v>
      </c>
      <c r="T3242">
        <v>-0.3998564</v>
      </c>
      <c r="U3242">
        <v>3.8940429999999998E-2</v>
      </c>
      <c r="V3242">
        <v>-0.1017834</v>
      </c>
      <c r="W3242">
        <v>0.37995790000000002</v>
      </c>
      <c r="X3242">
        <v>0.91938690000000001</v>
      </c>
      <c r="Y3242">
        <v>1.588183E-2</v>
      </c>
      <c r="Z3242">
        <v>-3.8698320000000001E-3</v>
      </c>
      <c r="AA3242">
        <v>0.99986640000000004</v>
      </c>
      <c r="AB3242">
        <v>43</v>
      </c>
      <c r="AC3242">
        <v>0.63749999999998797</v>
      </c>
      <c r="AD3242">
        <v>-0.12710959999999999</v>
      </c>
      <c r="AE3242">
        <v>-3.0000000000995799E-4</v>
      </c>
      <c r="AF3242">
        <v>1.7194143027886102E-2</v>
      </c>
      <c r="AG3242">
        <v>-0.12710959999999999</v>
      </c>
      <c r="AH3242">
        <v>0.61288389488934703</v>
      </c>
      <c r="AI3242">
        <v>101.712321113649</v>
      </c>
      <c r="AJ3242">
        <v>88.393017825937306</v>
      </c>
      <c r="AK3242">
        <v>0.62616224541356602</v>
      </c>
      <c r="AL3242">
        <v>67.668926714178397</v>
      </c>
      <c r="AM3242">
        <v>96.317370609320903</v>
      </c>
      <c r="AN3242">
        <v>1.0000000690897799</v>
      </c>
    </row>
    <row r="3243" spans="1:40" x14ac:dyDescent="0.25">
      <c r="A3243" t="str">
        <f>"20190304164434659"</f>
        <v>20190304164434659</v>
      </c>
      <c r="B3243" t="str">
        <f>"1551689074653099"</f>
        <v>1551689074653099</v>
      </c>
      <c r="C3243" t="s">
        <v>40</v>
      </c>
      <c r="D3243">
        <v>4.8951159999999998</v>
      </c>
      <c r="E3243">
        <v>0.5637896</v>
      </c>
      <c r="F3243" t="s">
        <v>41</v>
      </c>
      <c r="G3243">
        <v>-318.91460000000001</v>
      </c>
      <c r="H3243">
        <v>0.99132569999999998</v>
      </c>
      <c r="I3243">
        <v>214.02770000000001</v>
      </c>
      <c r="J3243">
        <v>-319.50229999999999</v>
      </c>
      <c r="K3243">
        <v>1.1106069999999999</v>
      </c>
      <c r="L3243">
        <v>214.02860000000001</v>
      </c>
      <c r="M3243">
        <v>0.99951630000000002</v>
      </c>
      <c r="N3243">
        <v>-1.4445339999999999E-2</v>
      </c>
      <c r="O3243">
        <v>2.7539580000000001E-2</v>
      </c>
      <c r="P3243">
        <v>0.92169889999999999</v>
      </c>
      <c r="Q3243">
        <v>0.36657279999999998</v>
      </c>
      <c r="R3243">
        <v>0.1268678</v>
      </c>
      <c r="S3243">
        <v>3.4079280000000001</v>
      </c>
      <c r="T3243">
        <v>-0.3970803</v>
      </c>
      <c r="U3243">
        <v>3.7551880000000003E-2</v>
      </c>
      <c r="V3243">
        <v>-0.1014053</v>
      </c>
      <c r="W3243">
        <v>0.37990190000000001</v>
      </c>
      <c r="X3243">
        <v>0.91945169999999998</v>
      </c>
      <c r="Y3243">
        <v>1.626004E-2</v>
      </c>
      <c r="Z3243">
        <v>-3.8627319999999998E-3</v>
      </c>
      <c r="AA3243">
        <v>0.99986030000000004</v>
      </c>
      <c r="AB3243">
        <v>43</v>
      </c>
      <c r="AC3243">
        <v>0.58769999999998301</v>
      </c>
      <c r="AD3243">
        <v>-0.11928129999999899</v>
      </c>
      <c r="AE3243">
        <v>-9.0000000000145497E-4</v>
      </c>
      <c r="AF3243">
        <v>1.6410353651720701E-2</v>
      </c>
      <c r="AG3243">
        <v>-0.11928129999999899</v>
      </c>
      <c r="AH3243">
        <v>0.564210268580842</v>
      </c>
      <c r="AI3243">
        <v>101.932386772344</v>
      </c>
      <c r="AJ3243">
        <v>88.333991682463704</v>
      </c>
      <c r="AK3243">
        <v>0.57691468642142396</v>
      </c>
      <c r="AL3243">
        <v>67.6723927732384</v>
      </c>
      <c r="AM3243">
        <v>96.293651810812506</v>
      </c>
      <c r="AN3243">
        <v>0.99999995856229396</v>
      </c>
    </row>
    <row r="3244" spans="1:40" x14ac:dyDescent="0.25">
      <c r="A3244" t="str">
        <f>"20190304164434681"</f>
        <v>20190304164434681</v>
      </c>
      <c r="B3244" t="str">
        <f>"1551689074673595"</f>
        <v>1551689074673595</v>
      </c>
      <c r="C3244" t="s">
        <v>40</v>
      </c>
      <c r="D3244">
        <v>4.902177</v>
      </c>
      <c r="E3244">
        <v>0.56369130000000001</v>
      </c>
      <c r="F3244" t="s">
        <v>41</v>
      </c>
      <c r="G3244">
        <v>-318.52929999999998</v>
      </c>
      <c r="H3244">
        <v>0.99721029999999999</v>
      </c>
      <c r="I3244">
        <v>214.03890000000001</v>
      </c>
      <c r="J3244">
        <v>-319.08789999999999</v>
      </c>
      <c r="K3244">
        <v>1.1106069999999999</v>
      </c>
      <c r="L3244">
        <v>214.04</v>
      </c>
      <c r="M3244">
        <v>0.99951760000000001</v>
      </c>
      <c r="N3244">
        <v>-1.4442490000000001E-2</v>
      </c>
      <c r="O3244">
        <v>2.749888E-2</v>
      </c>
      <c r="P3244">
        <v>0.92136099999999999</v>
      </c>
      <c r="Q3244">
        <v>0.36753619999999998</v>
      </c>
      <c r="R3244">
        <v>0.1265346</v>
      </c>
      <c r="S3244">
        <v>3.4077449999999998</v>
      </c>
      <c r="T3244">
        <v>-0.39737020000000001</v>
      </c>
      <c r="U3244">
        <v>3.7353520000000001E-2</v>
      </c>
      <c r="V3244">
        <v>-0.1011093</v>
      </c>
      <c r="W3244">
        <v>0.38086019999999998</v>
      </c>
      <c r="X3244">
        <v>0.91908780000000001</v>
      </c>
      <c r="Y3244">
        <v>1.6276570000000001E-2</v>
      </c>
      <c r="Z3244">
        <v>-3.862954E-3</v>
      </c>
      <c r="AA3244">
        <v>0.99985999999999997</v>
      </c>
      <c r="AB3244">
        <v>43</v>
      </c>
      <c r="AC3244">
        <v>0.55860000000001198</v>
      </c>
      <c r="AD3244">
        <v>-0.113396699999999</v>
      </c>
      <c r="AE3244">
        <v>-1.09999999997967E-3</v>
      </c>
      <c r="AF3244">
        <v>1.5810515635581199E-2</v>
      </c>
      <c r="AG3244">
        <v>-0.113396699999999</v>
      </c>
      <c r="AH3244">
        <v>0.53625947872922697</v>
      </c>
      <c r="AI3244">
        <v>101.934762382844</v>
      </c>
      <c r="AJ3244">
        <v>88.311240146562994</v>
      </c>
      <c r="AK3244">
        <v>0.54834570528316795</v>
      </c>
      <c r="AL3244">
        <v>67.613024002029206</v>
      </c>
      <c r="AM3244">
        <v>96.277892383461406</v>
      </c>
      <c r="AN3244">
        <v>0.99999998329968398</v>
      </c>
    </row>
    <row r="3245" spans="1:40" x14ac:dyDescent="0.25">
      <c r="A3245" t="str">
        <f>"20190304164434716"</f>
        <v>20190304164434716</v>
      </c>
      <c r="B3245" t="str">
        <f>"1551689074713611"</f>
        <v>1551689074713611</v>
      </c>
      <c r="C3245" t="s">
        <v>40</v>
      </c>
      <c r="D3245">
        <v>4.9343240000000002</v>
      </c>
      <c r="E3245">
        <v>0.54881599999999997</v>
      </c>
      <c r="F3245" t="s">
        <v>41</v>
      </c>
      <c r="G3245">
        <v>-318.14490000000001</v>
      </c>
      <c r="H3245">
        <v>1.0017309999999999</v>
      </c>
      <c r="I3245">
        <v>214.0497</v>
      </c>
      <c r="J3245">
        <v>-318.44290000000001</v>
      </c>
      <c r="K3245">
        <v>1.1105879999999999</v>
      </c>
      <c r="L3245">
        <v>214.05770000000001</v>
      </c>
      <c r="M3245">
        <v>0.99952050000000003</v>
      </c>
      <c r="N3245">
        <v>-1.443813E-2</v>
      </c>
      <c r="O3245">
        <v>2.7391180000000001E-2</v>
      </c>
      <c r="P3245">
        <v>0.92060980000000003</v>
      </c>
      <c r="Q3245">
        <v>0.3690311</v>
      </c>
      <c r="R3245">
        <v>0.12764710000000001</v>
      </c>
      <c r="S3245">
        <v>3.408112</v>
      </c>
      <c r="T3245">
        <v>-0.39360830000000002</v>
      </c>
      <c r="U3245">
        <v>3.593445E-2</v>
      </c>
      <c r="V3245">
        <v>-0.1023139</v>
      </c>
      <c r="W3245">
        <v>0.38234770000000001</v>
      </c>
      <c r="X3245">
        <v>0.91833659999999995</v>
      </c>
      <c r="Y3245">
        <v>1.6589799999999998E-2</v>
      </c>
      <c r="Z3245">
        <v>-3.8330949999999999E-3</v>
      </c>
      <c r="AA3245">
        <v>0.99985500000000005</v>
      </c>
      <c r="AB3245">
        <v>43</v>
      </c>
      <c r="AC3245">
        <v>0.29800000000000099</v>
      </c>
      <c r="AD3245">
        <v>-0.108856999999999</v>
      </c>
      <c r="AE3245">
        <v>-8.0000000000097701E-3</v>
      </c>
      <c r="AF3245">
        <v>1.42590840704796E-2</v>
      </c>
      <c r="AG3245">
        <v>-0.108856999999999</v>
      </c>
      <c r="AH3245">
        <v>0.26264709490049998</v>
      </c>
      <c r="AI3245">
        <v>112.482298031558</v>
      </c>
      <c r="AJ3245">
        <v>86.892468600236</v>
      </c>
      <c r="AK3245">
        <v>0.28466939489028498</v>
      </c>
      <c r="AL3245">
        <v>67.520819484993794</v>
      </c>
      <c r="AM3245">
        <v>96.357231867009503</v>
      </c>
      <c r="AN3245">
        <v>1.00000000436402</v>
      </c>
    </row>
    <row r="3246" spans="1:40" x14ac:dyDescent="0.25">
      <c r="A3246" t="str">
        <f>"20190304164434738"</f>
        <v>20190304164434738</v>
      </c>
      <c r="B3246" t="str">
        <f>"1551689074733131"</f>
        <v>1551689074733131</v>
      </c>
      <c r="C3246" t="s">
        <v>40</v>
      </c>
      <c r="D3246">
        <v>4.897786</v>
      </c>
      <c r="E3246">
        <v>0.5470178</v>
      </c>
      <c r="F3246" t="s">
        <v>41</v>
      </c>
      <c r="G3246">
        <v>-317.38600000000002</v>
      </c>
      <c r="H3246">
        <v>0.99185239999999997</v>
      </c>
      <c r="I3246">
        <v>214.10560000000001</v>
      </c>
      <c r="J3246">
        <v>-318.02030000000002</v>
      </c>
      <c r="K3246">
        <v>1.1105590000000001</v>
      </c>
      <c r="L3246">
        <v>214.0692</v>
      </c>
      <c r="M3246">
        <v>0.99952379999999996</v>
      </c>
      <c r="N3246">
        <v>-1.443558E-2</v>
      </c>
      <c r="O3246">
        <v>2.7270429999999998E-2</v>
      </c>
      <c r="P3246">
        <v>0.92041459999999997</v>
      </c>
      <c r="Q3246">
        <v>0.36923820000000002</v>
      </c>
      <c r="R3246">
        <v>0.1284534</v>
      </c>
      <c r="S3246">
        <v>3.390015</v>
      </c>
      <c r="T3246">
        <v>-0.38095489999999999</v>
      </c>
      <c r="U3246">
        <v>0.1541595</v>
      </c>
      <c r="V3246">
        <v>-0.10320839999999901</v>
      </c>
      <c r="W3246">
        <v>0.38255749999999999</v>
      </c>
      <c r="X3246">
        <v>0.9181492</v>
      </c>
      <c r="Y3246">
        <v>-1.81668E-2</v>
      </c>
      <c r="Z3246">
        <v>-1.5114E-3</v>
      </c>
      <c r="AA3246">
        <v>0.99983379999999999</v>
      </c>
      <c r="AB3246">
        <v>43</v>
      </c>
      <c r="AC3246">
        <v>0.63430000000005204</v>
      </c>
      <c r="AD3246">
        <v>-0.1187066</v>
      </c>
      <c r="AE3246">
        <v>3.6400000000014601E-2</v>
      </c>
      <c r="AF3246">
        <v>-1.8443196269669698E-2</v>
      </c>
      <c r="AG3246">
        <v>-0.1187066</v>
      </c>
      <c r="AH3246">
        <v>0.61363563499514995</v>
      </c>
      <c r="AI3246">
        <v>100.943697273914</v>
      </c>
      <c r="AJ3246">
        <v>91.721541624090804</v>
      </c>
      <c r="AK3246">
        <v>0.62528401619432294</v>
      </c>
      <c r="AL3246">
        <v>67.507811658624703</v>
      </c>
      <c r="AM3246">
        <v>96.413648191457995</v>
      </c>
      <c r="AN3246">
        <v>1.00000008404872</v>
      </c>
    </row>
    <row r="3247" spans="1:40" x14ac:dyDescent="0.25">
      <c r="A3247" t="str">
        <f>"20190304164434760"</f>
        <v>20190304164434760</v>
      </c>
      <c r="B3247" t="str">
        <f>"1551689074753628"</f>
        <v>1551689074753628</v>
      </c>
      <c r="C3247" t="s">
        <v>40</v>
      </c>
      <c r="D3247">
        <v>4.8956369999999998</v>
      </c>
      <c r="E3247">
        <v>0.54611989999999999</v>
      </c>
      <c r="F3247" t="s">
        <v>41</v>
      </c>
      <c r="G3247">
        <v>-317.00170000000003</v>
      </c>
      <c r="H3247">
        <v>0.99780199999999997</v>
      </c>
      <c r="I3247">
        <v>214.12</v>
      </c>
      <c r="J3247">
        <v>-317.58429999999998</v>
      </c>
      <c r="K3247">
        <v>1.110527</v>
      </c>
      <c r="L3247">
        <v>214.08090000000001</v>
      </c>
      <c r="M3247">
        <v>0.99952839999999998</v>
      </c>
      <c r="N3247">
        <v>-1.443297E-2</v>
      </c>
      <c r="O3247">
        <v>2.7104320000000001E-2</v>
      </c>
      <c r="P3247">
        <v>0.92041360000000005</v>
      </c>
      <c r="Q3247">
        <v>0.36923689999999998</v>
      </c>
      <c r="R3247">
        <v>0.12846399999999999</v>
      </c>
      <c r="S3247">
        <v>3.3861690000000002</v>
      </c>
      <c r="T3247">
        <v>-0.37492350000000002</v>
      </c>
      <c r="U3247">
        <v>0.16946410000000001</v>
      </c>
      <c r="V3247">
        <v>-0.1033372</v>
      </c>
      <c r="W3247">
        <v>0.3825636</v>
      </c>
      <c r="X3247">
        <v>0.91813210000000001</v>
      </c>
      <c r="Y3247">
        <v>-2.2859029999999999E-2</v>
      </c>
      <c r="Z3247">
        <v>-1.1727249999999999E-3</v>
      </c>
      <c r="AA3247">
        <v>0.99973800000000002</v>
      </c>
      <c r="AB3247">
        <v>43</v>
      </c>
      <c r="AC3247">
        <v>0.58259999999995604</v>
      </c>
      <c r="AD3247">
        <v>-0.11272499999999901</v>
      </c>
      <c r="AE3247">
        <v>3.9099999999990503E-2</v>
      </c>
      <c r="AF3247">
        <v>-2.24560938269707E-2</v>
      </c>
      <c r="AG3247">
        <v>-0.11272499999999901</v>
      </c>
      <c r="AH3247">
        <v>0.56248263562551304</v>
      </c>
      <c r="AI3247">
        <v>101.32352125830801</v>
      </c>
      <c r="AJ3247">
        <v>92.286215427414504</v>
      </c>
      <c r="AK3247">
        <v>0.57410618978999794</v>
      </c>
      <c r="AL3247">
        <v>67.507431835595099</v>
      </c>
      <c r="AM3247">
        <v>96.421703953792203</v>
      </c>
      <c r="AN3247">
        <v>1.0000000189995999</v>
      </c>
    </row>
    <row r="3248" spans="1:40" x14ac:dyDescent="0.25">
      <c r="A3248" t="str">
        <f>"20190304164434781"</f>
        <v>20190304164434781</v>
      </c>
      <c r="B3248" t="str">
        <f>"1551689074773147"</f>
        <v>1551689074773147</v>
      </c>
      <c r="C3248" t="s">
        <v>40</v>
      </c>
      <c r="D3248">
        <v>4.8954959999999996</v>
      </c>
      <c r="E3248">
        <v>0.54593210000000003</v>
      </c>
      <c r="F3248" t="s">
        <v>41</v>
      </c>
      <c r="G3248">
        <v>-316.61799999999999</v>
      </c>
      <c r="H3248">
        <v>1.003355</v>
      </c>
      <c r="I3248">
        <v>214.13149999999999</v>
      </c>
      <c r="J3248">
        <v>-317.17630000000003</v>
      </c>
      <c r="K3248">
        <v>1.1104849999999999</v>
      </c>
      <c r="L3248">
        <v>214.09190000000001</v>
      </c>
      <c r="M3248">
        <v>0.99953400000000003</v>
      </c>
      <c r="N3248">
        <v>-1.4430449999999999E-2</v>
      </c>
      <c r="O3248">
        <v>2.6902079999999998E-2</v>
      </c>
      <c r="P3248">
        <v>0.92061669999999995</v>
      </c>
      <c r="Q3248">
        <v>0.36864770000000002</v>
      </c>
      <c r="R3248">
        <v>0.1287006</v>
      </c>
      <c r="S3248">
        <v>3.3853149999999999</v>
      </c>
      <c r="T3248">
        <v>-0.3755655</v>
      </c>
      <c r="U3248">
        <v>0.17765810000000001</v>
      </c>
      <c r="V3248">
        <v>-0.103717</v>
      </c>
      <c r="W3248">
        <v>0.38198500000000002</v>
      </c>
      <c r="X3248">
        <v>0.91833010000000004</v>
      </c>
      <c r="Y3248">
        <v>-2.5468299999999999E-2</v>
      </c>
      <c r="Z3248">
        <v>-9.935530000000001E-4</v>
      </c>
      <c r="AA3248">
        <v>0.99967519999999999</v>
      </c>
      <c r="AB3248">
        <v>43</v>
      </c>
      <c r="AC3248">
        <v>0.55830000000003099</v>
      </c>
      <c r="AD3248">
        <v>-0.107129999999999</v>
      </c>
      <c r="AE3248">
        <v>3.9599999999978701E-2</v>
      </c>
      <c r="AF3248">
        <v>-2.3696525934246399E-2</v>
      </c>
      <c r="AG3248">
        <v>-0.107129999999999</v>
      </c>
      <c r="AH3248">
        <v>0.53940182764576405</v>
      </c>
      <c r="AI3248">
        <v>101.22272376614001</v>
      </c>
      <c r="AJ3248">
        <v>92.515450320388496</v>
      </c>
      <c r="AK3248">
        <v>0.550447721322328</v>
      </c>
      <c r="AL3248">
        <v>67.543306716631307</v>
      </c>
      <c r="AM3248">
        <v>96.443729768976297</v>
      </c>
      <c r="AN3248">
        <v>0.99999996444000405</v>
      </c>
    </row>
    <row r="3249" spans="1:40" x14ac:dyDescent="0.25">
      <c r="A3249" t="str">
        <f>"20190304164434804"</f>
        <v>20190304164434804</v>
      </c>
      <c r="B3249" t="str">
        <f>"1551689074793642"</f>
        <v>1551689074793642</v>
      </c>
      <c r="C3249" t="s">
        <v>40</v>
      </c>
      <c r="D3249">
        <v>4.8999180000000004</v>
      </c>
      <c r="E3249">
        <v>0.54584829999999995</v>
      </c>
      <c r="F3249" t="s">
        <v>41</v>
      </c>
      <c r="G3249">
        <v>-316.23599999999999</v>
      </c>
      <c r="H3249">
        <v>1.0056799999999999</v>
      </c>
      <c r="I3249">
        <v>214.1413</v>
      </c>
      <c r="J3249">
        <v>-316.76209999999998</v>
      </c>
      <c r="K3249">
        <v>1.1104449999999999</v>
      </c>
      <c r="L3249">
        <v>214.1028</v>
      </c>
      <c r="M3249">
        <v>0.99954080000000001</v>
      </c>
      <c r="N3249">
        <v>-1.44279E-2</v>
      </c>
      <c r="O3249">
        <v>2.6648160000000001E-2</v>
      </c>
      <c r="P3249">
        <v>0.92078789999999999</v>
      </c>
      <c r="Q3249">
        <v>0.36792770000000002</v>
      </c>
      <c r="R3249">
        <v>0.12953249999999999</v>
      </c>
      <c r="S3249">
        <v>3.384735</v>
      </c>
      <c r="T3249">
        <v>-0.37744949999999999</v>
      </c>
      <c r="U3249">
        <v>0.1794434</v>
      </c>
      <c r="V3249">
        <v>-0.1047375</v>
      </c>
      <c r="W3249">
        <v>0.38127729999999999</v>
      </c>
      <c r="X3249">
        <v>0.9185084</v>
      </c>
      <c r="Y3249">
        <v>-2.625015E-2</v>
      </c>
      <c r="Z3249">
        <v>-9.2807380000000002E-4</v>
      </c>
      <c r="AA3249">
        <v>0.99965490000000001</v>
      </c>
      <c r="AB3249">
        <v>43</v>
      </c>
      <c r="AC3249">
        <v>0.52609999999998502</v>
      </c>
      <c r="AD3249">
        <v>-0.104765</v>
      </c>
      <c r="AE3249">
        <v>3.8499999999999E-2</v>
      </c>
      <c r="AF3249">
        <v>-2.3536890082949999E-2</v>
      </c>
      <c r="AG3249">
        <v>-0.104765</v>
      </c>
      <c r="AH3249">
        <v>0.50694352639309204</v>
      </c>
      <c r="AI3249">
        <v>101.664156680772</v>
      </c>
      <c r="AJ3249">
        <v>92.658277763065399</v>
      </c>
      <c r="AK3249">
        <v>0.51819053384989699</v>
      </c>
      <c r="AL3249">
        <v>67.587176028339798</v>
      </c>
      <c r="AM3249">
        <v>96.505338091336796</v>
      </c>
      <c r="AN3249">
        <v>1.00000000213604</v>
      </c>
    </row>
    <row r="3250" spans="1:40" x14ac:dyDescent="0.25">
      <c r="A3250" t="str">
        <f>"20190304164434826"</f>
        <v>20190304164434826</v>
      </c>
      <c r="B3250" t="str">
        <f>"1551689074822923"</f>
        <v>1551689074822923</v>
      </c>
      <c r="C3250" t="s">
        <v>40</v>
      </c>
      <c r="D3250">
        <v>4.926787</v>
      </c>
      <c r="E3250">
        <v>0.54581040000000003</v>
      </c>
      <c r="F3250" t="s">
        <v>41</v>
      </c>
      <c r="G3250">
        <v>-315.85410000000002</v>
      </c>
      <c r="H3250">
        <v>1.0083169999999999</v>
      </c>
      <c r="I3250">
        <v>214.1515</v>
      </c>
      <c r="J3250">
        <v>-316.3297</v>
      </c>
      <c r="K3250">
        <v>1.1103829999999999</v>
      </c>
      <c r="L3250">
        <v>214.11410000000001</v>
      </c>
      <c r="M3250">
        <v>0.99954909999999997</v>
      </c>
      <c r="N3250">
        <v>-1.442529E-2</v>
      </c>
      <c r="O3250">
        <v>2.6336459999999999E-2</v>
      </c>
      <c r="P3250">
        <v>0.92071380000000003</v>
      </c>
      <c r="Q3250">
        <v>0.36826900000000001</v>
      </c>
      <c r="R3250">
        <v>0.1290897</v>
      </c>
      <c r="S3250">
        <v>3.3846129999999999</v>
      </c>
      <c r="T3250">
        <v>-0.38074279999999999</v>
      </c>
      <c r="U3250">
        <v>0.18180850000000001</v>
      </c>
      <c r="V3250">
        <v>-0.1045421</v>
      </c>
      <c r="W3250">
        <v>0.38162590000000002</v>
      </c>
      <c r="X3250">
        <v>0.91838589999999998</v>
      </c>
      <c r="Y3250">
        <v>-2.7251230000000001E-2</v>
      </c>
      <c r="Z3250">
        <v>-8.4746280000000005E-4</v>
      </c>
      <c r="AA3250">
        <v>0.99962819999999997</v>
      </c>
      <c r="AB3250">
        <v>43</v>
      </c>
      <c r="AC3250">
        <v>0.47559999999998498</v>
      </c>
      <c r="AD3250">
        <v>-0.102066</v>
      </c>
      <c r="AE3250">
        <v>3.7399999999991003E-2</v>
      </c>
      <c r="AF3250">
        <v>-2.377200597269E-2</v>
      </c>
      <c r="AG3250">
        <v>-0.102066</v>
      </c>
      <c r="AH3250">
        <v>0.45556777407062699</v>
      </c>
      <c r="AI3250">
        <v>102.61148248737901</v>
      </c>
      <c r="AJ3250">
        <v>92.987044945152803</v>
      </c>
      <c r="AK3250">
        <v>0.467466120051102</v>
      </c>
      <c r="AL3250">
        <v>67.5655694024626</v>
      </c>
      <c r="AM3250">
        <v>96.494164090697197</v>
      </c>
      <c r="AN3250">
        <v>1.0000000197710099</v>
      </c>
    </row>
    <row r="3251" spans="1:40" x14ac:dyDescent="0.25">
      <c r="A3251" t="str">
        <f>"20190304164434849"</f>
        <v>20190304164434849</v>
      </c>
      <c r="B3251" t="str">
        <f>"1551689074843398"</f>
        <v>1551689074843398</v>
      </c>
      <c r="C3251" t="s">
        <v>40</v>
      </c>
      <c r="D3251">
        <v>4.9115469999999997</v>
      </c>
      <c r="E3251">
        <v>0.54581590000000002</v>
      </c>
      <c r="F3251" t="s">
        <v>41</v>
      </c>
      <c r="G3251">
        <v>-315.47089999999997</v>
      </c>
      <c r="H3251">
        <v>1.014162</v>
      </c>
      <c r="I3251">
        <v>214.15979999999999</v>
      </c>
      <c r="J3251">
        <v>-315.89819999999997</v>
      </c>
      <c r="K3251">
        <v>1.110349</v>
      </c>
      <c r="L3251">
        <v>214.1251</v>
      </c>
      <c r="M3251">
        <v>0.99955830000000001</v>
      </c>
      <c r="N3251">
        <v>-1.44227E-2</v>
      </c>
      <c r="O3251">
        <v>2.5988549999999999E-2</v>
      </c>
      <c r="P3251">
        <v>0.92081959999999996</v>
      </c>
      <c r="Q3251">
        <v>0.36833179999999999</v>
      </c>
      <c r="R3251">
        <v>0.12815289999999999</v>
      </c>
      <c r="S3251">
        <v>3.3846440000000002</v>
      </c>
      <c r="T3251">
        <v>-0.37934400000000001</v>
      </c>
      <c r="U3251">
        <v>0.181366</v>
      </c>
      <c r="V3251">
        <v>-0.1038862</v>
      </c>
      <c r="W3251">
        <v>0.38169730000000002</v>
      </c>
      <c r="X3251">
        <v>0.91843059999999999</v>
      </c>
      <c r="Y3251">
        <v>-2.7465509999999999E-2</v>
      </c>
      <c r="Z3251">
        <v>-7.9502789999999902E-4</v>
      </c>
      <c r="AA3251">
        <v>0.99962249999999997</v>
      </c>
      <c r="AB3251">
        <v>43</v>
      </c>
      <c r="AC3251">
        <v>0.42730000000000201</v>
      </c>
      <c r="AD3251">
        <v>-9.6186999999999995E-2</v>
      </c>
      <c r="AE3251">
        <v>3.4699999999986603E-2</v>
      </c>
      <c r="AF3251">
        <v>-2.2451985230272999E-2</v>
      </c>
      <c r="AG3251">
        <v>-9.6186999999999995E-2</v>
      </c>
      <c r="AH3251">
        <v>0.40754192227887998</v>
      </c>
      <c r="AI3251">
        <v>103.260386898812</v>
      </c>
      <c r="AJ3251">
        <v>93.153307326833598</v>
      </c>
      <c r="AK3251">
        <v>0.41934049294641801</v>
      </c>
      <c r="AL3251">
        <v>67.561142251973294</v>
      </c>
      <c r="AM3251">
        <v>96.453452904557196</v>
      </c>
      <c r="AN3251">
        <v>0.99999996919704404</v>
      </c>
    </row>
    <row r="3252" spans="1:40" x14ac:dyDescent="0.25">
      <c r="A3252" t="str">
        <f>"20190304164434871"</f>
        <v>20190304164434871</v>
      </c>
      <c r="B3252" t="str">
        <f>"1551689074862918"</f>
        <v>1551689074862918</v>
      </c>
      <c r="C3252" t="s">
        <v>40</v>
      </c>
      <c r="D3252">
        <v>4.9060079999999999</v>
      </c>
      <c r="E3252">
        <v>0.54572679999999996</v>
      </c>
      <c r="F3252" t="s">
        <v>41</v>
      </c>
      <c r="G3252">
        <v>-315.08819999999997</v>
      </c>
      <c r="H3252">
        <v>1.0194259999999999</v>
      </c>
      <c r="I3252">
        <v>214.1677</v>
      </c>
      <c r="J3252">
        <v>-315.48020000000002</v>
      </c>
      <c r="K3252">
        <v>1.1103190000000001</v>
      </c>
      <c r="L3252">
        <v>214.13570000000001</v>
      </c>
      <c r="M3252">
        <v>0.99956769999999995</v>
      </c>
      <c r="N3252">
        <v>-1.442004E-2</v>
      </c>
      <c r="O3252">
        <v>2.562476E-2</v>
      </c>
      <c r="P3252">
        <v>0.92098849999999999</v>
      </c>
      <c r="Q3252">
        <v>0.36825469999999999</v>
      </c>
      <c r="R3252">
        <v>0.12715770000000001</v>
      </c>
      <c r="S3252">
        <v>3.385132</v>
      </c>
      <c r="T3252">
        <v>-0.38000230000000002</v>
      </c>
      <c r="U3252">
        <v>0.17822270000000001</v>
      </c>
      <c r="V3252">
        <v>-0.1031931</v>
      </c>
      <c r="W3252">
        <v>0.38162639999999998</v>
      </c>
      <c r="X3252">
        <v>0.91853819999999997</v>
      </c>
      <c r="Y3252">
        <v>-2.6898180000000001E-2</v>
      </c>
      <c r="Z3252">
        <v>-7.9773959999999999E-4</v>
      </c>
      <c r="AA3252">
        <v>0.99963780000000002</v>
      </c>
      <c r="AB3252">
        <v>43</v>
      </c>
      <c r="AC3252">
        <v>0.39200000000005197</v>
      </c>
      <c r="AD3252">
        <v>-9.0893000000000099E-2</v>
      </c>
      <c r="AE3252">
        <v>3.1999999999982202E-2</v>
      </c>
      <c r="AF3252">
        <v>-2.0831003420954199E-2</v>
      </c>
      <c r="AG3252">
        <v>-9.0893000000000099E-2</v>
      </c>
      <c r="AH3252">
        <v>0.37278188990699201</v>
      </c>
      <c r="AI3252">
        <v>103.68215319300501</v>
      </c>
      <c r="AJ3252">
        <v>93.198354441251894</v>
      </c>
      <c r="AK3252">
        <v>0.38426788259644201</v>
      </c>
      <c r="AL3252">
        <v>67.5655373488771</v>
      </c>
      <c r="AM3252">
        <v>96.410012163670103</v>
      </c>
      <c r="AN3252">
        <v>0.99999997496190396</v>
      </c>
    </row>
    <row r="3253" spans="1:40" x14ac:dyDescent="0.25">
      <c r="A3253" t="str">
        <f>"20190304164434893"</f>
        <v>20190304164434893</v>
      </c>
      <c r="B3253" t="str">
        <f>"1551689074883414"</f>
        <v>1551689074883414</v>
      </c>
      <c r="C3253" t="s">
        <v>40</v>
      </c>
      <c r="D3253">
        <v>4.9022779999999999</v>
      </c>
      <c r="E3253">
        <v>0.54565949999999996</v>
      </c>
      <c r="F3253" t="s">
        <v>41</v>
      </c>
      <c r="G3253">
        <v>-314.7054</v>
      </c>
      <c r="H3253">
        <v>1.0234049999999999</v>
      </c>
      <c r="I3253">
        <v>214.17500000000001</v>
      </c>
      <c r="J3253">
        <v>-315.07089999999999</v>
      </c>
      <c r="K3253">
        <v>1.110285</v>
      </c>
      <c r="L3253">
        <v>214.14590000000001</v>
      </c>
      <c r="M3253">
        <v>0.99957720000000005</v>
      </c>
      <c r="N3253">
        <v>-1.44175E-2</v>
      </c>
      <c r="O3253">
        <v>2.5251909999999999E-2</v>
      </c>
      <c r="P3253">
        <v>0.92094929999999997</v>
      </c>
      <c r="Q3253">
        <v>0.3686759</v>
      </c>
      <c r="R3253">
        <v>0.1262172</v>
      </c>
      <c r="S3253">
        <v>3.3853759999999999</v>
      </c>
      <c r="T3253">
        <v>-0.37998589999999999</v>
      </c>
      <c r="U3253">
        <v>0.17326349999999999</v>
      </c>
      <c r="V3253">
        <v>-0.102575</v>
      </c>
      <c r="W3253">
        <v>0.38204939999999998</v>
      </c>
      <c r="X3253">
        <v>0.91843160000000001</v>
      </c>
      <c r="Y3253">
        <v>-2.5812760000000001E-2</v>
      </c>
      <c r="Z3253">
        <v>-8.2997850000000005E-4</v>
      </c>
      <c r="AA3253">
        <v>0.99966650000000001</v>
      </c>
      <c r="AB3253">
        <v>43</v>
      </c>
      <c r="AC3253">
        <v>0.36549999999999699</v>
      </c>
      <c r="AD3253">
        <v>-8.6879999999999999E-2</v>
      </c>
      <c r="AE3253">
        <v>2.9099999999999598E-2</v>
      </c>
      <c r="AF3253">
        <v>-1.8804390920213299E-2</v>
      </c>
      <c r="AG3253">
        <v>-8.6879999999999999E-2</v>
      </c>
      <c r="AH3253">
        <v>0.34665496192755002</v>
      </c>
      <c r="AI3253">
        <v>104.050043337788</v>
      </c>
      <c r="AJ3253">
        <v>93.104981715811704</v>
      </c>
      <c r="AK3253">
        <v>0.35787065002158402</v>
      </c>
      <c r="AL3253">
        <v>67.539314633130502</v>
      </c>
      <c r="AM3253">
        <v>96.372668066633395</v>
      </c>
      <c r="AN3253">
        <v>0.99999998927195899</v>
      </c>
    </row>
    <row r="3254" spans="1:40" x14ac:dyDescent="0.25">
      <c r="A3254" t="str">
        <f>"20190304164434917"</f>
        <v>20190304164434917</v>
      </c>
      <c r="B3254" t="str">
        <f>"1551689074913670"</f>
        <v>1551689074913670</v>
      </c>
      <c r="C3254" t="s">
        <v>40</v>
      </c>
      <c r="D3254">
        <v>4.912579</v>
      </c>
      <c r="E3254">
        <v>0.54556539999999998</v>
      </c>
      <c r="F3254" t="s">
        <v>41</v>
      </c>
      <c r="G3254">
        <v>-314.32319999999999</v>
      </c>
      <c r="H3254">
        <v>1.0267440000000001</v>
      </c>
      <c r="I3254">
        <v>214.1831</v>
      </c>
      <c r="J3254">
        <v>-314.61829999999998</v>
      </c>
      <c r="K3254">
        <v>1.1102650000000001</v>
      </c>
      <c r="L3254">
        <v>214.15700000000001</v>
      </c>
      <c r="M3254">
        <v>0.99958780000000003</v>
      </c>
      <c r="N3254">
        <v>-1.4414740000000001E-2</v>
      </c>
      <c r="O3254">
        <v>2.4826560000000001E-2</v>
      </c>
      <c r="P3254">
        <v>0.9206278</v>
      </c>
      <c r="Q3254">
        <v>0.36951820000000002</v>
      </c>
      <c r="R3254">
        <v>0.12609809999999999</v>
      </c>
      <c r="S3254">
        <v>3.3858030000000001</v>
      </c>
      <c r="T3254">
        <v>-0.3783473</v>
      </c>
      <c r="U3254">
        <v>0.16911319999999999</v>
      </c>
      <c r="V3254">
        <v>-0.10283490000000001</v>
      </c>
      <c r="W3254">
        <v>0.38289010000000001</v>
      </c>
      <c r="X3254">
        <v>0.91805239999999999</v>
      </c>
      <c r="Y3254">
        <v>-2.5013339999999998E-2</v>
      </c>
      <c r="Z3254">
        <v>-8.3311539999999997E-4</v>
      </c>
      <c r="AA3254">
        <v>0.99968679999999999</v>
      </c>
      <c r="AB3254">
        <v>42</v>
      </c>
      <c r="AC3254">
        <v>0.29509999999998998</v>
      </c>
      <c r="AD3254">
        <v>-8.3520999999999901E-2</v>
      </c>
      <c r="AE3254">
        <v>2.6099999999985302E-2</v>
      </c>
      <c r="AF3254">
        <v>-1.7383220591652201E-2</v>
      </c>
      <c r="AG3254">
        <v>-8.3520999999999901E-2</v>
      </c>
      <c r="AH3254">
        <v>0.27388789906986499</v>
      </c>
      <c r="AI3254">
        <v>106.926766127913</v>
      </c>
      <c r="AJ3254">
        <v>93.631599083282495</v>
      </c>
      <c r="AK3254">
        <v>0.28686672002176</v>
      </c>
      <c r="AL3254">
        <v>67.487183248575207</v>
      </c>
      <c r="AM3254">
        <v>96.391298517025703</v>
      </c>
      <c r="AN3254">
        <v>1.00000002724088</v>
      </c>
    </row>
    <row r="3255" spans="1:40" x14ac:dyDescent="0.25">
      <c r="A3255" t="str">
        <f>"20190304164434940"</f>
        <v>20190304164434940</v>
      </c>
      <c r="B3255" t="str">
        <f>"1551689074933190"</f>
        <v>1551689074933190</v>
      </c>
      <c r="C3255" t="s">
        <v>40</v>
      </c>
      <c r="D3255">
        <v>4.873208</v>
      </c>
      <c r="E3255">
        <v>0.54549519999999996</v>
      </c>
      <c r="F3255" t="s">
        <v>41</v>
      </c>
      <c r="G3255">
        <v>-313.58240000000001</v>
      </c>
      <c r="H3255">
        <v>0.99529710000000005</v>
      </c>
      <c r="I3255">
        <v>214.20869999999999</v>
      </c>
      <c r="J3255">
        <v>-314.18119999999999</v>
      </c>
      <c r="K3255">
        <v>1.1102510000000001</v>
      </c>
      <c r="L3255">
        <v>214.16739999999999</v>
      </c>
      <c r="M3255">
        <v>0.9995984</v>
      </c>
      <c r="N3255">
        <v>-1.4412080000000001E-2</v>
      </c>
      <c r="O3255">
        <v>2.440753E-2</v>
      </c>
      <c r="P3255">
        <v>0.92042679999999999</v>
      </c>
      <c r="Q3255">
        <v>0.37000250000000001</v>
      </c>
      <c r="R3255">
        <v>0.12614739999999999</v>
      </c>
      <c r="S3255">
        <v>3.3862920000000001</v>
      </c>
      <c r="T3255">
        <v>-0.37580760000000002</v>
      </c>
      <c r="U3255">
        <v>0.16905209999999901</v>
      </c>
      <c r="V3255">
        <v>-0.10325860000000001</v>
      </c>
      <c r="W3255">
        <v>0.38337320000000003</v>
      </c>
      <c r="X3255">
        <v>0.91780320000000004</v>
      </c>
      <c r="Y3255">
        <v>-2.540305E-2</v>
      </c>
      <c r="Z3255">
        <v>-7.5921720000000003E-4</v>
      </c>
      <c r="AA3255">
        <v>0.99967700000000004</v>
      </c>
      <c r="AB3255">
        <v>42</v>
      </c>
      <c r="AC3255">
        <v>0.59879999999998201</v>
      </c>
      <c r="AD3255">
        <v>-0.1149539</v>
      </c>
      <c r="AE3255">
        <v>4.1300000000006699E-2</v>
      </c>
      <c r="AF3255">
        <v>-2.57272870297411E-2</v>
      </c>
      <c r="AG3255">
        <v>-0.1149539</v>
      </c>
      <c r="AH3255">
        <v>0.57841381229562305</v>
      </c>
      <c r="AI3255">
        <v>101.229673573209</v>
      </c>
      <c r="AJ3255">
        <v>92.546782246640106</v>
      </c>
      <c r="AK3255">
        <v>0.59028707480130105</v>
      </c>
      <c r="AL3255">
        <v>67.457217149437199</v>
      </c>
      <c r="AM3255">
        <v>96.419140583015505</v>
      </c>
      <c r="AN3255">
        <v>1.0000000314412101</v>
      </c>
    </row>
    <row r="3256" spans="1:40" x14ac:dyDescent="0.25">
      <c r="A3256" t="str">
        <f>"20190304164434962"</f>
        <v>20190304164434962</v>
      </c>
      <c r="B3256" t="str">
        <f>"1551689074952710"</f>
        <v>1551689074952710</v>
      </c>
      <c r="C3256" t="s">
        <v>40</v>
      </c>
      <c r="D3256">
        <v>4.8454499999999996</v>
      </c>
      <c r="E3256">
        <v>0.54545519999999903</v>
      </c>
      <c r="F3256" t="s">
        <v>41</v>
      </c>
      <c r="G3256">
        <v>-313.2004</v>
      </c>
      <c r="H3256">
        <v>1.002286</v>
      </c>
      <c r="I3256">
        <v>214.21619999999999</v>
      </c>
      <c r="J3256">
        <v>-313.76280000000003</v>
      </c>
      <c r="K3256">
        <v>1.1102459999999901</v>
      </c>
      <c r="L3256">
        <v>214.1773</v>
      </c>
      <c r="M3256">
        <v>0.99960819999999995</v>
      </c>
      <c r="N3256">
        <v>-1.4409679999999999E-2</v>
      </c>
      <c r="O3256">
        <v>2.4001890000000001E-2</v>
      </c>
      <c r="P3256">
        <v>0.91993789999999998</v>
      </c>
      <c r="Q3256">
        <v>0.37126700000000001</v>
      </c>
      <c r="R3256">
        <v>0.12599830000000001</v>
      </c>
      <c r="S3256">
        <v>3.386047</v>
      </c>
      <c r="T3256">
        <v>-0.37275950000000002</v>
      </c>
      <c r="U3256">
        <v>0.1686859</v>
      </c>
      <c r="V3256">
        <v>-0.1034795</v>
      </c>
      <c r="W3256">
        <v>0.38463239999999999</v>
      </c>
      <c r="X3256">
        <v>0.91725129999999999</v>
      </c>
      <c r="Y3256">
        <v>-2.5701149999999999E-2</v>
      </c>
      <c r="Z3256">
        <v>-6.9181949999999896E-4</v>
      </c>
      <c r="AA3256">
        <v>0.99966940000000004</v>
      </c>
      <c r="AB3256">
        <v>42</v>
      </c>
      <c r="AC3256">
        <v>0.56240000000002499</v>
      </c>
      <c r="AD3256">
        <v>-0.107959999999999</v>
      </c>
      <c r="AE3256">
        <v>3.8899999999983899E-2</v>
      </c>
      <c r="AF3256">
        <v>-2.4490553488589101E-2</v>
      </c>
      <c r="AG3256">
        <v>-0.107959999999999</v>
      </c>
      <c r="AH3256">
        <v>0.54324843753364405</v>
      </c>
      <c r="AI3256">
        <v>101.22885808340899</v>
      </c>
      <c r="AJ3256">
        <v>92.5812424080912</v>
      </c>
      <c r="AK3256">
        <v>0.55441321565500501</v>
      </c>
      <c r="AL3256">
        <v>67.379079342174194</v>
      </c>
      <c r="AM3256">
        <v>96.436596039631695</v>
      </c>
      <c r="AN3256">
        <v>1.00000001870084</v>
      </c>
    </row>
    <row r="3257" spans="1:40" x14ac:dyDescent="0.25">
      <c r="A3257" t="str">
        <f>"20190304164434982"</f>
        <v>20190304164434982</v>
      </c>
      <c r="B3257" t="str">
        <f>"1551689074973206"</f>
        <v>1551689074973206</v>
      </c>
      <c r="C3257" t="s">
        <v>40</v>
      </c>
      <c r="D3257">
        <v>4.819833</v>
      </c>
      <c r="E3257">
        <v>0.54543199999999903</v>
      </c>
      <c r="F3257" t="s">
        <v>41</v>
      </c>
      <c r="G3257">
        <v>-312.81939999999997</v>
      </c>
      <c r="H3257">
        <v>1.0078499999999999</v>
      </c>
      <c r="I3257">
        <v>214.22409999999999</v>
      </c>
      <c r="J3257">
        <v>-313.37029999999999</v>
      </c>
      <c r="K3257">
        <v>1.1102369999999999</v>
      </c>
      <c r="L3257">
        <v>214.18639999999999</v>
      </c>
      <c r="M3257">
        <v>0.99961750000000005</v>
      </c>
      <c r="N3257">
        <v>-1.440747E-2</v>
      </c>
      <c r="O3257">
        <v>2.361576E-2</v>
      </c>
      <c r="P3257">
        <v>0.91954550000000002</v>
      </c>
      <c r="Q3257">
        <v>0.3723419</v>
      </c>
      <c r="R3257">
        <v>0.12568969999999999</v>
      </c>
      <c r="S3257">
        <v>3.3864139999999998</v>
      </c>
      <c r="T3257">
        <v>-0.3676084</v>
      </c>
      <c r="U3257">
        <v>0.16830439999999999</v>
      </c>
      <c r="V3257">
        <v>-0.10352119999999999</v>
      </c>
      <c r="W3257">
        <v>0.38570209999999999</v>
      </c>
      <c r="X3257">
        <v>0.91679730000000004</v>
      </c>
      <c r="Y3257">
        <v>-2.5967239999999999E-2</v>
      </c>
      <c r="Z3257">
        <v>-6.224558E-4</v>
      </c>
      <c r="AA3257">
        <v>0.99966259999999996</v>
      </c>
      <c r="AB3257">
        <v>42</v>
      </c>
      <c r="AC3257">
        <v>0.55090000000001205</v>
      </c>
      <c r="AD3257">
        <v>-0.10238700000000001</v>
      </c>
      <c r="AE3257">
        <v>3.7700000000000899E-2</v>
      </c>
      <c r="AF3257">
        <v>-2.3857959882292602E-2</v>
      </c>
      <c r="AG3257">
        <v>-0.10238700000000001</v>
      </c>
      <c r="AH3257">
        <v>0.53330144543727698</v>
      </c>
      <c r="AI3257">
        <v>100.857212120962</v>
      </c>
      <c r="AJ3257">
        <v>92.5614961224083</v>
      </c>
      <c r="AK3257">
        <v>0.54356483672532996</v>
      </c>
      <c r="AL3257">
        <v>67.312666051608005</v>
      </c>
      <c r="AM3257">
        <v>96.442329956125405</v>
      </c>
      <c r="AN3257">
        <v>1.00000001904056</v>
      </c>
    </row>
    <row r="3258" spans="1:40" x14ac:dyDescent="0.25">
      <c r="A3258" t="str">
        <f>"20190304164435005"</f>
        <v>20190304164435005</v>
      </c>
      <c r="B3258" t="str">
        <f>"1551689074993702"</f>
        <v>1551689074993702</v>
      </c>
      <c r="C3258" t="s">
        <v>40</v>
      </c>
      <c r="D3258">
        <v>4.8168389999999999</v>
      </c>
      <c r="E3258">
        <v>0.54546600000000001</v>
      </c>
      <c r="F3258" t="s">
        <v>41</v>
      </c>
      <c r="G3258">
        <v>-312.44</v>
      </c>
      <c r="H3258">
        <v>1.0104820000000001</v>
      </c>
      <c r="I3258">
        <v>214.23259999999999</v>
      </c>
      <c r="J3258">
        <v>-312.95370000000003</v>
      </c>
      <c r="K3258">
        <v>1.110231</v>
      </c>
      <c r="L3258">
        <v>214.19589999999999</v>
      </c>
      <c r="M3258">
        <v>0.99962720000000005</v>
      </c>
      <c r="N3258">
        <v>-1.4405029999999999E-2</v>
      </c>
      <c r="O3258">
        <v>2.3194780000000002E-2</v>
      </c>
      <c r="P3258">
        <v>0.91928339999999997</v>
      </c>
      <c r="Q3258">
        <v>0.37309829999999999</v>
      </c>
      <c r="R3258">
        <v>0.12536249999999999</v>
      </c>
      <c r="S3258">
        <v>3.3864749999999999</v>
      </c>
      <c r="T3258">
        <v>-0.36324420000000002</v>
      </c>
      <c r="U3258">
        <v>0.16873170000000001</v>
      </c>
      <c r="V3258">
        <v>-0.103571</v>
      </c>
      <c r="W3258">
        <v>0.38645649999999998</v>
      </c>
      <c r="X3258">
        <v>0.91647389999999995</v>
      </c>
      <c r="Y3258">
        <v>-2.6508830000000001E-2</v>
      </c>
      <c r="Z3258">
        <v>-5.3715459999999996E-4</v>
      </c>
      <c r="AA3258">
        <v>0.99964850000000005</v>
      </c>
      <c r="AB3258">
        <v>42</v>
      </c>
      <c r="AC3258">
        <v>0.51370000000002802</v>
      </c>
      <c r="AD3258">
        <v>-9.9749000000000004E-2</v>
      </c>
      <c r="AE3258">
        <v>3.6699999999996097E-2</v>
      </c>
      <c r="AF3258">
        <v>-2.38779842418676E-2</v>
      </c>
      <c r="AG3258">
        <v>-9.9749000000000004E-2</v>
      </c>
      <c r="AH3258">
        <v>0.49581343440509401</v>
      </c>
      <c r="AI3258">
        <v>101.36224003846699</v>
      </c>
      <c r="AJ3258">
        <v>92.757189310354804</v>
      </c>
      <c r="AK3258">
        <v>0.50631115222660195</v>
      </c>
      <c r="AL3258">
        <v>67.265808484484296</v>
      </c>
      <c r="AM3258">
        <v>96.4476583020503</v>
      </c>
      <c r="AN3258">
        <v>0.99999999390723004</v>
      </c>
    </row>
    <row r="3259" spans="1:40" x14ac:dyDescent="0.25">
      <c r="A3259" t="str">
        <f>"20190304164435028"</f>
        <v>20190304164435028</v>
      </c>
      <c r="B3259" t="str">
        <f>"1551689075022982"</f>
        <v>1551689075022982</v>
      </c>
      <c r="C3259" t="s">
        <v>40</v>
      </c>
      <c r="D3259">
        <v>4.7692899999999998</v>
      </c>
      <c r="E3259">
        <v>0.54546479999999997</v>
      </c>
      <c r="F3259" t="s">
        <v>41</v>
      </c>
      <c r="G3259">
        <v>-312.05990000000003</v>
      </c>
      <c r="H3259">
        <v>1.0151920000000001</v>
      </c>
      <c r="I3259">
        <v>214.2397</v>
      </c>
      <c r="J3259">
        <v>-312.51749999999998</v>
      </c>
      <c r="K3259">
        <v>1.110212</v>
      </c>
      <c r="L3259">
        <v>214.20570000000001</v>
      </c>
      <c r="M3259">
        <v>0.99963789999999997</v>
      </c>
      <c r="N3259">
        <v>-1.4402399999999999E-2</v>
      </c>
      <c r="O3259">
        <v>2.273638E-2</v>
      </c>
      <c r="P3259">
        <v>0.9189235</v>
      </c>
      <c r="Q3259">
        <v>0.37402930000000001</v>
      </c>
      <c r="R3259">
        <v>0.125227</v>
      </c>
      <c r="S3259">
        <v>3.3869630000000002</v>
      </c>
      <c r="T3259">
        <v>-0.36025980000000002</v>
      </c>
      <c r="U3259">
        <v>0.16625980000000001</v>
      </c>
      <c r="V3259">
        <v>-0.1038462</v>
      </c>
      <c r="W3259">
        <v>0.38738470000000003</v>
      </c>
      <c r="X3259">
        <v>0.91605080000000005</v>
      </c>
      <c r="Y3259">
        <v>-2.6232910000000002E-2</v>
      </c>
      <c r="Z3259">
        <v>-5.0307529999999996E-4</v>
      </c>
      <c r="AA3259">
        <v>0.99965570000000004</v>
      </c>
      <c r="AB3259">
        <v>42</v>
      </c>
      <c r="AC3259">
        <v>0.45759999999995599</v>
      </c>
      <c r="AD3259">
        <v>-9.5019999999999799E-2</v>
      </c>
      <c r="AE3259">
        <v>3.3999999999991801E-2</v>
      </c>
      <c r="AF3259">
        <v>-2.2616155705300799E-2</v>
      </c>
      <c r="AG3259">
        <v>-9.5019999999999799E-2</v>
      </c>
      <c r="AH3259">
        <v>0.43941226997593202</v>
      </c>
      <c r="AI3259">
        <v>102.186308769905</v>
      </c>
      <c r="AJ3259">
        <v>92.946362549072106</v>
      </c>
      <c r="AK3259">
        <v>0.45013712788914401</v>
      </c>
      <c r="AL3259">
        <v>67.208134719085507</v>
      </c>
      <c r="AM3259">
        <v>96.467606184780195</v>
      </c>
      <c r="AN3259">
        <v>1.00000000361458</v>
      </c>
    </row>
    <row r="3260" spans="1:40" x14ac:dyDescent="0.25">
      <c r="A3260" t="str">
        <f>"20190304164435051"</f>
        <v>20190304164435051</v>
      </c>
      <c r="B3260" t="str">
        <f>"1551689075043009"</f>
        <v>1551689075043009</v>
      </c>
      <c r="C3260" t="s">
        <v>40</v>
      </c>
      <c r="D3260">
        <v>4.7138410000000004</v>
      </c>
      <c r="E3260">
        <v>0.54543009999999903</v>
      </c>
      <c r="F3260" t="s">
        <v>41</v>
      </c>
      <c r="G3260">
        <v>-311.67790000000002</v>
      </c>
      <c r="H3260">
        <v>1.021927</v>
      </c>
      <c r="I3260">
        <v>214.24639999999999</v>
      </c>
      <c r="J3260">
        <v>-312.07010000000002</v>
      </c>
      <c r="K3260">
        <v>1.1101859999999999</v>
      </c>
      <c r="L3260">
        <v>214.21539999999999</v>
      </c>
      <c r="M3260">
        <v>0.99964909999999996</v>
      </c>
      <c r="N3260">
        <v>-1.439993E-2</v>
      </c>
      <c r="O3260">
        <v>2.2239740000000001E-2</v>
      </c>
      <c r="P3260">
        <v>0.9188558</v>
      </c>
      <c r="Q3260">
        <v>0.37418420000000002</v>
      </c>
      <c r="R3260">
        <v>0.1252605</v>
      </c>
      <c r="S3260">
        <v>3.3872680000000002</v>
      </c>
      <c r="T3260">
        <v>-0.35633710000000002</v>
      </c>
      <c r="U3260">
        <v>0.16481019999999999</v>
      </c>
      <c r="V3260">
        <v>-0.1043148</v>
      </c>
      <c r="W3260">
        <v>0.38754250000000001</v>
      </c>
      <c r="X3260">
        <v>0.91593080000000004</v>
      </c>
      <c r="Y3260">
        <v>-2.6296969999999999E-2</v>
      </c>
      <c r="Z3260">
        <v>-4.4330790000000003E-4</v>
      </c>
      <c r="AA3260">
        <v>0.99965409999999999</v>
      </c>
      <c r="AB3260">
        <v>42</v>
      </c>
      <c r="AC3260">
        <v>0.39220000000000199</v>
      </c>
      <c r="AD3260">
        <v>-8.8259000000000004E-2</v>
      </c>
      <c r="AE3260">
        <v>3.1000000000005901E-2</v>
      </c>
      <c r="AF3260">
        <v>-2.1201977382483798E-2</v>
      </c>
      <c r="AG3260">
        <v>-8.8259000000000004E-2</v>
      </c>
      <c r="AH3260">
        <v>0.37397173534732903</v>
      </c>
      <c r="AI3260">
        <v>103.25854160557</v>
      </c>
      <c r="AJ3260">
        <v>93.244856989774505</v>
      </c>
      <c r="AK3260">
        <v>0.38482987639295901</v>
      </c>
      <c r="AL3260">
        <v>67.198327220997797</v>
      </c>
      <c r="AM3260">
        <v>96.497385802463896</v>
      </c>
      <c r="AN3260">
        <v>0.99999999859696498</v>
      </c>
    </row>
    <row r="3261" spans="1:40" x14ac:dyDescent="0.25">
      <c r="A3261" t="str">
        <f>"20190304164435072"</f>
        <v>20190304164435072</v>
      </c>
      <c r="B3261" t="str">
        <f>"1551689075063505"</f>
        <v>1551689075063505</v>
      </c>
      <c r="C3261" t="s">
        <v>40</v>
      </c>
      <c r="D3261">
        <v>4.7311350000000001</v>
      </c>
      <c r="E3261">
        <v>0.54539280000000001</v>
      </c>
      <c r="F3261" t="s">
        <v>41</v>
      </c>
      <c r="G3261">
        <v>-311.29500000000002</v>
      </c>
      <c r="H3261">
        <v>1.0288630000000001</v>
      </c>
      <c r="I3261">
        <v>214.2534</v>
      </c>
      <c r="J3261">
        <v>-311.68419999999998</v>
      </c>
      <c r="K3261">
        <v>1.110155</v>
      </c>
      <c r="L3261">
        <v>214.2236</v>
      </c>
      <c r="M3261">
        <v>0.99965919999999997</v>
      </c>
      <c r="N3261">
        <v>-1.4397800000000001E-2</v>
      </c>
      <c r="O3261">
        <v>2.1779650000000001E-2</v>
      </c>
      <c r="P3261">
        <v>0.91902430000000002</v>
      </c>
      <c r="Q3261">
        <v>0.37381700000000001</v>
      </c>
      <c r="R3261">
        <v>0.12512000000000001</v>
      </c>
      <c r="S3261">
        <v>3.3870239999999998</v>
      </c>
      <c r="T3261">
        <v>-0.35539169999999998</v>
      </c>
      <c r="U3261">
        <v>0.16600039999999999</v>
      </c>
      <c r="V3261">
        <v>-0.1045695</v>
      </c>
      <c r="W3261">
        <v>0.38718249999999999</v>
      </c>
      <c r="X3261">
        <v>0.91605400000000003</v>
      </c>
      <c r="Y3261">
        <v>-2.7104329999999999E-2</v>
      </c>
      <c r="Z3261">
        <v>-3.5139120000000001E-4</v>
      </c>
      <c r="AA3261">
        <v>0.99963250000000003</v>
      </c>
      <c r="AB3261">
        <v>42</v>
      </c>
      <c r="AC3261">
        <v>0.38919999999995902</v>
      </c>
      <c r="AD3261">
        <v>-8.12920000000001E-2</v>
      </c>
      <c r="AE3261">
        <v>2.97999999999944E-2</v>
      </c>
      <c r="AF3261">
        <v>-2.0429346608371202E-2</v>
      </c>
      <c r="AG3261">
        <v>-8.12920000000001E-2</v>
      </c>
      <c r="AH3261">
        <v>0.37355487022649297</v>
      </c>
      <c r="AI3261">
        <v>102.259372804696</v>
      </c>
      <c r="AJ3261">
        <v>93.130331208794601</v>
      </c>
      <c r="AK3261">
        <v>0.38284329501347802</v>
      </c>
      <c r="AL3261">
        <v>67.2207004632333</v>
      </c>
      <c r="AM3261">
        <v>96.512245557054698</v>
      </c>
      <c r="AN3261">
        <v>0.99999999977624998</v>
      </c>
    </row>
    <row r="3262" spans="1:40" x14ac:dyDescent="0.25">
      <c r="A3262" t="str">
        <f>"20190304164435094"</f>
        <v>20190304164435094</v>
      </c>
      <c r="B3262" t="str">
        <f>"1551689075083025"</f>
        <v>1551689075083025</v>
      </c>
      <c r="C3262" t="s">
        <v>40</v>
      </c>
      <c r="D3262">
        <v>4.6258920000000003</v>
      </c>
      <c r="E3262">
        <v>0.54536859999999998</v>
      </c>
      <c r="F3262" t="s">
        <v>41</v>
      </c>
      <c r="G3262">
        <v>-310.91750000000002</v>
      </c>
      <c r="H3262">
        <v>1.029398</v>
      </c>
      <c r="I3262">
        <v>214.2611</v>
      </c>
      <c r="J3262">
        <v>-311.26900000000001</v>
      </c>
      <c r="K3262">
        <v>1.1101129999999999</v>
      </c>
      <c r="L3262">
        <v>214.23220000000001</v>
      </c>
      <c r="M3262">
        <v>0.99967070000000002</v>
      </c>
      <c r="N3262">
        <v>-1.439554E-2</v>
      </c>
      <c r="O3262">
        <v>2.1245569999999998E-2</v>
      </c>
      <c r="P3262">
        <v>0.91925089999999998</v>
      </c>
      <c r="Q3262">
        <v>0.37313469999999999</v>
      </c>
      <c r="R3262">
        <v>0.12549350000000001</v>
      </c>
      <c r="S3262">
        <v>3.3867799999999999</v>
      </c>
      <c r="T3262">
        <v>-0.35686099999999998</v>
      </c>
      <c r="U3262">
        <v>0.16648859999999999</v>
      </c>
      <c r="V3262">
        <v>-0.1053989</v>
      </c>
      <c r="W3262">
        <v>0.38651059999999998</v>
      </c>
      <c r="X3262">
        <v>0.91624269999999997</v>
      </c>
      <c r="Y3262">
        <v>-2.7778799999999999E-2</v>
      </c>
      <c r="Z3262">
        <v>-2.6638649999999997E-4</v>
      </c>
      <c r="AA3262">
        <v>0.99961409999999995</v>
      </c>
      <c r="AB3262">
        <v>42</v>
      </c>
      <c r="AC3262">
        <v>0.35149999999998699</v>
      </c>
      <c r="AD3262">
        <v>-8.0714999999999801E-2</v>
      </c>
      <c r="AE3262">
        <v>2.8899999999993001E-2</v>
      </c>
      <c r="AF3262">
        <v>-2.0358584067262601E-2</v>
      </c>
      <c r="AG3262">
        <v>-8.0714999999999801E-2</v>
      </c>
      <c r="AH3262">
        <v>0.33451420719432101</v>
      </c>
      <c r="AI3262">
        <v>103.54147950395701</v>
      </c>
      <c r="AJ3262">
        <v>93.482733878175296</v>
      </c>
      <c r="AK3262">
        <v>0.34471602513528299</v>
      </c>
      <c r="AL3262">
        <v>67.262448466795405</v>
      </c>
      <c r="AM3262">
        <v>96.562108978368599</v>
      </c>
      <c r="AN3262">
        <v>1.0000000286684201</v>
      </c>
    </row>
    <row r="3263" spans="1:40" x14ac:dyDescent="0.25">
      <c r="A3263" t="str">
        <f>"20190304164435119"</f>
        <v>20190304164435119</v>
      </c>
      <c r="B3263" t="str">
        <f>"1551689075113281"</f>
        <v>1551689075113281</v>
      </c>
      <c r="C3263" t="s">
        <v>40</v>
      </c>
      <c r="D3263">
        <v>4.6658670000000004</v>
      </c>
      <c r="E3263">
        <v>0.54538940000000002</v>
      </c>
      <c r="F3263" t="s">
        <v>41</v>
      </c>
      <c r="G3263">
        <v>-310.18439999999998</v>
      </c>
      <c r="H3263">
        <v>0.99513569999999996</v>
      </c>
      <c r="I3263">
        <v>214.28569999999999</v>
      </c>
      <c r="J3263">
        <v>-310.81229999999999</v>
      </c>
      <c r="K3263">
        <v>1.1100669999999999</v>
      </c>
      <c r="L3263">
        <v>214.2413</v>
      </c>
      <c r="M3263">
        <v>0.99968409999999996</v>
      </c>
      <c r="N3263">
        <v>-1.439318E-2</v>
      </c>
      <c r="O3263">
        <v>2.06059E-2</v>
      </c>
      <c r="P3263">
        <v>0.91955439999999999</v>
      </c>
      <c r="Q3263">
        <v>0.37240250000000003</v>
      </c>
      <c r="R3263">
        <v>0.12544530000000001</v>
      </c>
      <c r="S3263">
        <v>3.3864139999999998</v>
      </c>
      <c r="T3263">
        <v>-0.35909740000000001</v>
      </c>
      <c r="U3263">
        <v>0.168045</v>
      </c>
      <c r="V3263">
        <v>-0.105895699999999</v>
      </c>
      <c r="W3263">
        <v>0.38579140000000001</v>
      </c>
      <c r="X3263">
        <v>0.91648850000000004</v>
      </c>
      <c r="Y3263">
        <v>-2.8871600000000001E-2</v>
      </c>
      <c r="Z3263">
        <v>-1.4733030000000001E-4</v>
      </c>
      <c r="AA3263">
        <v>0.99958309999999995</v>
      </c>
      <c r="AB3263">
        <v>42</v>
      </c>
      <c r="AC3263">
        <v>0.627900000000011</v>
      </c>
      <c r="AD3263">
        <v>-0.114931299999999</v>
      </c>
      <c r="AE3263">
        <v>4.4399999999995998E-2</v>
      </c>
      <c r="AF3263">
        <v>-3.04361299598628E-2</v>
      </c>
      <c r="AG3263">
        <v>-0.114931299999999</v>
      </c>
      <c r="AH3263">
        <v>0.60839930218021898</v>
      </c>
      <c r="AI3263">
        <v>100.684496940358</v>
      </c>
      <c r="AJ3263">
        <v>92.863923746649604</v>
      </c>
      <c r="AK3263">
        <v>0.61990747101482901</v>
      </c>
      <c r="AL3263">
        <v>67.307120758492601</v>
      </c>
      <c r="AM3263">
        <v>96.591015352360799</v>
      </c>
      <c r="AN3263">
        <v>1.0000000371123401</v>
      </c>
    </row>
    <row r="3264" spans="1:40" x14ac:dyDescent="0.25">
      <c r="A3264" t="str">
        <f>"20190304164435140"</f>
        <v>20190304164435140</v>
      </c>
      <c r="B3264" t="str">
        <f>"1551689075133777"</f>
        <v>1551689075133777</v>
      </c>
      <c r="C3264" t="s">
        <v>40</v>
      </c>
      <c r="D3264">
        <v>4.7004590000000004</v>
      </c>
      <c r="E3264">
        <v>0.54542729999999995</v>
      </c>
      <c r="F3264" t="s">
        <v>41</v>
      </c>
      <c r="G3264">
        <v>-309.80459999999999</v>
      </c>
      <c r="H3264">
        <v>1.002637</v>
      </c>
      <c r="I3264">
        <v>214.29140000000001</v>
      </c>
      <c r="J3264">
        <v>-310.39749999999998</v>
      </c>
      <c r="K3264">
        <v>1.110036</v>
      </c>
      <c r="L3264">
        <v>214.24930000000001</v>
      </c>
      <c r="M3264">
        <v>0.99969660000000005</v>
      </c>
      <c r="N3264">
        <v>-1.4391030000000001E-2</v>
      </c>
      <c r="O3264">
        <v>1.9988860000000001E-2</v>
      </c>
      <c r="P3264">
        <v>0.91986290000000004</v>
      </c>
      <c r="Q3264">
        <v>0.3718417</v>
      </c>
      <c r="R3264">
        <v>0.1248445</v>
      </c>
      <c r="S3264">
        <v>3.3856510000000002</v>
      </c>
      <c r="T3264">
        <v>-0.36102529999999999</v>
      </c>
      <c r="U3264">
        <v>0.16886899999999999</v>
      </c>
      <c r="V3264">
        <v>-0.10582370000000001</v>
      </c>
      <c r="W3264">
        <v>0.38524150000000001</v>
      </c>
      <c r="X3264">
        <v>0.91672810000000005</v>
      </c>
      <c r="Y3264">
        <v>-2.9733430000000002E-2</v>
      </c>
      <c r="Z3264" s="1">
        <v>-4.2323719999999997E-5</v>
      </c>
      <c r="AA3264">
        <v>0.9995579</v>
      </c>
      <c r="AB3264">
        <v>42</v>
      </c>
      <c r="AC3264">
        <v>0.59289999999998599</v>
      </c>
      <c r="AD3264">
        <v>-0.10739899999999999</v>
      </c>
      <c r="AE3264">
        <v>4.2100000000004897E-2</v>
      </c>
      <c r="AF3264">
        <v>-2.9282941571436499E-2</v>
      </c>
      <c r="AG3264">
        <v>-0.10739899999999999</v>
      </c>
      <c r="AH3264">
        <v>0.57485539370534999</v>
      </c>
      <c r="AI3264">
        <v>100.569053263054</v>
      </c>
      <c r="AJ3264">
        <v>92.916107309827396</v>
      </c>
      <c r="AK3264">
        <v>0.58553459294922106</v>
      </c>
      <c r="AL3264">
        <v>67.341267240283599</v>
      </c>
      <c r="AM3264">
        <v>96.584867042425302</v>
      </c>
      <c r="AN3264">
        <v>1.00000003906677</v>
      </c>
    </row>
    <row r="3265" spans="1:40" x14ac:dyDescent="0.25">
      <c r="A3265" t="str">
        <f>"20190304164435162"</f>
        <v>20190304164435162</v>
      </c>
      <c r="B3265" t="str">
        <f>"1551689075153297"</f>
        <v>1551689075153297</v>
      </c>
      <c r="C3265" t="s">
        <v>40</v>
      </c>
      <c r="D3265">
        <v>4.7129629999999896</v>
      </c>
      <c r="E3265">
        <v>0.5460564</v>
      </c>
      <c r="F3265" t="s">
        <v>41</v>
      </c>
      <c r="G3265">
        <v>-309.4271</v>
      </c>
      <c r="H3265">
        <v>1.0058739999999999</v>
      </c>
      <c r="I3265">
        <v>214.29759999999999</v>
      </c>
      <c r="J3265">
        <v>-309.9975</v>
      </c>
      <c r="K3265">
        <v>1.110007</v>
      </c>
      <c r="L3265">
        <v>214.2568</v>
      </c>
      <c r="M3265">
        <v>0.99970890000000001</v>
      </c>
      <c r="N3265">
        <v>-1.4388710000000001E-2</v>
      </c>
      <c r="O3265">
        <v>1.936585E-2</v>
      </c>
      <c r="P3265">
        <v>0.92014220000000002</v>
      </c>
      <c r="Q3265">
        <v>0.37155880000000002</v>
      </c>
      <c r="R3265">
        <v>0.123623</v>
      </c>
      <c r="S3265">
        <v>3.3853759999999999</v>
      </c>
      <c r="T3265">
        <v>-0.36342730000000001</v>
      </c>
      <c r="U3265">
        <v>0.16874690000000001</v>
      </c>
      <c r="V3265">
        <v>-0.1051426</v>
      </c>
      <c r="W3265">
        <v>0.38496649999999999</v>
      </c>
      <c r="X3265">
        <v>0.91692200000000001</v>
      </c>
      <c r="Y3265">
        <v>-3.0316869999999999E-2</v>
      </c>
      <c r="Z3265" s="1">
        <v>4.7055309999999997E-5</v>
      </c>
      <c r="AA3265">
        <v>0.99954030000000005</v>
      </c>
      <c r="AB3265">
        <v>42</v>
      </c>
      <c r="AC3265">
        <v>0.57040000000000601</v>
      </c>
      <c r="AD3265">
        <v>-0.104133</v>
      </c>
      <c r="AE3265">
        <v>4.0799999999990101E-2</v>
      </c>
      <c r="AF3265">
        <v>-2.87902658788858E-2</v>
      </c>
      <c r="AG3265">
        <v>-0.104133</v>
      </c>
      <c r="AH3265">
        <v>0.55275443346653097</v>
      </c>
      <c r="AI3265">
        <v>100.654756604086</v>
      </c>
      <c r="AJ3265">
        <v>92.981561748596405</v>
      </c>
      <c r="AK3265">
        <v>0.56321401333354904</v>
      </c>
      <c r="AL3265">
        <v>67.358340954066705</v>
      </c>
      <c r="AM3265">
        <v>96.541482722406698</v>
      </c>
      <c r="AN3265">
        <v>1.0000000632705</v>
      </c>
    </row>
    <row r="3266" spans="1:40" x14ac:dyDescent="0.25">
      <c r="A3266" t="str">
        <f>"20190304164435183"</f>
        <v>20190304164435183</v>
      </c>
      <c r="B3266" t="str">
        <f>"1551689075173793"</f>
        <v>1551689075173793</v>
      </c>
      <c r="C3266" t="s">
        <v>40</v>
      </c>
      <c r="D3266">
        <v>4.7154339999999904</v>
      </c>
      <c r="E3266">
        <v>0.57719169999999997</v>
      </c>
      <c r="F3266" t="s">
        <v>41</v>
      </c>
      <c r="G3266">
        <v>-309.05059999999997</v>
      </c>
      <c r="H3266">
        <v>1.00764599999999</v>
      </c>
      <c r="I3266">
        <v>214.30189999999999</v>
      </c>
      <c r="J3266">
        <v>-309.58800000000002</v>
      </c>
      <c r="K3266">
        <v>1.10998</v>
      </c>
      <c r="L3266">
        <v>214.26410000000001</v>
      </c>
      <c r="M3266">
        <v>0.99972150000000004</v>
      </c>
      <c r="N3266">
        <v>-1.4386329999999999E-2</v>
      </c>
      <c r="O3266">
        <v>1.870465E-2</v>
      </c>
      <c r="P3266">
        <v>0.92016430000000005</v>
      </c>
      <c r="Q3266">
        <v>0.37214380000000002</v>
      </c>
      <c r="R3266">
        <v>0.1216817</v>
      </c>
      <c r="S3266">
        <v>3.386444</v>
      </c>
      <c r="T3266">
        <v>-0.36604019999999998</v>
      </c>
      <c r="U3266">
        <v>0.1619263</v>
      </c>
      <c r="V3266">
        <v>-0.1037845</v>
      </c>
      <c r="W3266">
        <v>0.38555260000000002</v>
      </c>
      <c r="X3266">
        <v>0.91683040000000005</v>
      </c>
      <c r="Y3266">
        <v>-2.8958669999999999E-2</v>
      </c>
      <c r="Z3266" s="1">
        <v>2.261903E-5</v>
      </c>
      <c r="AA3266">
        <v>0.99958060000000004</v>
      </c>
      <c r="AB3266">
        <v>42</v>
      </c>
      <c r="AC3266">
        <v>0.537399999999991</v>
      </c>
      <c r="AD3266">
        <v>-0.10233399999999999</v>
      </c>
      <c r="AE3266">
        <v>3.7799999999975797E-2</v>
      </c>
      <c r="AF3266">
        <v>-2.6774369535269099E-2</v>
      </c>
      <c r="AG3266">
        <v>-0.10233399999999999</v>
      </c>
      <c r="AH3266">
        <v>0.51927609597937796</v>
      </c>
      <c r="AI3266">
        <v>101.134029641213</v>
      </c>
      <c r="AJ3266">
        <v>92.951611102695907</v>
      </c>
      <c r="AK3266">
        <v>0.52994035350744495</v>
      </c>
      <c r="AL3266">
        <v>67.321949517496293</v>
      </c>
      <c r="AM3266">
        <v>96.458346158300998</v>
      </c>
      <c r="AN3266">
        <v>1.00000000608558</v>
      </c>
    </row>
    <row r="3267" spans="1:40" x14ac:dyDescent="0.25">
      <c r="A3267" t="str">
        <f>"20190304164435206"</f>
        <v>20190304164435206</v>
      </c>
      <c r="B3267" t="str">
        <f>"1551689075193313"</f>
        <v>1551689075193313</v>
      </c>
      <c r="C3267" t="s">
        <v>40</v>
      </c>
      <c r="D3267">
        <v>4.6966789999999996</v>
      </c>
      <c r="E3267">
        <v>0.57799849999999997</v>
      </c>
      <c r="F3267" t="s">
        <v>41</v>
      </c>
      <c r="G3267">
        <v>-308.67469999999997</v>
      </c>
      <c r="H3267">
        <v>1.0089900000000001</v>
      </c>
      <c r="I3267">
        <v>214.24039999999999</v>
      </c>
      <c r="J3267">
        <v>-309.173</v>
      </c>
      <c r="K3267">
        <v>1.1099570000000001</v>
      </c>
      <c r="L3267">
        <v>214.2713</v>
      </c>
      <c r="M3267">
        <v>0.99973429999999996</v>
      </c>
      <c r="N3267">
        <v>-1.438385E-2</v>
      </c>
      <c r="O3267">
        <v>1.8017809999999999E-2</v>
      </c>
      <c r="P3267">
        <v>0.92017249999999995</v>
      </c>
      <c r="Q3267">
        <v>0.37242039999999998</v>
      </c>
      <c r="R3267">
        <v>0.12077209999999999</v>
      </c>
      <c r="S3267">
        <v>3.4251710000000002</v>
      </c>
      <c r="T3267">
        <v>-0.37888480000000002</v>
      </c>
      <c r="U3267">
        <v>-8.8317870000000007E-2</v>
      </c>
      <c r="V3267">
        <v>-0.1034877</v>
      </c>
      <c r="W3267">
        <v>0.38583060000000002</v>
      </c>
      <c r="X3267">
        <v>0.91674699999999998</v>
      </c>
      <c r="Y3267">
        <v>4.3403539999999997E-2</v>
      </c>
      <c r="Z3267">
        <v>-4.4344959999999996E-3</v>
      </c>
      <c r="AA3267">
        <v>0.99904780000000004</v>
      </c>
      <c r="AB3267">
        <v>42</v>
      </c>
      <c r="AC3267">
        <v>0.498300000000028</v>
      </c>
      <c r="AD3267">
        <v>-0.100966999999999</v>
      </c>
      <c r="AE3267">
        <v>-3.0900000000002498E-2</v>
      </c>
      <c r="AF3267">
        <v>3.8307457404320899E-2</v>
      </c>
      <c r="AG3267">
        <v>-0.100966999999999</v>
      </c>
      <c r="AH3267">
        <v>0.47810824203645103</v>
      </c>
      <c r="AI3267">
        <v>101.887521622664</v>
      </c>
      <c r="AJ3267">
        <v>85.419077348231298</v>
      </c>
      <c r="AK3267">
        <v>0.49015231049641</v>
      </c>
      <c r="AL3267">
        <v>67.304685607430699</v>
      </c>
      <c r="AM3267">
        <v>96.440613097901405</v>
      </c>
      <c r="AN3267">
        <v>1.0000000089783201</v>
      </c>
    </row>
    <row r="3268" spans="1:40" x14ac:dyDescent="0.25">
      <c r="A3268" t="str">
        <f>"20190304164435229"</f>
        <v>20190304164435229</v>
      </c>
      <c r="B3268" t="str">
        <f>"1551689075223570"</f>
        <v>1551689075223570</v>
      </c>
      <c r="C3268" t="s">
        <v>40</v>
      </c>
      <c r="D3268">
        <v>4.6960649999999999</v>
      </c>
      <c r="E3268">
        <v>0.57833760000000001</v>
      </c>
      <c r="F3268" t="s">
        <v>41</v>
      </c>
      <c r="G3268">
        <v>-308.29750000000001</v>
      </c>
      <c r="H3268">
        <v>1.0133379999999901</v>
      </c>
      <c r="I3268">
        <v>214.2456</v>
      </c>
      <c r="J3268">
        <v>-308.7253</v>
      </c>
      <c r="K3268">
        <v>1.1099410000000001</v>
      </c>
      <c r="L3268">
        <v>214.27869999999999</v>
      </c>
      <c r="M3268">
        <v>0.99974750000000001</v>
      </c>
      <c r="N3268">
        <v>-1.438128E-2</v>
      </c>
      <c r="O3268">
        <v>1.7264760000000001E-2</v>
      </c>
      <c r="P3268">
        <v>0.92026249999999998</v>
      </c>
      <c r="Q3268">
        <v>0.37251909999999999</v>
      </c>
      <c r="R3268">
        <v>0.1197767</v>
      </c>
      <c r="S3268">
        <v>3.4264830000000002</v>
      </c>
      <c r="T3268">
        <v>-0.37814009999999998</v>
      </c>
      <c r="U3268">
        <v>-0.1003723</v>
      </c>
      <c r="V3268">
        <v>-0.1031678</v>
      </c>
      <c r="W3268">
        <v>0.38593139999999998</v>
      </c>
      <c r="X3268">
        <v>0.91674060000000002</v>
      </c>
      <c r="Y3268">
        <v>4.6139470000000002E-2</v>
      </c>
      <c r="Z3268">
        <v>-4.5222780000000002E-3</v>
      </c>
      <c r="AA3268">
        <v>0.99892479999999995</v>
      </c>
      <c r="AB3268">
        <v>42</v>
      </c>
      <c r="AC3268">
        <v>0.42779999999999002</v>
      </c>
      <c r="AD3268">
        <v>-9.6603000000000203E-2</v>
      </c>
      <c r="AE3268">
        <v>-3.3099999999990297E-2</v>
      </c>
      <c r="AF3268">
        <v>3.8528738632245402E-2</v>
      </c>
      <c r="AG3268">
        <v>-9.6603000000000203E-2</v>
      </c>
      <c r="AH3268">
        <v>0.40655702766911</v>
      </c>
      <c r="AI3268">
        <v>103.308821262789</v>
      </c>
      <c r="AJ3268">
        <v>84.586341650381101</v>
      </c>
      <c r="AK3268">
        <v>0.41964892476537302</v>
      </c>
      <c r="AL3268">
        <v>67.298424728157002</v>
      </c>
      <c r="AM3268">
        <v>96.420914923429507</v>
      </c>
      <c r="AN3268">
        <v>0.999999984075579</v>
      </c>
    </row>
    <row r="3269" spans="1:40" x14ac:dyDescent="0.25">
      <c r="A3269" t="str">
        <f>"20190304164435251"</f>
        <v>20190304164435251</v>
      </c>
      <c r="B3269" t="str">
        <f>"1551689075243597"</f>
        <v>1551689075243597</v>
      </c>
      <c r="C3269" t="s">
        <v>40</v>
      </c>
      <c r="D3269">
        <v>4.687621</v>
      </c>
      <c r="E3269">
        <v>0.5787371</v>
      </c>
      <c r="F3269" t="s">
        <v>41</v>
      </c>
      <c r="G3269">
        <v>-307.91860000000003</v>
      </c>
      <c r="H3269">
        <v>1.021617</v>
      </c>
      <c r="I3269">
        <v>214.25280000000001</v>
      </c>
      <c r="J3269">
        <v>-308.30669999999998</v>
      </c>
      <c r="K3269">
        <v>1.10992</v>
      </c>
      <c r="L3269">
        <v>214.28530000000001</v>
      </c>
      <c r="M3269">
        <v>0.99975970000000003</v>
      </c>
      <c r="N3269">
        <v>-1.4378810000000001E-2</v>
      </c>
      <c r="O3269">
        <v>1.6555179999999999E-2</v>
      </c>
      <c r="P3269">
        <v>0.92025170000000001</v>
      </c>
      <c r="Q3269">
        <v>0.37282409999999999</v>
      </c>
      <c r="R3269">
        <v>0.11890920000000001</v>
      </c>
      <c r="S3269">
        <v>3.425964</v>
      </c>
      <c r="T3269">
        <v>-0.37520870000000001</v>
      </c>
      <c r="U3269">
        <v>-0.10867309999999999</v>
      </c>
      <c r="V3269">
        <v>-0.1029412</v>
      </c>
      <c r="W3269">
        <v>0.3862353</v>
      </c>
      <c r="X3269">
        <v>0.91663810000000001</v>
      </c>
      <c r="Y3269">
        <v>4.7850429999999999E-2</v>
      </c>
      <c r="Z3269">
        <v>-4.527026E-3</v>
      </c>
      <c r="AA3269">
        <v>0.99884430000000002</v>
      </c>
      <c r="AB3269">
        <v>42</v>
      </c>
      <c r="AC3269">
        <v>0.38809999999995098</v>
      </c>
      <c r="AD3269">
        <v>-8.8303000000000006E-2</v>
      </c>
      <c r="AE3269">
        <v>-3.2499999999998801E-2</v>
      </c>
      <c r="AF3269">
        <v>3.70182483986373E-2</v>
      </c>
      <c r="AG3269">
        <v>-8.8303000000000006E-2</v>
      </c>
      <c r="AH3269">
        <v>0.36856176570730598</v>
      </c>
      <c r="AI3269">
        <v>103.408405125784</v>
      </c>
      <c r="AJ3269">
        <v>84.264462088511905</v>
      </c>
      <c r="AK3269">
        <v>0.38079593703818598</v>
      </c>
      <c r="AL3269">
        <v>67.279549419101798</v>
      </c>
      <c r="AM3269">
        <v>96.407639759534902</v>
      </c>
      <c r="AN3269">
        <v>1.0000000019975599</v>
      </c>
    </row>
    <row r="3270" spans="1:40" x14ac:dyDescent="0.25">
      <c r="A3270" t="str">
        <f>"20190304164435272"</f>
        <v>20190304164435272</v>
      </c>
      <c r="B3270" t="str">
        <f>"1551689075263118"</f>
        <v>1551689075263118</v>
      </c>
      <c r="C3270" t="s">
        <v>40</v>
      </c>
      <c r="D3270">
        <v>4.69299</v>
      </c>
      <c r="E3270">
        <v>0.57890839999999999</v>
      </c>
      <c r="F3270" t="s">
        <v>41</v>
      </c>
      <c r="G3270">
        <v>-307.54169999999999</v>
      </c>
      <c r="H3270">
        <v>1.0265120000000001</v>
      </c>
      <c r="I3270">
        <v>214.2594</v>
      </c>
      <c r="J3270">
        <v>-307.91489999999999</v>
      </c>
      <c r="K3270">
        <v>1.109917</v>
      </c>
      <c r="L3270">
        <v>214.29130000000001</v>
      </c>
      <c r="M3270">
        <v>0.99977039999999995</v>
      </c>
      <c r="N3270">
        <v>-1.437633E-2</v>
      </c>
      <c r="O3270">
        <v>1.589374E-2</v>
      </c>
      <c r="P3270">
        <v>0.92016180000000003</v>
      </c>
      <c r="Q3270">
        <v>0.37305820000000001</v>
      </c>
      <c r="R3270">
        <v>0.1188685</v>
      </c>
      <c r="S3270">
        <v>3.4262700000000001</v>
      </c>
      <c r="T3270">
        <v>-0.37358520000000001</v>
      </c>
      <c r="U3270">
        <v>-0.1157532</v>
      </c>
      <c r="V3270">
        <v>-0.10350280000000001</v>
      </c>
      <c r="W3270">
        <v>0.38646839999999999</v>
      </c>
      <c r="X3270">
        <v>0.91647659999999997</v>
      </c>
      <c r="Y3270">
        <v>4.9245610000000002E-2</v>
      </c>
      <c r="Z3270">
        <v>-4.5309490000000003E-3</v>
      </c>
      <c r="AA3270">
        <v>0.99877640000000001</v>
      </c>
      <c r="AB3270">
        <v>42</v>
      </c>
      <c r="AC3270">
        <v>0.37319999999999698</v>
      </c>
      <c r="AD3270">
        <v>-8.3404999999999896E-2</v>
      </c>
      <c r="AE3270">
        <v>-3.1900000000007298E-2</v>
      </c>
      <c r="AF3270">
        <v>3.6041074620959998E-2</v>
      </c>
      <c r="AG3270">
        <v>-8.3404999999999896E-2</v>
      </c>
      <c r="AH3270">
        <v>0.355041499292714</v>
      </c>
      <c r="AI3270">
        <v>103.154764740285</v>
      </c>
      <c r="AJ3270">
        <v>84.203629997574197</v>
      </c>
      <c r="AK3270">
        <v>0.36648304095121698</v>
      </c>
      <c r="AL3270">
        <v>67.265069520474896</v>
      </c>
      <c r="AM3270">
        <v>96.443429507797404</v>
      </c>
      <c r="AN3270">
        <v>1.00000000607698</v>
      </c>
    </row>
    <row r="3271" spans="1:40" x14ac:dyDescent="0.25">
      <c r="A3271" t="str">
        <f>"20190304164435295"</f>
        <v>20190304164435295</v>
      </c>
      <c r="B3271" t="str">
        <f>"1551689075283614"</f>
        <v>1551689075283614</v>
      </c>
      <c r="C3271" t="s">
        <v>40</v>
      </c>
      <c r="D3271">
        <v>4.6936289999999996</v>
      </c>
      <c r="E3271">
        <v>0.57893809999999901</v>
      </c>
      <c r="F3271" t="s">
        <v>41</v>
      </c>
      <c r="G3271">
        <v>-307.16640000000001</v>
      </c>
      <c r="H3271">
        <v>1.028718</v>
      </c>
      <c r="I3271">
        <v>214.26560000000001</v>
      </c>
      <c r="J3271">
        <v>-307.5016</v>
      </c>
      <c r="K3271">
        <v>1.109909</v>
      </c>
      <c r="L3271">
        <v>214.29730000000001</v>
      </c>
      <c r="M3271">
        <v>0.99978109999999998</v>
      </c>
      <c r="N3271">
        <v>-1.4373789999999999E-2</v>
      </c>
      <c r="O3271">
        <v>1.520696E-2</v>
      </c>
      <c r="P3271">
        <v>0.92019050000000002</v>
      </c>
      <c r="Q3271">
        <v>0.3730098</v>
      </c>
      <c r="R3271">
        <v>0.1187991</v>
      </c>
      <c r="S3271">
        <v>3.4260860000000002</v>
      </c>
      <c r="T3271">
        <v>-0.37174610000000002</v>
      </c>
      <c r="U3271">
        <v>-0.11648559999999999</v>
      </c>
      <c r="V3271">
        <v>-0.10406310000000001</v>
      </c>
      <c r="W3271">
        <v>0.38641910000000002</v>
      </c>
      <c r="X3271">
        <v>0.91643390000000002</v>
      </c>
      <c r="Y3271">
        <v>4.878449E-2</v>
      </c>
      <c r="Z3271">
        <v>-4.4168760000000001E-3</v>
      </c>
      <c r="AA3271">
        <v>0.99879960000000001</v>
      </c>
      <c r="AB3271">
        <v>42</v>
      </c>
      <c r="AC3271">
        <v>0.33519999999998601</v>
      </c>
      <c r="AD3271">
        <v>-8.1190999999999999E-2</v>
      </c>
      <c r="AE3271">
        <v>-3.17000000000007E-2</v>
      </c>
      <c r="AF3271">
        <v>3.4772266869410602E-2</v>
      </c>
      <c r="AG3271">
        <v>-8.1190999999999999E-2</v>
      </c>
      <c r="AH3271">
        <v>0.31628738417471602</v>
      </c>
      <c r="AI3271">
        <v>104.314304558426</v>
      </c>
      <c r="AJ3271">
        <v>83.726164073607904</v>
      </c>
      <c r="AK3271">
        <v>0.328388182510154</v>
      </c>
      <c r="AL3271">
        <v>67.268131293515495</v>
      </c>
      <c r="AM3271">
        <v>96.478313798392193</v>
      </c>
      <c r="AN3271">
        <v>0.99999997134781404</v>
      </c>
    </row>
    <row r="3272" spans="1:40" x14ac:dyDescent="0.25">
      <c r="A3272" t="str">
        <f>"20190304164435319"</f>
        <v>20190304164435319</v>
      </c>
      <c r="B3272" t="str">
        <f>"1551689075313869"</f>
        <v>1551689075313869</v>
      </c>
      <c r="C3272" t="s">
        <v>40</v>
      </c>
      <c r="D3272">
        <v>4.6876429999999996</v>
      </c>
      <c r="E3272">
        <v>0.58450269999999904</v>
      </c>
      <c r="F3272" t="s">
        <v>41</v>
      </c>
      <c r="G3272">
        <v>-306.4357</v>
      </c>
      <c r="H3272">
        <v>0.99436860000000005</v>
      </c>
      <c r="I3272">
        <v>214.26070000000001</v>
      </c>
      <c r="J3272">
        <v>-307.04919999999998</v>
      </c>
      <c r="K3272">
        <v>1.109918</v>
      </c>
      <c r="L3272">
        <v>214.30350000000001</v>
      </c>
      <c r="M3272">
        <v>0.99979200000000001</v>
      </c>
      <c r="N3272">
        <v>-1.437094E-2</v>
      </c>
      <c r="O3272">
        <v>1.4476360000000001E-2</v>
      </c>
      <c r="P3272">
        <v>0.92013219999999996</v>
      </c>
      <c r="Q3272">
        <v>0.37316290000000002</v>
      </c>
      <c r="R3272">
        <v>0.11876979999999999</v>
      </c>
      <c r="S3272">
        <v>3.4258419999999998</v>
      </c>
      <c r="T3272">
        <v>-0.37135079999999998</v>
      </c>
      <c r="U3272">
        <v>-0.1169891</v>
      </c>
      <c r="V3272">
        <v>-0.1047124</v>
      </c>
      <c r="W3272">
        <v>0.38656780000000002</v>
      </c>
      <c r="X3272">
        <v>0.91629729999999998</v>
      </c>
      <c r="Y3272">
        <v>4.8211459999999998E-2</v>
      </c>
      <c r="Z3272">
        <v>-4.3090480000000002E-3</v>
      </c>
      <c r="AA3272">
        <v>0.99882789999999999</v>
      </c>
      <c r="AB3272">
        <v>42</v>
      </c>
      <c r="AC3272">
        <v>0.61349999999998694</v>
      </c>
      <c r="AD3272">
        <v>-0.1155494</v>
      </c>
      <c r="AE3272">
        <v>-4.2799999999999699E-2</v>
      </c>
      <c r="AF3272">
        <v>4.99155649774028E-2</v>
      </c>
      <c r="AG3272">
        <v>-0.1155494</v>
      </c>
      <c r="AH3272">
        <v>0.59192015985343605</v>
      </c>
      <c r="AI3272">
        <v>101.00775114900399</v>
      </c>
      <c r="AJ3272">
        <v>85.179754119536994</v>
      </c>
      <c r="AK3272">
        <v>0.60515510665307104</v>
      </c>
      <c r="AL3272">
        <v>67.258895368147407</v>
      </c>
      <c r="AM3272">
        <v>96.519351698773704</v>
      </c>
      <c r="AN3272">
        <v>1.00000004634894</v>
      </c>
    </row>
    <row r="3273" spans="1:40" x14ac:dyDescent="0.25">
      <c r="A3273" t="str">
        <f>"20190304164435341"</f>
        <v>20190304164435341</v>
      </c>
      <c r="B3273" t="str">
        <f>"1551689075332923"</f>
        <v>1551689075332923</v>
      </c>
      <c r="C3273" t="s">
        <v>40</v>
      </c>
      <c r="D3273">
        <v>4.7011409999999998</v>
      </c>
      <c r="E3273">
        <v>0.5842714</v>
      </c>
      <c r="F3273" t="s">
        <v>41</v>
      </c>
      <c r="G3273">
        <v>-306.04199999999997</v>
      </c>
      <c r="H3273">
        <v>1.0350950000000001</v>
      </c>
      <c r="I3273">
        <v>214.25219999999999</v>
      </c>
      <c r="J3273">
        <v>-306.62479999999999</v>
      </c>
      <c r="K3273">
        <v>1.1099319999999999</v>
      </c>
      <c r="L3273">
        <v>214.309</v>
      </c>
      <c r="M3273">
        <v>0.99980150000000001</v>
      </c>
      <c r="N3273">
        <v>-1.4368260000000001E-2</v>
      </c>
      <c r="O3273">
        <v>1.3810289999999999E-2</v>
      </c>
      <c r="P3273">
        <v>0.92021819999999999</v>
      </c>
      <c r="Q3273">
        <v>0.3729383</v>
      </c>
      <c r="R3273">
        <v>0.1188102</v>
      </c>
      <c r="S3273">
        <v>3.3845519999999998</v>
      </c>
      <c r="T3273">
        <v>-0.25149310000000002</v>
      </c>
      <c r="U3273">
        <v>-0.1717072</v>
      </c>
      <c r="V3273">
        <v>-0.1053752</v>
      </c>
      <c r="W3273">
        <v>0.38633960000000001</v>
      </c>
      <c r="X3273">
        <v>0.91631750000000001</v>
      </c>
      <c r="Y3273">
        <v>6.4220920000000001E-2</v>
      </c>
      <c r="Z3273">
        <v>-3.6697499999999998E-3</v>
      </c>
      <c r="AA3273">
        <v>0.99792899999999995</v>
      </c>
      <c r="AB3273">
        <v>42</v>
      </c>
      <c r="AC3273">
        <v>0.58279999999996301</v>
      </c>
      <c r="AD3273">
        <v>-7.4836999999999806E-2</v>
      </c>
      <c r="AE3273">
        <v>-5.6800000000038098E-2</v>
      </c>
      <c r="AF3273">
        <v>6.3801919644884894E-2</v>
      </c>
      <c r="AG3273">
        <v>-7.4836999999999806E-2</v>
      </c>
      <c r="AH3273">
        <v>0.572607039200279</v>
      </c>
      <c r="AI3273">
        <v>97.400792428424893</v>
      </c>
      <c r="AJ3273">
        <v>83.642124695567105</v>
      </c>
      <c r="AK3273">
        <v>0.58099060479587905</v>
      </c>
      <c r="AL3273">
        <v>67.273070284469696</v>
      </c>
      <c r="AM3273">
        <v>96.560115403346799</v>
      </c>
      <c r="AN3273">
        <v>0.99999999005472495</v>
      </c>
    </row>
    <row r="3274" spans="1:40" x14ac:dyDescent="0.25">
      <c r="A3274" t="str">
        <f>"20190304164435362"</f>
        <v>20190304164435362</v>
      </c>
      <c r="B3274" t="str">
        <f>"1551689075353418"</f>
        <v>1551689075353418</v>
      </c>
      <c r="C3274" t="s">
        <v>40</v>
      </c>
      <c r="D3274">
        <v>4.7058239999999998</v>
      </c>
      <c r="E3274">
        <v>0.58430569999999904</v>
      </c>
      <c r="F3274" t="s">
        <v>41</v>
      </c>
      <c r="G3274">
        <v>-305.66789999999997</v>
      </c>
      <c r="H3274">
        <v>1.037439</v>
      </c>
      <c r="I3274">
        <v>214.26070000000001</v>
      </c>
      <c r="J3274">
        <v>-306.23829999999998</v>
      </c>
      <c r="K3274">
        <v>1.109944</v>
      </c>
      <c r="L3274">
        <v>214.31379999999999</v>
      </c>
      <c r="M3274">
        <v>0.99980939999999996</v>
      </c>
      <c r="N3274">
        <v>-1.436584E-2</v>
      </c>
      <c r="O3274">
        <v>1.322505E-2</v>
      </c>
      <c r="P3274">
        <v>0.9203576</v>
      </c>
      <c r="Q3274">
        <v>0.37259439999999999</v>
      </c>
      <c r="R3274">
        <v>0.118809</v>
      </c>
      <c r="S3274">
        <v>3.3860779999999999</v>
      </c>
      <c r="T3274">
        <v>-0.25658300000000001</v>
      </c>
      <c r="U3274">
        <v>-0.1699677</v>
      </c>
      <c r="V3274">
        <v>-0.1059249</v>
      </c>
      <c r="W3274">
        <v>0.38599159999999999</v>
      </c>
      <c r="X3274">
        <v>0.91640080000000002</v>
      </c>
      <c r="Y3274">
        <v>6.3098589999999996E-2</v>
      </c>
      <c r="Z3274">
        <v>-3.6505600000000002E-3</v>
      </c>
      <c r="AA3274">
        <v>0.99800060000000002</v>
      </c>
      <c r="AB3274">
        <v>42</v>
      </c>
      <c r="AC3274">
        <v>0.57040000000000601</v>
      </c>
      <c r="AD3274">
        <v>-7.2505E-2</v>
      </c>
      <c r="AE3274">
        <v>-5.30999999999721E-2</v>
      </c>
      <c r="AF3274">
        <v>5.96836427437843E-2</v>
      </c>
      <c r="AG3274">
        <v>-7.2505E-2</v>
      </c>
      <c r="AH3274">
        <v>0.56066658890540799</v>
      </c>
      <c r="AI3274">
        <v>97.327607607667801</v>
      </c>
      <c r="AJ3274">
        <v>83.923677403791302</v>
      </c>
      <c r="AK3274">
        <v>0.56847703221061996</v>
      </c>
      <c r="AL3274">
        <v>67.294686504654706</v>
      </c>
      <c r="AM3274">
        <v>96.593442161815304</v>
      </c>
      <c r="AN3274">
        <v>1.0000000129755999</v>
      </c>
    </row>
    <row r="3275" spans="1:40" x14ac:dyDescent="0.25">
      <c r="A3275" t="str">
        <f>"20190304164435384"</f>
        <v>20190304164435384</v>
      </c>
      <c r="B3275" t="str">
        <f>"1551689075372939"</f>
        <v>1551689075372939</v>
      </c>
      <c r="C3275" t="s">
        <v>40</v>
      </c>
      <c r="D3275">
        <v>4.7060300000000002</v>
      </c>
      <c r="E3275">
        <v>0.57845230000000003</v>
      </c>
      <c r="F3275" t="s">
        <v>41</v>
      </c>
      <c r="G3275">
        <v>-305.29480000000001</v>
      </c>
      <c r="H3275">
        <v>1.0379910000000001</v>
      </c>
      <c r="I3275">
        <v>214.26599999999999</v>
      </c>
      <c r="J3275">
        <v>-305.83109999999999</v>
      </c>
      <c r="K3275">
        <v>1.109969</v>
      </c>
      <c r="L3275">
        <v>214.31870000000001</v>
      </c>
      <c r="M3275">
        <v>0.99981699999999996</v>
      </c>
      <c r="N3275">
        <v>-1.4363249999999999E-2</v>
      </c>
      <c r="O3275">
        <v>1.264032E-2</v>
      </c>
      <c r="P3275">
        <v>0.92064760000000001</v>
      </c>
      <c r="Q3275">
        <v>0.37217729999999999</v>
      </c>
      <c r="R3275">
        <v>0.117866</v>
      </c>
      <c r="S3275">
        <v>3.3862920000000001</v>
      </c>
      <c r="T3275">
        <v>-0.25827499999999998</v>
      </c>
      <c r="U3275">
        <v>-0.17137149999999901</v>
      </c>
      <c r="V3275">
        <v>-0.1055383</v>
      </c>
      <c r="W3275">
        <v>0.38556980000000002</v>
      </c>
      <c r="X3275">
        <v>0.91662290000000002</v>
      </c>
      <c r="Y3275">
        <v>6.2923199999999999E-2</v>
      </c>
      <c r="Z3275">
        <v>-3.6284830000000001E-3</v>
      </c>
      <c r="AA3275">
        <v>0.9980118</v>
      </c>
      <c r="AB3275">
        <v>42</v>
      </c>
      <c r="AC3275">
        <v>0.53629999999998201</v>
      </c>
      <c r="AD3275">
        <v>-7.1978000000000097E-2</v>
      </c>
      <c r="AE3275">
        <v>-5.27000000000157E-2</v>
      </c>
      <c r="AF3275">
        <v>5.8433009105451801E-2</v>
      </c>
      <c r="AG3275">
        <v>-7.1978000000000097E-2</v>
      </c>
      <c r="AH3275">
        <v>0.52620313055418699</v>
      </c>
      <c r="AI3275">
        <v>97.741999875073901</v>
      </c>
      <c r="AJ3275">
        <v>83.6634658131387</v>
      </c>
      <c r="AK3275">
        <v>0.53430794832394601</v>
      </c>
      <c r="AL3275">
        <v>67.320880636304807</v>
      </c>
      <c r="AM3275">
        <v>96.568010536987998</v>
      </c>
      <c r="AN3275">
        <v>0.99999997212166902</v>
      </c>
    </row>
    <row r="3276" spans="1:40" x14ac:dyDescent="0.25">
      <c r="A3276" t="str">
        <f>"20190304164435407"</f>
        <v>20190304164435407</v>
      </c>
      <c r="B3276" t="str">
        <f>"1551689075403195"</f>
        <v>1551689075403195</v>
      </c>
      <c r="C3276" t="s">
        <v>40</v>
      </c>
      <c r="D3276">
        <v>4.6833429999999998</v>
      </c>
      <c r="E3276">
        <v>0.57887849999999996</v>
      </c>
      <c r="F3276" t="s">
        <v>41</v>
      </c>
      <c r="G3276">
        <v>-304.9357</v>
      </c>
      <c r="H3276">
        <v>1.0113179999999999</v>
      </c>
      <c r="I3276">
        <v>214.28819999999999</v>
      </c>
      <c r="J3276">
        <v>-305.40609999999998</v>
      </c>
      <c r="K3276">
        <v>1.110001</v>
      </c>
      <c r="L3276">
        <v>214.3236</v>
      </c>
      <c r="M3276">
        <v>0.99982400000000005</v>
      </c>
      <c r="N3276">
        <v>-1.4360380000000001E-2</v>
      </c>
      <c r="O3276">
        <v>1.2070829999999999E-2</v>
      </c>
      <c r="P3276">
        <v>0.92086489999999999</v>
      </c>
      <c r="Q3276">
        <v>0.37200549999999999</v>
      </c>
      <c r="R3276">
        <v>0.1167026</v>
      </c>
      <c r="S3276">
        <v>3.4260250000000001</v>
      </c>
      <c r="T3276">
        <v>-0.37752000000000002</v>
      </c>
      <c r="U3276">
        <v>-0.1161346</v>
      </c>
      <c r="V3276">
        <v>-0.1049258</v>
      </c>
      <c r="W3276">
        <v>0.38538840000000002</v>
      </c>
      <c r="X3276">
        <v>0.91676950000000001</v>
      </c>
      <c r="Y3276">
        <v>4.5574049999999998E-2</v>
      </c>
      <c r="Z3276">
        <v>-3.9840309999999999E-3</v>
      </c>
      <c r="AA3276">
        <v>0.99895299999999998</v>
      </c>
      <c r="AB3276">
        <v>42</v>
      </c>
      <c r="AC3276">
        <v>0.470399999999983</v>
      </c>
      <c r="AD3276">
        <v>-9.8683000000000007E-2</v>
      </c>
      <c r="AE3276">
        <v>-3.5400000000009799E-2</v>
      </c>
      <c r="AF3276">
        <v>3.93539172585168E-2</v>
      </c>
      <c r="AG3276">
        <v>-9.8683000000000007E-2</v>
      </c>
      <c r="AH3276">
        <v>0.45023516615762099</v>
      </c>
      <c r="AI3276">
        <v>102.317131815278</v>
      </c>
      <c r="AJ3276">
        <v>85.004616680800297</v>
      </c>
      <c r="AK3276">
        <v>0.46260001095716602</v>
      </c>
      <c r="AL3276">
        <v>67.332144780060503</v>
      </c>
      <c r="AM3276">
        <v>96.529187528333296</v>
      </c>
      <c r="AN3276">
        <v>0.99999997924522399</v>
      </c>
    </row>
    <row r="3277" spans="1:40" x14ac:dyDescent="0.25">
      <c r="A3277" t="str">
        <f>"20190304164435430"</f>
        <v>20190304164435430</v>
      </c>
      <c r="B3277" t="str">
        <f>"1551689075423691"</f>
        <v>1551689075423691</v>
      </c>
      <c r="C3277" t="s">
        <v>40</v>
      </c>
      <c r="D3277">
        <v>4.7138939999999998</v>
      </c>
      <c r="E3277">
        <v>0.57849030000000001</v>
      </c>
      <c r="F3277" t="s">
        <v>41</v>
      </c>
      <c r="G3277">
        <v>-304.56040000000002</v>
      </c>
      <c r="H3277">
        <v>1.017447</v>
      </c>
      <c r="I3277">
        <v>214.29320000000001</v>
      </c>
      <c r="J3277">
        <v>-304.97519999999997</v>
      </c>
      <c r="K3277">
        <v>1.110039</v>
      </c>
      <c r="L3277">
        <v>214.32830000000001</v>
      </c>
      <c r="M3277">
        <v>0.99983040000000001</v>
      </c>
      <c r="N3277">
        <v>-1.435759E-2</v>
      </c>
      <c r="O3277">
        <v>1.1540170000000001E-2</v>
      </c>
      <c r="P3277">
        <v>0.92161159999999998</v>
      </c>
      <c r="Q3277">
        <v>0.37047859999999999</v>
      </c>
      <c r="R3277">
        <v>0.1156639</v>
      </c>
      <c r="S3277">
        <v>3.4248660000000002</v>
      </c>
      <c r="T3277">
        <v>-0.37492439999999999</v>
      </c>
      <c r="U3277">
        <v>-0.1230164</v>
      </c>
      <c r="V3277">
        <v>-0.1044055</v>
      </c>
      <c r="W3277">
        <v>0.38385849999999999</v>
      </c>
      <c r="X3277">
        <v>0.91747049999999997</v>
      </c>
      <c r="Y3277">
        <v>4.7057109999999999E-2</v>
      </c>
      <c r="Z3277">
        <v>-4.0002739999999998E-3</v>
      </c>
      <c r="AA3277">
        <v>0.9988842</v>
      </c>
      <c r="AB3277">
        <v>42</v>
      </c>
      <c r="AC3277">
        <v>0.41479999999995598</v>
      </c>
      <c r="AD3277">
        <v>-9.2591999999999994E-2</v>
      </c>
      <c r="AE3277">
        <v>-3.5099999999999902E-2</v>
      </c>
      <c r="AF3277">
        <v>3.8004795547036799E-2</v>
      </c>
      <c r="AG3277">
        <v>-9.2591999999999994E-2</v>
      </c>
      <c r="AH3277">
        <v>0.39483355586866897</v>
      </c>
      <c r="AI3277">
        <v>103.139278271032</v>
      </c>
      <c r="AJ3277">
        <v>84.5019197290232</v>
      </c>
      <c r="AK3277">
        <v>0.40732196084727501</v>
      </c>
      <c r="AL3277">
        <v>67.427106886631407</v>
      </c>
      <c r="AM3277">
        <v>96.492166730917702</v>
      </c>
      <c r="AN3277">
        <v>0.99999998741137497</v>
      </c>
    </row>
    <row r="3278" spans="1:40" x14ac:dyDescent="0.25">
      <c r="A3278" t="str">
        <f>"20190304164435452"</f>
        <v>20190304164435452</v>
      </c>
      <c r="B3278" t="str">
        <f>"1551689075443210"</f>
        <v>1551689075443210</v>
      </c>
      <c r="C3278" t="s">
        <v>40</v>
      </c>
      <c r="D3278">
        <v>4.69679</v>
      </c>
      <c r="E3278">
        <v>0.57101400000000002</v>
      </c>
      <c r="F3278" t="s">
        <v>41</v>
      </c>
      <c r="G3278">
        <v>-304.1859</v>
      </c>
      <c r="H3278">
        <v>1.0228729999999999</v>
      </c>
      <c r="I3278">
        <v>214.29949999999999</v>
      </c>
      <c r="J3278">
        <v>-304.56110000000001</v>
      </c>
      <c r="K3278">
        <v>1.110077</v>
      </c>
      <c r="L3278">
        <v>214.33269999999999</v>
      </c>
      <c r="M3278">
        <v>0.99983560000000005</v>
      </c>
      <c r="N3278">
        <v>-1.435491E-2</v>
      </c>
      <c r="O3278">
        <v>1.107855E-2</v>
      </c>
      <c r="P3278">
        <v>0.92214490000000005</v>
      </c>
      <c r="Q3278">
        <v>0.36944300000000002</v>
      </c>
      <c r="R3278">
        <v>0.1147193</v>
      </c>
      <c r="S3278">
        <v>3.4227910000000001</v>
      </c>
      <c r="T3278">
        <v>-0.37812839999999998</v>
      </c>
      <c r="U3278">
        <v>-0.1244049</v>
      </c>
      <c r="V3278">
        <v>-0.10392079999999999</v>
      </c>
      <c r="W3278">
        <v>0.3828165</v>
      </c>
      <c r="X3278">
        <v>0.91796080000000002</v>
      </c>
      <c r="Y3278">
        <v>4.7018160000000003E-2</v>
      </c>
      <c r="Z3278">
        <v>-3.9884250000000003E-3</v>
      </c>
      <c r="AA3278">
        <v>0.99888600000000005</v>
      </c>
      <c r="AB3278">
        <v>42</v>
      </c>
      <c r="AC3278">
        <v>0.37520000000000597</v>
      </c>
      <c r="AD3278">
        <v>-8.7204000000000004E-2</v>
      </c>
      <c r="AE3278">
        <v>-3.3199999999993603E-2</v>
      </c>
      <c r="AF3278">
        <v>3.5454711002107502E-2</v>
      </c>
      <c r="AG3278">
        <v>-8.7204000000000004E-2</v>
      </c>
      <c r="AH3278">
        <v>0.35574158688971602</v>
      </c>
      <c r="AI3278">
        <v>103.708156216872</v>
      </c>
      <c r="AJ3278">
        <v>84.308455274975998</v>
      </c>
      <c r="AK3278">
        <v>0.36798593830614801</v>
      </c>
      <c r="AL3278">
        <v>67.491747787744401</v>
      </c>
      <c r="AM3278">
        <v>96.458860098693407</v>
      </c>
      <c r="AN3278">
        <v>1.00000001784076</v>
      </c>
    </row>
    <row r="3279" spans="1:40" x14ac:dyDescent="0.25">
      <c r="A3279" t="str">
        <f>"20190304164435475"</f>
        <v>20190304164435475</v>
      </c>
      <c r="B3279" t="str">
        <f>"1551689075463707"</f>
        <v>1551689075463707</v>
      </c>
      <c r="C3279" t="s">
        <v>40</v>
      </c>
      <c r="D3279">
        <v>4.6850870000000002</v>
      </c>
      <c r="E3279">
        <v>0.57070580000000004</v>
      </c>
      <c r="F3279" t="s">
        <v>41</v>
      </c>
      <c r="G3279">
        <v>-303.81079999999997</v>
      </c>
      <c r="H3279">
        <v>1.0297689999999999</v>
      </c>
      <c r="I3279">
        <v>214.31659999999999</v>
      </c>
      <c r="J3279">
        <v>-304.15929999999997</v>
      </c>
      <c r="K3279">
        <v>1.1101110000000001</v>
      </c>
      <c r="L3279">
        <v>214.33670000000001</v>
      </c>
      <c r="M3279">
        <v>0.99983999999999995</v>
      </c>
      <c r="N3279">
        <v>-1.435229E-2</v>
      </c>
      <c r="O3279">
        <v>1.0674980000000001E-2</v>
      </c>
      <c r="P3279">
        <v>0.9226702</v>
      </c>
      <c r="Q3279">
        <v>0.3682782</v>
      </c>
      <c r="R3279">
        <v>0.114241</v>
      </c>
      <c r="S3279">
        <v>3.4085390000000002</v>
      </c>
      <c r="T3279">
        <v>-0.36497499999999999</v>
      </c>
      <c r="U3279">
        <v>-7.2341920000000004E-2</v>
      </c>
      <c r="V3279">
        <v>-0.1038506</v>
      </c>
      <c r="W3279">
        <v>0.38164480000000001</v>
      </c>
      <c r="X3279">
        <v>0.91845639999999995</v>
      </c>
      <c r="Y3279">
        <v>3.1640499999999898E-2</v>
      </c>
      <c r="Z3279">
        <v>-2.9036420000000001E-3</v>
      </c>
      <c r="AA3279">
        <v>0.99949509999999997</v>
      </c>
      <c r="AB3279">
        <v>42</v>
      </c>
      <c r="AC3279">
        <v>0.34850000000000098</v>
      </c>
      <c r="AD3279">
        <v>-8.03419999999999E-2</v>
      </c>
      <c r="AE3279">
        <v>-2.0100000000013499E-2</v>
      </c>
      <c r="AF3279">
        <v>2.2621202606209301E-2</v>
      </c>
      <c r="AG3279">
        <v>-8.03419999999999E-2</v>
      </c>
      <c r="AH3279">
        <v>0.33074565136126999</v>
      </c>
      <c r="AI3279">
        <v>103.622737516717</v>
      </c>
      <c r="AJ3279">
        <v>86.087373746238796</v>
      </c>
      <c r="AK3279">
        <v>0.34111470455807302</v>
      </c>
      <c r="AL3279">
        <v>67.564395706842305</v>
      </c>
      <c r="AM3279">
        <v>96.451080372988798</v>
      </c>
      <c r="AN3279">
        <v>0.99999992959417705</v>
      </c>
    </row>
    <row r="3280" spans="1:40" x14ac:dyDescent="0.25">
      <c r="A3280" t="str">
        <f>"20190304164435496"</f>
        <v>20190304164435496</v>
      </c>
      <c r="B3280" t="str">
        <f>"1551689075492986"</f>
        <v>1551689075492986</v>
      </c>
      <c r="C3280" t="s">
        <v>40</v>
      </c>
      <c r="D3280">
        <v>4.6568559999999897</v>
      </c>
      <c r="E3280">
        <v>0.57057150000000001</v>
      </c>
      <c r="F3280" t="s">
        <v>41</v>
      </c>
      <c r="G3280">
        <v>-303.08659999999998</v>
      </c>
      <c r="H3280">
        <v>0.9932261</v>
      </c>
      <c r="I3280">
        <v>214.3134</v>
      </c>
      <c r="J3280">
        <v>-303.74029999999999</v>
      </c>
      <c r="K3280">
        <v>1.1101430000000001</v>
      </c>
      <c r="L3280">
        <v>214.3409</v>
      </c>
      <c r="M3280">
        <v>0.99984410000000001</v>
      </c>
      <c r="N3280">
        <v>-1.4349580000000001E-2</v>
      </c>
      <c r="O3280">
        <v>1.0295169999999999E-2</v>
      </c>
      <c r="P3280">
        <v>0.9231336</v>
      </c>
      <c r="Q3280">
        <v>0.36707060000000002</v>
      </c>
      <c r="R3280">
        <v>0.1143836</v>
      </c>
      <c r="S3280">
        <v>3.4087519999999998</v>
      </c>
      <c r="T3280">
        <v>-0.3714401</v>
      </c>
      <c r="U3280">
        <v>-7.3593140000000001E-2</v>
      </c>
      <c r="V3280">
        <v>-0.1043795</v>
      </c>
      <c r="W3280">
        <v>0.38043159999999998</v>
      </c>
      <c r="X3280">
        <v>0.91889980000000004</v>
      </c>
      <c r="Y3280">
        <v>3.1619309999999998E-2</v>
      </c>
      <c r="Z3280">
        <v>-2.9161650000000001E-3</v>
      </c>
      <c r="AA3280">
        <v>0.99949569999999999</v>
      </c>
      <c r="AB3280">
        <v>42</v>
      </c>
      <c r="AC3280">
        <v>0.65370000000001405</v>
      </c>
      <c r="AD3280">
        <v>-0.1169169</v>
      </c>
      <c r="AE3280">
        <v>-2.75000000000034E-2</v>
      </c>
      <c r="AF3280">
        <v>3.3169994480895602E-2</v>
      </c>
      <c r="AG3280">
        <v>-0.1169169</v>
      </c>
      <c r="AH3280">
        <v>0.63316384772128698</v>
      </c>
      <c r="AI3280">
        <v>100.448095382707</v>
      </c>
      <c r="AJ3280">
        <v>87.001147599191498</v>
      </c>
      <c r="AK3280">
        <v>0.644721853283025</v>
      </c>
      <c r="AL3280">
        <v>67.639581956837006</v>
      </c>
      <c r="AM3280">
        <v>96.4805540125937</v>
      </c>
      <c r="AN3280">
        <v>1.0000000623694201</v>
      </c>
    </row>
    <row r="3281" spans="1:40" x14ac:dyDescent="0.25">
      <c r="A3281" t="str">
        <f>"20190304164435520"</f>
        <v>20190304164435520</v>
      </c>
      <c r="B3281" t="str">
        <f>"1551689075513483"</f>
        <v>1551689075513483</v>
      </c>
      <c r="C3281" t="s">
        <v>40</v>
      </c>
      <c r="D3281">
        <v>4.6584620000000001</v>
      </c>
      <c r="E3281">
        <v>0.57052959999999997</v>
      </c>
      <c r="F3281" t="s">
        <v>41</v>
      </c>
      <c r="G3281">
        <v>-302.71420000000001</v>
      </c>
      <c r="H3281">
        <v>0.99640260000000003</v>
      </c>
      <c r="I3281">
        <v>214.3186</v>
      </c>
      <c r="J3281">
        <v>-303.31060000000002</v>
      </c>
      <c r="K3281">
        <v>1.1101760000000001</v>
      </c>
      <c r="L3281">
        <v>214.3449</v>
      </c>
      <c r="M3281">
        <v>0.99984779999999995</v>
      </c>
      <c r="N3281">
        <v>-1.434683E-2</v>
      </c>
      <c r="O3281">
        <v>9.9359589999999994E-3</v>
      </c>
      <c r="P3281">
        <v>0.92375759999999996</v>
      </c>
      <c r="Q3281">
        <v>0.36529800000000001</v>
      </c>
      <c r="R3281">
        <v>0.1150197</v>
      </c>
      <c r="S3281">
        <v>3.4092099999999999</v>
      </c>
      <c r="T3281">
        <v>-0.37801659999999998</v>
      </c>
      <c r="U3281">
        <v>-7.3379520000000004E-2</v>
      </c>
      <c r="V3281">
        <v>-0.1053777</v>
      </c>
      <c r="W3281">
        <v>0.3786563</v>
      </c>
      <c r="X3281">
        <v>0.91951879999999997</v>
      </c>
      <c r="Y3281">
        <v>3.1190450000000002E-2</v>
      </c>
      <c r="Z3281">
        <v>-2.904359E-3</v>
      </c>
      <c r="AA3281">
        <v>0.99950919999999999</v>
      </c>
      <c r="AB3281">
        <v>41</v>
      </c>
      <c r="AC3281">
        <v>0.59640000000001603</v>
      </c>
      <c r="AD3281">
        <v>-0.1137734</v>
      </c>
      <c r="AE3281">
        <v>-2.6299999999992E-2</v>
      </c>
      <c r="AF3281">
        <v>3.10956785357079E-2</v>
      </c>
      <c r="AG3281">
        <v>-0.1137734</v>
      </c>
      <c r="AH3281">
        <v>0.57521654574122605</v>
      </c>
      <c r="AI3281">
        <v>101.172352041151</v>
      </c>
      <c r="AJ3281">
        <v>86.905654688260796</v>
      </c>
      <c r="AK3281">
        <v>0.58718430008441502</v>
      </c>
      <c r="AL3281">
        <v>67.749522958622805</v>
      </c>
      <c r="AM3281">
        <v>96.537628203473602</v>
      </c>
      <c r="AN3281">
        <v>0.99999993837020795</v>
      </c>
    </row>
    <row r="3282" spans="1:40" x14ac:dyDescent="0.25">
      <c r="A3282" t="str">
        <f>"20190304164435542"</f>
        <v>20190304164435542</v>
      </c>
      <c r="B3282" t="str">
        <f>"1551689075533003"</f>
        <v>1551689075533003</v>
      </c>
      <c r="C3282" t="s">
        <v>40</v>
      </c>
      <c r="D3282">
        <v>4.6555249999999999</v>
      </c>
      <c r="E3282">
        <v>0.57052340000000001</v>
      </c>
      <c r="F3282" t="s">
        <v>41</v>
      </c>
      <c r="G3282">
        <v>-302.34129999999999</v>
      </c>
      <c r="H3282">
        <v>1.0013729999999901</v>
      </c>
      <c r="I3282">
        <v>214.32419999999999</v>
      </c>
      <c r="J3282">
        <v>-302.89870000000002</v>
      </c>
      <c r="K3282">
        <v>1.1101939999999999</v>
      </c>
      <c r="L3282">
        <v>214.34870000000001</v>
      </c>
      <c r="M3282">
        <v>0.99985089999999999</v>
      </c>
      <c r="N3282">
        <v>-1.434419E-2</v>
      </c>
      <c r="O3282">
        <v>9.6125959999999993E-3</v>
      </c>
      <c r="P3282">
        <v>0.92406840000000001</v>
      </c>
      <c r="Q3282">
        <v>0.36420590000000003</v>
      </c>
      <c r="R3282">
        <v>0.1159819</v>
      </c>
      <c r="S3282">
        <v>3.4079280000000001</v>
      </c>
      <c r="T3282">
        <v>-0.38252779999999997</v>
      </c>
      <c r="U3282">
        <v>-7.2738650000000002E-2</v>
      </c>
      <c r="V3282">
        <v>-0.1066643</v>
      </c>
      <c r="W3282">
        <v>0.37756030000000002</v>
      </c>
      <c r="X3282">
        <v>0.91982109999999995</v>
      </c>
      <c r="Y3282">
        <v>3.068618E-2</v>
      </c>
      <c r="Z3282">
        <v>-2.875519E-3</v>
      </c>
      <c r="AA3282">
        <v>0.999525</v>
      </c>
      <c r="AB3282">
        <v>41</v>
      </c>
      <c r="AC3282">
        <v>0.55740000000002898</v>
      </c>
      <c r="AD3282">
        <v>-0.108821</v>
      </c>
      <c r="AE3282">
        <v>-2.4500000000017501E-2</v>
      </c>
      <c r="AF3282">
        <v>2.87632924063689E-2</v>
      </c>
      <c r="AG3282">
        <v>-0.108821</v>
      </c>
      <c r="AH3282">
        <v>0.53672123334735</v>
      </c>
      <c r="AI3282">
        <v>101.445444905922</v>
      </c>
      <c r="AJ3282">
        <v>86.9324107412925</v>
      </c>
      <c r="AK3282">
        <v>0.54839677183308999</v>
      </c>
      <c r="AL3282">
        <v>67.817355270121297</v>
      </c>
      <c r="AM3282">
        <v>96.614589901203999</v>
      </c>
      <c r="AN3282">
        <v>0.99999995451789303</v>
      </c>
    </row>
    <row r="3283" spans="1:40" x14ac:dyDescent="0.25">
      <c r="A3283" t="str">
        <f>"20190304164435564"</f>
        <v>20190304164435564</v>
      </c>
      <c r="B3283" t="str">
        <f>"1551689075553500"</f>
        <v>1551689075553500</v>
      </c>
      <c r="C3283" t="s">
        <v>40</v>
      </c>
      <c r="D3283">
        <v>4.6330470000000004</v>
      </c>
      <c r="E3283">
        <v>0.57057089999999999</v>
      </c>
      <c r="F3283" t="s">
        <v>41</v>
      </c>
      <c r="G3283">
        <v>-301.9692</v>
      </c>
      <c r="H3283">
        <v>1.005449</v>
      </c>
      <c r="I3283">
        <v>214.32919999999999</v>
      </c>
      <c r="J3283">
        <v>-302.49419999999998</v>
      </c>
      <c r="K3283">
        <v>1.1102160000000001</v>
      </c>
      <c r="L3283">
        <v>214.35230000000001</v>
      </c>
      <c r="M3283">
        <v>0.99985380000000001</v>
      </c>
      <c r="N3283">
        <v>-1.4341629999999999E-2</v>
      </c>
      <c r="O3283">
        <v>9.3081870000000008E-3</v>
      </c>
      <c r="P3283">
        <v>0.92444660000000001</v>
      </c>
      <c r="Q3283">
        <v>0.36297089999999999</v>
      </c>
      <c r="R3283">
        <v>0.11683590000000001</v>
      </c>
      <c r="S3283">
        <v>3.4066770000000002</v>
      </c>
      <c r="T3283">
        <v>-0.38397720000000002</v>
      </c>
      <c r="U3283">
        <v>-7.0037840000000004E-2</v>
      </c>
      <c r="V3283">
        <v>-0.107818899999999</v>
      </c>
      <c r="W3283">
        <v>0.37632320000000002</v>
      </c>
      <c r="X3283">
        <v>0.92019340000000005</v>
      </c>
      <c r="Y3283">
        <v>2.9604660000000001E-2</v>
      </c>
      <c r="Z3283">
        <v>-2.7886849999999999E-3</v>
      </c>
      <c r="AA3283">
        <v>0.99955780000000005</v>
      </c>
      <c r="AB3283">
        <v>41</v>
      </c>
      <c r="AC3283">
        <v>0.52499999999997704</v>
      </c>
      <c r="AD3283">
        <v>-0.104767</v>
      </c>
      <c r="AE3283">
        <v>-2.31000000000278E-2</v>
      </c>
      <c r="AF3283">
        <v>2.6916484787753801E-2</v>
      </c>
      <c r="AG3283">
        <v>-0.104767</v>
      </c>
      <c r="AH3283">
        <v>0.50470244515898999</v>
      </c>
      <c r="AI3283">
        <v>101.710827883268</v>
      </c>
      <c r="AJ3283">
        <v>86.947228304661706</v>
      </c>
      <c r="AK3283">
        <v>0.51616390768029596</v>
      </c>
      <c r="AL3283">
        <v>67.893881220329405</v>
      </c>
      <c r="AM3283">
        <v>96.682865143903499</v>
      </c>
      <c r="AN3283">
        <v>0.99999997972950405</v>
      </c>
    </row>
    <row r="3284" spans="1:40" x14ac:dyDescent="0.25">
      <c r="A3284" t="str">
        <f>"20190304164435585"</f>
        <v>20190304164435585</v>
      </c>
      <c r="B3284" t="str">
        <f>"1551689075573019"</f>
        <v>1551689075573019</v>
      </c>
      <c r="C3284" t="s">
        <v>40</v>
      </c>
      <c r="D3284">
        <v>4.6242320000000001</v>
      </c>
      <c r="E3284">
        <v>0.57095989999999996</v>
      </c>
      <c r="F3284" t="s">
        <v>41</v>
      </c>
      <c r="G3284">
        <v>-301.59780000000001</v>
      </c>
      <c r="H3284">
        <v>1.008386</v>
      </c>
      <c r="I3284">
        <v>214.33439999999999</v>
      </c>
      <c r="J3284">
        <v>-302.09460000000001</v>
      </c>
      <c r="K3284">
        <v>1.1102339999999999</v>
      </c>
      <c r="L3284">
        <v>214.35579999999999</v>
      </c>
      <c r="M3284">
        <v>0.99985670000000004</v>
      </c>
      <c r="N3284">
        <v>-1.433911E-2</v>
      </c>
      <c r="O3284">
        <v>9.0145980000000004E-3</v>
      </c>
      <c r="P3284">
        <v>0.92479210000000001</v>
      </c>
      <c r="Q3284">
        <v>0.36192629999999998</v>
      </c>
      <c r="R3284">
        <v>0.117340899999999</v>
      </c>
      <c r="S3284">
        <v>3.4056700000000002</v>
      </c>
      <c r="T3284">
        <v>-0.38694420000000002</v>
      </c>
      <c r="U3284">
        <v>-6.767273E-2</v>
      </c>
      <c r="V3284">
        <v>-0.1086106</v>
      </c>
      <c r="W3284">
        <v>0.37527729999999998</v>
      </c>
      <c r="X3284">
        <v>0.9205274</v>
      </c>
      <c r="Y3284">
        <v>2.8627840000000002E-2</v>
      </c>
      <c r="Z3284">
        <v>-2.7189150000000001E-3</v>
      </c>
      <c r="AA3284">
        <v>0.99958650000000004</v>
      </c>
      <c r="AB3284">
        <v>41</v>
      </c>
      <c r="AC3284">
        <v>0.49680000000000701</v>
      </c>
      <c r="AD3284">
        <v>-0.10184799999999899</v>
      </c>
      <c r="AE3284">
        <v>-2.1399999999999801E-2</v>
      </c>
      <c r="AF3284">
        <v>2.4836154263935602E-2</v>
      </c>
      <c r="AG3284">
        <v>-0.10184799999999899</v>
      </c>
      <c r="AH3284">
        <v>0.47659355781871798</v>
      </c>
      <c r="AI3284">
        <v>102.046794770613</v>
      </c>
      <c r="AJ3284">
        <v>87.016911443957397</v>
      </c>
      <c r="AK3284">
        <v>0.48798695578562901</v>
      </c>
      <c r="AL3284">
        <v>67.958547395041904</v>
      </c>
      <c r="AM3284">
        <v>96.729067826070306</v>
      </c>
      <c r="AN3284">
        <v>1.0000000042392001</v>
      </c>
    </row>
    <row r="3285" spans="1:40" x14ac:dyDescent="0.25">
      <c r="A3285" t="str">
        <f>"20190304164435609"</f>
        <v>20190304164435609</v>
      </c>
      <c r="B3285" t="str">
        <f>"1551689075603275"</f>
        <v>1551689075603275</v>
      </c>
      <c r="C3285" t="s">
        <v>40</v>
      </c>
      <c r="D3285">
        <v>4.6152490000000004</v>
      </c>
      <c r="E3285">
        <v>0.57093950000000004</v>
      </c>
      <c r="F3285" t="s">
        <v>41</v>
      </c>
      <c r="G3285">
        <v>-301.22480000000002</v>
      </c>
      <c r="H3285">
        <v>1.0154000000000001</v>
      </c>
      <c r="I3285">
        <v>214.3374</v>
      </c>
      <c r="J3285">
        <v>-301.67590000000001</v>
      </c>
      <c r="K3285">
        <v>1.110239</v>
      </c>
      <c r="L3285">
        <v>214.35919999999999</v>
      </c>
      <c r="M3285">
        <v>0.99985930000000001</v>
      </c>
      <c r="N3285">
        <v>-1.433649E-2</v>
      </c>
      <c r="O3285">
        <v>8.7101169999999999E-3</v>
      </c>
      <c r="P3285">
        <v>0.92496339999999999</v>
      </c>
      <c r="Q3285">
        <v>0.3614385</v>
      </c>
      <c r="R3285">
        <v>0.117495</v>
      </c>
      <c r="S3285">
        <v>3.39798</v>
      </c>
      <c r="T3285">
        <v>-0.37053439999999999</v>
      </c>
      <c r="U3285">
        <v>-7.0739750000000004E-2</v>
      </c>
      <c r="V3285">
        <v>-0.109060199999999</v>
      </c>
      <c r="W3285">
        <v>0.37478479999999997</v>
      </c>
      <c r="X3285">
        <v>0.92067489999999996</v>
      </c>
      <c r="Y3285">
        <v>2.9286570000000001E-2</v>
      </c>
      <c r="Z3285">
        <v>-2.6249229999999999E-3</v>
      </c>
      <c r="AA3285">
        <v>0.9995676</v>
      </c>
      <c r="AB3285">
        <v>41</v>
      </c>
      <c r="AC3285">
        <v>0.451099999999996</v>
      </c>
      <c r="AD3285">
        <v>-9.4838999999999896E-2</v>
      </c>
      <c r="AE3285">
        <v>-2.17999999999847E-2</v>
      </c>
      <c r="AF3285">
        <v>2.46420543988893E-2</v>
      </c>
      <c r="AG3285">
        <v>-9.4838999999999896E-2</v>
      </c>
      <c r="AH3285">
        <v>0.43184944961903599</v>
      </c>
      <c r="AI3285">
        <v>102.366675303438</v>
      </c>
      <c r="AJ3285">
        <v>86.734148161086594</v>
      </c>
      <c r="AK3285">
        <v>0.442826844152726</v>
      </c>
      <c r="AL3285">
        <v>67.988987730776103</v>
      </c>
      <c r="AM3285">
        <v>96.755593721928193</v>
      </c>
      <c r="AN3285">
        <v>1.0000000225125401</v>
      </c>
    </row>
    <row r="3286" spans="1:40" x14ac:dyDescent="0.25">
      <c r="A3286" t="str">
        <f>"20190304164435631"</f>
        <v>20190304164435631</v>
      </c>
      <c r="B3286" t="str">
        <f>"1551689075623771"</f>
        <v>1551689075623771</v>
      </c>
      <c r="C3286" t="s">
        <v>40</v>
      </c>
      <c r="D3286">
        <v>4.6112099999999998</v>
      </c>
      <c r="E3286">
        <v>0.57097229999999999</v>
      </c>
      <c r="F3286" t="s">
        <v>41</v>
      </c>
      <c r="G3286">
        <v>-300.85289999999998</v>
      </c>
      <c r="H3286">
        <v>1.0205799999999901</v>
      </c>
      <c r="I3286">
        <v>214.34209999999999</v>
      </c>
      <c r="J3286">
        <v>-301.25479999999999</v>
      </c>
      <c r="K3286">
        <v>1.110252</v>
      </c>
      <c r="L3286">
        <v>214.36259999999999</v>
      </c>
      <c r="M3286">
        <v>0.99986209999999998</v>
      </c>
      <c r="N3286">
        <v>-1.433385E-2</v>
      </c>
      <c r="O3286">
        <v>8.4039189999999993E-3</v>
      </c>
      <c r="P3286">
        <v>0.92525849999999998</v>
      </c>
      <c r="Q3286">
        <v>0.3608498</v>
      </c>
      <c r="R3286">
        <v>0.11697979999999999</v>
      </c>
      <c r="S3286">
        <v>3.3969119999999999</v>
      </c>
      <c r="T3286">
        <v>-0.37003829999999999</v>
      </c>
      <c r="U3286">
        <v>-7.049561E-2</v>
      </c>
      <c r="V3286">
        <v>-0.1088388</v>
      </c>
      <c r="W3286">
        <v>0.37419360000000002</v>
      </c>
      <c r="X3286">
        <v>0.92094149999999997</v>
      </c>
      <c r="Y3286">
        <v>2.8919480000000001E-2</v>
      </c>
      <c r="Z3286">
        <v>-2.5708699999999998E-3</v>
      </c>
      <c r="AA3286">
        <v>0.99957839999999998</v>
      </c>
      <c r="AB3286">
        <v>41</v>
      </c>
      <c r="AC3286">
        <v>0.40190000000001103</v>
      </c>
      <c r="AD3286">
        <v>-8.9672000000000196E-2</v>
      </c>
      <c r="AE3286">
        <v>-2.0499999999998401E-2</v>
      </c>
      <c r="AF3286">
        <v>2.2747658298208899E-2</v>
      </c>
      <c r="AG3286">
        <v>-8.9672000000000196E-2</v>
      </c>
      <c r="AH3286">
        <v>0.382710613174092</v>
      </c>
      <c r="AI3286">
        <v>103.164526401535</v>
      </c>
      <c r="AJ3286">
        <v>86.598439790114</v>
      </c>
      <c r="AK3286">
        <v>0.39373333231787899</v>
      </c>
      <c r="AL3286">
        <v>68.025518616212494</v>
      </c>
      <c r="AM3286">
        <v>96.740071995085202</v>
      </c>
      <c r="AN3286">
        <v>0.99999999054432498</v>
      </c>
    </row>
    <row r="3287" spans="1:40" x14ac:dyDescent="0.25">
      <c r="A3287" t="str">
        <f>"20190304164435652"</f>
        <v>20190304164435652</v>
      </c>
      <c r="B3287" t="str">
        <f>"1551689075643291"</f>
        <v>1551689075643291</v>
      </c>
      <c r="C3287" t="s">
        <v>40</v>
      </c>
      <c r="D3287">
        <v>4.6155339999999896</v>
      </c>
      <c r="E3287">
        <v>0.57108359999999903</v>
      </c>
      <c r="F3287" t="s">
        <v>41</v>
      </c>
      <c r="G3287">
        <v>-300.48140000000001</v>
      </c>
      <c r="H3287">
        <v>1.025633</v>
      </c>
      <c r="I3287">
        <v>214.3458</v>
      </c>
      <c r="J3287">
        <v>-300.86709999999999</v>
      </c>
      <c r="K3287">
        <v>1.110266</v>
      </c>
      <c r="L3287">
        <v>214.3656</v>
      </c>
      <c r="M3287">
        <v>0.99986439999999999</v>
      </c>
      <c r="N3287">
        <v>-1.4331429999999999E-2</v>
      </c>
      <c r="O3287">
        <v>8.1212599999999999E-3</v>
      </c>
      <c r="P3287">
        <v>0.92540639999999996</v>
      </c>
      <c r="Q3287">
        <v>0.3606954</v>
      </c>
      <c r="R3287">
        <v>0.11628529999999999</v>
      </c>
      <c r="S3287">
        <v>3.396515</v>
      </c>
      <c r="T3287">
        <v>-0.37178349999999999</v>
      </c>
      <c r="U3287">
        <v>-7.2586059999999994E-2</v>
      </c>
      <c r="V3287">
        <v>-0.1084146</v>
      </c>
      <c r="W3287">
        <v>0.37403579999999997</v>
      </c>
      <c r="X3287">
        <v>0.92105559999999997</v>
      </c>
      <c r="Y3287">
        <v>2.9251119999999999E-2</v>
      </c>
      <c r="Z3287">
        <v>-2.5764579999999998E-3</v>
      </c>
      <c r="AA3287">
        <v>0.99956880000000004</v>
      </c>
      <c r="AB3287">
        <v>41</v>
      </c>
      <c r="AC3287">
        <v>0.385699999999985</v>
      </c>
      <c r="AD3287">
        <v>-8.4632999999999903E-2</v>
      </c>
      <c r="AE3287">
        <v>-1.9800000000003599E-2</v>
      </c>
      <c r="AF3287">
        <v>2.1881263675896202E-2</v>
      </c>
      <c r="AG3287">
        <v>-8.4632999999999903E-2</v>
      </c>
      <c r="AH3287">
        <v>0.36786115570738098</v>
      </c>
      <c r="AI3287">
        <v>102.93436203866</v>
      </c>
      <c r="AJ3287">
        <v>86.595920578811501</v>
      </c>
      <c r="AK3287">
        <v>0.37810496461620802</v>
      </c>
      <c r="AL3287">
        <v>68.035267190590403</v>
      </c>
      <c r="AM3287">
        <v>96.713218660247406</v>
      </c>
      <c r="AN3287">
        <v>0.99999996173307903</v>
      </c>
    </row>
    <row r="3288" spans="1:40" x14ac:dyDescent="0.25">
      <c r="A3288" t="str">
        <f>"20190304164435675"</f>
        <v>20190304164435675</v>
      </c>
      <c r="B3288" t="str">
        <f>"1551689075663788"</f>
        <v>1551689075663788</v>
      </c>
      <c r="C3288" t="s">
        <v>40</v>
      </c>
      <c r="D3288">
        <v>4.5989180000000003</v>
      </c>
      <c r="E3288">
        <v>0.57117249999999997</v>
      </c>
      <c r="F3288" t="s">
        <v>41</v>
      </c>
      <c r="G3288">
        <v>-300.1114</v>
      </c>
      <c r="H3288">
        <v>1.028081</v>
      </c>
      <c r="I3288">
        <v>214.34819999999999</v>
      </c>
      <c r="J3288">
        <v>-300.4579</v>
      </c>
      <c r="K3288">
        <v>1.1102799999999999</v>
      </c>
      <c r="L3288">
        <v>214.36859999999999</v>
      </c>
      <c r="M3288">
        <v>0.9998667</v>
      </c>
      <c r="N3288">
        <v>-1.432892E-2</v>
      </c>
      <c r="O3288">
        <v>7.8217059999999995E-3</v>
      </c>
      <c r="P3288">
        <v>0.92563189999999995</v>
      </c>
      <c r="Q3288">
        <v>0.36041800000000002</v>
      </c>
      <c r="R3288">
        <v>0.11534519999999999</v>
      </c>
      <c r="S3288">
        <v>3.3954770000000001</v>
      </c>
      <c r="T3288">
        <v>-0.36944100000000002</v>
      </c>
      <c r="U3288">
        <v>-7.6904299999999995E-2</v>
      </c>
      <c r="V3288">
        <v>-0.1077588</v>
      </c>
      <c r="W3288">
        <v>0.37375540000000002</v>
      </c>
      <c r="X3288">
        <v>0.92124640000000002</v>
      </c>
      <c r="Y3288">
        <v>3.0226320000000001E-2</v>
      </c>
      <c r="Z3288">
        <v>-2.5932910000000002E-3</v>
      </c>
      <c r="AA3288">
        <v>0.99953970000000003</v>
      </c>
      <c r="AB3288">
        <v>41</v>
      </c>
      <c r="AC3288">
        <v>0.34649999999999098</v>
      </c>
      <c r="AD3288">
        <v>-8.2198999999999897E-2</v>
      </c>
      <c r="AE3288">
        <v>-2.0399999999994999E-2</v>
      </c>
      <c r="AF3288">
        <v>2.1882651506760799E-2</v>
      </c>
      <c r="AG3288">
        <v>-8.2198999999999897E-2</v>
      </c>
      <c r="AH3288">
        <v>0.32793836507195601</v>
      </c>
      <c r="AI3288">
        <v>104.04150818660101</v>
      </c>
      <c r="AJ3288">
        <v>86.182430017828594</v>
      </c>
      <c r="AK3288">
        <v>0.33879063936896803</v>
      </c>
      <c r="AL3288">
        <v>68.052590025143402</v>
      </c>
      <c r="AM3288">
        <v>96.671608125675107</v>
      </c>
      <c r="AN3288">
        <v>0.99999999375977999</v>
      </c>
    </row>
    <row r="3289" spans="1:40" x14ac:dyDescent="0.25">
      <c r="A3289" t="str">
        <f>"20190304164435697"</f>
        <v>20190304164435697</v>
      </c>
      <c r="B3289" t="str">
        <f>"1551689075693066"</f>
        <v>1551689075693066</v>
      </c>
      <c r="C3289" t="s">
        <v>40</v>
      </c>
      <c r="D3289">
        <v>4.6031649999999997</v>
      </c>
      <c r="E3289">
        <v>0.57127490000000003</v>
      </c>
      <c r="F3289" t="s">
        <v>41</v>
      </c>
      <c r="G3289">
        <v>-299.39150000000001</v>
      </c>
      <c r="H3289">
        <v>0.99428830000000001</v>
      </c>
      <c r="I3289">
        <v>214.3426</v>
      </c>
      <c r="J3289">
        <v>-300.03539999999998</v>
      </c>
      <c r="K3289">
        <v>1.1102860000000001</v>
      </c>
      <c r="L3289">
        <v>214.3717</v>
      </c>
      <c r="M3289">
        <v>0.99986920000000001</v>
      </c>
      <c r="N3289">
        <v>-1.432633E-2</v>
      </c>
      <c r="O3289">
        <v>7.5120459999999997E-3</v>
      </c>
      <c r="P3289">
        <v>0.9260216</v>
      </c>
      <c r="Q3289">
        <v>0.35967739999999998</v>
      </c>
      <c r="R3289">
        <v>0.11452660000000001</v>
      </c>
      <c r="S3289">
        <v>3.3950809999999998</v>
      </c>
      <c r="T3289">
        <v>-0.36945250000000002</v>
      </c>
      <c r="U3289">
        <v>-8.2046510000000003E-2</v>
      </c>
      <c r="V3289">
        <v>-0.1072314</v>
      </c>
      <c r="W3289">
        <v>0.3730154</v>
      </c>
      <c r="X3289">
        <v>0.92160779999999998</v>
      </c>
      <c r="Y3289">
        <v>3.1425769999999999E-2</v>
      </c>
      <c r="Z3289">
        <v>-2.638114E-3</v>
      </c>
      <c r="AA3289">
        <v>0.99950260000000002</v>
      </c>
      <c r="AB3289">
        <v>41</v>
      </c>
      <c r="AC3289">
        <v>0.64389999999997305</v>
      </c>
      <c r="AD3289">
        <v>-0.1159977</v>
      </c>
      <c r="AE3289">
        <v>-2.9099999999999598E-2</v>
      </c>
      <c r="AF3289">
        <v>3.2872042151723999E-2</v>
      </c>
      <c r="AG3289">
        <v>-0.1159977</v>
      </c>
      <c r="AH3289">
        <v>0.62347062627116601</v>
      </c>
      <c r="AI3289">
        <v>100.525173128324</v>
      </c>
      <c r="AJ3289">
        <v>86.981915605862397</v>
      </c>
      <c r="AK3289">
        <v>0.63502099129357503</v>
      </c>
      <c r="AL3289">
        <v>68.098294543795802</v>
      </c>
      <c r="AM3289">
        <v>96.636667441199407</v>
      </c>
      <c r="AN3289">
        <v>0.99999999940198003</v>
      </c>
    </row>
    <row r="3290" spans="1:40" x14ac:dyDescent="0.25">
      <c r="A3290" t="str">
        <f>"20190304164435720"</f>
        <v>20190304164435720</v>
      </c>
      <c r="B3290" t="str">
        <f>"1551689075713563"</f>
        <v>1551689075713563</v>
      </c>
      <c r="C3290" t="s">
        <v>40</v>
      </c>
      <c r="D3290">
        <v>4.5902520000000004</v>
      </c>
      <c r="E3290">
        <v>0.57134189999999996</v>
      </c>
      <c r="F3290" t="s">
        <v>41</v>
      </c>
      <c r="G3290">
        <v>-299.02080000000001</v>
      </c>
      <c r="H3290">
        <v>0.9998629</v>
      </c>
      <c r="I3290">
        <v>214.3458</v>
      </c>
      <c r="J3290">
        <v>-299.6207</v>
      </c>
      <c r="K3290">
        <v>1.11029</v>
      </c>
      <c r="L3290">
        <v>214.37450000000001</v>
      </c>
      <c r="M3290">
        <v>0.99987150000000002</v>
      </c>
      <c r="N3290">
        <v>-1.4323839999999999E-2</v>
      </c>
      <c r="O3290">
        <v>7.2083729999999997E-3</v>
      </c>
      <c r="P3290">
        <v>0.92644020000000005</v>
      </c>
      <c r="Q3290">
        <v>0.35882819999999999</v>
      </c>
      <c r="R3290">
        <v>0.11380270000000001</v>
      </c>
      <c r="S3290">
        <v>3.3937680000000001</v>
      </c>
      <c r="T3290">
        <v>-0.36947809999999998</v>
      </c>
      <c r="U3290">
        <v>-8.5739140000000005E-2</v>
      </c>
      <c r="V3290">
        <v>-0.1067915</v>
      </c>
      <c r="W3290">
        <v>0.37216749999999998</v>
      </c>
      <c r="X3290">
        <v>0.92200159999999998</v>
      </c>
      <c r="Y3290">
        <v>3.2214270000000003E-2</v>
      </c>
      <c r="Z3290">
        <v>-2.6590440000000002E-3</v>
      </c>
      <c r="AA3290">
        <v>0.99947739999999996</v>
      </c>
      <c r="AB3290">
        <v>41</v>
      </c>
      <c r="AC3290">
        <v>0.599899999999991</v>
      </c>
      <c r="AD3290">
        <v>-0.110427099999999</v>
      </c>
      <c r="AE3290">
        <v>-2.87000000000148E-2</v>
      </c>
      <c r="AF3290">
        <v>3.1944081619325403E-2</v>
      </c>
      <c r="AG3290">
        <v>-0.110427099999999</v>
      </c>
      <c r="AH3290">
        <v>0.58006743594856403</v>
      </c>
      <c r="AI3290">
        <v>100.762468931836</v>
      </c>
      <c r="AJ3290">
        <v>86.847928161095894</v>
      </c>
      <c r="AK3290">
        <v>0.59134828909269099</v>
      </c>
      <c r="AL3290">
        <v>68.150645392711297</v>
      </c>
      <c r="AM3290">
        <v>96.606884825433895</v>
      </c>
      <c r="AN3290">
        <v>1.0000000114655301</v>
      </c>
    </row>
    <row r="3291" spans="1:40" x14ac:dyDescent="0.25">
      <c r="A3291" t="str">
        <f>"20190304164435754"</f>
        <v>20190304164435754</v>
      </c>
      <c r="B3291" t="str">
        <f>"1551689075742843"</f>
        <v>1551689075742843</v>
      </c>
      <c r="C3291" t="s">
        <v>40</v>
      </c>
      <c r="D3291">
        <v>4.6214190000000004</v>
      </c>
      <c r="E3291">
        <v>0.571470699999999</v>
      </c>
      <c r="F3291" t="s">
        <v>41</v>
      </c>
      <c r="G3291">
        <v>-298.65089999999998</v>
      </c>
      <c r="H3291">
        <v>1.0043390000000001</v>
      </c>
      <c r="I3291">
        <v>214.34909999999999</v>
      </c>
      <c r="J3291">
        <v>-298.99310000000003</v>
      </c>
      <c r="K3291">
        <v>1.1102920000000001</v>
      </c>
      <c r="L3291">
        <v>214.3785</v>
      </c>
      <c r="M3291">
        <v>0.99987470000000001</v>
      </c>
      <c r="N3291">
        <v>-1.432014E-2</v>
      </c>
      <c r="O3291">
        <v>6.7495709999999898E-3</v>
      </c>
      <c r="P3291">
        <v>0.92709889999999995</v>
      </c>
      <c r="Q3291">
        <v>0.35717690000000002</v>
      </c>
      <c r="R3291">
        <v>0.113633399999999</v>
      </c>
      <c r="S3291">
        <v>3.3926699999999999</v>
      </c>
      <c r="T3291">
        <v>-0.3708127</v>
      </c>
      <c r="U3291">
        <v>-8.8012699999999999E-2</v>
      </c>
      <c r="V3291">
        <v>-0.1070494</v>
      </c>
      <c r="W3291">
        <v>0.37052099999999999</v>
      </c>
      <c r="X3291">
        <v>0.92263459999999997</v>
      </c>
      <c r="Y3291">
        <v>3.2431880000000003E-2</v>
      </c>
      <c r="Z3291">
        <v>-2.6388850000000001E-3</v>
      </c>
      <c r="AA3291">
        <v>0.99947050000000004</v>
      </c>
      <c r="AB3291">
        <v>41</v>
      </c>
      <c r="AC3291">
        <v>0.34220000000004802</v>
      </c>
      <c r="AD3291">
        <v>-0.10595300000000001</v>
      </c>
      <c r="AE3291">
        <v>-2.9400000000009599E-2</v>
      </c>
      <c r="AF3291">
        <v>2.8953901600075199E-2</v>
      </c>
      <c r="AG3291">
        <v>-0.10595300000000001</v>
      </c>
      <c r="AH3291">
        <v>0.31227629043963701</v>
      </c>
      <c r="AI3291">
        <v>108.66720099767601</v>
      </c>
      <c r="AJ3291">
        <v>84.702745795899801</v>
      </c>
      <c r="AK3291">
        <v>0.331029980813834</v>
      </c>
      <c r="AL3291">
        <v>68.252247607590107</v>
      </c>
      <c r="AM3291">
        <v>96.618195420966103</v>
      </c>
      <c r="AN3291">
        <v>0.99999999529925998</v>
      </c>
    </row>
    <row r="3292" spans="1:40" x14ac:dyDescent="0.25">
      <c r="A3292" t="str">
        <f>"20190304164435776"</f>
        <v>20190304164435776</v>
      </c>
      <c r="B3292" t="str">
        <f>"1551689075763339"</f>
        <v>1551689075763339</v>
      </c>
      <c r="C3292" t="s">
        <v>40</v>
      </c>
      <c r="D3292">
        <v>4.58047</v>
      </c>
      <c r="E3292">
        <v>0.56245840000000003</v>
      </c>
      <c r="F3292" t="s">
        <v>41</v>
      </c>
      <c r="G3292">
        <v>-297.92250000000001</v>
      </c>
      <c r="H3292">
        <v>0.99228760000000005</v>
      </c>
      <c r="I3292">
        <v>214.3503</v>
      </c>
      <c r="J3292">
        <v>-298.60739999999998</v>
      </c>
      <c r="K3292">
        <v>1.110285</v>
      </c>
      <c r="L3292">
        <v>214.3809</v>
      </c>
      <c r="M3292">
        <v>0.99987669999999995</v>
      </c>
      <c r="N3292">
        <v>-1.431779E-2</v>
      </c>
      <c r="O3292">
        <v>6.4675389999999996E-3</v>
      </c>
      <c r="P3292">
        <v>0.92756320000000003</v>
      </c>
      <c r="Q3292">
        <v>0.35613230000000001</v>
      </c>
      <c r="R3292">
        <v>0.1131224</v>
      </c>
      <c r="S3292">
        <v>3.3908390000000002</v>
      </c>
      <c r="T3292">
        <v>-0.37384889999999998</v>
      </c>
      <c r="U3292">
        <v>-8.8867189999999999E-2</v>
      </c>
      <c r="V3292">
        <v>-0.1068001</v>
      </c>
      <c r="W3292">
        <v>0.36947940000000001</v>
      </c>
      <c r="X3292">
        <v>0.92308109999999999</v>
      </c>
      <c r="Y3292">
        <v>3.2412870000000003E-2</v>
      </c>
      <c r="Z3292">
        <v>-2.6324410000000001E-3</v>
      </c>
      <c r="AA3292">
        <v>0.99947109999999995</v>
      </c>
      <c r="AB3292">
        <v>41</v>
      </c>
      <c r="AC3292">
        <v>0.68489999999996998</v>
      </c>
      <c r="AD3292">
        <v>-0.117997399999999</v>
      </c>
      <c r="AE3292">
        <v>-3.0599999999992598E-2</v>
      </c>
      <c r="AF3292">
        <v>3.4021619015155602E-2</v>
      </c>
      <c r="AG3292">
        <v>-0.117997399999999</v>
      </c>
      <c r="AH3292">
        <v>0.66498898281989305</v>
      </c>
      <c r="AI3292">
        <v>100.049108548482</v>
      </c>
      <c r="AJ3292">
        <v>87.071234020252007</v>
      </c>
      <c r="AK3292">
        <v>0.67623309904130602</v>
      </c>
      <c r="AL3292">
        <v>68.316485941837001</v>
      </c>
      <c r="AM3292">
        <v>96.599753327435096</v>
      </c>
      <c r="AN3292">
        <v>1.00000000278079</v>
      </c>
    </row>
    <row r="3293" spans="1:40" x14ac:dyDescent="0.25">
      <c r="A3293" t="str">
        <f>"20190304164435798"</f>
        <v>20190304164435798</v>
      </c>
      <c r="B3293" t="str">
        <f>"1551689075793595"</f>
        <v>1551689075793595</v>
      </c>
      <c r="C3293" t="s">
        <v>40</v>
      </c>
      <c r="D3293">
        <v>4.5947430000000002</v>
      </c>
      <c r="E3293">
        <v>0.56221369999999904</v>
      </c>
      <c r="F3293" t="s">
        <v>41</v>
      </c>
      <c r="G3293">
        <v>-297.55090000000001</v>
      </c>
      <c r="H3293">
        <v>1.0014459999999901</v>
      </c>
      <c r="I3293">
        <v>214.37360000000001</v>
      </c>
      <c r="J3293">
        <v>-298.18900000000002</v>
      </c>
      <c r="K3293">
        <v>1.110285</v>
      </c>
      <c r="L3293">
        <v>214.38329999999999</v>
      </c>
      <c r="M3293">
        <v>0.99987859999999995</v>
      </c>
      <c r="N3293">
        <v>-1.431521E-2</v>
      </c>
      <c r="O3293">
        <v>6.1617219999999997E-3</v>
      </c>
      <c r="P3293">
        <v>0.92801929999999999</v>
      </c>
      <c r="Q3293">
        <v>0.35499140000000001</v>
      </c>
      <c r="R3293">
        <v>0.11296680000000001</v>
      </c>
      <c r="S3293">
        <v>3.3702999999999999</v>
      </c>
      <c r="T3293">
        <v>-0.34737560000000001</v>
      </c>
      <c r="U3293">
        <v>-2.1682739999999999E-2</v>
      </c>
      <c r="V3293">
        <v>-0.1069282</v>
      </c>
      <c r="W3293">
        <v>0.36834230000000001</v>
      </c>
      <c r="X3293">
        <v>0.92352060000000002</v>
      </c>
      <c r="Y3293">
        <v>1.24958E-2</v>
      </c>
      <c r="Z3293">
        <v>-1.277369E-3</v>
      </c>
      <c r="AA3293">
        <v>0.99992110000000001</v>
      </c>
      <c r="AB3293">
        <v>41</v>
      </c>
      <c r="AC3293">
        <v>0.63810000000000799</v>
      </c>
      <c r="AD3293">
        <v>-0.10883900000000001</v>
      </c>
      <c r="AE3293">
        <v>-9.6999999999809391E-3</v>
      </c>
      <c r="AF3293">
        <v>1.32467130160799E-2</v>
      </c>
      <c r="AG3293">
        <v>-0.10883900000000001</v>
      </c>
      <c r="AH3293">
        <v>0.61999464397691995</v>
      </c>
      <c r="AI3293">
        <v>99.954497526232004</v>
      </c>
      <c r="AJ3293">
        <v>88.776013154671901</v>
      </c>
      <c r="AK3293">
        <v>0.629614772608457</v>
      </c>
      <c r="AL3293">
        <v>68.386580966736105</v>
      </c>
      <c r="AM3293">
        <v>96.604482612563004</v>
      </c>
      <c r="AN3293">
        <v>0.99999999427444497</v>
      </c>
    </row>
    <row r="3294" spans="1:40" x14ac:dyDescent="0.25">
      <c r="A3294" t="str">
        <f>"20190304164435821"</f>
        <v>20190304164435821</v>
      </c>
      <c r="B3294" t="str">
        <f>"1551689075813115"</f>
        <v>1551689075813115</v>
      </c>
      <c r="C3294" t="s">
        <v>40</v>
      </c>
      <c r="D3294">
        <v>4.5936529999999998</v>
      </c>
      <c r="E3294">
        <v>0.56215669999999995</v>
      </c>
      <c r="F3294" t="s">
        <v>41</v>
      </c>
      <c r="G3294">
        <v>-297.1823</v>
      </c>
      <c r="H3294">
        <v>1.0058499999999999</v>
      </c>
      <c r="I3294">
        <v>214.37710000000001</v>
      </c>
      <c r="J3294">
        <v>-297.75049999999999</v>
      </c>
      <c r="K3294">
        <v>1.1102780000000001</v>
      </c>
      <c r="L3294">
        <v>214.38570000000001</v>
      </c>
      <c r="M3294">
        <v>0.99988060000000001</v>
      </c>
      <c r="N3294">
        <v>-1.431252E-2</v>
      </c>
      <c r="O3294">
        <v>5.8409409999999997E-3</v>
      </c>
      <c r="P3294">
        <v>0.92815950000000003</v>
      </c>
      <c r="Q3294">
        <v>0.35470449999999998</v>
      </c>
      <c r="R3294">
        <v>0.1127162</v>
      </c>
      <c r="S3294">
        <v>3.3688959999999999</v>
      </c>
      <c r="T3294">
        <v>-0.3495433</v>
      </c>
      <c r="U3294">
        <v>-2.0095829999999999E-2</v>
      </c>
      <c r="V3294">
        <v>-0.106977</v>
      </c>
      <c r="W3294">
        <v>0.36805359999999998</v>
      </c>
      <c r="X3294">
        <v>0.92363010000000001</v>
      </c>
      <c r="Y3294">
        <v>1.171144E-2</v>
      </c>
      <c r="Z3294">
        <v>-1.2110020000000001E-3</v>
      </c>
      <c r="AA3294">
        <v>0.99993069999999895</v>
      </c>
      <c r="AB3294">
        <v>41</v>
      </c>
      <c r="AC3294">
        <v>0.56819999999999005</v>
      </c>
      <c r="AD3294">
        <v>-0.10442800000000001</v>
      </c>
      <c r="AE3294">
        <v>-8.6000000000012698E-3</v>
      </c>
      <c r="AF3294">
        <v>1.1529658239659899E-2</v>
      </c>
      <c r="AG3294">
        <v>-0.10442800000000001</v>
      </c>
      <c r="AH3294">
        <v>0.54958068886299305</v>
      </c>
      <c r="AI3294">
        <v>100.756427207355</v>
      </c>
      <c r="AJ3294">
        <v>88.798167619323905</v>
      </c>
      <c r="AK3294">
        <v>0.55953290678408296</v>
      </c>
      <c r="AL3294">
        <v>68.404373314088403</v>
      </c>
      <c r="AM3294">
        <v>96.606693709903496</v>
      </c>
      <c r="AN3294">
        <v>1.00000004631398</v>
      </c>
    </row>
    <row r="3295" spans="1:40" x14ac:dyDescent="0.25">
      <c r="A3295" t="str">
        <f>"20190304164435841"</f>
        <v>20190304164435841</v>
      </c>
      <c r="B3295" t="str">
        <f>"1551689075833611"</f>
        <v>1551689075833611</v>
      </c>
      <c r="C3295" t="s">
        <v>40</v>
      </c>
      <c r="D3295">
        <v>4.5462980000000002</v>
      </c>
      <c r="E3295">
        <v>0.56255929999999998</v>
      </c>
      <c r="F3295" t="s">
        <v>41</v>
      </c>
      <c r="G3295">
        <v>-296.81229999999999</v>
      </c>
      <c r="H3295">
        <v>1.0134810000000001</v>
      </c>
      <c r="I3295">
        <v>214.37960000000001</v>
      </c>
      <c r="J3295">
        <v>-297.39490000000001</v>
      </c>
      <c r="K3295">
        <v>1.110285</v>
      </c>
      <c r="L3295">
        <v>214.38749999999999</v>
      </c>
      <c r="M3295">
        <v>0.99988200000000005</v>
      </c>
      <c r="N3295">
        <v>-1.431032E-2</v>
      </c>
      <c r="O3295">
        <v>5.5807599999999997E-3</v>
      </c>
      <c r="P3295">
        <v>0.92811239999999995</v>
      </c>
      <c r="Q3295">
        <v>0.35501149999999998</v>
      </c>
      <c r="R3295">
        <v>0.11213330000000001</v>
      </c>
      <c r="S3295">
        <v>3.3675839999999901</v>
      </c>
      <c r="T3295">
        <v>-0.34760609999999997</v>
      </c>
      <c r="U3295">
        <v>-2.079773E-2</v>
      </c>
      <c r="V3295">
        <v>-0.1066365</v>
      </c>
      <c r="W3295">
        <v>0.36835689999999999</v>
      </c>
      <c r="X3295">
        <v>0.92354849999999999</v>
      </c>
      <c r="Y3295">
        <v>1.1664259999999999E-2</v>
      </c>
      <c r="Z3295">
        <v>-1.1789529999999999E-3</v>
      </c>
      <c r="AA3295">
        <v>0.99993129999999997</v>
      </c>
      <c r="AB3295">
        <v>41</v>
      </c>
      <c r="AC3295">
        <v>0.582600000000013</v>
      </c>
      <c r="AD3295">
        <v>-9.6804000000000098E-2</v>
      </c>
      <c r="AE3295">
        <v>-7.8999999999780305E-3</v>
      </c>
      <c r="AF3295">
        <v>1.0852006292662799E-2</v>
      </c>
      <c r="AG3295">
        <v>-9.6804000000000098E-2</v>
      </c>
      <c r="AH3295">
        <v>0.56689839390607899</v>
      </c>
      <c r="AI3295">
        <v>99.688662575146793</v>
      </c>
      <c r="AJ3295">
        <v>88.903333940657603</v>
      </c>
      <c r="AK3295">
        <v>0.57520654505131297</v>
      </c>
      <c r="AL3295">
        <v>68.385681093723704</v>
      </c>
      <c r="AM3295">
        <v>96.586426890582402</v>
      </c>
      <c r="AN3295">
        <v>0.99999999038105403</v>
      </c>
    </row>
    <row r="3296" spans="1:40" x14ac:dyDescent="0.25">
      <c r="A3296" t="str">
        <f>"20190304164435864"</f>
        <v>20190304164435864</v>
      </c>
      <c r="B3296" t="str">
        <f>"1551689075853132"</f>
        <v>1551689075853132</v>
      </c>
      <c r="C3296" t="s">
        <v>40</v>
      </c>
      <c r="D3296">
        <v>4.5489790000000001</v>
      </c>
      <c r="E3296">
        <v>0.56308040000000004</v>
      </c>
      <c r="F3296" t="s">
        <v>41</v>
      </c>
      <c r="G3296">
        <v>-296.44639999999998</v>
      </c>
      <c r="H3296">
        <v>1.013161</v>
      </c>
      <c r="I3296">
        <v>214.38050000000001</v>
      </c>
      <c r="J3296">
        <v>-296.97449999999998</v>
      </c>
      <c r="K3296">
        <v>1.11029</v>
      </c>
      <c r="L3296">
        <v>214.3896</v>
      </c>
      <c r="M3296">
        <v>0.99988370000000004</v>
      </c>
      <c r="N3296">
        <v>-1.4307780000000001E-2</v>
      </c>
      <c r="O3296">
        <v>5.2745190000000001E-3</v>
      </c>
      <c r="P3296">
        <v>0.92788340000000002</v>
      </c>
      <c r="Q3296">
        <v>0.35559030000000003</v>
      </c>
      <c r="R3296">
        <v>0.1121964</v>
      </c>
      <c r="S3296">
        <v>3.3671880000000001</v>
      </c>
      <c r="T3296">
        <v>-0.34478180000000003</v>
      </c>
      <c r="U3296">
        <v>-2.4566649999999999E-2</v>
      </c>
      <c r="V3296">
        <v>-0.10698680000000001</v>
      </c>
      <c r="W3296">
        <v>0.36892950000000002</v>
      </c>
      <c r="X3296">
        <v>0.92327939999999997</v>
      </c>
      <c r="Y3296">
        <v>1.2475719999999999E-2</v>
      </c>
      <c r="Z3296">
        <v>-1.189938E-3</v>
      </c>
      <c r="AA3296">
        <v>0.99992139999999996</v>
      </c>
      <c r="AB3296">
        <v>41</v>
      </c>
      <c r="AC3296">
        <v>0.52809999999999402</v>
      </c>
      <c r="AD3296">
        <v>-9.7128999999999993E-2</v>
      </c>
      <c r="AE3296">
        <v>-9.0999999999894499E-3</v>
      </c>
      <c r="AF3296">
        <v>1.1496842062675001E-2</v>
      </c>
      <c r="AG3296">
        <v>-9.7128999999999993E-2</v>
      </c>
      <c r="AH3296">
        <v>0.510771819603004</v>
      </c>
      <c r="AI3296">
        <v>100.76422028866401</v>
      </c>
      <c r="AJ3296">
        <v>88.710560585466993</v>
      </c>
      <c r="AK3296">
        <v>0.52005198943853503</v>
      </c>
      <c r="AL3296">
        <v>68.350388100491799</v>
      </c>
      <c r="AM3296">
        <v>96.609781109541203</v>
      </c>
      <c r="AN3296">
        <v>1.0000000009044201</v>
      </c>
    </row>
    <row r="3297" spans="1:40" x14ac:dyDescent="0.25">
      <c r="A3297" t="str">
        <f>"20190304164435887"</f>
        <v>20190304164435887</v>
      </c>
      <c r="B3297" t="str">
        <f>"1551689075883387"</f>
        <v>1551689075883387</v>
      </c>
      <c r="C3297" t="s">
        <v>40</v>
      </c>
      <c r="D3297">
        <v>4.5597830000000004</v>
      </c>
      <c r="E3297">
        <v>0.56346339999999995</v>
      </c>
      <c r="F3297" t="s">
        <v>41</v>
      </c>
      <c r="G3297">
        <v>-296.07760000000002</v>
      </c>
      <c r="H3297">
        <v>1.0195209999999999</v>
      </c>
      <c r="I3297">
        <v>214.3818</v>
      </c>
      <c r="J3297">
        <v>-296.55590000000001</v>
      </c>
      <c r="K3297">
        <v>1.1103019999999999</v>
      </c>
      <c r="L3297">
        <v>214.39150000000001</v>
      </c>
      <c r="M3297">
        <v>0.99988529999999998</v>
      </c>
      <c r="N3297">
        <v>-1.430526E-2</v>
      </c>
      <c r="O3297">
        <v>4.9734920000000004E-3</v>
      </c>
      <c r="P3297">
        <v>0.92758260000000003</v>
      </c>
      <c r="Q3297">
        <v>0.35634329999999997</v>
      </c>
      <c r="R3297">
        <v>0.1122933</v>
      </c>
      <c r="S3297">
        <v>3.3671880000000001</v>
      </c>
      <c r="T3297">
        <v>-0.3409508</v>
      </c>
      <c r="U3297">
        <v>-2.7832030000000001E-2</v>
      </c>
      <c r="V3297">
        <v>-0.1073669</v>
      </c>
      <c r="W3297">
        <v>0.36967489999999997</v>
      </c>
      <c r="X3297">
        <v>0.92293709999999995</v>
      </c>
      <c r="Y3297">
        <v>1.314361E-2</v>
      </c>
      <c r="Z3297">
        <v>-1.1893380000000001E-3</v>
      </c>
      <c r="AA3297">
        <v>0.99991289999999999</v>
      </c>
      <c r="AB3297">
        <v>41</v>
      </c>
      <c r="AC3297">
        <v>0.47829999999999001</v>
      </c>
      <c r="AD3297">
        <v>-9.0781000000000195E-2</v>
      </c>
      <c r="AE3297">
        <v>-9.7000000000093695E-3</v>
      </c>
      <c r="AF3297">
        <v>1.16591121756858E-2</v>
      </c>
      <c r="AG3297">
        <v>-9.0781000000000195E-2</v>
      </c>
      <c r="AH3297">
        <v>0.46162326174891499</v>
      </c>
      <c r="AI3297">
        <v>101.12213009663201</v>
      </c>
      <c r="AJ3297">
        <v>88.553201308589095</v>
      </c>
      <c r="AK3297">
        <v>0.47060935035911999</v>
      </c>
      <c r="AL3297">
        <v>68.304431911293705</v>
      </c>
      <c r="AM3297">
        <v>96.635493421974303</v>
      </c>
      <c r="AN3297">
        <v>1.00000003673101</v>
      </c>
    </row>
    <row r="3298" spans="1:40" x14ac:dyDescent="0.25">
      <c r="A3298" t="str">
        <f>"20190304164435910"</f>
        <v>20190304164435910</v>
      </c>
      <c r="B3298" t="str">
        <f>"1551689075902910"</f>
        <v>1551689075902910</v>
      </c>
      <c r="C3298" t="s">
        <v>40</v>
      </c>
      <c r="D3298">
        <v>4.6299429999999999</v>
      </c>
      <c r="E3298">
        <v>0.56370559999999903</v>
      </c>
      <c r="F3298" t="s">
        <v>41</v>
      </c>
      <c r="G3298">
        <v>-295.70890000000003</v>
      </c>
      <c r="H3298">
        <v>1.0262100000000001</v>
      </c>
      <c r="I3298">
        <v>214.38380000000001</v>
      </c>
      <c r="J3298">
        <v>-296.13290000000001</v>
      </c>
      <c r="K3298">
        <v>1.110303</v>
      </c>
      <c r="L3298">
        <v>214.39330000000001</v>
      </c>
      <c r="M3298">
        <v>0.99988690000000002</v>
      </c>
      <c r="N3298">
        <v>-1.430264E-2</v>
      </c>
      <c r="O3298">
        <v>4.6771039999999996E-3</v>
      </c>
      <c r="P3298">
        <v>0.9273515</v>
      </c>
      <c r="Q3298">
        <v>0.35693079999999999</v>
      </c>
      <c r="R3298">
        <v>0.11233890000000001</v>
      </c>
      <c r="S3298">
        <v>3.3663020000000001</v>
      </c>
      <c r="T3298">
        <v>-0.33429550000000002</v>
      </c>
      <c r="U3298">
        <v>-3.0258179999999999E-2</v>
      </c>
      <c r="V3298">
        <v>-0.1076935</v>
      </c>
      <c r="W3298">
        <v>0.3702548</v>
      </c>
      <c r="X3298">
        <v>0.92266649999999995</v>
      </c>
      <c r="Y3298">
        <v>1.3572209999999999E-2</v>
      </c>
      <c r="Z3298">
        <v>-1.1661379999999999E-3</v>
      </c>
      <c r="AA3298">
        <v>0.9999072</v>
      </c>
      <c r="AB3298">
        <v>41</v>
      </c>
      <c r="AC3298">
        <v>0.42399999999997801</v>
      </c>
      <c r="AD3298">
        <v>-8.4092999999999904E-2</v>
      </c>
      <c r="AE3298">
        <v>-9.5000000000027198E-3</v>
      </c>
      <c r="AF3298">
        <v>1.10487956467981E-2</v>
      </c>
      <c r="AG3298">
        <v>-8.4092999999999904E-2</v>
      </c>
      <c r="AH3298">
        <v>0.40791337679460998</v>
      </c>
      <c r="AI3298">
        <v>101.644413954486</v>
      </c>
      <c r="AJ3298">
        <v>88.4484583018004</v>
      </c>
      <c r="AK3298">
        <v>0.416637770133993</v>
      </c>
      <c r="AL3298">
        <v>68.268667424760693</v>
      </c>
      <c r="AM3298">
        <v>96.657431566485101</v>
      </c>
      <c r="AN3298">
        <v>0.99999998854376904</v>
      </c>
    </row>
    <row r="3299" spans="1:40" x14ac:dyDescent="0.25">
      <c r="A3299" t="str">
        <f>"20190304164435932"</f>
        <v>20190304164435932</v>
      </c>
      <c r="B3299" t="str">
        <f>"1551689075923403"</f>
        <v>1551689075923403</v>
      </c>
      <c r="C3299" t="s">
        <v>40</v>
      </c>
      <c r="D3299">
        <v>4.596552</v>
      </c>
      <c r="E3299">
        <v>0.56388799999999994</v>
      </c>
      <c r="F3299" t="s">
        <v>41</v>
      </c>
      <c r="G3299">
        <v>-295.34039999999999</v>
      </c>
      <c r="H3299">
        <v>1.0330979999999901</v>
      </c>
      <c r="I3299">
        <v>214.3854</v>
      </c>
      <c r="J3299">
        <v>-295.74250000000001</v>
      </c>
      <c r="K3299">
        <v>1.1103099999999999</v>
      </c>
      <c r="L3299">
        <v>214.39490000000001</v>
      </c>
      <c r="M3299">
        <v>0.99988809999999995</v>
      </c>
      <c r="N3299">
        <v>-1.4300200000000001E-2</v>
      </c>
      <c r="O3299">
        <v>4.4166020000000004E-3</v>
      </c>
      <c r="P3299">
        <v>0.9272492</v>
      </c>
      <c r="Q3299">
        <v>0.35731269999999998</v>
      </c>
      <c r="R3299">
        <v>0.111968</v>
      </c>
      <c r="S3299">
        <v>3.3651430000000002</v>
      </c>
      <c r="T3299">
        <v>-0.3280594</v>
      </c>
      <c r="U3299">
        <v>-3.2119750000000002E-2</v>
      </c>
      <c r="V3299">
        <v>-0.10757319999999999</v>
      </c>
      <c r="W3299">
        <v>0.37063000000000001</v>
      </c>
      <c r="X3299">
        <v>0.92252990000000001</v>
      </c>
      <c r="Y3299">
        <v>1.3870479999999999E-2</v>
      </c>
      <c r="Z3299">
        <v>-1.1404410000000001E-3</v>
      </c>
      <c r="AA3299">
        <v>0.99990310000000004</v>
      </c>
      <c r="AB3299">
        <v>41</v>
      </c>
      <c r="AC3299">
        <v>0.402100000000018</v>
      </c>
      <c r="AD3299">
        <v>-7.7212000000000197E-2</v>
      </c>
      <c r="AE3299">
        <v>-9.5000000000027198E-3</v>
      </c>
      <c r="AF3299">
        <v>1.08752321582421E-2</v>
      </c>
      <c r="AG3299">
        <v>-7.7212000000000197E-2</v>
      </c>
      <c r="AH3299">
        <v>0.38776429010032798</v>
      </c>
      <c r="AI3299">
        <v>101.257183119206</v>
      </c>
      <c r="AJ3299">
        <v>88.393504447290198</v>
      </c>
      <c r="AK3299">
        <v>0.39552636864753699</v>
      </c>
      <c r="AL3299">
        <v>68.245523820154304</v>
      </c>
      <c r="AM3299">
        <v>96.651037327531895</v>
      </c>
      <c r="AN3299">
        <v>1.00000000332612</v>
      </c>
    </row>
    <row r="3300" spans="1:40" x14ac:dyDescent="0.25">
      <c r="A3300" t="str">
        <f>"20190304164435955"</f>
        <v>20190304164435955</v>
      </c>
      <c r="B3300" t="str">
        <f>"1551689075942923"</f>
        <v>1551689075942923</v>
      </c>
      <c r="C3300" t="s">
        <v>40</v>
      </c>
      <c r="D3300">
        <v>4.6066099999999999</v>
      </c>
      <c r="E3300">
        <v>0.56390640000000003</v>
      </c>
      <c r="F3300" t="s">
        <v>41</v>
      </c>
      <c r="G3300">
        <v>-294.97309999999999</v>
      </c>
      <c r="H3300">
        <v>1.03631299999999</v>
      </c>
      <c r="I3300">
        <v>214.3869</v>
      </c>
      <c r="J3300">
        <v>-295.3322</v>
      </c>
      <c r="K3300">
        <v>1.1103289999999999</v>
      </c>
      <c r="L3300">
        <v>214.3965</v>
      </c>
      <c r="M3300">
        <v>0.99988920000000003</v>
      </c>
      <c r="N3300">
        <v>-1.429764E-2</v>
      </c>
      <c r="O3300">
        <v>4.1650940000000003E-3</v>
      </c>
      <c r="P3300">
        <v>0.9272591</v>
      </c>
      <c r="Q3300">
        <v>0.35756710000000003</v>
      </c>
      <c r="R3300">
        <v>0.1110701</v>
      </c>
      <c r="S3300">
        <v>3.3643489999999998</v>
      </c>
      <c r="T3300">
        <v>-0.32367360000000001</v>
      </c>
      <c r="U3300">
        <v>-3.5140989999999997E-2</v>
      </c>
      <c r="V3300">
        <v>-0.10692309999999999</v>
      </c>
      <c r="W3300">
        <v>0.3708766</v>
      </c>
      <c r="X3300">
        <v>0.92250639999999995</v>
      </c>
      <c r="Y3300">
        <v>1.451876E-2</v>
      </c>
      <c r="Z3300">
        <v>-1.141193E-3</v>
      </c>
      <c r="AA3300">
        <v>0.99989399999999995</v>
      </c>
      <c r="AB3300">
        <v>41</v>
      </c>
      <c r="AC3300">
        <v>0.35910000000001202</v>
      </c>
      <c r="AD3300">
        <v>-7.4016000000000304E-2</v>
      </c>
      <c r="AE3300">
        <v>-9.6000000000060395E-3</v>
      </c>
      <c r="AF3300">
        <v>1.0643887929366E-2</v>
      </c>
      <c r="AG3300">
        <v>-7.4016000000000304E-2</v>
      </c>
      <c r="AH3300">
        <v>0.34443455620813801</v>
      </c>
      <c r="AI3300">
        <v>102.122313284166</v>
      </c>
      <c r="AJ3300">
        <v>88.229980622320895</v>
      </c>
      <c r="AK3300">
        <v>0.35245825868682701</v>
      </c>
      <c r="AL3300">
        <v>68.230311052613899</v>
      </c>
      <c r="AM3300">
        <v>96.611366747311493</v>
      </c>
      <c r="AN3300">
        <v>1.0000000298910601</v>
      </c>
    </row>
    <row r="3301" spans="1:40" x14ac:dyDescent="0.25">
      <c r="A3301" t="str">
        <f>"20190304164435978"</f>
        <v>20190304164435978</v>
      </c>
      <c r="B3301" t="str">
        <f>"1551689075973180"</f>
        <v>1551689075973180</v>
      </c>
      <c r="C3301" t="s">
        <v>40</v>
      </c>
      <c r="D3301">
        <v>4.6575569999999997</v>
      </c>
      <c r="E3301">
        <v>0.5637818</v>
      </c>
      <c r="F3301" t="s">
        <v>41</v>
      </c>
      <c r="G3301">
        <v>-294.2593</v>
      </c>
      <c r="H3301">
        <v>1.0076989999999999</v>
      </c>
      <c r="I3301">
        <v>214.3843</v>
      </c>
      <c r="J3301">
        <v>-294.90870000000001</v>
      </c>
      <c r="K3301">
        <v>1.110363</v>
      </c>
      <c r="L3301">
        <v>214.398</v>
      </c>
      <c r="M3301">
        <v>0.9998901</v>
      </c>
      <c r="N3301">
        <v>-1.4295E-2</v>
      </c>
      <c r="O3301">
        <v>3.9389450000000001E-3</v>
      </c>
      <c r="P3301">
        <v>0.9274656</v>
      </c>
      <c r="Q3301">
        <v>0.35739670000000001</v>
      </c>
      <c r="R3301">
        <v>0.109888899999999</v>
      </c>
      <c r="S3301">
        <v>3.3639830000000002</v>
      </c>
      <c r="T3301">
        <v>-0.32184230000000003</v>
      </c>
      <c r="U3301">
        <v>-3.7918090000000002E-2</v>
      </c>
      <c r="V3301">
        <v>-0.1059722</v>
      </c>
      <c r="W3301">
        <v>0.37069940000000001</v>
      </c>
      <c r="X3301">
        <v>0.92268729999999999</v>
      </c>
      <c r="Y3301">
        <v>1.511768E-2</v>
      </c>
      <c r="Z3301">
        <v>-1.149635E-3</v>
      </c>
      <c r="AA3301">
        <v>0.99988509999999997</v>
      </c>
      <c r="AB3301">
        <v>41</v>
      </c>
      <c r="AC3301">
        <v>0.64940000000001397</v>
      </c>
      <c r="AD3301">
        <v>-0.10266400000000001</v>
      </c>
      <c r="AE3301">
        <v>-1.37E-2</v>
      </c>
      <c r="AF3301">
        <v>1.5861852965485701E-2</v>
      </c>
      <c r="AG3301">
        <v>-0.10266400000000001</v>
      </c>
      <c r="AH3301">
        <v>0.633514839691658</v>
      </c>
      <c r="AI3301">
        <v>99.202187439247894</v>
      </c>
      <c r="AJ3301">
        <v>88.565736216580802</v>
      </c>
      <c r="AK3301">
        <v>0.64197550372661905</v>
      </c>
      <c r="AL3301">
        <v>68.241242513885197</v>
      </c>
      <c r="AM3301">
        <v>96.551809896185802</v>
      </c>
      <c r="AN3301">
        <v>1.00000000295724</v>
      </c>
    </row>
    <row r="3302" spans="1:40" x14ac:dyDescent="0.25">
      <c r="A3302" t="str">
        <f>"20190304164435999"</f>
        <v>20190304164435999</v>
      </c>
      <c r="B3302" t="str">
        <f>"1551689075993675"</f>
        <v>1551689075993675</v>
      </c>
      <c r="C3302" t="s">
        <v>40</v>
      </c>
      <c r="D3302">
        <v>4.6986270000000001</v>
      </c>
      <c r="E3302">
        <v>0.56368909999999905</v>
      </c>
      <c r="F3302" t="s">
        <v>41</v>
      </c>
      <c r="G3302">
        <v>-293.89269999999999</v>
      </c>
      <c r="H3302">
        <v>1.0129840000000001</v>
      </c>
      <c r="I3302">
        <v>214.38589999999999</v>
      </c>
      <c r="J3302">
        <v>-294.5093</v>
      </c>
      <c r="K3302">
        <v>1.110385</v>
      </c>
      <c r="L3302">
        <v>214.39940000000001</v>
      </c>
      <c r="M3302">
        <v>0.99989070000000002</v>
      </c>
      <c r="N3302">
        <v>-1.4292529999999999E-2</v>
      </c>
      <c r="O3302">
        <v>3.753883E-3</v>
      </c>
      <c r="P3302">
        <v>0.92788419999999905</v>
      </c>
      <c r="Q3302">
        <v>0.35669210000000001</v>
      </c>
      <c r="R3302">
        <v>0.1086351</v>
      </c>
      <c r="S3302">
        <v>3.3635860000000002</v>
      </c>
      <c r="T3302">
        <v>-0.32253189999999998</v>
      </c>
      <c r="U3302">
        <v>-3.9199829999999998E-2</v>
      </c>
      <c r="V3302">
        <v>-0.1049115</v>
      </c>
      <c r="W3302">
        <v>0.36999159999999998</v>
      </c>
      <c r="X3302">
        <v>0.92309249999999998</v>
      </c>
      <c r="Y3302">
        <v>1.5314100000000001E-2</v>
      </c>
      <c r="Z3302">
        <v>-1.1478339999999999E-3</v>
      </c>
      <c r="AA3302">
        <v>0.9998821</v>
      </c>
      <c r="AB3302">
        <v>41</v>
      </c>
      <c r="AC3302">
        <v>0.61660000000000503</v>
      </c>
      <c r="AD3302">
        <v>-9.7400999999999793E-2</v>
      </c>
      <c r="AE3302">
        <v>-1.35000000000218E-2</v>
      </c>
      <c r="AF3302">
        <v>1.54299494093198E-2</v>
      </c>
      <c r="AG3302">
        <v>-9.7400999999999793E-2</v>
      </c>
      <c r="AH3302">
        <v>0.601541989441568</v>
      </c>
      <c r="AI3302">
        <v>99.194471047485095</v>
      </c>
      <c r="AJ3302">
        <v>88.530647605830694</v>
      </c>
      <c r="AK3302">
        <v>0.60957181955951101</v>
      </c>
      <c r="AL3302">
        <v>68.284900428387303</v>
      </c>
      <c r="AM3302">
        <v>96.483969883265601</v>
      </c>
      <c r="AN3302">
        <v>0.99999998522952904</v>
      </c>
    </row>
    <row r="3303" spans="1:40" x14ac:dyDescent="0.25">
      <c r="A3303" t="str">
        <f>"20190304164436021"</f>
        <v>20190304164436021</v>
      </c>
      <c r="B3303" t="str">
        <f>"1551689076013195"</f>
        <v>1551689076013195</v>
      </c>
      <c r="C3303" t="s">
        <v>40</v>
      </c>
      <c r="D3303">
        <v>4.6687919999999998</v>
      </c>
      <c r="E3303">
        <v>0.56366689999999997</v>
      </c>
      <c r="F3303" t="s">
        <v>41</v>
      </c>
      <c r="G3303">
        <v>-293.52800000000002</v>
      </c>
      <c r="H3303">
        <v>1.0152380000000001</v>
      </c>
      <c r="I3303">
        <v>214.387</v>
      </c>
      <c r="J3303">
        <v>-294.10669999999999</v>
      </c>
      <c r="K3303">
        <v>1.1103959999999999</v>
      </c>
      <c r="L3303">
        <v>214.4008</v>
      </c>
      <c r="M3303">
        <v>0.99989159999999999</v>
      </c>
      <c r="N3303">
        <v>-1.429005E-2</v>
      </c>
      <c r="O3303">
        <v>3.5984290000000002E-3</v>
      </c>
      <c r="P3303">
        <v>0.92847630000000003</v>
      </c>
      <c r="Q3303">
        <v>0.35549969999999997</v>
      </c>
      <c r="R3303">
        <v>0.1074806</v>
      </c>
      <c r="S3303">
        <v>3.363464</v>
      </c>
      <c r="T3303">
        <v>-0.32600800000000002</v>
      </c>
      <c r="U3303">
        <v>-4.2587279999999998E-2</v>
      </c>
      <c r="V3303">
        <v>-0.1039253</v>
      </c>
      <c r="W3303">
        <v>0.36879699999999999</v>
      </c>
      <c r="X3303">
        <v>0.92368189999999994</v>
      </c>
      <c r="Y3303">
        <v>1.6159949999999999E-2</v>
      </c>
      <c r="Z3303">
        <v>-1.1937180000000001E-3</v>
      </c>
      <c r="AA3303">
        <v>0.99986870000000005</v>
      </c>
      <c r="AB3303">
        <v>41</v>
      </c>
      <c r="AC3303">
        <v>0.57869999999996902</v>
      </c>
      <c r="AD3303">
        <v>-9.5158000000000006E-2</v>
      </c>
      <c r="AE3303">
        <v>-1.3800000000003299E-2</v>
      </c>
      <c r="AF3303">
        <v>1.54646300026237E-2</v>
      </c>
      <c r="AG3303">
        <v>-9.5158000000000006E-2</v>
      </c>
      <c r="AH3303">
        <v>0.56342114761870798</v>
      </c>
      <c r="AI3303">
        <v>99.582858147678607</v>
      </c>
      <c r="AJ3303">
        <v>88.427755821692301</v>
      </c>
      <c r="AK3303">
        <v>0.57160964768721301</v>
      </c>
      <c r="AL3303">
        <v>68.358555127011698</v>
      </c>
      <c r="AM3303">
        <v>96.419465812271895</v>
      </c>
      <c r="AN3303">
        <v>0.99999997378834904</v>
      </c>
    </row>
    <row r="3304" spans="1:40" x14ac:dyDescent="0.25">
      <c r="A3304" t="str">
        <f>"20190304164436042"</f>
        <v>20190304164436042</v>
      </c>
      <c r="B3304" t="str">
        <f>"1551689076033691"</f>
        <v>1551689076033691</v>
      </c>
      <c r="C3304" t="s">
        <v>40</v>
      </c>
      <c r="D3304">
        <v>4.7234920000000002</v>
      </c>
      <c r="E3304">
        <v>0.56358090000000005</v>
      </c>
      <c r="F3304" t="s">
        <v>41</v>
      </c>
      <c r="G3304">
        <v>-293.16340000000002</v>
      </c>
      <c r="H3304">
        <v>1.01766</v>
      </c>
      <c r="I3304">
        <v>214.3879</v>
      </c>
      <c r="J3304">
        <v>-293.72059999999999</v>
      </c>
      <c r="K3304">
        <v>1.110428</v>
      </c>
      <c r="L3304">
        <v>214.40199999999999</v>
      </c>
      <c r="M3304">
        <v>0.999892</v>
      </c>
      <c r="N3304">
        <v>-1.4287650000000001E-2</v>
      </c>
      <c r="O3304">
        <v>3.4808259999999998E-3</v>
      </c>
      <c r="P3304">
        <v>0.92896259999999997</v>
      </c>
      <c r="Q3304">
        <v>0.35450609999999999</v>
      </c>
      <c r="R3304">
        <v>0.1065559</v>
      </c>
      <c r="S3304">
        <v>3.3630369999999998</v>
      </c>
      <c r="T3304">
        <v>-0.33069029999999999</v>
      </c>
      <c r="U3304">
        <v>-4.560852E-2</v>
      </c>
      <c r="V3304">
        <v>-0.103134</v>
      </c>
      <c r="W3304">
        <v>0.36780040000000003</v>
      </c>
      <c r="X3304">
        <v>0.92416790000000004</v>
      </c>
      <c r="Y3304">
        <v>1.693538E-2</v>
      </c>
      <c r="Z3304">
        <v>-1.243727E-3</v>
      </c>
      <c r="AA3304">
        <v>0.99985579999999996</v>
      </c>
      <c r="AB3304">
        <v>41</v>
      </c>
      <c r="AC3304">
        <v>0.55719999999996594</v>
      </c>
      <c r="AD3304">
        <v>-9.2767999999999906E-2</v>
      </c>
      <c r="AE3304">
        <v>-1.41000000000133E-2</v>
      </c>
      <c r="AF3304">
        <v>1.5607290288565299E-2</v>
      </c>
      <c r="AG3304">
        <v>-9.2767999999999906E-2</v>
      </c>
      <c r="AH3304">
        <v>0.54212997204678903</v>
      </c>
      <c r="AI3304">
        <v>99.7063261452452</v>
      </c>
      <c r="AJ3304">
        <v>88.350976727950197</v>
      </c>
      <c r="AK3304">
        <v>0.55023122042065498</v>
      </c>
      <c r="AL3304">
        <v>68.419974660208993</v>
      </c>
      <c r="AM3304">
        <v>96.367667796351199</v>
      </c>
      <c r="AN3304">
        <v>1.00000003179328</v>
      </c>
    </row>
    <row r="3305" spans="1:40" x14ac:dyDescent="0.25">
      <c r="A3305" t="str">
        <f>"20190304164436065"</f>
        <v>20190304164436065</v>
      </c>
      <c r="B3305" t="str">
        <f>"1551689076053211"</f>
        <v>1551689076053211</v>
      </c>
      <c r="C3305" t="s">
        <v>40</v>
      </c>
      <c r="D3305">
        <v>4.7204069999999998</v>
      </c>
      <c r="E3305">
        <v>0.56355690000000003</v>
      </c>
      <c r="F3305" t="s">
        <v>41</v>
      </c>
      <c r="G3305">
        <v>-292.7998</v>
      </c>
      <c r="H3305">
        <v>1.0186090000000001</v>
      </c>
      <c r="I3305">
        <v>214.3888</v>
      </c>
      <c r="J3305">
        <v>-293.30439999999999</v>
      </c>
      <c r="K3305">
        <v>1.11046</v>
      </c>
      <c r="L3305">
        <v>214.4034</v>
      </c>
      <c r="M3305">
        <v>0.99989229999999996</v>
      </c>
      <c r="N3305">
        <v>-1.428507E-2</v>
      </c>
      <c r="O3305">
        <v>3.3837479999999998E-3</v>
      </c>
      <c r="P3305">
        <v>0.92943339999999997</v>
      </c>
      <c r="Q3305">
        <v>0.3532479</v>
      </c>
      <c r="R3305">
        <v>0.1066279</v>
      </c>
      <c r="S3305">
        <v>3.362854</v>
      </c>
      <c r="T3305">
        <v>-0.3353833</v>
      </c>
      <c r="U3305">
        <v>-4.79126E-2</v>
      </c>
      <c r="V3305">
        <v>-0.10332139999999999</v>
      </c>
      <c r="W3305">
        <v>0.36653950000000002</v>
      </c>
      <c r="X3305">
        <v>0.92464769999999996</v>
      </c>
      <c r="Y3305">
        <v>1.7518099999999901E-2</v>
      </c>
      <c r="Z3305">
        <v>-1.2852230000000001E-3</v>
      </c>
      <c r="AA3305">
        <v>0.99984569999999995</v>
      </c>
      <c r="AB3305">
        <v>41</v>
      </c>
      <c r="AC3305">
        <v>0.50459999999998195</v>
      </c>
      <c r="AD3305">
        <v>-9.1850999999999905E-2</v>
      </c>
      <c r="AE3305">
        <v>-1.4600000000001501E-2</v>
      </c>
      <c r="AF3305">
        <v>1.57849494459949E-2</v>
      </c>
      <c r="AG3305">
        <v>-9.1850999999999905E-2</v>
      </c>
      <c r="AH3305">
        <v>0.48837930045719002</v>
      </c>
      <c r="AI3305">
        <v>100.645939942665</v>
      </c>
      <c r="AJ3305">
        <v>88.148782620964496</v>
      </c>
      <c r="AK3305">
        <v>0.49719222836350402</v>
      </c>
      <c r="AL3305">
        <v>68.497641797163695</v>
      </c>
      <c r="AM3305">
        <v>96.375860021273496</v>
      </c>
      <c r="AN3305">
        <v>0.99999994293674799</v>
      </c>
    </row>
    <row r="3306" spans="1:40" x14ac:dyDescent="0.25">
      <c r="A3306" t="str">
        <f>"20190304164436089"</f>
        <v>20190304164436089</v>
      </c>
      <c r="B3306" t="str">
        <f>"1551689076083468"</f>
        <v>1551689076083468</v>
      </c>
      <c r="C3306" t="s">
        <v>40</v>
      </c>
      <c r="D3306">
        <v>4.7045760000000003</v>
      </c>
      <c r="E3306">
        <v>0.56354709999999997</v>
      </c>
      <c r="F3306" t="s">
        <v>41</v>
      </c>
      <c r="G3306">
        <v>-292.43490000000003</v>
      </c>
      <c r="H3306">
        <v>1.0228459999999999</v>
      </c>
      <c r="I3306">
        <v>214.39060000000001</v>
      </c>
      <c r="J3306">
        <v>-292.89089999999999</v>
      </c>
      <c r="K3306">
        <v>1.1104810000000001</v>
      </c>
      <c r="L3306">
        <v>214.40469999999999</v>
      </c>
      <c r="M3306">
        <v>0.99989269999999997</v>
      </c>
      <c r="N3306">
        <v>-1.428253E-2</v>
      </c>
      <c r="O3306">
        <v>3.309668E-3</v>
      </c>
      <c r="P3306">
        <v>0.92993440000000005</v>
      </c>
      <c r="Q3306">
        <v>0.35195159999999998</v>
      </c>
      <c r="R3306">
        <v>0.1065479</v>
      </c>
      <c r="S3306">
        <v>3.3622130000000001</v>
      </c>
      <c r="T3306">
        <v>-0.33884940000000002</v>
      </c>
      <c r="U3306">
        <v>-4.8980709999999997E-2</v>
      </c>
      <c r="V3306">
        <v>-0.1033323</v>
      </c>
      <c r="W3306">
        <v>0.36524099999999998</v>
      </c>
      <c r="X3306">
        <v>0.92516019999999999</v>
      </c>
      <c r="Y3306">
        <v>1.7760910000000001E-2</v>
      </c>
      <c r="Z3306">
        <v>-1.305421E-3</v>
      </c>
      <c r="AA3306">
        <v>0.99984139999999999</v>
      </c>
      <c r="AB3306">
        <v>41</v>
      </c>
      <c r="AC3306">
        <v>0.45599999999995999</v>
      </c>
      <c r="AD3306">
        <v>-8.7635000000000102E-2</v>
      </c>
      <c r="AE3306">
        <v>-1.4099999999984901E-2</v>
      </c>
      <c r="AF3306">
        <v>1.5053819459053401E-2</v>
      </c>
      <c r="AG3306">
        <v>-8.7635000000000102E-2</v>
      </c>
      <c r="AH3306">
        <v>0.43972555227027099</v>
      </c>
      <c r="AI3306">
        <v>101.264643964147</v>
      </c>
      <c r="AJ3306">
        <v>88.039268827873101</v>
      </c>
      <c r="AK3306">
        <v>0.44862575943062</v>
      </c>
      <c r="AL3306">
        <v>68.577584410305803</v>
      </c>
      <c r="AM3306">
        <v>96.373023851416093</v>
      </c>
      <c r="AN3306">
        <v>0.99999997398416396</v>
      </c>
    </row>
    <row r="3307" spans="1:40" x14ac:dyDescent="0.25">
      <c r="A3307" t="str">
        <f>"20190304164436266"</f>
        <v>20190304164436266</v>
      </c>
      <c r="B3307" t="str">
        <f>"1551689076263052"</f>
        <v>1551689076263052</v>
      </c>
      <c r="C3307" t="s">
        <v>40</v>
      </c>
      <c r="D3307">
        <v>4.6761679999999997</v>
      </c>
      <c r="E3307">
        <v>0.56196780000000002</v>
      </c>
      <c r="F3307" t="s">
        <v>41</v>
      </c>
      <c r="G3307">
        <v>-289.21080000000001</v>
      </c>
      <c r="H3307">
        <v>0.96298839999999997</v>
      </c>
      <c r="I3307">
        <v>214.41730000000001</v>
      </c>
      <c r="J3307">
        <v>-289.6748</v>
      </c>
      <c r="K3307">
        <v>1.110571</v>
      </c>
      <c r="L3307">
        <v>214.4144</v>
      </c>
      <c r="M3307">
        <v>0.99989399999999995</v>
      </c>
      <c r="N3307">
        <v>-1.4262469999999999E-2</v>
      </c>
      <c r="O3307">
        <v>2.9643790000000001E-3</v>
      </c>
      <c r="P3307">
        <v>0.9295253</v>
      </c>
      <c r="Q3307">
        <v>0.35288389999999997</v>
      </c>
      <c r="R3307">
        <v>0.10703269999999999</v>
      </c>
      <c r="S3307">
        <v>3.4466860000000001</v>
      </c>
      <c r="T3307">
        <v>-0.58141949999999998</v>
      </c>
      <c r="U3307">
        <v>1.6342160000000001E-2</v>
      </c>
      <c r="V3307">
        <v>-0.1042121</v>
      </c>
      <c r="W3307">
        <v>0.36612820000000001</v>
      </c>
      <c r="X3307">
        <v>0.92471080000000005</v>
      </c>
      <c r="Y3307">
        <v>-1.784414E-3</v>
      </c>
      <c r="Z3307">
        <v>-2.9226559999999998E-4</v>
      </c>
      <c r="AA3307">
        <v>0.99999839999999995</v>
      </c>
      <c r="AB3307">
        <v>40</v>
      </c>
      <c r="AC3307">
        <v>0.46399999999999803</v>
      </c>
      <c r="AD3307">
        <v>-0.14758260000000001</v>
      </c>
      <c r="AE3307">
        <v>2.9000000000110001E-3</v>
      </c>
      <c r="AF3307">
        <v>-1.3843336722223201E-3</v>
      </c>
      <c r="AG3307">
        <v>-0.14758260000000001</v>
      </c>
      <c r="AH3307">
        <v>0.42137901617432499</v>
      </c>
      <c r="AI3307">
        <v>109.302055448895</v>
      </c>
      <c r="AJ3307">
        <v>90.188230045786597</v>
      </c>
      <c r="AK3307">
        <v>0.44647823628315703</v>
      </c>
      <c r="AL3307">
        <v>68.522970389277901</v>
      </c>
      <c r="AM3307">
        <v>96.429930664889895</v>
      </c>
      <c r="AN3307">
        <v>1.00000004212914</v>
      </c>
    </row>
    <row r="3308" spans="1:40" x14ac:dyDescent="0.25">
      <c r="A3308" t="str">
        <f>"20190304164436289"</f>
        <v>20190304164436289</v>
      </c>
      <c r="B3308" t="str">
        <f>"1551689076283547"</f>
        <v>1551689076283547</v>
      </c>
      <c r="C3308" t="s">
        <v>40</v>
      </c>
      <c r="D3308">
        <v>4.748265</v>
      </c>
      <c r="E3308">
        <v>0.56157699999999999</v>
      </c>
      <c r="F3308" t="s">
        <v>41</v>
      </c>
      <c r="G3308">
        <v>-288.8338</v>
      </c>
      <c r="H3308">
        <v>0.99845079999999997</v>
      </c>
      <c r="I3308">
        <v>214.4083</v>
      </c>
      <c r="J3308">
        <v>-289.26569999999998</v>
      </c>
      <c r="K3308">
        <v>1.1105689999999999</v>
      </c>
      <c r="L3308">
        <v>214.41560000000001</v>
      </c>
      <c r="M3308">
        <v>0.99989399999999995</v>
      </c>
      <c r="N3308">
        <v>-1.425976E-2</v>
      </c>
      <c r="O3308">
        <v>2.9221910000000002E-3</v>
      </c>
      <c r="P3308">
        <v>0.92966119999999997</v>
      </c>
      <c r="Q3308">
        <v>0.35276610000000003</v>
      </c>
      <c r="R3308">
        <v>0.1062371</v>
      </c>
      <c r="S3308">
        <v>3.4025270000000001</v>
      </c>
      <c r="T3308">
        <v>-0.45367940000000001</v>
      </c>
      <c r="U3308">
        <v>-2.4246219999999999E-2</v>
      </c>
      <c r="V3308">
        <v>-0.10345799999999999</v>
      </c>
      <c r="W3308">
        <v>0.36600919999999998</v>
      </c>
      <c r="X3308">
        <v>0.92484250000000001</v>
      </c>
      <c r="Y3308">
        <v>9.9301579999999997E-3</v>
      </c>
      <c r="Z3308">
        <v>-1.0766549999999999E-3</v>
      </c>
      <c r="AA3308">
        <v>0.99995009999999995</v>
      </c>
      <c r="AB3308">
        <v>40</v>
      </c>
      <c r="AC3308">
        <v>0.43189999999998402</v>
      </c>
      <c r="AD3308">
        <v>-0.1121182</v>
      </c>
      <c r="AE3308">
        <v>-7.3000000000149603E-3</v>
      </c>
      <c r="AF3308">
        <v>8.0217707674264307E-3</v>
      </c>
      <c r="AG3308">
        <v>-0.1121182</v>
      </c>
      <c r="AH3308">
        <v>0.40461800595522701</v>
      </c>
      <c r="AI3308">
        <v>105.484965236305</v>
      </c>
      <c r="AJ3308">
        <v>88.864228978273999</v>
      </c>
      <c r="AK3308">
        <v>0.41994115102079399</v>
      </c>
      <c r="AL3308">
        <v>68.5302955510803</v>
      </c>
      <c r="AM3308">
        <v>96.382886305270304</v>
      </c>
      <c r="AN3308">
        <v>0.99999997102744398</v>
      </c>
    </row>
    <row r="3309" spans="1:40" x14ac:dyDescent="0.25">
      <c r="A3309" t="str">
        <f>"20190304164436312"</f>
        <v>20190304164436312</v>
      </c>
      <c r="B3309" t="str">
        <f>"1551689076303067"</f>
        <v>1551689076303067</v>
      </c>
      <c r="C3309" t="s">
        <v>40</v>
      </c>
      <c r="D3309">
        <v>4.6783349999999997</v>
      </c>
      <c r="E3309">
        <v>0.56093289999999996</v>
      </c>
      <c r="F3309" t="s">
        <v>41</v>
      </c>
      <c r="G3309">
        <v>-288.46800000000002</v>
      </c>
      <c r="H3309">
        <v>1.010785</v>
      </c>
      <c r="I3309">
        <v>214.40950000000001</v>
      </c>
      <c r="J3309">
        <v>-288.85730000000001</v>
      </c>
      <c r="K3309">
        <v>1.1105769999999999</v>
      </c>
      <c r="L3309">
        <v>214.41669999999999</v>
      </c>
      <c r="M3309">
        <v>0.99989430000000001</v>
      </c>
      <c r="N3309">
        <v>-1.425705E-2</v>
      </c>
      <c r="O3309">
        <v>2.8803449999999999E-3</v>
      </c>
      <c r="P3309">
        <v>0.92981820000000004</v>
      </c>
      <c r="Q3309">
        <v>0.35268169999999999</v>
      </c>
      <c r="R3309">
        <v>0.10513749999999999</v>
      </c>
      <c r="S3309">
        <v>3.3908390000000002</v>
      </c>
      <c r="T3309">
        <v>-0.42422680000000001</v>
      </c>
      <c r="U3309">
        <v>-2.554321E-2</v>
      </c>
      <c r="V3309">
        <v>-0.1023984</v>
      </c>
      <c r="W3309">
        <v>0.3659231</v>
      </c>
      <c r="X3309">
        <v>0.92499450000000005</v>
      </c>
      <c r="Y3309">
        <v>1.030612E-2</v>
      </c>
      <c r="Z3309">
        <v>-1.0340060000000001E-3</v>
      </c>
      <c r="AA3309">
        <v>0.99994640000000001</v>
      </c>
      <c r="AB3309">
        <v>40</v>
      </c>
      <c r="AC3309">
        <v>0.38929999999999099</v>
      </c>
      <c r="AD3309">
        <v>-9.9792000000000103E-2</v>
      </c>
      <c r="AE3309">
        <v>-7.1999999999832198E-3</v>
      </c>
      <c r="AF3309">
        <v>7.8084921635482498E-3</v>
      </c>
      <c r="AG3309">
        <v>-9.9792000000000103E-2</v>
      </c>
      <c r="AH3309">
        <v>0.36528355651969602</v>
      </c>
      <c r="AI3309">
        <v>105.27649285851</v>
      </c>
      <c r="AJ3309">
        <v>88.775401986579396</v>
      </c>
      <c r="AK3309">
        <v>0.37874990756110499</v>
      </c>
      <c r="AL3309">
        <v>68.535596793593498</v>
      </c>
      <c r="AM3309">
        <v>96.317015350290404</v>
      </c>
      <c r="AN3309">
        <v>0.99999998623320996</v>
      </c>
    </row>
    <row r="3310" spans="1:40" x14ac:dyDescent="0.25">
      <c r="A3310" t="str">
        <f>"20190304164436333"</f>
        <v>20190304164436333</v>
      </c>
      <c r="B3310" t="str">
        <f>"1551689076323564"</f>
        <v>1551689076323564</v>
      </c>
      <c r="C3310" t="s">
        <v>40</v>
      </c>
      <c r="D3310">
        <v>5.3387409999999997</v>
      </c>
      <c r="E3310">
        <v>0.56060350000000003</v>
      </c>
      <c r="F3310" t="s">
        <v>41</v>
      </c>
      <c r="G3310">
        <v>-288.10329999999999</v>
      </c>
      <c r="H3310">
        <v>1.0213289999999999</v>
      </c>
      <c r="I3310">
        <v>214.41139999999999</v>
      </c>
      <c r="J3310">
        <v>-288.47669999999999</v>
      </c>
      <c r="K3310">
        <v>1.110579</v>
      </c>
      <c r="L3310">
        <v>214.4178</v>
      </c>
      <c r="M3310">
        <v>0.99989439999999996</v>
      </c>
      <c r="N3310">
        <v>-1.425454E-2</v>
      </c>
      <c r="O3310">
        <v>2.842181E-3</v>
      </c>
      <c r="P3310">
        <v>0.92990519999999999</v>
      </c>
      <c r="Q3310">
        <v>0.35268100000000002</v>
      </c>
      <c r="R3310">
        <v>0.104367</v>
      </c>
      <c r="S3310">
        <v>3.3809200000000001</v>
      </c>
      <c r="T3310">
        <v>-0.40020549999999999</v>
      </c>
      <c r="U3310">
        <v>-2.4078370000000002E-2</v>
      </c>
      <c r="V3310">
        <v>-0.1016645</v>
      </c>
      <c r="W3310">
        <v>0.36592140000000001</v>
      </c>
      <c r="X3310">
        <v>0.92507609999999996</v>
      </c>
      <c r="Y3310">
        <v>9.8714010000000001E-3</v>
      </c>
      <c r="Z3310">
        <v>-9.4771129999999995E-4</v>
      </c>
      <c r="AA3310">
        <v>0.99995080000000003</v>
      </c>
      <c r="AB3310">
        <v>40</v>
      </c>
      <c r="AC3310">
        <v>0.37340000000000301</v>
      </c>
      <c r="AD3310">
        <v>-8.9249999999999802E-2</v>
      </c>
      <c r="AE3310">
        <v>-6.4000000000134999E-3</v>
      </c>
      <c r="AF3310">
        <v>7.05823069050207E-3</v>
      </c>
      <c r="AG3310">
        <v>-8.9249999999999802E-2</v>
      </c>
      <c r="AH3310">
        <v>0.35320732436185698</v>
      </c>
      <c r="AI3310">
        <v>104.17819572910599</v>
      </c>
      <c r="AJ3310">
        <v>88.855196413656699</v>
      </c>
      <c r="AK3310">
        <v>0.36437727028910899</v>
      </c>
      <c r="AL3310">
        <v>68.535701003073399</v>
      </c>
      <c r="AM3310">
        <v>96.271553913598297</v>
      </c>
      <c r="AN3310">
        <v>0.99999996616470899</v>
      </c>
    </row>
    <row r="3311" spans="1:40" x14ac:dyDescent="0.25">
      <c r="A3311" t="str">
        <f>"20190304164436356"</f>
        <v>20190304164436356</v>
      </c>
      <c r="B3311" t="str">
        <f>"1551689076353820"</f>
        <v>1551689076353820</v>
      </c>
      <c r="C3311" t="s">
        <v>40</v>
      </c>
      <c r="D3311">
        <v>4.7750870000000001</v>
      </c>
      <c r="E3311">
        <v>0.56024499999999999</v>
      </c>
      <c r="F3311" t="s">
        <v>41</v>
      </c>
      <c r="G3311">
        <v>-287.7407</v>
      </c>
      <c r="H3311">
        <v>1.0282389999999999</v>
      </c>
      <c r="I3311">
        <v>214.41210000000001</v>
      </c>
      <c r="J3311">
        <v>-288.0652</v>
      </c>
      <c r="K3311">
        <v>1.11059</v>
      </c>
      <c r="L3311">
        <v>214.41890000000001</v>
      </c>
      <c r="M3311">
        <v>0.99989459999999997</v>
      </c>
      <c r="N3311">
        <v>-1.4251959999999999E-2</v>
      </c>
      <c r="O3311">
        <v>2.8041619999999998E-3</v>
      </c>
      <c r="P3311">
        <v>0.93011560000000004</v>
      </c>
      <c r="Q3311">
        <v>0.35237639999999998</v>
      </c>
      <c r="R3311">
        <v>0.1035186</v>
      </c>
      <c r="S3311">
        <v>3.3721009999999998</v>
      </c>
      <c r="T3311">
        <v>-0.3772103</v>
      </c>
      <c r="U3311">
        <v>-2.600098E-2</v>
      </c>
      <c r="V3311">
        <v>-0.1008534</v>
      </c>
      <c r="W3311">
        <v>0.36561650000000001</v>
      </c>
      <c r="X3311">
        <v>0.92528549999999998</v>
      </c>
      <c r="Y3311">
        <v>1.042803E-2</v>
      </c>
      <c r="Z3311">
        <v>-9.2884640000000002E-4</v>
      </c>
      <c r="AA3311">
        <v>0.99994519999999998</v>
      </c>
      <c r="AB3311">
        <v>40</v>
      </c>
      <c r="AC3311">
        <v>0.32450000000000001</v>
      </c>
      <c r="AD3311">
        <v>-8.2350999999999994E-2</v>
      </c>
      <c r="AE3311">
        <v>-6.7999999999983603E-3</v>
      </c>
      <c r="AF3311">
        <v>7.2437023543765796E-3</v>
      </c>
      <c r="AG3311">
        <v>-8.2350999999999994E-2</v>
      </c>
      <c r="AH3311">
        <v>0.30485461767622002</v>
      </c>
      <c r="AI3311">
        <v>105.11255578825801</v>
      </c>
      <c r="AJ3311">
        <v>88.638841378916794</v>
      </c>
      <c r="AK3311">
        <v>0.315864680430264</v>
      </c>
      <c r="AL3311">
        <v>68.554472924486205</v>
      </c>
      <c r="AM3311">
        <v>96.220515145223004</v>
      </c>
      <c r="AN3311">
        <v>1.0000000449370201</v>
      </c>
    </row>
    <row r="3312" spans="1:40" x14ac:dyDescent="0.25">
      <c r="A3312" t="str">
        <f>"20190304164436380"</f>
        <v>20190304164436380</v>
      </c>
      <c r="B3312" t="str">
        <f>"1551689076373339"</f>
        <v>1551689076373339</v>
      </c>
      <c r="C3312" t="s">
        <v>40</v>
      </c>
      <c r="D3312">
        <v>4.8349669999999998</v>
      </c>
      <c r="E3312">
        <v>0.5599653</v>
      </c>
      <c r="F3312" t="s">
        <v>41</v>
      </c>
      <c r="G3312">
        <v>-287.0367</v>
      </c>
      <c r="H3312">
        <v>1.0004059999999999</v>
      </c>
      <c r="I3312">
        <v>214.41059999999999</v>
      </c>
      <c r="J3312">
        <v>-287.64069999999998</v>
      </c>
      <c r="K3312">
        <v>1.110595</v>
      </c>
      <c r="L3312">
        <v>214.42009999999999</v>
      </c>
      <c r="M3312">
        <v>0.99989470000000003</v>
      </c>
      <c r="N3312">
        <v>-1.4249329999999999E-2</v>
      </c>
      <c r="O3312">
        <v>2.772989E-3</v>
      </c>
      <c r="P3312">
        <v>0.93025329999999995</v>
      </c>
      <c r="Q3312">
        <v>0.3523423</v>
      </c>
      <c r="R3312">
        <v>0.10239239999999999</v>
      </c>
      <c r="S3312">
        <v>3.365021</v>
      </c>
      <c r="T3312">
        <v>-0.36046929999999999</v>
      </c>
      <c r="U3312">
        <v>-2.7389529999999999E-2</v>
      </c>
      <c r="V3312">
        <v>-9.9760660000000001E-2</v>
      </c>
      <c r="W3312">
        <v>0.36558049999999997</v>
      </c>
      <c r="X3312">
        <v>0.92541810000000002</v>
      </c>
      <c r="Y3312">
        <v>1.083019E-2</v>
      </c>
      <c r="Z3312">
        <v>-9.1261109999999995E-4</v>
      </c>
      <c r="AA3312">
        <v>0.99994090000000002</v>
      </c>
      <c r="AB3312">
        <v>40</v>
      </c>
      <c r="AC3312">
        <v>0.60399999999998499</v>
      </c>
      <c r="AD3312">
        <v>-0.110189</v>
      </c>
      <c r="AE3312">
        <v>-9.5000000000027198E-3</v>
      </c>
      <c r="AF3312">
        <v>1.08151631724678E-2</v>
      </c>
      <c r="AG3312">
        <v>-0.110189</v>
      </c>
      <c r="AH3312">
        <v>0.58452237401627705</v>
      </c>
      <c r="AI3312">
        <v>100.67382855080101</v>
      </c>
      <c r="AJ3312">
        <v>88.940002070503894</v>
      </c>
      <c r="AK3312">
        <v>0.59491595137554698</v>
      </c>
      <c r="AL3312">
        <v>68.556687422580197</v>
      </c>
      <c r="AM3312">
        <v>96.152761200852794</v>
      </c>
      <c r="AN3312">
        <v>0.99999997553574704</v>
      </c>
    </row>
    <row r="3313" spans="1:40" x14ac:dyDescent="0.25">
      <c r="A3313" t="str">
        <f>"20190304164436401"</f>
        <v>20190304164436401</v>
      </c>
      <c r="B3313" t="str">
        <f>"1551689076392863"</f>
        <v>1551689076392863</v>
      </c>
      <c r="C3313" t="s">
        <v>40</v>
      </c>
      <c r="D3313">
        <v>4.8258449999999904</v>
      </c>
      <c r="E3313">
        <v>0.55957389999999996</v>
      </c>
      <c r="F3313" t="s">
        <v>41</v>
      </c>
      <c r="G3313">
        <v>-286.67450000000002</v>
      </c>
      <c r="H3313">
        <v>1.008392</v>
      </c>
      <c r="I3313">
        <v>214.4117</v>
      </c>
      <c r="J3313">
        <v>-287.2611</v>
      </c>
      <c r="K3313">
        <v>1.1106</v>
      </c>
      <c r="L3313">
        <v>214.4211</v>
      </c>
      <c r="M3313">
        <v>0.99989490000000003</v>
      </c>
      <c r="N3313">
        <v>-1.4246969999999999E-2</v>
      </c>
      <c r="O3313">
        <v>2.7514240000000001E-3</v>
      </c>
      <c r="P3313">
        <v>0.93037530000000002</v>
      </c>
      <c r="Q3313">
        <v>0.352354</v>
      </c>
      <c r="R3313">
        <v>0.10123749999999999</v>
      </c>
      <c r="S3313">
        <v>3.362854</v>
      </c>
      <c r="T3313">
        <v>-0.35587239999999998</v>
      </c>
      <c r="U3313">
        <v>-2.8503420000000002E-2</v>
      </c>
      <c r="V3313">
        <v>-9.8630990000000002E-2</v>
      </c>
      <c r="W3313">
        <v>0.36558990000000002</v>
      </c>
      <c r="X3313">
        <v>0.92553549999999996</v>
      </c>
      <c r="Y3313">
        <v>1.114507E-2</v>
      </c>
      <c r="Z3313">
        <v>-9.1895309999999995E-4</v>
      </c>
      <c r="AA3313">
        <v>0.99993750000000003</v>
      </c>
      <c r="AB3313">
        <v>40</v>
      </c>
      <c r="AC3313">
        <v>0.58659999999997503</v>
      </c>
      <c r="AD3313">
        <v>-0.10220799999999999</v>
      </c>
      <c r="AE3313">
        <v>-9.3999999999994002E-3</v>
      </c>
      <c r="AF3313">
        <v>1.06896702256983E-2</v>
      </c>
      <c r="AG3313">
        <v>-0.10220799999999999</v>
      </c>
      <c r="AH3313">
        <v>0.56929324796846204</v>
      </c>
      <c r="AI3313">
        <v>100.17640271456401</v>
      </c>
      <c r="AJ3313">
        <v>88.924278438211104</v>
      </c>
      <c r="AK3313">
        <v>0.57849420610410196</v>
      </c>
      <c r="AL3313">
        <v>68.556109438968505</v>
      </c>
      <c r="AM3313">
        <v>96.082848091734803</v>
      </c>
      <c r="AN3313">
        <v>1.0000000044653199</v>
      </c>
    </row>
    <row r="3314" spans="1:40" x14ac:dyDescent="0.25">
      <c r="A3314" t="str">
        <f>"20190304164436423"</f>
        <v>20190304164436423</v>
      </c>
      <c r="B3314" t="str">
        <f>"1551689076413355"</f>
        <v>1551689076413355</v>
      </c>
      <c r="C3314" t="s">
        <v>40</v>
      </c>
      <c r="D3314">
        <v>4.8252319999999997</v>
      </c>
      <c r="E3314">
        <v>0.55909279999999995</v>
      </c>
      <c r="F3314" t="s">
        <v>41</v>
      </c>
      <c r="G3314">
        <v>-286.315</v>
      </c>
      <c r="H3314">
        <v>1.0112159999999999</v>
      </c>
      <c r="I3314">
        <v>214.41309999999999</v>
      </c>
      <c r="J3314">
        <v>-286.87520000000001</v>
      </c>
      <c r="K3314">
        <v>1.1106049999999901</v>
      </c>
      <c r="L3314">
        <v>214.4221</v>
      </c>
      <c r="M3314">
        <v>0.99989479999999997</v>
      </c>
      <c r="N3314">
        <v>-1.424456E-2</v>
      </c>
      <c r="O3314">
        <v>2.7357079999999999E-3</v>
      </c>
      <c r="P3314">
        <v>0.93059709999999995</v>
      </c>
      <c r="Q3314">
        <v>0.35215669999999999</v>
      </c>
      <c r="R3314">
        <v>9.9872870000000002E-2</v>
      </c>
      <c r="S3314">
        <v>3.3613590000000002</v>
      </c>
      <c r="T3314">
        <v>-0.35299920000000001</v>
      </c>
      <c r="U3314">
        <v>-2.8656009999999999E-2</v>
      </c>
      <c r="V3314">
        <v>-9.7286789999999998E-2</v>
      </c>
      <c r="W3314">
        <v>0.36539149999999998</v>
      </c>
      <c r="X3314">
        <v>0.92575609999999997</v>
      </c>
      <c r="Y3314">
        <v>1.117957E-2</v>
      </c>
      <c r="Z3314">
        <v>-9.1290420000000004E-4</v>
      </c>
      <c r="AA3314">
        <v>0.99993710000000002</v>
      </c>
      <c r="AB3314">
        <v>40</v>
      </c>
      <c r="AC3314">
        <v>0.56020000000000802</v>
      </c>
      <c r="AD3314">
        <v>-9.9388999999999894E-2</v>
      </c>
      <c r="AE3314">
        <v>-9.0000000000145502E-3</v>
      </c>
      <c r="AF3314">
        <v>1.0211328538002299E-2</v>
      </c>
      <c r="AG3314">
        <v>-9.9388999999999894E-2</v>
      </c>
      <c r="AH3314">
        <v>0.543083175544543</v>
      </c>
      <c r="AI3314">
        <v>100.369074034382</v>
      </c>
      <c r="AJ3314">
        <v>88.922822281365498</v>
      </c>
      <c r="AK3314">
        <v>0.55219722935836602</v>
      </c>
      <c r="AL3314">
        <v>68.568322011140793</v>
      </c>
      <c r="AM3314">
        <v>95.999137061049595</v>
      </c>
      <c r="AN3314">
        <v>1.0000000122339801</v>
      </c>
    </row>
    <row r="3315" spans="1:40" x14ac:dyDescent="0.25">
      <c r="A3315" t="str">
        <f>"20190304164436444"</f>
        <v>20190304164436444</v>
      </c>
      <c r="B3315" t="str">
        <f>"1551689076432876"</f>
        <v>1551689076432876</v>
      </c>
      <c r="C3315" t="s">
        <v>40</v>
      </c>
      <c r="D3315">
        <v>4.8516510000000004</v>
      </c>
      <c r="E3315">
        <v>0.5586489</v>
      </c>
      <c r="F3315" t="s">
        <v>41</v>
      </c>
      <c r="G3315">
        <v>-285.95530000000002</v>
      </c>
      <c r="H3315">
        <v>1.014859</v>
      </c>
      <c r="I3315">
        <v>214.41409999999999</v>
      </c>
      <c r="J3315">
        <v>-286.48970000000003</v>
      </c>
      <c r="K3315">
        <v>1.1106009999999999</v>
      </c>
      <c r="L3315">
        <v>214.42320000000001</v>
      </c>
      <c r="M3315">
        <v>0.99989499999999998</v>
      </c>
      <c r="N3315">
        <v>-1.424216E-2</v>
      </c>
      <c r="O3315">
        <v>2.7251039999999999E-3</v>
      </c>
      <c r="P3315">
        <v>0.93060739999999997</v>
      </c>
      <c r="Q3315">
        <v>0.3526241</v>
      </c>
      <c r="R3315">
        <v>9.8114980000000004E-2</v>
      </c>
      <c r="S3315">
        <v>3.3591310000000001</v>
      </c>
      <c r="T3315">
        <v>-0.34979300000000002</v>
      </c>
      <c r="U3315">
        <v>-2.8289789999999999E-2</v>
      </c>
      <c r="V3315">
        <v>-9.5544119999999996E-2</v>
      </c>
      <c r="W3315">
        <v>0.36585479999999998</v>
      </c>
      <c r="X3315">
        <v>0.92575459999999998</v>
      </c>
      <c r="Y3315">
        <v>1.106767E-2</v>
      </c>
      <c r="Z3315">
        <v>-8.9802479999999895E-4</v>
      </c>
      <c r="AA3315">
        <v>0.99993840000000001</v>
      </c>
      <c r="AB3315">
        <v>40</v>
      </c>
      <c r="AC3315">
        <v>0.53440000000000498</v>
      </c>
      <c r="AD3315">
        <v>-9.5741999999999994E-2</v>
      </c>
      <c r="AE3315">
        <v>-9.1000000000178698E-3</v>
      </c>
      <c r="AF3315">
        <v>1.0228204021459599E-2</v>
      </c>
      <c r="AG3315">
        <v>-9.5741999999999994E-2</v>
      </c>
      <c r="AH3315">
        <v>0.51775922142985997</v>
      </c>
      <c r="AI3315">
        <v>100.474569921499</v>
      </c>
      <c r="AJ3315">
        <v>88.868283397232901</v>
      </c>
      <c r="AK3315">
        <v>0.52663626735837299</v>
      </c>
      <c r="AL3315">
        <v>68.539801898508898</v>
      </c>
      <c r="AM3315">
        <v>95.892448669148607</v>
      </c>
      <c r="AN3315">
        <v>0.99999999648538695</v>
      </c>
    </row>
    <row r="3316" spans="1:40" x14ac:dyDescent="0.25">
      <c r="A3316" t="str">
        <f>"20190304164436470"</f>
        <v>20190304164436470</v>
      </c>
      <c r="B3316" t="str">
        <f>"1551689076463133"</f>
        <v>1551689076463133</v>
      </c>
      <c r="C3316" t="s">
        <v>40</v>
      </c>
      <c r="D3316">
        <v>4.8343660000000002</v>
      </c>
      <c r="E3316">
        <v>0.55807039999999997</v>
      </c>
      <c r="F3316" t="s">
        <v>41</v>
      </c>
      <c r="G3316">
        <v>-285.59609999999998</v>
      </c>
      <c r="H3316">
        <v>1.018186</v>
      </c>
      <c r="I3316">
        <v>214.41560000000001</v>
      </c>
      <c r="J3316">
        <v>-286.02440000000001</v>
      </c>
      <c r="K3316">
        <v>1.110608</v>
      </c>
      <c r="L3316">
        <v>214.42439999999999</v>
      </c>
      <c r="M3316">
        <v>0.99989499999999998</v>
      </c>
      <c r="N3316">
        <v>-1.423934E-2</v>
      </c>
      <c r="O3316">
        <v>2.7223320000000001E-3</v>
      </c>
      <c r="P3316">
        <v>0.93092050000000004</v>
      </c>
      <c r="Q3316">
        <v>0.35235040000000001</v>
      </c>
      <c r="R3316">
        <v>9.6106739999999996E-2</v>
      </c>
      <c r="S3316">
        <v>3.3583370000000001</v>
      </c>
      <c r="T3316">
        <v>-0.34729670000000001</v>
      </c>
      <c r="U3316">
        <v>-2.8808589999999999E-2</v>
      </c>
      <c r="V3316">
        <v>-9.3544409999999995E-2</v>
      </c>
      <c r="W3316">
        <v>0.3655815</v>
      </c>
      <c r="X3316">
        <v>0.92606679999999997</v>
      </c>
      <c r="Y3316">
        <v>1.1221470000000001E-2</v>
      </c>
      <c r="Z3316">
        <v>-9.0090709999999998E-4</v>
      </c>
      <c r="AA3316">
        <v>0.99993659999999995</v>
      </c>
      <c r="AB3316">
        <v>40</v>
      </c>
      <c r="AC3316">
        <v>0.42830000000003499</v>
      </c>
      <c r="AD3316">
        <v>-9.2422000000000004E-2</v>
      </c>
      <c r="AE3316">
        <v>-8.7999999999794892E-3</v>
      </c>
      <c r="AF3316">
        <v>9.5228223278304193E-3</v>
      </c>
      <c r="AG3316">
        <v>-9.2422000000000004E-2</v>
      </c>
      <c r="AH3316">
        <v>0.40922705737897003</v>
      </c>
      <c r="AI3316">
        <v>102.72314032945</v>
      </c>
      <c r="AJ3316">
        <v>88.666952573966398</v>
      </c>
      <c r="AK3316">
        <v>0.41964186483254801</v>
      </c>
      <c r="AL3316">
        <v>68.5566276298471</v>
      </c>
      <c r="AM3316">
        <v>95.768030312293206</v>
      </c>
      <c r="AN3316">
        <v>1.00000005392336</v>
      </c>
    </row>
    <row r="3317" spans="1:40" x14ac:dyDescent="0.25">
      <c r="A3317" t="str">
        <f>"20190304164436491"</f>
        <v>20190304164436491</v>
      </c>
      <c r="B3317" t="str">
        <f>"1551689076483627"</f>
        <v>1551689076483627</v>
      </c>
      <c r="C3317" t="s">
        <v>40</v>
      </c>
      <c r="D3317">
        <v>4.8758299999999997</v>
      </c>
      <c r="E3317">
        <v>0.55777129999999997</v>
      </c>
      <c r="F3317" t="s">
        <v>41</v>
      </c>
      <c r="G3317">
        <v>-285.23340000000002</v>
      </c>
      <c r="H3317">
        <v>1.0291520000000001</v>
      </c>
      <c r="I3317">
        <v>214.41720000000001</v>
      </c>
      <c r="J3317">
        <v>-285.64249999999998</v>
      </c>
      <c r="K3317">
        <v>1.1106149999999999</v>
      </c>
      <c r="L3317">
        <v>214.4254</v>
      </c>
      <c r="M3317">
        <v>0.99989490000000003</v>
      </c>
      <c r="N3317">
        <v>-1.4237049999999999E-2</v>
      </c>
      <c r="O3317">
        <v>2.7382069999999999E-3</v>
      </c>
      <c r="P3317">
        <v>0.93126089999999995</v>
      </c>
      <c r="Q3317">
        <v>0.3520952</v>
      </c>
      <c r="R3317">
        <v>9.3714000000000006E-2</v>
      </c>
      <c r="S3317">
        <v>3.3564759999999998</v>
      </c>
      <c r="T3317">
        <v>-0.34580709999999998</v>
      </c>
      <c r="U3317">
        <v>-2.9235839999999999E-2</v>
      </c>
      <c r="V3317">
        <v>-9.1145519999999994E-2</v>
      </c>
      <c r="W3317">
        <v>0.36532569999999998</v>
      </c>
      <c r="X3317">
        <v>0.92640679999999997</v>
      </c>
      <c r="Y3317">
        <v>1.1368990000000001E-2</v>
      </c>
      <c r="Z3317">
        <v>-9.0774119999999995E-4</v>
      </c>
      <c r="AA3317">
        <v>0.99993500000000002</v>
      </c>
      <c r="AB3317">
        <v>40</v>
      </c>
      <c r="AC3317">
        <v>0.40909999999996599</v>
      </c>
      <c r="AD3317">
        <v>-8.1462999999999799E-2</v>
      </c>
      <c r="AE3317">
        <v>-8.1999999999879895E-3</v>
      </c>
      <c r="AF3317">
        <v>8.9649504896538394E-3</v>
      </c>
      <c r="AG3317">
        <v>-8.1462999999999799E-2</v>
      </c>
      <c r="AH3317">
        <v>0.39348011959461998</v>
      </c>
      <c r="AI3317">
        <v>101.693863223592</v>
      </c>
      <c r="AJ3317">
        <v>88.694813410808393</v>
      </c>
      <c r="AK3317">
        <v>0.401924365052031</v>
      </c>
      <c r="AL3317">
        <v>68.572371026656697</v>
      </c>
      <c r="AM3317">
        <v>95.619022501965503</v>
      </c>
      <c r="AN3317">
        <v>0.99999996599139895</v>
      </c>
    </row>
    <row r="3318" spans="1:40" x14ac:dyDescent="0.25">
      <c r="A3318" t="str">
        <f>"20190304164436512"</f>
        <v>20190304164436512</v>
      </c>
      <c r="B3318" t="str">
        <f>"1551689076503148"</f>
        <v>1551689076503148</v>
      </c>
      <c r="C3318" t="s">
        <v>40</v>
      </c>
      <c r="D3318">
        <v>4.8673209999999996</v>
      </c>
      <c r="E3318">
        <v>0.55750849999999996</v>
      </c>
      <c r="F3318" t="s">
        <v>41</v>
      </c>
      <c r="G3318">
        <v>-284.87520000000001</v>
      </c>
      <c r="H3318">
        <v>1.031487</v>
      </c>
      <c r="I3318">
        <v>214.41759999999999</v>
      </c>
      <c r="J3318">
        <v>-285.2654</v>
      </c>
      <c r="K3318">
        <v>1.110643</v>
      </c>
      <c r="L3318">
        <v>214.4265</v>
      </c>
      <c r="M3318">
        <v>0.99989490000000003</v>
      </c>
      <c r="N3318">
        <v>-1.4234790000000001E-2</v>
      </c>
      <c r="O3318">
        <v>2.778469E-3</v>
      </c>
      <c r="P3318">
        <v>0.93161389999999999</v>
      </c>
      <c r="Q3318">
        <v>0.35187869999999999</v>
      </c>
      <c r="R3318">
        <v>9.0978409999999996E-2</v>
      </c>
      <c r="S3318">
        <v>3.3556819999999998</v>
      </c>
      <c r="T3318">
        <v>-0.34604629999999997</v>
      </c>
      <c r="U3318">
        <v>-3.4057619999999997E-2</v>
      </c>
      <c r="V3318">
        <v>-8.8387010000000002E-2</v>
      </c>
      <c r="W3318">
        <v>0.3651083</v>
      </c>
      <c r="X3318">
        <v>0.92675980000000002</v>
      </c>
      <c r="Y3318">
        <v>1.2838810000000001E-2</v>
      </c>
      <c r="Z3318">
        <v>-9.9817520000000009E-4</v>
      </c>
      <c r="AA3318">
        <v>0.9999171</v>
      </c>
      <c r="AB3318">
        <v>40</v>
      </c>
      <c r="AC3318">
        <v>0.390199999999993</v>
      </c>
      <c r="AD3318">
        <v>-7.9155999999999893E-2</v>
      </c>
      <c r="AE3318">
        <v>-8.9000000000112305E-3</v>
      </c>
      <c r="AF3318">
        <v>9.5897978537281599E-3</v>
      </c>
      <c r="AG3318">
        <v>-7.9155999999999893E-2</v>
      </c>
      <c r="AH3318">
        <v>0.37475959662387698</v>
      </c>
      <c r="AI3318">
        <v>101.922814241777</v>
      </c>
      <c r="AJ3318">
        <v>88.534166792663996</v>
      </c>
      <c r="AK3318">
        <v>0.383148002501078</v>
      </c>
      <c r="AL3318">
        <v>68.585752865883705</v>
      </c>
      <c r="AM3318">
        <v>95.447939704623195</v>
      </c>
      <c r="AN3318">
        <v>1.0000000305808301</v>
      </c>
    </row>
    <row r="3319" spans="1:40" x14ac:dyDescent="0.25">
      <c r="A3319" t="str">
        <f>"20190304164436535"</f>
        <v>20190304164436535</v>
      </c>
      <c r="B3319" t="str">
        <f>"1551689076523644"</f>
        <v>1551689076523644</v>
      </c>
      <c r="C3319" t="s">
        <v>40</v>
      </c>
      <c r="D3319">
        <v>4.8633870000000003</v>
      </c>
      <c r="E3319">
        <v>0.55731830000000004</v>
      </c>
      <c r="F3319" t="s">
        <v>41</v>
      </c>
      <c r="G3319">
        <v>-284.51749999999998</v>
      </c>
      <c r="H3319">
        <v>1.033595</v>
      </c>
      <c r="I3319">
        <v>214.41749999999999</v>
      </c>
      <c r="J3319">
        <v>-284.87509999999997</v>
      </c>
      <c r="K3319">
        <v>1.11067</v>
      </c>
      <c r="L3319">
        <v>214.42760000000001</v>
      </c>
      <c r="M3319">
        <v>0.99989459999999997</v>
      </c>
      <c r="N3319">
        <v>-1.4232440000000001E-2</v>
      </c>
      <c r="O3319">
        <v>2.8506320000000001E-3</v>
      </c>
      <c r="P3319">
        <v>0.93183709999999997</v>
      </c>
      <c r="Q3319">
        <v>0.35180879999999998</v>
      </c>
      <c r="R3319">
        <v>8.8939489999999996E-2</v>
      </c>
      <c r="S3319">
        <v>3.3546749999999999</v>
      </c>
      <c r="T3319">
        <v>-0.34573419999999999</v>
      </c>
      <c r="U3319">
        <v>-3.9627080000000002E-2</v>
      </c>
      <c r="V3319">
        <v>-8.6303229999999995E-2</v>
      </c>
      <c r="W3319">
        <v>0.36503409999999997</v>
      </c>
      <c r="X3319">
        <v>0.92698539999999996</v>
      </c>
      <c r="Y3319">
        <v>1.456329E-2</v>
      </c>
      <c r="Z3319">
        <v>-1.1049199999999999E-3</v>
      </c>
      <c r="AA3319">
        <v>0.99989340000000004</v>
      </c>
      <c r="AB3319">
        <v>40</v>
      </c>
      <c r="AC3319">
        <v>0.35759999999998998</v>
      </c>
      <c r="AD3319">
        <v>-7.7075000000000005E-2</v>
      </c>
      <c r="AE3319">
        <v>-1.01000000000226E-2</v>
      </c>
      <c r="AF3319">
        <v>1.06262020004609E-2</v>
      </c>
      <c r="AG3319">
        <v>-7.7075000000000005E-2</v>
      </c>
      <c r="AH3319">
        <v>0.34170835879080103</v>
      </c>
      <c r="AI3319">
        <v>102.70485964940799</v>
      </c>
      <c r="AJ3319">
        <v>88.218830858627598</v>
      </c>
      <c r="AK3319">
        <v>0.35045409722452597</v>
      </c>
      <c r="AL3319">
        <v>68.590319534740701</v>
      </c>
      <c r="AM3319">
        <v>95.318959525483606</v>
      </c>
      <c r="AN3319">
        <v>1.0000000367421999</v>
      </c>
    </row>
    <row r="3320" spans="1:40" x14ac:dyDescent="0.25">
      <c r="A3320" t="str">
        <f>"20190304164436558"</f>
        <v>20190304164436558</v>
      </c>
      <c r="B3320" t="str">
        <f>"1551689076552926"</f>
        <v>1551689076552926</v>
      </c>
      <c r="C3320" t="s">
        <v>40</v>
      </c>
      <c r="D3320">
        <v>4.8715279999999996</v>
      </c>
      <c r="E3320">
        <v>0.55707410000000002</v>
      </c>
      <c r="F3320" t="s">
        <v>41</v>
      </c>
      <c r="G3320">
        <v>-283.82029999999997</v>
      </c>
      <c r="H3320">
        <v>1.002381</v>
      </c>
      <c r="I3320">
        <v>214.4134</v>
      </c>
      <c r="J3320">
        <v>-284.46359999999999</v>
      </c>
      <c r="K3320">
        <v>1.1107039999999999</v>
      </c>
      <c r="L3320">
        <v>214.4288</v>
      </c>
      <c r="M3320">
        <v>0.99989450000000002</v>
      </c>
      <c r="N3320">
        <v>-1.422998E-2</v>
      </c>
      <c r="O3320">
        <v>2.9586899999999999E-3</v>
      </c>
      <c r="P3320">
        <v>0.93222470000000002</v>
      </c>
      <c r="Q3320">
        <v>0.35126610000000003</v>
      </c>
      <c r="R3320">
        <v>8.7002499999999997E-2</v>
      </c>
      <c r="S3320">
        <v>3.3537599999999999</v>
      </c>
      <c r="T3320">
        <v>-0.34439109999999901</v>
      </c>
      <c r="U3320">
        <v>-4.4952390000000002E-2</v>
      </c>
      <c r="V3320">
        <v>-8.4291270000000001E-2</v>
      </c>
      <c r="W3320">
        <v>0.3644889</v>
      </c>
      <c r="X3320">
        <v>0.92738489999999996</v>
      </c>
      <c r="Y3320">
        <v>1.6252140000000002E-2</v>
      </c>
      <c r="Z3320">
        <v>-1.2092209999999999E-3</v>
      </c>
      <c r="AA3320">
        <v>0.99986719999999896</v>
      </c>
      <c r="AB3320">
        <v>40</v>
      </c>
      <c r="AC3320">
        <v>0.64330000000000997</v>
      </c>
      <c r="AD3320">
        <v>-0.108323</v>
      </c>
      <c r="AE3320">
        <v>-1.53999999999996E-2</v>
      </c>
      <c r="AF3320">
        <v>1.68266216641502E-2</v>
      </c>
      <c r="AG3320">
        <v>-0.108323</v>
      </c>
      <c r="AH3320">
        <v>0.62552562341707396</v>
      </c>
      <c r="AI3320">
        <v>99.821059648569005</v>
      </c>
      <c r="AJ3320">
        <v>88.459116737431103</v>
      </c>
      <c r="AK3320">
        <v>0.63505851153806903</v>
      </c>
      <c r="AL3320">
        <v>68.623867079004398</v>
      </c>
      <c r="AM3320">
        <v>95.193421032568907</v>
      </c>
      <c r="AN3320">
        <v>0.99999996458471496</v>
      </c>
    </row>
    <row r="3321" spans="1:40" x14ac:dyDescent="0.25">
      <c r="A3321" t="str">
        <f>"20190304164436580"</f>
        <v>20190304164436580</v>
      </c>
      <c r="B3321" t="str">
        <f>"1551689076573421"</f>
        <v>1551689076573421</v>
      </c>
      <c r="C3321" t="s">
        <v>40</v>
      </c>
      <c r="D3321">
        <v>4.7935239999999997</v>
      </c>
      <c r="E3321">
        <v>0.55689709999999903</v>
      </c>
      <c r="F3321" t="s">
        <v>41</v>
      </c>
      <c r="G3321">
        <v>-283.46179999999998</v>
      </c>
      <c r="H3321">
        <v>1.007919</v>
      </c>
      <c r="I3321">
        <v>214.41390000000001</v>
      </c>
      <c r="J3321">
        <v>-284.05889999999999</v>
      </c>
      <c r="K3321">
        <v>1.1107209999999901</v>
      </c>
      <c r="L3321">
        <v>214.43010000000001</v>
      </c>
      <c r="M3321">
        <v>0.99989399999999995</v>
      </c>
      <c r="N3321">
        <v>-1.42276E-2</v>
      </c>
      <c r="O3321">
        <v>3.0902909999999998E-3</v>
      </c>
      <c r="P3321">
        <v>0.93274650000000003</v>
      </c>
      <c r="Q3321">
        <v>0.35019919999999999</v>
      </c>
      <c r="R3321">
        <v>8.5700180000000001E-2</v>
      </c>
      <c r="S3321">
        <v>3.352325</v>
      </c>
      <c r="T3321">
        <v>-0.34399370000000001</v>
      </c>
      <c r="U3321">
        <v>-4.9377440000000002E-2</v>
      </c>
      <c r="V3321">
        <v>-8.2887959999999997E-2</v>
      </c>
      <c r="W3321">
        <v>0.36342210000000003</v>
      </c>
      <c r="X3321">
        <v>0.92792989999999997</v>
      </c>
      <c r="Y3321">
        <v>1.77E-2</v>
      </c>
      <c r="Z3321">
        <v>-1.3043969999999999E-3</v>
      </c>
      <c r="AA3321">
        <v>0.99984249999999997</v>
      </c>
      <c r="AB3321">
        <v>40</v>
      </c>
      <c r="AC3321">
        <v>0.59710000000001096</v>
      </c>
      <c r="AD3321">
        <v>-0.10280199999999901</v>
      </c>
      <c r="AE3321">
        <v>-1.6199999999997699E-2</v>
      </c>
      <c r="AF3321">
        <v>1.7526191184871299E-2</v>
      </c>
      <c r="AG3321">
        <v>-0.10280199999999901</v>
      </c>
      <c r="AH3321">
        <v>0.57987112514029804</v>
      </c>
      <c r="AI3321">
        <v>100.048688089943</v>
      </c>
      <c r="AJ3321">
        <v>88.268802953878705</v>
      </c>
      <c r="AK3321">
        <v>0.58917394744924401</v>
      </c>
      <c r="AL3321">
        <v>68.689491025602806</v>
      </c>
      <c r="AM3321">
        <v>95.104436430472404</v>
      </c>
      <c r="AN3321">
        <v>0.99999996799768998</v>
      </c>
    </row>
    <row r="3322" spans="1:40" x14ac:dyDescent="0.25">
      <c r="A3322" t="str">
        <f>"20190304164436601"</f>
        <v>20190304164436601</v>
      </c>
      <c r="B3322" t="str">
        <f>"1551689076592943"</f>
        <v>1551689076592943</v>
      </c>
      <c r="C3322" t="s">
        <v>40</v>
      </c>
      <c r="D3322">
        <v>4.885529</v>
      </c>
      <c r="E3322">
        <v>0.55664579999999997</v>
      </c>
      <c r="F3322" t="s">
        <v>41</v>
      </c>
      <c r="G3322">
        <v>-283.10399999999998</v>
      </c>
      <c r="H3322">
        <v>1.012278</v>
      </c>
      <c r="I3322">
        <v>214.41480000000001</v>
      </c>
      <c r="J3322">
        <v>-283.67529999999999</v>
      </c>
      <c r="K3322">
        <v>1.1107389999999999</v>
      </c>
      <c r="L3322">
        <v>214.4314</v>
      </c>
      <c r="M3322">
        <v>0.99989349999999999</v>
      </c>
      <c r="N3322">
        <v>-1.4225349999999999E-2</v>
      </c>
      <c r="O3322">
        <v>3.2342339999999999E-3</v>
      </c>
      <c r="P3322">
        <v>0.93324980000000002</v>
      </c>
      <c r="Q3322">
        <v>0.34918139999999998</v>
      </c>
      <c r="R3322">
        <v>8.4363010000000002E-2</v>
      </c>
      <c r="S3322">
        <v>3.3509519999999902</v>
      </c>
      <c r="T3322">
        <v>-0.34552620000000001</v>
      </c>
      <c r="U3322">
        <v>-5.3131100000000001E-2</v>
      </c>
      <c r="V3322">
        <v>-8.1432630000000006E-2</v>
      </c>
      <c r="W3322">
        <v>0.3624059</v>
      </c>
      <c r="X3322">
        <v>0.92845610000000001</v>
      </c>
      <c r="Y3322">
        <v>1.896041E-2</v>
      </c>
      <c r="Z3322">
        <v>-1.3968540000000001E-3</v>
      </c>
      <c r="AA3322">
        <v>0.99981929999999997</v>
      </c>
      <c r="AB3322">
        <v>40</v>
      </c>
      <c r="AC3322">
        <v>0.57129999999995096</v>
      </c>
      <c r="AD3322">
        <v>-9.8460999999999896E-2</v>
      </c>
      <c r="AE3322">
        <v>-1.6599999999982601E-2</v>
      </c>
      <c r="AF3322">
        <v>1.7916105362019999E-2</v>
      </c>
      <c r="AG3322">
        <v>-9.8460999999999896E-2</v>
      </c>
      <c r="AH3322">
        <v>0.55477863918505599</v>
      </c>
      <c r="AI3322">
        <v>100.05881031482301</v>
      </c>
      <c r="AJ3322">
        <v>88.150324260113706</v>
      </c>
      <c r="AK3322">
        <v>0.56373299872223703</v>
      </c>
      <c r="AL3322">
        <v>68.751976145072106</v>
      </c>
      <c r="AM3322">
        <v>95.012447005601899</v>
      </c>
      <c r="AN3322">
        <v>1.00000001960536</v>
      </c>
    </row>
    <row r="3323" spans="1:40" x14ac:dyDescent="0.25">
      <c r="A3323" t="str">
        <f>"20190304164436618"</f>
        <v>20190304164436618</v>
      </c>
      <c r="B3323" t="str">
        <f>"1551689076613436"</f>
        <v>1551689076613436</v>
      </c>
      <c r="C3323" t="s">
        <v>40</v>
      </c>
      <c r="D3323">
        <v>4.7911000000000001</v>
      </c>
      <c r="E3323">
        <v>0.52626689999999998</v>
      </c>
      <c r="F3323" t="s">
        <v>41</v>
      </c>
      <c r="G3323">
        <v>-282.74779999999998</v>
      </c>
      <c r="H3323">
        <v>1.014173</v>
      </c>
      <c r="I3323">
        <v>214.4162</v>
      </c>
      <c r="J3323">
        <v>-283.38990000000001</v>
      </c>
      <c r="K3323">
        <v>1.1107499999999999</v>
      </c>
      <c r="L3323">
        <v>214.4324</v>
      </c>
      <c r="M3323">
        <v>0.99989340000000004</v>
      </c>
      <c r="N3323">
        <v>-1.4223639999999999E-2</v>
      </c>
      <c r="O3323">
        <v>3.350076E-3</v>
      </c>
      <c r="P3323">
        <v>0.93365900000000002</v>
      </c>
      <c r="Q3323">
        <v>0.34842089999999998</v>
      </c>
      <c r="R3323">
        <v>8.2969080000000001E-2</v>
      </c>
      <c r="S3323">
        <v>3.350006</v>
      </c>
      <c r="T3323">
        <v>-0.34880420000000001</v>
      </c>
      <c r="U3323">
        <v>-5.4656980000000001E-2</v>
      </c>
      <c r="V3323">
        <v>-7.9939689999999994E-2</v>
      </c>
      <c r="W3323">
        <v>0.36164760000000001</v>
      </c>
      <c r="X3323">
        <v>0.92888139999999997</v>
      </c>
      <c r="Y3323">
        <v>1.9529640000000001E-2</v>
      </c>
      <c r="Z3323">
        <v>-1.453555E-3</v>
      </c>
      <c r="AA3323">
        <v>0.99980820000000004</v>
      </c>
      <c r="AB3323">
        <v>40</v>
      </c>
      <c r="AC3323">
        <v>0.64210000000002698</v>
      </c>
      <c r="AD3323">
        <v>-9.6576999999999899E-2</v>
      </c>
      <c r="AE3323">
        <v>-1.6199999999997699E-2</v>
      </c>
      <c r="AF3323">
        <v>1.7945495034107601E-2</v>
      </c>
      <c r="AG3323">
        <v>-9.6576999999999899E-2</v>
      </c>
      <c r="AH3323">
        <v>0.62784762333380395</v>
      </c>
      <c r="AI3323">
        <v>98.741315447012497</v>
      </c>
      <c r="AJ3323">
        <v>88.362785451528197</v>
      </c>
      <c r="AK3323">
        <v>0.63548548043753605</v>
      </c>
      <c r="AL3323">
        <v>68.798584648369598</v>
      </c>
      <c r="AM3323">
        <v>94.9187649731128</v>
      </c>
      <c r="AN3323">
        <v>0.999999997944508</v>
      </c>
    </row>
    <row r="3324" spans="1:40" x14ac:dyDescent="0.25">
      <c r="A3324" t="str">
        <f>"20190304164436634"</f>
        <v>20190304164436634</v>
      </c>
      <c r="B3324" t="str">
        <f>"1551689076623197"</f>
        <v>1551689076623197</v>
      </c>
      <c r="C3324" t="s">
        <v>40</v>
      </c>
      <c r="D3324">
        <v>4.8020829999999997</v>
      </c>
      <c r="E3324">
        <v>0.52489459999999999</v>
      </c>
      <c r="F3324" t="s">
        <v>45</v>
      </c>
      <c r="G3324">
        <v>-270.90370000000001</v>
      </c>
      <c r="H3324" s="1">
        <v>-1.077205E-6</v>
      </c>
      <c r="I3324">
        <v>215.10409999999999</v>
      </c>
      <c r="J3324">
        <v>-283.09910000000002</v>
      </c>
      <c r="K3324">
        <v>1.110754</v>
      </c>
      <c r="L3324">
        <v>214.43350000000001</v>
      </c>
      <c r="M3324">
        <v>0.99989300000000003</v>
      </c>
      <c r="N3324">
        <v>-1.4221900000000001E-2</v>
      </c>
      <c r="O3324">
        <v>3.4742869999999999E-3</v>
      </c>
      <c r="P3324">
        <v>0.93461530000000004</v>
      </c>
      <c r="Q3324">
        <v>0.34642230000000002</v>
      </c>
      <c r="R3324">
        <v>8.0535780000000001E-2</v>
      </c>
      <c r="S3324">
        <v>3.3071290000000002</v>
      </c>
      <c r="T3324">
        <v>-0.29419600000000001</v>
      </c>
      <c r="U3324">
        <v>0.17790220000000001</v>
      </c>
      <c r="V3324">
        <v>-7.7395169999999999E-2</v>
      </c>
      <c r="W3324">
        <v>0.35965999999999998</v>
      </c>
      <c r="X3324">
        <v>0.92986809999999998</v>
      </c>
      <c r="Y3324">
        <v>-5.0026920000000002E-2</v>
      </c>
      <c r="Z3324">
        <v>2.3170669999999999E-3</v>
      </c>
      <c r="AA3324">
        <v>0.9987452</v>
      </c>
      <c r="AB3324">
        <v>40</v>
      </c>
      <c r="AC3324">
        <v>12.195399999999999</v>
      </c>
      <c r="AD3324">
        <v>-1.1107550772050001</v>
      </c>
      <c r="AE3324">
        <v>0.67059999999997899</v>
      </c>
      <c r="AF3324">
        <v>-0.62306824935209704</v>
      </c>
      <c r="AG3324">
        <v>-1.1107550772050001</v>
      </c>
      <c r="AH3324">
        <v>12.097602888341999</v>
      </c>
      <c r="AI3324">
        <v>95.239062937485002</v>
      </c>
      <c r="AJ3324">
        <v>92.948325071735397</v>
      </c>
      <c r="AK3324">
        <v>12.164455866536199</v>
      </c>
      <c r="AL3324">
        <v>68.9206831919808</v>
      </c>
      <c r="AM3324">
        <v>94.757899472616899</v>
      </c>
      <c r="AN3324">
        <v>1.0000000056684599</v>
      </c>
    </row>
    <row r="3325" spans="1:40" x14ac:dyDescent="0.25">
      <c r="A3325" t="str">
        <f>"20190304164436658"</f>
        <v>20190304164436658</v>
      </c>
      <c r="B3325" t="str">
        <f>"1551689076653322"</f>
        <v>1551689076653322</v>
      </c>
      <c r="C3325" t="s">
        <v>40</v>
      </c>
      <c r="D3325">
        <v>5.2633769999999904</v>
      </c>
      <c r="E3325">
        <v>0.52371629999999902</v>
      </c>
      <c r="F3325" t="s">
        <v>45</v>
      </c>
      <c r="G3325">
        <v>-270.83510000000001</v>
      </c>
      <c r="H3325" s="1">
        <v>-1.1140860000000001E-6</v>
      </c>
      <c r="I3325">
        <v>215.11250000000001</v>
      </c>
      <c r="J3325">
        <v>-282.69060000000002</v>
      </c>
      <c r="K3325">
        <v>1.110762</v>
      </c>
      <c r="L3325">
        <v>214.43510000000001</v>
      </c>
      <c r="M3325">
        <v>0.99989220000000001</v>
      </c>
      <c r="N3325">
        <v>-1.421944E-2</v>
      </c>
      <c r="O3325">
        <v>3.6555479999999998E-3</v>
      </c>
      <c r="P3325">
        <v>0.93546180000000001</v>
      </c>
      <c r="Q3325">
        <v>0.34469929999999999</v>
      </c>
      <c r="R3325">
        <v>7.8062160000000005E-2</v>
      </c>
      <c r="S3325">
        <v>3.3050540000000002</v>
      </c>
      <c r="T3325">
        <v>-0.29933989999999999</v>
      </c>
      <c r="U3325">
        <v>0.18296809999999999</v>
      </c>
      <c r="V3325">
        <v>-7.4757500000000005E-2</v>
      </c>
      <c r="W3325">
        <v>0.3579464</v>
      </c>
      <c r="X3325">
        <v>0.93074469999999998</v>
      </c>
      <c r="Y3325">
        <v>-5.1392519999999997E-2</v>
      </c>
      <c r="Z3325">
        <v>2.409053E-3</v>
      </c>
      <c r="AA3325">
        <v>0.9986756</v>
      </c>
      <c r="AB3325">
        <v>40</v>
      </c>
      <c r="AC3325">
        <v>11.855499999999999</v>
      </c>
      <c r="AD3325">
        <v>-1.1107631140859999</v>
      </c>
      <c r="AE3325">
        <v>0.677400000000005</v>
      </c>
      <c r="AF3325">
        <v>-0.62855315991898097</v>
      </c>
      <c r="AG3325">
        <v>-1.1107631140859999</v>
      </c>
      <c r="AH3325">
        <v>11.755045487114501</v>
      </c>
      <c r="AI3325">
        <v>95.390336164745406</v>
      </c>
      <c r="AJ3325">
        <v>93.060743539592195</v>
      </c>
      <c r="AK3325">
        <v>11.8241265290333</v>
      </c>
      <c r="AL3325">
        <v>69.025869196780405</v>
      </c>
      <c r="AM3325">
        <v>94.592144091332898</v>
      </c>
      <c r="AN3325">
        <v>1.00000000282865</v>
      </c>
    </row>
    <row r="3326" spans="1:40" x14ac:dyDescent="0.25">
      <c r="A3326" t="str">
        <f>"20190304164436680"</f>
        <v>20190304164436680</v>
      </c>
      <c r="B3326" t="str">
        <f>"1551689076673818"</f>
        <v>1551689076673818</v>
      </c>
      <c r="C3326" t="s">
        <v>40</v>
      </c>
      <c r="D3326">
        <v>4.7510250000000003</v>
      </c>
      <c r="E3326">
        <v>0.52311579999999902</v>
      </c>
      <c r="F3326" t="s">
        <v>45</v>
      </c>
      <c r="G3326">
        <v>-270.62389999999999</v>
      </c>
      <c r="H3326" s="1">
        <v>-1.226591E-6</v>
      </c>
      <c r="I3326">
        <v>215.1157</v>
      </c>
      <c r="J3326">
        <v>-282.2824</v>
      </c>
      <c r="K3326">
        <v>1.110757</v>
      </c>
      <c r="L3326">
        <v>214.43680000000001</v>
      </c>
      <c r="M3326">
        <v>0.99989159999999999</v>
      </c>
      <c r="N3326">
        <v>-1.4216990000000001E-2</v>
      </c>
      <c r="O3326">
        <v>3.838265E-3</v>
      </c>
      <c r="P3326">
        <v>0.93584920000000005</v>
      </c>
      <c r="Q3326">
        <v>0.3442037</v>
      </c>
      <c r="R3326">
        <v>7.5564149999999997E-2</v>
      </c>
      <c r="S3326">
        <v>3.3034669999999999</v>
      </c>
      <c r="T3326">
        <v>-0.304091099999999</v>
      </c>
      <c r="U3326">
        <v>0.18632509999999999</v>
      </c>
      <c r="V3326">
        <v>-7.2094259999999993E-2</v>
      </c>
      <c r="W3326">
        <v>0.35745359999999998</v>
      </c>
      <c r="X3326">
        <v>0.93114410000000003</v>
      </c>
      <c r="Y3326">
        <v>-5.223759E-2</v>
      </c>
      <c r="Z3326">
        <v>2.4720179999999999E-3</v>
      </c>
      <c r="AA3326">
        <v>0.99863159999999895</v>
      </c>
      <c r="AB3326">
        <v>40</v>
      </c>
      <c r="AC3326">
        <v>11.6585</v>
      </c>
      <c r="AD3326">
        <v>-1.1107582265909901</v>
      </c>
      <c r="AE3326">
        <v>0.67889999999999795</v>
      </c>
      <c r="AF3326">
        <v>-0.62845669212765098</v>
      </c>
      <c r="AG3326">
        <v>-1.1107582265909901</v>
      </c>
      <c r="AH3326">
        <v>11.556473817681001</v>
      </c>
      <c r="AI3326">
        <v>95.482106504541903</v>
      </c>
      <c r="AJ3326">
        <v>93.112755992949502</v>
      </c>
      <c r="AK3326">
        <v>11.626729064985</v>
      </c>
      <c r="AL3326">
        <v>69.056104932711307</v>
      </c>
      <c r="AM3326">
        <v>94.427319346726406</v>
      </c>
      <c r="AN3326">
        <v>0.99999999672135798</v>
      </c>
    </row>
    <row r="3327" spans="1:40" x14ac:dyDescent="0.25">
      <c r="A3327" t="str">
        <f>"20190304164436702"</f>
        <v>20190304164436702</v>
      </c>
      <c r="B3327" t="str">
        <f>"1551689076693338"</f>
        <v>1551689076693338</v>
      </c>
      <c r="C3327" t="s">
        <v>40</v>
      </c>
      <c r="D3327">
        <v>4.7271789999999996</v>
      </c>
      <c r="E3327">
        <v>0.52283729999999995</v>
      </c>
      <c r="F3327" t="s">
        <v>45</v>
      </c>
      <c r="G3327">
        <v>-270.1225</v>
      </c>
      <c r="H3327" s="1">
        <v>-1.4932499999999899E-6</v>
      </c>
      <c r="I3327">
        <v>215.11199999999999</v>
      </c>
      <c r="J3327">
        <v>-281.90449999999998</v>
      </c>
      <c r="K3327">
        <v>1.1107610000000001</v>
      </c>
      <c r="L3327">
        <v>214.4383</v>
      </c>
      <c r="M3327">
        <v>0.99989099999999997</v>
      </c>
      <c r="N3327">
        <v>-1.421474E-2</v>
      </c>
      <c r="O3327">
        <v>4.0066440000000002E-3</v>
      </c>
      <c r="P3327">
        <v>0.93598409999999999</v>
      </c>
      <c r="Q3327">
        <v>0.34417360000000002</v>
      </c>
      <c r="R3327">
        <v>7.4017970000000002E-2</v>
      </c>
      <c r="S3327">
        <v>3.301758</v>
      </c>
      <c r="T3327">
        <v>-0.30160219999999999</v>
      </c>
      <c r="U3327">
        <v>0.18333440000000001</v>
      </c>
      <c r="V3327">
        <v>-7.0395379999999994E-2</v>
      </c>
      <c r="W3327">
        <v>0.35742239999999997</v>
      </c>
      <c r="X3327">
        <v>0.93128610000000001</v>
      </c>
      <c r="Y3327">
        <v>-5.1205590000000002E-2</v>
      </c>
      <c r="Z3327">
        <v>2.3890510000000001E-3</v>
      </c>
      <c r="AA3327">
        <v>0.9986853</v>
      </c>
      <c r="AB3327">
        <v>40</v>
      </c>
      <c r="AC3327">
        <v>11.781999999999901</v>
      </c>
      <c r="AD3327">
        <v>-1.11076249325</v>
      </c>
      <c r="AE3327">
        <v>0.67369999999999597</v>
      </c>
      <c r="AF3327">
        <v>-0.62098223750293402</v>
      </c>
      <c r="AG3327">
        <v>-1.11076249325</v>
      </c>
      <c r="AH3327">
        <v>11.681121423654201</v>
      </c>
      <c r="AI3327">
        <v>95.424331897461897</v>
      </c>
      <c r="AJ3327">
        <v>93.043046932718397</v>
      </c>
      <c r="AK3327">
        <v>11.750234464463199</v>
      </c>
      <c r="AL3327">
        <v>69.0580199775724</v>
      </c>
      <c r="AM3327">
        <v>94.322734461602195</v>
      </c>
      <c r="AN3327">
        <v>1.0000000408001499</v>
      </c>
    </row>
    <row r="3328" spans="1:40" x14ac:dyDescent="0.25">
      <c r="A3328" t="str">
        <f>"20190304164436718"</f>
        <v>20190304164436718</v>
      </c>
      <c r="B3328" t="str">
        <f>"1551689076713834"</f>
        <v>1551689076713834</v>
      </c>
      <c r="C3328" t="s">
        <v>40</v>
      </c>
      <c r="D3328">
        <v>4.7377279999999997</v>
      </c>
      <c r="E3328">
        <v>0.52037840000000002</v>
      </c>
      <c r="F3328" t="s">
        <v>45</v>
      </c>
      <c r="G3328">
        <v>-269.6266</v>
      </c>
      <c r="H3328" s="1">
        <v>3.5646659999999998E-6</v>
      </c>
      <c r="I3328">
        <v>215.10419999999999</v>
      </c>
      <c r="J3328">
        <v>-281.61239999999998</v>
      </c>
      <c r="K3328">
        <v>1.1107769999999999</v>
      </c>
      <c r="L3328">
        <v>214.43960000000001</v>
      </c>
      <c r="M3328">
        <v>0.99989050000000002</v>
      </c>
      <c r="N3328">
        <v>-1.4213E-2</v>
      </c>
      <c r="O3328">
        <v>4.1358860000000001E-3</v>
      </c>
      <c r="P3328">
        <v>0.93563249999999998</v>
      </c>
      <c r="Q3328">
        <v>0.34516079999999999</v>
      </c>
      <c r="R3328">
        <v>7.386334E-2</v>
      </c>
      <c r="S3328">
        <v>3.3008419999999998</v>
      </c>
      <c r="T3328">
        <v>-0.29861890000000002</v>
      </c>
      <c r="U3328">
        <v>0.17900089999999999</v>
      </c>
      <c r="V3328">
        <v>-7.0125149999999997E-2</v>
      </c>
      <c r="W3328">
        <v>0.35840229999999901</v>
      </c>
      <c r="X3328">
        <v>0.93092980000000003</v>
      </c>
      <c r="Y3328">
        <v>-4.9795730000000003E-2</v>
      </c>
      <c r="Z3328">
        <v>2.2867289999999999E-3</v>
      </c>
      <c r="AA3328">
        <v>0.9987568</v>
      </c>
      <c r="AB3328">
        <v>40</v>
      </c>
      <c r="AC3328">
        <v>11.9857999999999</v>
      </c>
      <c r="AD3328">
        <v>-1.110773435334</v>
      </c>
      <c r="AE3328">
        <v>0.66459999999997799</v>
      </c>
      <c r="AF3328">
        <v>-0.60979623052450804</v>
      </c>
      <c r="AG3328">
        <v>-1.110773435334</v>
      </c>
      <c r="AH3328">
        <v>11.8866707950557</v>
      </c>
      <c r="AI3328">
        <v>95.331643050980006</v>
      </c>
      <c r="AJ3328">
        <v>92.936747299127802</v>
      </c>
      <c r="AK3328">
        <v>11.954020731847301</v>
      </c>
      <c r="AL3328">
        <v>68.997892242126596</v>
      </c>
      <c r="AM3328">
        <v>94.307845052816901</v>
      </c>
      <c r="AN3328">
        <v>1.0000000189179199</v>
      </c>
    </row>
    <row r="3329" spans="1:40" x14ac:dyDescent="0.25">
      <c r="A3329" t="str">
        <f>"20190304164436735"</f>
        <v>20190304164436735</v>
      </c>
      <c r="B3329" t="str">
        <f>"1551689076723595"</f>
        <v>1551689076723595</v>
      </c>
      <c r="C3329" t="s">
        <v>40</v>
      </c>
      <c r="D3329">
        <v>4.7265990000000002</v>
      </c>
      <c r="E3329">
        <v>0.52027990000000002</v>
      </c>
      <c r="F3329" t="s">
        <v>45</v>
      </c>
      <c r="G3329">
        <v>-264.94080000000002</v>
      </c>
      <c r="H3329" s="1">
        <v>1.05806E-6</v>
      </c>
      <c r="I3329">
        <v>215.40270000000001</v>
      </c>
      <c r="J3329">
        <v>-281.3143</v>
      </c>
      <c r="K3329">
        <v>1.1107849999999999</v>
      </c>
      <c r="L3329">
        <v>214.441</v>
      </c>
      <c r="M3329">
        <v>0.99988999999999995</v>
      </c>
      <c r="N3329">
        <v>-1.421121E-2</v>
      </c>
      <c r="O3329">
        <v>4.2668469999999998E-3</v>
      </c>
      <c r="P3329">
        <v>0.934944</v>
      </c>
      <c r="Q3329">
        <v>0.34695939999999997</v>
      </c>
      <c r="R3329">
        <v>7.4156760000000002E-2</v>
      </c>
      <c r="S3329">
        <v>3.271881</v>
      </c>
      <c r="T3329">
        <v>-0.21799479999999999</v>
      </c>
      <c r="U3329">
        <v>0.1890106</v>
      </c>
      <c r="V3329">
        <v>-7.0303260000000006E-2</v>
      </c>
      <c r="W3329">
        <v>0.36018860000000003</v>
      </c>
      <c r="X3329">
        <v>0.93022669999999996</v>
      </c>
      <c r="Y3329">
        <v>-5.3274229999999999E-2</v>
      </c>
      <c r="Z3329">
        <v>1.9275080000000001E-3</v>
      </c>
      <c r="AA3329">
        <v>0.99857810000000002</v>
      </c>
      <c r="AB3329">
        <v>40</v>
      </c>
      <c r="AC3329">
        <v>16.3734999999999</v>
      </c>
      <c r="AD3329">
        <v>-1.1107839419399901</v>
      </c>
      <c r="AE3329">
        <v>0.96170000000003497</v>
      </c>
      <c r="AF3329">
        <v>-0.88774932121352201</v>
      </c>
      <c r="AG3329">
        <v>-1.1107839419399901</v>
      </c>
      <c r="AH3329">
        <v>16.302682666430702</v>
      </c>
      <c r="AI3329">
        <v>93.892077490806003</v>
      </c>
      <c r="AJ3329">
        <v>93.116916670415193</v>
      </c>
      <c r="AK3329">
        <v>16.364577658629798</v>
      </c>
      <c r="AL3329">
        <v>68.888221943558506</v>
      </c>
      <c r="AM3329">
        <v>94.321997055555002</v>
      </c>
      <c r="AN3329">
        <v>1.0000000446647299</v>
      </c>
    </row>
    <row r="3330" spans="1:40" x14ac:dyDescent="0.25">
      <c r="A3330" t="str">
        <f>"20190304164436752"</f>
        <v>20190304164436752</v>
      </c>
      <c r="B3330" t="str">
        <f>"1551689076743114"</f>
        <v>1551689076743114</v>
      </c>
      <c r="C3330" t="s">
        <v>40</v>
      </c>
      <c r="D3330">
        <v>5.2085970000000001</v>
      </c>
      <c r="E3330">
        <v>0.51986350000000003</v>
      </c>
      <c r="F3330" t="s">
        <v>45</v>
      </c>
      <c r="G3330">
        <v>-263.97250000000003</v>
      </c>
      <c r="H3330" s="1">
        <v>5.4126080000000001E-7</v>
      </c>
      <c r="I3330">
        <v>215.43780000000001</v>
      </c>
      <c r="J3330">
        <v>-280.99979999999999</v>
      </c>
      <c r="K3330">
        <v>1.110792</v>
      </c>
      <c r="L3330">
        <v>214.44239999999999</v>
      </c>
      <c r="M3330">
        <v>0.99988940000000004</v>
      </c>
      <c r="N3330">
        <v>-1.420921E-2</v>
      </c>
      <c r="O3330">
        <v>4.4045339999999999E-3</v>
      </c>
      <c r="P3330">
        <v>0.93475280000000005</v>
      </c>
      <c r="Q3330">
        <v>0.34730739999999999</v>
      </c>
      <c r="R3330">
        <v>7.4932460000000006E-2</v>
      </c>
      <c r="S3330">
        <v>3.2716059999999998</v>
      </c>
      <c r="T3330">
        <v>-0.20955460000000001</v>
      </c>
      <c r="U3330">
        <v>0.1880646</v>
      </c>
      <c r="V3330">
        <v>-7.0953649999999993E-2</v>
      </c>
      <c r="W3330">
        <v>0.3605315</v>
      </c>
      <c r="X3330">
        <v>0.93004439999999999</v>
      </c>
      <c r="Y3330">
        <v>-5.2864250000000002E-2</v>
      </c>
      <c r="Z3330">
        <v>1.847195E-3</v>
      </c>
      <c r="AA3330">
        <v>0.99860000000000004</v>
      </c>
      <c r="AB3330">
        <v>40</v>
      </c>
      <c r="AC3330">
        <v>17.027299999999901</v>
      </c>
      <c r="AD3330">
        <v>-1.1107914587392</v>
      </c>
      <c r="AE3330">
        <v>0.99540000000001705</v>
      </c>
      <c r="AF3330">
        <v>-0.91649837249954103</v>
      </c>
      <c r="AG3330">
        <v>-1.1107914587392</v>
      </c>
      <c r="AH3330">
        <v>16.959589994039199</v>
      </c>
      <c r="AI3330">
        <v>93.7418686745889</v>
      </c>
      <c r="AJ3330">
        <v>93.093262338603495</v>
      </c>
      <c r="AK3330">
        <v>17.0206204263392</v>
      </c>
      <c r="AL3330">
        <v>68.867158815523993</v>
      </c>
      <c r="AM3330">
        <v>94.362678812875899</v>
      </c>
      <c r="AN3330">
        <v>0.99999998445596605</v>
      </c>
    </row>
    <row r="3331" spans="1:40" x14ac:dyDescent="0.25">
      <c r="A3331" t="str">
        <f>"20190304164436771"</f>
        <v>20190304164436771</v>
      </c>
      <c r="B3331" t="str">
        <f>"1551689076763611"</f>
        <v>1551689076763611</v>
      </c>
      <c r="C3331" t="s">
        <v>40</v>
      </c>
      <c r="D3331">
        <v>5.1622870000000001</v>
      </c>
      <c r="E3331">
        <v>0.51953990000000005</v>
      </c>
      <c r="F3331" t="s">
        <v>45</v>
      </c>
      <c r="G3331">
        <v>-263.14859999999999</v>
      </c>
      <c r="H3331" s="1">
        <v>1.004069E-7</v>
      </c>
      <c r="I3331">
        <v>215.49270000000001</v>
      </c>
      <c r="J3331">
        <v>-280.68950000000001</v>
      </c>
      <c r="K3331">
        <v>1.110795</v>
      </c>
      <c r="L3331">
        <v>214.44390000000001</v>
      </c>
      <c r="M3331">
        <v>0.99988880000000002</v>
      </c>
      <c r="N3331">
        <v>-1.42074E-2</v>
      </c>
      <c r="O3331">
        <v>4.538261E-3</v>
      </c>
      <c r="P3331">
        <v>0.9348301</v>
      </c>
      <c r="Q3331">
        <v>0.34669660000000002</v>
      </c>
      <c r="R3331">
        <v>7.6773510000000003E-2</v>
      </c>
      <c r="S3331">
        <v>3.2695620000000001</v>
      </c>
      <c r="T3331">
        <v>-0.20344760000000001</v>
      </c>
      <c r="U3331">
        <v>0.1923676</v>
      </c>
      <c r="V3331">
        <v>-7.2670020000000002E-2</v>
      </c>
      <c r="W3331">
        <v>0.3599195</v>
      </c>
      <c r="X3331">
        <v>0.930149</v>
      </c>
      <c r="Y3331">
        <v>-5.40799E-2</v>
      </c>
      <c r="Z3331">
        <v>1.846966E-3</v>
      </c>
      <c r="AA3331">
        <v>0.9985349</v>
      </c>
      <c r="AB3331">
        <v>40</v>
      </c>
      <c r="AC3331">
        <v>17.540900000000001</v>
      </c>
      <c r="AD3331">
        <v>-1.1107948995931001</v>
      </c>
      <c r="AE3331">
        <v>1.0488</v>
      </c>
      <c r="AF3331">
        <v>-0.96531866907738995</v>
      </c>
      <c r="AG3331">
        <v>-1.1107948995931001</v>
      </c>
      <c r="AH3331">
        <v>17.475648665418699</v>
      </c>
      <c r="AI3331">
        <v>93.631445787045905</v>
      </c>
      <c r="AJ3331">
        <v>93.161687230450795</v>
      </c>
      <c r="AK3331">
        <v>17.537502721852501</v>
      </c>
      <c r="AL3331">
        <v>68.904749225492097</v>
      </c>
      <c r="AM3331">
        <v>94.467289431944806</v>
      </c>
      <c r="AN3331">
        <v>1.0000000702440199</v>
      </c>
    </row>
    <row r="3332" spans="1:40" x14ac:dyDescent="0.25">
      <c r="A3332" t="str">
        <f>"20190304164436791"</f>
        <v>20190304164436791</v>
      </c>
      <c r="B3332" t="str">
        <f>"1551689076783130"</f>
        <v>1551689076783130</v>
      </c>
      <c r="C3332" t="s">
        <v>40</v>
      </c>
      <c r="D3332">
        <v>4.6855830000000003</v>
      </c>
      <c r="E3332">
        <v>0.5192137</v>
      </c>
      <c r="F3332" t="s">
        <v>45</v>
      </c>
      <c r="G3332">
        <v>-262.91059999999999</v>
      </c>
      <c r="H3332" s="1">
        <v>-2.7633760000000001E-8</v>
      </c>
      <c r="I3332">
        <v>215.52549999999999</v>
      </c>
      <c r="J3332">
        <v>-280.3141</v>
      </c>
      <c r="K3332">
        <v>1.1107929999999999</v>
      </c>
      <c r="L3332">
        <v>214.44579999999999</v>
      </c>
      <c r="M3332">
        <v>0.9998882</v>
      </c>
      <c r="N3332">
        <v>-1.420539E-2</v>
      </c>
      <c r="O3332">
        <v>4.6918289999999998E-3</v>
      </c>
      <c r="P3332">
        <v>0.93506739999999999</v>
      </c>
      <c r="Q3332">
        <v>0.34564549999999999</v>
      </c>
      <c r="R3332">
        <v>7.8601809999999994E-2</v>
      </c>
      <c r="S3332">
        <v>3.2685240000000002</v>
      </c>
      <c r="T3332">
        <v>-0.2042128</v>
      </c>
      <c r="U3332">
        <v>0.19883729999999999</v>
      </c>
      <c r="V3332">
        <v>-7.4351130000000001E-2</v>
      </c>
      <c r="W3332">
        <v>0.35887010000000003</v>
      </c>
      <c r="X3332">
        <v>0.93042150000000001</v>
      </c>
      <c r="Y3332">
        <v>-5.5909399999999998E-2</v>
      </c>
      <c r="Z3332">
        <v>1.9152010000000001E-3</v>
      </c>
      <c r="AA3332">
        <v>0.99843400000000004</v>
      </c>
      <c r="AB3332">
        <v>40</v>
      </c>
      <c r="AC3332">
        <v>17.403500000000001</v>
      </c>
      <c r="AD3332">
        <v>-1.1107930276337601</v>
      </c>
      <c r="AE3332">
        <v>1.0797000000000001</v>
      </c>
      <c r="AF3332">
        <v>-0.99399189948051403</v>
      </c>
      <c r="AG3332">
        <v>-1.1107930276337601</v>
      </c>
      <c r="AH3332">
        <v>17.338014959637501</v>
      </c>
      <c r="AI3332">
        <v>93.659760470985702</v>
      </c>
      <c r="AJ3332">
        <v>93.281186941144199</v>
      </c>
      <c r="AK3332">
        <v>17.4019724108242</v>
      </c>
      <c r="AL3332">
        <v>68.969178870408101</v>
      </c>
      <c r="AM3332">
        <v>94.5688676374143</v>
      </c>
      <c r="AN3332">
        <v>1.00000000343426</v>
      </c>
    </row>
    <row r="3333" spans="1:40" x14ac:dyDescent="0.25">
      <c r="A3333" t="str">
        <f>"20190304164436813"</f>
        <v>20190304164436813</v>
      </c>
      <c r="B3333" t="str">
        <f>"1551689076803626"</f>
        <v>1551689076803626</v>
      </c>
      <c r="C3333" t="s">
        <v>40</v>
      </c>
      <c r="D3333">
        <v>5.1796730000000002</v>
      </c>
      <c r="E3333">
        <v>0.51918829999999905</v>
      </c>
      <c r="F3333" t="s">
        <v>45</v>
      </c>
      <c r="G3333">
        <v>-262.77280000000002</v>
      </c>
      <c r="H3333" s="1">
        <v>-1.026122E-7</v>
      </c>
      <c r="I3333">
        <v>215.56280000000001</v>
      </c>
      <c r="J3333">
        <v>-279.93849999999998</v>
      </c>
      <c r="K3333">
        <v>1.1107819999999999</v>
      </c>
      <c r="L3333">
        <v>214.4477</v>
      </c>
      <c r="M3333">
        <v>0.99988750000000004</v>
      </c>
      <c r="N3333">
        <v>-1.420341E-2</v>
      </c>
      <c r="O3333">
        <v>4.8300950000000004E-3</v>
      </c>
      <c r="P3333">
        <v>0.93496469999999998</v>
      </c>
      <c r="Q3333">
        <v>0.34571570000000001</v>
      </c>
      <c r="R3333">
        <v>7.9509739999999995E-2</v>
      </c>
      <c r="S3333">
        <v>3.2673030000000001</v>
      </c>
      <c r="T3333">
        <v>-0.20690069999999999</v>
      </c>
      <c r="U3333">
        <v>0.20805360000000001</v>
      </c>
      <c r="V3333">
        <v>-7.5122720000000004E-2</v>
      </c>
      <c r="W3333">
        <v>0.3589388</v>
      </c>
      <c r="X3333">
        <v>0.93033299999999997</v>
      </c>
      <c r="Y3333">
        <v>-5.8589759999999998E-2</v>
      </c>
      <c r="Z3333">
        <v>2.031649E-3</v>
      </c>
      <c r="AA3333">
        <v>0.99827999999999995</v>
      </c>
      <c r="AB3333">
        <v>40</v>
      </c>
      <c r="AC3333">
        <v>17.165699999999902</v>
      </c>
      <c r="AD3333">
        <v>-1.1107821026122</v>
      </c>
      <c r="AE3333">
        <v>1.11510000000001</v>
      </c>
      <c r="AF3333">
        <v>-1.0278807021441401</v>
      </c>
      <c r="AG3333">
        <v>-1.1107821026122</v>
      </c>
      <c r="AH3333">
        <v>17.099585985242999</v>
      </c>
      <c r="AI3333">
        <v>93.710010361904807</v>
      </c>
      <c r="AJ3333">
        <v>93.439992341715794</v>
      </c>
      <c r="AK3333">
        <v>17.1664270156618</v>
      </c>
      <c r="AL3333">
        <v>68.964961337893001</v>
      </c>
      <c r="AM3333">
        <v>94.616515102782799</v>
      </c>
      <c r="AN3333">
        <v>0.99999998804731904</v>
      </c>
    </row>
    <row r="3334" spans="1:40" x14ac:dyDescent="0.25">
      <c r="A3334" t="str">
        <f>"20190304164436836"</f>
        <v>20190304164436836</v>
      </c>
      <c r="B3334" t="str">
        <f>"1551689076823147"</f>
        <v>1551689076823147</v>
      </c>
      <c r="C3334" t="s">
        <v>40</v>
      </c>
      <c r="D3334">
        <v>5.2271789999999996</v>
      </c>
      <c r="E3334">
        <v>0.51921240000000002</v>
      </c>
      <c r="F3334" t="s">
        <v>45</v>
      </c>
      <c r="G3334">
        <v>-262.48360000000002</v>
      </c>
      <c r="H3334" s="1">
        <v>-2.5754719999999998E-7</v>
      </c>
      <c r="I3334">
        <v>215.58600000000001</v>
      </c>
      <c r="J3334">
        <v>-279.54320000000001</v>
      </c>
      <c r="K3334">
        <v>1.1107720000000001</v>
      </c>
      <c r="L3334">
        <v>214.44970000000001</v>
      </c>
      <c r="M3334">
        <v>0.99988690000000002</v>
      </c>
      <c r="N3334">
        <v>-1.420129E-2</v>
      </c>
      <c r="O3334">
        <v>4.952438E-3</v>
      </c>
      <c r="P3334">
        <v>0.9345021</v>
      </c>
      <c r="Q3334">
        <v>0.3468136</v>
      </c>
      <c r="R3334">
        <v>8.0163709999999999E-2</v>
      </c>
      <c r="S3334">
        <v>3.267487</v>
      </c>
      <c r="T3334">
        <v>-0.20793329999999999</v>
      </c>
      <c r="U3334">
        <v>0.213089</v>
      </c>
      <c r="V3334">
        <v>-7.5651109999999994E-2</v>
      </c>
      <c r="W3334">
        <v>0.36003069999999998</v>
      </c>
      <c r="X3334">
        <v>0.92986820000000003</v>
      </c>
      <c r="Y3334">
        <v>-5.9991549999999998E-2</v>
      </c>
      <c r="Z3334">
        <v>2.0875889999999999E-3</v>
      </c>
      <c r="AA3334">
        <v>0.99819669999999905</v>
      </c>
      <c r="AB3334">
        <v>39</v>
      </c>
      <c r="AC3334">
        <v>17.0595999999999</v>
      </c>
      <c r="AD3334">
        <v>-1.1107722575472001</v>
      </c>
      <c r="AE3334">
        <v>1.1362999999999699</v>
      </c>
      <c r="AF3334">
        <v>-1.0473702407985199</v>
      </c>
      <c r="AG3334">
        <v>-1.1107722575472001</v>
      </c>
      <c r="AH3334">
        <v>16.993294290254699</v>
      </c>
      <c r="AI3334">
        <v>93.732773966530701</v>
      </c>
      <c r="AJ3334">
        <v>93.526925254131399</v>
      </c>
      <c r="AK3334">
        <v>17.0617364375567</v>
      </c>
      <c r="AL3334">
        <v>68.897919288272703</v>
      </c>
      <c r="AM3334">
        <v>94.651157971706297</v>
      </c>
      <c r="AN3334">
        <v>1.0000000323789799</v>
      </c>
    </row>
    <row r="3335" spans="1:40" x14ac:dyDescent="0.25">
      <c r="A3335" t="str">
        <f>"20190304164436859"</f>
        <v>20190304164436859</v>
      </c>
      <c r="B3335" t="str">
        <f>"1551689076853402"</f>
        <v>1551689076853402</v>
      </c>
      <c r="C3335" t="s">
        <v>40</v>
      </c>
      <c r="D3335">
        <v>4.6950149999999997</v>
      </c>
      <c r="E3335">
        <v>0.51932509999999998</v>
      </c>
      <c r="F3335" t="s">
        <v>45</v>
      </c>
      <c r="G3335">
        <v>-261.83</v>
      </c>
      <c r="H3335" s="1">
        <v>-6.0712899999999898E-7</v>
      </c>
      <c r="I3335">
        <v>215.62639999999999</v>
      </c>
      <c r="J3335">
        <v>-279.13619999999997</v>
      </c>
      <c r="K3335">
        <v>1.110752</v>
      </c>
      <c r="L3335">
        <v>214.45179999999999</v>
      </c>
      <c r="M3335">
        <v>0.99988650000000001</v>
      </c>
      <c r="N3335">
        <v>-1.4199099999999999E-2</v>
      </c>
      <c r="O3335">
        <v>5.0512580000000003E-3</v>
      </c>
      <c r="P3335">
        <v>0.93418610000000002</v>
      </c>
      <c r="Q3335">
        <v>0.34737509999999999</v>
      </c>
      <c r="R3335">
        <v>8.1409190000000006E-2</v>
      </c>
      <c r="S3335">
        <v>3.2677</v>
      </c>
      <c r="T3335">
        <v>-0.20491300000000001</v>
      </c>
      <c r="U3335">
        <v>0.2170715</v>
      </c>
      <c r="V3335">
        <v>-7.678654E-2</v>
      </c>
      <c r="W3335">
        <v>0.36058980000000002</v>
      </c>
      <c r="X3335">
        <v>0.92955840000000001</v>
      </c>
      <c r="Y3335">
        <v>-6.1101059999999999E-2</v>
      </c>
      <c r="Z3335">
        <v>2.1021239999999999E-3</v>
      </c>
      <c r="AA3335">
        <v>0.99812940000000006</v>
      </c>
      <c r="AB3335">
        <v>39</v>
      </c>
      <c r="AC3335">
        <v>17.306199999999901</v>
      </c>
      <c r="AD3335">
        <v>-1.1107526071289999</v>
      </c>
      <c r="AE3335">
        <v>1.1745999999999901</v>
      </c>
      <c r="AF3335">
        <v>-1.08271845226048</v>
      </c>
      <c r="AG3335">
        <v>-1.1107526071289999</v>
      </c>
      <c r="AH3335">
        <v>17.241215626300299</v>
      </c>
      <c r="AI3335">
        <v>93.678917196915606</v>
      </c>
      <c r="AJ3335">
        <v>93.593356969543606</v>
      </c>
      <c r="AK3335">
        <v>17.310851130827999</v>
      </c>
      <c r="AL3335">
        <v>68.863577878222003</v>
      </c>
      <c r="AM3335">
        <v>94.722219121226203</v>
      </c>
      <c r="AN3335">
        <v>0.99999999779988502</v>
      </c>
    </row>
    <row r="3336" spans="1:40" x14ac:dyDescent="0.25">
      <c r="A3336" t="str">
        <f>"20190304164436881"</f>
        <v>20190304164436881</v>
      </c>
      <c r="B3336" t="str">
        <f>"1551689076872925"</f>
        <v>1551689076872925</v>
      </c>
      <c r="C3336" t="s">
        <v>40</v>
      </c>
      <c r="D3336">
        <v>4.6676989999999998</v>
      </c>
      <c r="E3336">
        <v>0.51949820000000002</v>
      </c>
      <c r="F3336" t="s">
        <v>45</v>
      </c>
      <c r="G3336">
        <v>-261.34059999999999</v>
      </c>
      <c r="H3336" s="1">
        <v>-8.6847680000000004E-7</v>
      </c>
      <c r="I3336">
        <v>215.6482</v>
      </c>
      <c r="J3336">
        <v>-278.73829999999998</v>
      </c>
      <c r="K3336">
        <v>1.110741</v>
      </c>
      <c r="L3336">
        <v>214.4539</v>
      </c>
      <c r="M3336">
        <v>0.99988619999999995</v>
      </c>
      <c r="N3336">
        <v>-1.419699E-2</v>
      </c>
      <c r="O3336">
        <v>5.124394E-3</v>
      </c>
      <c r="P3336">
        <v>0.93398460000000005</v>
      </c>
      <c r="Q3336">
        <v>0.34784209999999999</v>
      </c>
      <c r="R3336">
        <v>8.1723509999999999E-2</v>
      </c>
      <c r="S3336">
        <v>3.268097</v>
      </c>
      <c r="T3336">
        <v>-0.20398640000000001</v>
      </c>
      <c r="U3336">
        <v>0.2197113</v>
      </c>
      <c r="V3336">
        <v>-7.7015E-2</v>
      </c>
      <c r="W3336">
        <v>0.36105589999999999</v>
      </c>
      <c r="X3336">
        <v>0.92935860000000003</v>
      </c>
      <c r="Y3336">
        <v>-6.1822219999999997E-2</v>
      </c>
      <c r="Z3336">
        <v>2.1186899999999999E-3</v>
      </c>
      <c r="AA3336">
        <v>0.99808490000000005</v>
      </c>
      <c r="AB3336">
        <v>39</v>
      </c>
      <c r="AC3336">
        <v>17.397699999999901</v>
      </c>
      <c r="AD3336">
        <v>-1.1107418684768</v>
      </c>
      <c r="AE3336">
        <v>1.1942999999999899</v>
      </c>
      <c r="AF3336">
        <v>-1.1006573466048399</v>
      </c>
      <c r="AG3336">
        <v>-1.1107418684768</v>
      </c>
      <c r="AH3336">
        <v>17.333271796479</v>
      </c>
      <c r="AI3336">
        <v>93.659235591954598</v>
      </c>
      <c r="AJ3336">
        <v>93.633385822633201</v>
      </c>
      <c r="AK3336">
        <v>17.403663558677401</v>
      </c>
      <c r="AL3336">
        <v>68.8349442727976</v>
      </c>
      <c r="AM3336">
        <v>94.737218723857893</v>
      </c>
      <c r="AN3336">
        <v>1.0000000402718801</v>
      </c>
    </row>
    <row r="3337" spans="1:40" x14ac:dyDescent="0.25">
      <c r="A3337" t="str">
        <f>"20190304164436902"</f>
        <v>20190304164436902</v>
      </c>
      <c r="B3337" t="str">
        <f>"1551689076893418"</f>
        <v>1551689076893418</v>
      </c>
      <c r="C3337" t="s">
        <v>40</v>
      </c>
      <c r="D3337">
        <v>4.6540720000000002</v>
      </c>
      <c r="E3337">
        <v>0.51969889999999996</v>
      </c>
      <c r="F3337" t="s">
        <v>45</v>
      </c>
      <c r="G3337">
        <v>-260.95479999999998</v>
      </c>
      <c r="H3337" s="1">
        <v>-1.0735720000000001E-6</v>
      </c>
      <c r="I3337">
        <v>215.64269999999999</v>
      </c>
      <c r="J3337">
        <v>-278.36630000000002</v>
      </c>
      <c r="K3337">
        <v>1.110722</v>
      </c>
      <c r="L3337">
        <v>214.45590000000001</v>
      </c>
      <c r="M3337">
        <v>0.99988589999999999</v>
      </c>
      <c r="N3337">
        <v>-1.419494E-2</v>
      </c>
      <c r="O3337">
        <v>5.1728429999999999E-3</v>
      </c>
      <c r="P3337">
        <v>0.93372330000000003</v>
      </c>
      <c r="Q3337">
        <v>0.34870620000000002</v>
      </c>
      <c r="R3337">
        <v>8.1023100000000001E-2</v>
      </c>
      <c r="S3337">
        <v>3.2689819999999998</v>
      </c>
      <c r="T3337">
        <v>-0.204178</v>
      </c>
      <c r="U3337">
        <v>0.2185211</v>
      </c>
      <c r="V3337">
        <v>-7.6254219999999998E-2</v>
      </c>
      <c r="W3337">
        <v>0.36191790000000001</v>
      </c>
      <c r="X3337">
        <v>0.92908599999999997</v>
      </c>
      <c r="Y3337">
        <v>-6.1394909999999997E-2</v>
      </c>
      <c r="Z3337">
        <v>2.1010130000000001E-3</v>
      </c>
      <c r="AA3337">
        <v>0.99811139999999998</v>
      </c>
      <c r="AB3337">
        <v>39</v>
      </c>
      <c r="AC3337">
        <v>17.4115</v>
      </c>
      <c r="AD3337">
        <v>-1.110723073572</v>
      </c>
      <c r="AE3337">
        <v>1.1867999999999701</v>
      </c>
      <c r="AF3337">
        <v>-1.0922836169349599</v>
      </c>
      <c r="AG3337">
        <v>-1.110723073572</v>
      </c>
      <c r="AH3337">
        <v>17.347139329451299</v>
      </c>
      <c r="AI3337">
        <v>93.656379103547494</v>
      </c>
      <c r="AJ3337">
        <v>93.602941525733797</v>
      </c>
      <c r="AK3337">
        <v>17.416946694566899</v>
      </c>
      <c r="AL3337">
        <v>68.781973120202196</v>
      </c>
      <c r="AM3337">
        <v>94.692002851668903</v>
      </c>
      <c r="AN3337">
        <v>1.0000000339021</v>
      </c>
    </row>
    <row r="3338" spans="1:40" x14ac:dyDescent="0.25">
      <c r="A3338" t="str">
        <f>"20190304164436925"</f>
        <v>20190304164436925</v>
      </c>
      <c r="B3338" t="str">
        <f>"1551689076912939"</f>
        <v>1551689076912939</v>
      </c>
      <c r="C3338" t="s">
        <v>40</v>
      </c>
      <c r="D3338">
        <v>5.1834199999999999</v>
      </c>
      <c r="E3338">
        <v>0.51978530000000001</v>
      </c>
      <c r="F3338" t="s">
        <v>45</v>
      </c>
      <c r="G3338">
        <v>-260.3972</v>
      </c>
      <c r="H3338" s="1">
        <v>-1.369863E-6</v>
      </c>
      <c r="I3338">
        <v>215.6336</v>
      </c>
      <c r="J3338">
        <v>-277.97710000000001</v>
      </c>
      <c r="K3338">
        <v>1.1107020000000001</v>
      </c>
      <c r="L3338">
        <v>214.4579</v>
      </c>
      <c r="M3338">
        <v>0.99988589999999999</v>
      </c>
      <c r="N3338">
        <v>-1.419262E-2</v>
      </c>
      <c r="O3338">
        <v>5.2060739999999998E-3</v>
      </c>
      <c r="P3338">
        <v>0.93372540000000004</v>
      </c>
      <c r="Q3338">
        <v>0.34892590000000001</v>
      </c>
      <c r="R3338">
        <v>8.0049460000000003E-2</v>
      </c>
      <c r="S3338">
        <v>3.2698360000000002</v>
      </c>
      <c r="T3338">
        <v>-0.2021191</v>
      </c>
      <c r="U3338">
        <v>0.21430969999999999</v>
      </c>
      <c r="V3338">
        <v>-7.5234960000000003E-2</v>
      </c>
      <c r="W3338">
        <v>0.36213840000000003</v>
      </c>
      <c r="X3338">
        <v>0.9290832</v>
      </c>
      <c r="Y3338">
        <v>-6.0070119999999998E-2</v>
      </c>
      <c r="Z3338">
        <v>2.032687E-3</v>
      </c>
      <c r="AA3338">
        <v>0.99819210000000003</v>
      </c>
      <c r="AB3338">
        <v>39</v>
      </c>
      <c r="AC3338">
        <v>17.579899999999999</v>
      </c>
      <c r="AD3338">
        <v>-1.110703369863</v>
      </c>
      <c r="AE3338">
        <v>1.1757</v>
      </c>
      <c r="AF3338">
        <v>-1.0798612574006401</v>
      </c>
      <c r="AG3338">
        <v>-1.110703369863</v>
      </c>
      <c r="AH3338">
        <v>17.516174248355</v>
      </c>
      <c r="AI3338">
        <v>93.621419704236004</v>
      </c>
      <c r="AJ3338">
        <v>93.527784436072295</v>
      </c>
      <c r="AK3338">
        <v>17.584542149564001</v>
      </c>
      <c r="AL3338">
        <v>68.768420555918496</v>
      </c>
      <c r="AM3338">
        <v>94.629575049033605</v>
      </c>
      <c r="AN3338">
        <v>1.0000000562414899</v>
      </c>
    </row>
    <row r="3339" spans="1:40" x14ac:dyDescent="0.25">
      <c r="A3339" t="str">
        <f>"20190304164436949"</f>
        <v>20190304164436949</v>
      </c>
      <c r="B3339" t="str">
        <f>"1551689076943195"</f>
        <v>1551689076943195</v>
      </c>
      <c r="C3339" t="s">
        <v>40</v>
      </c>
      <c r="D3339">
        <v>4.64588</v>
      </c>
      <c r="E3339">
        <v>0.52090389999999998</v>
      </c>
      <c r="F3339" t="s">
        <v>45</v>
      </c>
      <c r="G3339">
        <v>-260.04480000000001</v>
      </c>
      <c r="H3339" s="1">
        <v>-1.556451E-6</v>
      </c>
      <c r="I3339">
        <v>215.61099999999999</v>
      </c>
      <c r="J3339">
        <v>-277.5634</v>
      </c>
      <c r="K3339">
        <v>1.1106879999999999</v>
      </c>
      <c r="L3339">
        <v>214.46010000000001</v>
      </c>
      <c r="M3339">
        <v>0.99988560000000004</v>
      </c>
      <c r="N3339">
        <v>-1.419013E-2</v>
      </c>
      <c r="O3339">
        <v>5.22785E-3</v>
      </c>
      <c r="P3339">
        <v>0.93356939999999999</v>
      </c>
      <c r="Q3339">
        <v>0.34961160000000002</v>
      </c>
      <c r="R3339">
        <v>7.8865110000000002E-2</v>
      </c>
      <c r="S3339">
        <v>3.2705690000000001</v>
      </c>
      <c r="T3339">
        <v>-0.20257459999999999</v>
      </c>
      <c r="U3339">
        <v>0.2103119</v>
      </c>
      <c r="V3339">
        <v>-7.4018920000000002E-2</v>
      </c>
      <c r="W3339">
        <v>0.36282229999999999</v>
      </c>
      <c r="X3339">
        <v>0.92891400000000002</v>
      </c>
      <c r="Y3339">
        <v>-5.8821169999999999E-2</v>
      </c>
      <c r="Z3339">
        <v>1.9872280000000002E-3</v>
      </c>
      <c r="AA3339">
        <v>0.9982666</v>
      </c>
      <c r="AB3339">
        <v>39</v>
      </c>
      <c r="AC3339">
        <v>17.5185999999999</v>
      </c>
      <c r="AD3339">
        <v>-1.110689556451</v>
      </c>
      <c r="AE3339">
        <v>1.1508999999999701</v>
      </c>
      <c r="AF3339">
        <v>-1.0550676685195099</v>
      </c>
      <c r="AG3339">
        <v>-1.110689556451</v>
      </c>
      <c r="AH3339">
        <v>17.454518614482101</v>
      </c>
      <c r="AI3339">
        <v>93.634397695767802</v>
      </c>
      <c r="AJ3339">
        <v>93.459130647682102</v>
      </c>
      <c r="AK3339">
        <v>17.521615768509101</v>
      </c>
      <c r="AL3339">
        <v>68.726375831215606</v>
      </c>
      <c r="AM3339">
        <v>94.555889833482993</v>
      </c>
      <c r="AN3339">
        <v>1.0000000206456201</v>
      </c>
    </row>
    <row r="3340" spans="1:40" x14ac:dyDescent="0.25">
      <c r="A3340" t="str">
        <f>"20190304164436971"</f>
        <v>20190304164436971</v>
      </c>
      <c r="B3340" t="str">
        <f>"1551689076963691"</f>
        <v>1551689076963691</v>
      </c>
      <c r="C3340" t="s">
        <v>40</v>
      </c>
      <c r="D3340">
        <v>4.6367240000000001</v>
      </c>
      <c r="E3340">
        <v>0.52060960000000001</v>
      </c>
      <c r="F3340" t="s">
        <v>45</v>
      </c>
      <c r="G3340">
        <v>-264.5197</v>
      </c>
      <c r="H3340" s="1">
        <v>8.3951239999999995E-7</v>
      </c>
      <c r="I3340">
        <v>215.27610000000001</v>
      </c>
      <c r="J3340">
        <v>-277.15789999999998</v>
      </c>
      <c r="K3340">
        <v>1.110676</v>
      </c>
      <c r="L3340">
        <v>214.4622</v>
      </c>
      <c r="M3340">
        <v>0.99988560000000004</v>
      </c>
      <c r="N3340">
        <v>-1.41878E-2</v>
      </c>
      <c r="O3340">
        <v>5.2413340000000003E-3</v>
      </c>
      <c r="P3340">
        <v>0.93360759999999998</v>
      </c>
      <c r="Q3340">
        <v>0.34973870000000001</v>
      </c>
      <c r="R3340">
        <v>7.7845600000000001E-2</v>
      </c>
      <c r="S3340">
        <v>3.3012999999999999</v>
      </c>
      <c r="T3340">
        <v>-0.28110859999999999</v>
      </c>
      <c r="U3340">
        <v>0.20651249999999999</v>
      </c>
      <c r="V3340">
        <v>-7.2977189999999997E-2</v>
      </c>
      <c r="W3340">
        <v>0.36294939999999998</v>
      </c>
      <c r="X3340">
        <v>0.92894670000000001</v>
      </c>
      <c r="Y3340">
        <v>-5.6973669999999997E-2</v>
      </c>
      <c r="Z3340">
        <v>2.4535170000000001E-3</v>
      </c>
      <c r="AA3340">
        <v>0.9983727</v>
      </c>
      <c r="AB3340">
        <v>39</v>
      </c>
      <c r="AC3340">
        <v>12.6381999999999</v>
      </c>
      <c r="AD3340">
        <v>-1.1106751604876</v>
      </c>
      <c r="AE3340">
        <v>0.81390000000001705</v>
      </c>
      <c r="AF3340">
        <v>-0.74193459552277397</v>
      </c>
      <c r="AG3340">
        <v>-1.1106751604876</v>
      </c>
      <c r="AH3340">
        <v>12.545797787519</v>
      </c>
      <c r="AI3340">
        <v>95.050408058528504</v>
      </c>
      <c r="AJ3340">
        <v>93.384421527217498</v>
      </c>
      <c r="AK3340">
        <v>12.616699583547</v>
      </c>
      <c r="AL3340">
        <v>68.718559336415595</v>
      </c>
      <c r="AM3340">
        <v>94.491877801452603</v>
      </c>
      <c r="AN3340">
        <v>0.99999995433077205</v>
      </c>
    </row>
    <row r="3341" spans="1:40" x14ac:dyDescent="0.25">
      <c r="A3341" t="str">
        <f>"20190304164436993"</f>
        <v>20190304164436993</v>
      </c>
      <c r="B3341" t="str">
        <f>"1551689076983210"</f>
        <v>1551689076983210</v>
      </c>
      <c r="C3341" t="s">
        <v>40</v>
      </c>
      <c r="D3341">
        <v>5.172428</v>
      </c>
      <c r="E3341">
        <v>0.52086569999999999</v>
      </c>
      <c r="F3341" t="s">
        <v>45</v>
      </c>
      <c r="G3341">
        <v>-259.4024</v>
      </c>
      <c r="H3341" s="1">
        <v>3.4261600000000001E-6</v>
      </c>
      <c r="I3341">
        <v>215.54339999999999</v>
      </c>
      <c r="J3341">
        <v>-276.77440000000001</v>
      </c>
      <c r="K3341">
        <v>1.1106689999999999</v>
      </c>
      <c r="L3341">
        <v>214.46430000000001</v>
      </c>
      <c r="M3341">
        <v>0.99988560000000004</v>
      </c>
      <c r="N3341">
        <v>-1.4185710000000001E-2</v>
      </c>
      <c r="O3341">
        <v>5.2504550000000002E-3</v>
      </c>
      <c r="P3341">
        <v>0.93353319999999995</v>
      </c>
      <c r="Q3341">
        <v>0.34994690000000001</v>
      </c>
      <c r="R3341">
        <v>7.7800839999999996E-2</v>
      </c>
      <c r="S3341">
        <v>3.2734380000000001</v>
      </c>
      <c r="T3341">
        <v>-0.20476539999999999</v>
      </c>
      <c r="U3341">
        <v>0.19932559999999999</v>
      </c>
      <c r="V3341">
        <v>-7.2918159999999996E-2</v>
      </c>
      <c r="W3341">
        <v>0.36315639999999999</v>
      </c>
      <c r="X3341">
        <v>0.92887050000000004</v>
      </c>
      <c r="Y3341">
        <v>-5.5410750000000002E-2</v>
      </c>
      <c r="Z3341">
        <v>1.8702219999999999E-3</v>
      </c>
      <c r="AA3341">
        <v>0.99846190000000001</v>
      </c>
      <c r="AB3341">
        <v>39</v>
      </c>
      <c r="AC3341">
        <v>17.372</v>
      </c>
      <c r="AD3341">
        <v>-1.11066557384</v>
      </c>
      <c r="AE3341">
        <v>1.07909999999998</v>
      </c>
      <c r="AF3341">
        <v>-0.98385889000260696</v>
      </c>
      <c r="AG3341">
        <v>-1.11066557384</v>
      </c>
      <c r="AH3341">
        <v>17.306955075651501</v>
      </c>
      <c r="AI3341">
        <v>93.6659914210137</v>
      </c>
      <c r="AJ3341">
        <v>93.253625812424502</v>
      </c>
      <c r="AK3341">
        <v>17.370441857447599</v>
      </c>
      <c r="AL3341">
        <v>68.705832016867603</v>
      </c>
      <c r="AM3341">
        <v>94.488625940305397</v>
      </c>
      <c r="AN3341">
        <v>1.0000000173444901</v>
      </c>
    </row>
    <row r="3342" spans="1:40" x14ac:dyDescent="0.25">
      <c r="A3342" t="str">
        <f>"20190304164437015"</f>
        <v>20190304164437015</v>
      </c>
      <c r="B3342" t="str">
        <f>"1551689077003707"</f>
        <v>1551689077003707</v>
      </c>
      <c r="C3342" t="s">
        <v>40</v>
      </c>
      <c r="D3342">
        <v>4.6446620000000003</v>
      </c>
      <c r="E3342">
        <v>0.52086840000000001</v>
      </c>
      <c r="F3342" t="s">
        <v>45</v>
      </c>
      <c r="G3342">
        <v>-259.06990000000002</v>
      </c>
      <c r="H3342" s="1">
        <v>3.2498490000000001E-6</v>
      </c>
      <c r="I3342">
        <v>215.52889999999999</v>
      </c>
      <c r="J3342">
        <v>-276.3997</v>
      </c>
      <c r="K3342">
        <v>1.1106609999999999</v>
      </c>
      <c r="L3342">
        <v>214.46619999999999</v>
      </c>
      <c r="M3342">
        <v>0.99988549999999998</v>
      </c>
      <c r="N3342">
        <v>-1.4183690000000001E-2</v>
      </c>
      <c r="O3342">
        <v>5.2587669999999897E-3</v>
      </c>
      <c r="P3342">
        <v>0.93333379999999999</v>
      </c>
      <c r="Q3342">
        <v>0.35031250000000003</v>
      </c>
      <c r="R3342">
        <v>7.8544269999999999E-2</v>
      </c>
      <c r="S3342">
        <v>3.2741699999999998</v>
      </c>
      <c r="T3342">
        <v>-0.20539930000000001</v>
      </c>
      <c r="U3342">
        <v>0.19688420000000001</v>
      </c>
      <c r="V3342">
        <v>-7.364888E-2</v>
      </c>
      <c r="W3342">
        <v>0.36351810000000001</v>
      </c>
      <c r="X3342">
        <v>0.92867140000000004</v>
      </c>
      <c r="Y3342">
        <v>-5.4648299999999997E-2</v>
      </c>
      <c r="Z3342">
        <v>1.844507E-3</v>
      </c>
      <c r="AA3342">
        <v>0.99850399999999995</v>
      </c>
      <c r="AB3342">
        <v>39</v>
      </c>
      <c r="AC3342">
        <v>17.329799999999899</v>
      </c>
      <c r="AD3342">
        <v>-1.110657750151</v>
      </c>
      <c r="AE3342">
        <v>1.0627</v>
      </c>
      <c r="AF3342">
        <v>-0.967583325535327</v>
      </c>
      <c r="AG3342">
        <v>-1.110657750151</v>
      </c>
      <c r="AH3342">
        <v>17.264501783083201</v>
      </c>
      <c r="AI3342">
        <v>93.675121156387505</v>
      </c>
      <c r="AJ3342">
        <v>93.207767393375804</v>
      </c>
      <c r="AK3342">
        <v>17.3272271280753</v>
      </c>
      <c r="AL3342">
        <v>68.683589050144704</v>
      </c>
      <c r="AM3342">
        <v>94.534388201176199</v>
      </c>
      <c r="AN3342">
        <v>1.00000006786541</v>
      </c>
    </row>
    <row r="3343" spans="1:40" x14ac:dyDescent="0.25">
      <c r="A3343" t="str">
        <f>"20190304164437036"</f>
        <v>20190304164437036</v>
      </c>
      <c r="B3343" t="str">
        <f>"1551689077032987"</f>
        <v>1551689077032987</v>
      </c>
      <c r="C3343" t="s">
        <v>40</v>
      </c>
      <c r="D3343">
        <v>4.8755980000000001</v>
      </c>
      <c r="E3343">
        <v>0.52195899999999995</v>
      </c>
      <c r="F3343" t="s">
        <v>45</v>
      </c>
      <c r="G3343">
        <v>-258.66829999999999</v>
      </c>
      <c r="H3343" s="1">
        <v>3.0356179999999999E-6</v>
      </c>
      <c r="I3343">
        <v>215.54159999999999</v>
      </c>
      <c r="J3343">
        <v>-276.01490000000001</v>
      </c>
      <c r="K3343">
        <v>1.1106590000000001</v>
      </c>
      <c r="L3343">
        <v>214.4683</v>
      </c>
      <c r="M3343">
        <v>0.99988569999999999</v>
      </c>
      <c r="N3343">
        <v>-1.4181590000000001E-2</v>
      </c>
      <c r="O3343">
        <v>5.2677549999999998E-3</v>
      </c>
      <c r="P3343">
        <v>0.93319759999999996</v>
      </c>
      <c r="Q3343">
        <v>0.35039510000000001</v>
      </c>
      <c r="R3343">
        <v>7.9787079999999996E-2</v>
      </c>
      <c r="S3343">
        <v>3.274597</v>
      </c>
      <c r="T3343">
        <v>-0.20511470000000001</v>
      </c>
      <c r="U3343">
        <v>0.19859309999999999</v>
      </c>
      <c r="V3343">
        <v>-7.4879589999999996E-2</v>
      </c>
      <c r="W3343">
        <v>0.36359750000000002</v>
      </c>
      <c r="X3343">
        <v>0.92854179999999997</v>
      </c>
      <c r="Y3343">
        <v>-5.5149869999999997E-2</v>
      </c>
      <c r="Z3343">
        <v>1.8611400000000001E-3</v>
      </c>
      <c r="AA3343">
        <v>0.99847629999999998</v>
      </c>
      <c r="AB3343">
        <v>39</v>
      </c>
      <c r="AC3343">
        <v>17.346599999999999</v>
      </c>
      <c r="AD3343">
        <v>-1.110655964382</v>
      </c>
      <c r="AE3343">
        <v>1.0732999999999799</v>
      </c>
      <c r="AF3343">
        <v>-0.97790466260504805</v>
      </c>
      <c r="AG3343">
        <v>-1.110655964382</v>
      </c>
      <c r="AH3343">
        <v>17.281438734216099</v>
      </c>
      <c r="AI3343">
        <v>93.671411793451696</v>
      </c>
      <c r="AJ3343">
        <v>93.238741941949499</v>
      </c>
      <c r="AK3343">
        <v>17.3446815746161</v>
      </c>
      <c r="AL3343">
        <v>68.678703738688796</v>
      </c>
      <c r="AM3343">
        <v>94.610476849868903</v>
      </c>
      <c r="AN3343">
        <v>0.99999998467602802</v>
      </c>
    </row>
    <row r="3344" spans="1:40" x14ac:dyDescent="0.25">
      <c r="A3344" t="str">
        <f>"20190304164437060"</f>
        <v>20190304164437060</v>
      </c>
      <c r="B3344" t="str">
        <f>"1551689077053482"</f>
        <v>1551689077053482</v>
      </c>
      <c r="C3344" t="s">
        <v>40</v>
      </c>
      <c r="D3344">
        <v>5.2131999999999996</v>
      </c>
      <c r="E3344">
        <v>0.52073910000000001</v>
      </c>
      <c r="F3344" t="s">
        <v>45</v>
      </c>
      <c r="G3344">
        <v>-262.96660000000003</v>
      </c>
      <c r="H3344" s="1">
        <v>1.356401E-8</v>
      </c>
      <c r="I3344">
        <v>215.26400000000001</v>
      </c>
      <c r="J3344">
        <v>-275.60599999999999</v>
      </c>
      <c r="K3344">
        <v>1.1106510000000001</v>
      </c>
      <c r="L3344">
        <v>214.47049999999999</v>
      </c>
      <c r="M3344">
        <v>0.99988569999999999</v>
      </c>
      <c r="N3344">
        <v>-1.417933E-2</v>
      </c>
      <c r="O3344">
        <v>5.2784829999999996E-3</v>
      </c>
      <c r="P3344">
        <v>0.93329240000000002</v>
      </c>
      <c r="Q3344">
        <v>0.34989599999999998</v>
      </c>
      <c r="R3344">
        <v>8.0860139999999997E-2</v>
      </c>
      <c r="S3344">
        <v>3.303131</v>
      </c>
      <c r="T3344">
        <v>-0.28115839999999998</v>
      </c>
      <c r="U3344">
        <v>0.20143130000000001</v>
      </c>
      <c r="V3344">
        <v>-7.5938560000000002E-2</v>
      </c>
      <c r="W3344">
        <v>0.3630987</v>
      </c>
      <c r="X3344">
        <v>0.928651</v>
      </c>
      <c r="Y3344">
        <v>-5.5379020000000001E-2</v>
      </c>
      <c r="Z3344">
        <v>2.3709170000000002E-3</v>
      </c>
      <c r="AA3344">
        <v>0.99846259999999998</v>
      </c>
      <c r="AB3344">
        <v>39</v>
      </c>
      <c r="AC3344">
        <v>12.639399999999901</v>
      </c>
      <c r="AD3344">
        <v>-1.1106509864359899</v>
      </c>
      <c r="AE3344">
        <v>0.79350000000002296</v>
      </c>
      <c r="AF3344">
        <v>-0.72121835550643598</v>
      </c>
      <c r="AG3344">
        <v>-1.1106509864359899</v>
      </c>
      <c r="AH3344">
        <v>12.546911998451099</v>
      </c>
      <c r="AI3344">
        <v>95.050336119204601</v>
      </c>
      <c r="AJ3344">
        <v>93.289841012793403</v>
      </c>
      <c r="AK3344">
        <v>12.616604227242201</v>
      </c>
      <c r="AL3344">
        <v>68.709379914588297</v>
      </c>
      <c r="AM3344">
        <v>94.674845219358204</v>
      </c>
      <c r="AN3344">
        <v>1.0000000053187801</v>
      </c>
    </row>
    <row r="3345" spans="1:40" x14ac:dyDescent="0.25">
      <c r="A3345" t="str">
        <f>"20190304164437081"</f>
        <v>20190304164437081</v>
      </c>
      <c r="B3345" t="str">
        <f>"1551689077073002"</f>
        <v>1551689077073002</v>
      </c>
      <c r="C3345" t="s">
        <v>40</v>
      </c>
      <c r="D3345">
        <v>4.6345859999999997</v>
      </c>
      <c r="E3345">
        <v>0.5206885</v>
      </c>
      <c r="F3345" t="s">
        <v>45</v>
      </c>
      <c r="G3345">
        <v>-258.3777</v>
      </c>
      <c r="H3345" s="1">
        <v>2.880177E-6</v>
      </c>
      <c r="I3345">
        <v>215.55940000000001</v>
      </c>
      <c r="J3345">
        <v>-275.23860000000002</v>
      </c>
      <c r="K3345">
        <v>1.110649</v>
      </c>
      <c r="L3345">
        <v>214.4725</v>
      </c>
      <c r="M3345">
        <v>0.99988560000000004</v>
      </c>
      <c r="N3345">
        <v>-1.417728E-2</v>
      </c>
      <c r="O3345">
        <v>5.2888739999999998E-3</v>
      </c>
      <c r="P3345">
        <v>0.93323089999999997</v>
      </c>
      <c r="Q3345">
        <v>0.34977970000000003</v>
      </c>
      <c r="R3345">
        <v>8.2065360000000004E-2</v>
      </c>
      <c r="S3345">
        <v>3.275665</v>
      </c>
      <c r="T3345">
        <v>-0.2111702</v>
      </c>
      <c r="U3345">
        <v>0.2070313</v>
      </c>
      <c r="V3345">
        <v>-7.7131720000000001E-2</v>
      </c>
      <c r="W3345">
        <v>0.36298049999999998</v>
      </c>
      <c r="X3345">
        <v>0.9285989</v>
      </c>
      <c r="Y3345">
        <v>-5.7658290000000001E-2</v>
      </c>
      <c r="Z3345">
        <v>1.9990070000000001E-3</v>
      </c>
      <c r="AA3345">
        <v>0.99833430000000001</v>
      </c>
      <c r="AB3345">
        <v>39</v>
      </c>
      <c r="AC3345">
        <v>16.860900000000001</v>
      </c>
      <c r="AD3345">
        <v>-1.110646119823</v>
      </c>
      <c r="AE3345">
        <v>1.08690000000001</v>
      </c>
      <c r="AF3345">
        <v>-0.99340810179481898</v>
      </c>
      <c r="AG3345">
        <v>-1.110646119823</v>
      </c>
      <c r="AH3345">
        <v>16.793846194607202</v>
      </c>
      <c r="AI3345">
        <v>93.777112397921996</v>
      </c>
      <c r="AJ3345">
        <v>93.3852783199155</v>
      </c>
      <c r="AK3345">
        <v>16.8598239750097</v>
      </c>
      <c r="AL3345">
        <v>68.716648742093994</v>
      </c>
      <c r="AM3345">
        <v>94.748229155423004</v>
      </c>
      <c r="AN3345">
        <v>1.0000000313458</v>
      </c>
    </row>
    <row r="3346" spans="1:40" x14ac:dyDescent="0.25">
      <c r="A3346" t="str">
        <f>"20190304164437104"</f>
        <v>20190304164437104</v>
      </c>
      <c r="B3346" t="str">
        <f>"1551689077093498"</f>
        <v>1551689077093498</v>
      </c>
      <c r="C3346" t="s">
        <v>40</v>
      </c>
      <c r="D3346">
        <v>4.637772</v>
      </c>
      <c r="E3346">
        <v>0.52020420000000001</v>
      </c>
      <c r="F3346" t="s">
        <v>45</v>
      </c>
      <c r="G3346">
        <v>-258.096</v>
      </c>
      <c r="H3346" s="1">
        <v>2.7295779999999999E-6</v>
      </c>
      <c r="I3346">
        <v>215.5754</v>
      </c>
      <c r="J3346">
        <v>-274.84800000000001</v>
      </c>
      <c r="K3346">
        <v>1.110654</v>
      </c>
      <c r="L3346">
        <v>214.47460000000001</v>
      </c>
      <c r="M3346">
        <v>0.99988560000000004</v>
      </c>
      <c r="N3346">
        <v>-1.41751E-2</v>
      </c>
      <c r="O3346">
        <v>5.2999340000000001E-3</v>
      </c>
      <c r="P3346">
        <v>0.93333379999999999</v>
      </c>
      <c r="Q3346">
        <v>0.3491303</v>
      </c>
      <c r="R3346">
        <v>8.3643700000000001E-2</v>
      </c>
      <c r="S3346">
        <v>3.275665</v>
      </c>
      <c r="T3346">
        <v>-0.21222650000000001</v>
      </c>
      <c r="U3346">
        <v>0.21075440000000001</v>
      </c>
      <c r="V3346">
        <v>-7.8696500000000003E-2</v>
      </c>
      <c r="W3346">
        <v>0.36233130000000002</v>
      </c>
      <c r="X3346">
        <v>0.92872109999999997</v>
      </c>
      <c r="Y3346">
        <v>-5.8773279999999997E-2</v>
      </c>
      <c r="Z3346">
        <v>2.049861E-3</v>
      </c>
      <c r="AA3346">
        <v>0.99826930000000003</v>
      </c>
      <c r="AB3346">
        <v>39</v>
      </c>
      <c r="AC3346">
        <v>16.751999999999999</v>
      </c>
      <c r="AD3346">
        <v>-1.110651270422</v>
      </c>
      <c r="AE3346">
        <v>1.10079999999999</v>
      </c>
      <c r="AF3346">
        <v>-1.00758120922727</v>
      </c>
      <c r="AG3346">
        <v>-1.110651270422</v>
      </c>
      <c r="AH3346">
        <v>16.6845753614312</v>
      </c>
      <c r="AI3346">
        <v>93.801515544725405</v>
      </c>
      <c r="AJ3346">
        <v>93.455894025803701</v>
      </c>
      <c r="AK3346">
        <v>16.7518303814525</v>
      </c>
      <c r="AL3346">
        <v>68.756561565207605</v>
      </c>
      <c r="AM3346">
        <v>94.8434688206749</v>
      </c>
      <c r="AN3346">
        <v>0.99999999582857402</v>
      </c>
    </row>
    <row r="3347" spans="1:40" x14ac:dyDescent="0.25">
      <c r="A3347" t="str">
        <f>"20190304164437126"</f>
        <v>20190304164437126</v>
      </c>
      <c r="B3347" t="str">
        <f>"1551689077113019"</f>
        <v>1551689077113019</v>
      </c>
      <c r="C3347" t="s">
        <v>40</v>
      </c>
      <c r="D3347">
        <v>4.6569909999999997</v>
      </c>
      <c r="E3347">
        <v>0.51048170000000004</v>
      </c>
      <c r="F3347" t="s">
        <v>45</v>
      </c>
      <c r="G3347">
        <v>-257.59719999999999</v>
      </c>
      <c r="H3347" s="1">
        <v>2.4619000000000001E-6</v>
      </c>
      <c r="I3347">
        <v>215.62639999999999</v>
      </c>
      <c r="J3347">
        <v>-274.46050000000002</v>
      </c>
      <c r="K3347">
        <v>1.1106480000000001</v>
      </c>
      <c r="L3347">
        <v>214.47659999999999</v>
      </c>
      <c r="M3347">
        <v>0.99988549999999998</v>
      </c>
      <c r="N3347">
        <v>-1.417291E-2</v>
      </c>
      <c r="O3347">
        <v>5.3111850000000004E-3</v>
      </c>
      <c r="P3347">
        <v>0.93334340000000005</v>
      </c>
      <c r="Q3347">
        <v>0.34882540000000001</v>
      </c>
      <c r="R3347">
        <v>8.4801059999999998E-2</v>
      </c>
      <c r="S3347">
        <v>3.2735289999999999</v>
      </c>
      <c r="T3347">
        <v>-0.21075769999999999</v>
      </c>
      <c r="U3347">
        <v>0.21856690000000001</v>
      </c>
      <c r="V3347">
        <v>-7.9842109999999994E-2</v>
      </c>
      <c r="W3347">
        <v>0.36202509999999999</v>
      </c>
      <c r="X3347">
        <v>0.92874279999999998</v>
      </c>
      <c r="Y3347">
        <v>-6.1171440000000001E-2</v>
      </c>
      <c r="Z3347">
        <v>2.1334430000000001E-3</v>
      </c>
      <c r="AA3347">
        <v>0.99812500000000004</v>
      </c>
      <c r="AB3347">
        <v>39</v>
      </c>
      <c r="AC3347">
        <v>16.863299999999999</v>
      </c>
      <c r="AD3347">
        <v>-1.11064553809999</v>
      </c>
      <c r="AE3347">
        <v>1.1497999999999899</v>
      </c>
      <c r="AF3347">
        <v>-1.05565269966049</v>
      </c>
      <c r="AG3347">
        <v>-1.11064553809999</v>
      </c>
      <c r="AH3347">
        <v>16.796646803478399</v>
      </c>
      <c r="AI3347">
        <v>93.775636749917993</v>
      </c>
      <c r="AJ3347">
        <v>93.5962531935957</v>
      </c>
      <c r="AK3347">
        <v>16.866394990465601</v>
      </c>
      <c r="AL3347">
        <v>68.775384840059701</v>
      </c>
      <c r="AM3347">
        <v>94.913519752933695</v>
      </c>
      <c r="AN3347">
        <v>1.00000006205554</v>
      </c>
    </row>
    <row r="3348" spans="1:40" x14ac:dyDescent="0.25">
      <c r="A3348" t="str">
        <f>"20190304164437150"</f>
        <v>20190304164437150</v>
      </c>
      <c r="B3348" t="str">
        <f>"1551689077143292"</f>
        <v>1551689077143292</v>
      </c>
      <c r="C3348" t="s">
        <v>40</v>
      </c>
      <c r="D3348">
        <v>4.6382209999999997</v>
      </c>
      <c r="E3348">
        <v>0.50917570000000001</v>
      </c>
      <c r="F3348" t="s">
        <v>45</v>
      </c>
      <c r="G3348">
        <v>-254.83150000000001</v>
      </c>
      <c r="H3348" s="1">
        <v>9.623540000000001E-7</v>
      </c>
      <c r="I3348">
        <v>216.26259999999999</v>
      </c>
      <c r="J3348">
        <v>-274.04090000000002</v>
      </c>
      <c r="K3348">
        <v>1.1106450000000001</v>
      </c>
      <c r="L3348">
        <v>214.47890000000001</v>
      </c>
      <c r="M3348">
        <v>0.99988540000000004</v>
      </c>
      <c r="N3348">
        <v>-1.4170479999999999E-2</v>
      </c>
      <c r="O3348">
        <v>5.3231040000000004E-3</v>
      </c>
      <c r="P3348">
        <v>0.93331799999999998</v>
      </c>
      <c r="Q3348">
        <v>0.34862070000000001</v>
      </c>
      <c r="R3348">
        <v>8.5913379999999998E-2</v>
      </c>
      <c r="S3348">
        <v>3.2562259999999998</v>
      </c>
      <c r="T3348">
        <v>-0.18424380000000001</v>
      </c>
      <c r="U3348">
        <v>0.29627989999999998</v>
      </c>
      <c r="V3348">
        <v>-8.0942E-2</v>
      </c>
      <c r="W3348">
        <v>0.36181790000000003</v>
      </c>
      <c r="X3348">
        <v>0.92872829999999995</v>
      </c>
      <c r="Y3348">
        <v>-8.5146979999999997E-2</v>
      </c>
      <c r="Z3348">
        <v>2.782105E-3</v>
      </c>
      <c r="AA3348">
        <v>0.99636449999999999</v>
      </c>
      <c r="AB3348">
        <v>39</v>
      </c>
      <c r="AC3348">
        <v>19.209399999999999</v>
      </c>
      <c r="AD3348">
        <v>-1.1106440376459901</v>
      </c>
      <c r="AE3348">
        <v>1.7836999999999801</v>
      </c>
      <c r="AF3348">
        <v>-1.6758565044046201</v>
      </c>
      <c r="AG3348">
        <v>-1.1106440376459901</v>
      </c>
      <c r="AH3348">
        <v>19.155137420898399</v>
      </c>
      <c r="AI3348">
        <v>93.305781863626805</v>
      </c>
      <c r="AJ3348">
        <v>94.999997422799495</v>
      </c>
      <c r="AK3348">
        <v>19.260356040717902</v>
      </c>
      <c r="AL3348">
        <v>68.788119084593404</v>
      </c>
      <c r="AM3348">
        <v>94.980946644687293</v>
      </c>
      <c r="AN3348">
        <v>1.00000002767264</v>
      </c>
    </row>
    <row r="3349" spans="1:40" x14ac:dyDescent="0.25">
      <c r="A3349" t="str">
        <f>"20190304164437172"</f>
        <v>20190304164437172</v>
      </c>
      <c r="B3349" t="str">
        <f>"1551689077163771"</f>
        <v>1551689077163771</v>
      </c>
      <c r="C3349" t="s">
        <v>40</v>
      </c>
      <c r="D3349">
        <v>5.1225079999999998</v>
      </c>
      <c r="E3349">
        <v>0.50891730000000002</v>
      </c>
      <c r="F3349" t="s">
        <v>45</v>
      </c>
      <c r="G3349">
        <v>-256.11939999999998</v>
      </c>
      <c r="H3349" s="1">
        <v>1.6509130000000001E-6</v>
      </c>
      <c r="I3349">
        <v>216.1892</v>
      </c>
      <c r="J3349">
        <v>-273.65839999999997</v>
      </c>
      <c r="K3349">
        <v>1.1106419999999999</v>
      </c>
      <c r="L3349">
        <v>214.48099999999999</v>
      </c>
      <c r="M3349">
        <v>0.99988540000000004</v>
      </c>
      <c r="N3349">
        <v>-1.416825E-2</v>
      </c>
      <c r="O3349">
        <v>5.3338980000000001E-3</v>
      </c>
      <c r="P3349">
        <v>0.93358699999999994</v>
      </c>
      <c r="Q3349">
        <v>0.34780939999999999</v>
      </c>
      <c r="R3349">
        <v>8.6278160000000007E-2</v>
      </c>
      <c r="S3349">
        <v>3.2611690000000002</v>
      </c>
      <c r="T3349">
        <v>-0.20210339999999999</v>
      </c>
      <c r="U3349">
        <v>0.3112183</v>
      </c>
      <c r="V3349">
        <v>-8.1294850000000002E-2</v>
      </c>
      <c r="W3349">
        <v>0.3610083</v>
      </c>
      <c r="X3349">
        <v>0.92901250000000002</v>
      </c>
      <c r="Y3349">
        <v>-8.9484899999999895E-2</v>
      </c>
      <c r="Z3349">
        <v>3.1459069999999999E-3</v>
      </c>
      <c r="AA3349">
        <v>0.99598319999999996</v>
      </c>
      <c r="AB3349">
        <v>39</v>
      </c>
      <c r="AC3349">
        <v>17.538999999999898</v>
      </c>
      <c r="AD3349">
        <v>-1.1106403490869901</v>
      </c>
      <c r="AE3349">
        <v>1.7081999999999999</v>
      </c>
      <c r="AF3349">
        <v>-1.6082267810914099</v>
      </c>
      <c r="AG3349">
        <v>-1.1106403490869901</v>
      </c>
      <c r="AH3349">
        <v>17.4784339404756</v>
      </c>
      <c r="AI3349">
        <v>93.620631014693203</v>
      </c>
      <c r="AJ3349">
        <v>95.257100351529104</v>
      </c>
      <c r="AK3349">
        <v>17.587369569552202</v>
      </c>
      <c r="AL3349">
        <v>68.837868689504006</v>
      </c>
      <c r="AM3349">
        <v>95.001027512676004</v>
      </c>
      <c r="AN3349">
        <v>1.00000003523083</v>
      </c>
    </row>
    <row r="3350" spans="1:40" x14ac:dyDescent="0.25">
      <c r="A3350" t="str">
        <f>"20190304164437194"</f>
        <v>20190304164437194</v>
      </c>
      <c r="B3350" t="str">
        <f>"1551689077183291"</f>
        <v>1551689077183291</v>
      </c>
      <c r="C3350" t="s">
        <v>40</v>
      </c>
      <c r="D3350">
        <v>4.669092</v>
      </c>
      <c r="E3350">
        <v>0.50884070000000003</v>
      </c>
      <c r="F3350" t="s">
        <v>45</v>
      </c>
      <c r="G3350">
        <v>-256.46839999999997</v>
      </c>
      <c r="H3350" s="1">
        <v>1.8389389999999999E-6</v>
      </c>
      <c r="I3350">
        <v>216.13640000000001</v>
      </c>
      <c r="J3350">
        <v>-273.28039999999999</v>
      </c>
      <c r="K3350">
        <v>1.1106469999999999</v>
      </c>
      <c r="L3350">
        <v>214.483</v>
      </c>
      <c r="M3350">
        <v>0.99988540000000004</v>
      </c>
      <c r="N3350">
        <v>-1.4166059999999999E-2</v>
      </c>
      <c r="O3350">
        <v>5.3441599999999997E-3</v>
      </c>
      <c r="P3350">
        <v>0.93357250000000003</v>
      </c>
      <c r="Q3350">
        <v>0.3478155</v>
      </c>
      <c r="R3350">
        <v>8.6410180000000003E-2</v>
      </c>
      <c r="S3350">
        <v>3.2629090000000001</v>
      </c>
      <c r="T3350">
        <v>-0.21081630000000001</v>
      </c>
      <c r="U3350">
        <v>0.31422420000000001</v>
      </c>
      <c r="V3350">
        <v>-8.1417879999999998E-2</v>
      </c>
      <c r="W3350">
        <v>0.36101230000000001</v>
      </c>
      <c r="X3350">
        <v>0.9290001</v>
      </c>
      <c r="Y3350">
        <v>-9.0315809999999996E-2</v>
      </c>
      <c r="Z3350">
        <v>3.2812990000000001E-3</v>
      </c>
      <c r="AA3350">
        <v>0.99590780000000001</v>
      </c>
      <c r="AB3350">
        <v>39</v>
      </c>
      <c r="AC3350">
        <v>16.812000000000001</v>
      </c>
      <c r="AD3350">
        <v>-1.110645161061</v>
      </c>
      <c r="AE3350">
        <v>1.6534</v>
      </c>
      <c r="AF3350">
        <v>-1.55679217141381</v>
      </c>
      <c r="AG3350">
        <v>-1.110645161061</v>
      </c>
      <c r="AH3350">
        <v>16.748203257776801</v>
      </c>
      <c r="AI3350">
        <v>93.777736169718196</v>
      </c>
      <c r="AJ3350">
        <v>95.310542721557994</v>
      </c>
      <c r="AK3350">
        <v>16.8570295990299</v>
      </c>
      <c r="AL3350">
        <v>68.837621461069304</v>
      </c>
      <c r="AM3350">
        <v>95.008624011646603</v>
      </c>
      <c r="AN3350">
        <v>0.99999996886749598</v>
      </c>
    </row>
    <row r="3351" spans="1:40" x14ac:dyDescent="0.25">
      <c r="A3351" t="str">
        <f>"20190304164437216"</f>
        <v>20190304164437216</v>
      </c>
      <c r="B3351" t="str">
        <f>"1551689077203787"</f>
        <v>1551689077203787</v>
      </c>
      <c r="C3351" t="s">
        <v>40</v>
      </c>
      <c r="D3351">
        <v>5.1888249999999996</v>
      </c>
      <c r="E3351">
        <v>0.50877309999999998</v>
      </c>
      <c r="F3351" t="s">
        <v>45</v>
      </c>
      <c r="G3351">
        <v>-255.88339999999999</v>
      </c>
      <c r="H3351" s="1">
        <v>1.5264670000000001E-6</v>
      </c>
      <c r="I3351">
        <v>216.16249999999999</v>
      </c>
      <c r="J3351">
        <v>-272.9042</v>
      </c>
      <c r="K3351">
        <v>1.1106469999999999</v>
      </c>
      <c r="L3351">
        <v>214.48500000000001</v>
      </c>
      <c r="M3351">
        <v>0.99988540000000004</v>
      </c>
      <c r="N3351">
        <v>-1.416386E-2</v>
      </c>
      <c r="O3351">
        <v>5.3544209999999998E-3</v>
      </c>
      <c r="P3351">
        <v>0.93341589999999997</v>
      </c>
      <c r="Q3351">
        <v>0.34837570000000001</v>
      </c>
      <c r="R3351">
        <v>8.5846859999999997E-2</v>
      </c>
      <c r="S3351">
        <v>3.2619020000000001</v>
      </c>
      <c r="T3351">
        <v>-0.20824400000000001</v>
      </c>
      <c r="U3351">
        <v>0.31491089999999999</v>
      </c>
      <c r="V3351">
        <v>-8.0845459999999994E-2</v>
      </c>
      <c r="W3351">
        <v>0.3615681</v>
      </c>
      <c r="X3351">
        <v>0.92883400000000005</v>
      </c>
      <c r="Y3351">
        <v>-9.0546790000000002E-2</v>
      </c>
      <c r="Z3351">
        <v>3.2591920000000002E-3</v>
      </c>
      <c r="AA3351">
        <v>0.99588690000000002</v>
      </c>
      <c r="AB3351">
        <v>39</v>
      </c>
      <c r="AC3351">
        <v>17.020800000000001</v>
      </c>
      <c r="AD3351">
        <v>-1.110645473533</v>
      </c>
      <c r="AE3351">
        <v>1.67749999999998</v>
      </c>
      <c r="AF3351">
        <v>-1.5796689806289499</v>
      </c>
      <c r="AG3351">
        <v>-1.110645473533</v>
      </c>
      <c r="AH3351">
        <v>16.958028654076902</v>
      </c>
      <c r="AI3351">
        <v>93.731059049990407</v>
      </c>
      <c r="AJ3351">
        <v>95.321841029712004</v>
      </c>
      <c r="AK3351">
        <v>17.0676191452918</v>
      </c>
      <c r="AL3351">
        <v>68.803471193769596</v>
      </c>
      <c r="AM3351">
        <v>94.974472362619494</v>
      </c>
      <c r="AN3351">
        <v>1.0000000394481099</v>
      </c>
    </row>
    <row r="3352" spans="1:40" x14ac:dyDescent="0.25">
      <c r="A3352" t="str">
        <f>"20190304164437237"</f>
        <v>20190304164437237</v>
      </c>
      <c r="B3352" t="str">
        <f>"1551689077233067"</f>
        <v>1551689077233067</v>
      </c>
      <c r="C3352" t="s">
        <v>40</v>
      </c>
      <c r="D3352">
        <v>4.7033399999999999</v>
      </c>
      <c r="E3352">
        <v>0.50865050000000001</v>
      </c>
      <c r="F3352" t="s">
        <v>45</v>
      </c>
      <c r="G3352">
        <v>-255.0573</v>
      </c>
      <c r="H3352" s="1">
        <v>1.0854419999999999E-6</v>
      </c>
      <c r="I3352">
        <v>216.19569999999999</v>
      </c>
      <c r="J3352">
        <v>-272.51339999999999</v>
      </c>
      <c r="K3352">
        <v>1.1106480000000001</v>
      </c>
      <c r="L3352">
        <v>214.4871</v>
      </c>
      <c r="M3352">
        <v>0.99988540000000004</v>
      </c>
      <c r="N3352">
        <v>-1.416159E-2</v>
      </c>
      <c r="O3352">
        <v>5.3655179999999997E-3</v>
      </c>
      <c r="P3352">
        <v>0.9332916</v>
      </c>
      <c r="Q3352">
        <v>0.34879949999999998</v>
      </c>
      <c r="R3352">
        <v>8.5474149999999999E-2</v>
      </c>
      <c r="S3352">
        <v>3.2609859999999999</v>
      </c>
      <c r="T3352">
        <v>-0.20293739999999999</v>
      </c>
      <c r="U3352">
        <v>0.31257629999999997</v>
      </c>
      <c r="V3352">
        <v>-8.0462430000000001E-2</v>
      </c>
      <c r="W3352">
        <v>0.36198819999999998</v>
      </c>
      <c r="X3352">
        <v>0.92870359999999996</v>
      </c>
      <c r="Y3352">
        <v>-8.9867340000000004E-2</v>
      </c>
      <c r="Z3352">
        <v>3.1687669999999999E-3</v>
      </c>
      <c r="AA3352">
        <v>0.99594870000000002</v>
      </c>
      <c r="AB3352">
        <v>39</v>
      </c>
      <c r="AC3352">
        <v>17.4560999999999</v>
      </c>
      <c r="AD3352">
        <v>-1.11064691455799</v>
      </c>
      <c r="AE3352">
        <v>1.7085999999999899</v>
      </c>
      <c r="AF3352">
        <v>-1.6084555008682</v>
      </c>
      <c r="AG3352">
        <v>-1.11064691455799</v>
      </c>
      <c r="AH3352">
        <v>17.3952665543266</v>
      </c>
      <c r="AI3352">
        <v>93.637766114586796</v>
      </c>
      <c r="AJ3352">
        <v>95.282839862574804</v>
      </c>
      <c r="AK3352">
        <v>17.5047411909792</v>
      </c>
      <c r="AL3352">
        <v>68.777651905421195</v>
      </c>
      <c r="AM3352">
        <v>94.951713427745403</v>
      </c>
      <c r="AN3352">
        <v>1.00000001811685</v>
      </c>
    </row>
    <row r="3353" spans="1:40" x14ac:dyDescent="0.25">
      <c r="A3353" t="str">
        <f>"20190304164437260"</f>
        <v>20190304164437260</v>
      </c>
      <c r="B3353" t="str">
        <f>"1551689077253562"</f>
        <v>1551689077253562</v>
      </c>
      <c r="C3353" t="s">
        <v>40</v>
      </c>
      <c r="D3353">
        <v>4.6917920000000004</v>
      </c>
      <c r="E3353">
        <v>0.50856159999999995</v>
      </c>
      <c r="F3353" t="s">
        <v>45</v>
      </c>
      <c r="G3353">
        <v>-254.64359999999999</v>
      </c>
      <c r="H3353" s="1">
        <v>8.6506739999999999E-7</v>
      </c>
      <c r="I3353">
        <v>216.19990000000001</v>
      </c>
      <c r="J3353">
        <v>-272.12189999999998</v>
      </c>
      <c r="K3353">
        <v>1.1106480000000001</v>
      </c>
      <c r="L3353">
        <v>214.48920000000001</v>
      </c>
      <c r="M3353">
        <v>0.99988540000000004</v>
      </c>
      <c r="N3353">
        <v>-1.4159329999999999E-2</v>
      </c>
      <c r="O3353">
        <v>5.3766150000000004E-3</v>
      </c>
      <c r="P3353">
        <v>0.93338489999999996</v>
      </c>
      <c r="Q3353">
        <v>0.34863430000000001</v>
      </c>
      <c r="R3353">
        <v>8.5131399999999996E-2</v>
      </c>
      <c r="S3353">
        <v>3.2615660000000002</v>
      </c>
      <c r="T3353">
        <v>-0.2027128</v>
      </c>
      <c r="U3353">
        <v>0.31262210000000001</v>
      </c>
      <c r="V3353">
        <v>-8.0108360000000003E-2</v>
      </c>
      <c r="W3353">
        <v>0.36182229999999999</v>
      </c>
      <c r="X3353">
        <v>0.92879880000000004</v>
      </c>
      <c r="Y3353">
        <v>-8.9853829999999996E-2</v>
      </c>
      <c r="Z3353">
        <v>3.1644609999999999E-3</v>
      </c>
      <c r="AA3353">
        <v>0.99594990000000005</v>
      </c>
      <c r="AB3353">
        <v>39</v>
      </c>
      <c r="AC3353">
        <v>17.478299999999901</v>
      </c>
      <c r="AD3353">
        <v>-1.1106471349325999</v>
      </c>
      <c r="AE3353">
        <v>1.7107000000000001</v>
      </c>
      <c r="AF3353">
        <v>-1.61025145408959</v>
      </c>
      <c r="AG3353">
        <v>-1.1106471349325999</v>
      </c>
      <c r="AH3353">
        <v>17.4175831800083</v>
      </c>
      <c r="AI3353">
        <v>93.633123467561703</v>
      </c>
      <c r="AJ3353">
        <v>95.281967186047595</v>
      </c>
      <c r="AK3353">
        <v>17.527083346530901</v>
      </c>
      <c r="AL3353">
        <v>68.787847345597498</v>
      </c>
      <c r="AM3353">
        <v>94.929528514920406</v>
      </c>
      <c r="AN3353">
        <v>0.99999996850030903</v>
      </c>
    </row>
    <row r="3354" spans="1:40" x14ac:dyDescent="0.25">
      <c r="A3354" t="str">
        <f>"20190304164437281"</f>
        <v>20190304164437281</v>
      </c>
      <c r="B3354" t="str">
        <f>"1551689077273083"</f>
        <v>1551689077273083</v>
      </c>
      <c r="C3354" t="s">
        <v>40</v>
      </c>
      <c r="D3354">
        <v>4.6955479999999996</v>
      </c>
      <c r="E3354">
        <v>0.50850309999999999</v>
      </c>
      <c r="F3354" t="s">
        <v>45</v>
      </c>
      <c r="G3354">
        <v>-254.75919999999999</v>
      </c>
      <c r="H3354" s="1">
        <v>9.2866110000000003E-7</v>
      </c>
      <c r="I3354">
        <v>216.1524</v>
      </c>
      <c r="J3354">
        <v>-271.75670000000002</v>
      </c>
      <c r="K3354">
        <v>1.1106419999999999</v>
      </c>
      <c r="L3354">
        <v>214.49119999999999</v>
      </c>
      <c r="M3354">
        <v>0.99988540000000004</v>
      </c>
      <c r="N3354">
        <v>-1.415722E-2</v>
      </c>
      <c r="O3354">
        <v>5.3882569999999996E-3</v>
      </c>
      <c r="P3354">
        <v>0.93362120000000004</v>
      </c>
      <c r="Q3354">
        <v>0.3479778</v>
      </c>
      <c r="R3354">
        <v>8.5224240000000007E-2</v>
      </c>
      <c r="S3354">
        <v>3.2635800000000001</v>
      </c>
      <c r="T3354">
        <v>-0.208763</v>
      </c>
      <c r="U3354">
        <v>0.31262210000000001</v>
      </c>
      <c r="V3354">
        <v>-8.0189079999999996E-2</v>
      </c>
      <c r="W3354">
        <v>0.36116740000000003</v>
      </c>
      <c r="X3354">
        <v>0.9290467</v>
      </c>
      <c r="Y3354">
        <v>-8.9773229999999996E-2</v>
      </c>
      <c r="Z3354">
        <v>3.2321049999999999E-3</v>
      </c>
      <c r="AA3354">
        <v>0.99595699999999998</v>
      </c>
      <c r="AB3354">
        <v>39</v>
      </c>
      <c r="AC3354">
        <v>16.997499999999999</v>
      </c>
      <c r="AD3354">
        <v>-1.1106410713389001</v>
      </c>
      <c r="AE3354">
        <v>1.6612</v>
      </c>
      <c r="AF3354">
        <v>-1.5629698449096301</v>
      </c>
      <c r="AG3354">
        <v>-1.1106410713389001</v>
      </c>
      <c r="AH3354">
        <v>16.934586859672599</v>
      </c>
      <c r="AI3354">
        <v>93.736487993589705</v>
      </c>
      <c r="AJ3354">
        <v>95.2731485521943</v>
      </c>
      <c r="AK3354">
        <v>17.042788223563601</v>
      </c>
      <c r="AL3354">
        <v>68.828092076041699</v>
      </c>
      <c r="AM3354">
        <v>94.933160988760804</v>
      </c>
      <c r="AN3354">
        <v>0.99999997507744798</v>
      </c>
    </row>
    <row r="3355" spans="1:40" x14ac:dyDescent="0.25">
      <c r="A3355" t="str">
        <f>"20190304164437304"</f>
        <v>20190304164437304</v>
      </c>
      <c r="B3355" t="str">
        <f>"1551689077293580"</f>
        <v>1551689077293580</v>
      </c>
      <c r="C3355" t="s">
        <v>40</v>
      </c>
      <c r="D3355">
        <v>4.6900870000000001</v>
      </c>
      <c r="E3355">
        <v>0.50844140000000004</v>
      </c>
      <c r="F3355" t="s">
        <v>45</v>
      </c>
      <c r="G3355">
        <v>-255.0051</v>
      </c>
      <c r="H3355" s="1">
        <v>1.061925E-6</v>
      </c>
      <c r="I3355">
        <v>216.09800000000001</v>
      </c>
      <c r="J3355">
        <v>-271.36470000000003</v>
      </c>
      <c r="K3355">
        <v>1.110636</v>
      </c>
      <c r="L3355">
        <v>214.4933</v>
      </c>
      <c r="M3355">
        <v>0.99988529999999998</v>
      </c>
      <c r="N3355">
        <v>-1.415491E-2</v>
      </c>
      <c r="O3355">
        <v>5.4039169999999899E-3</v>
      </c>
      <c r="P3355">
        <v>0.93388380000000004</v>
      </c>
      <c r="Q3355">
        <v>0.347221</v>
      </c>
      <c r="R3355">
        <v>8.5432610000000006E-2</v>
      </c>
      <c r="S3355">
        <v>3.2654109999999998</v>
      </c>
      <c r="T3355">
        <v>-0.2164992</v>
      </c>
      <c r="U3355">
        <v>0.31321719999999997</v>
      </c>
      <c r="V3355">
        <v>-8.0383070000000001E-2</v>
      </c>
      <c r="W3355">
        <v>0.36041190000000001</v>
      </c>
      <c r="X3355">
        <v>0.92932329999999996</v>
      </c>
      <c r="Y3355">
        <v>-8.9869909999999997E-2</v>
      </c>
      <c r="Z3355">
        <v>3.3267520000000001E-3</v>
      </c>
      <c r="AA3355">
        <v>0.99594800000000006</v>
      </c>
      <c r="AB3355">
        <v>39</v>
      </c>
      <c r="AC3355">
        <v>16.3596</v>
      </c>
      <c r="AD3355">
        <v>-1.110634938075</v>
      </c>
      <c r="AE3355">
        <v>1.60469999999997</v>
      </c>
      <c r="AF3355">
        <v>-1.5093715457136501</v>
      </c>
      <c r="AG3355">
        <v>-1.110634938075</v>
      </c>
      <c r="AH3355">
        <v>16.2936534410535</v>
      </c>
      <c r="AI3355">
        <v>93.882884348365806</v>
      </c>
      <c r="AJ3355">
        <v>95.292521543723396</v>
      </c>
      <c r="AK3355">
        <v>16.401062614533199</v>
      </c>
      <c r="AL3355">
        <v>68.874505322439205</v>
      </c>
      <c r="AM3355">
        <v>94.943571450752302</v>
      </c>
      <c r="AN3355">
        <v>0.99999998576356197</v>
      </c>
    </row>
    <row r="3356" spans="1:40" x14ac:dyDescent="0.25">
      <c r="A3356" t="str">
        <f>"20190304164437322"</f>
        <v>20190304164437322</v>
      </c>
      <c r="B3356" t="str">
        <f>"1551689077313099"</f>
        <v>1551689077313099</v>
      </c>
      <c r="C3356" t="s">
        <v>40</v>
      </c>
      <c r="D3356">
        <v>4.717123</v>
      </c>
      <c r="E3356">
        <v>0.50847949999999997</v>
      </c>
      <c r="F3356" t="s">
        <v>45</v>
      </c>
      <c r="G3356">
        <v>-255.0712</v>
      </c>
      <c r="H3356" s="1">
        <v>1.098747E-6</v>
      </c>
      <c r="I3356">
        <v>216.05940000000001</v>
      </c>
      <c r="J3356">
        <v>-271.04509999999999</v>
      </c>
      <c r="K3356">
        <v>1.1106400000000001</v>
      </c>
      <c r="L3356">
        <v>214.49510000000001</v>
      </c>
      <c r="M3356">
        <v>0.99988529999999998</v>
      </c>
      <c r="N3356">
        <v>-1.415309E-2</v>
      </c>
      <c r="O3356">
        <v>5.4187480000000001E-3</v>
      </c>
      <c r="P3356">
        <v>0.93398729999999996</v>
      </c>
      <c r="Q3356">
        <v>0.34697460000000002</v>
      </c>
      <c r="R3356">
        <v>8.5303309999999993E-2</v>
      </c>
      <c r="S3356">
        <v>3.2664490000000002</v>
      </c>
      <c r="T3356">
        <v>-0.2226543</v>
      </c>
      <c r="U3356">
        <v>0.31396479999999999</v>
      </c>
      <c r="V3356">
        <v>-8.0241489999999999E-2</v>
      </c>
      <c r="W3356">
        <v>0.36016500000000001</v>
      </c>
      <c r="X3356">
        <v>0.92943129999999996</v>
      </c>
      <c r="Y3356">
        <v>-9.0038720000000003E-2</v>
      </c>
      <c r="Z3356">
        <v>3.406058E-3</v>
      </c>
      <c r="AA3356">
        <v>0.9959325</v>
      </c>
      <c r="AB3356">
        <v>39</v>
      </c>
      <c r="AC3356">
        <v>15.973899999999899</v>
      </c>
      <c r="AD3356">
        <v>-1.110638901253</v>
      </c>
      <c r="AE3356">
        <v>1.5643</v>
      </c>
      <c r="AF3356">
        <v>-1.4706678745778199</v>
      </c>
      <c r="AG3356">
        <v>-1.110638901253</v>
      </c>
      <c r="AH3356">
        <v>15.905980667078699</v>
      </c>
      <c r="AI3356">
        <v>93.977298858319202</v>
      </c>
      <c r="AJ3356">
        <v>95.282551918070794</v>
      </c>
      <c r="AK3356">
        <v>16.012389070584501</v>
      </c>
      <c r="AL3356">
        <v>68.889671140826707</v>
      </c>
      <c r="AM3356">
        <v>94.934336689444706</v>
      </c>
      <c r="AN3356">
        <v>1.0000000326810501</v>
      </c>
    </row>
    <row r="3357" spans="1:40" x14ac:dyDescent="0.25">
      <c r="A3357" t="str">
        <f>"20190304164437339"</f>
        <v>20190304164437339</v>
      </c>
      <c r="B3357" t="str">
        <f>"1551689077333595"</f>
        <v>1551689077333595</v>
      </c>
      <c r="C3357" t="s">
        <v>40</v>
      </c>
      <c r="D3357">
        <v>4.7350130000000004</v>
      </c>
      <c r="E3357">
        <v>0.50845320000000005</v>
      </c>
      <c r="F3357" t="s">
        <v>45</v>
      </c>
      <c r="G3357">
        <v>-254.9375</v>
      </c>
      <c r="H3357" s="1">
        <v>1.0283510000000001E-6</v>
      </c>
      <c r="I3357">
        <v>216.0429</v>
      </c>
      <c r="J3357">
        <v>-270.76339999999999</v>
      </c>
      <c r="K3357">
        <v>1.1106499999999999</v>
      </c>
      <c r="L3357">
        <v>214.4966</v>
      </c>
      <c r="M3357">
        <v>0.99988520000000003</v>
      </c>
      <c r="N3357">
        <v>-1.4151520000000001E-2</v>
      </c>
      <c r="O3357">
        <v>5.4335750000000004E-3</v>
      </c>
      <c r="P3357">
        <v>0.93375640000000004</v>
      </c>
      <c r="Q3357">
        <v>0.34765760000000001</v>
      </c>
      <c r="R3357">
        <v>8.5050730000000005E-2</v>
      </c>
      <c r="S3357">
        <v>3.2669980000000001</v>
      </c>
      <c r="T3357">
        <v>-0.22526360000000001</v>
      </c>
      <c r="U3357">
        <v>0.3139343</v>
      </c>
      <c r="V3357">
        <v>-7.9977950000000006E-2</v>
      </c>
      <c r="W3357">
        <v>0.36084240000000001</v>
      </c>
      <c r="X3357">
        <v>0.92919119999999999</v>
      </c>
      <c r="Y3357">
        <v>-8.9993870000000004E-2</v>
      </c>
      <c r="Z3357">
        <v>3.434323E-3</v>
      </c>
      <c r="AA3357">
        <v>0.99593640000000005</v>
      </c>
      <c r="AB3357">
        <v>39</v>
      </c>
      <c r="AC3357">
        <v>15.825899999999899</v>
      </c>
      <c r="AD3357">
        <v>-1.110648971649</v>
      </c>
      <c r="AE3357">
        <v>1.5463</v>
      </c>
      <c r="AF3357">
        <v>-1.4531879070548099</v>
      </c>
      <c r="AG3357">
        <v>-1.110648971649</v>
      </c>
      <c r="AH3357">
        <v>15.757196897611999</v>
      </c>
      <c r="AI3357">
        <v>94.014854233420607</v>
      </c>
      <c r="AJ3357">
        <v>95.269127446695705</v>
      </c>
      <c r="AK3357">
        <v>15.8629931066476</v>
      </c>
      <c r="AL3357">
        <v>68.848060257778499</v>
      </c>
      <c r="AM3357">
        <v>94.9194749046341</v>
      </c>
      <c r="AN3357">
        <v>0.99999999814070095</v>
      </c>
    </row>
    <row r="3358" spans="1:40" x14ac:dyDescent="0.25">
      <c r="A3358" t="str">
        <f>"20190304164437357"</f>
        <v>20190304164437357</v>
      </c>
      <c r="B3358" t="str">
        <f>"1551689077353115"</f>
        <v>1551689077353115</v>
      </c>
      <c r="C3358" t="s">
        <v>40</v>
      </c>
      <c r="D3358">
        <v>4.7454150000000004</v>
      </c>
      <c r="E3358">
        <v>0.50845680000000004</v>
      </c>
      <c r="F3358" t="s">
        <v>45</v>
      </c>
      <c r="G3358">
        <v>-254.5376</v>
      </c>
      <c r="H3358" s="1">
        <v>8.1496789999999995E-7</v>
      </c>
      <c r="I3358">
        <v>216.0556</v>
      </c>
      <c r="J3358">
        <v>-270.46570000000003</v>
      </c>
      <c r="K3358">
        <v>1.1106549999999999</v>
      </c>
      <c r="L3358">
        <v>214.4982</v>
      </c>
      <c r="M3358">
        <v>0.99988509999999997</v>
      </c>
      <c r="N3358">
        <v>-1.4149760000000001E-2</v>
      </c>
      <c r="O3358">
        <v>5.4499539999999999E-3</v>
      </c>
      <c r="P3358">
        <v>0.93349590000000005</v>
      </c>
      <c r="Q3358">
        <v>0.34834910000000002</v>
      </c>
      <c r="R3358">
        <v>8.5080030000000001E-2</v>
      </c>
      <c r="S3358">
        <v>3.267487</v>
      </c>
      <c r="T3358">
        <v>-0.2236573</v>
      </c>
      <c r="U3358">
        <v>0.3139343</v>
      </c>
      <c r="V3358">
        <v>-7.9995040000000003E-2</v>
      </c>
      <c r="W3358">
        <v>0.36152849999999997</v>
      </c>
      <c r="X3358">
        <v>0.92892300000000005</v>
      </c>
      <c r="Y3358">
        <v>-8.9966729999999995E-2</v>
      </c>
      <c r="Z3358">
        <v>3.4124770000000001E-3</v>
      </c>
      <c r="AA3358">
        <v>0.99593889999999996</v>
      </c>
      <c r="AB3358">
        <v>39</v>
      </c>
      <c r="AC3358">
        <v>15.928100000000001</v>
      </c>
      <c r="AD3358">
        <v>-1.1106541850320999</v>
      </c>
      <c r="AE3358">
        <v>1.5573999999999999</v>
      </c>
      <c r="AF3358">
        <v>-1.4635123141153701</v>
      </c>
      <c r="AG3358">
        <v>-1.1106541850320999</v>
      </c>
      <c r="AH3358">
        <v>15.8599684645534</v>
      </c>
      <c r="AI3358">
        <v>93.988921747831498</v>
      </c>
      <c r="AJ3358">
        <v>95.272159449103199</v>
      </c>
      <c r="AK3358">
        <v>15.9660270796753</v>
      </c>
      <c r="AL3358">
        <v>68.805903880022498</v>
      </c>
      <c r="AM3358">
        <v>94.921934638839105</v>
      </c>
      <c r="AN3358">
        <v>1.00000000133292</v>
      </c>
    </row>
    <row r="3359" spans="1:40" x14ac:dyDescent="0.25">
      <c r="A3359" t="str">
        <f>"20190304164437372"</f>
        <v>20190304164437372</v>
      </c>
      <c r="B3359" t="str">
        <f>"1551689077363852"</f>
        <v>1551689077363852</v>
      </c>
      <c r="C3359" t="s">
        <v>40</v>
      </c>
      <c r="D3359">
        <v>4.7579260000000003</v>
      </c>
      <c r="E3359">
        <v>0.50849840000000002</v>
      </c>
      <c r="F3359" t="s">
        <v>45</v>
      </c>
      <c r="G3359">
        <v>-254.11449999999999</v>
      </c>
      <c r="H3359" s="1">
        <v>5.8920299999999999E-7</v>
      </c>
      <c r="I3359">
        <v>216.06970000000001</v>
      </c>
      <c r="J3359">
        <v>-270.1773</v>
      </c>
      <c r="K3359">
        <v>1.1106640000000001</v>
      </c>
      <c r="L3359">
        <v>214.49979999999999</v>
      </c>
      <c r="M3359">
        <v>0.99988500000000002</v>
      </c>
      <c r="N3359">
        <v>-1.414789E-2</v>
      </c>
      <c r="O3359">
        <v>5.4678139999999997E-3</v>
      </c>
      <c r="P3359">
        <v>0.93340619999999996</v>
      </c>
      <c r="Q3359">
        <v>0.34854099999999999</v>
      </c>
      <c r="R3359">
        <v>8.527701E-2</v>
      </c>
      <c r="S3359">
        <v>3.2679140000000002</v>
      </c>
      <c r="T3359">
        <v>-0.22197259999999999</v>
      </c>
      <c r="U3359">
        <v>0.31407170000000001</v>
      </c>
      <c r="V3359">
        <v>-8.0177429999999994E-2</v>
      </c>
      <c r="W3359">
        <v>0.36171700000000001</v>
      </c>
      <c r="X3359">
        <v>0.92883389999999999</v>
      </c>
      <c r="Y3359">
        <v>-8.9981359999999996E-2</v>
      </c>
      <c r="Z3359">
        <v>3.3913960000000001E-3</v>
      </c>
      <c r="AA3359">
        <v>0.99593770000000004</v>
      </c>
      <c r="AB3359">
        <v>39</v>
      </c>
      <c r="AC3359">
        <v>16.062799999999999</v>
      </c>
      <c r="AD3359">
        <v>-1.1106634107969999</v>
      </c>
      <c r="AE3359">
        <v>1.5699000000000101</v>
      </c>
      <c r="AF3359">
        <v>-1.47505377200096</v>
      </c>
      <c r="AG3359">
        <v>-1.1106634107969999</v>
      </c>
      <c r="AH3359">
        <v>15.9953935763416</v>
      </c>
      <c r="AI3359">
        <v>93.955311446726498</v>
      </c>
      <c r="AJ3359">
        <v>95.268766839130805</v>
      </c>
      <c r="AK3359">
        <v>16.101613972035501</v>
      </c>
      <c r="AL3359">
        <v>68.794319874287794</v>
      </c>
      <c r="AM3359">
        <v>94.933572296106206</v>
      </c>
      <c r="AN3359">
        <v>1.0000000110798</v>
      </c>
    </row>
    <row r="3360" spans="1:40" x14ac:dyDescent="0.25">
      <c r="A3360" t="str">
        <f>"20190304164437396"</f>
        <v>20190304164437396</v>
      </c>
      <c r="B3360" t="str">
        <f>"1551689077383373"</f>
        <v>1551689077383373</v>
      </c>
      <c r="C3360" t="s">
        <v>40</v>
      </c>
      <c r="D3360">
        <v>4.9175829999999996</v>
      </c>
      <c r="E3360">
        <v>0.50849630000000001</v>
      </c>
      <c r="F3360" t="s">
        <v>45</v>
      </c>
      <c r="G3360">
        <v>-253.7954</v>
      </c>
      <c r="H3360" s="1">
        <v>4.191397E-7</v>
      </c>
      <c r="I3360">
        <v>216.07550000000001</v>
      </c>
      <c r="J3360">
        <v>-269.80579999999998</v>
      </c>
      <c r="K3360">
        <v>1.1106590000000001</v>
      </c>
      <c r="L3360">
        <v>214.50190000000001</v>
      </c>
      <c r="M3360">
        <v>0.99988500000000002</v>
      </c>
      <c r="N3360">
        <v>-1.41455E-2</v>
      </c>
      <c r="O3360">
        <v>5.4917560000000004E-3</v>
      </c>
      <c r="P3360">
        <v>0.9338033</v>
      </c>
      <c r="Q3360">
        <v>0.34754740000000001</v>
      </c>
      <c r="R3360">
        <v>8.4986339999999994E-2</v>
      </c>
      <c r="S3360">
        <v>3.2680660000000001</v>
      </c>
      <c r="T3360">
        <v>-0.2215686</v>
      </c>
      <c r="U3360">
        <v>0.31433109999999997</v>
      </c>
      <c r="V3360">
        <v>-7.9863489999999995E-2</v>
      </c>
      <c r="W3360">
        <v>0.36072670000000001</v>
      </c>
      <c r="X3360">
        <v>0.92924589999999996</v>
      </c>
      <c r="Y3360">
        <v>-9.0032130000000002E-2</v>
      </c>
      <c r="Z3360">
        <v>3.3870770000000001E-3</v>
      </c>
      <c r="AA3360">
        <v>0.99593310000000002</v>
      </c>
      <c r="AB3360">
        <v>39</v>
      </c>
      <c r="AC3360">
        <v>16.010399999999901</v>
      </c>
      <c r="AD3360">
        <v>-1.1106585808603</v>
      </c>
      <c r="AE3360">
        <v>1.5735999999999899</v>
      </c>
      <c r="AF3360">
        <v>-1.4785948394366399</v>
      </c>
      <c r="AG3360">
        <v>-1.1106585808603</v>
      </c>
      <c r="AH3360">
        <v>15.9428129455979</v>
      </c>
      <c r="AI3360">
        <v>93.968106684056195</v>
      </c>
      <c r="AJ3360">
        <v>95.298663092381901</v>
      </c>
      <c r="AK3360">
        <v>16.0497068446988</v>
      </c>
      <c r="AL3360">
        <v>68.855166718997395</v>
      </c>
      <c r="AM3360">
        <v>94.912181145648603</v>
      </c>
      <c r="AN3360">
        <v>0.99999993589733704</v>
      </c>
    </row>
    <row r="3361" spans="1:40" x14ac:dyDescent="0.25">
      <c r="A3361" t="str">
        <f>"20190304164437417"</f>
        <v>20190304164437417</v>
      </c>
      <c r="B3361" t="str">
        <f>"1551689077413628"</f>
        <v>1551689077413628</v>
      </c>
      <c r="C3361" t="s">
        <v>40</v>
      </c>
      <c r="D3361">
        <v>4.8951010000000004</v>
      </c>
      <c r="E3361">
        <v>0.54637349999999996</v>
      </c>
      <c r="F3361" t="s">
        <v>45</v>
      </c>
      <c r="G3361">
        <v>-253.71899999999999</v>
      </c>
      <c r="H3361" s="1">
        <v>3.7962509999999903E-7</v>
      </c>
      <c r="I3361">
        <v>216.04929999999999</v>
      </c>
      <c r="J3361">
        <v>-269.42559999999997</v>
      </c>
      <c r="K3361">
        <v>1.11066</v>
      </c>
      <c r="L3361">
        <v>214.50399999999999</v>
      </c>
      <c r="M3361">
        <v>0.99988480000000002</v>
      </c>
      <c r="N3361">
        <v>-1.4143050000000001E-2</v>
      </c>
      <c r="O3361">
        <v>5.5176569999999996E-3</v>
      </c>
      <c r="P3361">
        <v>0.93414929999999996</v>
      </c>
      <c r="Q3361">
        <v>0.34671590000000002</v>
      </c>
      <c r="R3361">
        <v>8.4578039999999993E-2</v>
      </c>
      <c r="S3361">
        <v>3.2680359999999999</v>
      </c>
      <c r="T3361">
        <v>-0.2256293</v>
      </c>
      <c r="U3361">
        <v>0.31434630000000002</v>
      </c>
      <c r="V3361">
        <v>-7.9429920000000001E-2</v>
      </c>
      <c r="W3361">
        <v>0.35989759999999998</v>
      </c>
      <c r="X3361">
        <v>0.92960449999999994</v>
      </c>
      <c r="Y3361">
        <v>-9.0003979999999997E-2</v>
      </c>
      <c r="Z3361">
        <v>3.4332479999999999E-3</v>
      </c>
      <c r="AA3361">
        <v>0.99593549999999997</v>
      </c>
      <c r="AB3361">
        <v>39</v>
      </c>
      <c r="AC3361">
        <v>15.7065999999999</v>
      </c>
      <c r="AD3361">
        <v>-1.1106596203749</v>
      </c>
      <c r="AE3361">
        <v>1.5452999999999599</v>
      </c>
      <c r="AF3361">
        <v>-1.451416210628</v>
      </c>
      <c r="AG3361">
        <v>-1.1106596203749</v>
      </c>
      <c r="AH3361">
        <v>15.637445572126399</v>
      </c>
      <c r="AI3361">
        <v>94.045317570474396</v>
      </c>
      <c r="AJ3361">
        <v>95.302812623908807</v>
      </c>
      <c r="AK3361">
        <v>15.7438838229333</v>
      </c>
      <c r="AL3361">
        <v>68.906091703690507</v>
      </c>
      <c r="AM3361">
        <v>94.8837673446872</v>
      </c>
      <c r="AN3361">
        <v>0.99999996054860696</v>
      </c>
    </row>
    <row r="3362" spans="1:40" x14ac:dyDescent="0.25">
      <c r="A3362" t="str">
        <f>"20190304164437439"</f>
        <v>20190304164437439</v>
      </c>
      <c r="B3362" t="str">
        <f>"1551689077433147"</f>
        <v>1551689077433147</v>
      </c>
      <c r="C3362" t="s">
        <v>40</v>
      </c>
      <c r="D3362">
        <v>4.7338899999999997</v>
      </c>
      <c r="E3362">
        <v>0.55171169999999903</v>
      </c>
      <c r="F3362" t="s">
        <v>41</v>
      </c>
      <c r="G3362">
        <v>-268.40570000000002</v>
      </c>
      <c r="H3362">
        <v>1.024656</v>
      </c>
      <c r="I3362">
        <v>214.50960000000001</v>
      </c>
      <c r="J3362">
        <v>-269.0215</v>
      </c>
      <c r="K3362">
        <v>1.1106670000000001</v>
      </c>
      <c r="L3362">
        <v>214.50620000000001</v>
      </c>
      <c r="M3362">
        <v>0.99988480000000002</v>
      </c>
      <c r="N3362">
        <v>-1.4140440000000001E-2</v>
      </c>
      <c r="O3362">
        <v>5.5461169999999997E-3</v>
      </c>
      <c r="P3362">
        <v>0.93406040000000001</v>
      </c>
      <c r="Q3362">
        <v>0.34703400000000001</v>
      </c>
      <c r="R3362">
        <v>8.4255529999999995E-2</v>
      </c>
      <c r="S3362">
        <v>3.3135379999999999</v>
      </c>
      <c r="T3362">
        <v>-0.2795591</v>
      </c>
      <c r="U3362">
        <v>1.869202E-2</v>
      </c>
      <c r="V3362">
        <v>-7.908184E-2</v>
      </c>
      <c r="W3362">
        <v>0.36021209999999998</v>
      </c>
      <c r="X3362">
        <v>0.92951240000000002</v>
      </c>
      <c r="Y3362">
        <v>-1.0755109999999999E-4</v>
      </c>
      <c r="Z3362">
        <v>-3.8347849999999998E-4</v>
      </c>
      <c r="AA3362">
        <v>0.99999990000000005</v>
      </c>
      <c r="AB3362">
        <v>39</v>
      </c>
      <c r="AC3362">
        <v>0.61579999999997803</v>
      </c>
      <c r="AD3362">
        <v>-8.6011000000000004E-2</v>
      </c>
      <c r="AE3362">
        <v>3.3999999999991802E-3</v>
      </c>
      <c r="AF3362" s="1">
        <v>1.5391829333152E-5</v>
      </c>
      <c r="AG3362">
        <v>-8.6011000000000004E-2</v>
      </c>
      <c r="AH3362">
        <v>0.604025975562694</v>
      </c>
      <c r="AI3362">
        <v>98.104218467610295</v>
      </c>
      <c r="AJ3362">
        <v>89.998539985207103</v>
      </c>
      <c r="AK3362">
        <v>0.61011906339039501</v>
      </c>
      <c r="AL3362">
        <v>68.886777578273495</v>
      </c>
      <c r="AM3362">
        <v>94.862947884214293</v>
      </c>
      <c r="AN3362">
        <v>0.99999999807897699</v>
      </c>
    </row>
    <row r="3363" spans="1:40" x14ac:dyDescent="0.25">
      <c r="A3363" t="str">
        <f>"20190304164437458"</f>
        <v>20190304164437458</v>
      </c>
      <c r="B3363" t="str">
        <f>"1551689077453643"</f>
        <v>1551689077453643</v>
      </c>
      <c r="C3363" t="s">
        <v>40</v>
      </c>
      <c r="D3363">
        <v>4.701346</v>
      </c>
      <c r="E3363">
        <v>0.5543709</v>
      </c>
      <c r="F3363" t="s">
        <v>41</v>
      </c>
      <c r="G3363">
        <v>-268.0607</v>
      </c>
      <c r="H3363">
        <v>1.02678</v>
      </c>
      <c r="I3363">
        <v>214.49940000000001</v>
      </c>
      <c r="J3363">
        <v>-268.71660000000003</v>
      </c>
      <c r="K3363">
        <v>1.110673</v>
      </c>
      <c r="L3363">
        <v>214.50790000000001</v>
      </c>
      <c r="M3363">
        <v>0.99988469999999996</v>
      </c>
      <c r="N3363">
        <v>-1.4138499999999899E-2</v>
      </c>
      <c r="O3363">
        <v>5.5677790000000001E-3</v>
      </c>
      <c r="P3363">
        <v>0.93395399999999995</v>
      </c>
      <c r="Q3363">
        <v>0.34735339999999998</v>
      </c>
      <c r="R3363">
        <v>8.4119200000000005E-2</v>
      </c>
      <c r="S3363">
        <v>3.3216860000000001</v>
      </c>
      <c r="T3363">
        <v>-0.29006710000000002</v>
      </c>
      <c r="U3363">
        <v>-2.3086550000000001E-2</v>
      </c>
      <c r="V3363">
        <v>-7.8926590000000005E-2</v>
      </c>
      <c r="W3363">
        <v>0.3605275</v>
      </c>
      <c r="X3363">
        <v>0.92940330000000004</v>
      </c>
      <c r="Y3363">
        <v>1.2448219999999999E-2</v>
      </c>
      <c r="Z3363">
        <v>-1.037364E-3</v>
      </c>
      <c r="AA3363">
        <v>0.99992199999999998</v>
      </c>
      <c r="AB3363">
        <v>39</v>
      </c>
      <c r="AC3363">
        <v>0.65590000000003101</v>
      </c>
      <c r="AD3363">
        <v>-8.3892999999999995E-2</v>
      </c>
      <c r="AE3363">
        <v>-8.4999999999979502E-3</v>
      </c>
      <c r="AF3363">
        <v>1.1956565593344201E-2</v>
      </c>
      <c r="AG3363">
        <v>-8.3892999999999995E-2</v>
      </c>
      <c r="AH3363">
        <v>0.64528754185137305</v>
      </c>
      <c r="AI3363">
        <v>97.406145668126996</v>
      </c>
      <c r="AJ3363">
        <v>88.938485065909305</v>
      </c>
      <c r="AK3363">
        <v>0.65082793930375704</v>
      </c>
      <c r="AL3363">
        <v>68.867404633789803</v>
      </c>
      <c r="AM3363">
        <v>94.854013816165505</v>
      </c>
      <c r="AN3363">
        <v>0.99999998945808399</v>
      </c>
    </row>
    <row r="3364" spans="1:40" x14ac:dyDescent="0.25">
      <c r="A3364" t="str">
        <f>"20190304164437474"</f>
        <v>20190304164437474</v>
      </c>
      <c r="B3364" t="str">
        <f>"1551689077463403"</f>
        <v>1551689077463403</v>
      </c>
      <c r="C3364" t="s">
        <v>40</v>
      </c>
      <c r="D3364">
        <v>4.8282629999999997</v>
      </c>
      <c r="E3364">
        <v>0.55542979999999997</v>
      </c>
      <c r="F3364" t="s">
        <v>41</v>
      </c>
      <c r="G3364">
        <v>-267.71620000000001</v>
      </c>
      <c r="H3364">
        <v>1.0283629999999999</v>
      </c>
      <c r="I3364">
        <v>214.4939</v>
      </c>
      <c r="J3364">
        <v>-268.44200000000001</v>
      </c>
      <c r="K3364">
        <v>1.110671</v>
      </c>
      <c r="L3364">
        <v>214.5095</v>
      </c>
      <c r="M3364">
        <v>0.99988449999999995</v>
      </c>
      <c r="N3364">
        <v>-1.4136889999999999E-2</v>
      </c>
      <c r="O3364">
        <v>5.5888509999999997E-3</v>
      </c>
      <c r="P3364">
        <v>0.93351879999999998</v>
      </c>
      <c r="Q3364">
        <v>0.34858280000000003</v>
      </c>
      <c r="R3364">
        <v>8.3862019999999995E-2</v>
      </c>
      <c r="S3364">
        <v>3.3179020000000001</v>
      </c>
      <c r="T3364">
        <v>-0.27306520000000001</v>
      </c>
      <c r="U3364">
        <v>-4.6127319999999999E-2</v>
      </c>
      <c r="V3364">
        <v>-7.8652680000000003E-2</v>
      </c>
      <c r="W3364">
        <v>0.3617494</v>
      </c>
      <c r="X3364">
        <v>0.92895159999999999</v>
      </c>
      <c r="Y3364">
        <v>1.940002E-2</v>
      </c>
      <c r="Z3364">
        <v>-1.3146150000000001E-3</v>
      </c>
      <c r="AA3364">
        <v>0.99981089999999995</v>
      </c>
      <c r="AB3364">
        <v>38</v>
      </c>
      <c r="AC3364">
        <v>0.72579999999999201</v>
      </c>
      <c r="AD3364">
        <v>-8.2308000000000006E-2</v>
      </c>
      <c r="AE3364">
        <v>-1.5600000000006199E-2</v>
      </c>
      <c r="AF3364">
        <v>1.9407084417880902E-2</v>
      </c>
      <c r="AG3364">
        <v>-8.2308000000000006E-2</v>
      </c>
      <c r="AH3364">
        <v>0.71649144712280299</v>
      </c>
      <c r="AI3364">
        <v>96.550828561396898</v>
      </c>
      <c r="AJ3364">
        <v>88.448450121837993</v>
      </c>
      <c r="AK3364">
        <v>0.721464646112151</v>
      </c>
      <c r="AL3364">
        <v>68.792327819889493</v>
      </c>
      <c r="AM3364">
        <v>94.839589252309295</v>
      </c>
      <c r="AN3364">
        <v>0.99999997380704997</v>
      </c>
    </row>
    <row r="3365" spans="1:40" x14ac:dyDescent="0.25">
      <c r="A3365" t="str">
        <f>"20190304164437495"</f>
        <v>20190304164437495</v>
      </c>
      <c r="B3365" t="str">
        <f>"1551689077483899"</f>
        <v>1551689077483899</v>
      </c>
      <c r="C3365" t="s">
        <v>40</v>
      </c>
      <c r="D3365">
        <v>4.8317610000000002</v>
      </c>
      <c r="E3365">
        <v>0.55695289999999997</v>
      </c>
      <c r="F3365" t="s">
        <v>45</v>
      </c>
      <c r="G3365">
        <v>-255.08189999999999</v>
      </c>
      <c r="H3365" s="1">
        <v>1.1819470000000001E-6</v>
      </c>
      <c r="I3365">
        <v>214.2869</v>
      </c>
      <c r="J3365">
        <v>-268.09160000000003</v>
      </c>
      <c r="K3365">
        <v>1.11067</v>
      </c>
      <c r="L3365">
        <v>214.51140000000001</v>
      </c>
      <c r="M3365">
        <v>0.99988429999999995</v>
      </c>
      <c r="N3365">
        <v>-1.4134839999999999E-2</v>
      </c>
      <c r="O3365">
        <v>5.6198609999999899E-3</v>
      </c>
      <c r="P3365">
        <v>0.93356220000000001</v>
      </c>
      <c r="Q3365">
        <v>0.34850189999999998</v>
      </c>
      <c r="R3365">
        <v>8.3712610000000007E-2</v>
      </c>
      <c r="S3365">
        <v>3.3217469999999998</v>
      </c>
      <c r="T3365">
        <v>-0.27614709999999998</v>
      </c>
      <c r="U3365">
        <v>-5.5328370000000002E-2</v>
      </c>
      <c r="V3365">
        <v>-7.8477309999999995E-2</v>
      </c>
      <c r="W3365">
        <v>0.36166680000000001</v>
      </c>
      <c r="X3365">
        <v>0.92899860000000001</v>
      </c>
      <c r="Y3365">
        <v>2.2170619999999999E-2</v>
      </c>
      <c r="Z3365">
        <v>-1.4639729999999999E-3</v>
      </c>
      <c r="AA3365">
        <v>0.99975309999999995</v>
      </c>
      <c r="AB3365">
        <v>38</v>
      </c>
      <c r="AC3365">
        <v>13.0097</v>
      </c>
      <c r="AD3365">
        <v>-1.110668818053</v>
      </c>
      <c r="AE3365">
        <v>-0.224500000000006</v>
      </c>
      <c r="AF3365">
        <v>0.29546363695883099</v>
      </c>
      <c r="AG3365">
        <v>-1.110668818053</v>
      </c>
      <c r="AH3365">
        <v>12.9141368368774</v>
      </c>
      <c r="AI3365">
        <v>94.914296792972493</v>
      </c>
      <c r="AJ3365">
        <v>88.689353634136296</v>
      </c>
      <c r="AK3365">
        <v>12.9651769839734</v>
      </c>
      <c r="AL3365">
        <v>68.797404314640403</v>
      </c>
      <c r="AM3365">
        <v>94.828606471007703</v>
      </c>
      <c r="AN3365">
        <v>0.999999980604517</v>
      </c>
    </row>
    <row r="3366" spans="1:40" x14ac:dyDescent="0.25">
      <c r="A3366" t="str">
        <f>"20190304164437518"</f>
        <v>20190304164437518</v>
      </c>
      <c r="B3366" t="str">
        <f>"1551689077513180"</f>
        <v>1551689077513180</v>
      </c>
      <c r="C3366" t="s">
        <v>40</v>
      </c>
      <c r="D3366">
        <v>4.7045130000000004</v>
      </c>
      <c r="E3366">
        <v>0.55809390000000003</v>
      </c>
      <c r="F3366" t="s">
        <v>41</v>
      </c>
      <c r="G3366">
        <v>-267.03410000000002</v>
      </c>
      <c r="H3366">
        <v>1.0191809999999999</v>
      </c>
      <c r="I3366">
        <v>214.49010000000001</v>
      </c>
      <c r="J3366">
        <v>-267.69389999999999</v>
      </c>
      <c r="K3366">
        <v>1.110673</v>
      </c>
      <c r="L3366">
        <v>214.5137</v>
      </c>
      <c r="M3366">
        <v>0.99988410000000005</v>
      </c>
      <c r="N3366">
        <v>-1.413239E-2</v>
      </c>
      <c r="O3366">
        <v>5.6679410000000001E-3</v>
      </c>
      <c r="P3366">
        <v>0.93398550000000002</v>
      </c>
      <c r="Q3366">
        <v>0.34745160000000003</v>
      </c>
      <c r="R3366">
        <v>8.3358749999999995E-2</v>
      </c>
      <c r="S3366">
        <v>3.326965</v>
      </c>
      <c r="T3366">
        <v>-0.2879217</v>
      </c>
      <c r="U3366">
        <v>-6.6604609999999995E-2</v>
      </c>
      <c r="V3366">
        <v>-7.8083780000000005E-2</v>
      </c>
      <c r="W3366">
        <v>0.36061870000000001</v>
      </c>
      <c r="X3366">
        <v>0.92943909999999996</v>
      </c>
      <c r="Y3366">
        <v>2.555669E-2</v>
      </c>
      <c r="Z3366">
        <v>-1.69428E-3</v>
      </c>
      <c r="AA3366">
        <v>0.99967189999999995</v>
      </c>
      <c r="AB3366">
        <v>38</v>
      </c>
      <c r="AC3366">
        <v>0.65979999999996097</v>
      </c>
      <c r="AD3366">
        <v>-9.1492000000000101E-2</v>
      </c>
      <c r="AE3366">
        <v>-2.35999999999876E-2</v>
      </c>
      <c r="AF3366">
        <v>2.6824569025916501E-2</v>
      </c>
      <c r="AG3366">
        <v>-9.1492000000000101E-2</v>
      </c>
      <c r="AH3366">
        <v>0.64722643937045699</v>
      </c>
      <c r="AI3366">
        <v>98.039215276846804</v>
      </c>
      <c r="AJ3366">
        <v>87.626710845210994</v>
      </c>
      <c r="AK3366">
        <v>0.65421128650275295</v>
      </c>
      <c r="AL3366">
        <v>68.861802237720894</v>
      </c>
      <c r="AM3366">
        <v>94.802240308353902</v>
      </c>
      <c r="AN3366">
        <v>0.99999998204879403</v>
      </c>
    </row>
    <row r="3367" spans="1:40" x14ac:dyDescent="0.25">
      <c r="A3367" t="str">
        <f>"20190304164437540"</f>
        <v>20190304164437540</v>
      </c>
      <c r="B3367" t="str">
        <f>"1551689077533675"</f>
        <v>1551689077533675</v>
      </c>
      <c r="C3367" t="s">
        <v>40</v>
      </c>
      <c r="D3367">
        <v>4.8346299999999998</v>
      </c>
      <c r="E3367">
        <v>0.55864360000000002</v>
      </c>
      <c r="F3367" t="s">
        <v>41</v>
      </c>
      <c r="G3367">
        <v>-266.68869999999998</v>
      </c>
      <c r="H3367">
        <v>1.0241450000000001</v>
      </c>
      <c r="I3367">
        <v>214.4905</v>
      </c>
      <c r="J3367">
        <v>-267.30130000000003</v>
      </c>
      <c r="K3367">
        <v>1.110689</v>
      </c>
      <c r="L3367">
        <v>214.51599999999999</v>
      </c>
      <c r="M3367">
        <v>0.99988390000000005</v>
      </c>
      <c r="N3367">
        <v>-1.412997E-2</v>
      </c>
      <c r="O3367">
        <v>5.7294750000000004E-3</v>
      </c>
      <c r="P3367">
        <v>0.93416060000000001</v>
      </c>
      <c r="Q3367">
        <v>0.34701199999999999</v>
      </c>
      <c r="R3367">
        <v>8.3227079999999995E-2</v>
      </c>
      <c r="S3367">
        <v>3.3253780000000002</v>
      </c>
      <c r="T3367">
        <v>-0.2863214</v>
      </c>
      <c r="U3367">
        <v>-7.6370240000000006E-2</v>
      </c>
      <c r="V3367">
        <v>-7.7903029999999998E-2</v>
      </c>
      <c r="W3367">
        <v>0.36017749999999998</v>
      </c>
      <c r="X3367">
        <v>0.92962540000000005</v>
      </c>
      <c r="Y3367">
        <v>2.8550200000000001E-2</v>
      </c>
      <c r="Z3367">
        <v>-1.840384E-3</v>
      </c>
      <c r="AA3367">
        <v>0.99959070000000005</v>
      </c>
      <c r="AB3367">
        <v>38</v>
      </c>
      <c r="AC3367">
        <v>0.612600000000043</v>
      </c>
      <c r="AD3367">
        <v>-8.6543999999999899E-2</v>
      </c>
      <c r="AE3367">
        <v>-2.5499999999993798E-2</v>
      </c>
      <c r="AF3367">
        <v>2.84431180089884E-2</v>
      </c>
      <c r="AG3367">
        <v>-8.6543999999999899E-2</v>
      </c>
      <c r="AH3367">
        <v>0.60048009412943104</v>
      </c>
      <c r="AI3367">
        <v>98.192201364725804</v>
      </c>
      <c r="AJ3367">
        <v>87.2880808825023</v>
      </c>
      <c r="AK3367">
        <v>0.60735098447583302</v>
      </c>
      <c r="AL3367">
        <v>68.888903778928096</v>
      </c>
      <c r="AM3367">
        <v>94.790220089580203</v>
      </c>
      <c r="AN3367">
        <v>1.00000004895729</v>
      </c>
    </row>
    <row r="3368" spans="1:40" x14ac:dyDescent="0.25">
      <c r="A3368" t="str">
        <f>"20190304164437561"</f>
        <v>20190304164437561</v>
      </c>
      <c r="B3368" t="str">
        <f>"1551689077553195"</f>
        <v>1551689077553195</v>
      </c>
      <c r="C3368" t="s">
        <v>40</v>
      </c>
      <c r="D3368">
        <v>4.7079309999999897</v>
      </c>
      <c r="E3368">
        <v>0.55913519999999906</v>
      </c>
      <c r="F3368" t="s">
        <v>41</v>
      </c>
      <c r="G3368">
        <v>-266.34429999999998</v>
      </c>
      <c r="H3368">
        <v>1.0276650000000001</v>
      </c>
      <c r="I3368">
        <v>214.49279999999999</v>
      </c>
      <c r="J3368">
        <v>-266.93549999999999</v>
      </c>
      <c r="K3368">
        <v>1.1107049999999901</v>
      </c>
      <c r="L3368">
        <v>214.51820000000001</v>
      </c>
      <c r="M3368">
        <v>0.99988350000000004</v>
      </c>
      <c r="N3368">
        <v>-1.412778E-2</v>
      </c>
      <c r="O3368">
        <v>5.8046979999999996E-3</v>
      </c>
      <c r="P3368">
        <v>0.93410740000000003</v>
      </c>
      <c r="Q3368">
        <v>0.34723809999999999</v>
      </c>
      <c r="R3368">
        <v>8.2880309999999999E-2</v>
      </c>
      <c r="S3368">
        <v>3.325806</v>
      </c>
      <c r="T3368">
        <v>-0.28854629999999998</v>
      </c>
      <c r="U3368">
        <v>-8.0413819999999997E-2</v>
      </c>
      <c r="V3368">
        <v>-7.7497880000000005E-2</v>
      </c>
      <c r="W3368">
        <v>0.3603981</v>
      </c>
      <c r="X3368">
        <v>0.92957369999999995</v>
      </c>
      <c r="Y3368">
        <v>2.9829270000000001E-2</v>
      </c>
      <c r="Z3368">
        <v>-1.923323E-3</v>
      </c>
      <c r="AA3368">
        <v>0.99955309999999997</v>
      </c>
      <c r="AB3368">
        <v>38</v>
      </c>
      <c r="AC3368">
        <v>0.59120000000001405</v>
      </c>
      <c r="AD3368">
        <v>-8.3039999999999697E-2</v>
      </c>
      <c r="AE3368">
        <v>-2.5400000000018901E-2</v>
      </c>
      <c r="AF3368">
        <v>2.8274843878851302E-2</v>
      </c>
      <c r="AG3368">
        <v>-8.3039999999999697E-2</v>
      </c>
      <c r="AH3368">
        <v>0.57962814954068897</v>
      </c>
      <c r="AI3368">
        <v>98.143407716961804</v>
      </c>
      <c r="AJ3368">
        <v>87.207268050040696</v>
      </c>
      <c r="AK3368">
        <v>0.5862285391691</v>
      </c>
      <c r="AL3368">
        <v>68.875353014849793</v>
      </c>
      <c r="AM3368">
        <v>94.765686456083401</v>
      </c>
      <c r="AN3368">
        <v>0.99999998780989696</v>
      </c>
    </row>
    <row r="3369" spans="1:40" x14ac:dyDescent="0.25">
      <c r="A3369" t="str">
        <f>"20190304164437585"</f>
        <v>20190304164437585</v>
      </c>
      <c r="B3369" t="str">
        <f>"1551689077573692"</f>
        <v>1551689077573692</v>
      </c>
      <c r="C3369" t="s">
        <v>40</v>
      </c>
      <c r="D3369">
        <v>4.763954</v>
      </c>
      <c r="E3369">
        <v>0.55980969999999997</v>
      </c>
      <c r="F3369" t="s">
        <v>41</v>
      </c>
      <c r="G3369">
        <v>-266.00080000000003</v>
      </c>
      <c r="H3369">
        <v>1.029728</v>
      </c>
      <c r="I3369">
        <v>214.49430000000001</v>
      </c>
      <c r="J3369">
        <v>-266.54570000000001</v>
      </c>
      <c r="K3369">
        <v>1.11073</v>
      </c>
      <c r="L3369">
        <v>214.5205</v>
      </c>
      <c r="M3369">
        <v>0.99988290000000002</v>
      </c>
      <c r="N3369">
        <v>-1.4125479999999999E-2</v>
      </c>
      <c r="O3369">
        <v>5.9119740000000004E-3</v>
      </c>
      <c r="P3369">
        <v>0.93391690000000005</v>
      </c>
      <c r="Q3369">
        <v>0.34787079999999998</v>
      </c>
      <c r="R3369">
        <v>8.2373470000000004E-2</v>
      </c>
      <c r="S3369">
        <v>3.3262629999999902</v>
      </c>
      <c r="T3369">
        <v>-0.28827520000000001</v>
      </c>
      <c r="U3369">
        <v>-8.4426879999999996E-2</v>
      </c>
      <c r="V3369">
        <v>-7.6909690000000003E-2</v>
      </c>
      <c r="W3369">
        <v>0.36102250000000002</v>
      </c>
      <c r="X3369">
        <v>0.92938019999999999</v>
      </c>
      <c r="Y3369">
        <v>3.1132699999999999E-2</v>
      </c>
      <c r="Z3369">
        <v>-1.9947150000000002E-3</v>
      </c>
      <c r="AA3369">
        <v>0.99951330000000005</v>
      </c>
      <c r="AB3369">
        <v>38</v>
      </c>
      <c r="AC3369">
        <v>0.54489999999998395</v>
      </c>
      <c r="AD3369">
        <v>-8.1002000000000005E-2</v>
      </c>
      <c r="AE3369">
        <v>-2.61999999999886E-2</v>
      </c>
      <c r="AF3369">
        <v>2.87866307757591E-2</v>
      </c>
      <c r="AG3369">
        <v>-8.1002000000000005E-2</v>
      </c>
      <c r="AH3369">
        <v>0.53298470430432499</v>
      </c>
      <c r="AI3369">
        <v>98.629188620803802</v>
      </c>
      <c r="AJ3369">
        <v>86.908445103204201</v>
      </c>
      <c r="AK3369">
        <v>0.539872845342112</v>
      </c>
      <c r="AL3369">
        <v>68.836994384663498</v>
      </c>
      <c r="AM3369">
        <v>94.730661040234494</v>
      </c>
      <c r="AN3369">
        <v>0.99999995103709105</v>
      </c>
    </row>
    <row r="3370" spans="1:40" x14ac:dyDescent="0.25">
      <c r="A3370" t="str">
        <f>"20190304164437606"</f>
        <v>20190304164437606</v>
      </c>
      <c r="B3370" t="str">
        <f>"1551689077602971"</f>
        <v>1551689077602971</v>
      </c>
      <c r="C3370" t="s">
        <v>40</v>
      </c>
      <c r="D3370">
        <v>4.7789789999999996</v>
      </c>
      <c r="E3370">
        <v>0.56062889999999999</v>
      </c>
      <c r="F3370" t="s">
        <v>41</v>
      </c>
      <c r="G3370">
        <v>-265.65690000000001</v>
      </c>
      <c r="H3370">
        <v>1.033307</v>
      </c>
      <c r="I3370">
        <v>214.49619999999999</v>
      </c>
      <c r="J3370">
        <v>-266.16770000000002</v>
      </c>
      <c r="K3370">
        <v>1.1107579999999999</v>
      </c>
      <c r="L3370">
        <v>214.52289999999999</v>
      </c>
      <c r="M3370">
        <v>0.9998821</v>
      </c>
      <c r="N3370">
        <v>-1.412329E-2</v>
      </c>
      <c r="O3370">
        <v>6.0485349999999998E-3</v>
      </c>
      <c r="P3370">
        <v>0.93399750000000004</v>
      </c>
      <c r="Q3370">
        <v>0.34784779999999998</v>
      </c>
      <c r="R3370">
        <v>8.1553399999999998E-2</v>
      </c>
      <c r="S3370">
        <v>3.3283079999999998</v>
      </c>
      <c r="T3370">
        <v>-0.29006949999999998</v>
      </c>
      <c r="U3370">
        <v>-9.0454099999999996E-2</v>
      </c>
      <c r="V3370">
        <v>-7.5982560000000005E-2</v>
      </c>
      <c r="W3370">
        <v>0.36099399999999998</v>
      </c>
      <c r="X3370">
        <v>0.92946759999999995</v>
      </c>
      <c r="Y3370">
        <v>3.3051909999999997E-2</v>
      </c>
      <c r="Z3370">
        <v>-2.112035E-3</v>
      </c>
      <c r="AA3370">
        <v>0.99945139999999999</v>
      </c>
      <c r="AB3370">
        <v>38</v>
      </c>
      <c r="AC3370">
        <v>0.51080000000001702</v>
      </c>
      <c r="AD3370">
        <v>-7.7450999999999895E-2</v>
      </c>
      <c r="AE3370">
        <v>-2.6700000000005199E-2</v>
      </c>
      <c r="AF3370">
        <v>2.9121706719734401E-2</v>
      </c>
      <c r="AG3370">
        <v>-7.7450999999999895E-2</v>
      </c>
      <c r="AH3370">
        <v>0.49918382592379701</v>
      </c>
      <c r="AI3370">
        <v>98.804685193809107</v>
      </c>
      <c r="AJ3370">
        <v>86.661226299951693</v>
      </c>
      <c r="AK3370">
        <v>0.50599527988627502</v>
      </c>
      <c r="AL3370">
        <v>68.8387468934975</v>
      </c>
      <c r="AM3370">
        <v>94.673450557897993</v>
      </c>
      <c r="AN3370">
        <v>1.00000001845495</v>
      </c>
    </row>
    <row r="3371" spans="1:40" x14ac:dyDescent="0.25">
      <c r="A3371" t="str">
        <f>"20190304164437630"</f>
        <v>20190304164437630</v>
      </c>
      <c r="B3371" t="str">
        <f>"1551689077623468"</f>
        <v>1551689077623468</v>
      </c>
      <c r="C3371" t="s">
        <v>40</v>
      </c>
      <c r="D3371">
        <v>4.8438290000000004</v>
      </c>
      <c r="E3371">
        <v>0.56084780000000001</v>
      </c>
      <c r="F3371" t="s">
        <v>41</v>
      </c>
      <c r="G3371">
        <v>-265.3141</v>
      </c>
      <c r="H3371">
        <v>1.035191</v>
      </c>
      <c r="I3371">
        <v>214.4973</v>
      </c>
      <c r="J3371">
        <v>-265.75880000000001</v>
      </c>
      <c r="K3371">
        <v>1.110792</v>
      </c>
      <c r="L3371">
        <v>214.52549999999999</v>
      </c>
      <c r="M3371">
        <v>0.99988089999999996</v>
      </c>
      <c r="N3371">
        <v>-1.4121069999999999E-2</v>
      </c>
      <c r="O3371">
        <v>6.2336010000000001E-3</v>
      </c>
      <c r="P3371">
        <v>0.93408880000000005</v>
      </c>
      <c r="Q3371">
        <v>0.34784019999999999</v>
      </c>
      <c r="R3371">
        <v>8.0531389999999994E-2</v>
      </c>
      <c r="S3371">
        <v>3.330505</v>
      </c>
      <c r="T3371">
        <v>-0.29485250000000002</v>
      </c>
      <c r="U3371">
        <v>-9.9761959999999997E-2</v>
      </c>
      <c r="V3371">
        <v>-7.4814210000000006E-2</v>
      </c>
      <c r="W3371">
        <v>0.36098019999999997</v>
      </c>
      <c r="X3371">
        <v>0.9295677</v>
      </c>
      <c r="Y3371">
        <v>3.5991019999999999E-2</v>
      </c>
      <c r="Z3371">
        <v>-2.307267E-3</v>
      </c>
      <c r="AA3371">
        <v>0.9993495</v>
      </c>
      <c r="AB3371">
        <v>38</v>
      </c>
      <c r="AC3371">
        <v>0.44470000000001098</v>
      </c>
      <c r="AD3371">
        <v>-7.5601000000000002E-2</v>
      </c>
      <c r="AE3371">
        <v>-2.8199999999998199E-2</v>
      </c>
      <c r="AF3371">
        <v>3.0105208945307601E-2</v>
      </c>
      <c r="AG3371">
        <v>-7.5601000000000002E-2</v>
      </c>
      <c r="AH3371">
        <v>0.43207785771405799</v>
      </c>
      <c r="AI3371">
        <v>99.901093661814201</v>
      </c>
      <c r="AJ3371">
        <v>86.014333498815404</v>
      </c>
      <c r="AK3371">
        <v>0.43967386769446498</v>
      </c>
      <c r="AL3371">
        <v>68.839594110715495</v>
      </c>
      <c r="AM3371">
        <v>94.601406613038407</v>
      </c>
      <c r="AN3371">
        <v>0.99999998984662697</v>
      </c>
    </row>
    <row r="3372" spans="1:40" x14ac:dyDescent="0.25">
      <c r="A3372" t="str">
        <f>"20190304164437650"</f>
        <v>20190304164437650</v>
      </c>
      <c r="B3372" t="str">
        <f>"1551689077642990"</f>
        <v>1551689077642990</v>
      </c>
      <c r="C3372" t="s">
        <v>40</v>
      </c>
      <c r="D3372">
        <v>4.7917480000000001</v>
      </c>
      <c r="E3372">
        <v>0.5611467</v>
      </c>
      <c r="F3372" t="s">
        <v>41</v>
      </c>
      <c r="G3372">
        <v>-264.9701</v>
      </c>
      <c r="H3372">
        <v>1.0399830000000001</v>
      </c>
      <c r="I3372">
        <v>214.50040000000001</v>
      </c>
      <c r="J3372">
        <v>-265.40460000000002</v>
      </c>
      <c r="K3372">
        <v>1.110819</v>
      </c>
      <c r="L3372">
        <v>214.52789999999999</v>
      </c>
      <c r="M3372">
        <v>0.99987979999999999</v>
      </c>
      <c r="N3372">
        <v>-1.4119100000000001E-2</v>
      </c>
      <c r="O3372">
        <v>6.4269690000000003E-3</v>
      </c>
      <c r="P3372">
        <v>0.93423440000000002</v>
      </c>
      <c r="Q3372">
        <v>0.34764640000000002</v>
      </c>
      <c r="R3372">
        <v>7.9676419999999998E-2</v>
      </c>
      <c r="S3372">
        <v>3.332214</v>
      </c>
      <c r="T3372">
        <v>-0.29934440000000001</v>
      </c>
      <c r="U3372">
        <v>-0.1054382</v>
      </c>
      <c r="V3372">
        <v>-7.380341E-2</v>
      </c>
      <c r="W3372">
        <v>0.36078189999999999</v>
      </c>
      <c r="X3372">
        <v>0.92972549999999998</v>
      </c>
      <c r="Y3372">
        <v>3.785529E-2</v>
      </c>
      <c r="Z3372">
        <v>-2.4499360000000002E-3</v>
      </c>
      <c r="AA3372">
        <v>0.99928019999999995</v>
      </c>
      <c r="AB3372">
        <v>38</v>
      </c>
      <c r="AC3372">
        <v>0.43450000000001399</v>
      </c>
      <c r="AD3372">
        <v>-7.0835999999999899E-2</v>
      </c>
      <c r="AE3372">
        <v>-2.7499999999974899E-2</v>
      </c>
      <c r="AF3372">
        <v>2.95110027423665E-2</v>
      </c>
      <c r="AG3372">
        <v>-7.0835999999999899E-2</v>
      </c>
      <c r="AH3372">
        <v>0.423113462828757</v>
      </c>
      <c r="AI3372">
        <v>99.481480716456801</v>
      </c>
      <c r="AJ3372">
        <v>86.010237901415607</v>
      </c>
      <c r="AK3372">
        <v>0.43001586087701699</v>
      </c>
      <c r="AL3372">
        <v>68.851777371028206</v>
      </c>
      <c r="AM3372">
        <v>94.538732266776407</v>
      </c>
      <c r="AN3372">
        <v>1.0000000140227401</v>
      </c>
    </row>
    <row r="3373" spans="1:40" x14ac:dyDescent="0.25">
      <c r="A3373" t="str">
        <f>"20190304164437668"</f>
        <v>20190304164437668</v>
      </c>
      <c r="B3373" t="str">
        <f>"1551689077663483"</f>
        <v>1551689077663483</v>
      </c>
      <c r="C3373" t="s">
        <v>40</v>
      </c>
      <c r="D3373">
        <v>4.7899190000000003</v>
      </c>
      <c r="E3373">
        <v>0.5614557</v>
      </c>
      <c r="F3373" t="s">
        <v>41</v>
      </c>
      <c r="G3373">
        <v>-264.62869999999998</v>
      </c>
      <c r="H3373">
        <v>1.040289</v>
      </c>
      <c r="I3373">
        <v>214.50200000000001</v>
      </c>
      <c r="J3373">
        <v>-265.11689999999999</v>
      </c>
      <c r="K3373">
        <v>1.110846</v>
      </c>
      <c r="L3373">
        <v>214.5299</v>
      </c>
      <c r="M3373">
        <v>0.9998785</v>
      </c>
      <c r="N3373">
        <v>-1.41175E-2</v>
      </c>
      <c r="O3373">
        <v>6.6059880000000001E-3</v>
      </c>
      <c r="P3373">
        <v>0.93429459999999998</v>
      </c>
      <c r="Q3373">
        <v>0.34758149999999999</v>
      </c>
      <c r="R3373">
        <v>7.9252030000000001E-2</v>
      </c>
      <c r="S3373">
        <v>3.3333740000000001</v>
      </c>
      <c r="T3373">
        <v>-0.30316979999999999</v>
      </c>
      <c r="U3373">
        <v>-0.1099854</v>
      </c>
      <c r="V3373">
        <v>-7.3230939999999994E-2</v>
      </c>
      <c r="W3373">
        <v>0.36071300000000001</v>
      </c>
      <c r="X3373">
        <v>0.92979750000000005</v>
      </c>
      <c r="Y3373">
        <v>3.9372490000000003E-2</v>
      </c>
      <c r="Z3373">
        <v>-2.5713139999999999E-3</v>
      </c>
      <c r="AA3373">
        <v>0.99922129999999998</v>
      </c>
      <c r="AB3373">
        <v>38</v>
      </c>
      <c r="AC3373">
        <v>0.48820000000000602</v>
      </c>
      <c r="AD3373">
        <v>-7.0556999999999898E-2</v>
      </c>
      <c r="AE3373">
        <v>-2.7899999999988202E-2</v>
      </c>
      <c r="AF3373">
        <v>3.0489972472135099E-2</v>
      </c>
      <c r="AG3373">
        <v>-7.0556999999999898E-2</v>
      </c>
      <c r="AH3373">
        <v>0.47805225050845301</v>
      </c>
      <c r="AI3373">
        <v>98.379039988725197</v>
      </c>
      <c r="AJ3373">
        <v>86.350642133240996</v>
      </c>
      <c r="AK3373">
        <v>0.48419198969680199</v>
      </c>
      <c r="AL3373">
        <v>68.856010085877003</v>
      </c>
      <c r="AM3373">
        <v>94.503324822007897</v>
      </c>
      <c r="AN3373">
        <v>1.0000000149742601</v>
      </c>
    </row>
    <row r="3374" spans="1:40" x14ac:dyDescent="0.25">
      <c r="A3374" t="str">
        <f>"20190304164437684"</f>
        <v>20190304164437684</v>
      </c>
      <c r="B3374" t="str">
        <f>"1551689077673243"</f>
        <v>1551689077673243</v>
      </c>
      <c r="C3374" t="s">
        <v>40</v>
      </c>
      <c r="D3374">
        <v>4.7931790000000003</v>
      </c>
      <c r="E3374">
        <v>0.5615675</v>
      </c>
      <c r="F3374" t="s">
        <v>41</v>
      </c>
      <c r="G3374">
        <v>-264.2901</v>
      </c>
      <c r="H3374">
        <v>1.035226</v>
      </c>
      <c r="I3374">
        <v>214.50149999999999</v>
      </c>
      <c r="J3374">
        <v>-264.83949999999999</v>
      </c>
      <c r="K3374">
        <v>1.110868</v>
      </c>
      <c r="L3374">
        <v>214.53190000000001</v>
      </c>
      <c r="M3374">
        <v>0.99987729999999997</v>
      </c>
      <c r="N3374">
        <v>-1.411596E-2</v>
      </c>
      <c r="O3374">
        <v>6.7930079999999997E-3</v>
      </c>
      <c r="P3374">
        <v>0.93419549999999996</v>
      </c>
      <c r="Q3374">
        <v>0.34783969999999997</v>
      </c>
      <c r="R3374">
        <v>7.9287129999999997E-2</v>
      </c>
      <c r="S3374">
        <v>3.3341059999999998</v>
      </c>
      <c r="T3374">
        <v>-0.30510900000000002</v>
      </c>
      <c r="U3374">
        <v>-0.1136322</v>
      </c>
      <c r="V3374">
        <v>-7.3109809999999997E-2</v>
      </c>
      <c r="W3374">
        <v>0.36096470000000003</v>
      </c>
      <c r="X3374">
        <v>0.92970940000000002</v>
      </c>
      <c r="Y3374">
        <v>4.0634749999999997E-2</v>
      </c>
      <c r="Z3374">
        <v>-2.6669300000000001E-3</v>
      </c>
      <c r="AA3374">
        <v>0.99917049999999996</v>
      </c>
      <c r="AB3374">
        <v>38</v>
      </c>
      <c r="AC3374">
        <v>0.54939999999999101</v>
      </c>
      <c r="AD3374">
        <v>-7.5641999999999904E-2</v>
      </c>
      <c r="AE3374">
        <v>-3.0400000000014402E-2</v>
      </c>
      <c r="AF3374">
        <v>3.3498683220665897E-2</v>
      </c>
      <c r="AG3374">
        <v>-7.5641999999999904E-2</v>
      </c>
      <c r="AH3374">
        <v>0.53899474899427202</v>
      </c>
      <c r="AI3374">
        <v>97.973474917380699</v>
      </c>
      <c r="AJ3374">
        <v>86.443624655741104</v>
      </c>
      <c r="AK3374">
        <v>0.54530653158101505</v>
      </c>
      <c r="AL3374">
        <v>68.840548040131196</v>
      </c>
      <c r="AM3374">
        <v>94.496330805033196</v>
      </c>
      <c r="AN3374">
        <v>1.00000006370634</v>
      </c>
    </row>
    <row r="3375" spans="1:40" x14ac:dyDescent="0.25">
      <c r="A3375" t="str">
        <f>"20190304164437707"</f>
        <v>20190304164437707</v>
      </c>
      <c r="B3375" t="str">
        <f>"1551689077703499"</f>
        <v>1551689077703499</v>
      </c>
      <c r="C3375" t="s">
        <v>40</v>
      </c>
      <c r="D3375">
        <v>4.8834169999999997</v>
      </c>
      <c r="E3375">
        <v>0.5617645</v>
      </c>
      <c r="F3375" t="s">
        <v>41</v>
      </c>
      <c r="G3375">
        <v>-263.95209999999997</v>
      </c>
      <c r="H3375">
        <v>1.0296529999999999</v>
      </c>
      <c r="I3375">
        <v>214.50120000000001</v>
      </c>
      <c r="J3375">
        <v>-264.45589999999999</v>
      </c>
      <c r="K3375">
        <v>1.1108880000000001</v>
      </c>
      <c r="L3375">
        <v>214.53469999999999</v>
      </c>
      <c r="M3375">
        <v>0.99987539999999997</v>
      </c>
      <c r="N3375">
        <v>-1.4113840000000001E-2</v>
      </c>
      <c r="O3375">
        <v>7.0702689999999997E-3</v>
      </c>
      <c r="P3375">
        <v>0.93402620000000003</v>
      </c>
      <c r="Q3375">
        <v>0.3482363</v>
      </c>
      <c r="R3375">
        <v>7.9541500000000001E-2</v>
      </c>
      <c r="S3375">
        <v>3.3347470000000001</v>
      </c>
      <c r="T3375">
        <v>-0.30533490000000002</v>
      </c>
      <c r="U3375">
        <v>-0.11489870000000001</v>
      </c>
      <c r="V3375">
        <v>-7.3127719999999993E-2</v>
      </c>
      <c r="W3375">
        <v>0.36135339999999999</v>
      </c>
      <c r="X3375">
        <v>0.92955690000000002</v>
      </c>
      <c r="Y3375">
        <v>4.1280129999999998E-2</v>
      </c>
      <c r="Z3375">
        <v>-2.7237049999999999E-3</v>
      </c>
      <c r="AA3375">
        <v>0.99914389999999997</v>
      </c>
      <c r="AB3375">
        <v>38</v>
      </c>
      <c r="AC3375">
        <v>0.50380000000001202</v>
      </c>
      <c r="AD3375">
        <v>-8.1234999999999696E-2</v>
      </c>
      <c r="AE3375">
        <v>-3.3499999999975202E-2</v>
      </c>
      <c r="AF3375">
        <v>3.6126375024848202E-2</v>
      </c>
      <c r="AG3375">
        <v>-8.1234999999999696E-2</v>
      </c>
      <c r="AH3375">
        <v>0.49084483758777098</v>
      </c>
      <c r="AI3375">
        <v>99.372392533184197</v>
      </c>
      <c r="AJ3375">
        <v>85.790597722915706</v>
      </c>
      <c r="AK3375">
        <v>0.4988315294606</v>
      </c>
      <c r="AL3375">
        <v>68.816663470824295</v>
      </c>
      <c r="AM3375">
        <v>94.498162575863503</v>
      </c>
      <c r="AN3375">
        <v>0.99999998673078405</v>
      </c>
    </row>
    <row r="3376" spans="1:40" x14ac:dyDescent="0.25">
      <c r="A3376" t="str">
        <f>"20190304164437730"</f>
        <v>20190304164437730</v>
      </c>
      <c r="B3376" t="str">
        <f>"1551689077723019"</f>
        <v>1551689077723019</v>
      </c>
      <c r="C3376" t="s">
        <v>40</v>
      </c>
      <c r="D3376">
        <v>4.8918359999999996</v>
      </c>
      <c r="E3376">
        <v>0.56181219999999998</v>
      </c>
      <c r="F3376" t="s">
        <v>41</v>
      </c>
      <c r="G3376">
        <v>-263.61</v>
      </c>
      <c r="H3376">
        <v>1.0329619999999999</v>
      </c>
      <c r="I3376">
        <v>214.5051</v>
      </c>
      <c r="J3376">
        <v>-264.0575</v>
      </c>
      <c r="K3376">
        <v>1.1109089999999999</v>
      </c>
      <c r="L3376">
        <v>214.53790000000001</v>
      </c>
      <c r="M3376">
        <v>0.99987329999999996</v>
      </c>
      <c r="N3376">
        <v>-1.411163E-2</v>
      </c>
      <c r="O3376">
        <v>7.3746300000000001E-3</v>
      </c>
      <c r="P3376">
        <v>0.93393539999999997</v>
      </c>
      <c r="Q3376">
        <v>0.34829480000000002</v>
      </c>
      <c r="R3376">
        <v>8.0346959999999995E-2</v>
      </c>
      <c r="S3376">
        <v>3.336487</v>
      </c>
      <c r="T3376">
        <v>-0.30752000000000002</v>
      </c>
      <c r="U3376">
        <v>-0.11645510000000001</v>
      </c>
      <c r="V3376">
        <v>-7.3665980000000006E-2</v>
      </c>
      <c r="W3376">
        <v>0.36140489999999997</v>
      </c>
      <c r="X3376">
        <v>0.92949440000000005</v>
      </c>
      <c r="Y3376">
        <v>4.2024499999999999E-2</v>
      </c>
      <c r="Z3376">
        <v>-2.8035719999999998E-3</v>
      </c>
      <c r="AA3376">
        <v>0.99911269999999996</v>
      </c>
      <c r="AB3376">
        <v>38</v>
      </c>
      <c r="AC3376">
        <v>0.44749999999999002</v>
      </c>
      <c r="AD3376">
        <v>-7.7946999999999697E-2</v>
      </c>
      <c r="AE3376">
        <v>-3.2800000000008801E-2</v>
      </c>
      <c r="AF3376">
        <v>3.50420942245682E-2</v>
      </c>
      <c r="AG3376">
        <v>-7.7946999999999697E-2</v>
      </c>
      <c r="AH3376">
        <v>0.43414444587808698</v>
      </c>
      <c r="AI3376">
        <v>100.14622438486499</v>
      </c>
      <c r="AJ3376">
        <v>85.385358670111899</v>
      </c>
      <c r="AK3376">
        <v>0.44247608191114002</v>
      </c>
      <c r="AL3376">
        <v>68.813499365573307</v>
      </c>
      <c r="AM3376">
        <v>94.531437547507096</v>
      </c>
      <c r="AN3376">
        <v>1.00000000899236</v>
      </c>
    </row>
    <row r="3377" spans="1:40" x14ac:dyDescent="0.25">
      <c r="A3377" t="str">
        <f>"20190304164437752"</f>
        <v>20190304164437752</v>
      </c>
      <c r="B3377" t="str">
        <f>"1551689077743515"</f>
        <v>1551689077743515</v>
      </c>
      <c r="C3377" t="s">
        <v>40</v>
      </c>
      <c r="D3377">
        <v>4.8338760000000001</v>
      </c>
      <c r="E3377">
        <v>0.56189279999999997</v>
      </c>
      <c r="F3377" t="s">
        <v>41</v>
      </c>
      <c r="G3377">
        <v>-263.26749999999998</v>
      </c>
      <c r="H3377">
        <v>1.0373429999999999</v>
      </c>
      <c r="I3377">
        <v>214.51070000000001</v>
      </c>
      <c r="J3377">
        <v>-263.6927</v>
      </c>
      <c r="K3377">
        <v>1.110922</v>
      </c>
      <c r="L3377">
        <v>214.54079999999999</v>
      </c>
      <c r="M3377">
        <v>0.99987119999999996</v>
      </c>
      <c r="N3377">
        <v>-1.410959E-2</v>
      </c>
      <c r="O3377">
        <v>7.6632109999999996E-3</v>
      </c>
      <c r="P3377">
        <v>0.93380280000000004</v>
      </c>
      <c r="Q3377">
        <v>0.34856910000000002</v>
      </c>
      <c r="R3377">
        <v>8.0699209999999993E-2</v>
      </c>
      <c r="S3377">
        <v>3.3379819999999998</v>
      </c>
      <c r="T3377">
        <v>-0.31100250000000002</v>
      </c>
      <c r="U3377">
        <v>-0.11378480000000001</v>
      </c>
      <c r="V3377">
        <v>-7.3761460000000001E-2</v>
      </c>
      <c r="W3377">
        <v>0.36167339999999998</v>
      </c>
      <c r="X3377">
        <v>0.92938240000000005</v>
      </c>
      <c r="Y3377">
        <v>4.1495900000000002E-2</v>
      </c>
      <c r="Z3377">
        <v>-2.8263020000000002E-3</v>
      </c>
      <c r="AA3377">
        <v>0.99913470000000004</v>
      </c>
      <c r="AB3377">
        <v>38</v>
      </c>
      <c r="AC3377">
        <v>0.42520000000001701</v>
      </c>
      <c r="AD3377">
        <v>-7.3578999999999797E-2</v>
      </c>
      <c r="AE3377">
        <v>-3.0099999999976E-2</v>
      </c>
      <c r="AF3377">
        <v>3.2392681976195402E-2</v>
      </c>
      <c r="AG3377">
        <v>-7.3578999999999797E-2</v>
      </c>
      <c r="AH3377">
        <v>0.41266138454774398</v>
      </c>
      <c r="AI3377">
        <v>100.07943102021299</v>
      </c>
      <c r="AJ3377">
        <v>85.511656647132796</v>
      </c>
      <c r="AK3377">
        <v>0.42041952069744798</v>
      </c>
      <c r="AL3377">
        <v>68.796999655087305</v>
      </c>
      <c r="AM3377">
        <v>94.537830834566094</v>
      </c>
      <c r="AN3377">
        <v>1.00000002333932</v>
      </c>
    </row>
    <row r="3378" spans="1:40" x14ac:dyDescent="0.25">
      <c r="A3378" t="str">
        <f>"20190304164437786"</f>
        <v>20190304164437786</v>
      </c>
      <c r="B3378" t="str">
        <f>"1551689077773771"</f>
        <v>1551689077773771</v>
      </c>
      <c r="C3378" t="s">
        <v>40</v>
      </c>
      <c r="D3378">
        <v>4.8933070000000001</v>
      </c>
      <c r="E3378">
        <v>0.56195589999999995</v>
      </c>
      <c r="F3378" t="s">
        <v>41</v>
      </c>
      <c r="G3378">
        <v>-262.92660000000001</v>
      </c>
      <c r="H3378">
        <v>1.0391809999999999</v>
      </c>
      <c r="I3378">
        <v>214.5146</v>
      </c>
      <c r="J3378">
        <v>-263.11959999999999</v>
      </c>
      <c r="K3378">
        <v>1.1109469999999999</v>
      </c>
      <c r="L3378">
        <v>214.54570000000001</v>
      </c>
      <c r="M3378">
        <v>0.99986759999999997</v>
      </c>
      <c r="N3378">
        <v>-1.410631E-2</v>
      </c>
      <c r="O3378">
        <v>8.1233599999999996E-3</v>
      </c>
      <c r="P3378">
        <v>0.933647</v>
      </c>
      <c r="Q3378">
        <v>0.34922439999999999</v>
      </c>
      <c r="R3378">
        <v>7.9659919999999995E-2</v>
      </c>
      <c r="S3378">
        <v>3.3392330000000001</v>
      </c>
      <c r="T3378">
        <v>-0.3128958</v>
      </c>
      <c r="U3378">
        <v>-0.113525399999999</v>
      </c>
      <c r="V3378">
        <v>-7.2306419999999996E-2</v>
      </c>
      <c r="W3378">
        <v>0.36232189999999997</v>
      </c>
      <c r="X3378">
        <v>0.92924410000000002</v>
      </c>
      <c r="Y3378">
        <v>4.1859630000000002E-2</v>
      </c>
      <c r="Z3378">
        <v>-2.8973929999999998E-3</v>
      </c>
      <c r="AA3378">
        <v>0.99911930000000004</v>
      </c>
      <c r="AB3378">
        <v>38</v>
      </c>
      <c r="AC3378">
        <v>0.19299999999998299</v>
      </c>
      <c r="AD3378">
        <v>-7.1765999999999996E-2</v>
      </c>
      <c r="AE3378">
        <v>-3.11000000000092E-2</v>
      </c>
      <c r="AF3378">
        <v>2.8787303170301998E-2</v>
      </c>
      <c r="AG3378">
        <v>-7.1765999999999996E-2</v>
      </c>
      <c r="AH3378">
        <v>0.16985040692200701</v>
      </c>
      <c r="AI3378">
        <v>112.615819400798</v>
      </c>
      <c r="AJ3378">
        <v>80.380567776992507</v>
      </c>
      <c r="AK3378">
        <v>0.18662322554117</v>
      </c>
      <c r="AL3378">
        <v>68.757139223604995</v>
      </c>
      <c r="AM3378">
        <v>94.449338629575607</v>
      </c>
      <c r="AN3378">
        <v>0.99999998748881802</v>
      </c>
    </row>
    <row r="3379" spans="1:40" x14ac:dyDescent="0.25">
      <c r="A3379" t="str">
        <f>"20190304164437807"</f>
        <v>20190304164437807</v>
      </c>
      <c r="B3379" t="str">
        <f>"1551689077803051"</f>
        <v>1551689077803051</v>
      </c>
      <c r="C3379" t="s">
        <v>40</v>
      </c>
      <c r="D3379">
        <v>4.8873930000000003</v>
      </c>
      <c r="E3379">
        <v>0.56196059999999903</v>
      </c>
      <c r="F3379" t="s">
        <v>41</v>
      </c>
      <c r="G3379">
        <v>-262.25229999999999</v>
      </c>
      <c r="H3379">
        <v>1.0293650000000001</v>
      </c>
      <c r="I3379">
        <v>214.51490000000001</v>
      </c>
      <c r="J3379">
        <v>-262.74189999999999</v>
      </c>
      <c r="K3379">
        <v>1.110954</v>
      </c>
      <c r="L3379">
        <v>214.54900000000001</v>
      </c>
      <c r="M3379">
        <v>0.99986509999999995</v>
      </c>
      <c r="N3379">
        <v>-1.410412E-2</v>
      </c>
      <c r="O3379">
        <v>8.4268039999999995E-3</v>
      </c>
      <c r="P3379">
        <v>0.93383190000000005</v>
      </c>
      <c r="Q3379">
        <v>0.34885460000000001</v>
      </c>
      <c r="R3379">
        <v>7.9112059999999998E-2</v>
      </c>
      <c r="S3379">
        <v>3.3408809999999902</v>
      </c>
      <c r="T3379">
        <v>-0.31448660000000001</v>
      </c>
      <c r="U3379">
        <v>-0.1174622</v>
      </c>
      <c r="V3379">
        <v>-7.147995E-2</v>
      </c>
      <c r="W3379">
        <v>0.36195250000000001</v>
      </c>
      <c r="X3379">
        <v>0.9294519</v>
      </c>
      <c r="Y3379">
        <v>4.3311549999999997E-2</v>
      </c>
      <c r="Z3379">
        <v>-3.012392E-3</v>
      </c>
      <c r="AA3379">
        <v>0.99905710000000003</v>
      </c>
      <c r="AB3379">
        <v>38</v>
      </c>
      <c r="AC3379">
        <v>0.48959999999999498</v>
      </c>
      <c r="AD3379">
        <v>-8.1589000000000106E-2</v>
      </c>
      <c r="AE3379">
        <v>-3.40999999999951E-2</v>
      </c>
      <c r="AF3379">
        <v>3.7196978189000397E-2</v>
      </c>
      <c r="AG3379">
        <v>-8.1589000000000106E-2</v>
      </c>
      <c r="AH3379">
        <v>0.47613661047653699</v>
      </c>
      <c r="AI3379">
        <v>99.694579413191207</v>
      </c>
      <c r="AJ3379">
        <v>85.532983807035706</v>
      </c>
      <c r="AK3379">
        <v>0.484506400312193</v>
      </c>
      <c r="AL3379">
        <v>68.779843862937199</v>
      </c>
      <c r="AM3379">
        <v>94.397703391642807</v>
      </c>
      <c r="AN3379">
        <v>0.99999991496092699</v>
      </c>
    </row>
    <row r="3380" spans="1:40" x14ac:dyDescent="0.25">
      <c r="A3380" t="str">
        <f>"20190304164437830"</f>
        <v>20190304164437830</v>
      </c>
      <c r="B3380" t="str">
        <f>"1551689077823547"</f>
        <v>1551689077823547</v>
      </c>
      <c r="C3380" t="s">
        <v>40</v>
      </c>
      <c r="D3380">
        <v>4.8736199999999998</v>
      </c>
      <c r="E3380">
        <v>0.56197929999999996</v>
      </c>
      <c r="F3380" t="s">
        <v>41</v>
      </c>
      <c r="G3380">
        <v>-261.91210000000001</v>
      </c>
      <c r="H3380">
        <v>1.031507</v>
      </c>
      <c r="I3380">
        <v>214.51920000000001</v>
      </c>
      <c r="J3380">
        <v>-262.35809999999998</v>
      </c>
      <c r="K3380">
        <v>1.110959</v>
      </c>
      <c r="L3380">
        <v>214.55250000000001</v>
      </c>
      <c r="M3380">
        <v>0.99986249999999999</v>
      </c>
      <c r="N3380">
        <v>-1.410191E-2</v>
      </c>
      <c r="O3380">
        <v>8.7340969999999997E-3</v>
      </c>
      <c r="P3380">
        <v>0.9342355</v>
      </c>
      <c r="Q3380">
        <v>0.34793479999999999</v>
      </c>
      <c r="R3380">
        <v>7.8392980000000001E-2</v>
      </c>
      <c r="S3380">
        <v>3.3423159999999998</v>
      </c>
      <c r="T3380">
        <v>-0.3200809</v>
      </c>
      <c r="U3380">
        <v>-0.1196899</v>
      </c>
      <c r="V3380">
        <v>-7.0474110000000006E-2</v>
      </c>
      <c r="W3380">
        <v>0.36103629999999998</v>
      </c>
      <c r="X3380">
        <v>0.92988499999999996</v>
      </c>
      <c r="Y3380">
        <v>4.425436E-2</v>
      </c>
      <c r="Z3380">
        <v>-3.137885E-3</v>
      </c>
      <c r="AA3380">
        <v>0.9990154</v>
      </c>
      <c r="AB3380">
        <v>38</v>
      </c>
      <c r="AC3380">
        <v>0.44599999999996898</v>
      </c>
      <c r="AD3380">
        <v>-7.9451999999999995E-2</v>
      </c>
      <c r="AE3380">
        <v>-3.3299999999996999E-2</v>
      </c>
      <c r="AF3380">
        <v>3.6056607170253802E-2</v>
      </c>
      <c r="AG3380">
        <v>-7.9451999999999995E-2</v>
      </c>
      <c r="AH3380">
        <v>0.43205675619444001</v>
      </c>
      <c r="AI3380">
        <v>100.384541885117</v>
      </c>
      <c r="AJ3380">
        <v>85.229526260825295</v>
      </c>
      <c r="AK3380">
        <v>0.44077856095537599</v>
      </c>
      <c r="AL3380">
        <v>68.836146753686094</v>
      </c>
      <c r="AM3380">
        <v>94.3340463315336</v>
      </c>
      <c r="AN3380">
        <v>0.99999996166148997</v>
      </c>
    </row>
    <row r="3381" spans="1:40" x14ac:dyDescent="0.25">
      <c r="A3381" t="str">
        <f>"20190304164437851"</f>
        <v>20190304164437851</v>
      </c>
      <c r="B3381" t="str">
        <f>"1551689077843067"</f>
        <v>1551689077843067</v>
      </c>
      <c r="C3381" t="s">
        <v>40</v>
      </c>
      <c r="D3381">
        <v>4.8284729999999998</v>
      </c>
      <c r="E3381">
        <v>0.56201599999999996</v>
      </c>
      <c r="F3381" t="s">
        <v>41</v>
      </c>
      <c r="G3381">
        <v>-261.5718</v>
      </c>
      <c r="H3381">
        <v>1.0342789999999999</v>
      </c>
      <c r="I3381">
        <v>214.52359999999999</v>
      </c>
      <c r="J3381">
        <v>-261.99709999999999</v>
      </c>
      <c r="K3381">
        <v>1.1109599999999999</v>
      </c>
      <c r="L3381">
        <v>214.55590000000001</v>
      </c>
      <c r="M3381">
        <v>0.99985990000000002</v>
      </c>
      <c r="N3381">
        <v>-1.4099830000000001E-2</v>
      </c>
      <c r="O3381">
        <v>9.022169E-3</v>
      </c>
      <c r="P3381">
        <v>0.93440009999999996</v>
      </c>
      <c r="Q3381">
        <v>0.34757830000000001</v>
      </c>
      <c r="R3381">
        <v>7.8013170000000007E-2</v>
      </c>
      <c r="S3381">
        <v>3.3428960000000001</v>
      </c>
      <c r="T3381">
        <v>-0.32613599999999998</v>
      </c>
      <c r="U3381">
        <v>-0.1220551</v>
      </c>
      <c r="V3381">
        <v>-6.9826840000000001E-2</v>
      </c>
      <c r="W3381">
        <v>0.3606801</v>
      </c>
      <c r="X3381">
        <v>0.93007209999999996</v>
      </c>
      <c r="Y3381">
        <v>4.5226089999999997E-2</v>
      </c>
      <c r="Z3381">
        <v>-3.2709729999999999E-3</v>
      </c>
      <c r="AA3381">
        <v>0.99897139999999995</v>
      </c>
      <c r="AB3381">
        <v>38</v>
      </c>
      <c r="AC3381">
        <v>0.42529999999999202</v>
      </c>
      <c r="AD3381">
        <v>-7.6680999999999694E-2</v>
      </c>
      <c r="AE3381">
        <v>-3.2300000000020597E-2</v>
      </c>
      <c r="AF3381">
        <v>3.5004799094106497E-2</v>
      </c>
      <c r="AG3381">
        <v>-7.6680999999999694E-2</v>
      </c>
      <c r="AH3381">
        <v>0.41168509914645202</v>
      </c>
      <c r="AI3381">
        <v>100.513989759536</v>
      </c>
      <c r="AJ3381">
        <v>85.139938993191905</v>
      </c>
      <c r="AK3381">
        <v>0.42022604938276098</v>
      </c>
      <c r="AL3381">
        <v>68.858031207181995</v>
      </c>
      <c r="AM3381">
        <v>94.293529187778603</v>
      </c>
      <c r="AN3381">
        <v>1.0000000166594001</v>
      </c>
    </row>
    <row r="3382" spans="1:40" x14ac:dyDescent="0.25">
      <c r="A3382" t="str">
        <f>"20190304164437874"</f>
        <v>20190304164437874</v>
      </c>
      <c r="B3382" t="str">
        <f>"1551689077863564"</f>
        <v>1551689077863564</v>
      </c>
      <c r="C3382" t="s">
        <v>40</v>
      </c>
      <c r="D3382">
        <v>4.8157189999999996</v>
      </c>
      <c r="E3382">
        <v>0.56207339999999995</v>
      </c>
      <c r="F3382" t="s">
        <v>41</v>
      </c>
      <c r="G3382">
        <v>-261.23259999999999</v>
      </c>
      <c r="H3382">
        <v>1.035507</v>
      </c>
      <c r="I3382">
        <v>214.52760000000001</v>
      </c>
      <c r="J3382">
        <v>-261.61869999999999</v>
      </c>
      <c r="K3382">
        <v>1.1109560000000001</v>
      </c>
      <c r="L3382">
        <v>214.55959999999999</v>
      </c>
      <c r="M3382">
        <v>0.9998572</v>
      </c>
      <c r="N3382">
        <v>-1.409764E-2</v>
      </c>
      <c r="O3382">
        <v>9.3239369999999992E-3</v>
      </c>
      <c r="P3382">
        <v>0.93451879999999998</v>
      </c>
      <c r="Q3382">
        <v>0.34740729999999997</v>
      </c>
      <c r="R3382">
        <v>7.7350840000000004E-2</v>
      </c>
      <c r="S3382">
        <v>3.3436889999999999</v>
      </c>
      <c r="T3382">
        <v>-0.330047599999999</v>
      </c>
      <c r="U3382">
        <v>-0.12350460000000001</v>
      </c>
      <c r="V3382">
        <v>-6.8883490000000006E-2</v>
      </c>
      <c r="W3382">
        <v>0.36050929999999998</v>
      </c>
      <c r="X3382">
        <v>0.93020860000000005</v>
      </c>
      <c r="Y3382">
        <v>4.5940109999999999E-2</v>
      </c>
      <c r="Z3382">
        <v>-3.3726060000000002E-3</v>
      </c>
      <c r="AA3382">
        <v>0.99893849999999995</v>
      </c>
      <c r="AB3382">
        <v>38</v>
      </c>
      <c r="AC3382">
        <v>0.386099999999998</v>
      </c>
      <c r="AD3382">
        <v>-7.5449000000000099E-2</v>
      </c>
      <c r="AE3382">
        <v>-3.1999999999982202E-2</v>
      </c>
      <c r="AF3382">
        <v>3.4298154633096899E-2</v>
      </c>
      <c r="AG3382">
        <v>-7.5449000000000099E-2</v>
      </c>
      <c r="AH3382">
        <v>0.37168825605276601</v>
      </c>
      <c r="AI3382">
        <v>101.427299479005</v>
      </c>
      <c r="AJ3382">
        <v>84.727866464584906</v>
      </c>
      <c r="AK3382">
        <v>0.380816326724291</v>
      </c>
      <c r="AL3382">
        <v>68.868522057147203</v>
      </c>
      <c r="AM3382">
        <v>94.235117513385006</v>
      </c>
      <c r="AN3382">
        <v>0.99999996504751398</v>
      </c>
    </row>
    <row r="3383" spans="1:40" x14ac:dyDescent="0.25">
      <c r="A3383" t="str">
        <f>"20190304164437896"</f>
        <v>20190304164437896</v>
      </c>
      <c r="B3383" t="str">
        <f>"1551689077893820"</f>
        <v>1551689077893820</v>
      </c>
      <c r="C3383" t="s">
        <v>40</v>
      </c>
      <c r="D3383">
        <v>4.8113140000000003</v>
      </c>
      <c r="E3383">
        <v>0.5621739</v>
      </c>
      <c r="F3383" t="s">
        <v>41</v>
      </c>
      <c r="G3383">
        <v>-260.57029999999997</v>
      </c>
      <c r="H3383">
        <v>1.006497</v>
      </c>
      <c r="I3383">
        <v>214.52010000000001</v>
      </c>
      <c r="J3383">
        <v>-261.23649999999998</v>
      </c>
      <c r="K3383">
        <v>1.1109579999999999</v>
      </c>
      <c r="L3383">
        <v>214.5635</v>
      </c>
      <c r="M3383">
        <v>0.99985440000000003</v>
      </c>
      <c r="N3383">
        <v>-1.4095430000000001E-2</v>
      </c>
      <c r="O3383">
        <v>9.6291480000000006E-3</v>
      </c>
      <c r="P3383">
        <v>0.93449780000000005</v>
      </c>
      <c r="Q3383">
        <v>0.34762159999999998</v>
      </c>
      <c r="R3383">
        <v>7.6637159999999996E-2</v>
      </c>
      <c r="S3383">
        <v>3.3445130000000001</v>
      </c>
      <c r="T3383">
        <v>-0.33338610000000002</v>
      </c>
      <c r="U3383">
        <v>-0.12542719999999999</v>
      </c>
      <c r="V3383">
        <v>-6.7886569999999993E-2</v>
      </c>
      <c r="W3383">
        <v>0.36072149999999997</v>
      </c>
      <c r="X3383">
        <v>0.93019969999999996</v>
      </c>
      <c r="Y3383">
        <v>4.6797949999999998E-2</v>
      </c>
      <c r="Z3383">
        <v>-3.4785279999999998E-3</v>
      </c>
      <c r="AA3383">
        <v>0.99889830000000002</v>
      </c>
      <c r="AB3383">
        <v>38</v>
      </c>
      <c r="AC3383">
        <v>0.66620000000000301</v>
      </c>
      <c r="AD3383">
        <v>-0.104460999999999</v>
      </c>
      <c r="AE3383">
        <v>-4.3399999999991203E-2</v>
      </c>
      <c r="AF3383">
        <v>4.86231353713013E-2</v>
      </c>
      <c r="AG3383">
        <v>-0.104460999999999</v>
      </c>
      <c r="AH3383">
        <v>0.64984127180026197</v>
      </c>
      <c r="AI3383">
        <v>99.107057656436297</v>
      </c>
      <c r="AJ3383">
        <v>85.720926004635899</v>
      </c>
      <c r="AK3383">
        <v>0.65997726350937103</v>
      </c>
      <c r="AL3383">
        <v>68.855488347631706</v>
      </c>
      <c r="AM3383">
        <v>94.174082559322301</v>
      </c>
      <c r="AN3383">
        <v>1.00000003441435</v>
      </c>
    </row>
    <row r="3384" spans="1:40" x14ac:dyDescent="0.25">
      <c r="A3384" t="str">
        <f>"20190304164437920"</f>
        <v>20190304164437920</v>
      </c>
      <c r="B3384" t="str">
        <f>"1551689077913339"</f>
        <v>1551689077913339</v>
      </c>
      <c r="C3384" t="s">
        <v>40</v>
      </c>
      <c r="D3384">
        <v>4.8167359999999997</v>
      </c>
      <c r="E3384">
        <v>0.56224779999999996</v>
      </c>
      <c r="F3384" t="s">
        <v>41</v>
      </c>
      <c r="G3384">
        <v>-260.23050000000001</v>
      </c>
      <c r="H3384">
        <v>1.010351</v>
      </c>
      <c r="I3384">
        <v>214.5248</v>
      </c>
      <c r="J3384">
        <v>-260.84930000000003</v>
      </c>
      <c r="K3384">
        <v>1.1109560000000001</v>
      </c>
      <c r="L3384">
        <v>214.5675</v>
      </c>
      <c r="M3384">
        <v>0.99985139999999995</v>
      </c>
      <c r="N3384">
        <v>-1.409345E-2</v>
      </c>
      <c r="O3384">
        <v>9.9393569999999994E-3</v>
      </c>
      <c r="P3384">
        <v>0.93452979999999997</v>
      </c>
      <c r="Q3384">
        <v>0.34771609999999997</v>
      </c>
      <c r="R3384">
        <v>7.5814670000000001E-2</v>
      </c>
      <c r="S3384">
        <v>3.3452760000000001</v>
      </c>
      <c r="T3384">
        <v>-0.33467940000000002</v>
      </c>
      <c r="U3384">
        <v>-0.12785339999999901</v>
      </c>
      <c r="V3384">
        <v>-6.6775490000000007E-2</v>
      </c>
      <c r="W3384">
        <v>0.36081530000000001</v>
      </c>
      <c r="X3384">
        <v>0.93024370000000001</v>
      </c>
      <c r="Y3384">
        <v>4.7813679999999997E-2</v>
      </c>
      <c r="Z3384">
        <v>-3.5748300000000002E-3</v>
      </c>
      <c r="AA3384">
        <v>0.99884989999999996</v>
      </c>
      <c r="AB3384">
        <v>38</v>
      </c>
      <c r="AC3384">
        <v>0.618800000000021</v>
      </c>
      <c r="AD3384">
        <v>-0.100605</v>
      </c>
      <c r="AE3384">
        <v>-4.2699999999996401E-2</v>
      </c>
      <c r="AF3384">
        <v>4.7596832771525398E-2</v>
      </c>
      <c r="AG3384">
        <v>-0.100605</v>
      </c>
      <c r="AH3384">
        <v>0.60249498732425499</v>
      </c>
      <c r="AI3384">
        <v>99.450912867585203</v>
      </c>
      <c r="AJ3384">
        <v>85.483040298751803</v>
      </c>
      <c r="AK3384">
        <v>0.61268836635416402</v>
      </c>
      <c r="AL3384">
        <v>68.849725042694203</v>
      </c>
      <c r="AM3384">
        <v>94.105808590941393</v>
      </c>
      <c r="AN3384">
        <v>0.99999999408425999</v>
      </c>
    </row>
    <row r="3385" spans="1:40" x14ac:dyDescent="0.25">
      <c r="A3385" t="str">
        <f>"20190304164437941"</f>
        <v>20190304164437941</v>
      </c>
      <c r="B3385" t="str">
        <f>"1551689077933835"</f>
        <v>1551689077933835</v>
      </c>
      <c r="C3385" t="s">
        <v>40</v>
      </c>
      <c r="D3385">
        <v>4.8696380000000001</v>
      </c>
      <c r="E3385">
        <v>0.5628474</v>
      </c>
      <c r="F3385" t="s">
        <v>41</v>
      </c>
      <c r="G3385">
        <v>-259.89089999999999</v>
      </c>
      <c r="H3385">
        <v>1.0143799999999901</v>
      </c>
      <c r="I3385">
        <v>214.53020000000001</v>
      </c>
      <c r="J3385">
        <v>-260.4803</v>
      </c>
      <c r="K3385">
        <v>1.110965</v>
      </c>
      <c r="L3385">
        <v>214.57149999999999</v>
      </c>
      <c r="M3385">
        <v>0.99984830000000002</v>
      </c>
      <c r="N3385">
        <v>-1.4091279999999999E-2</v>
      </c>
      <c r="O3385">
        <v>1.023831E-2</v>
      </c>
      <c r="P3385">
        <v>0.93486389999999997</v>
      </c>
      <c r="Q3385">
        <v>0.3468715</v>
      </c>
      <c r="R3385">
        <v>7.5563759999999994E-2</v>
      </c>
      <c r="S3385">
        <v>3.346222</v>
      </c>
      <c r="T3385">
        <v>-0.337337099999999</v>
      </c>
      <c r="U3385">
        <v>-0.1296997</v>
      </c>
      <c r="V3385">
        <v>-6.6243220000000005E-2</v>
      </c>
      <c r="W3385">
        <v>0.35997370000000001</v>
      </c>
      <c r="X3385">
        <v>0.93060770000000004</v>
      </c>
      <c r="Y3385">
        <v>4.8641410000000003E-2</v>
      </c>
      <c r="Z3385">
        <v>-3.6738140000000001E-3</v>
      </c>
      <c r="AA3385">
        <v>0.99880959999999996</v>
      </c>
      <c r="AB3385">
        <v>38</v>
      </c>
      <c r="AC3385">
        <v>0.58940000000001103</v>
      </c>
      <c r="AD3385">
        <v>-9.6585000000000101E-2</v>
      </c>
      <c r="AE3385">
        <v>-4.1299999999978299E-2</v>
      </c>
      <c r="AF3385">
        <v>4.6100975274362299E-2</v>
      </c>
      <c r="AG3385">
        <v>-9.6585000000000101E-2</v>
      </c>
      <c r="AH3385">
        <v>0.57361789476839897</v>
      </c>
      <c r="AI3385">
        <v>99.527578721680598</v>
      </c>
      <c r="AJ3385">
        <v>85.405083703127303</v>
      </c>
      <c r="AK3385">
        <v>0.583516453362523</v>
      </c>
      <c r="AL3385">
        <v>68.901418257514393</v>
      </c>
      <c r="AM3385">
        <v>94.071603790690403</v>
      </c>
      <c r="AN3385">
        <v>0.99999996009347303</v>
      </c>
    </row>
    <row r="3386" spans="1:40" x14ac:dyDescent="0.25">
      <c r="A3386" t="str">
        <f>"20190304164437963"</f>
        <v>20190304164437963</v>
      </c>
      <c r="B3386" t="str">
        <f>"1551689077953356"</f>
        <v>1551689077953356</v>
      </c>
      <c r="C3386" t="s">
        <v>40</v>
      </c>
      <c r="D3386">
        <v>4.9243319999999997</v>
      </c>
      <c r="E3386">
        <v>0.55266029999999999</v>
      </c>
      <c r="F3386" t="s">
        <v>41</v>
      </c>
      <c r="G3386">
        <v>-259.56319999999999</v>
      </c>
      <c r="H3386">
        <v>0.994838</v>
      </c>
      <c r="I3386">
        <v>214.5368</v>
      </c>
      <c r="J3386">
        <v>-260.11369999999999</v>
      </c>
      <c r="K3386">
        <v>1.1109690000000001</v>
      </c>
      <c r="L3386">
        <v>214.57550000000001</v>
      </c>
      <c r="M3386">
        <v>0.99984530000000005</v>
      </c>
      <c r="N3386">
        <v>-1.4088939999999999E-2</v>
      </c>
      <c r="O3386">
        <v>1.0541770000000001E-2</v>
      </c>
      <c r="P3386">
        <v>0.93492819999999999</v>
      </c>
      <c r="Q3386">
        <v>0.34677429999999998</v>
      </c>
      <c r="R3386">
        <v>7.5213230000000006E-2</v>
      </c>
      <c r="S3386">
        <v>3.3780209999999999</v>
      </c>
      <c r="T3386">
        <v>-0.4278457</v>
      </c>
      <c r="U3386">
        <v>-0.1266785</v>
      </c>
      <c r="V3386">
        <v>-6.5611740000000002E-2</v>
      </c>
      <c r="W3386">
        <v>0.35987540000000001</v>
      </c>
      <c r="X3386">
        <v>0.93069049999999998</v>
      </c>
      <c r="Y3386">
        <v>4.7519640000000002E-2</v>
      </c>
      <c r="Z3386">
        <v>-4.5141690000000002E-3</v>
      </c>
      <c r="AA3386">
        <v>0.99886010000000003</v>
      </c>
      <c r="AB3386">
        <v>38</v>
      </c>
      <c r="AC3386">
        <v>0.55049999999999899</v>
      </c>
      <c r="AD3386">
        <v>-0.116131</v>
      </c>
      <c r="AE3386">
        <v>-3.8700000000005702E-2</v>
      </c>
      <c r="AF3386">
        <v>4.2614552859408003E-2</v>
      </c>
      <c r="AG3386">
        <v>-0.116131</v>
      </c>
      <c r="AH3386">
        <v>0.52673576312725701</v>
      </c>
      <c r="AI3386">
        <v>102.394026471952</v>
      </c>
      <c r="AJ3386">
        <v>85.374668032768497</v>
      </c>
      <c r="AK3386">
        <v>0.54106651479615797</v>
      </c>
      <c r="AL3386">
        <v>68.907456007968307</v>
      </c>
      <c r="AM3386">
        <v>94.032561288831999</v>
      </c>
      <c r="AN3386">
        <v>1.00000000537061</v>
      </c>
    </row>
    <row r="3387" spans="1:40" x14ac:dyDescent="0.25">
      <c r="A3387" t="str">
        <f>"20190304164437986"</f>
        <v>20190304164437986</v>
      </c>
      <c r="B3387" t="str">
        <f>"1551689077983612"</f>
        <v>1551689077983612</v>
      </c>
      <c r="C3387" t="s">
        <v>40</v>
      </c>
      <c r="D3387">
        <v>4.8450980000000001</v>
      </c>
      <c r="E3387">
        <v>0.54493769999999997</v>
      </c>
      <c r="F3387" t="s">
        <v>41</v>
      </c>
      <c r="G3387">
        <v>-259.2722</v>
      </c>
      <c r="H3387">
        <v>0.89513589999999998</v>
      </c>
      <c r="I3387">
        <v>214.57570000000001</v>
      </c>
      <c r="J3387">
        <v>-259.72550000000001</v>
      </c>
      <c r="K3387">
        <v>1.110984</v>
      </c>
      <c r="L3387">
        <v>214.57990000000001</v>
      </c>
      <c r="M3387">
        <v>0.99984170000000006</v>
      </c>
      <c r="N3387">
        <v>-1.408647E-2</v>
      </c>
      <c r="O3387">
        <v>1.0871850000000001E-2</v>
      </c>
      <c r="P3387">
        <v>0.93475469999999905</v>
      </c>
      <c r="Q3387">
        <v>0.347329</v>
      </c>
      <c r="R3387">
        <v>7.4808550000000001E-2</v>
      </c>
      <c r="S3387">
        <v>3.5460820000000002</v>
      </c>
      <c r="T3387">
        <v>-0.90954330000000005</v>
      </c>
      <c r="U3387">
        <v>1.4648440000000001E-3</v>
      </c>
      <c r="V3387">
        <v>-6.4905980000000002E-2</v>
      </c>
      <c r="W3387">
        <v>0.36042479999999999</v>
      </c>
      <c r="X3387">
        <v>0.9305274</v>
      </c>
      <c r="Y3387">
        <v>9.809992E-3</v>
      </c>
      <c r="Z3387">
        <v>-3.9015569999999999E-3</v>
      </c>
      <c r="AA3387">
        <v>0.99994430000000001</v>
      </c>
      <c r="AB3387">
        <v>38</v>
      </c>
      <c r="AC3387">
        <v>0.45330000000001203</v>
      </c>
      <c r="AD3387">
        <v>-0.21584809999999999</v>
      </c>
      <c r="AE3387">
        <v>-4.1999999999973101E-3</v>
      </c>
      <c r="AF3387">
        <v>7.4413544724688504E-3</v>
      </c>
      <c r="AG3387">
        <v>-0.21584809999999999</v>
      </c>
      <c r="AH3387">
        <v>0.36946323671840198</v>
      </c>
      <c r="AI3387">
        <v>120.289299619023</v>
      </c>
      <c r="AJ3387">
        <v>88.846162419624605</v>
      </c>
      <c r="AK3387">
        <v>0.42795894583059302</v>
      </c>
      <c r="AL3387">
        <v>68.8737139852593</v>
      </c>
      <c r="AM3387">
        <v>93.990022384198596</v>
      </c>
      <c r="AN3387">
        <v>1.00000003242277</v>
      </c>
    </row>
    <row r="3388" spans="1:40" x14ac:dyDescent="0.25">
      <c r="A3388" t="str">
        <f>"20190304164438009"</f>
        <v>20190304164438009</v>
      </c>
      <c r="B3388" t="str">
        <f>"1551689078003131"</f>
        <v>1551689078003131</v>
      </c>
      <c r="C3388" t="s">
        <v>40</v>
      </c>
      <c r="D3388">
        <v>4.8563900000000002</v>
      </c>
      <c r="E3388">
        <v>0.54295019999999905</v>
      </c>
      <c r="F3388" t="s">
        <v>41</v>
      </c>
      <c r="G3388">
        <v>-258.94560000000001</v>
      </c>
      <c r="H3388">
        <v>0.86978290000000003</v>
      </c>
      <c r="I3388">
        <v>214.5975</v>
      </c>
      <c r="J3388">
        <v>-259.33530000000002</v>
      </c>
      <c r="K3388">
        <v>1.111002</v>
      </c>
      <c r="L3388">
        <v>214.58449999999999</v>
      </c>
      <c r="M3388">
        <v>0.99983789999999995</v>
      </c>
      <c r="N3388">
        <v>-1.4084030000000001E-2</v>
      </c>
      <c r="O3388">
        <v>1.121519E-2</v>
      </c>
      <c r="P3388">
        <v>0.93420239999999999</v>
      </c>
      <c r="Q3388">
        <v>0.34902640000000001</v>
      </c>
      <c r="R3388">
        <v>7.3800889999999994E-2</v>
      </c>
      <c r="S3388">
        <v>3.6186829999999999</v>
      </c>
      <c r="T3388">
        <v>-1.119237</v>
      </c>
      <c r="U3388">
        <v>8.2504270000000005E-2</v>
      </c>
      <c r="V3388">
        <v>-6.3592339999999997E-2</v>
      </c>
      <c r="W3388">
        <v>0.36211169999999998</v>
      </c>
      <c r="X3388">
        <v>0.92996299999999998</v>
      </c>
      <c r="Y3388">
        <v>-1.149348E-2</v>
      </c>
      <c r="Z3388">
        <v>-1.414979E-3</v>
      </c>
      <c r="AA3388">
        <v>0.99993290000000001</v>
      </c>
      <c r="AB3388">
        <v>38</v>
      </c>
      <c r="AC3388">
        <v>0.38970000000000399</v>
      </c>
      <c r="AD3388">
        <v>-0.24121909999999999</v>
      </c>
      <c r="AE3388">
        <v>1.30000000000052E-2</v>
      </c>
      <c r="AF3388">
        <v>-6.2400181736024197E-3</v>
      </c>
      <c r="AG3388">
        <v>-0.24121909999999999</v>
      </c>
      <c r="AH3388">
        <v>0.28192381499531999</v>
      </c>
      <c r="AI3388">
        <v>130.54396172765701</v>
      </c>
      <c r="AJ3388">
        <v>91.267960772959</v>
      </c>
      <c r="AK3388">
        <v>0.37108843891063498</v>
      </c>
      <c r="AL3388">
        <v>68.770061049706996</v>
      </c>
      <c r="AM3388">
        <v>93.911886179707906</v>
      </c>
      <c r="AN3388">
        <v>1.0000000251762799</v>
      </c>
    </row>
    <row r="3389" spans="1:40" x14ac:dyDescent="0.25">
      <c r="A3389" t="str">
        <f>"20190304164438031"</f>
        <v>20190304164438031</v>
      </c>
      <c r="B3389" t="str">
        <f>"1551689078023628"</f>
        <v>1551689078023628</v>
      </c>
      <c r="C3389" t="s">
        <v>40</v>
      </c>
      <c r="D3389">
        <v>4.8385319999999998</v>
      </c>
      <c r="E3389">
        <v>0.54239090000000001</v>
      </c>
      <c r="F3389" t="s">
        <v>41</v>
      </c>
      <c r="G3389">
        <v>-258.60570000000001</v>
      </c>
      <c r="H3389">
        <v>0.87739480000000003</v>
      </c>
      <c r="I3389">
        <v>214.6044</v>
      </c>
      <c r="J3389">
        <v>-258.97160000000002</v>
      </c>
      <c r="K3389">
        <v>1.111013</v>
      </c>
      <c r="L3389">
        <v>214.5889</v>
      </c>
      <c r="M3389">
        <v>0.99983429999999995</v>
      </c>
      <c r="N3389">
        <v>-1.4081750000000001E-2</v>
      </c>
      <c r="O3389">
        <v>1.1548910000000001E-2</v>
      </c>
      <c r="P3389">
        <v>0.93396670000000004</v>
      </c>
      <c r="Q3389">
        <v>0.34986709999999999</v>
      </c>
      <c r="R3389">
        <v>7.2796639999999996E-2</v>
      </c>
      <c r="S3389">
        <v>3.638687</v>
      </c>
      <c r="T3389">
        <v>-1.165087</v>
      </c>
      <c r="U3389">
        <v>9.9914550000000005E-2</v>
      </c>
      <c r="V3389">
        <v>-6.2288549999999998E-2</v>
      </c>
      <c r="W3389">
        <v>0.36294670000000001</v>
      </c>
      <c r="X3389">
        <v>0.92972560000000004</v>
      </c>
      <c r="Y3389">
        <v>-1.5612249999999999E-2</v>
      </c>
      <c r="Z3389">
        <v>-8.9719660000000005E-4</v>
      </c>
      <c r="AA3389">
        <v>0.99987769999999998</v>
      </c>
      <c r="AB3389">
        <v>38</v>
      </c>
      <c r="AC3389">
        <v>0.36590000000001</v>
      </c>
      <c r="AD3389">
        <v>-0.2336182</v>
      </c>
      <c r="AE3389">
        <v>1.55000000000029E-2</v>
      </c>
      <c r="AF3389">
        <v>-8.0123923727178498E-3</v>
      </c>
      <c r="AG3389">
        <v>-0.2336182</v>
      </c>
      <c r="AH3389">
        <v>0.260181396021955</v>
      </c>
      <c r="AI3389">
        <v>131.90732967620201</v>
      </c>
      <c r="AJ3389">
        <v>91.763889476875903</v>
      </c>
      <c r="AK3389">
        <v>0.34976566532281</v>
      </c>
      <c r="AL3389">
        <v>68.718724833070993</v>
      </c>
      <c r="AM3389">
        <v>93.832900445492996</v>
      </c>
      <c r="AN3389">
        <v>0.99999993089867301</v>
      </c>
    </row>
    <row r="3390" spans="1:40" x14ac:dyDescent="0.25">
      <c r="A3390" t="str">
        <f>"20190304164438052"</f>
        <v>20190304164438052</v>
      </c>
      <c r="B3390" t="str">
        <f>"1551689078043148"</f>
        <v>1551689078043148</v>
      </c>
      <c r="C3390" t="s">
        <v>40</v>
      </c>
      <c r="D3390">
        <v>5.1609020000000001</v>
      </c>
      <c r="E3390">
        <v>0.54208369999999995</v>
      </c>
      <c r="F3390" t="s">
        <v>41</v>
      </c>
      <c r="G3390">
        <v>-258.26690000000002</v>
      </c>
      <c r="H3390">
        <v>0.88328799999999996</v>
      </c>
      <c r="I3390">
        <v>214.60890000000001</v>
      </c>
      <c r="J3390">
        <v>-258.608</v>
      </c>
      <c r="K3390">
        <v>1.1110169999999999</v>
      </c>
      <c r="L3390">
        <v>214.59350000000001</v>
      </c>
      <c r="M3390">
        <v>0.99983010000000005</v>
      </c>
      <c r="N3390">
        <v>-1.407947E-2</v>
      </c>
      <c r="O3390">
        <v>1.189803E-2</v>
      </c>
      <c r="P3390">
        <v>0.93437139999999996</v>
      </c>
      <c r="Q3390">
        <v>0.3488617</v>
      </c>
      <c r="R3390">
        <v>7.2428049999999994E-2</v>
      </c>
      <c r="S3390">
        <v>3.645248</v>
      </c>
      <c r="T3390">
        <v>-1.1779649999999999</v>
      </c>
      <c r="U3390">
        <v>0.10429380000000001</v>
      </c>
      <c r="V3390">
        <v>-6.1598319999999998E-2</v>
      </c>
      <c r="W3390">
        <v>0.36194409999999999</v>
      </c>
      <c r="X3390">
        <v>0.93016239999999994</v>
      </c>
      <c r="Y3390">
        <v>-1.6384699999999999E-2</v>
      </c>
      <c r="Z3390">
        <v>-8.8542419999999996E-4</v>
      </c>
      <c r="AA3390">
        <v>0.99986540000000002</v>
      </c>
      <c r="AB3390">
        <v>38</v>
      </c>
      <c r="AC3390">
        <v>0.34109999999998297</v>
      </c>
      <c r="AD3390">
        <v>-0.22772899999999999</v>
      </c>
      <c r="AE3390">
        <v>1.53999999999996E-2</v>
      </c>
      <c r="AF3390">
        <v>-7.8487648953622507E-3</v>
      </c>
      <c r="AG3390">
        <v>-0.22772899999999999</v>
      </c>
      <c r="AH3390">
        <v>0.236194119479849</v>
      </c>
      <c r="AI3390">
        <v>133.93885279794901</v>
      </c>
      <c r="AJ3390">
        <v>91.9032467324012</v>
      </c>
      <c r="AK3390">
        <v>0.328191655329997</v>
      </c>
      <c r="AL3390">
        <v>68.780361765825603</v>
      </c>
      <c r="AM3390">
        <v>93.788777098165099</v>
      </c>
      <c r="AN3390">
        <v>0.99999998746269603</v>
      </c>
    </row>
    <row r="3391" spans="1:40" x14ac:dyDescent="0.25">
      <c r="A3391" t="str">
        <f>"20190304164438075"</f>
        <v>20190304164438075</v>
      </c>
      <c r="B3391" t="str">
        <f>"1551689078063643"</f>
        <v>1551689078063643</v>
      </c>
      <c r="C3391" t="s">
        <v>40</v>
      </c>
      <c r="D3391">
        <v>4.8495780000000002</v>
      </c>
      <c r="E3391">
        <v>0.54185819999999996</v>
      </c>
      <c r="F3391" t="s">
        <v>41</v>
      </c>
      <c r="G3391">
        <v>-257.92829999999998</v>
      </c>
      <c r="H3391">
        <v>0.88905669999999903</v>
      </c>
      <c r="I3391">
        <v>214.6129</v>
      </c>
      <c r="J3391">
        <v>-258.23430000000002</v>
      </c>
      <c r="K3391">
        <v>1.111022</v>
      </c>
      <c r="L3391">
        <v>214.59829999999999</v>
      </c>
      <c r="M3391">
        <v>0.99982559999999998</v>
      </c>
      <c r="N3391">
        <v>-1.407747E-2</v>
      </c>
      <c r="O3391">
        <v>1.227375E-2</v>
      </c>
      <c r="P3391">
        <v>0.93507370000000001</v>
      </c>
      <c r="Q3391">
        <v>0.34697280000000003</v>
      </c>
      <c r="R3391">
        <v>7.2436340000000002E-2</v>
      </c>
      <c r="S3391">
        <v>3.6474000000000002</v>
      </c>
      <c r="T3391">
        <v>-1.1911830000000001</v>
      </c>
      <c r="U3391">
        <v>0.1040649</v>
      </c>
      <c r="V3391">
        <v>-6.1256739999999997E-2</v>
      </c>
      <c r="W3391">
        <v>0.3600622</v>
      </c>
      <c r="X3391">
        <v>0.9309151</v>
      </c>
      <c r="Y3391">
        <v>-1.5964389999999998E-2</v>
      </c>
      <c r="Z3391">
        <v>-1.081598E-3</v>
      </c>
      <c r="AA3391">
        <v>0.99987199999999998</v>
      </c>
      <c r="AB3391">
        <v>38</v>
      </c>
      <c r="AC3391">
        <v>0.30600000000003902</v>
      </c>
      <c r="AD3391">
        <v>-0.2219653</v>
      </c>
      <c r="AE3391">
        <v>1.4600000000001501E-2</v>
      </c>
      <c r="AF3391">
        <v>-7.11011685409434E-3</v>
      </c>
      <c r="AG3391">
        <v>-0.2219653</v>
      </c>
      <c r="AH3391">
        <v>0.20076124448239099</v>
      </c>
      <c r="AI3391">
        <v>137.853696678853</v>
      </c>
      <c r="AJ3391">
        <v>92.028327201659295</v>
      </c>
      <c r="AK3391">
        <v>0.29937305398430097</v>
      </c>
      <c r="AL3391">
        <v>68.895985112677096</v>
      </c>
      <c r="AM3391">
        <v>93.764790204017402</v>
      </c>
      <c r="AN3391">
        <v>1.0000000497361301</v>
      </c>
    </row>
    <row r="3392" spans="1:40" x14ac:dyDescent="0.25">
      <c r="A3392" t="str">
        <f>"20190304164438102"</f>
        <v>20190304164438102</v>
      </c>
      <c r="B3392" t="str">
        <f>"1551689078093900"</f>
        <v>1551689078093900</v>
      </c>
      <c r="C3392" t="s">
        <v>40</v>
      </c>
      <c r="D3392">
        <v>4.8742239999999999</v>
      </c>
      <c r="E3392">
        <v>0.54164609999999902</v>
      </c>
      <c r="F3392" t="s">
        <v>41</v>
      </c>
      <c r="G3392">
        <v>-257.29489999999998</v>
      </c>
      <c r="H3392">
        <v>0.80063809999999902</v>
      </c>
      <c r="I3392">
        <v>214.6251</v>
      </c>
      <c r="J3392">
        <v>-257.76479999999998</v>
      </c>
      <c r="K3392">
        <v>1.1110359999999999</v>
      </c>
      <c r="L3392">
        <v>214.6045</v>
      </c>
      <c r="M3392">
        <v>0.99981949999999997</v>
      </c>
      <c r="N3392">
        <v>-1.40747999999999E-2</v>
      </c>
      <c r="O3392">
        <v>1.276921E-2</v>
      </c>
      <c r="P3392">
        <v>0.93552619999999997</v>
      </c>
      <c r="Q3392">
        <v>0.34571299999999999</v>
      </c>
      <c r="R3392">
        <v>7.262014E-2</v>
      </c>
      <c r="S3392">
        <v>3.6474150000000001</v>
      </c>
      <c r="T3392">
        <v>-1.2051510000000001</v>
      </c>
      <c r="U3392">
        <v>0.1042328</v>
      </c>
      <c r="V3392">
        <v>-6.0985230000000001E-2</v>
      </c>
      <c r="W3392">
        <v>0.35880390000000001</v>
      </c>
      <c r="X3392">
        <v>0.93141859999999999</v>
      </c>
      <c r="Y3392">
        <v>-1.555609E-2</v>
      </c>
      <c r="Z3392">
        <v>-1.3181460000000001E-3</v>
      </c>
      <c r="AA3392">
        <v>0.99987809999999999</v>
      </c>
      <c r="AB3392">
        <v>38</v>
      </c>
      <c r="AC3392">
        <v>0.46989999999999499</v>
      </c>
      <c r="AD3392">
        <v>-0.3103979</v>
      </c>
      <c r="AE3392">
        <v>2.06000000000017E-2</v>
      </c>
      <c r="AF3392">
        <v>-1.01688799491945E-2</v>
      </c>
      <c r="AG3392">
        <v>-0.3103979</v>
      </c>
      <c r="AH3392">
        <v>0.32749789504576599</v>
      </c>
      <c r="AI3392">
        <v>133.450663466116</v>
      </c>
      <c r="AJ3392">
        <v>91.778474849225702</v>
      </c>
      <c r="AK3392">
        <v>0.45133705110841399</v>
      </c>
      <c r="AL3392">
        <v>68.973242910751296</v>
      </c>
      <c r="AM3392">
        <v>93.746130709027994</v>
      </c>
      <c r="AN3392">
        <v>1.0000000226796599</v>
      </c>
    </row>
    <row r="3393" spans="1:40" x14ac:dyDescent="0.25">
      <c r="A3393" t="str">
        <f>"20190304164438120"</f>
        <v>20190304164438120</v>
      </c>
      <c r="B3393" t="str">
        <f>"1551689078113419"</f>
        <v>1551689078113419</v>
      </c>
      <c r="C3393" t="s">
        <v>40</v>
      </c>
      <c r="D3393">
        <v>4.967225</v>
      </c>
      <c r="E3393">
        <v>0.54110400000000003</v>
      </c>
      <c r="F3393" t="s">
        <v>41</v>
      </c>
      <c r="G3393">
        <v>-256.9443</v>
      </c>
      <c r="H3393">
        <v>0.83743250000000002</v>
      </c>
      <c r="I3393">
        <v>214.62819999999999</v>
      </c>
      <c r="J3393">
        <v>-257.46980000000002</v>
      </c>
      <c r="K3393">
        <v>1.1110420000000001</v>
      </c>
      <c r="L3393">
        <v>214.6086</v>
      </c>
      <c r="M3393">
        <v>0.99981529999999996</v>
      </c>
      <c r="N3393">
        <v>-1.407308E-2</v>
      </c>
      <c r="O3393">
        <v>1.3089979999999999E-2</v>
      </c>
      <c r="P3393">
        <v>0.93532309999999996</v>
      </c>
      <c r="Q3393">
        <v>0.34633989999999998</v>
      </c>
      <c r="R3393">
        <v>7.2247069999999997E-2</v>
      </c>
      <c r="S3393">
        <v>3.648056</v>
      </c>
      <c r="T3393">
        <v>-1.216518</v>
      </c>
      <c r="U3393">
        <v>0.106308</v>
      </c>
      <c r="V3393">
        <v>-6.0323080000000001E-2</v>
      </c>
      <c r="W3393">
        <v>0.35942600000000002</v>
      </c>
      <c r="X3393">
        <v>0.93122179999999999</v>
      </c>
      <c r="Y3393">
        <v>-1.579734E-2</v>
      </c>
      <c r="Z3393">
        <v>-1.3911030000000001E-3</v>
      </c>
      <c r="AA3393">
        <v>0.99987420000000005</v>
      </c>
      <c r="AB3393">
        <v>38</v>
      </c>
      <c r="AC3393">
        <v>0.52550000000002195</v>
      </c>
      <c r="AD3393">
        <v>-0.27360950000000001</v>
      </c>
      <c r="AE3393">
        <v>1.9599999999996901E-2</v>
      </c>
      <c r="AF3393">
        <v>-1.00092069915223E-2</v>
      </c>
      <c r="AG3393">
        <v>-0.27360950000000001</v>
      </c>
      <c r="AH3393">
        <v>0.41371301876088001</v>
      </c>
      <c r="AI3393">
        <v>123.47098263983899</v>
      </c>
      <c r="AJ3393">
        <v>91.385920764875294</v>
      </c>
      <c r="AK3393">
        <v>0.49610563855603401</v>
      </c>
      <c r="AL3393">
        <v>68.935050695823193</v>
      </c>
      <c r="AM3393">
        <v>93.706351798013202</v>
      </c>
      <c r="AN3393">
        <v>0.99999998212596297</v>
      </c>
    </row>
    <row r="3394" spans="1:40" x14ac:dyDescent="0.25">
      <c r="A3394" t="str">
        <f>"20190304164438141"</f>
        <v>20190304164438141</v>
      </c>
      <c r="B3394" t="str">
        <f>"1551689078133915"</f>
        <v>1551689078133915</v>
      </c>
      <c r="C3394" t="s">
        <v>40</v>
      </c>
      <c r="D3394">
        <v>4.971603</v>
      </c>
      <c r="E3394">
        <v>0.54066009999999998</v>
      </c>
      <c r="F3394" t="s">
        <v>41</v>
      </c>
      <c r="G3394">
        <v>-256.61520000000002</v>
      </c>
      <c r="H3394">
        <v>0.82395260000000003</v>
      </c>
      <c r="I3394">
        <v>214.63509999999999</v>
      </c>
      <c r="J3394">
        <v>-257.1121</v>
      </c>
      <c r="K3394">
        <v>1.1110679999999999</v>
      </c>
      <c r="L3394">
        <v>214.61359999999999</v>
      </c>
      <c r="M3394">
        <v>0.99981010000000003</v>
      </c>
      <c r="N3394">
        <v>-1.407097E-2</v>
      </c>
      <c r="O3394">
        <v>1.3489009999999999E-2</v>
      </c>
      <c r="P3394">
        <v>0.9350967</v>
      </c>
      <c r="Q3394">
        <v>0.34705619999999998</v>
      </c>
      <c r="R3394">
        <v>7.1739269999999994E-2</v>
      </c>
      <c r="S3394">
        <v>3.6530909999999999</v>
      </c>
      <c r="T3394">
        <v>-1.2271179999999999</v>
      </c>
      <c r="U3394">
        <v>0.113327</v>
      </c>
      <c r="V3394">
        <v>-5.9455250000000001E-2</v>
      </c>
      <c r="W3394">
        <v>0.36013650000000003</v>
      </c>
      <c r="X3394">
        <v>0.93100309999999997</v>
      </c>
      <c r="Y3394">
        <v>-1.7213740000000002E-2</v>
      </c>
      <c r="Z3394">
        <v>-1.286021E-3</v>
      </c>
      <c r="AA3394">
        <v>0.99985100000000005</v>
      </c>
      <c r="AB3394">
        <v>38</v>
      </c>
      <c r="AC3394">
        <v>0.49689999999998202</v>
      </c>
      <c r="AD3394">
        <v>-0.28711539999999902</v>
      </c>
      <c r="AE3394">
        <v>2.15000000000031E-2</v>
      </c>
      <c r="AF3394">
        <v>-1.1096759872453199E-2</v>
      </c>
      <c r="AG3394">
        <v>-0.28711539999999902</v>
      </c>
      <c r="AH3394">
        <v>0.37288352874529701</v>
      </c>
      <c r="AI3394">
        <v>127.58353875219299</v>
      </c>
      <c r="AJ3394">
        <v>91.704580295434198</v>
      </c>
      <c r="AK3394">
        <v>0.47074464097467</v>
      </c>
      <c r="AL3394">
        <v>68.891420782566698</v>
      </c>
      <c r="AM3394">
        <v>93.6540321373989</v>
      </c>
      <c r="AN3394">
        <v>0.99999999879721102</v>
      </c>
    </row>
    <row r="3395" spans="1:40" x14ac:dyDescent="0.25">
      <c r="A3395" t="str">
        <f>"20190304164438165"</f>
        <v>20190304164438165</v>
      </c>
      <c r="B3395" t="str">
        <f>"1551689078153435"</f>
        <v>1551689078153435</v>
      </c>
      <c r="C3395" t="s">
        <v>40</v>
      </c>
      <c r="D3395">
        <v>4.9490309999999997</v>
      </c>
      <c r="E3395">
        <v>0.5403251</v>
      </c>
      <c r="F3395" t="s">
        <v>41</v>
      </c>
      <c r="G3395">
        <v>-256.27809999999999</v>
      </c>
      <c r="H3395">
        <v>0.82947769999999998</v>
      </c>
      <c r="I3395">
        <v>214.64089999999999</v>
      </c>
      <c r="J3395">
        <v>-256.7346</v>
      </c>
      <c r="K3395">
        <v>1.1110869999999999</v>
      </c>
      <c r="L3395">
        <v>214.61920000000001</v>
      </c>
      <c r="M3395">
        <v>0.99980420000000003</v>
      </c>
      <c r="N3395">
        <v>-1.406866E-2</v>
      </c>
      <c r="O3395">
        <v>1.3920460000000001E-2</v>
      </c>
      <c r="P3395">
        <v>0.93476840000000005</v>
      </c>
      <c r="Q3395">
        <v>0.347902299999999</v>
      </c>
      <c r="R3395">
        <v>7.1916110000000005E-2</v>
      </c>
      <c r="S3395">
        <v>3.6572879999999999</v>
      </c>
      <c r="T3395">
        <v>-1.2348190000000001</v>
      </c>
      <c r="U3395">
        <v>0.12048339999999901</v>
      </c>
      <c r="V3395">
        <v>-5.9241530000000001E-2</v>
      </c>
      <c r="W3395">
        <v>0.3609753</v>
      </c>
      <c r="X3395">
        <v>0.93069179999999996</v>
      </c>
      <c r="Y3395">
        <v>-1.8638189999999999E-2</v>
      </c>
      <c r="Z3395">
        <v>-1.1853110000000001E-3</v>
      </c>
      <c r="AA3395">
        <v>0.99982559999999998</v>
      </c>
      <c r="AB3395">
        <v>37</v>
      </c>
      <c r="AC3395">
        <v>0.45650000000000501</v>
      </c>
      <c r="AD3395">
        <v>-0.28160930000000001</v>
      </c>
      <c r="AE3395">
        <v>2.1699999999981401E-2</v>
      </c>
      <c r="AF3395">
        <v>-1.11202872168046E-2</v>
      </c>
      <c r="AG3395">
        <v>-0.28160930000000001</v>
      </c>
      <c r="AH3395">
        <v>0.33105769235669302</v>
      </c>
      <c r="AI3395">
        <v>130.369713261002</v>
      </c>
      <c r="AJ3395">
        <v>91.923852158804195</v>
      </c>
      <c r="AK3395">
        <v>0.434771956665575</v>
      </c>
      <c r="AL3395">
        <v>68.839894858735704</v>
      </c>
      <c r="AM3395">
        <v>93.642147166336301</v>
      </c>
      <c r="AN3395">
        <v>0.99999997633703497</v>
      </c>
    </row>
    <row r="3396" spans="1:40" x14ac:dyDescent="0.25">
      <c r="A3396" t="str">
        <f>"20190304164438187"</f>
        <v>20190304164438187</v>
      </c>
      <c r="B3396" t="str">
        <f>"1551689078183692"</f>
        <v>1551689078183692</v>
      </c>
      <c r="C3396" t="s">
        <v>40</v>
      </c>
      <c r="D3396">
        <v>4.7561470000000003</v>
      </c>
      <c r="E3396">
        <v>0.5408094</v>
      </c>
      <c r="F3396" t="s">
        <v>41</v>
      </c>
      <c r="G3396">
        <v>-255.9385</v>
      </c>
      <c r="H3396">
        <v>0.84152759999999904</v>
      </c>
      <c r="I3396">
        <v>214.6465</v>
      </c>
      <c r="J3396">
        <v>-256.34989999999999</v>
      </c>
      <c r="K3396">
        <v>1.111089</v>
      </c>
      <c r="L3396">
        <v>214.625</v>
      </c>
      <c r="M3396">
        <v>0.99979790000000002</v>
      </c>
      <c r="N3396">
        <v>-1.406634E-2</v>
      </c>
      <c r="O3396">
        <v>1.436865E-2</v>
      </c>
      <c r="P3396">
        <v>0.93459950000000003</v>
      </c>
      <c r="Q3396">
        <v>0.34828039999999999</v>
      </c>
      <c r="R3396">
        <v>7.2284180000000003E-2</v>
      </c>
      <c r="S3396">
        <v>3.6609799999999999</v>
      </c>
      <c r="T3396">
        <v>-1.239574</v>
      </c>
      <c r="U3396">
        <v>0.12623599999999999</v>
      </c>
      <c r="V3396">
        <v>-5.9201330000000003E-2</v>
      </c>
      <c r="W3396">
        <v>0.36134759999999999</v>
      </c>
      <c r="X3396">
        <v>0.93054990000000004</v>
      </c>
      <c r="Y3396">
        <v>-1.968632E-2</v>
      </c>
      <c r="Z3396">
        <v>-1.1506489999999999E-3</v>
      </c>
      <c r="AA3396">
        <v>0.99980559999999996</v>
      </c>
      <c r="AB3396">
        <v>37</v>
      </c>
      <c r="AC3396">
        <v>0.411399999999986</v>
      </c>
      <c r="AD3396">
        <v>-0.26956140000000001</v>
      </c>
      <c r="AE3396">
        <v>2.15000000000031E-2</v>
      </c>
      <c r="AF3396">
        <v>-1.0913324557499E-2</v>
      </c>
      <c r="AG3396">
        <v>-0.26956140000000001</v>
      </c>
      <c r="AH3396">
        <v>0.28825030109619498</v>
      </c>
      <c r="AI3396">
        <v>133.06061118903699</v>
      </c>
      <c r="AJ3396">
        <v>92.168216042185904</v>
      </c>
      <c r="AK3396">
        <v>0.39480461636726599</v>
      </c>
      <c r="AL3396">
        <v>68.817020183699896</v>
      </c>
      <c r="AM3396">
        <v>93.640235855721301</v>
      </c>
      <c r="AN3396">
        <v>1.00000000094476</v>
      </c>
    </row>
    <row r="3397" spans="1:40" x14ac:dyDescent="0.25">
      <c r="A3397" t="str">
        <f>"20190304164438211"</f>
        <v>20190304164438211</v>
      </c>
      <c r="B3397" t="str">
        <f>"1551689078203211"</f>
        <v>1551689078203211</v>
      </c>
      <c r="C3397" t="s">
        <v>40</v>
      </c>
      <c r="D3397">
        <v>4.7555269999999998</v>
      </c>
      <c r="E3397">
        <v>0.54088059999999905</v>
      </c>
      <c r="F3397" t="s">
        <v>41</v>
      </c>
      <c r="G3397">
        <v>-255.59710000000001</v>
      </c>
      <c r="H3397">
        <v>0.858320999999999</v>
      </c>
      <c r="I3397">
        <v>214.65010000000001</v>
      </c>
      <c r="J3397">
        <v>-255.96799999999999</v>
      </c>
      <c r="K3397">
        <v>1.1110930000000001</v>
      </c>
      <c r="L3397">
        <v>214.6309</v>
      </c>
      <c r="M3397">
        <v>0.9997914</v>
      </c>
      <c r="N3397">
        <v>-1.406426E-2</v>
      </c>
      <c r="O3397">
        <v>1.482118E-2</v>
      </c>
      <c r="P3397">
        <v>0.93469389999999997</v>
      </c>
      <c r="Q3397">
        <v>0.34798079999999998</v>
      </c>
      <c r="R3397">
        <v>7.2505379999999994E-2</v>
      </c>
      <c r="S3397">
        <v>3.6582029999999999</v>
      </c>
      <c r="T3397">
        <v>-1.2284029999999999</v>
      </c>
      <c r="U3397">
        <v>0.1223755</v>
      </c>
      <c r="V3397">
        <v>-5.9004580000000001E-2</v>
      </c>
      <c r="W3397">
        <v>0.36104700000000001</v>
      </c>
      <c r="X3397">
        <v>0.93067909999999998</v>
      </c>
      <c r="Y3397">
        <v>-1.8313090000000001E-2</v>
      </c>
      <c r="Z3397">
        <v>-1.514945E-3</v>
      </c>
      <c r="AA3397">
        <v>0.99983109999999997</v>
      </c>
      <c r="AB3397">
        <v>37</v>
      </c>
      <c r="AC3397">
        <v>0.37089999999997703</v>
      </c>
      <c r="AD3397">
        <v>-0.252772</v>
      </c>
      <c r="AE3397">
        <v>1.9200000000011999E-2</v>
      </c>
      <c r="AF3397">
        <v>-9.3630655133503694E-3</v>
      </c>
      <c r="AG3397">
        <v>-0.252772</v>
      </c>
      <c r="AH3397">
        <v>0.25364967169077401</v>
      </c>
      <c r="AI3397">
        <v>134.88119731488999</v>
      </c>
      <c r="AJ3397">
        <v>92.114020771781696</v>
      </c>
      <c r="AK3397">
        <v>0.358217122606729</v>
      </c>
      <c r="AL3397">
        <v>68.835490905102802</v>
      </c>
      <c r="AM3397">
        <v>93.627667916322906</v>
      </c>
      <c r="AN3397">
        <v>1.0000000319233899</v>
      </c>
    </row>
    <row r="3398" spans="1:40" x14ac:dyDescent="0.25">
      <c r="A3398" t="str">
        <f>"20190304164438232"</f>
        <v>20190304164438232</v>
      </c>
      <c r="B3398" t="str">
        <f>"1551689078223708"</f>
        <v>1551689078223708</v>
      </c>
      <c r="C3398" t="s">
        <v>40</v>
      </c>
      <c r="D3398">
        <v>4.9557089999999997</v>
      </c>
      <c r="E3398">
        <v>0.54056019999999905</v>
      </c>
      <c r="F3398" t="s">
        <v>41</v>
      </c>
      <c r="G3398">
        <v>-255.25720000000001</v>
      </c>
      <c r="H3398">
        <v>0.87237019999999998</v>
      </c>
      <c r="I3398">
        <v>214.65430000000001</v>
      </c>
      <c r="J3398">
        <v>-255.6123</v>
      </c>
      <c r="K3398">
        <v>1.1110930000000001</v>
      </c>
      <c r="L3398">
        <v>214.63659999999999</v>
      </c>
      <c r="M3398">
        <v>0.99978489999999998</v>
      </c>
      <c r="N3398">
        <v>-1.4062150000000001E-2</v>
      </c>
      <c r="O3398">
        <v>1.5246910000000001E-2</v>
      </c>
      <c r="P3398">
        <v>0.93478099999999997</v>
      </c>
      <c r="Q3398">
        <v>0.3476881</v>
      </c>
      <c r="R3398">
        <v>7.2787249999999998E-2</v>
      </c>
      <c r="S3398">
        <v>3.6575319999999998</v>
      </c>
      <c r="T3398">
        <v>-1.228485</v>
      </c>
      <c r="U3398">
        <v>0.1214447</v>
      </c>
      <c r="V3398">
        <v>-5.8892809999999997E-2</v>
      </c>
      <c r="W3398">
        <v>0.36075299999999999</v>
      </c>
      <c r="X3398">
        <v>0.93080010000000002</v>
      </c>
      <c r="Y3398">
        <v>-1.769596E-2</v>
      </c>
      <c r="Z3398">
        <v>-1.75403E-3</v>
      </c>
      <c r="AA3398">
        <v>0.99984189999999995</v>
      </c>
      <c r="AB3398">
        <v>37</v>
      </c>
      <c r="AC3398">
        <v>0.35509999999999298</v>
      </c>
      <c r="AD3398">
        <v>-0.23872280000000001</v>
      </c>
      <c r="AE3398">
        <v>1.77000000000191E-2</v>
      </c>
      <c r="AF3398">
        <v>-8.4663707114514992E-3</v>
      </c>
      <c r="AG3398">
        <v>-0.23872280000000001</v>
      </c>
      <c r="AH3398">
        <v>0.244914729869361</v>
      </c>
      <c r="AI3398">
        <v>134.249390824801</v>
      </c>
      <c r="AJ3398">
        <v>91.979849163012602</v>
      </c>
      <c r="AK3398">
        <v>0.34211617848304998</v>
      </c>
      <c r="AL3398">
        <v>68.853551543772994</v>
      </c>
      <c r="AM3398">
        <v>93.620345030835693</v>
      </c>
      <c r="AN3398">
        <v>0.99999995811935205</v>
      </c>
    </row>
    <row r="3399" spans="1:40" x14ac:dyDescent="0.25">
      <c r="A3399" t="str">
        <f>"20190304164438254"</f>
        <v>20190304164438254</v>
      </c>
      <c r="B3399" t="str">
        <f>"1551689078243227"</f>
        <v>1551689078243227</v>
      </c>
      <c r="C3399" t="s">
        <v>40</v>
      </c>
      <c r="D3399">
        <v>4.7717280000000004</v>
      </c>
      <c r="E3399">
        <v>0.54099819999999998</v>
      </c>
      <c r="F3399" t="s">
        <v>41</v>
      </c>
      <c r="G3399">
        <v>-254.92140000000001</v>
      </c>
      <c r="H3399">
        <v>0.87753950000000003</v>
      </c>
      <c r="I3399">
        <v>214.66</v>
      </c>
      <c r="J3399">
        <v>-255.2424</v>
      </c>
      <c r="K3399">
        <v>1.1111</v>
      </c>
      <c r="L3399">
        <v>214.64259999999999</v>
      </c>
      <c r="M3399">
        <v>0.99977800000000006</v>
      </c>
      <c r="N3399">
        <v>-1.4060069999999999E-2</v>
      </c>
      <c r="O3399">
        <v>1.5692600000000001E-2</v>
      </c>
      <c r="P3399">
        <v>0.93478410000000001</v>
      </c>
      <c r="Q3399">
        <v>0.34745900000000002</v>
      </c>
      <c r="R3399">
        <v>7.3830720000000002E-2</v>
      </c>
      <c r="S3399">
        <v>3.6596980000000001</v>
      </c>
      <c r="T3399">
        <v>-1.23708</v>
      </c>
      <c r="U3399">
        <v>0.12493899999999999</v>
      </c>
      <c r="V3399">
        <v>-5.9523010000000001E-2</v>
      </c>
      <c r="W3399">
        <v>0.36052129999999999</v>
      </c>
      <c r="X3399">
        <v>0.93084990000000001</v>
      </c>
      <c r="Y3399">
        <v>-1.8176669999999999E-2</v>
      </c>
      <c r="Z3399">
        <v>-1.8246479999999999E-3</v>
      </c>
      <c r="AA3399">
        <v>0.99983310000000003</v>
      </c>
      <c r="AB3399">
        <v>37</v>
      </c>
      <c r="AC3399">
        <v>0.32099999999999701</v>
      </c>
      <c r="AD3399">
        <v>-0.23356049999999901</v>
      </c>
      <c r="AE3399">
        <v>1.7400000000009099E-2</v>
      </c>
      <c r="AF3399">
        <v>-8.0897961166523091E-3</v>
      </c>
      <c r="AG3399">
        <v>-0.23356049999999901</v>
      </c>
      <c r="AH3399">
        <v>0.21025134625421599</v>
      </c>
      <c r="AI3399">
        <v>137.98535753121499</v>
      </c>
      <c r="AJ3399">
        <v>92.203470506923296</v>
      </c>
      <c r="AK3399">
        <v>0.31435899949447799</v>
      </c>
      <c r="AL3399">
        <v>68.867787183551201</v>
      </c>
      <c r="AM3399">
        <v>93.658785697072702</v>
      </c>
      <c r="AN3399">
        <v>1.00000006640157</v>
      </c>
    </row>
    <row r="3400" spans="1:40" x14ac:dyDescent="0.25">
      <c r="A3400" t="str">
        <f>"20190304164438277"</f>
        <v>20190304164438277</v>
      </c>
      <c r="B3400" t="str">
        <f>"1551689078273485"</f>
        <v>1551689078273485</v>
      </c>
      <c r="C3400" t="s">
        <v>40</v>
      </c>
      <c r="D3400">
        <v>5.1870750000000001</v>
      </c>
      <c r="E3400">
        <v>0.54127530000000001</v>
      </c>
      <c r="F3400" t="s">
        <v>41</v>
      </c>
      <c r="G3400">
        <v>-254.29150000000001</v>
      </c>
      <c r="H3400">
        <v>0.7915392</v>
      </c>
      <c r="I3400">
        <v>214.67429999999999</v>
      </c>
      <c r="J3400">
        <v>-254.86429999999999</v>
      </c>
      <c r="K3400">
        <v>1.111113</v>
      </c>
      <c r="L3400">
        <v>214.649</v>
      </c>
      <c r="M3400">
        <v>0.99977079999999996</v>
      </c>
      <c r="N3400">
        <v>-1.405796E-2</v>
      </c>
      <c r="O3400">
        <v>1.6150540000000001E-2</v>
      </c>
      <c r="P3400">
        <v>0.93466830000000001</v>
      </c>
      <c r="Q3400">
        <v>0.34767350000000002</v>
      </c>
      <c r="R3400">
        <v>7.4288489999999999E-2</v>
      </c>
      <c r="S3400">
        <v>3.6563569999999999</v>
      </c>
      <c r="T3400">
        <v>-1.228742</v>
      </c>
      <c r="U3400">
        <v>0.1223755</v>
      </c>
      <c r="V3400">
        <v>-5.9557760000000001E-2</v>
      </c>
      <c r="W3400">
        <v>0.36073159999999999</v>
      </c>
      <c r="X3400">
        <v>0.93076610000000004</v>
      </c>
      <c r="Y3400">
        <v>-1.7134710000000001E-2</v>
      </c>
      <c r="Z3400">
        <v>-2.134019E-3</v>
      </c>
      <c r="AA3400">
        <v>0.99985089999999999</v>
      </c>
      <c r="AB3400">
        <v>37</v>
      </c>
      <c r="AC3400">
        <v>0.572799999999972</v>
      </c>
      <c r="AD3400">
        <v>-0.31957379999999902</v>
      </c>
      <c r="AE3400">
        <v>2.5299999999987201E-2</v>
      </c>
      <c r="AF3400">
        <v>-1.22417078062492E-2</v>
      </c>
      <c r="AG3400">
        <v>-0.31957379999999902</v>
      </c>
      <c r="AH3400">
        <v>0.43728541767447499</v>
      </c>
      <c r="AI3400">
        <v>126.149123667743</v>
      </c>
      <c r="AJ3400">
        <v>91.603563756639701</v>
      </c>
      <c r="AK3400">
        <v>0.541752535358344</v>
      </c>
      <c r="AL3400">
        <v>68.854866534845499</v>
      </c>
      <c r="AM3400">
        <v>93.661244625707198</v>
      </c>
      <c r="AN3400">
        <v>0.99999997346199299</v>
      </c>
    </row>
    <row r="3401" spans="1:40" x14ac:dyDescent="0.25">
      <c r="A3401" t="str">
        <f>"20190304164438299"</f>
        <v>20190304164438299</v>
      </c>
      <c r="B3401" t="str">
        <f>"1551689078293007"</f>
        <v>1551689078293007</v>
      </c>
      <c r="C3401" t="s">
        <v>40</v>
      </c>
      <c r="D3401">
        <v>5.2394049999999996</v>
      </c>
      <c r="E3401">
        <v>0.54104439999999998</v>
      </c>
      <c r="F3401" t="s">
        <v>41</v>
      </c>
      <c r="G3401">
        <v>-253.95269999999999</v>
      </c>
      <c r="H3401">
        <v>0.80621580000000004</v>
      </c>
      <c r="I3401">
        <v>214.67959999999999</v>
      </c>
      <c r="J3401">
        <v>-254.4785</v>
      </c>
      <c r="K3401">
        <v>1.1111180000000001</v>
      </c>
      <c r="L3401">
        <v>214.6557</v>
      </c>
      <c r="M3401">
        <v>0.99976319999999996</v>
      </c>
      <c r="N3401">
        <v>-1.405581E-2</v>
      </c>
      <c r="O3401">
        <v>1.6618879999999999E-2</v>
      </c>
      <c r="P3401">
        <v>0.9344732</v>
      </c>
      <c r="Q3401">
        <v>0.34804410000000002</v>
      </c>
      <c r="R3401">
        <v>7.5002890000000003E-2</v>
      </c>
      <c r="S3401">
        <v>3.654633</v>
      </c>
      <c r="T3401">
        <v>-1.222337</v>
      </c>
      <c r="U3401">
        <v>0.1225739</v>
      </c>
      <c r="V3401">
        <v>-5.983981E-2</v>
      </c>
      <c r="W3401">
        <v>0.36109809999999998</v>
      </c>
      <c r="X3401">
        <v>0.93060589999999999</v>
      </c>
      <c r="Y3401">
        <v>-1.678083E-2</v>
      </c>
      <c r="Z3401">
        <v>-2.329046E-3</v>
      </c>
      <c r="AA3401">
        <v>0.99985650000000004</v>
      </c>
      <c r="AB3401">
        <v>37</v>
      </c>
      <c r="AC3401">
        <v>0.52580000000000304</v>
      </c>
      <c r="AD3401">
        <v>-0.30490220000000001</v>
      </c>
      <c r="AE3401">
        <v>2.38999999999975E-2</v>
      </c>
      <c r="AF3401">
        <v>-1.13491806906767E-2</v>
      </c>
      <c r="AG3401">
        <v>-0.30490220000000001</v>
      </c>
      <c r="AH3401">
        <v>0.39393252711418503</v>
      </c>
      <c r="AI3401">
        <v>127.72822380808699</v>
      </c>
      <c r="AJ3401">
        <v>91.650232694674202</v>
      </c>
      <c r="AK3401">
        <v>0.49827401235239799</v>
      </c>
      <c r="AL3401">
        <v>68.832350374800399</v>
      </c>
      <c r="AM3401">
        <v>93.6791673345801</v>
      </c>
      <c r="AN3401">
        <v>0.99999999089962799</v>
      </c>
    </row>
    <row r="3402" spans="1:40" x14ac:dyDescent="0.25">
      <c r="A3402" t="str">
        <f>"20190304164438322"</f>
        <v>20190304164438322</v>
      </c>
      <c r="B3402" t="str">
        <f>"1551689078313500"</f>
        <v>1551689078313500</v>
      </c>
      <c r="C3402" t="s">
        <v>40</v>
      </c>
      <c r="D3402">
        <v>4.9514239999999896</v>
      </c>
      <c r="E3402">
        <v>0.540821</v>
      </c>
      <c r="F3402" t="s">
        <v>41</v>
      </c>
      <c r="G3402">
        <v>-253.6139</v>
      </c>
      <c r="H3402">
        <v>0.82124010000000003</v>
      </c>
      <c r="I3402">
        <v>214.6857</v>
      </c>
      <c r="J3402">
        <v>-254.11099999999999</v>
      </c>
      <c r="K3402">
        <v>1.1111180000000001</v>
      </c>
      <c r="L3402">
        <v>214.66229999999999</v>
      </c>
      <c r="M3402">
        <v>0.99975570000000002</v>
      </c>
      <c r="N3402">
        <v>-1.4053799999999899E-2</v>
      </c>
      <c r="O3402">
        <v>1.7065219999999999E-2</v>
      </c>
      <c r="P3402">
        <v>0.9343629</v>
      </c>
      <c r="Q3402">
        <v>0.34826790000000002</v>
      </c>
      <c r="R3402">
        <v>7.5338710000000003E-2</v>
      </c>
      <c r="S3402">
        <v>3.656784</v>
      </c>
      <c r="T3402">
        <v>-1.226138</v>
      </c>
      <c r="U3402">
        <v>0.12776179999999901</v>
      </c>
      <c r="V3402">
        <v>-5.976157E-2</v>
      </c>
      <c r="W3402">
        <v>0.36131859999999999</v>
      </c>
      <c r="X3402">
        <v>0.93052539999999995</v>
      </c>
      <c r="Y3402">
        <v>-1.7701149999999999E-2</v>
      </c>
      <c r="Z3402">
        <v>-2.318128E-3</v>
      </c>
      <c r="AA3402">
        <v>0.99984059999999997</v>
      </c>
      <c r="AB3402">
        <v>37</v>
      </c>
      <c r="AC3402">
        <v>0.497099999999989</v>
      </c>
      <c r="AD3402">
        <v>-0.28987790000000002</v>
      </c>
      <c r="AE3402">
        <v>2.3400000000009399E-2</v>
      </c>
      <c r="AF3402">
        <v>-1.11346637487549E-2</v>
      </c>
      <c r="AG3402">
        <v>-0.28987790000000002</v>
      </c>
      <c r="AH3402">
        <v>0.37140870100499801</v>
      </c>
      <c r="AI3402">
        <v>127.95892394565701</v>
      </c>
      <c r="AJ3402">
        <v>91.717187051663004</v>
      </c>
      <c r="AK3402">
        <v>0.47127232130417701</v>
      </c>
      <c r="AL3402">
        <v>68.818803201843593</v>
      </c>
      <c r="AM3402">
        <v>93.674687043925999</v>
      </c>
      <c r="AN3402">
        <v>1.00000004799999</v>
      </c>
    </row>
    <row r="3403" spans="1:40" x14ac:dyDescent="0.25">
      <c r="A3403" t="str">
        <f>"20190304164438343"</f>
        <v>20190304164438343</v>
      </c>
      <c r="B3403" t="str">
        <f>"1551689078333020"</f>
        <v>1551689078333020</v>
      </c>
      <c r="C3403" t="s">
        <v>40</v>
      </c>
      <c r="D3403">
        <v>4.938885</v>
      </c>
      <c r="E3403">
        <v>0.54059279999999998</v>
      </c>
      <c r="F3403" t="s">
        <v>41</v>
      </c>
      <c r="G3403">
        <v>-253.2775</v>
      </c>
      <c r="H3403">
        <v>0.83079829999999999</v>
      </c>
      <c r="I3403">
        <v>214.69229999999999</v>
      </c>
      <c r="J3403">
        <v>-253.75559999999999</v>
      </c>
      <c r="K3403">
        <v>1.111129</v>
      </c>
      <c r="L3403">
        <v>214.6688</v>
      </c>
      <c r="M3403">
        <v>0.99974819999999998</v>
      </c>
      <c r="N3403">
        <v>-1.405183E-2</v>
      </c>
      <c r="O3403">
        <v>1.749707E-2</v>
      </c>
      <c r="P3403">
        <v>0.93424200000000002</v>
      </c>
      <c r="Q3403">
        <v>0.34864440000000002</v>
      </c>
      <c r="R3403">
        <v>7.5096819999999995E-2</v>
      </c>
      <c r="S3403">
        <v>3.6587369999999999</v>
      </c>
      <c r="T3403">
        <v>-1.2304850000000001</v>
      </c>
      <c r="U3403">
        <v>0.1317902</v>
      </c>
      <c r="V3403">
        <v>-5.9118749999999998E-2</v>
      </c>
      <c r="W3403">
        <v>0.36169210000000002</v>
      </c>
      <c r="X3403">
        <v>0.93042130000000001</v>
      </c>
      <c r="Y3403">
        <v>-1.8334969999999999E-2</v>
      </c>
      <c r="Z3403">
        <v>-2.3528590000000001E-3</v>
      </c>
      <c r="AA3403">
        <v>0.99982910000000003</v>
      </c>
      <c r="AB3403">
        <v>37</v>
      </c>
      <c r="AC3403">
        <v>0.47809999999998298</v>
      </c>
      <c r="AD3403">
        <v>-0.28033069999999999</v>
      </c>
      <c r="AE3403">
        <v>2.3499999999984301E-2</v>
      </c>
      <c r="AF3403">
        <v>-1.12662453124343E-2</v>
      </c>
      <c r="AG3403">
        <v>-0.28033069999999999</v>
      </c>
      <c r="AH3403">
        <v>0.35625375027558298</v>
      </c>
      <c r="AI3403">
        <v>128.18475761732699</v>
      </c>
      <c r="AJ3403">
        <v>91.811330398290806</v>
      </c>
      <c r="AK3403">
        <v>0.45346329976233801</v>
      </c>
      <c r="AL3403">
        <v>68.795849873574198</v>
      </c>
      <c r="AM3403">
        <v>93.635672806641693</v>
      </c>
      <c r="AN3403">
        <v>0.99999999864883105</v>
      </c>
    </row>
    <row r="3404" spans="1:40" x14ac:dyDescent="0.25">
      <c r="A3404" t="str">
        <f>"20190304164438365"</f>
        <v>20190304164438365</v>
      </c>
      <c r="B3404" t="str">
        <f>"1551689078353219"</f>
        <v>1551689078353219</v>
      </c>
      <c r="C3404" t="s">
        <v>40</v>
      </c>
      <c r="D3404">
        <v>4.9332909999999996</v>
      </c>
      <c r="E3404">
        <v>0.54039510000000002</v>
      </c>
      <c r="F3404" t="s">
        <v>41</v>
      </c>
      <c r="G3404">
        <v>-252.94280000000001</v>
      </c>
      <c r="H3404">
        <v>0.83705189999999996</v>
      </c>
      <c r="I3404">
        <v>214.6987</v>
      </c>
      <c r="J3404">
        <v>-253.3852</v>
      </c>
      <c r="K3404">
        <v>1.1111329999999999</v>
      </c>
      <c r="L3404">
        <v>214.67570000000001</v>
      </c>
      <c r="M3404">
        <v>0.99974039999999997</v>
      </c>
      <c r="N3404">
        <v>-1.404963E-2</v>
      </c>
      <c r="O3404">
        <v>1.7947379999999999E-2</v>
      </c>
      <c r="P3404">
        <v>0.93429859999999998</v>
      </c>
      <c r="Q3404">
        <v>0.34853260000000003</v>
      </c>
      <c r="R3404">
        <v>7.4910329999999997E-2</v>
      </c>
      <c r="S3404">
        <v>3.6609340000000001</v>
      </c>
      <c r="T3404">
        <v>-1.2344090000000001</v>
      </c>
      <c r="U3404">
        <v>0.13562009999999999</v>
      </c>
      <c r="V3404">
        <v>-5.8510550000000001E-2</v>
      </c>
      <c r="W3404">
        <v>0.36158010000000002</v>
      </c>
      <c r="X3404">
        <v>0.93050330000000003</v>
      </c>
      <c r="Y3404">
        <v>-1.8897500000000001E-2</v>
      </c>
      <c r="Z3404">
        <v>-2.404734E-3</v>
      </c>
      <c r="AA3404">
        <v>0.9998186</v>
      </c>
      <c r="AB3404">
        <v>37</v>
      </c>
      <c r="AC3404">
        <v>0.44239999999999202</v>
      </c>
      <c r="AD3404">
        <v>-0.27408109999999902</v>
      </c>
      <c r="AE3404">
        <v>2.29999999999961E-2</v>
      </c>
      <c r="AF3404">
        <v>-1.0887870580260899E-2</v>
      </c>
      <c r="AG3404">
        <v>-0.27408109999999902</v>
      </c>
      <c r="AH3404">
        <v>0.32018089773598002</v>
      </c>
      <c r="AI3404">
        <v>130.547815770185</v>
      </c>
      <c r="AJ3404">
        <v>91.947613818159198</v>
      </c>
      <c r="AK3404">
        <v>0.42160977500290497</v>
      </c>
      <c r="AL3404">
        <v>68.802733369318403</v>
      </c>
      <c r="AM3404">
        <v>93.598052358970193</v>
      </c>
      <c r="AN3404">
        <v>1.0000000222440999</v>
      </c>
    </row>
    <row r="3405" spans="1:40" x14ac:dyDescent="0.25">
      <c r="A3405" t="str">
        <f>"20190304164438389"</f>
        <v>20190304164438389</v>
      </c>
      <c r="B3405" t="str">
        <f>"1551689078383474"</f>
        <v>1551689078383474</v>
      </c>
      <c r="C3405" t="s">
        <v>40</v>
      </c>
      <c r="D3405">
        <v>4.9232180000000003</v>
      </c>
      <c r="E3405">
        <v>0.54013480000000003</v>
      </c>
      <c r="F3405" t="s">
        <v>41</v>
      </c>
      <c r="G3405">
        <v>-252.60650000000001</v>
      </c>
      <c r="H3405">
        <v>0.84759409999999902</v>
      </c>
      <c r="I3405">
        <v>214.70490000000001</v>
      </c>
      <c r="J3405">
        <v>-252.99459999999999</v>
      </c>
      <c r="K3405">
        <v>1.1111409999999999</v>
      </c>
      <c r="L3405">
        <v>214.6832</v>
      </c>
      <c r="M3405">
        <v>0.9997317</v>
      </c>
      <c r="N3405">
        <v>-1.40473E-2</v>
      </c>
      <c r="O3405">
        <v>1.8421960000000001E-2</v>
      </c>
      <c r="P3405">
        <v>0.93418920000000005</v>
      </c>
      <c r="Q3405">
        <v>0.34883199999999998</v>
      </c>
      <c r="R3405">
        <v>7.4878920000000002E-2</v>
      </c>
      <c r="S3405">
        <v>3.6623079999999999</v>
      </c>
      <c r="T3405">
        <v>-1.239463</v>
      </c>
      <c r="U3405">
        <v>0.1379089</v>
      </c>
      <c r="V3405">
        <v>-5.8037930000000001E-2</v>
      </c>
      <c r="W3405">
        <v>0.36187659999999999</v>
      </c>
      <c r="X3405">
        <v>0.93041759999999996</v>
      </c>
      <c r="Y3405">
        <v>-1.9047700000000001E-2</v>
      </c>
      <c r="Z3405">
        <v>-2.5384629999999999E-3</v>
      </c>
      <c r="AA3405">
        <v>0.99981529999999996</v>
      </c>
      <c r="AB3405">
        <v>37</v>
      </c>
      <c r="AC3405">
        <v>0.38809999999998002</v>
      </c>
      <c r="AD3405">
        <v>-0.26354689999999997</v>
      </c>
      <c r="AE3405">
        <v>2.1700000000009802E-2</v>
      </c>
      <c r="AF3405">
        <v>-9.9651065052219802E-3</v>
      </c>
      <c r="AG3405">
        <v>-0.26354689999999997</v>
      </c>
      <c r="AH3405">
        <v>0.26610561745413203</v>
      </c>
      <c r="AI3405">
        <v>134.70313782724099</v>
      </c>
      <c r="AJ3405">
        <v>92.144606644367698</v>
      </c>
      <c r="AK3405">
        <v>0.37465780585477598</v>
      </c>
      <c r="AL3405">
        <v>68.784510574625003</v>
      </c>
      <c r="AM3405">
        <v>93.569392350212993</v>
      </c>
      <c r="AN3405">
        <v>0.99999999266800199</v>
      </c>
    </row>
    <row r="3406" spans="1:40" x14ac:dyDescent="0.25">
      <c r="A3406" t="str">
        <f>"20190304164438411"</f>
        <v>20190304164438411</v>
      </c>
      <c r="B3406" t="str">
        <f>"1551689078402994"</f>
        <v>1551689078402994</v>
      </c>
      <c r="C3406" t="s">
        <v>40</v>
      </c>
      <c r="D3406">
        <v>4.903867</v>
      </c>
      <c r="E3406">
        <v>0.54014640000000003</v>
      </c>
      <c r="F3406" t="s">
        <v>41</v>
      </c>
      <c r="G3406">
        <v>-252.26769999999999</v>
      </c>
      <c r="H3406">
        <v>0.86436679999999999</v>
      </c>
      <c r="I3406">
        <v>214.7106</v>
      </c>
      <c r="J3406">
        <v>-252.62520000000001</v>
      </c>
      <c r="K3406">
        <v>1.1111359999999999</v>
      </c>
      <c r="L3406">
        <v>214.69040000000001</v>
      </c>
      <c r="M3406">
        <v>0.99972340000000004</v>
      </c>
      <c r="N3406">
        <v>-1.404525E-2</v>
      </c>
      <c r="O3406">
        <v>1.8870169999999999E-2</v>
      </c>
      <c r="P3406">
        <v>0.93429569999999995</v>
      </c>
      <c r="Q3406">
        <v>0.34859679999999998</v>
      </c>
      <c r="R3406">
        <v>7.4646580000000004E-2</v>
      </c>
      <c r="S3406">
        <v>3.6647949999999998</v>
      </c>
      <c r="T3406">
        <v>-1.2442899999999999</v>
      </c>
      <c r="U3406">
        <v>0.13932800000000001</v>
      </c>
      <c r="V3406">
        <v>-5.7384249999999998E-2</v>
      </c>
      <c r="W3406">
        <v>0.36164180000000001</v>
      </c>
      <c r="X3406">
        <v>0.93054939999999997</v>
      </c>
      <c r="Y3406">
        <v>-1.8986530000000001E-2</v>
      </c>
      <c r="Z3406">
        <v>-2.699772E-3</v>
      </c>
      <c r="AA3406">
        <v>0.99981609999999999</v>
      </c>
      <c r="AB3406">
        <v>37</v>
      </c>
      <c r="AC3406">
        <v>0.35750000000001497</v>
      </c>
      <c r="AD3406">
        <v>-0.24676919999999999</v>
      </c>
      <c r="AE3406">
        <v>2.0199999999988401E-2</v>
      </c>
      <c r="AF3406">
        <v>-9.1187336105283592E-3</v>
      </c>
      <c r="AG3406">
        <v>-0.24676919999999999</v>
      </c>
      <c r="AH3406">
        <v>0.24259682582665301</v>
      </c>
      <c r="AI3406">
        <v>135.46827598513599</v>
      </c>
      <c r="AJ3406">
        <v>92.152621331890799</v>
      </c>
      <c r="AK3406">
        <v>0.34616673623048699</v>
      </c>
      <c r="AL3406">
        <v>68.798940351448607</v>
      </c>
      <c r="AM3406">
        <v>93.528793935143597</v>
      </c>
      <c r="AN3406">
        <v>0.99999996474783004</v>
      </c>
    </row>
    <row r="3407" spans="1:40" x14ac:dyDescent="0.25">
      <c r="A3407" t="str">
        <f>"20190304164438433"</f>
        <v>20190304164438433</v>
      </c>
      <c r="B3407" t="str">
        <f>"1551689078423491"</f>
        <v>1551689078423491</v>
      </c>
      <c r="C3407" t="s">
        <v>40</v>
      </c>
      <c r="D3407">
        <v>4.8971260000000001</v>
      </c>
      <c r="E3407">
        <v>0.55532369999999898</v>
      </c>
      <c r="F3407" t="s">
        <v>41</v>
      </c>
      <c r="G3407">
        <v>-251.93170000000001</v>
      </c>
      <c r="H3407">
        <v>0.87550039999999996</v>
      </c>
      <c r="I3407">
        <v>214.7165</v>
      </c>
      <c r="J3407">
        <v>-252.27600000000001</v>
      </c>
      <c r="K3407">
        <v>1.11113</v>
      </c>
      <c r="L3407">
        <v>214.69739999999999</v>
      </c>
      <c r="M3407">
        <v>0.99971520000000003</v>
      </c>
      <c r="N3407">
        <v>-1.40433E-2</v>
      </c>
      <c r="O3407">
        <v>1.929461E-2</v>
      </c>
      <c r="P3407">
        <v>0.93433129999999998</v>
      </c>
      <c r="Q3407">
        <v>0.34855750000000002</v>
      </c>
      <c r="R3407">
        <v>7.4381600000000006E-2</v>
      </c>
      <c r="S3407">
        <v>3.664444</v>
      </c>
      <c r="T3407">
        <v>-1.244964</v>
      </c>
      <c r="U3407">
        <v>0.13838200000000001</v>
      </c>
      <c r="V3407">
        <v>-5.6720930000000003E-2</v>
      </c>
      <c r="W3407">
        <v>0.36160189999999998</v>
      </c>
      <c r="X3407">
        <v>0.93060560000000003</v>
      </c>
      <c r="Y3407">
        <v>-1.8366009999999999E-2</v>
      </c>
      <c r="Z3407">
        <v>-2.9430649999999999E-3</v>
      </c>
      <c r="AA3407">
        <v>0.99982700000000002</v>
      </c>
      <c r="AB3407">
        <v>37</v>
      </c>
      <c r="AC3407">
        <v>0.34429999999997501</v>
      </c>
      <c r="AD3407">
        <v>-0.235629599999999</v>
      </c>
      <c r="AE3407">
        <v>1.91000000000087E-2</v>
      </c>
      <c r="AF3407">
        <v>-8.4889256678894204E-3</v>
      </c>
      <c r="AG3407">
        <v>-0.235629599999999</v>
      </c>
      <c r="AH3407">
        <v>0.234915509908623</v>
      </c>
      <c r="AI3407">
        <v>135.068258722124</v>
      </c>
      <c r="AJ3407">
        <v>92.069544372796003</v>
      </c>
      <c r="AK3407">
        <v>0.33283429368198097</v>
      </c>
      <c r="AL3407">
        <v>68.8013929649033</v>
      </c>
      <c r="AM3407">
        <v>93.487894823985002</v>
      </c>
      <c r="AN3407">
        <v>0.99999999036751697</v>
      </c>
    </row>
    <row r="3408" spans="1:40" x14ac:dyDescent="0.25">
      <c r="A3408" t="str">
        <f>"20190304164438456"</f>
        <v>20190304164438456</v>
      </c>
      <c r="B3408" t="str">
        <f>"1551689078443011"</f>
        <v>1551689078443011</v>
      </c>
      <c r="C3408" t="s">
        <v>40</v>
      </c>
      <c r="D3408">
        <v>4.9551040000000004</v>
      </c>
      <c r="E3408">
        <v>0.553886199999999</v>
      </c>
      <c r="F3408" t="s">
        <v>41</v>
      </c>
      <c r="G3408">
        <v>-251.55099999999999</v>
      </c>
      <c r="H3408">
        <v>0.98594079999999995</v>
      </c>
      <c r="I3408">
        <v>214.68680000000001</v>
      </c>
      <c r="J3408">
        <v>-251.9014</v>
      </c>
      <c r="K3408">
        <v>1.111127</v>
      </c>
      <c r="L3408">
        <v>214.70509999999999</v>
      </c>
      <c r="M3408">
        <v>0.99970630000000005</v>
      </c>
      <c r="N3408">
        <v>-1.4041140000000001E-2</v>
      </c>
      <c r="O3408">
        <v>1.9749619999999999E-2</v>
      </c>
      <c r="P3408">
        <v>0.93461729999999998</v>
      </c>
      <c r="Q3408">
        <v>0.34770820000000002</v>
      </c>
      <c r="R3408">
        <v>7.476418E-2</v>
      </c>
      <c r="S3408">
        <v>3.4362180000000002</v>
      </c>
      <c r="T3408">
        <v>-0.59351489999999996</v>
      </c>
      <c r="U3408">
        <v>-4.948425E-2</v>
      </c>
      <c r="V3408">
        <v>-5.6670730000000002E-2</v>
      </c>
      <c r="W3408">
        <v>0.36075570000000001</v>
      </c>
      <c r="X3408">
        <v>0.93093709999999996</v>
      </c>
      <c r="Y3408">
        <v>3.3364530000000003E-2</v>
      </c>
      <c r="Z3408">
        <v>-6.2067140000000003E-3</v>
      </c>
      <c r="AA3408">
        <v>0.99942399999999998</v>
      </c>
      <c r="AB3408">
        <v>37</v>
      </c>
      <c r="AC3408">
        <v>0.35040000000000698</v>
      </c>
      <c r="AD3408">
        <v>-0.125186199999999</v>
      </c>
      <c r="AE3408">
        <v>-1.8299999999982199E-2</v>
      </c>
      <c r="AF3408">
        <v>2.2369869757479299E-2</v>
      </c>
      <c r="AG3408">
        <v>-0.125186199999999</v>
      </c>
      <c r="AH3408">
        <v>0.31045206565996702</v>
      </c>
      <c r="AI3408">
        <v>111.909777495729</v>
      </c>
      <c r="AJ3408">
        <v>85.878630095607804</v>
      </c>
      <c r="AK3408">
        <v>0.33548842128447098</v>
      </c>
      <c r="AL3408">
        <v>68.853388054185103</v>
      </c>
      <c r="AM3408">
        <v>93.483577664765505</v>
      </c>
      <c r="AN3408">
        <v>1.0000000654388099</v>
      </c>
    </row>
    <row r="3409" spans="1:40" x14ac:dyDescent="0.25">
      <c r="A3409" t="str">
        <f>"20190304164438479"</f>
        <v>20190304164438479</v>
      </c>
      <c r="B3409" t="str">
        <f>"1551689078473881"</f>
        <v>1551689078473881</v>
      </c>
      <c r="C3409" t="s">
        <v>40</v>
      </c>
      <c r="D3409">
        <v>4.8515379999999997</v>
      </c>
      <c r="E3409">
        <v>0.55321940000000003</v>
      </c>
      <c r="F3409" t="s">
        <v>41</v>
      </c>
      <c r="G3409">
        <v>-250.89449999999999</v>
      </c>
      <c r="H3409">
        <v>0.97632580000000002</v>
      </c>
      <c r="I3409">
        <v>214.68989999999999</v>
      </c>
      <c r="J3409">
        <v>-251.5164</v>
      </c>
      <c r="K3409">
        <v>1.1111249999999999</v>
      </c>
      <c r="L3409">
        <v>214.7132</v>
      </c>
      <c r="M3409">
        <v>0.99969710000000001</v>
      </c>
      <c r="N3409">
        <v>-1.403893E-2</v>
      </c>
      <c r="O3409">
        <v>2.021738E-2</v>
      </c>
      <c r="P3409">
        <v>0.93473240000000002</v>
      </c>
      <c r="Q3409">
        <v>0.3474004</v>
      </c>
      <c r="R3409">
        <v>7.4756610000000001E-2</v>
      </c>
      <c r="S3409">
        <v>3.3824160000000001</v>
      </c>
      <c r="T3409">
        <v>-0.45291199999999998</v>
      </c>
      <c r="U3409">
        <v>-5.0582889999999998E-2</v>
      </c>
      <c r="V3409">
        <v>-5.622245E-2</v>
      </c>
      <c r="W3409">
        <v>0.3604484</v>
      </c>
      <c r="X3409">
        <v>0.93108329999999995</v>
      </c>
      <c r="Y3409">
        <v>3.4680269999999999E-2</v>
      </c>
      <c r="Z3409">
        <v>-4.9683219999999998E-3</v>
      </c>
      <c r="AA3409">
        <v>0.99938610000000005</v>
      </c>
      <c r="AB3409">
        <v>37</v>
      </c>
      <c r="AC3409">
        <v>0.62190000000001</v>
      </c>
      <c r="AD3409">
        <v>-0.13479919999999901</v>
      </c>
      <c r="AE3409">
        <v>-2.3300000000006E-2</v>
      </c>
      <c r="AF3409">
        <v>3.4262205725309802E-2</v>
      </c>
      <c r="AG3409">
        <v>-0.13479919999999901</v>
      </c>
      <c r="AH3409">
        <v>0.59345882312731801</v>
      </c>
      <c r="AI3409">
        <v>102.77654794099701</v>
      </c>
      <c r="AJ3409">
        <v>86.695805998246897</v>
      </c>
      <c r="AK3409">
        <v>0.60953925042565105</v>
      </c>
      <c r="AL3409">
        <v>68.872265027182394</v>
      </c>
      <c r="AM3409">
        <v>93.455547366353599</v>
      </c>
      <c r="AN3409">
        <v>1.0000000622427201</v>
      </c>
    </row>
    <row r="3410" spans="1:40" x14ac:dyDescent="0.25">
      <c r="A3410" t="str">
        <f>"20190304164438501"</f>
        <v>20190304164438501</v>
      </c>
      <c r="B3410" t="str">
        <f>"1551689078493401"</f>
        <v>1551689078493401</v>
      </c>
      <c r="C3410" t="s">
        <v>40</v>
      </c>
      <c r="D3410">
        <v>4.8763500000000004</v>
      </c>
      <c r="E3410">
        <v>0.55368669999999998</v>
      </c>
      <c r="F3410" t="s">
        <v>41</v>
      </c>
      <c r="G3410">
        <v>-250.5498</v>
      </c>
      <c r="H3410">
        <v>1.0057499999999999</v>
      </c>
      <c r="I3410">
        <v>214.69739999999999</v>
      </c>
      <c r="J3410">
        <v>-251.15100000000001</v>
      </c>
      <c r="K3410">
        <v>1.111127</v>
      </c>
      <c r="L3410">
        <v>214.721</v>
      </c>
      <c r="M3410">
        <v>0.99968800000000002</v>
      </c>
      <c r="N3410">
        <v>-1.4036969999999999E-2</v>
      </c>
      <c r="O3410">
        <v>2.0661889999999999E-2</v>
      </c>
      <c r="P3410">
        <v>0.93492319999999995</v>
      </c>
      <c r="Q3410">
        <v>0.34700999999999999</v>
      </c>
      <c r="R3410">
        <v>7.4180850000000007E-2</v>
      </c>
      <c r="S3410">
        <v>3.349564</v>
      </c>
      <c r="T3410">
        <v>-0.36524220000000002</v>
      </c>
      <c r="U3410">
        <v>-5.3939819999999999E-2</v>
      </c>
      <c r="V3410">
        <v>-5.5226119999999997E-2</v>
      </c>
      <c r="W3410">
        <v>0.36005999999999999</v>
      </c>
      <c r="X3410">
        <v>0.93129309999999998</v>
      </c>
      <c r="Y3410">
        <v>3.6422509999999998E-2</v>
      </c>
      <c r="Z3410">
        <v>-4.193202E-3</v>
      </c>
      <c r="AA3410">
        <v>0.99932770000000004</v>
      </c>
      <c r="AB3410">
        <v>37</v>
      </c>
      <c r="AC3410">
        <v>0.60119999999997698</v>
      </c>
      <c r="AD3410">
        <v>-0.105377</v>
      </c>
      <c r="AE3410">
        <v>-2.35999999999876E-2</v>
      </c>
      <c r="AF3410">
        <v>3.49461389340808E-2</v>
      </c>
      <c r="AG3410">
        <v>-0.105377</v>
      </c>
      <c r="AH3410">
        <v>0.58270933521297497</v>
      </c>
      <c r="AI3410">
        <v>100.232574683557</v>
      </c>
      <c r="AJ3410">
        <v>86.567978485726698</v>
      </c>
      <c r="AK3410">
        <v>0.59319112779925098</v>
      </c>
      <c r="AL3410">
        <v>68.896118750258097</v>
      </c>
      <c r="AM3410">
        <v>93.393692442509504</v>
      </c>
      <c r="AN3410">
        <v>0.999999983018932</v>
      </c>
    </row>
    <row r="3411" spans="1:40" x14ac:dyDescent="0.25">
      <c r="A3411" t="str">
        <f>"20190304164438522"</f>
        <v>20190304164438522</v>
      </c>
      <c r="B3411" t="str">
        <f>"1551689078513898"</f>
        <v>1551689078513898</v>
      </c>
      <c r="C3411" t="s">
        <v>40</v>
      </c>
      <c r="D3411">
        <v>4.9208460000000001</v>
      </c>
      <c r="E3411">
        <v>0.55384699999999998</v>
      </c>
      <c r="F3411" t="s">
        <v>41</v>
      </c>
      <c r="G3411">
        <v>-250.2166</v>
      </c>
      <c r="H3411">
        <v>1.0122439999999999</v>
      </c>
      <c r="I3411">
        <v>214.70410000000001</v>
      </c>
      <c r="J3411">
        <v>-250.79050000000001</v>
      </c>
      <c r="K3411">
        <v>1.1111260000000001</v>
      </c>
      <c r="L3411">
        <v>214.72890000000001</v>
      </c>
      <c r="M3411">
        <v>0.99967890000000004</v>
      </c>
      <c r="N3411">
        <v>-1.403506E-2</v>
      </c>
      <c r="O3411">
        <v>2.110039E-2</v>
      </c>
      <c r="P3411">
        <v>0.9349172</v>
      </c>
      <c r="Q3411">
        <v>0.34702880000000003</v>
      </c>
      <c r="R3411">
        <v>7.4168979999999995E-2</v>
      </c>
      <c r="S3411">
        <v>3.344986</v>
      </c>
      <c r="T3411">
        <v>-0.35407840000000002</v>
      </c>
      <c r="U3411">
        <v>-5.993652E-2</v>
      </c>
      <c r="V3411">
        <v>-5.4802959999999998E-2</v>
      </c>
      <c r="W3411">
        <v>0.3600778</v>
      </c>
      <c r="X3411">
        <v>0.93131120000000001</v>
      </c>
      <c r="Y3411">
        <v>3.8677019999999999E-2</v>
      </c>
      <c r="Z3411">
        <v>-4.2452009999999997E-3</v>
      </c>
      <c r="AA3411">
        <v>0.99924270000000004</v>
      </c>
      <c r="AB3411">
        <v>37</v>
      </c>
      <c r="AC3411">
        <v>0.57390000000000896</v>
      </c>
      <c r="AD3411">
        <v>-9.8881999999999901E-2</v>
      </c>
      <c r="AE3411">
        <v>-2.4799999999999E-2</v>
      </c>
      <c r="AF3411">
        <v>3.58431030701531E-2</v>
      </c>
      <c r="AG3411">
        <v>-9.8881999999999901E-2</v>
      </c>
      <c r="AH3411">
        <v>0.55675154793023196</v>
      </c>
      <c r="AI3411">
        <v>100.050634477697</v>
      </c>
      <c r="AJ3411">
        <v>86.316438925133198</v>
      </c>
      <c r="AK3411">
        <v>0.56659920939267705</v>
      </c>
      <c r="AL3411">
        <v>68.895025247354198</v>
      </c>
      <c r="AM3411">
        <v>93.367683677879597</v>
      </c>
      <c r="AN3411">
        <v>0.99999996886151998</v>
      </c>
    </row>
    <row r="3412" spans="1:40" x14ac:dyDescent="0.25">
      <c r="A3412" t="str">
        <f>"20190304164438544"</f>
        <v>20190304164438544</v>
      </c>
      <c r="B3412" t="str">
        <f>"1551689078533417"</f>
        <v>1551689078533417</v>
      </c>
      <c r="C3412" t="s">
        <v>40</v>
      </c>
      <c r="D3412">
        <v>5.3805170000000002</v>
      </c>
      <c r="E3412">
        <v>0.55395660000000002</v>
      </c>
      <c r="F3412" t="s">
        <v>41</v>
      </c>
      <c r="G3412">
        <v>-249.8853</v>
      </c>
      <c r="H3412">
        <v>1.0155970000000001</v>
      </c>
      <c r="I3412">
        <v>214.7122</v>
      </c>
      <c r="J3412">
        <v>-250.4342</v>
      </c>
      <c r="K3412">
        <v>1.1111260000000001</v>
      </c>
      <c r="L3412">
        <v>214.73679999999999</v>
      </c>
      <c r="M3412">
        <v>0.99966960000000005</v>
      </c>
      <c r="N3412">
        <v>-1.4032849999999999E-2</v>
      </c>
      <c r="O3412">
        <v>2.1533699999999999E-2</v>
      </c>
      <c r="P3412">
        <v>0.93491480000000005</v>
      </c>
      <c r="Q3412">
        <v>0.34701169999999998</v>
      </c>
      <c r="R3412">
        <v>7.4277270000000006E-2</v>
      </c>
      <c r="S3412">
        <v>3.3447719999999999</v>
      </c>
      <c r="T3412">
        <v>-0.35309309999999899</v>
      </c>
      <c r="U3412">
        <v>-6.1111449999999998E-2</v>
      </c>
      <c r="V3412">
        <v>-5.4504499999999997E-2</v>
      </c>
      <c r="W3412">
        <v>0.36005959999999998</v>
      </c>
      <c r="X3412">
        <v>0.93133580000000005</v>
      </c>
      <c r="Y3412">
        <v>3.9457249999999999E-2</v>
      </c>
      <c r="Z3412">
        <v>-4.3197449999999998E-3</v>
      </c>
      <c r="AA3412">
        <v>0.99921190000000004</v>
      </c>
      <c r="AB3412">
        <v>37</v>
      </c>
      <c r="AC3412">
        <v>0.54890000000000305</v>
      </c>
      <c r="AD3412">
        <v>-9.5529000000000197E-2</v>
      </c>
      <c r="AE3412">
        <v>-2.4599999999992399E-2</v>
      </c>
      <c r="AF3412">
        <v>3.5346835101182202E-2</v>
      </c>
      <c r="AG3412">
        <v>-9.5529000000000197E-2</v>
      </c>
      <c r="AH3412">
        <v>0.53215676475623397</v>
      </c>
      <c r="AI3412">
        <v>100.155028641074</v>
      </c>
      <c r="AJ3412">
        <v>86.199890470555502</v>
      </c>
      <c r="AK3412">
        <v>0.54181732241456804</v>
      </c>
      <c r="AL3412">
        <v>68.896144006113403</v>
      </c>
      <c r="AM3412">
        <v>93.349296684224399</v>
      </c>
      <c r="AN3412">
        <v>1.00000001421702</v>
      </c>
    </row>
    <row r="3413" spans="1:40" x14ac:dyDescent="0.25">
      <c r="A3413" t="str">
        <f>"20190304164438568"</f>
        <v>20190304164438568</v>
      </c>
      <c r="B3413" t="str">
        <f>"1551689078563336"</f>
        <v>1551689078563336</v>
      </c>
      <c r="C3413" t="s">
        <v>40</v>
      </c>
      <c r="D3413">
        <v>4.8657570000000003</v>
      </c>
      <c r="E3413">
        <v>0.554127699999999</v>
      </c>
      <c r="F3413" t="s">
        <v>41</v>
      </c>
      <c r="G3413">
        <v>-249.55330000000001</v>
      </c>
      <c r="H3413">
        <v>1.020807</v>
      </c>
      <c r="I3413">
        <v>214.72020000000001</v>
      </c>
      <c r="J3413">
        <v>-250.03989999999999</v>
      </c>
      <c r="K3413">
        <v>1.1111329999999999</v>
      </c>
      <c r="L3413">
        <v>214.7458</v>
      </c>
      <c r="M3413">
        <v>0.99965919999999997</v>
      </c>
      <c r="N3413">
        <v>-1.4030269999999999E-2</v>
      </c>
      <c r="O3413">
        <v>2.20132E-2</v>
      </c>
      <c r="P3413">
        <v>0.93483309999999997</v>
      </c>
      <c r="Q3413">
        <v>0.34726400000000002</v>
      </c>
      <c r="R3413">
        <v>7.4126860000000003E-2</v>
      </c>
      <c r="S3413">
        <v>3.3410190000000002</v>
      </c>
      <c r="T3413">
        <v>-0.34274670000000002</v>
      </c>
      <c r="U3413">
        <v>-6.2561039999999998E-2</v>
      </c>
      <c r="V3413">
        <v>-5.3906929999999999E-2</v>
      </c>
      <c r="W3413">
        <v>0.36030909999999999</v>
      </c>
      <c r="X3413">
        <v>0.93127409999999999</v>
      </c>
      <c r="Y3413">
        <v>4.0401630000000001E-2</v>
      </c>
      <c r="Z3413">
        <v>-4.2950599999999999E-3</v>
      </c>
      <c r="AA3413">
        <v>0.99917429999999996</v>
      </c>
      <c r="AB3413">
        <v>37</v>
      </c>
      <c r="AC3413">
        <v>0.48659999999998099</v>
      </c>
      <c r="AD3413">
        <v>-9.0325999999999906E-2</v>
      </c>
      <c r="AE3413">
        <v>-2.5599999999997101E-2</v>
      </c>
      <c r="AF3413">
        <v>3.5100348050722298E-2</v>
      </c>
      <c r="AG3413">
        <v>-9.0325999999999906E-2</v>
      </c>
      <c r="AH3413">
        <v>0.46977593573514598</v>
      </c>
      <c r="AI3413">
        <v>100.854167157945</v>
      </c>
      <c r="AJ3413">
        <v>85.726958955887994</v>
      </c>
      <c r="AK3413">
        <v>0.47966681196963601</v>
      </c>
      <c r="AL3413">
        <v>68.880820475126001</v>
      </c>
      <c r="AM3413">
        <v>93.312877276202101</v>
      </c>
      <c r="AN3413">
        <v>1.00000002698782</v>
      </c>
    </row>
    <row r="3414" spans="1:40" x14ac:dyDescent="0.25">
      <c r="A3414" t="str">
        <f>"20190304164438590"</f>
        <v>20190304164438590</v>
      </c>
      <c r="B3414" t="str">
        <f>"1551689078583832"</f>
        <v>1551689078583832</v>
      </c>
      <c r="C3414" t="s">
        <v>40</v>
      </c>
      <c r="D3414">
        <v>4.8338660000000004</v>
      </c>
      <c r="E3414">
        <v>0.55408970000000002</v>
      </c>
      <c r="F3414" t="s">
        <v>41</v>
      </c>
      <c r="G3414">
        <v>-249.2208</v>
      </c>
      <c r="H3414">
        <v>1.0276179999999999</v>
      </c>
      <c r="I3414">
        <v>214.73</v>
      </c>
      <c r="J3414">
        <v>-249.6728</v>
      </c>
      <c r="K3414">
        <v>1.1111310000000001</v>
      </c>
      <c r="L3414">
        <v>214.7543</v>
      </c>
      <c r="M3414">
        <v>0.99964929999999996</v>
      </c>
      <c r="N3414">
        <v>-1.402788E-2</v>
      </c>
      <c r="O3414">
        <v>2.245981E-2</v>
      </c>
      <c r="P3414">
        <v>0.93479840000000003</v>
      </c>
      <c r="Q3414">
        <v>0.34736</v>
      </c>
      <c r="R3414">
        <v>7.4114749999999993E-2</v>
      </c>
      <c r="S3414">
        <v>3.3407749999999998</v>
      </c>
      <c r="T3414">
        <v>-0.34068100000000001</v>
      </c>
      <c r="U3414">
        <v>-6.4193730000000004E-2</v>
      </c>
      <c r="V3414">
        <v>-5.3476759999999998E-2</v>
      </c>
      <c r="W3414">
        <v>0.36040339999999998</v>
      </c>
      <c r="X3414">
        <v>0.93126240000000005</v>
      </c>
      <c r="Y3414">
        <v>4.133415E-2</v>
      </c>
      <c r="Z3414">
        <v>-4.3625959999999998E-3</v>
      </c>
      <c r="AA3414">
        <v>0.99913589999999997</v>
      </c>
      <c r="AB3414">
        <v>37</v>
      </c>
      <c r="AC3414">
        <v>0.45199999999999801</v>
      </c>
      <c r="AD3414">
        <v>-8.3512999999999907E-2</v>
      </c>
      <c r="AE3414">
        <v>-2.4300000000010799E-2</v>
      </c>
      <c r="AF3414">
        <v>3.3312766299552599E-2</v>
      </c>
      <c r="AG3414">
        <v>-8.3512999999999907E-2</v>
      </c>
      <c r="AH3414">
        <v>0.43648266108763401</v>
      </c>
      <c r="AI3414">
        <v>100.80092585621399</v>
      </c>
      <c r="AJ3414">
        <v>85.635593273812702</v>
      </c>
      <c r="AK3414">
        <v>0.44564702960714397</v>
      </c>
      <c r="AL3414">
        <v>68.875028096563199</v>
      </c>
      <c r="AM3414">
        <v>93.286540345173094</v>
      </c>
      <c r="AN3414">
        <v>1.0000000161227001</v>
      </c>
    </row>
    <row r="3415" spans="1:40" x14ac:dyDescent="0.25">
      <c r="A3415" t="str">
        <f>"20190304164438613"</f>
        <v>20190304164438613</v>
      </c>
      <c r="B3415" t="str">
        <f>"1551689078603351"</f>
        <v>1551689078603351</v>
      </c>
      <c r="C3415" t="s">
        <v>40</v>
      </c>
      <c r="D3415">
        <v>4.8795500000000001</v>
      </c>
      <c r="E3415">
        <v>0.55410479999999995</v>
      </c>
      <c r="F3415" t="s">
        <v>41</v>
      </c>
      <c r="G3415">
        <v>-248.8905</v>
      </c>
      <c r="H3415">
        <v>1.0303800000000001</v>
      </c>
      <c r="I3415">
        <v>214.73929999999999</v>
      </c>
      <c r="J3415">
        <v>-249.31139999999999</v>
      </c>
      <c r="K3415">
        <v>1.1111260000000001</v>
      </c>
      <c r="L3415">
        <v>214.7629</v>
      </c>
      <c r="M3415">
        <v>0.99963950000000001</v>
      </c>
      <c r="N3415">
        <v>-1.402554E-2</v>
      </c>
      <c r="O3415">
        <v>2.2899610000000001E-2</v>
      </c>
      <c r="P3415">
        <v>0.93462429999999996</v>
      </c>
      <c r="Q3415">
        <v>0.34778550000000003</v>
      </c>
      <c r="R3415">
        <v>7.4314859999999996E-2</v>
      </c>
      <c r="S3415">
        <v>3.342514</v>
      </c>
      <c r="T3415">
        <v>-0.34520650000000003</v>
      </c>
      <c r="U3415">
        <v>-6.3156130000000005E-2</v>
      </c>
      <c r="V3415">
        <v>-5.3268969999999999E-2</v>
      </c>
      <c r="W3415">
        <v>0.3608246</v>
      </c>
      <c r="X3415">
        <v>0.93111120000000003</v>
      </c>
      <c r="Y3415">
        <v>4.1442850000000003E-2</v>
      </c>
      <c r="Z3415">
        <v>-4.4638079999999997E-3</v>
      </c>
      <c r="AA3415">
        <v>0.99913090000000004</v>
      </c>
      <c r="AB3415">
        <v>37</v>
      </c>
      <c r="AC3415">
        <v>0.42089999999998801</v>
      </c>
      <c r="AD3415">
        <v>-8.0746000000000206E-2</v>
      </c>
      <c r="AE3415">
        <v>-2.3600000000016001E-2</v>
      </c>
      <c r="AF3415">
        <v>3.2057100450914498E-2</v>
      </c>
      <c r="AG3415">
        <v>-8.0746000000000206E-2</v>
      </c>
      <c r="AH3415">
        <v>0.40537676444355802</v>
      </c>
      <c r="AI3415">
        <v>101.230998199892</v>
      </c>
      <c r="AJ3415">
        <v>85.478472675940097</v>
      </c>
      <c r="AK3415">
        <v>0.41458159071049899</v>
      </c>
      <c r="AL3415">
        <v>68.849154299474904</v>
      </c>
      <c r="AM3415">
        <v>93.274328416048604</v>
      </c>
      <c r="AN3415">
        <v>1.00000002094773</v>
      </c>
    </row>
    <row r="3416" spans="1:40" x14ac:dyDescent="0.25">
      <c r="A3416" t="str">
        <f>"20190304164438633"</f>
        <v>20190304164438633</v>
      </c>
      <c r="B3416" t="str">
        <f>"1551689078623848"</f>
        <v>1551689078623848</v>
      </c>
      <c r="C3416" t="s">
        <v>40</v>
      </c>
      <c r="D3416">
        <v>4.9283989999999998</v>
      </c>
      <c r="E3416">
        <v>0.55411429999999995</v>
      </c>
      <c r="F3416" t="s">
        <v>41</v>
      </c>
      <c r="G3416">
        <v>-248.56059999999999</v>
      </c>
      <c r="H3416">
        <v>1.033026</v>
      </c>
      <c r="I3416">
        <v>214.74889999999999</v>
      </c>
      <c r="J3416">
        <v>-248.96180000000001</v>
      </c>
      <c r="K3416">
        <v>1.1111230000000001</v>
      </c>
      <c r="L3416">
        <v>214.7713</v>
      </c>
      <c r="M3416">
        <v>0.99962969999999896</v>
      </c>
      <c r="N3416">
        <v>-1.402335E-2</v>
      </c>
      <c r="O3416">
        <v>2.332511E-2</v>
      </c>
      <c r="P3416">
        <v>0.93476700000000001</v>
      </c>
      <c r="Q3416">
        <v>0.3473868</v>
      </c>
      <c r="R3416">
        <v>7.4385729999999997E-2</v>
      </c>
      <c r="S3416">
        <v>3.3442080000000001</v>
      </c>
      <c r="T3416">
        <v>-0.34789759999999997</v>
      </c>
      <c r="U3416">
        <v>-6.1935419999999998E-2</v>
      </c>
      <c r="V3416">
        <v>-5.2937150000000002E-2</v>
      </c>
      <c r="W3416">
        <v>0.36042659999999999</v>
      </c>
      <c r="X3416">
        <v>0.93128420000000001</v>
      </c>
      <c r="Y3416">
        <v>4.1487040000000003E-2</v>
      </c>
      <c r="Z3416">
        <v>-4.5371889999999996E-3</v>
      </c>
      <c r="AA3416">
        <v>0.99912880000000004</v>
      </c>
      <c r="AB3416">
        <v>37</v>
      </c>
      <c r="AC3416">
        <v>0.40120000000001699</v>
      </c>
      <c r="AD3416">
        <v>-7.8096999999999805E-2</v>
      </c>
      <c r="AE3416">
        <v>-2.24000000000046E-2</v>
      </c>
      <c r="AF3416">
        <v>3.0597077929489899E-2</v>
      </c>
      <c r="AG3416">
        <v>-7.8096999999999805E-2</v>
      </c>
      <c r="AH3416">
        <v>0.38598791109163599</v>
      </c>
      <c r="AI3416">
        <v>101.40341874191201</v>
      </c>
      <c r="AJ3416">
        <v>85.467668190303598</v>
      </c>
      <c r="AK3416">
        <v>0.39499618997619201</v>
      </c>
      <c r="AL3416">
        <v>68.873602006549405</v>
      </c>
      <c r="AM3416">
        <v>93.253372947786801</v>
      </c>
      <c r="AN3416">
        <v>0.99999996850366002</v>
      </c>
    </row>
    <row r="3417" spans="1:40" x14ac:dyDescent="0.25">
      <c r="A3417" t="str">
        <f>"20190304164438657"</f>
        <v>20190304164438657</v>
      </c>
      <c r="B3417" t="str">
        <f>"1551689078653127"</f>
        <v>1551689078653127</v>
      </c>
      <c r="C3417" t="s">
        <v>40</v>
      </c>
      <c r="D3417">
        <v>4.9482189999999999</v>
      </c>
      <c r="E3417">
        <v>0.55440290000000003</v>
      </c>
      <c r="F3417" t="s">
        <v>41</v>
      </c>
      <c r="G3417">
        <v>-248.23169999999999</v>
      </c>
      <c r="H3417">
        <v>1.033998</v>
      </c>
      <c r="I3417">
        <v>214.7578</v>
      </c>
      <c r="J3417">
        <v>-248.59809999999999</v>
      </c>
      <c r="K3417">
        <v>1.111127</v>
      </c>
      <c r="L3417">
        <v>214.78020000000001</v>
      </c>
      <c r="M3417">
        <v>0.99961929999999999</v>
      </c>
      <c r="N3417">
        <v>-1.402103E-2</v>
      </c>
      <c r="O3417">
        <v>2.3767900000000002E-2</v>
      </c>
      <c r="P3417">
        <v>0.93479780000000001</v>
      </c>
      <c r="Q3417">
        <v>0.34735359999999998</v>
      </c>
      <c r="R3417">
        <v>7.4155180000000001E-2</v>
      </c>
      <c r="S3417">
        <v>3.3456419999999998</v>
      </c>
      <c r="T3417">
        <v>-0.353572</v>
      </c>
      <c r="U3417">
        <v>-6.0928339999999998E-2</v>
      </c>
      <c r="V3417">
        <v>-5.2290419999999997E-2</v>
      </c>
      <c r="W3417">
        <v>0.36039320000000002</v>
      </c>
      <c r="X3417">
        <v>0.93133370000000004</v>
      </c>
      <c r="Y3417">
        <v>4.1607289999999998E-2</v>
      </c>
      <c r="Z3417">
        <v>-4.6570759999999996E-3</v>
      </c>
      <c r="AA3417">
        <v>0.99912319999999999</v>
      </c>
      <c r="AB3417">
        <v>37</v>
      </c>
      <c r="AC3417">
        <v>0.36639999999999801</v>
      </c>
      <c r="AD3417">
        <v>-7.7129000000000003E-2</v>
      </c>
      <c r="AE3417">
        <v>-2.24000000000046E-2</v>
      </c>
      <c r="AF3417">
        <v>2.9788023173413902E-2</v>
      </c>
      <c r="AG3417">
        <v>-7.7129000000000003E-2</v>
      </c>
      <c r="AH3417">
        <v>0.35029924807999202</v>
      </c>
      <c r="AI3417">
        <v>102.37399731324</v>
      </c>
      <c r="AJ3417">
        <v>85.139493081235301</v>
      </c>
      <c r="AK3417">
        <v>0.35992467569060499</v>
      </c>
      <c r="AL3417">
        <v>68.8756543414259</v>
      </c>
      <c r="AM3417">
        <v>93.213540059395498</v>
      </c>
      <c r="AN3417">
        <v>1.00000000369285</v>
      </c>
    </row>
    <row r="3418" spans="1:40" x14ac:dyDescent="0.25">
      <c r="A3418" t="str">
        <f>"20190304164438680"</f>
        <v>20190304164438680</v>
      </c>
      <c r="B3418" t="str">
        <f>"1551689078673624"</f>
        <v>1551689078673624</v>
      </c>
      <c r="C3418" t="s">
        <v>40</v>
      </c>
      <c r="D3418">
        <v>4.9658689999999996</v>
      </c>
      <c r="E3418">
        <v>0.55456549999999905</v>
      </c>
      <c r="F3418" t="s">
        <v>41</v>
      </c>
      <c r="G3418">
        <v>-247.59030000000001</v>
      </c>
      <c r="H3418">
        <v>1.003919</v>
      </c>
      <c r="I3418">
        <v>214.76089999999999</v>
      </c>
      <c r="J3418">
        <v>-248.1926</v>
      </c>
      <c r="K3418">
        <v>1.11113</v>
      </c>
      <c r="L3418">
        <v>214.79040000000001</v>
      </c>
      <c r="M3418">
        <v>0.99960740000000003</v>
      </c>
      <c r="N3418">
        <v>-1.401871E-2</v>
      </c>
      <c r="O3418">
        <v>2.4261700000000001E-2</v>
      </c>
      <c r="P3418">
        <v>0.93482089999999995</v>
      </c>
      <c r="Q3418">
        <v>0.34734369999999998</v>
      </c>
      <c r="R3418">
        <v>7.3908360000000006E-2</v>
      </c>
      <c r="S3418">
        <v>3.346603</v>
      </c>
      <c r="T3418">
        <v>-0.3561124</v>
      </c>
      <c r="U3418">
        <v>-6.3568120000000006E-2</v>
      </c>
      <c r="V3418">
        <v>-5.157962E-2</v>
      </c>
      <c r="W3418">
        <v>0.36038249999999999</v>
      </c>
      <c r="X3418">
        <v>0.93137749999999997</v>
      </c>
      <c r="Y3418">
        <v>4.2868259999999998E-2</v>
      </c>
      <c r="Z3418">
        <v>-4.810534E-3</v>
      </c>
      <c r="AA3418">
        <v>0.99906919999999999</v>
      </c>
      <c r="AB3418">
        <v>37</v>
      </c>
      <c r="AC3418">
        <v>0.60229999999998496</v>
      </c>
      <c r="AD3418">
        <v>-0.107210999999999</v>
      </c>
      <c r="AE3418">
        <v>-2.9500000000012901E-2</v>
      </c>
      <c r="AF3418">
        <v>4.2754150955511702E-2</v>
      </c>
      <c r="AG3418">
        <v>-0.107210999999999</v>
      </c>
      <c r="AH3418">
        <v>0.58297941773958595</v>
      </c>
      <c r="AI3418">
        <v>100.393068887312</v>
      </c>
      <c r="AJ3418">
        <v>85.805589736367395</v>
      </c>
      <c r="AK3418">
        <v>0.59429547991963805</v>
      </c>
      <c r="AL3418">
        <v>68.876312053223501</v>
      </c>
      <c r="AM3418">
        <v>93.169798334920102</v>
      </c>
      <c r="AN3418">
        <v>1.00000002550592</v>
      </c>
    </row>
    <row r="3419" spans="1:40" x14ac:dyDescent="0.25">
      <c r="A3419" t="str">
        <f>"20190304164438701"</f>
        <v>20190304164438701</v>
      </c>
      <c r="B3419" t="str">
        <f>"1551689078693144"</f>
        <v>1551689078693144</v>
      </c>
      <c r="C3419" t="s">
        <v>40</v>
      </c>
      <c r="D3419">
        <v>4.9733280000000004</v>
      </c>
      <c r="E3419">
        <v>0.55467390000000005</v>
      </c>
      <c r="F3419" t="s">
        <v>41</v>
      </c>
      <c r="G3419">
        <v>-247.25899999999999</v>
      </c>
      <c r="H3419">
        <v>1.011522</v>
      </c>
      <c r="I3419">
        <v>214.7722</v>
      </c>
      <c r="J3419">
        <v>-247.85429999999999</v>
      </c>
      <c r="K3419">
        <v>1.1111310000000001</v>
      </c>
      <c r="L3419">
        <v>214.79900000000001</v>
      </c>
      <c r="M3419">
        <v>0.99959739999999997</v>
      </c>
      <c r="N3419">
        <v>-1.4016789999999999E-2</v>
      </c>
      <c r="O3419">
        <v>2.4673609999999999E-2</v>
      </c>
      <c r="P3419">
        <v>0.93484909999999999</v>
      </c>
      <c r="Q3419">
        <v>0.34737770000000001</v>
      </c>
      <c r="R3419">
        <v>7.3390109999999995E-2</v>
      </c>
      <c r="S3419">
        <v>3.3470149999999999</v>
      </c>
      <c r="T3419">
        <v>-0.35718290000000003</v>
      </c>
      <c r="U3419">
        <v>-6.4849850000000001E-2</v>
      </c>
      <c r="V3419">
        <v>-5.0674669999999998E-2</v>
      </c>
      <c r="W3419">
        <v>0.36041630000000002</v>
      </c>
      <c r="X3419">
        <v>0.93141410000000002</v>
      </c>
      <c r="Y3419">
        <v>4.3651089999999997E-2</v>
      </c>
      <c r="Z3419">
        <v>-4.9096519999999996E-3</v>
      </c>
      <c r="AA3419">
        <v>0.9990348</v>
      </c>
      <c r="AB3419">
        <v>37</v>
      </c>
      <c r="AC3419">
        <v>0.59529999999997996</v>
      </c>
      <c r="AD3419">
        <v>-9.9608999999999795E-2</v>
      </c>
      <c r="AE3419">
        <v>-2.6800000000008602E-2</v>
      </c>
      <c r="AF3419">
        <v>4.0353940737277001E-2</v>
      </c>
      <c r="AG3419">
        <v>-9.9608999999999795E-2</v>
      </c>
      <c r="AH3419">
        <v>0.57829900717426796</v>
      </c>
      <c r="AI3419">
        <v>99.749752215894603</v>
      </c>
      <c r="AJ3419">
        <v>86.008347588768302</v>
      </c>
      <c r="AK3419">
        <v>0.58820076089101703</v>
      </c>
      <c r="AL3419">
        <v>68.8742360050489</v>
      </c>
      <c r="AM3419">
        <v>93.114173421193001</v>
      </c>
      <c r="AN3419">
        <v>1.0000000285820501</v>
      </c>
    </row>
    <row r="3420" spans="1:40" x14ac:dyDescent="0.25">
      <c r="A3420" t="str">
        <f>"20190304164438723"</f>
        <v>20190304164438723</v>
      </c>
      <c r="B3420" t="str">
        <f>"1551689078713640"</f>
        <v>1551689078713640</v>
      </c>
      <c r="C3420" t="s">
        <v>40</v>
      </c>
      <c r="D3420">
        <v>4.9851609999999997</v>
      </c>
      <c r="E3420">
        <v>0.55476210000000004</v>
      </c>
      <c r="F3420" t="s">
        <v>41</v>
      </c>
      <c r="G3420">
        <v>-246.93119999999999</v>
      </c>
      <c r="H3420">
        <v>1.012397</v>
      </c>
      <c r="I3420">
        <v>214.78039999999999</v>
      </c>
      <c r="J3420">
        <v>-247.49289999999999</v>
      </c>
      <c r="K3420">
        <v>1.1111310000000001</v>
      </c>
      <c r="L3420">
        <v>214.8083</v>
      </c>
      <c r="M3420">
        <v>0.99958630000000004</v>
      </c>
      <c r="N3420">
        <v>-1.401463E-2</v>
      </c>
      <c r="O3420">
        <v>2.5114069999999999E-2</v>
      </c>
      <c r="P3420">
        <v>0.93495019999999995</v>
      </c>
      <c r="Q3420">
        <v>0.34725620000000001</v>
      </c>
      <c r="R3420">
        <v>7.2672500000000001E-2</v>
      </c>
      <c r="S3420">
        <v>3.3473660000000001</v>
      </c>
      <c r="T3420">
        <v>-0.35812450000000001</v>
      </c>
      <c r="U3420">
        <v>-6.692505E-2</v>
      </c>
      <c r="V3420">
        <v>-4.9541450000000001E-2</v>
      </c>
      <c r="W3420">
        <v>0.3602958</v>
      </c>
      <c r="X3420">
        <v>0.93152170000000001</v>
      </c>
      <c r="Y3420">
        <v>4.4697769999999998E-2</v>
      </c>
      <c r="Z3420">
        <v>-5.0261070000000001E-3</v>
      </c>
      <c r="AA3420">
        <v>0.99898790000000004</v>
      </c>
      <c r="AB3420">
        <v>37</v>
      </c>
      <c r="AC3420">
        <v>0.56170000000000098</v>
      </c>
      <c r="AD3420">
        <v>-9.8733999999999794E-2</v>
      </c>
      <c r="AE3420">
        <v>-2.7900000000016599E-2</v>
      </c>
      <c r="AF3420">
        <v>4.0743383589373301E-2</v>
      </c>
      <c r="AG3420">
        <v>-9.8733999999999794E-2</v>
      </c>
      <c r="AH3420">
        <v>0.54405347834898499</v>
      </c>
      <c r="AI3420">
        <v>100.257892813098</v>
      </c>
      <c r="AJ3420">
        <v>85.717195837743802</v>
      </c>
      <c r="AK3420">
        <v>0.55443900779611499</v>
      </c>
      <c r="AL3420">
        <v>68.881637844370701</v>
      </c>
      <c r="AM3420">
        <v>93.044313739638497</v>
      </c>
      <c r="AN3420">
        <v>1.00000004816831</v>
      </c>
    </row>
    <row r="3421" spans="1:40" x14ac:dyDescent="0.25">
      <c r="A3421" t="str">
        <f>"20190304164438746"</f>
        <v>20190304164438746</v>
      </c>
      <c r="B3421" t="str">
        <f>"1551689078733160"</f>
        <v>1551689078733160</v>
      </c>
      <c r="C3421" t="s">
        <v>40</v>
      </c>
      <c r="D3421">
        <v>4.9680109999999997</v>
      </c>
      <c r="E3421">
        <v>0.55504489999999995</v>
      </c>
      <c r="F3421" t="s">
        <v>41</v>
      </c>
      <c r="G3421">
        <v>-246.6027</v>
      </c>
      <c r="H3421">
        <v>1.0153030000000001</v>
      </c>
      <c r="I3421">
        <v>214.78989999999999</v>
      </c>
      <c r="J3421">
        <v>-247.1343</v>
      </c>
      <c r="K3421">
        <v>1.111129</v>
      </c>
      <c r="L3421">
        <v>214.81780000000001</v>
      </c>
      <c r="M3421">
        <v>0.9995754</v>
      </c>
      <c r="N3421">
        <v>-1.4012510000000001E-2</v>
      </c>
      <c r="O3421">
        <v>2.5550949999999999E-2</v>
      </c>
      <c r="P3421">
        <v>0.93489920000000004</v>
      </c>
      <c r="Q3421">
        <v>0.34754069999999998</v>
      </c>
      <c r="R3421">
        <v>7.1967989999999996E-2</v>
      </c>
      <c r="S3421">
        <v>3.3479610000000002</v>
      </c>
      <c r="T3421">
        <v>-0.36043809999999998</v>
      </c>
      <c r="U3421">
        <v>-6.9198609999999994E-2</v>
      </c>
      <c r="V3421">
        <v>-4.8428859999999997E-2</v>
      </c>
      <c r="W3421">
        <v>0.36057820000000002</v>
      </c>
      <c r="X3421">
        <v>0.93147089999999999</v>
      </c>
      <c r="Y3421">
        <v>4.5794870000000001E-2</v>
      </c>
      <c r="Z3421">
        <v>-5.1651079999999999E-3</v>
      </c>
      <c r="AA3421">
        <v>0.99893750000000003</v>
      </c>
      <c r="AB3421">
        <v>37</v>
      </c>
      <c r="AC3421">
        <v>0.53159999999999696</v>
      </c>
      <c r="AD3421">
        <v>-9.5825999999999897E-2</v>
      </c>
      <c r="AE3421">
        <v>-2.7900000000016599E-2</v>
      </c>
      <c r="AF3421">
        <v>4.0173320050887001E-2</v>
      </c>
      <c r="AG3421">
        <v>-9.5825999999999897E-2</v>
      </c>
      <c r="AH3421">
        <v>0.51405586613518095</v>
      </c>
      <c r="AI3421">
        <v>100.52802364602</v>
      </c>
      <c r="AJ3421">
        <v>85.531433398163699</v>
      </c>
      <c r="AK3421">
        <v>0.52445204874030404</v>
      </c>
      <c r="AL3421">
        <v>68.864290830796506</v>
      </c>
      <c r="AM3421">
        <v>92.9762316003346</v>
      </c>
      <c r="AN3421">
        <v>1.0000000151714701</v>
      </c>
    </row>
    <row r="3422" spans="1:40" x14ac:dyDescent="0.25">
      <c r="A3422" t="str">
        <f>"20190304164438768"</f>
        <v>20190304164438768</v>
      </c>
      <c r="B3422" t="str">
        <f>"1551689078763925"</f>
        <v>1551689078763925</v>
      </c>
      <c r="C3422" t="s">
        <v>40</v>
      </c>
      <c r="D3422">
        <v>5.0354419999999998</v>
      </c>
      <c r="E3422">
        <v>0.55554519999999996</v>
      </c>
      <c r="F3422" t="s">
        <v>41</v>
      </c>
      <c r="G3422">
        <v>-246.27459999999999</v>
      </c>
      <c r="H3422">
        <v>1.017711</v>
      </c>
      <c r="I3422">
        <v>214.7988</v>
      </c>
      <c r="J3422">
        <v>-246.7585</v>
      </c>
      <c r="K3422">
        <v>1.1111279999999999</v>
      </c>
      <c r="L3422">
        <v>214.8279</v>
      </c>
      <c r="M3422">
        <v>0.9995636</v>
      </c>
      <c r="N3422">
        <v>-1.4010299999999899E-2</v>
      </c>
      <c r="O3422">
        <v>2.6009350000000001E-2</v>
      </c>
      <c r="P3422">
        <v>0.93492850000000005</v>
      </c>
      <c r="Q3422">
        <v>0.34746860000000002</v>
      </c>
      <c r="R3422">
        <v>7.1934159999999997E-2</v>
      </c>
      <c r="S3422">
        <v>3.3499300000000001</v>
      </c>
      <c r="T3422">
        <v>-0.36406529999999998</v>
      </c>
      <c r="U3422">
        <v>-7.3638919999999997E-2</v>
      </c>
      <c r="V3422">
        <v>-4.7963930000000002E-2</v>
      </c>
      <c r="W3422">
        <v>0.36050529999999997</v>
      </c>
      <c r="X3422">
        <v>0.93152310000000005</v>
      </c>
      <c r="Y3422">
        <v>4.754282E-2</v>
      </c>
      <c r="Z3422">
        <v>-5.3642919999999997E-3</v>
      </c>
      <c r="AA3422">
        <v>0.99885480000000004</v>
      </c>
      <c r="AB3422">
        <v>37</v>
      </c>
      <c r="AC3422">
        <v>0.48390000000000499</v>
      </c>
      <c r="AD3422">
        <v>-9.3417E-2</v>
      </c>
      <c r="AE3422">
        <v>-2.9099999999999598E-2</v>
      </c>
      <c r="AF3422">
        <v>4.0185075940335102E-2</v>
      </c>
      <c r="AG3422">
        <v>-9.3417E-2</v>
      </c>
      <c r="AH3422">
        <v>0.46568647228326898</v>
      </c>
      <c r="AI3422">
        <v>101.30210403711</v>
      </c>
      <c r="AJ3422">
        <v>85.068042798981395</v>
      </c>
      <c r="AK3422">
        <v>0.47666074590316998</v>
      </c>
      <c r="AL3422">
        <v>68.868767382024004</v>
      </c>
      <c r="AM3422">
        <v>92.947544725754</v>
      </c>
      <c r="AN3422">
        <v>0.99999994787137103</v>
      </c>
    </row>
    <row r="3423" spans="1:40" x14ac:dyDescent="0.25">
      <c r="A3423" t="str">
        <f>"20190304164438791"</f>
        <v>20190304164438791</v>
      </c>
      <c r="B3423" t="str">
        <f>"1551689078783445"</f>
        <v>1551689078783445</v>
      </c>
      <c r="C3423" t="s">
        <v>40</v>
      </c>
      <c r="D3423">
        <v>5.0464460000000004</v>
      </c>
      <c r="E3423">
        <v>0.55585150000000005</v>
      </c>
      <c r="F3423" t="s">
        <v>41</v>
      </c>
      <c r="G3423">
        <v>-245.946</v>
      </c>
      <c r="H3423">
        <v>1.0217879999999999</v>
      </c>
      <c r="I3423">
        <v>214.80889999999999</v>
      </c>
      <c r="J3423">
        <v>-246.38630000000001</v>
      </c>
      <c r="K3423">
        <v>1.11113</v>
      </c>
      <c r="L3423">
        <v>214.83799999999999</v>
      </c>
      <c r="M3423">
        <v>0.99955170000000004</v>
      </c>
      <c r="N3423">
        <v>-1.4008110000000001E-2</v>
      </c>
      <c r="O3423">
        <v>2.6463170000000001E-2</v>
      </c>
      <c r="P3423">
        <v>0.93495170000000005</v>
      </c>
      <c r="Q3423">
        <v>0.34758460000000002</v>
      </c>
      <c r="R3423">
        <v>7.1067359999999996E-2</v>
      </c>
      <c r="S3423">
        <v>3.351807</v>
      </c>
      <c r="T3423">
        <v>-0.36862549999999999</v>
      </c>
      <c r="U3423">
        <v>-7.8201290000000007E-2</v>
      </c>
      <c r="V3423">
        <v>-4.6671289999999997E-2</v>
      </c>
      <c r="W3423">
        <v>0.36062090000000002</v>
      </c>
      <c r="X3423">
        <v>0.93154409999999999</v>
      </c>
      <c r="Y3423">
        <v>4.9318359999999999E-2</v>
      </c>
      <c r="Z3423">
        <v>-5.5816199999999998E-3</v>
      </c>
      <c r="AA3423">
        <v>0.99876750000000003</v>
      </c>
      <c r="AB3423">
        <v>37</v>
      </c>
      <c r="AC3423">
        <v>0.44030000000000702</v>
      </c>
      <c r="AD3423">
        <v>-8.9342000000000005E-2</v>
      </c>
      <c r="AE3423">
        <v>-2.9099999999999598E-2</v>
      </c>
      <c r="AF3423">
        <v>3.9138247050159003E-2</v>
      </c>
      <c r="AG3423">
        <v>-8.9342000000000005E-2</v>
      </c>
      <c r="AH3423">
        <v>0.42207312147652298</v>
      </c>
      <c r="AI3423">
        <v>101.90202689797501</v>
      </c>
      <c r="AJ3423">
        <v>84.702192832428906</v>
      </c>
      <c r="AK3423">
        <v>0.43319685504294098</v>
      </c>
      <c r="AL3423">
        <v>68.861668079052393</v>
      </c>
      <c r="AM3423">
        <v>92.868177581102302</v>
      </c>
      <c r="AN3423">
        <v>1.0000000265359399</v>
      </c>
    </row>
    <row r="3424" spans="1:40" x14ac:dyDescent="0.25">
      <c r="A3424" t="str">
        <f>"20190304164438825"</f>
        <v>20190304164438825</v>
      </c>
      <c r="B3424" t="str">
        <f>"1551689078813702"</f>
        <v>1551689078813702</v>
      </c>
      <c r="C3424" t="s">
        <v>40</v>
      </c>
      <c r="D3424">
        <v>5.0538270000000001</v>
      </c>
      <c r="E3424">
        <v>0.55623869999999997</v>
      </c>
      <c r="F3424" t="s">
        <v>41</v>
      </c>
      <c r="G3424">
        <v>-245.61760000000001</v>
      </c>
      <c r="H3424">
        <v>1.026079</v>
      </c>
      <c r="I3424">
        <v>214.81880000000001</v>
      </c>
      <c r="J3424">
        <v>-245.84299999999999</v>
      </c>
      <c r="K3424">
        <v>1.1111219999999999</v>
      </c>
      <c r="L3424">
        <v>214.85310000000001</v>
      </c>
      <c r="M3424">
        <v>0.99953409999999998</v>
      </c>
      <c r="N3424">
        <v>-1.400496E-2</v>
      </c>
      <c r="O3424">
        <v>2.7125710000000001E-2</v>
      </c>
      <c r="P3424">
        <v>0.93492909999999996</v>
      </c>
      <c r="Q3424">
        <v>0.34787669999999998</v>
      </c>
      <c r="R3424">
        <v>6.9925550000000003E-2</v>
      </c>
      <c r="S3424">
        <v>3.3530269999999902</v>
      </c>
      <c r="T3424">
        <v>-0.37122909999999998</v>
      </c>
      <c r="U3424">
        <v>-8.2580570000000006E-2</v>
      </c>
      <c r="V3424">
        <v>-4.4908999999999998E-2</v>
      </c>
      <c r="W3424">
        <v>0.3609117</v>
      </c>
      <c r="X3424">
        <v>0.93151810000000002</v>
      </c>
      <c r="Y3424">
        <v>5.1253010000000002E-2</v>
      </c>
      <c r="Z3424">
        <v>-5.8031019999999897E-3</v>
      </c>
      <c r="AA3424">
        <v>0.99866880000000002</v>
      </c>
      <c r="AB3424">
        <v>37</v>
      </c>
      <c r="AC3424">
        <v>0.22539999999997901</v>
      </c>
      <c r="AD3424">
        <v>-8.5042999999999702E-2</v>
      </c>
      <c r="AE3424">
        <v>-3.4300000000001697E-2</v>
      </c>
      <c r="AF3424">
        <v>3.5467451680068998E-2</v>
      </c>
      <c r="AG3424">
        <v>-8.5042999999999702E-2</v>
      </c>
      <c r="AH3424">
        <v>0.19698027703066701</v>
      </c>
      <c r="AI3424">
        <v>113.02068011263999</v>
      </c>
      <c r="AJ3424">
        <v>79.792926633083596</v>
      </c>
      <c r="AK3424">
        <v>0.21746604681364901</v>
      </c>
      <c r="AL3424">
        <v>68.843803292298105</v>
      </c>
      <c r="AM3424">
        <v>92.7601239581209</v>
      </c>
      <c r="AN3424">
        <v>1.0000000220527401</v>
      </c>
    </row>
    <row r="3425" spans="1:40" x14ac:dyDescent="0.25">
      <c r="A3425" t="str">
        <f>"20190304164438846"</f>
        <v>20190304164438846</v>
      </c>
      <c r="B3425" t="str">
        <f>"1551689078833222"</f>
        <v>1551689078833222</v>
      </c>
      <c r="C3425" t="s">
        <v>40</v>
      </c>
      <c r="D3425">
        <v>5.0506589999999996</v>
      </c>
      <c r="E3425">
        <v>0.55647449999999998</v>
      </c>
      <c r="F3425" t="s">
        <v>41</v>
      </c>
      <c r="G3425">
        <v>-244.9717</v>
      </c>
      <c r="H3425">
        <v>1.0138100000000001</v>
      </c>
      <c r="I3425">
        <v>214.8306</v>
      </c>
      <c r="J3425">
        <v>-245.48220000000001</v>
      </c>
      <c r="K3425">
        <v>1.1111260000000001</v>
      </c>
      <c r="L3425">
        <v>214.86330000000001</v>
      </c>
      <c r="M3425">
        <v>0.99952189999999996</v>
      </c>
      <c r="N3425">
        <v>-1.4002880000000001E-2</v>
      </c>
      <c r="O3425">
        <v>2.756581E-2</v>
      </c>
      <c r="P3425">
        <v>0.93489469999999997</v>
      </c>
      <c r="Q3425">
        <v>0.34790549999999998</v>
      </c>
      <c r="R3425">
        <v>7.0239460000000004E-2</v>
      </c>
      <c r="S3425">
        <v>3.3547210000000001</v>
      </c>
      <c r="T3425">
        <v>-0.37474099999999999</v>
      </c>
      <c r="U3425">
        <v>-8.6669919999999998E-2</v>
      </c>
      <c r="V3425">
        <v>-4.4810780000000001E-2</v>
      </c>
      <c r="W3425">
        <v>0.36093890000000001</v>
      </c>
      <c r="X3425">
        <v>0.93151229999999996</v>
      </c>
      <c r="Y3425">
        <v>5.2874839999999999E-2</v>
      </c>
      <c r="Z3425">
        <v>-5.9994039999999998E-3</v>
      </c>
      <c r="AA3425">
        <v>0.99858309999999995</v>
      </c>
      <c r="AB3425">
        <v>36</v>
      </c>
      <c r="AC3425">
        <v>0.51050000000000695</v>
      </c>
      <c r="AD3425">
        <v>-9.7315999999999903E-2</v>
      </c>
      <c r="AE3425">
        <v>-3.2700000000005502E-2</v>
      </c>
      <c r="AF3425">
        <v>4.5128074081469197E-2</v>
      </c>
      <c r="AG3425">
        <v>-9.7315999999999903E-2</v>
      </c>
      <c r="AH3425">
        <v>0.49161260110154598</v>
      </c>
      <c r="AI3425">
        <v>101.15139066434701</v>
      </c>
      <c r="AJ3425">
        <v>84.755175079851696</v>
      </c>
      <c r="AK3425">
        <v>0.503179785452606</v>
      </c>
      <c r="AL3425">
        <v>68.842132389948006</v>
      </c>
      <c r="AM3425">
        <v>92.754113746388796</v>
      </c>
      <c r="AN3425">
        <v>1.0000000302943499</v>
      </c>
    </row>
    <row r="3426" spans="1:40" x14ac:dyDescent="0.25">
      <c r="A3426" t="str">
        <f>"20190304164438869"</f>
        <v>20190304164438869</v>
      </c>
      <c r="B3426" t="str">
        <f>"1551689078863477"</f>
        <v>1551689078863477</v>
      </c>
      <c r="C3426" t="s">
        <v>40</v>
      </c>
      <c r="D3426">
        <v>5.073995</v>
      </c>
      <c r="E3426">
        <v>0.55675520000000001</v>
      </c>
      <c r="F3426" t="s">
        <v>41</v>
      </c>
      <c r="G3426">
        <v>-244.6446</v>
      </c>
      <c r="H3426">
        <v>1.0170189999999999</v>
      </c>
      <c r="I3426">
        <v>214.8416</v>
      </c>
      <c r="J3426">
        <v>-245.1172</v>
      </c>
      <c r="K3426">
        <v>1.1111249999999999</v>
      </c>
      <c r="L3426">
        <v>214.87389999999999</v>
      </c>
      <c r="M3426">
        <v>0.9995096</v>
      </c>
      <c r="N3426">
        <v>-1.4000749999999999E-2</v>
      </c>
      <c r="O3426">
        <v>2.8011100000000001E-2</v>
      </c>
      <c r="P3426">
        <v>0.93485169999999995</v>
      </c>
      <c r="Q3426">
        <v>0.3479373</v>
      </c>
      <c r="R3426">
        <v>7.065515E-2</v>
      </c>
      <c r="S3426">
        <v>3.3557739999999998</v>
      </c>
      <c r="T3426">
        <v>-0.37703900000000001</v>
      </c>
      <c r="U3426">
        <v>-8.7158200000000005E-2</v>
      </c>
      <c r="V3426">
        <v>-4.4810219999999998E-2</v>
      </c>
      <c r="W3426">
        <v>0.36096869999999998</v>
      </c>
      <c r="X3426">
        <v>0.93150069999999996</v>
      </c>
      <c r="Y3426">
        <v>5.3444829999999999E-2</v>
      </c>
      <c r="Z3426">
        <v>-6.1137429999999996E-3</v>
      </c>
      <c r="AA3426">
        <v>0.99855210000000005</v>
      </c>
      <c r="AB3426">
        <v>36</v>
      </c>
      <c r="AC3426">
        <v>0.47259999999999902</v>
      </c>
      <c r="AD3426">
        <v>-9.4105999999999801E-2</v>
      </c>
      <c r="AE3426">
        <v>-3.2299999999992203E-2</v>
      </c>
      <c r="AF3426">
        <v>4.3798128694394797E-2</v>
      </c>
      <c r="AG3426">
        <v>-9.4105999999999801E-2</v>
      </c>
      <c r="AH3426">
        <v>0.45360758945214902</v>
      </c>
      <c r="AI3426">
        <v>101.667628635005</v>
      </c>
      <c r="AJ3426">
        <v>84.484896455518594</v>
      </c>
      <c r="AK3426">
        <v>0.46533220447516899</v>
      </c>
      <c r="AL3426">
        <v>68.840299902772898</v>
      </c>
      <c r="AM3426">
        <v>92.754113625050195</v>
      </c>
      <c r="AN3426">
        <v>0.99999995614831305</v>
      </c>
    </row>
    <row r="3427" spans="1:40" x14ac:dyDescent="0.25">
      <c r="A3427" t="str">
        <f>"20190304164438891"</f>
        <v>20190304164438891</v>
      </c>
      <c r="B3427" t="str">
        <f>"1551689078882997"</f>
        <v>1551689078882997</v>
      </c>
      <c r="C3427" t="s">
        <v>40</v>
      </c>
      <c r="D3427">
        <v>5.0723799999999999</v>
      </c>
      <c r="E3427">
        <v>0.55687830000000005</v>
      </c>
      <c r="F3427" t="s">
        <v>41</v>
      </c>
      <c r="G3427">
        <v>-244.3175</v>
      </c>
      <c r="H3427">
        <v>1.020632</v>
      </c>
      <c r="I3427">
        <v>214.85249999999999</v>
      </c>
      <c r="J3427">
        <v>-244.75200000000001</v>
      </c>
      <c r="K3427">
        <v>1.111119</v>
      </c>
      <c r="L3427">
        <v>214.88460000000001</v>
      </c>
      <c r="M3427">
        <v>0.99949710000000003</v>
      </c>
      <c r="N3427">
        <v>-1.399861E-2</v>
      </c>
      <c r="O3427">
        <v>2.845692E-2</v>
      </c>
      <c r="P3427">
        <v>0.93485010000000002</v>
      </c>
      <c r="Q3427">
        <v>0.3478135</v>
      </c>
      <c r="R3427">
        <v>7.1283769999999996E-2</v>
      </c>
      <c r="S3427">
        <v>3.3572389999999999</v>
      </c>
      <c r="T3427">
        <v>-0.38006479999999998</v>
      </c>
      <c r="U3427">
        <v>-8.8882450000000002E-2</v>
      </c>
      <c r="V3427">
        <v>-4.5019990000000003E-2</v>
      </c>
      <c r="W3427">
        <v>0.36084329999999998</v>
      </c>
      <c r="X3427">
        <v>0.93153920000000001</v>
      </c>
      <c r="Y3427">
        <v>5.4374760000000001E-2</v>
      </c>
      <c r="Z3427">
        <v>-6.2630200000000002E-3</v>
      </c>
      <c r="AA3427">
        <v>0.99850090000000002</v>
      </c>
      <c r="AB3427">
        <v>36</v>
      </c>
      <c r="AC3427">
        <v>0.43450000000001399</v>
      </c>
      <c r="AD3427">
        <v>-9.0486999999999901E-2</v>
      </c>
      <c r="AE3427">
        <v>-3.2100000000013999E-2</v>
      </c>
      <c r="AF3427">
        <v>4.26145642788755E-2</v>
      </c>
      <c r="AG3427">
        <v>-9.0486999999999901E-2</v>
      </c>
      <c r="AH3427">
        <v>0.41548839059616699</v>
      </c>
      <c r="AI3427">
        <v>102.224107830942</v>
      </c>
      <c r="AJ3427">
        <v>84.143935872073698</v>
      </c>
      <c r="AK3427">
        <v>0.42735757975946997</v>
      </c>
      <c r="AL3427">
        <v>68.848004650619998</v>
      </c>
      <c r="AM3427">
        <v>92.766872281765899</v>
      </c>
      <c r="AN3427">
        <v>0.99999998389556399</v>
      </c>
    </row>
    <row r="3428" spans="1:40" x14ac:dyDescent="0.25">
      <c r="A3428" t="str">
        <f>"20190304164438913"</f>
        <v>20190304164438913</v>
      </c>
      <c r="B3428" t="str">
        <f>"1551689078903493"</f>
        <v>1551689078903493</v>
      </c>
      <c r="C3428" t="s">
        <v>40</v>
      </c>
      <c r="D3428">
        <v>5.0790649999999999</v>
      </c>
      <c r="E3428">
        <v>0.55703100000000005</v>
      </c>
      <c r="F3428" t="s">
        <v>41</v>
      </c>
      <c r="G3428">
        <v>-243.99080000000001</v>
      </c>
      <c r="H3428">
        <v>1.024227</v>
      </c>
      <c r="I3428">
        <v>214.8646</v>
      </c>
      <c r="J3428">
        <v>-244.4024</v>
      </c>
      <c r="K3428">
        <v>1.1111219999999999</v>
      </c>
      <c r="L3428">
        <v>214.89490000000001</v>
      </c>
      <c r="M3428">
        <v>0.99948499999999996</v>
      </c>
      <c r="N3428">
        <v>-1.3996639999999999E-2</v>
      </c>
      <c r="O3428">
        <v>2.8883619999999999E-2</v>
      </c>
      <c r="P3428">
        <v>0.93477460000000001</v>
      </c>
      <c r="Q3428">
        <v>0.34790270000000001</v>
      </c>
      <c r="R3428">
        <v>7.1836919999999999E-2</v>
      </c>
      <c r="S3428">
        <v>3.3584290000000001</v>
      </c>
      <c r="T3428">
        <v>-0.38342480000000001</v>
      </c>
      <c r="U3428">
        <v>-8.7860110000000005E-2</v>
      </c>
      <c r="V3428">
        <v>-4.5174720000000002E-2</v>
      </c>
      <c r="W3428">
        <v>0.36092999999999997</v>
      </c>
      <c r="X3428">
        <v>0.9314981</v>
      </c>
      <c r="Y3428">
        <v>5.4476070000000001E-2</v>
      </c>
      <c r="Z3428">
        <v>-6.365061E-3</v>
      </c>
      <c r="AA3428">
        <v>0.99849480000000002</v>
      </c>
      <c r="AB3428">
        <v>36</v>
      </c>
      <c r="AC3428">
        <v>0.41159999999999197</v>
      </c>
      <c r="AD3428">
        <v>-8.6894999999999903E-2</v>
      </c>
      <c r="AE3428">
        <v>-3.0300000000010999E-2</v>
      </c>
      <c r="AF3428">
        <v>4.0386698524217897E-2</v>
      </c>
      <c r="AG3428">
        <v>-8.6894999999999903E-2</v>
      </c>
      <c r="AH3428">
        <v>0.39312594972556802</v>
      </c>
      <c r="AI3428">
        <v>102.400793993848</v>
      </c>
      <c r="AJ3428">
        <v>84.134454867282003</v>
      </c>
      <c r="AK3428">
        <v>0.40463543936525898</v>
      </c>
      <c r="AL3428">
        <v>68.842677738911803</v>
      </c>
      <c r="AM3428">
        <v>92.7764892490449</v>
      </c>
      <c r="AN3428">
        <v>0.99999996526534296</v>
      </c>
    </row>
    <row r="3429" spans="1:40" x14ac:dyDescent="0.25">
      <c r="A3429" t="str">
        <f>"20190304164438935"</f>
        <v>20190304164438935</v>
      </c>
      <c r="B3429" t="str">
        <f>"1551689078923990"</f>
        <v>1551689078923990</v>
      </c>
      <c r="C3429" t="s">
        <v>40</v>
      </c>
      <c r="D3429">
        <v>5.0936810000000001</v>
      </c>
      <c r="E3429">
        <v>0.55715760000000003</v>
      </c>
      <c r="F3429" t="s">
        <v>41</v>
      </c>
      <c r="G3429">
        <v>-243.66489999999999</v>
      </c>
      <c r="H3429">
        <v>1.026481</v>
      </c>
      <c r="I3429">
        <v>214.8758</v>
      </c>
      <c r="J3429">
        <v>-244.04040000000001</v>
      </c>
      <c r="K3429">
        <v>1.111124</v>
      </c>
      <c r="L3429">
        <v>214.9059</v>
      </c>
      <c r="M3429">
        <v>0.99947200000000003</v>
      </c>
      <c r="N3429">
        <v>-1.399451E-2</v>
      </c>
      <c r="O3429">
        <v>2.9325799999999999E-2</v>
      </c>
      <c r="P3429">
        <v>0.93474699999999999</v>
      </c>
      <c r="Q3429">
        <v>0.347858</v>
      </c>
      <c r="R3429">
        <v>7.2405239999999996E-2</v>
      </c>
      <c r="S3429">
        <v>3.3595429999999999</v>
      </c>
      <c r="T3429">
        <v>-0.38563380000000003</v>
      </c>
      <c r="U3429">
        <v>-8.69751E-2</v>
      </c>
      <c r="V3429">
        <v>-4.5328840000000002E-2</v>
      </c>
      <c r="W3429">
        <v>0.36088330000000002</v>
      </c>
      <c r="X3429">
        <v>0.93150869999999997</v>
      </c>
      <c r="Y3429">
        <v>5.4637020000000001E-2</v>
      </c>
      <c r="Z3429">
        <v>-6.4542840000000002E-3</v>
      </c>
      <c r="AA3429">
        <v>0.99848539999999997</v>
      </c>
      <c r="AB3429">
        <v>36</v>
      </c>
      <c r="AC3429">
        <v>0.37550000000001599</v>
      </c>
      <c r="AD3429">
        <v>-8.4642999999999996E-2</v>
      </c>
      <c r="AE3429">
        <v>-3.0100000000004401E-2</v>
      </c>
      <c r="AF3429">
        <v>3.9124675387030503E-2</v>
      </c>
      <c r="AG3429">
        <v>-8.4642999999999996E-2</v>
      </c>
      <c r="AH3429">
        <v>0.35645908493252798</v>
      </c>
      <c r="AI3429">
        <v>103.28087133400599</v>
      </c>
      <c r="AJ3429">
        <v>83.736331935578704</v>
      </c>
      <c r="AK3429">
        <v>0.36845387350939302</v>
      </c>
      <c r="AL3429">
        <v>68.845546685112296</v>
      </c>
      <c r="AM3429">
        <v>92.785915087728696</v>
      </c>
      <c r="AN3429">
        <v>0.99999995906516104</v>
      </c>
    </row>
    <row r="3430" spans="1:40" x14ac:dyDescent="0.25">
      <c r="A3430" t="str">
        <f>"20190304164438958"</f>
        <v>20190304164438958</v>
      </c>
      <c r="B3430" t="str">
        <f>"1551689078953269"</f>
        <v>1551689078953269</v>
      </c>
      <c r="C3430" t="s">
        <v>40</v>
      </c>
      <c r="D3430">
        <v>5.1045550000000004</v>
      </c>
      <c r="E3430">
        <v>0.55737479999999995</v>
      </c>
      <c r="F3430" t="s">
        <v>41</v>
      </c>
      <c r="G3430">
        <v>-243.03149999999999</v>
      </c>
      <c r="H3430">
        <v>0.99458539999999995</v>
      </c>
      <c r="I3430">
        <v>214.87960000000001</v>
      </c>
      <c r="J3430">
        <v>-243.67570000000001</v>
      </c>
      <c r="K3430">
        <v>1.1111219999999999</v>
      </c>
      <c r="L3430">
        <v>214.917</v>
      </c>
      <c r="M3430">
        <v>0.99945879999999998</v>
      </c>
      <c r="N3430">
        <v>-1.399247E-2</v>
      </c>
      <c r="O3430">
        <v>2.9771329999999999E-2</v>
      </c>
      <c r="P3430">
        <v>0.93479420000000002</v>
      </c>
      <c r="Q3430">
        <v>0.34769349999999999</v>
      </c>
      <c r="R3430">
        <v>7.2587490000000005E-2</v>
      </c>
      <c r="S3430">
        <v>3.3606720000000001</v>
      </c>
      <c r="T3430">
        <v>-0.38835730000000002</v>
      </c>
      <c r="U3430">
        <v>-8.6639399999999894E-2</v>
      </c>
      <c r="V3430">
        <v>-4.5091630000000001E-2</v>
      </c>
      <c r="W3430">
        <v>0.36071789999999998</v>
      </c>
      <c r="X3430">
        <v>0.93158439999999998</v>
      </c>
      <c r="Y3430">
        <v>5.4961650000000001E-2</v>
      </c>
      <c r="Z3430">
        <v>-6.5636649999999998E-3</v>
      </c>
      <c r="AA3430">
        <v>0.99846690000000005</v>
      </c>
      <c r="AB3430">
        <v>36</v>
      </c>
      <c r="AC3430">
        <v>0.64420000000001199</v>
      </c>
      <c r="AD3430">
        <v>-0.1165366</v>
      </c>
      <c r="AE3430">
        <v>-3.7399999999991003E-2</v>
      </c>
      <c r="AF3430">
        <v>5.47774035182425E-2</v>
      </c>
      <c r="AG3430">
        <v>-0.1165366</v>
      </c>
      <c r="AH3430">
        <v>0.62249785801735302</v>
      </c>
      <c r="AI3430">
        <v>100.563598287324</v>
      </c>
      <c r="AJ3430">
        <v>84.971146350448606</v>
      </c>
      <c r="AK3430">
        <v>0.63567674671325902</v>
      </c>
      <c r="AL3430">
        <v>68.855710432173794</v>
      </c>
      <c r="AM3430">
        <v>92.771134077402806</v>
      </c>
      <c r="AN3430">
        <v>1.00000007639991</v>
      </c>
    </row>
    <row r="3431" spans="1:40" x14ac:dyDescent="0.25">
      <c r="A3431" t="str">
        <f>"20190304164438980"</f>
        <v>20190304164438980</v>
      </c>
      <c r="B3431" t="str">
        <f>"1551689078973765"</f>
        <v>1551689078973765</v>
      </c>
      <c r="C3431" t="s">
        <v>40</v>
      </c>
      <c r="D3431">
        <v>5.1272419999999999</v>
      </c>
      <c r="E3431">
        <v>0.55751949999999995</v>
      </c>
      <c r="F3431" t="s">
        <v>41</v>
      </c>
      <c r="G3431">
        <v>-242.70590000000001</v>
      </c>
      <c r="H3431">
        <v>0.99798489999999995</v>
      </c>
      <c r="I3431">
        <v>214.89169999999999</v>
      </c>
      <c r="J3431">
        <v>-243.30369999999999</v>
      </c>
      <c r="K3431">
        <v>1.1111169999999999</v>
      </c>
      <c r="L3431">
        <v>214.92859999999999</v>
      </c>
      <c r="M3431">
        <v>0.99944529999999998</v>
      </c>
      <c r="N3431">
        <v>-1.399046E-2</v>
      </c>
      <c r="O3431">
        <v>3.0225439999999999E-2</v>
      </c>
      <c r="P3431">
        <v>0.93477650000000001</v>
      </c>
      <c r="Q3431">
        <v>0.34765109999999999</v>
      </c>
      <c r="R3431">
        <v>7.3018659999999999E-2</v>
      </c>
      <c r="S3431">
        <v>3.3619690000000002</v>
      </c>
      <c r="T3431">
        <v>-0.39227339999999999</v>
      </c>
      <c r="U3431">
        <v>-8.7402339999999995E-2</v>
      </c>
      <c r="V3431">
        <v>-4.5096890000000001E-2</v>
      </c>
      <c r="W3431">
        <v>0.3606743</v>
      </c>
      <c r="X3431">
        <v>0.93160089999999995</v>
      </c>
      <c r="Y3431">
        <v>5.5613549999999998E-2</v>
      </c>
      <c r="Z3431">
        <v>-6.7161209999999898E-3</v>
      </c>
      <c r="AA3431">
        <v>0.99842980000000003</v>
      </c>
      <c r="AB3431">
        <v>36</v>
      </c>
      <c r="AC3431">
        <v>0.59779999999997802</v>
      </c>
      <c r="AD3431">
        <v>-0.113132099999999</v>
      </c>
      <c r="AE3431">
        <v>-3.6900000000002799E-2</v>
      </c>
      <c r="AF3431">
        <v>5.3060543928522601E-2</v>
      </c>
      <c r="AG3431">
        <v>-0.113132099999999</v>
      </c>
      <c r="AH3431">
        <v>0.57586529724397095</v>
      </c>
      <c r="AI3431">
        <v>101.06882267496199</v>
      </c>
      <c r="AJ3431">
        <v>84.735599953868899</v>
      </c>
      <c r="AK3431">
        <v>0.58926660684471799</v>
      </c>
      <c r="AL3431">
        <v>68.858386216777902</v>
      </c>
      <c r="AM3431">
        <v>92.771407820019306</v>
      </c>
      <c r="AN3431">
        <v>0.99999995852448498</v>
      </c>
    </row>
    <row r="3432" spans="1:40" x14ac:dyDescent="0.25">
      <c r="A3432" t="str">
        <f>"20190304164439003"</f>
        <v>20190304164439003</v>
      </c>
      <c r="B3432" t="str">
        <f>"1551689078993285"</f>
        <v>1551689078993285</v>
      </c>
      <c r="C3432" t="s">
        <v>40</v>
      </c>
      <c r="D3432">
        <v>5.1162239999999999</v>
      </c>
      <c r="E3432">
        <v>0.55767089999999997</v>
      </c>
      <c r="F3432" t="s">
        <v>41</v>
      </c>
      <c r="G3432">
        <v>-242.37979999999999</v>
      </c>
      <c r="H3432">
        <v>1.002839</v>
      </c>
      <c r="I3432">
        <v>214.90440000000001</v>
      </c>
      <c r="J3432">
        <v>-242.94810000000001</v>
      </c>
      <c r="K3432">
        <v>1.1111200000000001</v>
      </c>
      <c r="L3432">
        <v>214.93979999999999</v>
      </c>
      <c r="M3432">
        <v>0.99943199999999999</v>
      </c>
      <c r="N3432">
        <v>-1.3988489999999999E-2</v>
      </c>
      <c r="O3432">
        <v>3.066017E-2</v>
      </c>
      <c r="P3432">
        <v>0.93486210000000003</v>
      </c>
      <c r="Q3432">
        <v>0.347402299999999</v>
      </c>
      <c r="R3432">
        <v>7.3107720000000001E-2</v>
      </c>
      <c r="S3432">
        <v>3.362717</v>
      </c>
      <c r="T3432">
        <v>-0.3941538</v>
      </c>
      <c r="U3432">
        <v>-8.7249759999999996E-2</v>
      </c>
      <c r="V3432">
        <v>-4.4775009999999997E-2</v>
      </c>
      <c r="W3432">
        <v>0.3604252</v>
      </c>
      <c r="X3432">
        <v>0.93171289999999996</v>
      </c>
      <c r="Y3432">
        <v>5.5986330000000001E-2</v>
      </c>
      <c r="Z3432">
        <v>-6.8158719999999997E-3</v>
      </c>
      <c r="AA3432">
        <v>0.99840830000000003</v>
      </c>
      <c r="AB3432">
        <v>36</v>
      </c>
      <c r="AC3432">
        <v>0.56830000000002201</v>
      </c>
      <c r="AD3432">
        <v>-0.108281</v>
      </c>
      <c r="AE3432">
        <v>-3.5399999999981398E-2</v>
      </c>
      <c r="AF3432">
        <v>5.0966132773533998E-2</v>
      </c>
      <c r="AG3432">
        <v>-0.108281</v>
      </c>
      <c r="AH3432">
        <v>0.54716020899740003</v>
      </c>
      <c r="AI3432">
        <v>101.14695373266299</v>
      </c>
      <c r="AJ3432">
        <v>84.678445897829107</v>
      </c>
      <c r="AK3432">
        <v>0.560095184732888</v>
      </c>
      <c r="AL3432">
        <v>68.873689299306804</v>
      </c>
      <c r="AM3432">
        <v>92.751327084419103</v>
      </c>
      <c r="AN3432">
        <v>1.0000000271709699</v>
      </c>
    </row>
    <row r="3433" spans="1:40" x14ac:dyDescent="0.25">
      <c r="A3433" t="str">
        <f>"20190304164439025"</f>
        <v>20190304164439025</v>
      </c>
      <c r="B3433" t="str">
        <f>"1551689079013781"</f>
        <v>1551689079013781</v>
      </c>
      <c r="C3433" t="s">
        <v>40</v>
      </c>
      <c r="D3433">
        <v>5.11015</v>
      </c>
      <c r="E3433">
        <v>0.55783050000000001</v>
      </c>
      <c r="F3433" t="s">
        <v>41</v>
      </c>
      <c r="G3433">
        <v>-242.0549</v>
      </c>
      <c r="H3433">
        <v>1.005798</v>
      </c>
      <c r="I3433">
        <v>214.9161</v>
      </c>
      <c r="J3433">
        <v>-242.58359999999999</v>
      </c>
      <c r="K3433">
        <v>1.11112099999999</v>
      </c>
      <c r="L3433">
        <v>214.95140000000001</v>
      </c>
      <c r="M3433">
        <v>0.99941829999999998</v>
      </c>
      <c r="N3433">
        <v>-1.3986470000000001E-2</v>
      </c>
      <c r="O3433">
        <v>3.1105399999999998E-2</v>
      </c>
      <c r="P3433">
        <v>0.93463620000000003</v>
      </c>
      <c r="Q3433">
        <v>0.34798770000000001</v>
      </c>
      <c r="R3433">
        <v>7.3211540000000006E-2</v>
      </c>
      <c r="S3433">
        <v>3.3633730000000002</v>
      </c>
      <c r="T3433">
        <v>-0.3965359</v>
      </c>
      <c r="U3433">
        <v>-8.9385989999999999E-2</v>
      </c>
      <c r="V3433">
        <v>-4.4468399999999998E-2</v>
      </c>
      <c r="W3433">
        <v>0.36100650000000001</v>
      </c>
      <c r="X3433">
        <v>0.93150250000000001</v>
      </c>
      <c r="Y3433">
        <v>5.7042229999999999E-2</v>
      </c>
      <c r="Z3433">
        <v>-6.9711670000000003E-3</v>
      </c>
      <c r="AA3433">
        <v>0.9983474</v>
      </c>
      <c r="AB3433">
        <v>36</v>
      </c>
      <c r="AC3433">
        <v>0.52869999999998596</v>
      </c>
      <c r="AD3433">
        <v>-0.105322999999999</v>
      </c>
      <c r="AE3433">
        <v>-3.53000000000065E-2</v>
      </c>
      <c r="AF3433">
        <v>4.9763828916129703E-2</v>
      </c>
      <c r="AG3433">
        <v>-0.105322999999999</v>
      </c>
      <c r="AH3433">
        <v>0.50730295490771304</v>
      </c>
      <c r="AI3433">
        <v>101.674276486965</v>
      </c>
      <c r="AJ3433">
        <v>84.397500993932695</v>
      </c>
      <c r="AK3433">
        <v>0.52050519791399896</v>
      </c>
      <c r="AL3433">
        <v>68.837978932508094</v>
      </c>
      <c r="AM3433">
        <v>92.733131481339996</v>
      </c>
      <c r="AN3433">
        <v>1.0000000195735299</v>
      </c>
    </row>
    <row r="3434" spans="1:40" x14ac:dyDescent="0.25">
      <c r="A3434" t="str">
        <f>"20190304164439048"</f>
        <v>20190304164439048</v>
      </c>
      <c r="B3434" t="str">
        <f>"1551689079043061"</f>
        <v>1551689079043061</v>
      </c>
      <c r="C3434" t="s">
        <v>40</v>
      </c>
      <c r="D3434">
        <v>5.1587459999999998</v>
      </c>
      <c r="E3434">
        <v>0.55813000000000001</v>
      </c>
      <c r="F3434" t="s">
        <v>41</v>
      </c>
      <c r="G3434">
        <v>-241.72919999999999</v>
      </c>
      <c r="H3434">
        <v>1.0106539999999999</v>
      </c>
      <c r="I3434">
        <v>214.9282</v>
      </c>
      <c r="J3434">
        <v>-242.21780000000001</v>
      </c>
      <c r="K3434">
        <v>1.1111279999999999</v>
      </c>
      <c r="L3434">
        <v>214.9632</v>
      </c>
      <c r="M3434">
        <v>0.99940430000000002</v>
      </c>
      <c r="N3434">
        <v>-1.3984379999999999E-2</v>
      </c>
      <c r="O3434">
        <v>3.1552539999999997E-2</v>
      </c>
      <c r="P3434">
        <v>0.93468390000000001</v>
      </c>
      <c r="Q3434">
        <v>0.34793550000000001</v>
      </c>
      <c r="R3434">
        <v>7.2847839999999997E-2</v>
      </c>
      <c r="S3434">
        <v>3.364258</v>
      </c>
      <c r="T3434">
        <v>-0.39570939999999999</v>
      </c>
      <c r="U3434">
        <v>-9.1125490000000003E-2</v>
      </c>
      <c r="V3434">
        <v>-4.368404E-2</v>
      </c>
      <c r="W3434">
        <v>0.3609541</v>
      </c>
      <c r="X3434">
        <v>0.9315599</v>
      </c>
      <c r="Y3434">
        <v>5.7990849999999997E-2</v>
      </c>
      <c r="Z3434">
        <v>-7.063209E-3</v>
      </c>
      <c r="AA3434">
        <v>0.99829210000000002</v>
      </c>
      <c r="AB3434">
        <v>36</v>
      </c>
      <c r="AC3434">
        <v>0.48860000000001902</v>
      </c>
      <c r="AD3434">
        <v>-0.10047399999999899</v>
      </c>
      <c r="AE3434">
        <v>-3.4999999999996499E-2</v>
      </c>
      <c r="AF3434">
        <v>4.8365871693010799E-2</v>
      </c>
      <c r="AG3434">
        <v>-0.10047399999999899</v>
      </c>
      <c r="AH3434">
        <v>0.46758086898060103</v>
      </c>
      <c r="AI3434">
        <v>102.064862616599</v>
      </c>
      <c r="AJ3434">
        <v>84.094412104663405</v>
      </c>
      <c r="AK3434">
        <v>0.48069340671292599</v>
      </c>
      <c r="AL3434">
        <v>68.841197923086</v>
      </c>
      <c r="AM3434">
        <v>92.684828868372307</v>
      </c>
      <c r="AN3434">
        <v>1.00000000247277</v>
      </c>
    </row>
    <row r="3435" spans="1:40" x14ac:dyDescent="0.25">
      <c r="A3435" t="str">
        <f>"20190304164439070"</f>
        <v>20190304164439070</v>
      </c>
      <c r="B3435" t="str">
        <f>"1551689079063557"</f>
        <v>1551689079063557</v>
      </c>
      <c r="C3435" t="s">
        <v>40</v>
      </c>
      <c r="D3435">
        <v>5.1302029999999998</v>
      </c>
      <c r="E3435">
        <v>0.55826669999999901</v>
      </c>
      <c r="F3435" t="s">
        <v>41</v>
      </c>
      <c r="G3435">
        <v>-241.4042</v>
      </c>
      <c r="H3435">
        <v>1.0149509999999999</v>
      </c>
      <c r="I3435">
        <v>214.94049999999999</v>
      </c>
      <c r="J3435">
        <v>-241.85659999999999</v>
      </c>
      <c r="K3435">
        <v>1.111132</v>
      </c>
      <c r="L3435">
        <v>214.9751</v>
      </c>
      <c r="M3435">
        <v>0.99939029999999995</v>
      </c>
      <c r="N3435">
        <v>-1.3982390000000001E-2</v>
      </c>
      <c r="O3435">
        <v>3.1992930000000003E-2</v>
      </c>
      <c r="P3435">
        <v>0.93465100000000001</v>
      </c>
      <c r="Q3435">
        <v>0.34803400000000001</v>
      </c>
      <c r="R3435">
        <v>7.2801870000000005E-2</v>
      </c>
      <c r="S3435">
        <v>3.365021</v>
      </c>
      <c r="T3435">
        <v>-0.39781699999999998</v>
      </c>
      <c r="U3435">
        <v>-9.3521119999999999E-2</v>
      </c>
      <c r="V3435">
        <v>-4.322521E-2</v>
      </c>
      <c r="W3435">
        <v>0.3610505</v>
      </c>
      <c r="X3435">
        <v>0.93154389999999998</v>
      </c>
      <c r="Y3435">
        <v>5.9117339999999997E-2</v>
      </c>
      <c r="Z3435">
        <v>-7.2190989999999997E-3</v>
      </c>
      <c r="AA3435">
        <v>0.99822489999999997</v>
      </c>
      <c r="AB3435">
        <v>36</v>
      </c>
      <c r="AC3435">
        <v>0.45239999999998198</v>
      </c>
      <c r="AD3435">
        <v>-9.6181000000000003E-2</v>
      </c>
      <c r="AE3435">
        <v>-3.4600000000011698E-2</v>
      </c>
      <c r="AF3435">
        <v>4.6947632868611602E-2</v>
      </c>
      <c r="AG3435">
        <v>-9.6181000000000003E-2</v>
      </c>
      <c r="AH3435">
        <v>0.43166379161603202</v>
      </c>
      <c r="AI3435">
        <v>102.489826785798</v>
      </c>
      <c r="AJ3435">
        <v>83.792924202284993</v>
      </c>
      <c r="AK3435">
        <v>0.44473418351336003</v>
      </c>
      <c r="AL3435">
        <v>68.835274268799594</v>
      </c>
      <c r="AM3435">
        <v>92.656715275410505</v>
      </c>
      <c r="AN3435">
        <v>0.999999959978501</v>
      </c>
    </row>
    <row r="3436" spans="1:40" x14ac:dyDescent="0.25">
      <c r="A3436" t="str">
        <f>"20190304164439091"</f>
        <v>20190304164439091</v>
      </c>
      <c r="B3436" t="str">
        <f>"1551689079083077"</f>
        <v>1551689079083077</v>
      </c>
      <c r="C3436" t="s">
        <v>40</v>
      </c>
      <c r="D3436">
        <v>5.1320519999999998</v>
      </c>
      <c r="E3436">
        <v>0.55838969999999999</v>
      </c>
      <c r="F3436" t="s">
        <v>41</v>
      </c>
      <c r="G3436">
        <v>-241.0795</v>
      </c>
      <c r="H3436">
        <v>1.019045</v>
      </c>
      <c r="I3436">
        <v>214.953</v>
      </c>
      <c r="J3436">
        <v>-241.51689999999999</v>
      </c>
      <c r="K3436">
        <v>1.1111249999999999</v>
      </c>
      <c r="L3436">
        <v>214.9864</v>
      </c>
      <c r="M3436">
        <v>0.99937710000000002</v>
      </c>
      <c r="N3436">
        <v>-1.398042E-2</v>
      </c>
      <c r="O3436">
        <v>3.2402540000000001E-2</v>
      </c>
      <c r="P3436">
        <v>0.93448200000000003</v>
      </c>
      <c r="Q3436">
        <v>0.34842489999999998</v>
      </c>
      <c r="R3436">
        <v>7.3100780000000004E-2</v>
      </c>
      <c r="S3436">
        <v>3.3656769999999998</v>
      </c>
      <c r="T3436">
        <v>-0.39881800000000001</v>
      </c>
      <c r="U3436">
        <v>-9.5260620000000004E-2</v>
      </c>
      <c r="V3436">
        <v>-4.3143180000000003E-2</v>
      </c>
      <c r="W3436">
        <v>0.3614387</v>
      </c>
      <c r="X3436">
        <v>0.93139720000000004</v>
      </c>
      <c r="Y3436">
        <v>6.0024309999999997E-2</v>
      </c>
      <c r="Z3436">
        <v>-7.3383340000000002E-3</v>
      </c>
      <c r="AA3436">
        <v>0.99817</v>
      </c>
      <c r="AB3436">
        <v>36</v>
      </c>
      <c r="AC3436">
        <v>0.43739999999999601</v>
      </c>
      <c r="AD3436">
        <v>-9.2079999999999898E-2</v>
      </c>
      <c r="AE3436">
        <v>-3.3400000000000298E-2</v>
      </c>
      <c r="AF3436">
        <v>4.5549775014315702E-2</v>
      </c>
      <c r="AG3436">
        <v>-9.2079999999999898E-2</v>
      </c>
      <c r="AH3436">
        <v>0.41768459009145797</v>
      </c>
      <c r="AI3436">
        <v>102.36118283606299</v>
      </c>
      <c r="AJ3436">
        <v>83.776315070013595</v>
      </c>
      <c r="AK3436">
        <v>0.43013245076804402</v>
      </c>
      <c r="AL3436">
        <v>68.811422301870095</v>
      </c>
      <c r="AM3436">
        <v>92.652097793971706</v>
      </c>
      <c r="AN3436">
        <v>1.0000000060030201</v>
      </c>
    </row>
    <row r="3437" spans="1:40" x14ac:dyDescent="0.25">
      <c r="A3437" t="str">
        <f>"20190304164439114"</f>
        <v>20190304164439114</v>
      </c>
      <c r="B3437" t="str">
        <f>"1551689079103573"</f>
        <v>1551689079103573</v>
      </c>
      <c r="C3437" t="s">
        <v>40</v>
      </c>
      <c r="D3437">
        <v>5.0993519999999997</v>
      </c>
      <c r="E3437">
        <v>0.55857209999999902</v>
      </c>
      <c r="F3437" t="s">
        <v>41</v>
      </c>
      <c r="G3437">
        <v>-240.756</v>
      </c>
      <c r="H3437">
        <v>1.021018</v>
      </c>
      <c r="I3437">
        <v>214.96469999999999</v>
      </c>
      <c r="J3437">
        <v>-241.15520000000001</v>
      </c>
      <c r="K3437">
        <v>1.111108</v>
      </c>
      <c r="L3437">
        <v>214.99850000000001</v>
      </c>
      <c r="M3437">
        <v>0.99936329999999995</v>
      </c>
      <c r="N3437">
        <v>-1.3978320000000001E-2</v>
      </c>
      <c r="O3437">
        <v>3.2829070000000002E-2</v>
      </c>
      <c r="P3437">
        <v>0.9344384</v>
      </c>
      <c r="Q3437">
        <v>0.34841070000000002</v>
      </c>
      <c r="R3437">
        <v>7.3722999999999997E-2</v>
      </c>
      <c r="S3437">
        <v>3.3664860000000001</v>
      </c>
      <c r="T3437">
        <v>-0.3986614</v>
      </c>
      <c r="U3437">
        <v>-9.5947270000000001E-2</v>
      </c>
      <c r="V3437">
        <v>-4.3360650000000001E-2</v>
      </c>
      <c r="W3437">
        <v>0.36142269999999999</v>
      </c>
      <c r="X3437">
        <v>0.93139329999999998</v>
      </c>
      <c r="Y3437">
        <v>6.0640649999999997E-2</v>
      </c>
      <c r="Z3437">
        <v>-7.418745E-3</v>
      </c>
      <c r="AA3437">
        <v>0.99813209999999997</v>
      </c>
      <c r="AB3437">
        <v>36</v>
      </c>
      <c r="AC3437">
        <v>0.39920000000003603</v>
      </c>
      <c r="AD3437">
        <v>-9.0090000000000003E-2</v>
      </c>
      <c r="AE3437">
        <v>-3.3800000000013597E-2</v>
      </c>
      <c r="AF3437">
        <v>4.4631525956183901E-2</v>
      </c>
      <c r="AG3437">
        <v>-9.0090000000000003E-2</v>
      </c>
      <c r="AH3437">
        <v>0.37872399887420799</v>
      </c>
      <c r="AI3437">
        <v>103.292018996913</v>
      </c>
      <c r="AJ3437">
        <v>83.278858263371703</v>
      </c>
      <c r="AK3437">
        <v>0.39184186674275701</v>
      </c>
      <c r="AL3437">
        <v>68.812405292097097</v>
      </c>
      <c r="AM3437">
        <v>92.665458024739294</v>
      </c>
      <c r="AN3437">
        <v>0.99999999666430095</v>
      </c>
    </row>
    <row r="3438" spans="1:40" x14ac:dyDescent="0.25">
      <c r="A3438" t="str">
        <f>"20190304164439136"</f>
        <v>20190304164439136</v>
      </c>
      <c r="B3438" t="str">
        <f>"1551689079123093"</f>
        <v>1551689079123093</v>
      </c>
      <c r="C3438" t="s">
        <v>40</v>
      </c>
      <c r="D3438">
        <v>5.1374680000000001</v>
      </c>
      <c r="E3438">
        <v>0.55869099999999905</v>
      </c>
      <c r="F3438" t="s">
        <v>41</v>
      </c>
      <c r="G3438">
        <v>-240.12719999999999</v>
      </c>
      <c r="H3438">
        <v>0.98917719999999998</v>
      </c>
      <c r="I3438">
        <v>214.96889999999999</v>
      </c>
      <c r="J3438">
        <v>-240.79409999999999</v>
      </c>
      <c r="K3438">
        <v>1.111102</v>
      </c>
      <c r="L3438">
        <v>215.01079999999999</v>
      </c>
      <c r="M3438">
        <v>0.99934990000000001</v>
      </c>
      <c r="N3438">
        <v>-1.397641E-2</v>
      </c>
      <c r="O3438">
        <v>3.3236979999999999E-2</v>
      </c>
      <c r="P3438">
        <v>0.93443259999999995</v>
      </c>
      <c r="Q3438">
        <v>0.34828819999999999</v>
      </c>
      <c r="R3438">
        <v>7.4372789999999994E-2</v>
      </c>
      <c r="S3438">
        <v>3.3670499999999999</v>
      </c>
      <c r="T3438">
        <v>-0.39949859999999998</v>
      </c>
      <c r="U3438">
        <v>-9.6435549999999995E-2</v>
      </c>
      <c r="V3438">
        <v>-4.3617349999999999E-2</v>
      </c>
      <c r="W3438">
        <v>0.36129990000000001</v>
      </c>
      <c r="X3438">
        <v>0.93142899999999995</v>
      </c>
      <c r="Y3438">
        <v>6.1178959999999998E-2</v>
      </c>
      <c r="Z3438">
        <v>-7.5111680000000004E-3</v>
      </c>
      <c r="AA3438">
        <v>0.99809859999999995</v>
      </c>
      <c r="AB3438">
        <v>36</v>
      </c>
      <c r="AC3438">
        <v>0.66689999999999805</v>
      </c>
      <c r="AD3438">
        <v>-0.1219248</v>
      </c>
      <c r="AE3438">
        <v>-4.1899999999998203E-2</v>
      </c>
      <c r="AF3438">
        <v>6.1981215140920497E-2</v>
      </c>
      <c r="AG3438">
        <v>-0.1219248</v>
      </c>
      <c r="AH3438">
        <v>0.64370779556445801</v>
      </c>
      <c r="AI3438">
        <v>100.677107639276</v>
      </c>
      <c r="AJ3438">
        <v>84.500070183654898</v>
      </c>
      <c r="AK3438">
        <v>0.658078303817896</v>
      </c>
      <c r="AL3438">
        <v>68.819952000731504</v>
      </c>
      <c r="AM3438">
        <v>92.681112265006504</v>
      </c>
      <c r="AN3438">
        <v>1.00000003650101</v>
      </c>
    </row>
    <row r="3439" spans="1:40" x14ac:dyDescent="0.25">
      <c r="A3439" t="str">
        <f>"20190304164439159"</f>
        <v>20190304164439159</v>
      </c>
      <c r="B3439" t="str">
        <f>"1551689079153352"</f>
        <v>1551689079153352</v>
      </c>
      <c r="C3439" t="s">
        <v>40</v>
      </c>
      <c r="D3439">
        <v>5.1012959999999996</v>
      </c>
      <c r="E3439">
        <v>0.55902499999999999</v>
      </c>
      <c r="F3439" t="s">
        <v>41</v>
      </c>
      <c r="G3439">
        <v>-239.80359999999999</v>
      </c>
      <c r="H3439">
        <v>0.99303819999999998</v>
      </c>
      <c r="I3439">
        <v>214.98220000000001</v>
      </c>
      <c r="J3439">
        <v>-240.42519999999999</v>
      </c>
      <c r="K3439">
        <v>1.1110869999999999</v>
      </c>
      <c r="L3439">
        <v>215.02350000000001</v>
      </c>
      <c r="M3439">
        <v>0.99933640000000001</v>
      </c>
      <c r="N3439">
        <v>-1.3974200000000001E-2</v>
      </c>
      <c r="O3439">
        <v>3.3636149999999997E-2</v>
      </c>
      <c r="P3439">
        <v>0.93446609999999997</v>
      </c>
      <c r="Q3439">
        <v>0.34796339999999998</v>
      </c>
      <c r="R3439">
        <v>7.5462459999999995E-2</v>
      </c>
      <c r="S3439">
        <v>3.3678889999999999</v>
      </c>
      <c r="T3439">
        <v>-0.40165129999999999</v>
      </c>
      <c r="U3439">
        <v>-9.6343990000000004E-2</v>
      </c>
      <c r="V3439">
        <v>-4.4317500000000003E-2</v>
      </c>
      <c r="W3439">
        <v>0.3609754</v>
      </c>
      <c r="X3439">
        <v>0.93152170000000001</v>
      </c>
      <c r="Y3439">
        <v>6.1531620000000002E-2</v>
      </c>
      <c r="Z3439">
        <v>-7.6149829999999996E-3</v>
      </c>
      <c r="AA3439">
        <v>0.99807610000000002</v>
      </c>
      <c r="AB3439">
        <v>36</v>
      </c>
      <c r="AC3439">
        <v>0.62160000000000004</v>
      </c>
      <c r="AD3439">
        <v>-0.1180488</v>
      </c>
      <c r="AE3439">
        <v>-4.1300000000006699E-2</v>
      </c>
      <c r="AF3439">
        <v>6.0031309932864901E-2</v>
      </c>
      <c r="AG3439">
        <v>-0.1180488</v>
      </c>
      <c r="AH3439">
        <v>0.59837267102089298</v>
      </c>
      <c r="AI3439">
        <v>101.10581961034799</v>
      </c>
      <c r="AJ3439">
        <v>84.271011296646805</v>
      </c>
      <c r="AK3439">
        <v>0.61285327018656999</v>
      </c>
      <c r="AL3439">
        <v>68.8398887715569</v>
      </c>
      <c r="AM3439">
        <v>92.723814749243601</v>
      </c>
      <c r="AN3439">
        <v>0.999999978891149</v>
      </c>
    </row>
    <row r="3440" spans="1:40" x14ac:dyDescent="0.25">
      <c r="A3440" t="str">
        <f>"20190304164439181"</f>
        <v>20190304164439181</v>
      </c>
      <c r="B3440" t="str">
        <f>"1551689079173845"</f>
        <v>1551689079173845</v>
      </c>
      <c r="C3440" t="s">
        <v>40</v>
      </c>
      <c r="D3440">
        <v>5.1189179999999999</v>
      </c>
      <c r="E3440">
        <v>0.55921219999999905</v>
      </c>
      <c r="F3440" t="s">
        <v>41</v>
      </c>
      <c r="G3440">
        <v>-239.47980000000001</v>
      </c>
      <c r="H3440">
        <v>0.99794099999999997</v>
      </c>
      <c r="I3440">
        <v>214.99610000000001</v>
      </c>
      <c r="J3440">
        <v>-240.07220000000001</v>
      </c>
      <c r="K3440">
        <v>1.11107</v>
      </c>
      <c r="L3440">
        <v>215.03579999999999</v>
      </c>
      <c r="M3440">
        <v>0.9993244</v>
      </c>
      <c r="N3440">
        <v>-1.3971859999999999E-2</v>
      </c>
      <c r="O3440">
        <v>3.3993959999999997E-2</v>
      </c>
      <c r="P3440">
        <v>0.93443419999999999</v>
      </c>
      <c r="Q3440">
        <v>0.34780559999999899</v>
      </c>
      <c r="R3440">
        <v>7.6577870000000006E-2</v>
      </c>
      <c r="S3440">
        <v>3.3683930000000002</v>
      </c>
      <c r="T3440">
        <v>-0.40325840000000002</v>
      </c>
      <c r="U3440">
        <v>-9.7076419999999997E-2</v>
      </c>
      <c r="V3440">
        <v>-4.5082230000000001E-2</v>
      </c>
      <c r="W3440">
        <v>0.36081659999999999</v>
      </c>
      <c r="X3440">
        <v>0.9315466</v>
      </c>
      <c r="Y3440">
        <v>6.208992E-2</v>
      </c>
      <c r="Z3440">
        <v>-7.719152E-3</v>
      </c>
      <c r="AA3440">
        <v>0.9980407</v>
      </c>
      <c r="AB3440">
        <v>36</v>
      </c>
      <c r="AC3440">
        <v>0.59239999999999704</v>
      </c>
      <c r="AD3440">
        <v>-0.11312899999999999</v>
      </c>
      <c r="AE3440">
        <v>-3.9699999999982E-2</v>
      </c>
      <c r="AF3440">
        <v>5.7721435495685897E-2</v>
      </c>
      <c r="AG3440">
        <v>-0.11312899999999999</v>
      </c>
      <c r="AH3440">
        <v>0.57001327368659305</v>
      </c>
      <c r="AI3440">
        <v>101.169792577308</v>
      </c>
      <c r="AJ3440">
        <v>84.217749724745602</v>
      </c>
      <c r="AK3440">
        <v>0.58399063942463103</v>
      </c>
      <c r="AL3440">
        <v>68.849646354212396</v>
      </c>
      <c r="AM3440">
        <v>92.770669542366306</v>
      </c>
      <c r="AN3440">
        <v>1.0000000471344399</v>
      </c>
    </row>
    <row r="3441" spans="1:40" x14ac:dyDescent="0.25">
      <c r="A3441" t="str">
        <f>"20190304164439204"</f>
        <v>20190304164439204</v>
      </c>
      <c r="B3441" t="str">
        <f>"1551689079193366"</f>
        <v>1551689079193366</v>
      </c>
      <c r="C3441" t="s">
        <v>40</v>
      </c>
      <c r="D3441">
        <v>5.0887209999999996</v>
      </c>
      <c r="E3441">
        <v>0.55937389999999998</v>
      </c>
      <c r="F3441" t="s">
        <v>41</v>
      </c>
      <c r="G3441">
        <v>-239.15690000000001</v>
      </c>
      <c r="H3441">
        <v>1.001457</v>
      </c>
      <c r="I3441">
        <v>215.00890000000001</v>
      </c>
      <c r="J3441">
        <v>-239.70750000000001</v>
      </c>
      <c r="K3441">
        <v>1.1110439999999999</v>
      </c>
      <c r="L3441">
        <v>215.04849999999999</v>
      </c>
      <c r="M3441">
        <v>0.99931289999999995</v>
      </c>
      <c r="N3441">
        <v>-1.396943E-2</v>
      </c>
      <c r="O3441">
        <v>3.4330279999999998E-2</v>
      </c>
      <c r="P3441">
        <v>0.93454619999999999</v>
      </c>
      <c r="Q3441">
        <v>0.3474256</v>
      </c>
      <c r="R3441">
        <v>7.6934069999999993E-2</v>
      </c>
      <c r="S3441">
        <v>3.3687130000000001</v>
      </c>
      <c r="T3441">
        <v>-0.4034973</v>
      </c>
      <c r="U3441">
        <v>-9.8007200000000003E-2</v>
      </c>
      <c r="V3441">
        <v>-4.5097739999999997E-2</v>
      </c>
      <c r="W3441">
        <v>0.36043900000000001</v>
      </c>
      <c r="X3441">
        <v>0.93169190000000002</v>
      </c>
      <c r="Y3441">
        <v>6.2691259999999999E-2</v>
      </c>
      <c r="Z3441">
        <v>-7.7985049999999998E-3</v>
      </c>
      <c r="AA3441">
        <v>0.99800250000000001</v>
      </c>
      <c r="AB3441">
        <v>36</v>
      </c>
      <c r="AC3441">
        <v>0.55060000000000198</v>
      </c>
      <c r="AD3441">
        <v>-0.109587</v>
      </c>
      <c r="AE3441">
        <v>-3.9599999999978701E-2</v>
      </c>
      <c r="AF3441">
        <v>5.6263416064156802E-2</v>
      </c>
      <c r="AG3441">
        <v>-0.109587</v>
      </c>
      <c r="AH3441">
        <v>0.52810328881244195</v>
      </c>
      <c r="AI3441">
        <v>101.65894065978701</v>
      </c>
      <c r="AJ3441">
        <v>83.918723748418401</v>
      </c>
      <c r="AK3441">
        <v>0.54228033913348395</v>
      </c>
      <c r="AL3441">
        <v>68.872839661847095</v>
      </c>
      <c r="AM3441">
        <v>92.771189703491004</v>
      </c>
      <c r="AN3441">
        <v>0.99999993769985696</v>
      </c>
    </row>
    <row r="3442" spans="1:40" x14ac:dyDescent="0.25">
      <c r="A3442" t="str">
        <f>"20190304164439226"</f>
        <v>20190304164439226</v>
      </c>
      <c r="B3442" t="str">
        <f>"1551689079213862"</f>
        <v>1551689079213862</v>
      </c>
      <c r="C3442" t="s">
        <v>40</v>
      </c>
      <c r="D3442">
        <v>5.0829120000000003</v>
      </c>
      <c r="E3442">
        <v>0.55952109999999899</v>
      </c>
      <c r="F3442" t="s">
        <v>41</v>
      </c>
      <c r="G3442">
        <v>-238.8338</v>
      </c>
      <c r="H3442">
        <v>1.0058210000000001</v>
      </c>
      <c r="I3442">
        <v>215.02289999999999</v>
      </c>
      <c r="J3442">
        <v>-239.3553</v>
      </c>
      <c r="K3442">
        <v>1.1110199999999999</v>
      </c>
      <c r="L3442">
        <v>215.0609</v>
      </c>
      <c r="M3442">
        <v>0.99930319999999995</v>
      </c>
      <c r="N3442">
        <v>-1.396712E-2</v>
      </c>
      <c r="O3442">
        <v>3.4616330000000001E-2</v>
      </c>
      <c r="P3442">
        <v>0.93472619999999895</v>
      </c>
      <c r="Q3442">
        <v>0.34697850000000002</v>
      </c>
      <c r="R3442">
        <v>7.6765559999999997E-2</v>
      </c>
      <c r="S3442">
        <v>3.36911</v>
      </c>
      <c r="T3442">
        <v>-0.40578710000000001</v>
      </c>
      <c r="U3442">
        <v>-9.873962E-2</v>
      </c>
      <c r="V3442">
        <v>-4.4628319999999999E-2</v>
      </c>
      <c r="W3442">
        <v>0.35999639999999999</v>
      </c>
      <c r="X3442">
        <v>0.93188570000000004</v>
      </c>
      <c r="Y3442">
        <v>6.3177059999999993E-2</v>
      </c>
      <c r="Z3442">
        <v>-7.9046469999999903E-3</v>
      </c>
      <c r="AA3442">
        <v>0.9979711</v>
      </c>
      <c r="AB3442">
        <v>36</v>
      </c>
      <c r="AC3442">
        <v>0.52150000000000296</v>
      </c>
      <c r="AD3442">
        <v>-0.105199</v>
      </c>
      <c r="AE3442">
        <v>-3.80000000000109E-2</v>
      </c>
      <c r="AF3442">
        <v>5.3851611935781599E-2</v>
      </c>
      <c r="AG3442">
        <v>-0.105199</v>
      </c>
      <c r="AH3442">
        <v>0.49964731687450897</v>
      </c>
      <c r="AI3442">
        <v>101.82323640373799</v>
      </c>
      <c r="AJ3442">
        <v>83.848450198462999</v>
      </c>
      <c r="AK3442">
        <v>0.51343379998689098</v>
      </c>
      <c r="AL3442">
        <v>68.900025647933305</v>
      </c>
      <c r="AM3442">
        <v>92.741819349963507</v>
      </c>
      <c r="AN3442">
        <v>1.0000000264117299</v>
      </c>
    </row>
    <row r="3443" spans="1:40" x14ac:dyDescent="0.25">
      <c r="A3443" t="str">
        <f>"20190304164439248"</f>
        <v>20190304164439248</v>
      </c>
      <c r="B3443" t="str">
        <f>"1551689079243141"</f>
        <v>1551689079243141</v>
      </c>
      <c r="C3443" t="s">
        <v>40</v>
      </c>
      <c r="D3443">
        <v>5.0881509999999999</v>
      </c>
      <c r="E3443">
        <v>0.57182109999999997</v>
      </c>
      <c r="F3443" t="s">
        <v>41</v>
      </c>
      <c r="G3443">
        <v>-238.51159999999999</v>
      </c>
      <c r="H3443">
        <v>1.0090049999999999</v>
      </c>
      <c r="I3443">
        <v>215.03579999999999</v>
      </c>
      <c r="J3443">
        <v>-238.99</v>
      </c>
      <c r="K3443">
        <v>1.1109830000000001</v>
      </c>
      <c r="L3443">
        <v>215.07390000000001</v>
      </c>
      <c r="M3443">
        <v>0.99929429999999997</v>
      </c>
      <c r="N3443">
        <v>-1.396468E-2</v>
      </c>
      <c r="O3443">
        <v>3.4868999999999997E-2</v>
      </c>
      <c r="P3443">
        <v>0.93492560000000002</v>
      </c>
      <c r="Q3443">
        <v>0.34663749999999999</v>
      </c>
      <c r="R3443">
        <v>7.5872629999999996E-2</v>
      </c>
      <c r="S3443">
        <v>3.3689269999999998</v>
      </c>
      <c r="T3443">
        <v>-0.40737970000000001</v>
      </c>
      <c r="U3443">
        <v>-9.9884029999999999E-2</v>
      </c>
      <c r="V3443">
        <v>-4.3459890000000001E-2</v>
      </c>
      <c r="W3443">
        <v>0.35966009999999998</v>
      </c>
      <c r="X3443">
        <v>0.93207070000000003</v>
      </c>
      <c r="Y3443">
        <v>6.3757939999999999E-2</v>
      </c>
      <c r="Z3443">
        <v>-8.0020059999999903E-3</v>
      </c>
      <c r="AA3443">
        <v>0.99793330000000002</v>
      </c>
      <c r="AB3443">
        <v>36</v>
      </c>
      <c r="AC3443">
        <v>0.47840000000002098</v>
      </c>
      <c r="AD3443">
        <v>-0.101978</v>
      </c>
      <c r="AE3443">
        <v>-3.8100000000014199E-2</v>
      </c>
      <c r="AF3443">
        <v>5.2394044933910602E-2</v>
      </c>
      <c r="AG3443">
        <v>-0.101978</v>
      </c>
      <c r="AH3443">
        <v>0.45618246561943299</v>
      </c>
      <c r="AI3443">
        <v>102.521397751172</v>
      </c>
      <c r="AJ3443">
        <v>83.448101382601607</v>
      </c>
      <c r="AK3443">
        <v>0.470369100140689</v>
      </c>
      <c r="AL3443">
        <v>68.920676256805905</v>
      </c>
      <c r="AM3443">
        <v>92.669610870579206</v>
      </c>
      <c r="AN3443">
        <v>0.99999996968465499</v>
      </c>
    </row>
    <row r="3444" spans="1:40" x14ac:dyDescent="0.25">
      <c r="A3444" t="str">
        <f>"20190304164439270"</f>
        <v>20190304164439270</v>
      </c>
      <c r="B3444" t="str">
        <f>"1551689079263637"</f>
        <v>1551689079263637</v>
      </c>
      <c r="C3444" t="s">
        <v>40</v>
      </c>
      <c r="D3444">
        <v>5.0987589999999896</v>
      </c>
      <c r="E3444">
        <v>0.57217399999999996</v>
      </c>
      <c r="F3444" t="s">
        <v>41</v>
      </c>
      <c r="G3444">
        <v>-238.18879999999999</v>
      </c>
      <c r="H3444">
        <v>1.0121830000000001</v>
      </c>
      <c r="I3444">
        <v>215.02670000000001</v>
      </c>
      <c r="J3444">
        <v>-238.6412</v>
      </c>
      <c r="K3444">
        <v>1.1109359999999999</v>
      </c>
      <c r="L3444">
        <v>215.08629999999999</v>
      </c>
      <c r="M3444">
        <v>0.99928740000000005</v>
      </c>
      <c r="N3444">
        <v>-1.3962459999999999E-2</v>
      </c>
      <c r="O3444">
        <v>3.5066630000000001E-2</v>
      </c>
      <c r="P3444">
        <v>0.93506650000000002</v>
      </c>
      <c r="Q3444">
        <v>0.34643210000000002</v>
      </c>
      <c r="R3444">
        <v>7.5070049999999999E-2</v>
      </c>
      <c r="S3444">
        <v>3.379486</v>
      </c>
      <c r="T3444">
        <v>-0.41680289999999998</v>
      </c>
      <c r="U3444">
        <v>-0.1988983</v>
      </c>
      <c r="V3444">
        <v>-4.2434479999999997E-2</v>
      </c>
      <c r="W3444">
        <v>0.35945939999999998</v>
      </c>
      <c r="X3444">
        <v>0.93219540000000001</v>
      </c>
      <c r="Y3444">
        <v>9.2737310000000003E-2</v>
      </c>
      <c r="Z3444">
        <v>-1.0160850000000001E-2</v>
      </c>
      <c r="AA3444">
        <v>0.99563880000000005</v>
      </c>
      <c r="AB3444">
        <v>36</v>
      </c>
      <c r="AC3444">
        <v>0.45240000000001102</v>
      </c>
      <c r="AD3444">
        <v>-9.8752999999999994E-2</v>
      </c>
      <c r="AE3444">
        <v>-5.9599999999989002E-2</v>
      </c>
      <c r="AF3444">
        <v>7.2054273156799298E-2</v>
      </c>
      <c r="AG3444">
        <v>-9.8752999999999994E-2</v>
      </c>
      <c r="AH3444">
        <v>0.42989676436723501</v>
      </c>
      <c r="AI3444">
        <v>102.765053686261</v>
      </c>
      <c r="AJ3444">
        <v>80.485191409888401</v>
      </c>
      <c r="AK3444">
        <v>0.44693981843484598</v>
      </c>
      <c r="AL3444">
        <v>68.933000455424306</v>
      </c>
      <c r="AM3444">
        <v>92.606362714803794</v>
      </c>
      <c r="AN3444">
        <v>1.0000000045611901</v>
      </c>
    </row>
    <row r="3445" spans="1:40" x14ac:dyDescent="0.25">
      <c r="A3445" t="str">
        <f>"20190304164439292"</f>
        <v>20190304164439292</v>
      </c>
      <c r="B3445" t="str">
        <f>"1551689079283158"</f>
        <v>1551689079283158</v>
      </c>
      <c r="C3445" t="s">
        <v>40</v>
      </c>
      <c r="D3445">
        <v>5.0922159999999996</v>
      </c>
      <c r="E3445">
        <v>0.57237950000000004</v>
      </c>
      <c r="F3445" t="s">
        <v>41</v>
      </c>
      <c r="G3445">
        <v>-237.86660000000001</v>
      </c>
      <c r="H3445">
        <v>1.016106</v>
      </c>
      <c r="I3445">
        <v>215.0395</v>
      </c>
      <c r="J3445">
        <v>-238.29140000000001</v>
      </c>
      <c r="K3445">
        <v>1.1108979999999999</v>
      </c>
      <c r="L3445">
        <v>215.09870000000001</v>
      </c>
      <c r="M3445">
        <v>0.999282</v>
      </c>
      <c r="N3445">
        <v>-1.396034E-2</v>
      </c>
      <c r="O3445">
        <v>3.5222169999999997E-2</v>
      </c>
      <c r="P3445">
        <v>0.93529490000000004</v>
      </c>
      <c r="Q3445">
        <v>0.34605039999999998</v>
      </c>
      <c r="R3445">
        <v>7.3978870000000002E-2</v>
      </c>
      <c r="S3445">
        <v>3.377853</v>
      </c>
      <c r="T3445">
        <v>-0.41354390000000002</v>
      </c>
      <c r="U3445">
        <v>-0.20350650000000001</v>
      </c>
      <c r="V3445">
        <v>-4.115576E-2</v>
      </c>
      <c r="W3445">
        <v>0.35908250000000003</v>
      </c>
      <c r="X3445">
        <v>0.93239799999999995</v>
      </c>
      <c r="Y3445">
        <v>9.4274499999999997E-2</v>
      </c>
      <c r="Z3445">
        <v>-1.020884E-2</v>
      </c>
      <c r="AA3445">
        <v>0.99549390000000004</v>
      </c>
      <c r="AB3445">
        <v>36</v>
      </c>
      <c r="AC3445">
        <v>0.42480000000000401</v>
      </c>
      <c r="AD3445">
        <v>-9.4792000000000001E-2</v>
      </c>
      <c r="AE3445">
        <v>-5.9200000000004097E-2</v>
      </c>
      <c r="AF3445">
        <v>7.0674971758780195E-2</v>
      </c>
      <c r="AG3445">
        <v>-9.4792000000000001E-2</v>
      </c>
      <c r="AH3445">
        <v>0.40277732138981998</v>
      </c>
      <c r="AI3445">
        <v>103.050916819393</v>
      </c>
      <c r="AJ3445">
        <v>80.047678105912794</v>
      </c>
      <c r="AK3445">
        <v>0.41977380280701498</v>
      </c>
      <c r="AL3445">
        <v>68.956140856927703</v>
      </c>
      <c r="AM3445">
        <v>92.527377505634107</v>
      </c>
      <c r="AN3445">
        <v>1.0000000343957101</v>
      </c>
    </row>
    <row r="3446" spans="1:40" x14ac:dyDescent="0.25">
      <c r="A3446" t="str">
        <f>"20190304164439315"</f>
        <v>20190304164439315</v>
      </c>
      <c r="B3446" t="str">
        <f>"1551689079303653"</f>
        <v>1551689079303653</v>
      </c>
      <c r="C3446" t="s">
        <v>40</v>
      </c>
      <c r="D3446">
        <v>5.1019579999999998</v>
      </c>
      <c r="E3446">
        <v>0.57262270000000004</v>
      </c>
      <c r="F3446" t="s">
        <v>41</v>
      </c>
      <c r="G3446">
        <v>-237.54499999999999</v>
      </c>
      <c r="H3446">
        <v>1.019374</v>
      </c>
      <c r="I3446">
        <v>215.05269999999999</v>
      </c>
      <c r="J3446">
        <v>-237.93520000000001</v>
      </c>
      <c r="K3446">
        <v>1.110854</v>
      </c>
      <c r="L3446">
        <v>215.1114</v>
      </c>
      <c r="M3446">
        <v>0.99927809999999995</v>
      </c>
      <c r="N3446">
        <v>-1.3958140000000001E-2</v>
      </c>
      <c r="O3446">
        <v>3.5336640000000002E-2</v>
      </c>
      <c r="P3446">
        <v>0.93520809999999999</v>
      </c>
      <c r="Q3446">
        <v>0.34637059999999997</v>
      </c>
      <c r="R3446">
        <v>7.3576139999999998E-2</v>
      </c>
      <c r="S3446">
        <v>3.3772280000000001</v>
      </c>
      <c r="T3446">
        <v>-0.4141474</v>
      </c>
      <c r="U3446">
        <v>-0.20779420000000001</v>
      </c>
      <c r="V3446">
        <v>-4.0615529999999997E-2</v>
      </c>
      <c r="W3446">
        <v>0.3594038</v>
      </c>
      <c r="X3446">
        <v>0.93229790000000001</v>
      </c>
      <c r="Y3446">
        <v>9.5643530000000004E-2</v>
      </c>
      <c r="Z3446">
        <v>-1.033043E-2</v>
      </c>
      <c r="AA3446">
        <v>0.99536199999999997</v>
      </c>
      <c r="AB3446">
        <v>36</v>
      </c>
      <c r="AC3446">
        <v>0.39020000000002097</v>
      </c>
      <c r="AD3446">
        <v>-9.1479999999999895E-2</v>
      </c>
      <c r="AE3446">
        <v>-5.8700000000015899E-2</v>
      </c>
      <c r="AF3446">
        <v>6.8757483453603996E-2</v>
      </c>
      <c r="AG3446">
        <v>-9.1479999999999895E-2</v>
      </c>
      <c r="AH3446">
        <v>0.36809745137967098</v>
      </c>
      <c r="AI3446">
        <v>103.72823228272399</v>
      </c>
      <c r="AJ3446">
        <v>79.4195638865327</v>
      </c>
      <c r="AK3446">
        <v>0.38547621929644599</v>
      </c>
      <c r="AL3446">
        <v>68.936415099104195</v>
      </c>
      <c r="AM3446">
        <v>92.494511594101894</v>
      </c>
      <c r="AN3446">
        <v>1.0000000435380101</v>
      </c>
    </row>
    <row r="3447" spans="1:40" x14ac:dyDescent="0.25">
      <c r="A3447" t="str">
        <f>"20190304164439337"</f>
        <v>20190304164439337</v>
      </c>
      <c r="B3447" t="str">
        <f>"1551689079333911"</f>
        <v>1551689079333911</v>
      </c>
      <c r="C3447" t="s">
        <v>40</v>
      </c>
      <c r="D3447">
        <v>5.0987349999999996</v>
      </c>
      <c r="E3447">
        <v>0.572858599999999</v>
      </c>
      <c r="F3447" t="s">
        <v>41</v>
      </c>
      <c r="G3447">
        <v>-236.9203</v>
      </c>
      <c r="H3447">
        <v>0.98736069999999998</v>
      </c>
      <c r="I3447">
        <v>215.048</v>
      </c>
      <c r="J3447">
        <v>-237.5702</v>
      </c>
      <c r="K3447">
        <v>1.1108169999999999</v>
      </c>
      <c r="L3447">
        <v>215.12440000000001</v>
      </c>
      <c r="M3447">
        <v>0.99927549999999998</v>
      </c>
      <c r="N3447">
        <v>-1.395586E-2</v>
      </c>
      <c r="O3447">
        <v>3.5411369999999998E-2</v>
      </c>
      <c r="P3447">
        <v>0.93523909999999999</v>
      </c>
      <c r="Q3447">
        <v>0.34649859999999999</v>
      </c>
      <c r="R3447">
        <v>7.2571780000000002E-2</v>
      </c>
      <c r="S3447">
        <v>3.3766479999999999</v>
      </c>
      <c r="T3447">
        <v>-0.4109312</v>
      </c>
      <c r="U3447">
        <v>-0.2109528</v>
      </c>
      <c r="V3447">
        <v>-3.9507779999999999E-2</v>
      </c>
      <c r="W3447">
        <v>0.3595333</v>
      </c>
      <c r="X3447">
        <v>0.9322956</v>
      </c>
      <c r="Y3447">
        <v>9.6662100000000001E-2</v>
      </c>
      <c r="Z3447">
        <v>-1.033042E-2</v>
      </c>
      <c r="AA3447">
        <v>0.99526360000000003</v>
      </c>
      <c r="AB3447">
        <v>36</v>
      </c>
      <c r="AC3447">
        <v>0.64990000000000203</v>
      </c>
      <c r="AD3447">
        <v>-0.12345629999999901</v>
      </c>
      <c r="AE3447">
        <v>-7.6400000000006602E-2</v>
      </c>
      <c r="AF3447">
        <v>9.5952847979905206E-2</v>
      </c>
      <c r="AG3447">
        <v>-0.12345629999999901</v>
      </c>
      <c r="AH3447">
        <v>0.62455637107371798</v>
      </c>
      <c r="AI3447">
        <v>101.055074907565</v>
      </c>
      <c r="AJ3447">
        <v>81.265734588855295</v>
      </c>
      <c r="AK3447">
        <v>0.64383155226652</v>
      </c>
      <c r="AL3447">
        <v>68.928464440861404</v>
      </c>
      <c r="AM3447">
        <v>92.426564602098097</v>
      </c>
      <c r="AN3447">
        <v>1.00000007213438</v>
      </c>
    </row>
    <row r="3448" spans="1:40" x14ac:dyDescent="0.25">
      <c r="A3448" t="str">
        <f>"20190304164439360"</f>
        <v>20190304164439360</v>
      </c>
      <c r="B3448" t="str">
        <f>"1551689079353433"</f>
        <v>1551689079353433</v>
      </c>
      <c r="C3448" t="s">
        <v>40</v>
      </c>
      <c r="D3448">
        <v>5.0947290000000001</v>
      </c>
      <c r="E3448">
        <v>0.57295130000000005</v>
      </c>
      <c r="F3448" t="s">
        <v>41</v>
      </c>
      <c r="G3448">
        <v>-236.5984</v>
      </c>
      <c r="H3448">
        <v>0.99294830000000001</v>
      </c>
      <c r="I3448">
        <v>215.06209999999999</v>
      </c>
      <c r="J3448">
        <v>-237.20349999999999</v>
      </c>
      <c r="K3448">
        <v>1.1107849999999999</v>
      </c>
      <c r="L3448">
        <v>215.13749999999999</v>
      </c>
      <c r="M3448">
        <v>0.999274</v>
      </c>
      <c r="N3448">
        <v>-1.395365E-2</v>
      </c>
      <c r="O3448">
        <v>3.5456199999999903E-2</v>
      </c>
      <c r="P3448">
        <v>0.93527530000000003</v>
      </c>
      <c r="Q3448">
        <v>0.34662480000000001</v>
      </c>
      <c r="R3448">
        <v>7.1496989999999996E-2</v>
      </c>
      <c r="S3448">
        <v>3.3762509999999999</v>
      </c>
      <c r="T3448">
        <v>-0.40966380000000002</v>
      </c>
      <c r="U3448">
        <v>-0.21562190000000001</v>
      </c>
      <c r="V3448">
        <v>-3.8361909999999999E-2</v>
      </c>
      <c r="W3448">
        <v>0.35966100000000001</v>
      </c>
      <c r="X3448">
        <v>0.93229410000000001</v>
      </c>
      <c r="Y3448">
        <v>9.8078929999999995E-2</v>
      </c>
      <c r="Z3448">
        <v>-1.0400410000000001E-2</v>
      </c>
      <c r="AA3448">
        <v>0.99512429999999996</v>
      </c>
      <c r="AB3448">
        <v>36</v>
      </c>
      <c r="AC3448">
        <v>0.60509999999999298</v>
      </c>
      <c r="AD3448">
        <v>-0.1178367</v>
      </c>
      <c r="AE3448">
        <v>-7.5400000000001896E-2</v>
      </c>
      <c r="AF3448">
        <v>9.3324159769948706E-2</v>
      </c>
      <c r="AG3448">
        <v>-0.1178367</v>
      </c>
      <c r="AH3448">
        <v>0.58037263865518995</v>
      </c>
      <c r="AI3448">
        <v>101.335337452</v>
      </c>
      <c r="AJ3448">
        <v>80.865013124084896</v>
      </c>
      <c r="AK3448">
        <v>0.59952254866956001</v>
      </c>
      <c r="AL3448">
        <v>68.920621219805298</v>
      </c>
      <c r="AM3448">
        <v>92.356269655089406</v>
      </c>
      <c r="AN3448">
        <v>0.99999997997732804</v>
      </c>
    </row>
    <row r="3449" spans="1:40" x14ac:dyDescent="0.25">
      <c r="A3449" t="str">
        <f>"20190304164439381"</f>
        <v>20190304164439381</v>
      </c>
      <c r="B3449" t="str">
        <f>"1551689079373926"</f>
        <v>1551689079373926</v>
      </c>
      <c r="C3449" t="s">
        <v>40</v>
      </c>
      <c r="D3449">
        <v>5.1030030000000002</v>
      </c>
      <c r="E3449">
        <v>0.57298649999999995</v>
      </c>
      <c r="F3449" t="s">
        <v>41</v>
      </c>
      <c r="G3449">
        <v>-236.27680000000001</v>
      </c>
      <c r="H3449">
        <v>0.99854670000000001</v>
      </c>
      <c r="I3449">
        <v>215.077</v>
      </c>
      <c r="J3449">
        <v>-236.86920000000001</v>
      </c>
      <c r="K3449">
        <v>1.1107629999999999</v>
      </c>
      <c r="L3449">
        <v>215.14940000000001</v>
      </c>
      <c r="M3449">
        <v>0.99927310000000003</v>
      </c>
      <c r="N3449">
        <v>-1.3951699999999999E-2</v>
      </c>
      <c r="O3449">
        <v>3.547749E-2</v>
      </c>
      <c r="P3449">
        <v>0.93530000000000002</v>
      </c>
      <c r="Q3449">
        <v>0.3468234</v>
      </c>
      <c r="R3449">
        <v>7.0197170000000003E-2</v>
      </c>
      <c r="S3449">
        <v>3.3759769999999998</v>
      </c>
      <c r="T3449">
        <v>-0.40897359999999999</v>
      </c>
      <c r="U3449">
        <v>-0.21975710000000001</v>
      </c>
      <c r="V3449">
        <v>-3.7020709999999998E-2</v>
      </c>
      <c r="W3449">
        <v>0.35985990000000001</v>
      </c>
      <c r="X3449">
        <v>0.93227159999999998</v>
      </c>
      <c r="Y3449">
        <v>9.9312159999999997E-2</v>
      </c>
      <c r="Z3449">
        <v>-1.0469060000000001E-2</v>
      </c>
      <c r="AA3449">
        <v>0.99500129999999998</v>
      </c>
      <c r="AB3449">
        <v>36</v>
      </c>
      <c r="AC3449">
        <v>0.59239999999999704</v>
      </c>
      <c r="AD3449">
        <v>-0.1122163</v>
      </c>
      <c r="AE3449">
        <v>-7.2400000000015993E-2</v>
      </c>
      <c r="AF3449">
        <v>9.01848950874828E-2</v>
      </c>
      <c r="AG3449">
        <v>-0.1122163</v>
      </c>
      <c r="AH3449">
        <v>0.56932988480454005</v>
      </c>
      <c r="AI3449">
        <v>101.01627645911999</v>
      </c>
      <c r="AJ3449">
        <v>80.998831735331706</v>
      </c>
      <c r="AK3449">
        <v>0.58724980291114703</v>
      </c>
      <c r="AL3449">
        <v>68.908407930219695</v>
      </c>
      <c r="AM3449">
        <v>92.274033182310305</v>
      </c>
      <c r="AN3449">
        <v>1.00000000838173</v>
      </c>
    </row>
    <row r="3450" spans="1:40" x14ac:dyDescent="0.25">
      <c r="A3450" t="str">
        <f>"20190304164439404"</f>
        <v>20190304164439404</v>
      </c>
      <c r="B3450" t="str">
        <f>"1551689079393446"</f>
        <v>1551689079393446</v>
      </c>
      <c r="C3450" t="s">
        <v>40</v>
      </c>
      <c r="D3450">
        <v>5.1087189999999998</v>
      </c>
      <c r="E3450">
        <v>0.57303490000000001</v>
      </c>
      <c r="F3450" t="s">
        <v>41</v>
      </c>
      <c r="G3450">
        <v>-235.95699999999999</v>
      </c>
      <c r="H3450">
        <v>1.0006520000000001</v>
      </c>
      <c r="I3450">
        <v>215.08869999999999</v>
      </c>
      <c r="J3450">
        <v>-236.50720000000001</v>
      </c>
      <c r="K3450">
        <v>1.1107419999999999</v>
      </c>
      <c r="L3450">
        <v>215.16229999999999</v>
      </c>
      <c r="M3450">
        <v>0.99927290000000002</v>
      </c>
      <c r="N3450">
        <v>-1.39496E-2</v>
      </c>
      <c r="O3450">
        <v>3.5486089999999998E-2</v>
      </c>
      <c r="P3450">
        <v>0.93552769999999996</v>
      </c>
      <c r="Q3450">
        <v>0.34643869999999999</v>
      </c>
      <c r="R3450">
        <v>6.9055519999999995E-2</v>
      </c>
      <c r="S3450">
        <v>3.3754580000000001</v>
      </c>
      <c r="T3450">
        <v>-0.40758929999999999</v>
      </c>
      <c r="U3450">
        <v>-0.22395319999999999</v>
      </c>
      <c r="V3450">
        <v>-3.5844750000000002E-2</v>
      </c>
      <c r="W3450">
        <v>0.35947760000000001</v>
      </c>
      <c r="X3450">
        <v>0.93246499999999999</v>
      </c>
      <c r="Y3450">
        <v>0.1005585</v>
      </c>
      <c r="Z3450">
        <v>-1.052028E-2</v>
      </c>
      <c r="AA3450">
        <v>0.99487559999999997</v>
      </c>
      <c r="AB3450">
        <v>36</v>
      </c>
      <c r="AC3450">
        <v>0.55020000000001801</v>
      </c>
      <c r="AD3450">
        <v>-0.11008999999999999</v>
      </c>
      <c r="AE3450">
        <v>-7.3599999999999E-2</v>
      </c>
      <c r="AF3450">
        <v>8.9557458853478697E-2</v>
      </c>
      <c r="AG3450">
        <v>-0.11008999999999999</v>
      </c>
      <c r="AH3450">
        <v>0.52653155162612897</v>
      </c>
      <c r="AI3450">
        <v>101.646965431091</v>
      </c>
      <c r="AJ3450">
        <v>80.346973940631301</v>
      </c>
      <c r="AK3450">
        <v>0.54532175950910999</v>
      </c>
      <c r="AL3450">
        <v>68.931882514538103</v>
      </c>
      <c r="AM3450">
        <v>92.201414722283005</v>
      </c>
      <c r="AN3450">
        <v>0.99999998361466103</v>
      </c>
    </row>
    <row r="3451" spans="1:40" x14ac:dyDescent="0.25">
      <c r="A3451" t="str">
        <f>"20190304164439427"</f>
        <v>20190304164439427</v>
      </c>
      <c r="B3451" t="str">
        <f>"1551689079423702"</f>
        <v>1551689079423702</v>
      </c>
      <c r="C3451" t="s">
        <v>40</v>
      </c>
      <c r="D3451">
        <v>5.0983419999999997</v>
      </c>
      <c r="E3451">
        <v>0.57305649999999997</v>
      </c>
      <c r="F3451" t="s">
        <v>41</v>
      </c>
      <c r="G3451">
        <v>-235.6362</v>
      </c>
      <c r="H3451">
        <v>1.005382</v>
      </c>
      <c r="I3451">
        <v>215.10329999999999</v>
      </c>
      <c r="J3451">
        <v>-236.14830000000001</v>
      </c>
      <c r="K3451">
        <v>1.1107260000000001</v>
      </c>
      <c r="L3451">
        <v>215.17500000000001</v>
      </c>
      <c r="M3451">
        <v>0.99927290000000002</v>
      </c>
      <c r="N3451">
        <v>-1.3947569999999999E-2</v>
      </c>
      <c r="O3451">
        <v>3.5486490000000002E-2</v>
      </c>
      <c r="P3451">
        <v>0.93559239999999999</v>
      </c>
      <c r="Q3451">
        <v>0.34650809999999999</v>
      </c>
      <c r="R3451">
        <v>6.7817589999999997E-2</v>
      </c>
      <c r="S3451">
        <v>3.3747859999999998</v>
      </c>
      <c r="T3451">
        <v>-0.408385</v>
      </c>
      <c r="U3451">
        <v>-0.22764590000000001</v>
      </c>
      <c r="V3451">
        <v>-3.4590750000000003E-2</v>
      </c>
      <c r="W3451">
        <v>0.35954700000000001</v>
      </c>
      <c r="X3451">
        <v>0.93248560000000003</v>
      </c>
      <c r="Y3451">
        <v>0.1016427</v>
      </c>
      <c r="Z3451">
        <v>-1.06149E-2</v>
      </c>
      <c r="AA3451">
        <v>0.99476430000000005</v>
      </c>
      <c r="AB3451">
        <v>36</v>
      </c>
      <c r="AC3451">
        <v>0.512100000000003</v>
      </c>
      <c r="AD3451">
        <v>-0.10534399999999999</v>
      </c>
      <c r="AE3451">
        <v>-7.1700000000021094E-2</v>
      </c>
      <c r="AF3451">
        <v>8.6249616960579201E-2</v>
      </c>
      <c r="AG3451">
        <v>-0.10534399999999999</v>
      </c>
      <c r="AH3451">
        <v>0.48894030671141903</v>
      </c>
      <c r="AI3451">
        <v>101.979234353067</v>
      </c>
      <c r="AJ3451">
        <v>79.995880358615906</v>
      </c>
      <c r="AK3451">
        <v>0.50754209509054804</v>
      </c>
      <c r="AL3451">
        <v>68.927621196489895</v>
      </c>
      <c r="AM3451">
        <v>92.124424940824596</v>
      </c>
      <c r="AN3451">
        <v>0.99999997970096099</v>
      </c>
    </row>
    <row r="3452" spans="1:40" x14ac:dyDescent="0.25">
      <c r="A3452" t="str">
        <f>"20190304164439451"</f>
        <v>20190304164439451</v>
      </c>
      <c r="B3452" t="str">
        <f>"1551689079443221"</f>
        <v>1551689079443221</v>
      </c>
      <c r="C3452" t="s">
        <v>40</v>
      </c>
      <c r="D3452">
        <v>5.1028469999999997</v>
      </c>
      <c r="E3452">
        <v>0.57304980000000005</v>
      </c>
      <c r="F3452" t="s">
        <v>41</v>
      </c>
      <c r="G3452">
        <v>-235.31559999999999</v>
      </c>
      <c r="H3452">
        <v>1.0101800000000001</v>
      </c>
      <c r="I3452">
        <v>215.1174</v>
      </c>
      <c r="J3452">
        <v>-235.76599999999999</v>
      </c>
      <c r="K3452">
        <v>1.110724</v>
      </c>
      <c r="L3452">
        <v>215.18860000000001</v>
      </c>
      <c r="M3452">
        <v>0.99927310000000003</v>
      </c>
      <c r="N3452">
        <v>-1.394542E-2</v>
      </c>
      <c r="O3452">
        <v>3.5482960000000001E-2</v>
      </c>
      <c r="P3452">
        <v>0.93563739999999995</v>
      </c>
      <c r="Q3452">
        <v>0.34667150000000002</v>
      </c>
      <c r="R3452">
        <v>6.6347439999999994E-2</v>
      </c>
      <c r="S3452">
        <v>3.3743439999999998</v>
      </c>
      <c r="T3452">
        <v>-0.40762809999999999</v>
      </c>
      <c r="U3452">
        <v>-0.2324677</v>
      </c>
      <c r="V3452">
        <v>-3.3112269999999999E-2</v>
      </c>
      <c r="W3452">
        <v>0.35970940000000001</v>
      </c>
      <c r="X3452">
        <v>0.93247659999999999</v>
      </c>
      <c r="Y3452">
        <v>0.1030549</v>
      </c>
      <c r="Z3452">
        <v>-1.069107E-2</v>
      </c>
      <c r="AA3452">
        <v>0.99461820000000001</v>
      </c>
      <c r="AB3452">
        <v>36</v>
      </c>
      <c r="AC3452">
        <v>0.45040000000000102</v>
      </c>
      <c r="AD3452">
        <v>-0.10054399999999999</v>
      </c>
      <c r="AE3452">
        <v>-7.1200000000004496E-2</v>
      </c>
      <c r="AF3452">
        <v>8.3098175817105394E-2</v>
      </c>
      <c r="AG3452">
        <v>-0.10054399999999999</v>
      </c>
      <c r="AH3452">
        <v>0.42683774223291099</v>
      </c>
      <c r="AI3452">
        <v>103.018842086679</v>
      </c>
      <c r="AJ3452">
        <v>78.983273469564807</v>
      </c>
      <c r="AK3452">
        <v>0.44632371766983198</v>
      </c>
      <c r="AL3452">
        <v>68.917648363394804</v>
      </c>
      <c r="AM3452">
        <v>92.033720196584795</v>
      </c>
      <c r="AN3452">
        <v>0.99999994221023403</v>
      </c>
    </row>
    <row r="3453" spans="1:40" x14ac:dyDescent="0.25">
      <c r="A3453" t="str">
        <f>"20190304164439472"</f>
        <v>20190304164439472</v>
      </c>
      <c r="B3453" t="str">
        <f>"1551689079463718"</f>
        <v>1551689079463718</v>
      </c>
      <c r="C3453" t="s">
        <v>40</v>
      </c>
      <c r="D3453">
        <v>5.1126310000000004</v>
      </c>
      <c r="E3453">
        <v>0.57300249999999997</v>
      </c>
      <c r="F3453" t="s">
        <v>41</v>
      </c>
      <c r="G3453">
        <v>-234.99420000000001</v>
      </c>
      <c r="H3453">
        <v>1.0175069999999999</v>
      </c>
      <c r="I3453">
        <v>215.13419999999999</v>
      </c>
      <c r="J3453">
        <v>-235.42670000000001</v>
      </c>
      <c r="K3453">
        <v>1.1107209999999901</v>
      </c>
      <c r="L3453">
        <v>215.20070000000001</v>
      </c>
      <c r="M3453">
        <v>0.99927330000000003</v>
      </c>
      <c r="N3453">
        <v>-1.3943509999999999E-2</v>
      </c>
      <c r="O3453">
        <v>3.5473560000000001E-2</v>
      </c>
      <c r="P3453">
        <v>0.93561719999999904</v>
      </c>
      <c r="Q3453">
        <v>0.34700550000000002</v>
      </c>
      <c r="R3453">
        <v>6.4867220000000003E-2</v>
      </c>
      <c r="S3453">
        <v>3.3742220000000001</v>
      </c>
      <c r="T3453">
        <v>-0.40762330000000002</v>
      </c>
      <c r="U3453">
        <v>-0.2371674</v>
      </c>
      <c r="V3453">
        <v>-3.1633910000000001E-2</v>
      </c>
      <c r="W3453">
        <v>0.36004130000000001</v>
      </c>
      <c r="X3453">
        <v>0.93239989999999995</v>
      </c>
      <c r="Y3453">
        <v>0.1044156</v>
      </c>
      <c r="Z3453">
        <v>-1.0781219999999999E-2</v>
      </c>
      <c r="AA3453">
        <v>0.99447529999999995</v>
      </c>
      <c r="AB3453">
        <v>36</v>
      </c>
      <c r="AC3453">
        <v>0.43250000000000399</v>
      </c>
      <c r="AD3453">
        <v>-9.3213999999999894E-2</v>
      </c>
      <c r="AE3453">
        <v>-6.6500000000019099E-2</v>
      </c>
      <c r="AF3453">
        <v>7.8251091831907801E-2</v>
      </c>
      <c r="AG3453">
        <v>-9.3213999999999894E-2</v>
      </c>
      <c r="AH3453">
        <v>0.41120881553088101</v>
      </c>
      <c r="AI3453">
        <v>102.554167696975</v>
      </c>
      <c r="AJ3453">
        <v>79.225705622304503</v>
      </c>
      <c r="AK3453">
        <v>0.42884119804328003</v>
      </c>
      <c r="AL3453">
        <v>68.8972677517622</v>
      </c>
      <c r="AM3453">
        <v>91.943151837494497</v>
      </c>
      <c r="AN3453">
        <v>1.0000000077437901</v>
      </c>
    </row>
    <row r="3454" spans="1:40" x14ac:dyDescent="0.25">
      <c r="A3454" t="str">
        <f>"20190304164439494"</f>
        <v>20190304164439494</v>
      </c>
      <c r="B3454" t="str">
        <f>"1551689079483237"</f>
        <v>1551689079483237</v>
      </c>
      <c r="C3454" t="s">
        <v>40</v>
      </c>
      <c r="D3454">
        <v>5.0925149999999997</v>
      </c>
      <c r="E3454">
        <v>0.57295589999999996</v>
      </c>
      <c r="F3454" t="s">
        <v>41</v>
      </c>
      <c r="G3454">
        <v>-234.67509999999999</v>
      </c>
      <c r="H3454">
        <v>1.02017</v>
      </c>
      <c r="I3454">
        <v>215.1464</v>
      </c>
      <c r="J3454">
        <v>-235.0797</v>
      </c>
      <c r="K3454">
        <v>1.1107070000000001</v>
      </c>
      <c r="L3454">
        <v>215.21299999999999</v>
      </c>
      <c r="M3454">
        <v>0.99927429999999995</v>
      </c>
      <c r="N3454">
        <v>-1.394159E-2</v>
      </c>
      <c r="O3454">
        <v>3.5448960000000002E-2</v>
      </c>
      <c r="P3454">
        <v>0.93578490000000003</v>
      </c>
      <c r="Q3454">
        <v>0.34676630000000003</v>
      </c>
      <c r="R3454">
        <v>6.3716369999999994E-2</v>
      </c>
      <c r="S3454">
        <v>3.3740839999999999</v>
      </c>
      <c r="T3454">
        <v>-0.40663050000000001</v>
      </c>
      <c r="U3454">
        <v>-0.24278259999999999</v>
      </c>
      <c r="V3454">
        <v>-3.0488029999999999E-2</v>
      </c>
      <c r="W3454">
        <v>0.35980329999999999</v>
      </c>
      <c r="X3454">
        <v>0.93252990000000002</v>
      </c>
      <c r="Y3454">
        <v>0.10603269999999999</v>
      </c>
      <c r="Z3454">
        <v>-1.0861279999999999E-2</v>
      </c>
      <c r="AA3454">
        <v>0.9943033</v>
      </c>
      <c r="AB3454">
        <v>36</v>
      </c>
      <c r="AC3454">
        <v>0.404600000000016</v>
      </c>
      <c r="AD3454">
        <v>-9.0536999999999798E-2</v>
      </c>
      <c r="AE3454">
        <v>-6.6599999999993997E-2</v>
      </c>
      <c r="AF3454">
        <v>7.7141402067641404E-2</v>
      </c>
      <c r="AG3454">
        <v>-9.0536999999999798E-2</v>
      </c>
      <c r="AH3454">
        <v>0.38329809662704001</v>
      </c>
      <c r="AI3454">
        <v>103.037740612287</v>
      </c>
      <c r="AJ3454">
        <v>78.620836830626402</v>
      </c>
      <c r="AK3454">
        <v>0.40132926028371402</v>
      </c>
      <c r="AL3454">
        <v>68.911882939027095</v>
      </c>
      <c r="AM3454">
        <v>91.872554919278798</v>
      </c>
      <c r="AN3454">
        <v>0.99999997452908995</v>
      </c>
    </row>
    <row r="3455" spans="1:40" x14ac:dyDescent="0.25">
      <c r="A3455" t="str">
        <f>"20190304164439517"</f>
        <v>20190304164439517</v>
      </c>
      <c r="B3455" t="str">
        <f>"1551689079513494"</f>
        <v>1551689079513494</v>
      </c>
      <c r="C3455" t="s">
        <v>40</v>
      </c>
      <c r="D3455">
        <v>5.0614650000000001</v>
      </c>
      <c r="E3455">
        <v>0.57242179999999998</v>
      </c>
      <c r="F3455" t="s">
        <v>41</v>
      </c>
      <c r="G3455">
        <v>-234.05510000000001</v>
      </c>
      <c r="H3455">
        <v>0.98712239999999996</v>
      </c>
      <c r="I3455">
        <v>215.13759999999999</v>
      </c>
      <c r="J3455">
        <v>-234.7175</v>
      </c>
      <c r="K3455">
        <v>1.1106910000000001</v>
      </c>
      <c r="L3455">
        <v>215.22579999999999</v>
      </c>
      <c r="M3455">
        <v>0.99927619999999895</v>
      </c>
      <c r="N3455">
        <v>-1.393959E-2</v>
      </c>
      <c r="O3455">
        <v>3.5397459999999999E-2</v>
      </c>
      <c r="P3455">
        <v>0.93571130000000002</v>
      </c>
      <c r="Q3455">
        <v>0.34725270000000003</v>
      </c>
      <c r="R3455">
        <v>6.2131449999999998E-2</v>
      </c>
      <c r="S3455">
        <v>3.3735050000000002</v>
      </c>
      <c r="T3455">
        <v>-0.4069681</v>
      </c>
      <c r="U3455">
        <v>-0.2474518</v>
      </c>
      <c r="V3455">
        <v>-2.8936090000000001E-2</v>
      </c>
      <c r="W3455">
        <v>0.36028779999999999</v>
      </c>
      <c r="X3455">
        <v>0.93239229999999995</v>
      </c>
      <c r="Y3455">
        <v>0.1073503</v>
      </c>
      <c r="Z3455">
        <v>-1.0954210000000001E-2</v>
      </c>
      <c r="AA3455">
        <v>0.99416090000000001</v>
      </c>
      <c r="AB3455">
        <v>36</v>
      </c>
      <c r="AC3455">
        <v>0.662399999999991</v>
      </c>
      <c r="AD3455">
        <v>-0.1235686</v>
      </c>
      <c r="AE3455">
        <v>-8.82000000000005E-2</v>
      </c>
      <c r="AF3455">
        <v>0.10790463443142401</v>
      </c>
      <c r="AG3455">
        <v>-0.1235686</v>
      </c>
      <c r="AH3455">
        <v>0.63707851490902001</v>
      </c>
      <c r="AI3455">
        <v>100.826393296085</v>
      </c>
      <c r="AJ3455">
        <v>80.3868094258452</v>
      </c>
      <c r="AK3455">
        <v>0.65786141640654205</v>
      </c>
      <c r="AL3455">
        <v>68.882128114386802</v>
      </c>
      <c r="AM3455">
        <v>91.777560668731596</v>
      </c>
      <c r="AN3455">
        <v>0.99999999861630895</v>
      </c>
    </row>
    <row r="3456" spans="1:40" x14ac:dyDescent="0.25">
      <c r="A3456" t="str">
        <f>"20190304164439539"</f>
        <v>20190304164439539</v>
      </c>
      <c r="B3456" t="str">
        <f>"1551689079533014"</f>
        <v>1551689079533014</v>
      </c>
      <c r="C3456" t="s">
        <v>40</v>
      </c>
      <c r="D3456">
        <v>5.0866199999999999</v>
      </c>
      <c r="E3456">
        <v>0.57212439999999998</v>
      </c>
      <c r="F3456" t="s">
        <v>41</v>
      </c>
      <c r="G3456">
        <v>-233.7363</v>
      </c>
      <c r="H3456">
        <v>0.99112049999999996</v>
      </c>
      <c r="I3456">
        <v>215.15389999999999</v>
      </c>
      <c r="J3456">
        <v>-234.3526</v>
      </c>
      <c r="K3456">
        <v>1.1106659999999999</v>
      </c>
      <c r="L3456">
        <v>215.23859999999999</v>
      </c>
      <c r="M3456">
        <v>0.99927889999999997</v>
      </c>
      <c r="N3456">
        <v>-1.393756E-2</v>
      </c>
      <c r="O3456">
        <v>3.5321720000000001E-2</v>
      </c>
      <c r="P3456">
        <v>0.93568169999999995</v>
      </c>
      <c r="Q3456">
        <v>0.34761350000000002</v>
      </c>
      <c r="R3456">
        <v>6.0539580000000003E-2</v>
      </c>
      <c r="S3456">
        <v>3.3751370000000001</v>
      </c>
      <c r="T3456">
        <v>-0.41127259999999999</v>
      </c>
      <c r="U3456">
        <v>-0.24742130000000001</v>
      </c>
      <c r="V3456">
        <v>-2.7395889999999999E-2</v>
      </c>
      <c r="W3456">
        <v>0.36064629999999998</v>
      </c>
      <c r="X3456">
        <v>0.93230020000000002</v>
      </c>
      <c r="Y3456">
        <v>0.1072114</v>
      </c>
      <c r="Z3456">
        <v>-1.1043839999999999E-2</v>
      </c>
      <c r="AA3456">
        <v>0.99417489999999997</v>
      </c>
      <c r="AB3456">
        <v>36</v>
      </c>
      <c r="AC3456">
        <v>0.61629999999999496</v>
      </c>
      <c r="AD3456">
        <v>-0.119545499999999</v>
      </c>
      <c r="AE3456">
        <v>-8.4699999999997999E-2</v>
      </c>
      <c r="AF3456">
        <v>0.10262817210764399</v>
      </c>
      <c r="AG3456">
        <v>-0.119545499999999</v>
      </c>
      <c r="AH3456">
        <v>0.59109534318923196</v>
      </c>
      <c r="AI3456">
        <v>101.269319036534</v>
      </c>
      <c r="AJ3456">
        <v>80.150284215632496</v>
      </c>
      <c r="AK3456">
        <v>0.61173308968896101</v>
      </c>
      <c r="AL3456">
        <v>68.860106643153102</v>
      </c>
      <c r="AM3456">
        <v>91.683167403702299</v>
      </c>
      <c r="AN3456">
        <v>0.99999997570631005</v>
      </c>
    </row>
    <row r="3457" spans="1:40" x14ac:dyDescent="0.25">
      <c r="A3457" t="str">
        <f>"20190304164439561"</f>
        <v>20190304164439561</v>
      </c>
      <c r="B3457" t="str">
        <f>"1551689079553510"</f>
        <v>1551689079553510</v>
      </c>
      <c r="C3457" t="s">
        <v>40</v>
      </c>
      <c r="D3457">
        <v>5.0629419999999996</v>
      </c>
      <c r="E3457">
        <v>0.57185799999999998</v>
      </c>
      <c r="F3457" t="s">
        <v>41</v>
      </c>
      <c r="G3457">
        <v>-233.41720000000001</v>
      </c>
      <c r="H3457">
        <v>0.9960772</v>
      </c>
      <c r="I3457">
        <v>215.1694</v>
      </c>
      <c r="J3457">
        <v>-234.0147</v>
      </c>
      <c r="K3457">
        <v>1.1106480000000001</v>
      </c>
      <c r="L3457">
        <v>215.25049999999999</v>
      </c>
      <c r="M3457">
        <v>0.99928229999999996</v>
      </c>
      <c r="N3457">
        <v>-1.393573E-2</v>
      </c>
      <c r="O3457">
        <v>3.52238E-2</v>
      </c>
      <c r="P3457">
        <v>0.93566510000000003</v>
      </c>
      <c r="Q3457">
        <v>0.34794789999999998</v>
      </c>
      <c r="R3457">
        <v>5.8850350000000003E-2</v>
      </c>
      <c r="S3457">
        <v>3.3760530000000002</v>
      </c>
      <c r="T3457">
        <v>-0.41368450000000001</v>
      </c>
      <c r="U3457">
        <v>-0.2492828</v>
      </c>
      <c r="V3457">
        <v>-2.5778100000000002E-2</v>
      </c>
      <c r="W3457">
        <v>0.36097980000000002</v>
      </c>
      <c r="X3457">
        <v>0.93221730000000003</v>
      </c>
      <c r="Y3457">
        <v>0.10762480000000001</v>
      </c>
      <c r="Z3457">
        <v>-1.112105E-2</v>
      </c>
      <c r="AA3457">
        <v>0.99412940000000005</v>
      </c>
      <c r="AB3457">
        <v>35</v>
      </c>
      <c r="AC3457">
        <v>0.59749999999999603</v>
      </c>
      <c r="AD3457">
        <v>-0.114570799999999</v>
      </c>
      <c r="AE3457">
        <v>-8.1099999999992095E-2</v>
      </c>
      <c r="AF3457">
        <v>9.8540322422731599E-2</v>
      </c>
      <c r="AG3457">
        <v>-0.114570799999999</v>
      </c>
      <c r="AH3457">
        <v>0.57356478890225404</v>
      </c>
      <c r="AI3457">
        <v>101.137273191341</v>
      </c>
      <c r="AJ3457">
        <v>80.251565442248193</v>
      </c>
      <c r="AK3457">
        <v>0.59313845805537102</v>
      </c>
      <c r="AL3457">
        <v>68.839619142630397</v>
      </c>
      <c r="AM3457">
        <v>91.583965504265194</v>
      </c>
      <c r="AN3457">
        <v>1.0000000104334701</v>
      </c>
    </row>
    <row r="3458" spans="1:40" x14ac:dyDescent="0.25">
      <c r="A3458" t="str">
        <f>"20190304164439581"</f>
        <v>20190304164439581</v>
      </c>
      <c r="B3458" t="str">
        <f>"1551689079573030"</f>
        <v>1551689079573030</v>
      </c>
      <c r="C3458" t="s">
        <v>40</v>
      </c>
      <c r="D3458">
        <v>5.4087120000000004</v>
      </c>
      <c r="E3458">
        <v>0.57172119999999904</v>
      </c>
      <c r="F3458" t="s">
        <v>41</v>
      </c>
      <c r="G3458">
        <v>-233.09960000000001</v>
      </c>
      <c r="H3458">
        <v>0.99813399999999997</v>
      </c>
      <c r="I3458">
        <v>215.18170000000001</v>
      </c>
      <c r="J3458">
        <v>-233.6798</v>
      </c>
      <c r="K3458">
        <v>1.1106210000000001</v>
      </c>
      <c r="L3458">
        <v>215.26220000000001</v>
      </c>
      <c r="M3458">
        <v>0.99928700000000004</v>
      </c>
      <c r="N3458">
        <v>-1.3933930000000001E-2</v>
      </c>
      <c r="O3458">
        <v>3.5092699999999998E-2</v>
      </c>
      <c r="P3458">
        <v>0.93558149999999995</v>
      </c>
      <c r="Q3458">
        <v>0.34843580000000002</v>
      </c>
      <c r="R3458">
        <v>5.7268180000000002E-2</v>
      </c>
      <c r="S3458">
        <v>3.376633</v>
      </c>
      <c r="T3458">
        <v>-0.4152246</v>
      </c>
      <c r="U3458">
        <v>-0.2536621</v>
      </c>
      <c r="V3458">
        <v>-2.4298719999999999E-2</v>
      </c>
      <c r="W3458">
        <v>0.36146489999999998</v>
      </c>
      <c r="X3458">
        <v>0.93206909999999998</v>
      </c>
      <c r="Y3458">
        <v>0.10874780000000001</v>
      </c>
      <c r="Z3458">
        <v>-1.1221210000000001E-2</v>
      </c>
      <c r="AA3458">
        <v>0.99400599999999995</v>
      </c>
      <c r="AB3458">
        <v>35</v>
      </c>
      <c r="AC3458">
        <v>0.58019999999998995</v>
      </c>
      <c r="AD3458">
        <v>-0.112486999999999</v>
      </c>
      <c r="AE3458">
        <v>-8.0500000000000599E-2</v>
      </c>
      <c r="AF3458">
        <v>9.7227599149234997E-2</v>
      </c>
      <c r="AG3458">
        <v>-0.112486999999999</v>
      </c>
      <c r="AH3458">
        <v>0.55649486038246998</v>
      </c>
      <c r="AI3458">
        <v>101.261367693015</v>
      </c>
      <c r="AJ3458">
        <v>80.089639333817999</v>
      </c>
      <c r="AK3458">
        <v>0.57601480956432705</v>
      </c>
      <c r="AL3458">
        <v>68.809813377744604</v>
      </c>
      <c r="AM3458">
        <v>91.493342968589502</v>
      </c>
      <c r="AN3458">
        <v>1.0000000544502201</v>
      </c>
    </row>
    <row r="3459" spans="1:40" x14ac:dyDescent="0.25">
      <c r="A3459" t="str">
        <f>"20190304164439605"</f>
        <v>20190304164439605</v>
      </c>
      <c r="B3459" t="str">
        <f>"1551689079593526"</f>
        <v>1551689079593526</v>
      </c>
      <c r="C3459" t="s">
        <v>40</v>
      </c>
      <c r="D3459">
        <v>5.0777519999999896</v>
      </c>
      <c r="E3459">
        <v>0.57168379999999996</v>
      </c>
      <c r="F3459" t="s">
        <v>41</v>
      </c>
      <c r="G3459">
        <v>-232.78200000000001</v>
      </c>
      <c r="H3459">
        <v>1.0006409999999999</v>
      </c>
      <c r="I3459">
        <v>215.19290000000001</v>
      </c>
      <c r="J3459">
        <v>-233.3176</v>
      </c>
      <c r="K3459">
        <v>1.1105799999999999</v>
      </c>
      <c r="L3459">
        <v>215.2747</v>
      </c>
      <c r="M3459">
        <v>0.9992934</v>
      </c>
      <c r="N3459">
        <v>-1.393191E-2</v>
      </c>
      <c r="O3459">
        <v>3.4906939999999997E-2</v>
      </c>
      <c r="P3459">
        <v>0.935751</v>
      </c>
      <c r="Q3459">
        <v>0.34827540000000001</v>
      </c>
      <c r="R3459">
        <v>5.5445910000000001E-2</v>
      </c>
      <c r="S3459">
        <v>3.3765719999999999</v>
      </c>
      <c r="T3459">
        <v>-0.41385050000000001</v>
      </c>
      <c r="U3459">
        <v>-0.25950620000000002</v>
      </c>
      <c r="V3459">
        <v>-2.2615730000000001E-2</v>
      </c>
      <c r="W3459">
        <v>0.3613053</v>
      </c>
      <c r="X3459">
        <v>0.93217329999999998</v>
      </c>
      <c r="Y3459">
        <v>0.1102706</v>
      </c>
      <c r="Z3459">
        <v>-1.1268220000000001E-2</v>
      </c>
      <c r="AA3459">
        <v>0.99383770000000005</v>
      </c>
      <c r="AB3459">
        <v>35</v>
      </c>
      <c r="AC3459">
        <v>0.53559999999998797</v>
      </c>
      <c r="AD3459">
        <v>-0.109939</v>
      </c>
      <c r="AE3459">
        <v>-8.1799999999986994E-2</v>
      </c>
      <c r="AF3459">
        <v>9.6475941877226898E-2</v>
      </c>
      <c r="AG3459">
        <v>-0.109939</v>
      </c>
      <c r="AH3459">
        <v>0.51136366517448195</v>
      </c>
      <c r="AI3459">
        <v>101.929167877137</v>
      </c>
      <c r="AJ3459">
        <v>79.315928106357504</v>
      </c>
      <c r="AK3459">
        <v>0.53187121480935395</v>
      </c>
      <c r="AL3459">
        <v>68.819619959233407</v>
      </c>
      <c r="AM3459">
        <v>91.389797081393496</v>
      </c>
      <c r="AN3459">
        <v>1.0000000261422</v>
      </c>
    </row>
    <row r="3460" spans="1:40" x14ac:dyDescent="0.25">
      <c r="A3460" t="str">
        <f>"20190304164439629"</f>
        <v>20190304164439629</v>
      </c>
      <c r="B3460" t="str">
        <f>"1551689079623782"</f>
        <v>1551689079623782</v>
      </c>
      <c r="C3460" t="s">
        <v>40</v>
      </c>
      <c r="D3460">
        <v>5.0718759999999996</v>
      </c>
      <c r="E3460">
        <v>0.57156799999999996</v>
      </c>
      <c r="F3460" t="s">
        <v>41</v>
      </c>
      <c r="G3460">
        <v>-232.46340000000001</v>
      </c>
      <c r="H3460">
        <v>1.006111</v>
      </c>
      <c r="I3460">
        <v>215.2072</v>
      </c>
      <c r="J3460">
        <v>-232.94730000000001</v>
      </c>
      <c r="K3460">
        <v>1.1105389999999999</v>
      </c>
      <c r="L3460">
        <v>215.28739999999999</v>
      </c>
      <c r="M3460">
        <v>0.99930189999999997</v>
      </c>
      <c r="N3460">
        <v>-1.392988E-2</v>
      </c>
      <c r="O3460">
        <v>3.4667150000000001E-2</v>
      </c>
      <c r="P3460">
        <v>0.93603860000000005</v>
      </c>
      <c r="Q3460">
        <v>0.34784290000000001</v>
      </c>
      <c r="R3460">
        <v>5.326554E-2</v>
      </c>
      <c r="S3460">
        <v>3.3754270000000002</v>
      </c>
      <c r="T3460">
        <v>-0.41279779999999999</v>
      </c>
      <c r="U3460">
        <v>-0.2669067</v>
      </c>
      <c r="V3460">
        <v>-2.0616909999999999E-2</v>
      </c>
      <c r="W3460">
        <v>0.36087530000000001</v>
      </c>
      <c r="X3460">
        <v>0.93238620000000005</v>
      </c>
      <c r="Y3460">
        <v>0.1122138</v>
      </c>
      <c r="Z3460">
        <v>-1.134929E-2</v>
      </c>
      <c r="AA3460">
        <v>0.99361929999999998</v>
      </c>
      <c r="AB3460">
        <v>35</v>
      </c>
      <c r="AC3460">
        <v>0.48390000000000499</v>
      </c>
      <c r="AD3460">
        <v>-0.10442799999999899</v>
      </c>
      <c r="AE3460">
        <v>-8.0199999999990695E-2</v>
      </c>
      <c r="AF3460">
        <v>9.2725885721563303E-2</v>
      </c>
      <c r="AG3460">
        <v>-0.10442799999999899</v>
      </c>
      <c r="AH3460">
        <v>0.45997916567783098</v>
      </c>
      <c r="AI3460">
        <v>102.546744671664</v>
      </c>
      <c r="AJ3460">
        <v>78.602655254953902</v>
      </c>
      <c r="AK3460">
        <v>0.48071210711248202</v>
      </c>
      <c r="AL3460">
        <v>68.846039800352401</v>
      </c>
      <c r="AM3460">
        <v>91.266717014936305</v>
      </c>
      <c r="AN3460">
        <v>1.00000003253923</v>
      </c>
    </row>
    <row r="3461" spans="1:40" x14ac:dyDescent="0.25">
      <c r="A3461" t="str">
        <f>"20190304164439652"</f>
        <v>20190304164439652</v>
      </c>
      <c r="B3461" t="str">
        <f>"1551689079643302"</f>
        <v>1551689079643302</v>
      </c>
      <c r="C3461" t="s">
        <v>40</v>
      </c>
      <c r="D3461">
        <v>5.0780469999999998</v>
      </c>
      <c r="E3461">
        <v>0.57157029999999998</v>
      </c>
      <c r="F3461" t="s">
        <v>41</v>
      </c>
      <c r="G3461">
        <v>-232.14449999999999</v>
      </c>
      <c r="H3461">
        <v>1.0124420000000001</v>
      </c>
      <c r="I3461">
        <v>215.2218</v>
      </c>
      <c r="J3461">
        <v>-232.57589999999999</v>
      </c>
      <c r="K3461">
        <v>1.1105</v>
      </c>
      <c r="L3461">
        <v>215.3</v>
      </c>
      <c r="M3461">
        <v>0.99931190000000003</v>
      </c>
      <c r="N3461">
        <v>-1.392792E-2</v>
      </c>
      <c r="O3461">
        <v>3.4374040000000002E-2</v>
      </c>
      <c r="P3461">
        <v>0.93632280000000001</v>
      </c>
      <c r="Q3461">
        <v>0.34734090000000001</v>
      </c>
      <c r="R3461">
        <v>5.1515119999999998E-2</v>
      </c>
      <c r="S3461">
        <v>3.3738860000000002</v>
      </c>
      <c r="T3461">
        <v>-0.41249590000000003</v>
      </c>
      <c r="U3461">
        <v>-0.27433780000000002</v>
      </c>
      <c r="V3461">
        <v>-1.9094529999999998E-2</v>
      </c>
      <c r="W3461">
        <v>0.36037629999999998</v>
      </c>
      <c r="X3461">
        <v>0.93261159999999999</v>
      </c>
      <c r="Y3461">
        <v>0.1141191</v>
      </c>
      <c r="Z3461">
        <v>-1.144302E-2</v>
      </c>
      <c r="AA3461">
        <v>0.99340119999999998</v>
      </c>
      <c r="AB3461">
        <v>35</v>
      </c>
      <c r="AC3461">
        <v>0.43139999999999601</v>
      </c>
      <c r="AD3461">
        <v>-9.8057999999999895E-2</v>
      </c>
      <c r="AE3461">
        <v>-7.8200000000009595E-2</v>
      </c>
      <c r="AF3461">
        <v>8.8554468759158303E-2</v>
      </c>
      <c r="AG3461">
        <v>-9.8057999999999895E-2</v>
      </c>
      <c r="AH3461">
        <v>0.408045282351571</v>
      </c>
      <c r="AI3461">
        <v>103.21612446215499</v>
      </c>
      <c r="AJ3461">
        <v>77.755477403296496</v>
      </c>
      <c r="AK3461">
        <v>0.428903506339818</v>
      </c>
      <c r="AL3461">
        <v>68.876693143087394</v>
      </c>
      <c r="AM3461">
        <v>91.172924664108507</v>
      </c>
      <c r="AN3461">
        <v>1.00000003756608</v>
      </c>
    </row>
    <row r="3462" spans="1:40" x14ac:dyDescent="0.25">
      <c r="A3462" t="str">
        <f>"20190304164439672"</f>
        <v>20190304164439672</v>
      </c>
      <c r="B3462" t="str">
        <f>"1551689079663799"</f>
        <v>1551689079663799</v>
      </c>
      <c r="C3462" t="s">
        <v>40</v>
      </c>
      <c r="D3462">
        <v>5.0929289999999998</v>
      </c>
      <c r="E3462">
        <v>0.57148999999999905</v>
      </c>
      <c r="F3462" t="s">
        <v>41</v>
      </c>
      <c r="G3462">
        <v>-231.82579999999999</v>
      </c>
      <c r="H3462">
        <v>1.019026</v>
      </c>
      <c r="I3462">
        <v>215.23750000000001</v>
      </c>
      <c r="J3462">
        <v>-232.25579999999999</v>
      </c>
      <c r="K3462">
        <v>1.1104529999999999</v>
      </c>
      <c r="L3462">
        <v>215.3108</v>
      </c>
      <c r="M3462">
        <v>0.9993223</v>
      </c>
      <c r="N3462">
        <v>-1.3926259999999999E-2</v>
      </c>
      <c r="O3462">
        <v>3.4074500000000001E-2</v>
      </c>
      <c r="P3462">
        <v>0.93662449999999997</v>
      </c>
      <c r="Q3462">
        <v>0.3468</v>
      </c>
      <c r="R3462">
        <v>4.9645759999999997E-2</v>
      </c>
      <c r="S3462">
        <v>3.3720249999999998</v>
      </c>
      <c r="T3462">
        <v>-0.41121760000000002</v>
      </c>
      <c r="U3462">
        <v>-0.28071590000000002</v>
      </c>
      <c r="V3462">
        <v>-1.7461879999999999E-2</v>
      </c>
      <c r="W3462">
        <v>0.35983759999999998</v>
      </c>
      <c r="X3462">
        <v>0.9328516</v>
      </c>
      <c r="Y3462">
        <v>0.1157263</v>
      </c>
      <c r="Z3462">
        <v>-1.149063E-2</v>
      </c>
      <c r="AA3462">
        <v>0.99321470000000001</v>
      </c>
      <c r="AB3462">
        <v>35</v>
      </c>
      <c r="AC3462">
        <v>0.43000000000000599</v>
      </c>
      <c r="AD3462">
        <v>-9.1427000000000105E-2</v>
      </c>
      <c r="AE3462">
        <v>-7.3299999999988999E-2</v>
      </c>
      <c r="AF3462">
        <v>8.4211383359826794E-2</v>
      </c>
      <c r="AG3462">
        <v>-9.1427000000000105E-2</v>
      </c>
      <c r="AH3462">
        <v>0.409272554385955</v>
      </c>
      <c r="AI3462">
        <v>102.34211123962299</v>
      </c>
      <c r="AJ3462">
        <v>78.373163585498403</v>
      </c>
      <c r="AK3462">
        <v>0.42773178183293797</v>
      </c>
      <c r="AL3462">
        <v>68.909778540065105</v>
      </c>
      <c r="AM3462">
        <v>91.072384069876804</v>
      </c>
      <c r="AN3462">
        <v>1.00000006162472</v>
      </c>
    </row>
    <row r="3463" spans="1:40" x14ac:dyDescent="0.25">
      <c r="A3463" t="str">
        <f>"20190304164439696"</f>
        <v>20190304164439696</v>
      </c>
      <c r="B3463" t="str">
        <f>"1551689079683318"</f>
        <v>1551689079683318</v>
      </c>
      <c r="C3463" t="s">
        <v>40</v>
      </c>
      <c r="D3463">
        <v>5.0942550000000004</v>
      </c>
      <c r="E3463">
        <v>0.56640539999999995</v>
      </c>
      <c r="F3463" t="s">
        <v>41</v>
      </c>
      <c r="G3463">
        <v>-231.51009999999999</v>
      </c>
      <c r="H3463">
        <v>1.019482</v>
      </c>
      <c r="I3463">
        <v>215.24719999999999</v>
      </c>
      <c r="J3463">
        <v>-231.90549999999999</v>
      </c>
      <c r="K3463">
        <v>1.1104050000000001</v>
      </c>
      <c r="L3463">
        <v>215.32239999999999</v>
      </c>
      <c r="M3463">
        <v>0.99933519999999998</v>
      </c>
      <c r="N3463">
        <v>-1.3924539999999999E-2</v>
      </c>
      <c r="O3463">
        <v>3.3696530000000002E-2</v>
      </c>
      <c r="P3463">
        <v>0.93687419999999999</v>
      </c>
      <c r="Q3463">
        <v>0.3463329</v>
      </c>
      <c r="R3463">
        <v>4.8170119999999997E-2</v>
      </c>
      <c r="S3463">
        <v>3.370438</v>
      </c>
      <c r="T3463">
        <v>-0.41128350000000002</v>
      </c>
      <c r="U3463">
        <v>-0.28639219999999999</v>
      </c>
      <c r="V3463">
        <v>-1.6293350000000002E-2</v>
      </c>
      <c r="W3463">
        <v>0.35937259999999999</v>
      </c>
      <c r="X3463">
        <v>0.93305190000000005</v>
      </c>
      <c r="Y3463">
        <v>0.1170403</v>
      </c>
      <c r="Z3463">
        <v>-1.15452E-2</v>
      </c>
      <c r="AA3463">
        <v>0.9930601</v>
      </c>
      <c r="AB3463">
        <v>35</v>
      </c>
      <c r="AC3463">
        <v>0.39539999999999498</v>
      </c>
      <c r="AD3463">
        <v>-9.0922999999999796E-2</v>
      </c>
      <c r="AE3463">
        <v>-7.5199999999995201E-2</v>
      </c>
      <c r="AF3463">
        <v>8.4186003888830296E-2</v>
      </c>
      <c r="AG3463">
        <v>-9.0922999999999796E-2</v>
      </c>
      <c r="AH3463">
        <v>0.37357681238203899</v>
      </c>
      <c r="AI3463">
        <v>103.35647206866901</v>
      </c>
      <c r="AJ3463">
        <v>77.300462221260105</v>
      </c>
      <c r="AK3463">
        <v>0.39359104401560702</v>
      </c>
      <c r="AL3463">
        <v>68.938329608745306</v>
      </c>
      <c r="AM3463">
        <v>91.000421644691201</v>
      </c>
      <c r="AN3463">
        <v>0.99999999348929602</v>
      </c>
    </row>
    <row r="3464" spans="1:40" x14ac:dyDescent="0.25">
      <c r="A3464" t="str">
        <f>"20190304164439717"</f>
        <v>20190304164439717</v>
      </c>
      <c r="B3464" t="str">
        <f>"1551689079713574"</f>
        <v>1551689079713574</v>
      </c>
      <c r="C3464" t="s">
        <v>40</v>
      </c>
      <c r="D3464">
        <v>5.0976100000000004</v>
      </c>
      <c r="E3464">
        <v>0.56639209999999995</v>
      </c>
      <c r="F3464" t="s">
        <v>41</v>
      </c>
      <c r="G3464">
        <v>-230.89920000000001</v>
      </c>
      <c r="H3464">
        <v>0.97873399999999999</v>
      </c>
      <c r="I3464">
        <v>215.2484</v>
      </c>
      <c r="J3464">
        <v>-231.55160000000001</v>
      </c>
      <c r="K3464">
        <v>1.110352</v>
      </c>
      <c r="L3464">
        <v>215.3339</v>
      </c>
      <c r="M3464">
        <v>0.99934990000000001</v>
      </c>
      <c r="N3464">
        <v>-1.3922790000000001E-2</v>
      </c>
      <c r="O3464">
        <v>3.3258709999999997E-2</v>
      </c>
      <c r="P3464">
        <v>0.93717340000000005</v>
      </c>
      <c r="Q3464">
        <v>0.3457035</v>
      </c>
      <c r="R3464">
        <v>4.6856410000000001E-2</v>
      </c>
      <c r="S3464">
        <v>3.3783110000000001</v>
      </c>
      <c r="T3464">
        <v>-0.44209860000000001</v>
      </c>
      <c r="U3464">
        <v>-0.24748229999999999</v>
      </c>
      <c r="V3464">
        <v>-1.5341179999999999E-2</v>
      </c>
      <c r="W3464">
        <v>0.35874640000000002</v>
      </c>
      <c r="X3464">
        <v>0.93330900000000006</v>
      </c>
      <c r="Y3464">
        <v>0.1049809</v>
      </c>
      <c r="Z3464">
        <v>-1.1434389999999999E-2</v>
      </c>
      <c r="AA3464">
        <v>0.99440850000000003</v>
      </c>
      <c r="AB3464">
        <v>35</v>
      </c>
      <c r="AC3464">
        <v>0.65239999999999998</v>
      </c>
      <c r="AD3464">
        <v>-0.13161800000000001</v>
      </c>
      <c r="AE3464">
        <v>-8.5499999999996107E-2</v>
      </c>
      <c r="AF3464">
        <v>0.103030172765918</v>
      </c>
      <c r="AG3464">
        <v>-0.13161800000000001</v>
      </c>
      <c r="AH3464">
        <v>0.62421794827820698</v>
      </c>
      <c r="AI3464">
        <v>101.752063961395</v>
      </c>
      <c r="AJ3464">
        <v>80.627557966052194</v>
      </c>
      <c r="AK3464">
        <v>0.646209378898843</v>
      </c>
      <c r="AL3464">
        <v>68.976772126584393</v>
      </c>
      <c r="AM3464">
        <v>90.941709247159395</v>
      </c>
      <c r="AN3464">
        <v>1.00000001039887</v>
      </c>
    </row>
    <row r="3465" spans="1:40" x14ac:dyDescent="0.25">
      <c r="A3465" t="str">
        <f>"20190304164439739"</f>
        <v>20190304164439739</v>
      </c>
      <c r="B3465" t="str">
        <f>"1551689079733094"</f>
        <v>1551689079733094</v>
      </c>
      <c r="C3465" t="s">
        <v>40</v>
      </c>
      <c r="D3465">
        <v>5.1169219999999997</v>
      </c>
      <c r="E3465">
        <v>0.56671019999999905</v>
      </c>
      <c r="F3465" t="s">
        <v>41</v>
      </c>
      <c r="G3465">
        <v>-230.58189999999999</v>
      </c>
      <c r="H3465">
        <v>0.98407630000000001</v>
      </c>
      <c r="I3465">
        <v>215.26140000000001</v>
      </c>
      <c r="J3465">
        <v>-231.18809999999999</v>
      </c>
      <c r="K3465">
        <v>1.1103130000000001</v>
      </c>
      <c r="L3465">
        <v>215.34549999999999</v>
      </c>
      <c r="M3465">
        <v>0.99936610000000003</v>
      </c>
      <c r="N3465">
        <v>-1.392114E-2</v>
      </c>
      <c r="O3465">
        <v>3.2764599999999998E-2</v>
      </c>
      <c r="P3465">
        <v>0.9372376</v>
      </c>
      <c r="Q3465">
        <v>0.3456631</v>
      </c>
      <c r="R3465">
        <v>4.5853249999999998E-2</v>
      </c>
      <c r="S3465">
        <v>3.3759160000000001</v>
      </c>
      <c r="T3465">
        <v>-0.43970559999999997</v>
      </c>
      <c r="U3465">
        <v>-0.25201420000000002</v>
      </c>
      <c r="V3465">
        <v>-1.4761989999999999E-2</v>
      </c>
      <c r="W3465">
        <v>0.35870600000000002</v>
      </c>
      <c r="X3465">
        <v>0.93333390000000005</v>
      </c>
      <c r="Y3465">
        <v>0.1058746</v>
      </c>
      <c r="Z3465">
        <v>-1.138871E-2</v>
      </c>
      <c r="AA3465">
        <v>0.99431429999999998</v>
      </c>
      <c r="AB3465">
        <v>35</v>
      </c>
      <c r="AC3465">
        <v>0.60620000000000096</v>
      </c>
      <c r="AD3465">
        <v>-0.12623669999999901</v>
      </c>
      <c r="AE3465">
        <v>-8.4099999999977998E-2</v>
      </c>
      <c r="AF3465">
        <v>9.9677761323425401E-2</v>
      </c>
      <c r="AG3465">
        <v>-0.12623669999999901</v>
      </c>
      <c r="AH3465">
        <v>0.57850552719924397</v>
      </c>
      <c r="AI3465">
        <v>102.136234363553</v>
      </c>
      <c r="AJ3465">
        <v>80.223803639278501</v>
      </c>
      <c r="AK3465">
        <v>0.60044983598083801</v>
      </c>
      <c r="AL3465">
        <v>68.979252572533596</v>
      </c>
      <c r="AM3465">
        <v>90.906137885622101</v>
      </c>
      <c r="AN3465">
        <v>1.0000000398369799</v>
      </c>
    </row>
    <row r="3466" spans="1:40" x14ac:dyDescent="0.25">
      <c r="A3466" t="str">
        <f>"20190304164439761"</f>
        <v>20190304164439761</v>
      </c>
      <c r="B3466" t="str">
        <f>"1551689079753590"</f>
        <v>1551689079753590</v>
      </c>
      <c r="C3466" t="s">
        <v>40</v>
      </c>
      <c r="D3466">
        <v>5.0987220000000004</v>
      </c>
      <c r="E3466">
        <v>0.56701259999999998</v>
      </c>
      <c r="F3466" t="s">
        <v>41</v>
      </c>
      <c r="G3466">
        <v>-230.26419999999999</v>
      </c>
      <c r="H3466">
        <v>0.99084850000000002</v>
      </c>
      <c r="I3466">
        <v>215.27449999999999</v>
      </c>
      <c r="J3466">
        <v>-230.8535</v>
      </c>
      <c r="K3466">
        <v>1.1102810000000001</v>
      </c>
      <c r="L3466">
        <v>215.35599999999999</v>
      </c>
      <c r="M3466">
        <v>0.99938249999999995</v>
      </c>
      <c r="N3466">
        <v>-1.391964E-2</v>
      </c>
      <c r="O3466">
        <v>3.2268989999999997E-2</v>
      </c>
      <c r="P3466">
        <v>0.93719699999999995</v>
      </c>
      <c r="Q3466">
        <v>0.34591709999999998</v>
      </c>
      <c r="R3466">
        <v>4.4759510000000002E-2</v>
      </c>
      <c r="S3466">
        <v>3.3745270000000001</v>
      </c>
      <c r="T3466">
        <v>-0.43646679999999999</v>
      </c>
      <c r="U3466">
        <v>-0.25837710000000003</v>
      </c>
      <c r="V3466">
        <v>-1.4101850000000001E-2</v>
      </c>
      <c r="W3466">
        <v>0.3589579</v>
      </c>
      <c r="X3466">
        <v>0.93324720000000005</v>
      </c>
      <c r="Y3466">
        <v>0.1072828</v>
      </c>
      <c r="Z3466">
        <v>-1.135487E-2</v>
      </c>
      <c r="AA3466">
        <v>0.99416369999999998</v>
      </c>
      <c r="AB3466">
        <v>35</v>
      </c>
      <c r="AC3466">
        <v>0.58930000000000804</v>
      </c>
      <c r="AD3466">
        <v>-0.119432499999999</v>
      </c>
      <c r="AE3466">
        <v>-8.1500000000005401E-2</v>
      </c>
      <c r="AF3466">
        <v>9.6582864492865794E-2</v>
      </c>
      <c r="AG3466">
        <v>-0.119432499999999</v>
      </c>
      <c r="AH3466">
        <v>0.56364590399242598</v>
      </c>
      <c r="AI3466">
        <v>101.79659396623801</v>
      </c>
      <c r="AJ3466">
        <v>80.276583579584894</v>
      </c>
      <c r="AK3466">
        <v>0.58419951802217096</v>
      </c>
      <c r="AL3466">
        <v>68.963788810823999</v>
      </c>
      <c r="AM3466">
        <v>90.865703108728198</v>
      </c>
      <c r="AN3466">
        <v>0.99999998622683595</v>
      </c>
    </row>
    <row r="3467" spans="1:40" x14ac:dyDescent="0.25">
      <c r="A3467" t="str">
        <f>"20190304164439783"</f>
        <v>20190304164439783</v>
      </c>
      <c r="B3467" t="str">
        <f>"1551689079773110"</f>
        <v>1551689079773110</v>
      </c>
      <c r="C3467" t="s">
        <v>40</v>
      </c>
      <c r="D3467">
        <v>5.1236169999999897</v>
      </c>
      <c r="E3467">
        <v>0.56723140000000005</v>
      </c>
      <c r="F3467" t="s">
        <v>41</v>
      </c>
      <c r="G3467">
        <v>-229.94909999999999</v>
      </c>
      <c r="H3467">
        <v>0.99278880000000003</v>
      </c>
      <c r="I3467">
        <v>215.28530000000001</v>
      </c>
      <c r="J3467">
        <v>-230.5018</v>
      </c>
      <c r="K3467">
        <v>1.1102339999999999</v>
      </c>
      <c r="L3467">
        <v>215.36670000000001</v>
      </c>
      <c r="M3467">
        <v>0.99940059999999997</v>
      </c>
      <c r="N3467">
        <v>-1.3917769999999999E-2</v>
      </c>
      <c r="O3467">
        <v>3.1701140000000003E-2</v>
      </c>
      <c r="P3467">
        <v>0.93727919999999998</v>
      </c>
      <c r="Q3467">
        <v>0.34585939999999998</v>
      </c>
      <c r="R3467">
        <v>4.346423E-2</v>
      </c>
      <c r="S3467">
        <v>3.3754580000000001</v>
      </c>
      <c r="T3467">
        <v>-0.43846200000000002</v>
      </c>
      <c r="U3467">
        <v>-0.26329039999999998</v>
      </c>
      <c r="V3467">
        <v>-1.330159E-2</v>
      </c>
      <c r="W3467">
        <v>0.35889959999999999</v>
      </c>
      <c r="X3467">
        <v>0.93328140000000004</v>
      </c>
      <c r="Y3467">
        <v>0.1081217</v>
      </c>
      <c r="Z3467">
        <v>-1.139597E-2</v>
      </c>
      <c r="AA3467">
        <v>0.99407230000000002</v>
      </c>
      <c r="AB3467">
        <v>35</v>
      </c>
      <c r="AC3467">
        <v>0.55270000000001496</v>
      </c>
      <c r="AD3467">
        <v>-0.117445199999999</v>
      </c>
      <c r="AE3467">
        <v>-8.1400000000002096E-2</v>
      </c>
      <c r="AF3467">
        <v>9.4696875280214796E-2</v>
      </c>
      <c r="AG3467">
        <v>-0.117445199999999</v>
      </c>
      <c r="AH3467">
        <v>0.52656973083592395</v>
      </c>
      <c r="AI3467">
        <v>102.381006841934</v>
      </c>
      <c r="AJ3467">
        <v>79.805056358616795</v>
      </c>
      <c r="AK3467">
        <v>0.54775592614183</v>
      </c>
      <c r="AL3467">
        <v>68.967368227791397</v>
      </c>
      <c r="AM3467">
        <v>90.816552617132103</v>
      </c>
      <c r="AN3467">
        <v>1.0000000133813201</v>
      </c>
    </row>
    <row r="3468" spans="1:40" x14ac:dyDescent="0.25">
      <c r="A3468" t="str">
        <f>"20190304164439807"</f>
        <v>20190304164439807</v>
      </c>
      <c r="B3468" t="str">
        <f>"1551689079803366"</f>
        <v>1551689079803366</v>
      </c>
      <c r="C3468" t="s">
        <v>40</v>
      </c>
      <c r="D3468">
        <v>5.0990640000000003</v>
      </c>
      <c r="E3468">
        <v>0.56733089999999997</v>
      </c>
      <c r="F3468" t="s">
        <v>41</v>
      </c>
      <c r="G3468">
        <v>-229.63310000000001</v>
      </c>
      <c r="H3468">
        <v>0.99690999999999996</v>
      </c>
      <c r="I3468">
        <v>215.29750000000001</v>
      </c>
      <c r="J3468">
        <v>-230.148</v>
      </c>
      <c r="K3468">
        <v>1.1101909999999999</v>
      </c>
      <c r="L3468">
        <v>215.37739999999999</v>
      </c>
      <c r="M3468">
        <v>0.99942019999999998</v>
      </c>
      <c r="N3468">
        <v>-1.3915830000000001E-2</v>
      </c>
      <c r="O3468">
        <v>3.107886E-2</v>
      </c>
      <c r="P3468">
        <v>0.93727329999999998</v>
      </c>
      <c r="Q3468">
        <v>0.34595670000000001</v>
      </c>
      <c r="R3468">
        <v>4.2815060000000002E-2</v>
      </c>
      <c r="S3468">
        <v>3.3757630000000001</v>
      </c>
      <c r="T3468">
        <v>-0.4404981</v>
      </c>
      <c r="U3468">
        <v>-0.2684937</v>
      </c>
      <c r="V3468">
        <v>-1.3197830000000001E-2</v>
      </c>
      <c r="W3468">
        <v>0.35899530000000002</v>
      </c>
      <c r="X3468">
        <v>0.93324609999999997</v>
      </c>
      <c r="Y3468">
        <v>0.1090038</v>
      </c>
      <c r="Z3468">
        <v>-1.1436679999999999E-2</v>
      </c>
      <c r="AA3468">
        <v>0.99397550000000001</v>
      </c>
      <c r="AB3468">
        <v>35</v>
      </c>
      <c r="AC3468">
        <v>0.51489999999998204</v>
      </c>
      <c r="AD3468">
        <v>-0.11328099999999899</v>
      </c>
      <c r="AE3468">
        <v>-7.9899999999980695E-2</v>
      </c>
      <c r="AF3468">
        <v>9.1538911066041603E-2</v>
      </c>
      <c r="AG3468">
        <v>-0.11328099999999899</v>
      </c>
      <c r="AH3468">
        <v>0.48905295783196201</v>
      </c>
      <c r="AI3468">
        <v>102.826419431007</v>
      </c>
      <c r="AJ3468">
        <v>79.398286537742806</v>
      </c>
      <c r="AK3468">
        <v>0.51027909301121399</v>
      </c>
      <c r="AL3468">
        <v>68.961494229197498</v>
      </c>
      <c r="AM3468">
        <v>90.8102145337553</v>
      </c>
      <c r="AN3468">
        <v>1.000000045652</v>
      </c>
    </row>
    <row r="3469" spans="1:40" x14ac:dyDescent="0.25">
      <c r="A3469" t="str">
        <f>"20190304164439831"</f>
        <v>20190304164439831</v>
      </c>
      <c r="B3469" t="str">
        <f>"1551689079823862"</f>
        <v>1551689079823862</v>
      </c>
      <c r="C3469" t="s">
        <v>40</v>
      </c>
      <c r="D3469">
        <v>5.1358920000000001</v>
      </c>
      <c r="E3469">
        <v>0.56758209999999998</v>
      </c>
      <c r="F3469" t="s">
        <v>41</v>
      </c>
      <c r="G3469">
        <v>-229.31729999999999</v>
      </c>
      <c r="H3469">
        <v>1.0012650000000001</v>
      </c>
      <c r="I3469">
        <v>215.31039999999999</v>
      </c>
      <c r="J3469">
        <v>-229.7586</v>
      </c>
      <c r="K3469">
        <v>1.110142</v>
      </c>
      <c r="L3469">
        <v>215.3888</v>
      </c>
      <c r="M3469">
        <v>0.99944299999999997</v>
      </c>
      <c r="N3469">
        <v>-1.3913729999999999E-2</v>
      </c>
      <c r="O3469">
        <v>3.0333679999999998E-2</v>
      </c>
      <c r="P3469">
        <v>0.93729600000000002</v>
      </c>
      <c r="Q3469">
        <v>0.34599849999999999</v>
      </c>
      <c r="R3469">
        <v>4.1966290000000003E-2</v>
      </c>
      <c r="S3469">
        <v>3.376633</v>
      </c>
      <c r="T3469">
        <v>-0.44278190000000001</v>
      </c>
      <c r="U3469">
        <v>-0.27192690000000003</v>
      </c>
      <c r="V3469">
        <v>-1.3000909999999999E-2</v>
      </c>
      <c r="W3469">
        <v>0.359037099999999</v>
      </c>
      <c r="X3469">
        <v>0.93323270000000003</v>
      </c>
      <c r="Y3469">
        <v>0.1092379</v>
      </c>
      <c r="Z3469">
        <v>-1.142057E-2</v>
      </c>
      <c r="AA3469">
        <v>0.99395</v>
      </c>
      <c r="AB3469">
        <v>35</v>
      </c>
      <c r="AC3469">
        <v>0.44130000000001202</v>
      </c>
      <c r="AD3469">
        <v>-0.108876999999999</v>
      </c>
      <c r="AE3469">
        <v>-7.8400000000016207E-2</v>
      </c>
      <c r="AF3469">
        <v>8.6639086049493302E-2</v>
      </c>
      <c r="AG3469">
        <v>-0.108876999999999</v>
      </c>
      <c r="AH3469">
        <v>0.41427316568279099</v>
      </c>
      <c r="AI3469">
        <v>104.42647734883499</v>
      </c>
      <c r="AJ3469">
        <v>78.187687708838098</v>
      </c>
      <c r="AK3469">
        <v>0.43701577564812599</v>
      </c>
      <c r="AL3469">
        <v>68.958926470920801</v>
      </c>
      <c r="AM3469">
        <v>90.798138652893599</v>
      </c>
      <c r="AN3469">
        <v>0.99999996759326304</v>
      </c>
    </row>
    <row r="3470" spans="1:40" x14ac:dyDescent="0.25">
      <c r="A3470" t="str">
        <f>"20190304164439862"</f>
        <v>20190304164439862</v>
      </c>
      <c r="B3470" t="str">
        <f>"1551689079853142"</f>
        <v>1551689079853142</v>
      </c>
      <c r="C3470" t="s">
        <v>40</v>
      </c>
      <c r="D3470">
        <v>5.1450930000000001</v>
      </c>
      <c r="E3470">
        <v>0.56785989999999997</v>
      </c>
      <c r="F3470" t="s">
        <v>41</v>
      </c>
      <c r="G3470">
        <v>-228.999</v>
      </c>
      <c r="H3470">
        <v>1.011193</v>
      </c>
      <c r="I3470">
        <v>215.32589999999999</v>
      </c>
      <c r="J3470">
        <v>-229.27799999999999</v>
      </c>
      <c r="K3470">
        <v>1.1100719999999999</v>
      </c>
      <c r="L3470">
        <v>215.4023</v>
      </c>
      <c r="M3470">
        <v>0.99947359999999996</v>
      </c>
      <c r="N3470">
        <v>-1.3911400000000001E-2</v>
      </c>
      <c r="O3470">
        <v>2.931017E-2</v>
      </c>
      <c r="P3470">
        <v>0.93708000000000002</v>
      </c>
      <c r="Q3470">
        <v>0.34664850000000003</v>
      </c>
      <c r="R3470">
        <v>4.1426739999999997E-2</v>
      </c>
      <c r="S3470">
        <v>3.375534</v>
      </c>
      <c r="T3470">
        <v>-0.43982389999999999</v>
      </c>
      <c r="U3470">
        <v>-0.27873229999999999</v>
      </c>
      <c r="V3470">
        <v>-1.3364020000000001E-2</v>
      </c>
      <c r="W3470">
        <v>0.35968450000000002</v>
      </c>
      <c r="X3470">
        <v>0.93297830000000004</v>
      </c>
      <c r="Y3470">
        <v>0.1102495</v>
      </c>
      <c r="Z3470">
        <v>-1.1304E-2</v>
      </c>
      <c r="AA3470">
        <v>0.99383969999999999</v>
      </c>
      <c r="AB3470">
        <v>35</v>
      </c>
      <c r="AC3470">
        <v>0.278999999999967</v>
      </c>
      <c r="AD3470">
        <v>-9.8878999999999898E-2</v>
      </c>
      <c r="AE3470">
        <v>-7.6400000000006602E-2</v>
      </c>
      <c r="AF3470">
        <v>7.5700535421098294E-2</v>
      </c>
      <c r="AG3470">
        <v>-9.8878999999999898E-2</v>
      </c>
      <c r="AH3470">
        <v>0.247699069245992</v>
      </c>
      <c r="AI3470">
        <v>110.89484005840799</v>
      </c>
      <c r="AJ3470">
        <v>73.006064986663205</v>
      </c>
      <c r="AK3470">
        <v>0.27724079174856597</v>
      </c>
      <c r="AL3470">
        <v>68.919179137352202</v>
      </c>
      <c r="AM3470">
        <v>90.820651006924393</v>
      </c>
      <c r="AN3470">
        <v>1.0000000224208501</v>
      </c>
    </row>
    <row r="3471" spans="1:40" x14ac:dyDescent="0.25">
      <c r="A3471" t="str">
        <f>"20190304164439884"</f>
        <v>20190304164439884</v>
      </c>
      <c r="B3471" t="str">
        <f>"1551689079873638"</f>
        <v>1551689079873638</v>
      </c>
      <c r="C3471" t="s">
        <v>40</v>
      </c>
      <c r="D3471">
        <v>5.1493250000000002</v>
      </c>
      <c r="E3471">
        <v>0.56839110000000004</v>
      </c>
      <c r="F3471" t="s">
        <v>41</v>
      </c>
      <c r="G3471">
        <v>-228.3802</v>
      </c>
      <c r="H3471">
        <v>0.99431879999999995</v>
      </c>
      <c r="I3471">
        <v>215.32650000000001</v>
      </c>
      <c r="J3471">
        <v>-228.92850000000001</v>
      </c>
      <c r="K3471">
        <v>1.1100219999999901</v>
      </c>
      <c r="L3471">
        <v>215.4117</v>
      </c>
      <c r="M3471">
        <v>0.99949710000000003</v>
      </c>
      <c r="N3471">
        <v>-1.390976E-2</v>
      </c>
      <c r="O3471">
        <v>2.8499380000000001E-2</v>
      </c>
      <c r="P3471">
        <v>0.93719419999999998</v>
      </c>
      <c r="Q3471">
        <v>0.34642849999999997</v>
      </c>
      <c r="R3471">
        <v>4.0680269999999998E-2</v>
      </c>
      <c r="S3471">
        <v>3.3750149999999999</v>
      </c>
      <c r="T3471">
        <v>-0.43524049999999997</v>
      </c>
      <c r="U3471">
        <v>-0.28434749999999998</v>
      </c>
      <c r="V3471">
        <v>-1.3330079999999999E-2</v>
      </c>
      <c r="W3471">
        <v>0.3594657</v>
      </c>
      <c r="X3471">
        <v>0.93306310000000003</v>
      </c>
      <c r="Y3471">
        <v>0.11111989999999899</v>
      </c>
      <c r="Z3471">
        <v>-1.1160949999999999E-2</v>
      </c>
      <c r="AA3471">
        <v>0.99374430000000002</v>
      </c>
      <c r="AB3471">
        <v>35</v>
      </c>
      <c r="AC3471">
        <v>0.548300000000011</v>
      </c>
      <c r="AD3471">
        <v>-0.11570319999999901</v>
      </c>
      <c r="AE3471">
        <v>-8.5199999999986106E-2</v>
      </c>
      <c r="AF3471">
        <v>9.6593206093446404E-2</v>
      </c>
      <c r="AG3471">
        <v>-0.11570319999999901</v>
      </c>
      <c r="AH3471">
        <v>0.52291247491547099</v>
      </c>
      <c r="AI3471">
        <v>102.275411967219</v>
      </c>
      <c r="AJ3471">
        <v>79.534208336616203</v>
      </c>
      <c r="AK3471">
        <v>0.54420118924518501</v>
      </c>
      <c r="AL3471">
        <v>68.932613857238593</v>
      </c>
      <c r="AM3471">
        <v>90.818492736364902</v>
      </c>
      <c r="AN3471">
        <v>1.00000001454545</v>
      </c>
    </row>
    <row r="3472" spans="1:40" x14ac:dyDescent="0.25">
      <c r="A3472" t="str">
        <f>"20190304164439907"</f>
        <v>20190304164439907</v>
      </c>
      <c r="B3472" t="str">
        <f>"1551689079903894"</f>
        <v>1551689079903894</v>
      </c>
      <c r="C3472" t="s">
        <v>40</v>
      </c>
      <c r="D3472">
        <v>5.1391260000000001</v>
      </c>
      <c r="E3472">
        <v>0.56861439999999996</v>
      </c>
      <c r="F3472" t="s">
        <v>41</v>
      </c>
      <c r="G3472">
        <v>-228.06450000000001</v>
      </c>
      <c r="H3472">
        <v>1.0002530000000001</v>
      </c>
      <c r="I3472">
        <v>215.33699999999999</v>
      </c>
      <c r="J3472">
        <v>-228.57210000000001</v>
      </c>
      <c r="K3472">
        <v>1.1099760000000001</v>
      </c>
      <c r="L3472">
        <v>215.42099999999999</v>
      </c>
      <c r="M3472">
        <v>0.99952189999999996</v>
      </c>
      <c r="N3472">
        <v>-1.3908210000000001E-2</v>
      </c>
      <c r="O3472">
        <v>2.7618480000000001E-2</v>
      </c>
      <c r="P3472">
        <v>0.93743540000000003</v>
      </c>
      <c r="Q3472">
        <v>0.34589829999999999</v>
      </c>
      <c r="R3472">
        <v>3.9617369999999999E-2</v>
      </c>
      <c r="S3472">
        <v>3.3720249999999998</v>
      </c>
      <c r="T3472">
        <v>-0.42838300000000001</v>
      </c>
      <c r="U3472">
        <v>-0.2912903</v>
      </c>
      <c r="V3472">
        <v>-1.304461E-2</v>
      </c>
      <c r="W3472">
        <v>0.35893789999999998</v>
      </c>
      <c r="X3472">
        <v>0.9332703</v>
      </c>
      <c r="Y3472">
        <v>0.1123783</v>
      </c>
      <c r="Z3472">
        <v>-1.098999E-2</v>
      </c>
      <c r="AA3472">
        <v>0.99360470000000001</v>
      </c>
      <c r="AB3472">
        <v>35</v>
      </c>
      <c r="AC3472">
        <v>0.50759999999999605</v>
      </c>
      <c r="AD3472">
        <v>-0.109723</v>
      </c>
      <c r="AE3472">
        <v>-8.3999999999974706E-2</v>
      </c>
      <c r="AF3472">
        <v>9.3725811786923602E-2</v>
      </c>
      <c r="AG3472">
        <v>-0.109723</v>
      </c>
      <c r="AH3472">
        <v>0.48311420379858599</v>
      </c>
      <c r="AI3472">
        <v>102.56903096917701</v>
      </c>
      <c r="AJ3472">
        <v>79.020808966261697</v>
      </c>
      <c r="AK3472">
        <v>0.50420531377213695</v>
      </c>
      <c r="AL3472">
        <v>68.965017188082498</v>
      </c>
      <c r="AM3472">
        <v>90.800788830451495</v>
      </c>
      <c r="AN3472">
        <v>1.0000000153842701</v>
      </c>
    </row>
    <row r="3473" spans="1:40" x14ac:dyDescent="0.25">
      <c r="A3473" t="str">
        <f>"20190304164439929"</f>
        <v>20190304164439929</v>
      </c>
      <c r="B3473" t="str">
        <f>"1551689079923414"</f>
        <v>1551689079923414</v>
      </c>
      <c r="C3473" t="s">
        <v>40</v>
      </c>
      <c r="D3473">
        <v>5.1406340000000004</v>
      </c>
      <c r="E3473">
        <v>0.56869789999999998</v>
      </c>
      <c r="F3473" t="s">
        <v>41</v>
      </c>
      <c r="G3473">
        <v>-227.74969999999999</v>
      </c>
      <c r="H3473">
        <v>1.004659</v>
      </c>
      <c r="I3473">
        <v>215.34880000000001</v>
      </c>
      <c r="J3473">
        <v>-228.22210000000001</v>
      </c>
      <c r="K3473">
        <v>1.1099319999999999</v>
      </c>
      <c r="L3473">
        <v>215.4297</v>
      </c>
      <c r="M3473">
        <v>0.99954679999999996</v>
      </c>
      <c r="N3473">
        <v>-1.3906669999999999E-2</v>
      </c>
      <c r="O3473">
        <v>2.6699609999999999E-2</v>
      </c>
      <c r="P3473">
        <v>0.93739899999999998</v>
      </c>
      <c r="Q3473">
        <v>0.34620780000000001</v>
      </c>
      <c r="R3473">
        <v>3.7731399999999998E-2</v>
      </c>
      <c r="S3473">
        <v>3.3720699999999999</v>
      </c>
      <c r="T3473">
        <v>-0.4320061</v>
      </c>
      <c r="U3473">
        <v>-0.29493709999999901</v>
      </c>
      <c r="V3473">
        <v>-1.198127E-2</v>
      </c>
      <c r="W3473">
        <v>0.35924400000000001</v>
      </c>
      <c r="X3473">
        <v>0.93316670000000002</v>
      </c>
      <c r="Y3473">
        <v>0.1125158</v>
      </c>
      <c r="Z3473">
        <v>-1.0983639999999999E-2</v>
      </c>
      <c r="AA3473">
        <v>0.99358919999999995</v>
      </c>
      <c r="AB3473">
        <v>35</v>
      </c>
      <c r="AC3473">
        <v>0.47240000000002103</v>
      </c>
      <c r="AD3473">
        <v>-0.10527299999999901</v>
      </c>
      <c r="AE3473">
        <v>-8.0899999999985497E-2</v>
      </c>
      <c r="AF3473">
        <v>8.9182573652216601E-2</v>
      </c>
      <c r="AG3473">
        <v>-0.10527299999999901</v>
      </c>
      <c r="AH3473">
        <v>0.448436136980226</v>
      </c>
      <c r="AI3473">
        <v>102.96619012719199</v>
      </c>
      <c r="AJ3473">
        <v>78.752079566018097</v>
      </c>
      <c r="AK3473">
        <v>0.469181100346104</v>
      </c>
      <c r="AL3473">
        <v>68.946224073149594</v>
      </c>
      <c r="AM3473">
        <v>90.735601137736793</v>
      </c>
      <c r="AN3473">
        <v>0.99999994617784904</v>
      </c>
    </row>
    <row r="3474" spans="1:40" x14ac:dyDescent="0.25">
      <c r="A3474" t="str">
        <f>"20190304164439951"</f>
        <v>20190304164439951</v>
      </c>
      <c r="B3474" t="str">
        <f>"1551689079943910"</f>
        <v>1551689079943910</v>
      </c>
      <c r="C3474" t="s">
        <v>40</v>
      </c>
      <c r="D3474">
        <v>5.1684559999999999</v>
      </c>
      <c r="E3474">
        <v>0.56882469999999996</v>
      </c>
      <c r="F3474" t="s">
        <v>41</v>
      </c>
      <c r="G3474">
        <v>-227.43520000000001</v>
      </c>
      <c r="H3474">
        <v>1.00915</v>
      </c>
      <c r="I3474">
        <v>215.35919999999999</v>
      </c>
      <c r="J3474">
        <v>-227.87710000000001</v>
      </c>
      <c r="K3474">
        <v>1.1098920000000001</v>
      </c>
      <c r="L3474">
        <v>215.43799999999999</v>
      </c>
      <c r="M3474">
        <v>0.99957200000000002</v>
      </c>
      <c r="N3474">
        <v>-1.3905239999999999E-2</v>
      </c>
      <c r="O3474">
        <v>2.5742560000000001E-2</v>
      </c>
      <c r="P3474">
        <v>0.93729200000000001</v>
      </c>
      <c r="Q3474">
        <v>0.34670659999999998</v>
      </c>
      <c r="R3474">
        <v>3.5756870000000003E-2</v>
      </c>
      <c r="S3474">
        <v>3.3720089999999998</v>
      </c>
      <c r="T3474">
        <v>-0.43184329999999999</v>
      </c>
      <c r="U3474">
        <v>-0.30209350000000001</v>
      </c>
      <c r="V3474">
        <v>-1.086752E-2</v>
      </c>
      <c r="W3474">
        <v>0.3597379</v>
      </c>
      <c r="X3474">
        <v>0.93299010000000004</v>
      </c>
      <c r="Y3474">
        <v>0.1136553</v>
      </c>
      <c r="Z3474">
        <v>-1.095085E-2</v>
      </c>
      <c r="AA3474">
        <v>0.99345989999999995</v>
      </c>
      <c r="AB3474">
        <v>35</v>
      </c>
      <c r="AC3474">
        <v>0.44190000000000401</v>
      </c>
      <c r="AD3474">
        <v>-0.100742</v>
      </c>
      <c r="AE3474">
        <v>-7.8800000000000994E-2</v>
      </c>
      <c r="AF3474">
        <v>8.5827426254908107E-2</v>
      </c>
      <c r="AG3474">
        <v>-0.100742</v>
      </c>
      <c r="AH3474">
        <v>0.41863772769146301</v>
      </c>
      <c r="AI3474">
        <v>103.264680007987</v>
      </c>
      <c r="AJ3474">
        <v>78.413994821911501</v>
      </c>
      <c r="AK3474">
        <v>0.43905904467191398</v>
      </c>
      <c r="AL3474">
        <v>68.915899407343105</v>
      </c>
      <c r="AM3474">
        <v>90.667354210593501</v>
      </c>
      <c r="AN3474">
        <v>0.99999999319268496</v>
      </c>
    </row>
    <row r="3475" spans="1:40" x14ac:dyDescent="0.25">
      <c r="A3475" t="str">
        <f>"20190304164439974"</f>
        <v>20190304164439974</v>
      </c>
      <c r="B3475" t="str">
        <f>"1551689079963430"</f>
        <v>1551689079963430</v>
      </c>
      <c r="C3475" t="s">
        <v>40</v>
      </c>
      <c r="D3475">
        <v>5.1715429999999998</v>
      </c>
      <c r="E3475">
        <v>0.56895560000000001</v>
      </c>
      <c r="F3475" t="s">
        <v>41</v>
      </c>
      <c r="G3475">
        <v>-227.1208</v>
      </c>
      <c r="H3475">
        <v>1.013431</v>
      </c>
      <c r="I3475">
        <v>215.3681</v>
      </c>
      <c r="J3475">
        <v>-227.53319999999999</v>
      </c>
      <c r="K3475">
        <v>1.1098460000000001</v>
      </c>
      <c r="L3475">
        <v>215.44589999999999</v>
      </c>
      <c r="M3475">
        <v>0.99959730000000002</v>
      </c>
      <c r="N3475">
        <v>-1.3903779999999999E-2</v>
      </c>
      <c r="O3475">
        <v>2.4739959999999998E-2</v>
      </c>
      <c r="P3475">
        <v>0.93732389999999999</v>
      </c>
      <c r="Q3475">
        <v>0.346852299999999</v>
      </c>
      <c r="R3475">
        <v>3.3430429999999997E-2</v>
      </c>
      <c r="S3475">
        <v>3.371658</v>
      </c>
      <c r="T3475">
        <v>-0.43012610000000001</v>
      </c>
      <c r="U3475">
        <v>-0.31068420000000002</v>
      </c>
      <c r="V3475">
        <v>-9.4424299999999999E-3</v>
      </c>
      <c r="W3475">
        <v>0.35988029999999999</v>
      </c>
      <c r="X3475">
        <v>0.93295070000000002</v>
      </c>
      <c r="Y3475">
        <v>0.11518050000000001</v>
      </c>
      <c r="Z3475">
        <v>-1.0903410000000001E-2</v>
      </c>
      <c r="AA3475">
        <v>0.99328479999999997</v>
      </c>
      <c r="AB3475">
        <v>35</v>
      </c>
      <c r="AC3475">
        <v>0.412399999999991</v>
      </c>
      <c r="AD3475">
        <v>-9.6414999999999904E-2</v>
      </c>
      <c r="AE3475">
        <v>-7.7799999999996303E-2</v>
      </c>
      <c r="AF3475">
        <v>8.3569197320222596E-2</v>
      </c>
      <c r="AG3475">
        <v>-9.6414999999999904E-2</v>
      </c>
      <c r="AH3475">
        <v>0.38977662603824298</v>
      </c>
      <c r="AI3475">
        <v>103.59662098782201</v>
      </c>
      <c r="AJ3475">
        <v>77.898829456077905</v>
      </c>
      <c r="AK3475">
        <v>0.41012861540192802</v>
      </c>
      <c r="AL3475">
        <v>68.907154961576197</v>
      </c>
      <c r="AM3475">
        <v>90.579872993903294</v>
      </c>
      <c r="AN3475">
        <v>0.999999999221442</v>
      </c>
    </row>
    <row r="3476" spans="1:40" x14ac:dyDescent="0.25">
      <c r="A3476" t="str">
        <f>"20190304164439996"</f>
        <v>20190304164439996</v>
      </c>
      <c r="B3476" t="str">
        <f>"1551689079993686"</f>
        <v>1551689079993686</v>
      </c>
      <c r="C3476" t="s">
        <v>40</v>
      </c>
      <c r="D3476">
        <v>5.154102</v>
      </c>
      <c r="E3476">
        <v>0.56912600000000002</v>
      </c>
      <c r="F3476" t="s">
        <v>41</v>
      </c>
      <c r="G3476">
        <v>-226.80690000000001</v>
      </c>
      <c r="H3476">
        <v>1.0173589999999999</v>
      </c>
      <c r="I3476">
        <v>215.3766</v>
      </c>
      <c r="J3476">
        <v>-227.1788</v>
      </c>
      <c r="K3476">
        <v>1.1098030000000001</v>
      </c>
      <c r="L3476">
        <v>215.45359999999999</v>
      </c>
      <c r="M3476">
        <v>0.9996237</v>
      </c>
      <c r="N3476">
        <v>-1.3902360000000001E-2</v>
      </c>
      <c r="O3476">
        <v>2.36501E-2</v>
      </c>
      <c r="P3476">
        <v>0.93726589999999999</v>
      </c>
      <c r="Q3476">
        <v>0.34720139999999999</v>
      </c>
      <c r="R3476">
        <v>3.1364160000000002E-2</v>
      </c>
      <c r="S3476">
        <v>3.3709410000000002</v>
      </c>
      <c r="T3476">
        <v>-0.42933650000000001</v>
      </c>
      <c r="U3476">
        <v>-0.32147219999999999</v>
      </c>
      <c r="V3476">
        <v>-8.3566509999999997E-3</v>
      </c>
      <c r="W3476">
        <v>0.36022510000000002</v>
      </c>
      <c r="X3476">
        <v>0.93282799999999999</v>
      </c>
      <c r="Y3476">
        <v>0.1172603</v>
      </c>
      <c r="Z3476">
        <v>-1.090844E-2</v>
      </c>
      <c r="AA3476">
        <v>0.99304130000000002</v>
      </c>
      <c r="AB3476">
        <v>35</v>
      </c>
      <c r="AC3476">
        <v>0.37189999999998202</v>
      </c>
      <c r="AD3476">
        <v>-9.2443999999999901E-2</v>
      </c>
      <c r="AE3476">
        <v>-7.6999999999998098E-2</v>
      </c>
      <c r="AF3476">
        <v>8.0977028699717804E-2</v>
      </c>
      <c r="AG3476">
        <v>-9.2443999999999901E-2</v>
      </c>
      <c r="AH3476">
        <v>0.34928045028495602</v>
      </c>
      <c r="AI3476">
        <v>104.45776873730399</v>
      </c>
      <c r="AJ3476">
        <v>76.947171817220493</v>
      </c>
      <c r="AK3476">
        <v>0.37027017874019602</v>
      </c>
      <c r="AL3476">
        <v>68.885979548948399</v>
      </c>
      <c r="AM3476">
        <v>90.513265066417603</v>
      </c>
      <c r="AN3476">
        <v>1.0000000169349701</v>
      </c>
    </row>
    <row r="3477" spans="1:40" x14ac:dyDescent="0.25">
      <c r="A3477" t="str">
        <f>"20190304164440020"</f>
        <v>20190304164440020</v>
      </c>
      <c r="B3477" t="str">
        <f>"1551689080013206"</f>
        <v>1551689080013206</v>
      </c>
      <c r="C3477" t="s">
        <v>40</v>
      </c>
      <c r="D3477">
        <v>5.1621090000000001</v>
      </c>
      <c r="E3477">
        <v>0.56923809999999997</v>
      </c>
      <c r="F3477" t="s">
        <v>41</v>
      </c>
      <c r="G3477">
        <v>-226.19820000000001</v>
      </c>
      <c r="H3477">
        <v>0.98532489999999995</v>
      </c>
      <c r="I3477">
        <v>215.35650000000001</v>
      </c>
      <c r="J3477">
        <v>-226.81630000000001</v>
      </c>
      <c r="K3477">
        <v>1.10975</v>
      </c>
      <c r="L3477">
        <v>215.46100000000001</v>
      </c>
      <c r="M3477">
        <v>0.9996507</v>
      </c>
      <c r="N3477">
        <v>-1.390097E-2</v>
      </c>
      <c r="O3477">
        <v>2.2479119999999998E-2</v>
      </c>
      <c r="P3477">
        <v>0.93723029999999996</v>
      </c>
      <c r="Q3477">
        <v>0.34754580000000002</v>
      </c>
      <c r="R3477">
        <v>2.8488179999999998E-2</v>
      </c>
      <c r="S3477">
        <v>3.3704529999999999</v>
      </c>
      <c r="T3477">
        <v>-0.42792200000000002</v>
      </c>
      <c r="U3477">
        <v>-0.33305359999999901</v>
      </c>
      <c r="V3477">
        <v>-6.5355659999999996E-3</v>
      </c>
      <c r="W3477">
        <v>0.36056349999999998</v>
      </c>
      <c r="X3477">
        <v>0.93271179999999998</v>
      </c>
      <c r="Y3477">
        <v>0.1194863</v>
      </c>
      <c r="Z3477">
        <v>-1.0898710000000001E-2</v>
      </c>
      <c r="AA3477">
        <v>0.99277599999999999</v>
      </c>
      <c r="AB3477">
        <v>35</v>
      </c>
      <c r="AC3477">
        <v>0.61809999999999798</v>
      </c>
      <c r="AD3477">
        <v>-0.1244251</v>
      </c>
      <c r="AE3477">
        <v>-0.104499999999973</v>
      </c>
      <c r="AF3477">
        <v>0.11388268251775099</v>
      </c>
      <c r="AG3477">
        <v>-0.1244251</v>
      </c>
      <c r="AH3477">
        <v>0.59226139174150905</v>
      </c>
      <c r="AI3477">
        <v>101.656890106768</v>
      </c>
      <c r="AJ3477">
        <v>79.115754667706796</v>
      </c>
      <c r="AK3477">
        <v>0.61581200624463195</v>
      </c>
      <c r="AL3477">
        <v>68.865194072329601</v>
      </c>
      <c r="AM3477">
        <v>90.401468299407696</v>
      </c>
      <c r="AN3477">
        <v>1.00000002650721</v>
      </c>
    </row>
    <row r="3478" spans="1:40" x14ac:dyDescent="0.25">
      <c r="A3478" t="str">
        <f>"20190304164440042"</f>
        <v>20190304164440042</v>
      </c>
      <c r="B3478" t="str">
        <f>"1551689080033702"</f>
        <v>1551689080033702</v>
      </c>
      <c r="C3478" t="s">
        <v>40</v>
      </c>
      <c r="D3478">
        <v>5.1591050000000003</v>
      </c>
      <c r="E3478">
        <v>0.56933650000000002</v>
      </c>
      <c r="F3478" t="s">
        <v>41</v>
      </c>
      <c r="G3478">
        <v>-225.88390000000001</v>
      </c>
      <c r="H3478">
        <v>0.99164680000000005</v>
      </c>
      <c r="I3478">
        <v>215.3655</v>
      </c>
      <c r="J3478">
        <v>-226.47460000000001</v>
      </c>
      <c r="K3478">
        <v>1.1097129999999999</v>
      </c>
      <c r="L3478">
        <v>215.4675</v>
      </c>
      <c r="M3478">
        <v>0.99967600000000001</v>
      </c>
      <c r="N3478">
        <v>-1.389981E-2</v>
      </c>
      <c r="O3478">
        <v>2.1329210000000001E-2</v>
      </c>
      <c r="P3478">
        <v>0.93723250000000002</v>
      </c>
      <c r="Q3478">
        <v>0.34775109999999998</v>
      </c>
      <c r="R3478">
        <v>2.5785889999999999E-2</v>
      </c>
      <c r="S3478">
        <v>3.3697050000000002</v>
      </c>
      <c r="T3478">
        <v>-0.4268768</v>
      </c>
      <c r="U3478">
        <v>-0.3448792</v>
      </c>
      <c r="V3478">
        <v>-4.8713410000000004E-3</v>
      </c>
      <c r="W3478">
        <v>0.36076320000000001</v>
      </c>
      <c r="X3478">
        <v>0.93264469999999999</v>
      </c>
      <c r="Y3478">
        <v>0.1218072</v>
      </c>
      <c r="Z3478">
        <v>-1.090761E-2</v>
      </c>
      <c r="AA3478">
        <v>0.99249390000000004</v>
      </c>
      <c r="AB3478">
        <v>35</v>
      </c>
      <c r="AC3478">
        <v>0.590699999999998</v>
      </c>
      <c r="AD3478">
        <v>-0.118066199999999</v>
      </c>
      <c r="AE3478">
        <v>-0.102000000000003</v>
      </c>
      <c r="AF3478">
        <v>0.110298331310278</v>
      </c>
      <c r="AG3478">
        <v>-0.118066199999999</v>
      </c>
      <c r="AH3478">
        <v>0.56641661557330603</v>
      </c>
      <c r="AI3478">
        <v>101.563184248082</v>
      </c>
      <c r="AJ3478">
        <v>78.980692604283405</v>
      </c>
      <c r="AK3478">
        <v>0.58901029861097498</v>
      </c>
      <c r="AL3478">
        <v>68.852925336262302</v>
      </c>
      <c r="AM3478">
        <v>90.299261596379296</v>
      </c>
      <c r="AN3478">
        <v>0.99999997643773297</v>
      </c>
    </row>
    <row r="3479" spans="1:40" x14ac:dyDescent="0.25">
      <c r="A3479" t="str">
        <f>"20190304164440064"</f>
        <v>20190304164440064</v>
      </c>
      <c r="B3479" t="str">
        <f>"1551689080053223"</f>
        <v>1551689080053223</v>
      </c>
      <c r="C3479" t="s">
        <v>40</v>
      </c>
      <c r="D3479">
        <v>5.1745729999999996</v>
      </c>
      <c r="E3479">
        <v>0.56941059999999999</v>
      </c>
      <c r="F3479" t="s">
        <v>41</v>
      </c>
      <c r="G3479">
        <v>-225.5711</v>
      </c>
      <c r="H3479">
        <v>0.99538850000000001</v>
      </c>
      <c r="I3479">
        <v>215.37200000000001</v>
      </c>
      <c r="J3479">
        <v>-226.12129999999999</v>
      </c>
      <c r="K3479">
        <v>1.109667</v>
      </c>
      <c r="L3479">
        <v>215.47380000000001</v>
      </c>
      <c r="M3479">
        <v>0.99970170000000003</v>
      </c>
      <c r="N3479">
        <v>-1.3898590000000001E-2</v>
      </c>
      <c r="O3479">
        <v>2.0082909999999999E-2</v>
      </c>
      <c r="P3479">
        <v>0.93708250000000004</v>
      </c>
      <c r="Q3479">
        <v>0.34836820000000002</v>
      </c>
      <c r="R3479">
        <v>2.271861E-2</v>
      </c>
      <c r="S3479">
        <v>3.3689119999999999</v>
      </c>
      <c r="T3479">
        <v>-0.42636540000000001</v>
      </c>
      <c r="U3479">
        <v>-0.35577389999999998</v>
      </c>
      <c r="V3479">
        <v>-2.931613E-3</v>
      </c>
      <c r="W3479">
        <v>0.36137160000000002</v>
      </c>
      <c r="X3479">
        <v>0.9324173</v>
      </c>
      <c r="Y3479">
        <v>0.1237621</v>
      </c>
      <c r="Z3479">
        <v>-1.0893190000000001E-2</v>
      </c>
      <c r="AA3479">
        <v>0.99225209999999997</v>
      </c>
      <c r="AB3479">
        <v>35</v>
      </c>
      <c r="AC3479">
        <v>0.55019999999998903</v>
      </c>
      <c r="AD3479">
        <v>-0.11427849999999901</v>
      </c>
      <c r="AE3479">
        <v>-0.101799999999997</v>
      </c>
      <c r="AF3479">
        <v>0.108312148020396</v>
      </c>
      <c r="AG3479">
        <v>-0.11427849999999901</v>
      </c>
      <c r="AH3479">
        <v>0.526099308034505</v>
      </c>
      <c r="AI3479">
        <v>102.01095329087499</v>
      </c>
      <c r="AJ3479">
        <v>78.366618357777199</v>
      </c>
      <c r="AK3479">
        <v>0.54915533220157997</v>
      </c>
      <c r="AL3479">
        <v>68.815545953673606</v>
      </c>
      <c r="AM3479">
        <v>90.180143052462199</v>
      </c>
      <c r="AN3479">
        <v>1.00000002449031</v>
      </c>
    </row>
    <row r="3480" spans="1:40" x14ac:dyDescent="0.25">
      <c r="A3480" t="str">
        <f>"20190304164440087"</f>
        <v>20190304164440087</v>
      </c>
      <c r="B3480" t="str">
        <f>"1551689080083478"</f>
        <v>1551689080083478</v>
      </c>
      <c r="C3480" t="s">
        <v>40</v>
      </c>
      <c r="D3480">
        <v>5.1795939999999998</v>
      </c>
      <c r="E3480">
        <v>0.56945210000000002</v>
      </c>
      <c r="F3480" t="s">
        <v>41</v>
      </c>
      <c r="G3480">
        <v>-225.2577</v>
      </c>
      <c r="H3480">
        <v>1.000734</v>
      </c>
      <c r="I3480">
        <v>215.37970000000001</v>
      </c>
      <c r="J3480">
        <v>-225.76230000000001</v>
      </c>
      <c r="K3480">
        <v>1.1096029999999999</v>
      </c>
      <c r="L3480">
        <v>215.47970000000001</v>
      </c>
      <c r="M3480">
        <v>0.99972780000000006</v>
      </c>
      <c r="N3480">
        <v>-1.389753E-2</v>
      </c>
      <c r="O3480">
        <v>1.8739619999999999E-2</v>
      </c>
      <c r="P3480">
        <v>0.93712669999999998</v>
      </c>
      <c r="Q3480">
        <v>0.34837879999999999</v>
      </c>
      <c r="R3480">
        <v>2.063425E-2</v>
      </c>
      <c r="S3480">
        <v>3.3683320000000001</v>
      </c>
      <c r="T3480">
        <v>-0.42501529999999998</v>
      </c>
      <c r="U3480">
        <v>-0.36633300000000002</v>
      </c>
      <c r="V3480">
        <v>-2.0548340000000002E-3</v>
      </c>
      <c r="W3480">
        <v>0.36137910000000001</v>
      </c>
      <c r="X3480">
        <v>0.93241669999999999</v>
      </c>
      <c r="Y3480">
        <v>0.1255222</v>
      </c>
      <c r="Z3480">
        <v>-1.083376E-2</v>
      </c>
      <c r="AA3480">
        <v>0.99203160000000001</v>
      </c>
      <c r="AB3480">
        <v>35</v>
      </c>
      <c r="AC3480">
        <v>0.50460000000001004</v>
      </c>
      <c r="AD3480">
        <v>-0.10886899999999999</v>
      </c>
      <c r="AE3480">
        <v>-9.9999999999994302E-2</v>
      </c>
      <c r="AF3480">
        <v>0.104747682662021</v>
      </c>
      <c r="AG3480">
        <v>-0.10886899999999999</v>
      </c>
      <c r="AH3480">
        <v>0.48108910913363401</v>
      </c>
      <c r="AI3480">
        <v>102.46841966503</v>
      </c>
      <c r="AJ3480">
        <v>77.716680296833601</v>
      </c>
      <c r="AK3480">
        <v>0.50425317759143196</v>
      </c>
      <c r="AL3480">
        <v>68.815084310046402</v>
      </c>
      <c r="AM3480">
        <v>90.126266641519294</v>
      </c>
      <c r="AN3480">
        <v>0.99999998934923295</v>
      </c>
    </row>
    <row r="3481" spans="1:40" x14ac:dyDescent="0.25">
      <c r="A3481" t="str">
        <f>"20190304164440108"</f>
        <v>20190304164440108</v>
      </c>
      <c r="B3481" t="str">
        <f>"1551689080103975"</f>
        <v>1551689080103975</v>
      </c>
      <c r="C3481" t="s">
        <v>40</v>
      </c>
      <c r="D3481">
        <v>5.1827459999999999</v>
      </c>
      <c r="E3481">
        <v>0.5694553</v>
      </c>
      <c r="F3481" t="s">
        <v>41</v>
      </c>
      <c r="G3481">
        <v>-224.94460000000001</v>
      </c>
      <c r="H3481">
        <v>1.0060500000000001</v>
      </c>
      <c r="I3481">
        <v>215.3888</v>
      </c>
      <c r="J3481">
        <v>-225.43260000000001</v>
      </c>
      <c r="K3481">
        <v>1.1095379999999999</v>
      </c>
      <c r="L3481">
        <v>215.4846</v>
      </c>
      <c r="M3481">
        <v>0.99975159999999996</v>
      </c>
      <c r="N3481">
        <v>-1.389698E-2</v>
      </c>
      <c r="O3481">
        <v>1.7423339999999999E-2</v>
      </c>
      <c r="P3481">
        <v>0.93714710000000001</v>
      </c>
      <c r="Q3481">
        <v>0.34842109999999998</v>
      </c>
      <c r="R3481">
        <v>1.8927059999999999E-2</v>
      </c>
      <c r="S3481">
        <v>3.3680729999999999</v>
      </c>
      <c r="T3481">
        <v>-0.42658570000000001</v>
      </c>
      <c r="U3481">
        <v>-0.37402340000000001</v>
      </c>
      <c r="V3481">
        <v>-1.5230510000000001E-3</v>
      </c>
      <c r="W3481">
        <v>0.3614195</v>
      </c>
      <c r="X3481">
        <v>0.93240210000000001</v>
      </c>
      <c r="Y3481">
        <v>0.12645410000000001</v>
      </c>
      <c r="Z3481">
        <v>-1.0788570000000001E-2</v>
      </c>
      <c r="AA3481">
        <v>0.99191379999999996</v>
      </c>
      <c r="AB3481">
        <v>35</v>
      </c>
      <c r="AC3481">
        <v>0.48799999999999899</v>
      </c>
      <c r="AD3481">
        <v>-0.103487999999999</v>
      </c>
      <c r="AE3481">
        <v>-9.5799999999996999E-2</v>
      </c>
      <c r="AF3481">
        <v>9.9960287028805397E-2</v>
      </c>
      <c r="AG3481">
        <v>-0.103487999999999</v>
      </c>
      <c r="AH3481">
        <v>0.46607418596378603</v>
      </c>
      <c r="AI3481">
        <v>102.249097011725</v>
      </c>
      <c r="AJ3481">
        <v>77.894988658187998</v>
      </c>
      <c r="AK3481">
        <v>0.487777584508234</v>
      </c>
      <c r="AL3481">
        <v>68.812602568467995</v>
      </c>
      <c r="AM3481">
        <v>90.093590862428997</v>
      </c>
      <c r="AN3481">
        <v>1.0000000253745001</v>
      </c>
    </row>
    <row r="3482" spans="1:40" x14ac:dyDescent="0.25">
      <c r="A3482" t="str">
        <f>"20190304164440130"</f>
        <v>20190304164440130</v>
      </c>
      <c r="B3482" t="str">
        <f>"1551689080123494"</f>
        <v>1551689080123494</v>
      </c>
      <c r="C3482" t="s">
        <v>40</v>
      </c>
      <c r="D3482">
        <v>5.1701949999999997</v>
      </c>
      <c r="E3482">
        <v>0.56930289999999995</v>
      </c>
      <c r="F3482" t="s">
        <v>41</v>
      </c>
      <c r="G3482">
        <v>-224.63319999999999</v>
      </c>
      <c r="H3482">
        <v>1.008032</v>
      </c>
      <c r="I3482">
        <v>215.39429999999999</v>
      </c>
      <c r="J3482">
        <v>-225.08840000000001</v>
      </c>
      <c r="K3482">
        <v>1.1094539999999999</v>
      </c>
      <c r="L3482">
        <v>215.48920000000001</v>
      </c>
      <c r="M3482">
        <v>0.99977629999999995</v>
      </c>
      <c r="N3482">
        <v>-1.3896749999999999E-2</v>
      </c>
      <c r="O3482">
        <v>1.594603E-2</v>
      </c>
      <c r="P3482">
        <v>0.93704659999999995</v>
      </c>
      <c r="Q3482">
        <v>0.34875620000000002</v>
      </c>
      <c r="R3482">
        <v>1.7693839999999999E-2</v>
      </c>
      <c r="S3482">
        <v>3.367874</v>
      </c>
      <c r="T3482">
        <v>-0.4276625</v>
      </c>
      <c r="U3482">
        <v>-0.37998959999999998</v>
      </c>
      <c r="V3482">
        <v>-1.6015230000000001E-3</v>
      </c>
      <c r="W3482">
        <v>0.3617534</v>
      </c>
      <c r="X3482">
        <v>0.9322724</v>
      </c>
      <c r="Y3482">
        <v>0.1267315</v>
      </c>
      <c r="Z3482">
        <v>-1.066719E-2</v>
      </c>
      <c r="AA3482">
        <v>0.99187970000000003</v>
      </c>
      <c r="AB3482">
        <v>35</v>
      </c>
      <c r="AC3482">
        <v>0.45520000000001898</v>
      </c>
      <c r="AD3482">
        <v>-0.101422</v>
      </c>
      <c r="AE3482">
        <v>-9.4900000000023896E-2</v>
      </c>
      <c r="AF3482">
        <v>9.7508270346881795E-2</v>
      </c>
      <c r="AG3482">
        <v>-0.101422</v>
      </c>
      <c r="AH3482">
        <v>0.43302724377611901</v>
      </c>
      <c r="AI3482">
        <v>102.87083439574501</v>
      </c>
      <c r="AJ3482">
        <v>77.309901894326799</v>
      </c>
      <c r="AK3482">
        <v>0.45530965147071401</v>
      </c>
      <c r="AL3482">
        <v>68.7920816261216</v>
      </c>
      <c r="AM3482">
        <v>90.098426616972802</v>
      </c>
      <c r="AN3482">
        <v>0.99999995754461801</v>
      </c>
    </row>
    <row r="3483" spans="1:40" x14ac:dyDescent="0.25">
      <c r="A3483" t="str">
        <f>"20190304164440152"</f>
        <v>20190304164440152</v>
      </c>
      <c r="B3483" t="str">
        <f>"1551689080143991"</f>
        <v>1551689080143991</v>
      </c>
      <c r="C3483" t="s">
        <v>40</v>
      </c>
      <c r="D3483">
        <v>5.1658850000000003</v>
      </c>
      <c r="E3483">
        <v>0.56917930000000005</v>
      </c>
      <c r="F3483" t="s">
        <v>41</v>
      </c>
      <c r="G3483">
        <v>-224.3212</v>
      </c>
      <c r="H3483">
        <v>1.011871</v>
      </c>
      <c r="I3483">
        <v>215.40180000000001</v>
      </c>
      <c r="J3483">
        <v>-224.7491</v>
      </c>
      <c r="K3483">
        <v>1.109356</v>
      </c>
      <c r="L3483">
        <v>215.4931</v>
      </c>
      <c r="M3483">
        <v>0.99980020000000003</v>
      </c>
      <c r="N3483">
        <v>-1.389701E-2</v>
      </c>
      <c r="O3483">
        <v>1.437131E-2</v>
      </c>
      <c r="P3483">
        <v>0.93719569999999996</v>
      </c>
      <c r="Q3483">
        <v>0.34843540000000001</v>
      </c>
      <c r="R3483">
        <v>1.6036700000000001E-2</v>
      </c>
      <c r="S3483">
        <v>3.368271</v>
      </c>
      <c r="T3483">
        <v>-0.42848579999999997</v>
      </c>
      <c r="U3483">
        <v>-0.38340760000000002</v>
      </c>
      <c r="V3483">
        <v>-1.3323089999999901E-3</v>
      </c>
      <c r="W3483">
        <v>0.36143459999999999</v>
      </c>
      <c r="X3483">
        <v>0.93239649999999996</v>
      </c>
      <c r="Y3483">
        <v>0.126161</v>
      </c>
      <c r="Z3483">
        <v>-1.046741E-2</v>
      </c>
      <c r="AA3483">
        <v>0.99195460000000002</v>
      </c>
      <c r="AB3483">
        <v>35</v>
      </c>
      <c r="AC3483">
        <v>0.42789999999999401</v>
      </c>
      <c r="AD3483">
        <v>-9.7485000000000002E-2</v>
      </c>
      <c r="AE3483">
        <v>-9.1299999999989695E-2</v>
      </c>
      <c r="AF3483">
        <v>9.2832196146698007E-2</v>
      </c>
      <c r="AG3483">
        <v>-9.7485000000000002E-2</v>
      </c>
      <c r="AH3483">
        <v>0.40637021740402002</v>
      </c>
      <c r="AI3483">
        <v>103.163038389625</v>
      </c>
      <c r="AJ3483">
        <v>77.132023246247996</v>
      </c>
      <c r="AK3483">
        <v>0.42808631776711698</v>
      </c>
      <c r="AL3483">
        <v>68.811673872986304</v>
      </c>
      <c r="AM3483">
        <v>90.081870353174693</v>
      </c>
      <c r="AN3483">
        <v>0.99999998916833999</v>
      </c>
    </row>
    <row r="3484" spans="1:40" x14ac:dyDescent="0.25">
      <c r="A3484" t="str">
        <f>"20190304164440175"</f>
        <v>20190304164440175</v>
      </c>
      <c r="B3484" t="str">
        <f>"1551689080163510"</f>
        <v>1551689080163510</v>
      </c>
      <c r="C3484" t="s">
        <v>40</v>
      </c>
      <c r="D3484">
        <v>5.174531</v>
      </c>
      <c r="E3484">
        <v>0.56907659999999904</v>
      </c>
      <c r="F3484" t="s">
        <v>41</v>
      </c>
      <c r="G3484">
        <v>-224.00989999999999</v>
      </c>
      <c r="H3484">
        <v>1.014629</v>
      </c>
      <c r="I3484">
        <v>215.40780000000001</v>
      </c>
      <c r="J3484">
        <v>-224.4075</v>
      </c>
      <c r="K3484">
        <v>1.109243</v>
      </c>
      <c r="L3484">
        <v>215.49629999999999</v>
      </c>
      <c r="M3484">
        <v>0.99982349999999998</v>
      </c>
      <c r="N3484">
        <v>-1.389778E-2</v>
      </c>
      <c r="O3484">
        <v>1.2646549999999999E-2</v>
      </c>
      <c r="P3484">
        <v>0.93709500000000001</v>
      </c>
      <c r="Q3484">
        <v>0.34879179999999999</v>
      </c>
      <c r="R3484">
        <v>1.4049819999999999E-2</v>
      </c>
      <c r="S3484">
        <v>3.3681339999999902</v>
      </c>
      <c r="T3484">
        <v>-0.43162810000000001</v>
      </c>
      <c r="U3484">
        <v>-0.38784790000000002</v>
      </c>
      <c r="V3484">
        <v>-8.6357070000000005E-4</v>
      </c>
      <c r="W3484">
        <v>0.36178860000000002</v>
      </c>
      <c r="X3484">
        <v>0.93225979999999997</v>
      </c>
      <c r="Y3484">
        <v>0.1257433</v>
      </c>
      <c r="Z3484">
        <v>-1.031325E-2</v>
      </c>
      <c r="AA3484">
        <v>0.99200920000000004</v>
      </c>
      <c r="AB3484">
        <v>35</v>
      </c>
      <c r="AC3484">
        <v>0.397600000000011</v>
      </c>
      <c r="AD3484">
        <v>-9.4613999999999907E-2</v>
      </c>
      <c r="AE3484">
        <v>-8.8499999999981996E-2</v>
      </c>
      <c r="AF3484">
        <v>8.8734181100800696E-2</v>
      </c>
      <c r="AG3484">
        <v>-9.4613999999999907E-2</v>
      </c>
      <c r="AH3484">
        <v>0.37615414663139202</v>
      </c>
      <c r="AI3484">
        <v>103.75605530851099</v>
      </c>
      <c r="AJ3484">
        <v>76.726675107979801</v>
      </c>
      <c r="AK3484">
        <v>0.397891324257794</v>
      </c>
      <c r="AL3484">
        <v>68.789920024338599</v>
      </c>
      <c r="AM3484">
        <v>90.053074199133107</v>
      </c>
      <c r="AN3484">
        <v>1.0000000357701699</v>
      </c>
    </row>
    <row r="3485" spans="1:40" x14ac:dyDescent="0.25">
      <c r="A3485" t="str">
        <f>"20190304164440197"</f>
        <v>20190304164440197</v>
      </c>
      <c r="B3485" t="str">
        <f>"1551689080193766"</f>
        <v>1551689080193766</v>
      </c>
      <c r="C3485" t="s">
        <v>40</v>
      </c>
      <c r="D3485">
        <v>5.1724699999999997</v>
      </c>
      <c r="E3485">
        <v>0.56890640000000003</v>
      </c>
      <c r="F3485" t="s">
        <v>41</v>
      </c>
      <c r="G3485">
        <v>-223.40629999999999</v>
      </c>
      <c r="H3485">
        <v>0.98066350000000002</v>
      </c>
      <c r="I3485">
        <v>215.37950000000001</v>
      </c>
      <c r="J3485">
        <v>-224.0557</v>
      </c>
      <c r="K3485">
        <v>1.1091219999999999</v>
      </c>
      <c r="L3485">
        <v>215.49879999999999</v>
      </c>
      <c r="M3485">
        <v>0.99984620000000002</v>
      </c>
      <c r="N3485">
        <v>-1.3899170000000001E-2</v>
      </c>
      <c r="O3485">
        <v>1.0708229999999999E-2</v>
      </c>
      <c r="P3485">
        <v>0.93683419999999895</v>
      </c>
      <c r="Q3485">
        <v>0.34955609999999998</v>
      </c>
      <c r="R3485">
        <v>1.235985E-2</v>
      </c>
      <c r="S3485">
        <v>3.368271</v>
      </c>
      <c r="T3485">
        <v>-0.43253649999999999</v>
      </c>
      <c r="U3485">
        <v>-0.3920746</v>
      </c>
      <c r="V3485">
        <v>-8.8106929999999897E-4</v>
      </c>
      <c r="W3485">
        <v>0.36255130000000002</v>
      </c>
      <c r="X3485">
        <v>0.9319634</v>
      </c>
      <c r="Y3485">
        <v>0.12505810000000001</v>
      </c>
      <c r="Z3485">
        <v>-1.0063549999999999E-2</v>
      </c>
      <c r="AA3485">
        <v>0.99209840000000005</v>
      </c>
      <c r="AB3485">
        <v>35</v>
      </c>
      <c r="AC3485">
        <v>0.64940000000001397</v>
      </c>
      <c r="AD3485">
        <v>-0.128458499999999</v>
      </c>
      <c r="AE3485">
        <v>-0.119299999999981</v>
      </c>
      <c r="AF3485">
        <v>0.12164333859141301</v>
      </c>
      <c r="AG3485">
        <v>-0.128458499999999</v>
      </c>
      <c r="AH3485">
        <v>0.624448658680961</v>
      </c>
      <c r="AI3485">
        <v>101.41564653472599</v>
      </c>
      <c r="AJ3485">
        <v>78.976765389570005</v>
      </c>
      <c r="AK3485">
        <v>0.64902605138342995</v>
      </c>
      <c r="AL3485">
        <v>68.743037002991002</v>
      </c>
      <c r="AM3485">
        <v>90.054166866755693</v>
      </c>
      <c r="AN3485">
        <v>1.00000000017718</v>
      </c>
    </row>
    <row r="3486" spans="1:40" x14ac:dyDescent="0.25">
      <c r="A3486" t="str">
        <f>"20190304164440221"</f>
        <v>20190304164440221</v>
      </c>
      <c r="B3486" t="str">
        <f>"1551689080213286"</f>
        <v>1551689080213286</v>
      </c>
      <c r="C3486" t="s">
        <v>40</v>
      </c>
      <c r="D3486">
        <v>5.4730319999999999</v>
      </c>
      <c r="E3486">
        <v>0.56895969999999996</v>
      </c>
      <c r="F3486" t="s">
        <v>41</v>
      </c>
      <c r="G3486">
        <v>-223.09460000000001</v>
      </c>
      <c r="H3486">
        <v>0.98565320000000001</v>
      </c>
      <c r="I3486">
        <v>215.3853</v>
      </c>
      <c r="J3486">
        <v>-223.70140000000001</v>
      </c>
      <c r="K3486">
        <v>1.109003</v>
      </c>
      <c r="L3486">
        <v>215.50049999999999</v>
      </c>
      <c r="M3486">
        <v>0.99986620000000004</v>
      </c>
      <c r="N3486">
        <v>-1.3900630000000001E-2</v>
      </c>
      <c r="O3486">
        <v>8.6211090000000001E-3</v>
      </c>
      <c r="P3486">
        <v>0.93664910000000001</v>
      </c>
      <c r="Q3486">
        <v>0.35011609999999999</v>
      </c>
      <c r="R3486">
        <v>1.0360350000000001E-2</v>
      </c>
      <c r="S3486">
        <v>3.3690340000000001</v>
      </c>
      <c r="T3486">
        <v>-0.4328533</v>
      </c>
      <c r="U3486">
        <v>-0.3968353</v>
      </c>
      <c r="V3486">
        <v>-7.3247310000000001E-4</v>
      </c>
      <c r="W3486">
        <v>0.36310979999999998</v>
      </c>
      <c r="X3486">
        <v>0.93174610000000002</v>
      </c>
      <c r="Y3486">
        <v>0.1243634</v>
      </c>
      <c r="Z3486">
        <v>-9.7810810000000005E-3</v>
      </c>
      <c r="AA3486">
        <v>0.99218850000000003</v>
      </c>
      <c r="AB3486">
        <v>35</v>
      </c>
      <c r="AC3486">
        <v>0.60679999999999201</v>
      </c>
      <c r="AD3486">
        <v>-0.1233498</v>
      </c>
      <c r="AE3486">
        <v>-0.11519999999998699</v>
      </c>
      <c r="AF3486">
        <v>0.115808504965938</v>
      </c>
      <c r="AG3486">
        <v>-0.1233498</v>
      </c>
      <c r="AH3486">
        <v>0.58254929272101097</v>
      </c>
      <c r="AI3486">
        <v>101.732268844328</v>
      </c>
      <c r="AJ3486">
        <v>78.756410356866098</v>
      </c>
      <c r="AK3486">
        <v>0.60662217354151904</v>
      </c>
      <c r="AL3486">
        <v>68.708697876486994</v>
      </c>
      <c r="AM3486">
        <v>90.045041893485305</v>
      </c>
      <c r="AN3486">
        <v>1.0000000291190401</v>
      </c>
    </row>
    <row r="3487" spans="1:40" x14ac:dyDescent="0.25">
      <c r="A3487" t="str">
        <f>"20190304164440242"</f>
        <v>20190304164440242</v>
      </c>
      <c r="B3487" t="str">
        <f>"1551689080233782"</f>
        <v>1551689080233782</v>
      </c>
      <c r="C3487" t="s">
        <v>40</v>
      </c>
      <c r="D3487">
        <v>5.1157640000000004</v>
      </c>
      <c r="E3487">
        <v>0.56901650000000004</v>
      </c>
      <c r="F3487" t="s">
        <v>41</v>
      </c>
      <c r="G3487">
        <v>-222.7826</v>
      </c>
      <c r="H3487">
        <v>0.99173509999999998</v>
      </c>
      <c r="I3487">
        <v>215.3897</v>
      </c>
      <c r="J3487">
        <v>-223.36279999999999</v>
      </c>
      <c r="K3487">
        <v>1.108903</v>
      </c>
      <c r="L3487">
        <v>215.50139999999999</v>
      </c>
      <c r="M3487">
        <v>0.9998823</v>
      </c>
      <c r="N3487">
        <v>-1.3901790000000001E-2</v>
      </c>
      <c r="O3487">
        <v>6.5012489999999997E-3</v>
      </c>
      <c r="P3487">
        <v>0.93683689999999997</v>
      </c>
      <c r="Q3487">
        <v>0.3496843</v>
      </c>
      <c r="R3487">
        <v>7.5921189999999996E-3</v>
      </c>
      <c r="S3487">
        <v>3.3680880000000002</v>
      </c>
      <c r="T3487">
        <v>-0.42985580000000001</v>
      </c>
      <c r="U3487">
        <v>-0.40596009999999999</v>
      </c>
      <c r="V3487">
        <v>1.4327750000000001E-4</v>
      </c>
      <c r="W3487">
        <v>0.3626779</v>
      </c>
      <c r="X3487">
        <v>0.93191449999999998</v>
      </c>
      <c r="Y3487">
        <v>0.1249662</v>
      </c>
      <c r="Z3487">
        <v>-9.5233939999999993E-3</v>
      </c>
      <c r="AA3487">
        <v>0.99211530000000003</v>
      </c>
      <c r="AB3487">
        <v>35</v>
      </c>
      <c r="AC3487">
        <v>0.58019999999998995</v>
      </c>
      <c r="AD3487">
        <v>-0.11716789999999901</v>
      </c>
      <c r="AE3487">
        <v>-0.11169999999998401</v>
      </c>
      <c r="AF3487">
        <v>0.111101101784306</v>
      </c>
      <c r="AG3487">
        <v>-0.11716789999999901</v>
      </c>
      <c r="AH3487">
        <v>0.55753696126661501</v>
      </c>
      <c r="AI3487">
        <v>101.645624829613</v>
      </c>
      <c r="AJ3487">
        <v>78.730220069248006</v>
      </c>
      <c r="AK3487">
        <v>0.58044744360407596</v>
      </c>
      <c r="AL3487">
        <v>68.735252661732702</v>
      </c>
      <c r="AM3487">
        <v>89.991191041684004</v>
      </c>
      <c r="AN3487">
        <v>0.99999995749354997</v>
      </c>
    </row>
    <row r="3488" spans="1:40" x14ac:dyDescent="0.25">
      <c r="A3488" t="str">
        <f>"20190304164440265"</f>
        <v>20190304164440265</v>
      </c>
      <c r="B3488" t="str">
        <f>"1551689080253302"</f>
        <v>1551689080253302</v>
      </c>
      <c r="C3488" t="s">
        <v>40</v>
      </c>
      <c r="D3488">
        <v>5.2083339999999998</v>
      </c>
      <c r="E3488">
        <v>0.56906299999999999</v>
      </c>
      <c r="F3488" t="s">
        <v>41</v>
      </c>
      <c r="G3488">
        <v>-222.47239999999999</v>
      </c>
      <c r="H3488">
        <v>0.9946855</v>
      </c>
      <c r="I3488">
        <v>215.39179999999999</v>
      </c>
      <c r="J3488">
        <v>-223.02619999999999</v>
      </c>
      <c r="K3488">
        <v>1.108806</v>
      </c>
      <c r="L3488">
        <v>215.50139999999999</v>
      </c>
      <c r="M3488">
        <v>0.99989439999999996</v>
      </c>
      <c r="N3488">
        <v>-1.390299E-2</v>
      </c>
      <c r="O3488">
        <v>4.2706740000000003E-3</v>
      </c>
      <c r="P3488">
        <v>0.93657509999999999</v>
      </c>
      <c r="Q3488">
        <v>0.35044370000000002</v>
      </c>
      <c r="R3488">
        <v>4.0675549999999996E-3</v>
      </c>
      <c r="S3488">
        <v>3.3667910000000001</v>
      </c>
      <c r="T3488">
        <v>-0.4318399</v>
      </c>
      <c r="U3488">
        <v>-0.41415410000000002</v>
      </c>
      <c r="V3488">
        <v>1.6718449999999999E-3</v>
      </c>
      <c r="W3488">
        <v>0.36342750000000001</v>
      </c>
      <c r="X3488">
        <v>0.93162100000000003</v>
      </c>
      <c r="Y3488">
        <v>0.1251797</v>
      </c>
      <c r="Z3488">
        <v>-9.3276479999999991E-3</v>
      </c>
      <c r="AA3488">
        <v>0.99209020000000003</v>
      </c>
      <c r="AB3488">
        <v>35</v>
      </c>
      <c r="AC3488">
        <v>0.55379999999999496</v>
      </c>
      <c r="AD3488">
        <v>-0.114120499999999</v>
      </c>
      <c r="AE3488">
        <v>-0.1096</v>
      </c>
      <c r="AF3488">
        <v>0.107568687516157</v>
      </c>
      <c r="AG3488">
        <v>-0.114120499999999</v>
      </c>
      <c r="AH3488">
        <v>0.53160361760939201</v>
      </c>
      <c r="AI3488">
        <v>101.882158517948</v>
      </c>
      <c r="AJ3488">
        <v>78.560794871877405</v>
      </c>
      <c r="AK3488">
        <v>0.55425347748984999</v>
      </c>
      <c r="AL3488">
        <v>68.689159975919395</v>
      </c>
      <c r="AM3488">
        <v>89.897179690375793</v>
      </c>
      <c r="AN3488">
        <v>1.0000000152314701</v>
      </c>
    </row>
    <row r="3489" spans="1:40" x14ac:dyDescent="0.25">
      <c r="A3489" t="str">
        <f>"20190304164440288"</f>
        <v>20190304164440288</v>
      </c>
      <c r="B3489" t="str">
        <f>"1551689080283559"</f>
        <v>1551689080283559</v>
      </c>
      <c r="C3489" t="s">
        <v>40</v>
      </c>
      <c r="D3489">
        <v>5.1960389999999999</v>
      </c>
      <c r="E3489">
        <v>0.5690598</v>
      </c>
      <c r="F3489" t="s">
        <v>41</v>
      </c>
      <c r="G3489">
        <v>-222.1619</v>
      </c>
      <c r="H3489">
        <v>0.99824190000000002</v>
      </c>
      <c r="I3489">
        <v>215.39250000000001</v>
      </c>
      <c r="J3489">
        <v>-222.67920000000001</v>
      </c>
      <c r="K3489">
        <v>1.1086860000000001</v>
      </c>
      <c r="L3489">
        <v>215.50049999999999</v>
      </c>
      <c r="M3489">
        <v>0.9999017</v>
      </c>
      <c r="N3489">
        <v>-1.390456E-2</v>
      </c>
      <c r="O3489">
        <v>1.8515440000000001E-3</v>
      </c>
      <c r="P3489">
        <v>0.93648480000000001</v>
      </c>
      <c r="Q3489">
        <v>0.35070849999999998</v>
      </c>
      <c r="R3489">
        <v>-2.3048740000000001E-4</v>
      </c>
      <c r="S3489">
        <v>3.3661189999999999</v>
      </c>
      <c r="T3489">
        <v>-0.43058869999999999</v>
      </c>
      <c r="U3489">
        <v>-0.4236298</v>
      </c>
      <c r="V3489">
        <v>3.7990329999999998E-3</v>
      </c>
      <c r="W3489">
        <v>0.36368109999999998</v>
      </c>
      <c r="X3489">
        <v>0.9315158</v>
      </c>
      <c r="Y3489">
        <v>0.12557219999999999</v>
      </c>
      <c r="Z3489">
        <v>-9.0576479999999997E-3</v>
      </c>
      <c r="AA3489">
        <v>0.99204309999999996</v>
      </c>
      <c r="AB3489">
        <v>34</v>
      </c>
      <c r="AC3489">
        <v>0.51730000000000498</v>
      </c>
      <c r="AD3489">
        <v>-0.1104441</v>
      </c>
      <c r="AE3489">
        <v>-0.107999999999975</v>
      </c>
      <c r="AF3489">
        <v>0.104397737981549</v>
      </c>
      <c r="AG3489">
        <v>-0.1104441</v>
      </c>
      <c r="AH3489">
        <v>0.49545808778459</v>
      </c>
      <c r="AI3489">
        <v>102.30482677993599</v>
      </c>
      <c r="AJ3489">
        <v>78.101290757133498</v>
      </c>
      <c r="AK3489">
        <v>0.518242707301933</v>
      </c>
      <c r="AL3489">
        <v>68.673562815759894</v>
      </c>
      <c r="AM3489">
        <v>89.7663299427346</v>
      </c>
      <c r="AN3489">
        <v>1.00000003039929</v>
      </c>
    </row>
    <row r="3490" spans="1:40" x14ac:dyDescent="0.25">
      <c r="A3490" t="str">
        <f>"20190304164440309"</f>
        <v>20190304164440309</v>
      </c>
      <c r="B3490" t="str">
        <f>"1551689080304055"</f>
        <v>1551689080304055</v>
      </c>
      <c r="C3490" t="s">
        <v>40</v>
      </c>
      <c r="D3490">
        <v>5.1963049999999997</v>
      </c>
      <c r="E3490">
        <v>0.56906250000000003</v>
      </c>
      <c r="F3490" t="s">
        <v>41</v>
      </c>
      <c r="G3490">
        <v>-221.85149999999999</v>
      </c>
      <c r="H3490">
        <v>1.0022040000000001</v>
      </c>
      <c r="I3490">
        <v>215.39330000000001</v>
      </c>
      <c r="J3490">
        <v>-222.31880000000001</v>
      </c>
      <c r="K3490">
        <v>1.1085860000000001</v>
      </c>
      <c r="L3490">
        <v>215.49860000000001</v>
      </c>
      <c r="M3490">
        <v>0.99990310000000004</v>
      </c>
      <c r="N3490">
        <v>-1.390631E-2</v>
      </c>
      <c r="O3490">
        <v>-7.7290520000000001E-4</v>
      </c>
      <c r="P3490">
        <v>0.93627499999999997</v>
      </c>
      <c r="Q3490">
        <v>0.35124050000000001</v>
      </c>
      <c r="R3490">
        <v>-4.4119579999999997E-3</v>
      </c>
      <c r="S3490">
        <v>3.365494</v>
      </c>
      <c r="T3490">
        <v>-0.43292399999999998</v>
      </c>
      <c r="U3490">
        <v>-0.43518069999999998</v>
      </c>
      <c r="V3490">
        <v>5.61971E-3</v>
      </c>
      <c r="W3490">
        <v>0.36420209999999997</v>
      </c>
      <c r="X3490">
        <v>0.93130299999999999</v>
      </c>
      <c r="Y3490">
        <v>0.12634029999999999</v>
      </c>
      <c r="Z3490">
        <v>-8.8576290000000005E-3</v>
      </c>
      <c r="AA3490">
        <v>0.99194740000000003</v>
      </c>
      <c r="AB3490">
        <v>34</v>
      </c>
      <c r="AC3490">
        <v>0.46730000000002198</v>
      </c>
      <c r="AD3490">
        <v>-0.10638199999999901</v>
      </c>
      <c r="AE3490">
        <v>-0.10529999999999901</v>
      </c>
      <c r="AF3490">
        <v>0.10000631628902901</v>
      </c>
      <c r="AG3490">
        <v>-0.10638199999999901</v>
      </c>
      <c r="AH3490">
        <v>0.44541292310146802</v>
      </c>
      <c r="AI3490">
        <v>103.117940612865</v>
      </c>
      <c r="AJ3490">
        <v>77.345525724317099</v>
      </c>
      <c r="AK3490">
        <v>0.46873346934851601</v>
      </c>
      <c r="AL3490">
        <v>68.641513493219705</v>
      </c>
      <c r="AM3490">
        <v>89.654267454186098</v>
      </c>
      <c r="AN3490">
        <v>1.0000000142969401</v>
      </c>
    </row>
    <row r="3491" spans="1:40" x14ac:dyDescent="0.25">
      <c r="A3491" t="str">
        <f>"20190304164440331"</f>
        <v>20190304164440331</v>
      </c>
      <c r="B3491" t="str">
        <f>"1551689080323574"</f>
        <v>1551689080323574</v>
      </c>
      <c r="C3491" t="s">
        <v>40</v>
      </c>
      <c r="D3491">
        <v>5.1975949999999997</v>
      </c>
      <c r="E3491">
        <v>0.56904949999999999</v>
      </c>
      <c r="F3491" t="s">
        <v>41</v>
      </c>
      <c r="G3491">
        <v>-221.5402</v>
      </c>
      <c r="H3491">
        <v>1.008451</v>
      </c>
      <c r="I3491">
        <v>215.39439999999999</v>
      </c>
      <c r="J3491">
        <v>-221.9847</v>
      </c>
      <c r="K3491">
        <v>1.1085</v>
      </c>
      <c r="L3491">
        <v>215.49590000000001</v>
      </c>
      <c r="M3491">
        <v>0.99989790000000001</v>
      </c>
      <c r="N3491">
        <v>-1.390768E-2</v>
      </c>
      <c r="O3491">
        <v>-3.2950359999999999E-3</v>
      </c>
      <c r="P3491">
        <v>0.93589040000000001</v>
      </c>
      <c r="Q3491">
        <v>0.3521881</v>
      </c>
      <c r="R3491">
        <v>-8.5341369999999903E-3</v>
      </c>
      <c r="S3491">
        <v>3.364395</v>
      </c>
      <c r="T3491">
        <v>-0.43269220000000003</v>
      </c>
      <c r="U3491">
        <v>-0.44915769999999999</v>
      </c>
      <c r="V3491">
        <v>7.4671669999999898E-3</v>
      </c>
      <c r="W3491">
        <v>0.36513489999999998</v>
      </c>
      <c r="X3491">
        <v>0.93092470000000005</v>
      </c>
      <c r="Y3491">
        <v>0.12793360000000001</v>
      </c>
      <c r="Z3491">
        <v>-8.6801159999999999E-3</v>
      </c>
      <c r="AA3491">
        <v>0.99174479999999998</v>
      </c>
      <c r="AB3491">
        <v>34</v>
      </c>
      <c r="AC3491">
        <v>0.444500000000005</v>
      </c>
      <c r="AD3491">
        <v>-0.100049</v>
      </c>
      <c r="AE3491">
        <v>-0.10150000000001499</v>
      </c>
      <c r="AF3491">
        <v>9.5439149361845499E-2</v>
      </c>
      <c r="AG3491">
        <v>-0.100049</v>
      </c>
      <c r="AH3491">
        <v>0.42439682692330699</v>
      </c>
      <c r="AI3491">
        <v>102.952761850291</v>
      </c>
      <c r="AJ3491">
        <v>77.326059231321594</v>
      </c>
      <c r="AK3491">
        <v>0.44635311171143899</v>
      </c>
      <c r="AL3491">
        <v>68.584115657194104</v>
      </c>
      <c r="AM3491">
        <v>89.5404268694775</v>
      </c>
      <c r="AN3491">
        <v>1.0000000254255501</v>
      </c>
    </row>
    <row r="3492" spans="1:40" x14ac:dyDescent="0.25">
      <c r="A3492" t="str">
        <f>"20190304164440352"</f>
        <v>20190304164440352</v>
      </c>
      <c r="B3492" t="str">
        <f>"1551689080344071"</f>
        <v>1551689080344071</v>
      </c>
      <c r="C3492" t="s">
        <v>40</v>
      </c>
      <c r="D3492">
        <v>5.1827719999999999</v>
      </c>
      <c r="E3492">
        <v>0.56904600000000005</v>
      </c>
      <c r="F3492" t="s">
        <v>41</v>
      </c>
      <c r="G3492">
        <v>-221.23050000000001</v>
      </c>
      <c r="H3492">
        <v>1.011916</v>
      </c>
      <c r="I3492">
        <v>215.39179999999999</v>
      </c>
      <c r="J3492">
        <v>-221.649</v>
      </c>
      <c r="K3492">
        <v>1.108425</v>
      </c>
      <c r="L3492">
        <v>215.4923</v>
      </c>
      <c r="M3492">
        <v>0.99988589999999999</v>
      </c>
      <c r="N3492">
        <v>-1.390884E-2</v>
      </c>
      <c r="O3492">
        <v>-5.9022880000000003E-3</v>
      </c>
      <c r="P3492">
        <v>0.93602090000000004</v>
      </c>
      <c r="Q3492">
        <v>0.35173680000000002</v>
      </c>
      <c r="R3492">
        <v>-1.2103330000000001E-2</v>
      </c>
      <c r="S3492">
        <v>3.3633579999999998</v>
      </c>
      <c r="T3492">
        <v>-0.43072630000000001</v>
      </c>
      <c r="U3492">
        <v>-0.46405030000000003</v>
      </c>
      <c r="V3492">
        <v>8.6636360000000006E-3</v>
      </c>
      <c r="W3492">
        <v>0.36467899999999998</v>
      </c>
      <c r="X3492">
        <v>0.93109299999999995</v>
      </c>
      <c r="Y3492">
        <v>0.1297103</v>
      </c>
      <c r="Z3492">
        <v>-8.4759039999999994E-3</v>
      </c>
      <c r="AA3492">
        <v>0.9915157</v>
      </c>
      <c r="AB3492">
        <v>34</v>
      </c>
      <c r="AC3492">
        <v>0.41849999999999399</v>
      </c>
      <c r="AD3492">
        <v>-9.65089999999999E-2</v>
      </c>
      <c r="AE3492">
        <v>-0.10050000000001</v>
      </c>
      <c r="AF3492">
        <v>9.3335020812030794E-2</v>
      </c>
      <c r="AG3492">
        <v>-9.65089999999999E-2</v>
      </c>
      <c r="AH3492">
        <v>0.39902307833738598</v>
      </c>
      <c r="AI3492">
        <v>103.252040300903</v>
      </c>
      <c r="AJ3492">
        <v>76.834710760148397</v>
      </c>
      <c r="AK3492">
        <v>0.421004548950277</v>
      </c>
      <c r="AL3492">
        <v>68.612170915658695</v>
      </c>
      <c r="AM3492">
        <v>89.466889501819907</v>
      </c>
      <c r="AN3492">
        <v>1.0000000031393701</v>
      </c>
    </row>
    <row r="3493" spans="1:40" x14ac:dyDescent="0.25">
      <c r="A3493" t="str">
        <f>"20190304164440376"</f>
        <v>20190304164440376</v>
      </c>
      <c r="B3493" t="str">
        <f>"1551689080373266"</f>
        <v>1551689080373266</v>
      </c>
      <c r="C3493" t="s">
        <v>40</v>
      </c>
      <c r="D3493">
        <v>5.2066410000000003</v>
      </c>
      <c r="E3493">
        <v>0.56896049999999998</v>
      </c>
      <c r="F3493" t="s">
        <v>41</v>
      </c>
      <c r="G3493">
        <v>-220.92140000000001</v>
      </c>
      <c r="H3493">
        <v>1.0145280000000001</v>
      </c>
      <c r="I3493">
        <v>215.38900000000001</v>
      </c>
      <c r="J3493">
        <v>-221.30340000000001</v>
      </c>
      <c r="K3493">
        <v>1.108358</v>
      </c>
      <c r="L3493">
        <v>215.48759999999999</v>
      </c>
      <c r="M3493">
        <v>0.99986580000000003</v>
      </c>
      <c r="N3493">
        <v>-1.390987E-2</v>
      </c>
      <c r="O3493">
        <v>-8.652926E-3</v>
      </c>
      <c r="P3493">
        <v>0.93600099999999997</v>
      </c>
      <c r="Q3493">
        <v>0.35158289999999998</v>
      </c>
      <c r="R3493">
        <v>-1.707649E-2</v>
      </c>
      <c r="S3493">
        <v>3.3619539999999999</v>
      </c>
      <c r="T3493">
        <v>-0.43391200000000002</v>
      </c>
      <c r="U3493">
        <v>-0.4765625</v>
      </c>
      <c r="V3493">
        <v>1.1121880000000001E-2</v>
      </c>
      <c r="W3493">
        <v>0.36451119999999998</v>
      </c>
      <c r="X3493">
        <v>0.93113259999999998</v>
      </c>
      <c r="Y3493">
        <v>0.13065180000000001</v>
      </c>
      <c r="Z3493">
        <v>-8.2853860000000005E-3</v>
      </c>
      <c r="AA3493">
        <v>0.99139370000000004</v>
      </c>
      <c r="AB3493">
        <v>34</v>
      </c>
      <c r="AC3493">
        <v>0.382000000000005</v>
      </c>
      <c r="AD3493">
        <v>-9.3829999999999802E-2</v>
      </c>
      <c r="AE3493">
        <v>-9.8599999999976207E-2</v>
      </c>
      <c r="AF3493">
        <v>9.0189052594209201E-2</v>
      </c>
      <c r="AG3493">
        <v>-9.3829999999999802E-2</v>
      </c>
      <c r="AH3493">
        <v>0.36234312287384401</v>
      </c>
      <c r="AI3493">
        <v>104.10558923539899</v>
      </c>
      <c r="AJ3493">
        <v>76.022814487036996</v>
      </c>
      <c r="AK3493">
        <v>0.385007367204591</v>
      </c>
      <c r="AL3493">
        <v>68.622496117668206</v>
      </c>
      <c r="AM3493">
        <v>89.315665156670704</v>
      </c>
      <c r="AN3493">
        <v>1.0000000149614601</v>
      </c>
    </row>
    <row r="3494" spans="1:40" x14ac:dyDescent="0.25">
      <c r="A3494" t="str">
        <f>"20190304164440399"</f>
        <v>20190304164440399</v>
      </c>
      <c r="B3494" t="str">
        <f>"1551689080393762"</f>
        <v>1551689080393762</v>
      </c>
      <c r="C3494" t="s">
        <v>40</v>
      </c>
      <c r="D3494">
        <v>5.2007159999999999</v>
      </c>
      <c r="E3494">
        <v>0.56889829999999997</v>
      </c>
      <c r="F3494" t="s">
        <v>41</v>
      </c>
      <c r="G3494">
        <v>-220.32310000000001</v>
      </c>
      <c r="H3494">
        <v>0.98033459999999994</v>
      </c>
      <c r="I3494">
        <v>215.34389999999999</v>
      </c>
      <c r="J3494">
        <v>-220.94470000000001</v>
      </c>
      <c r="K3494">
        <v>1.1083000000000001</v>
      </c>
      <c r="L3494">
        <v>215.48159999999999</v>
      </c>
      <c r="M3494">
        <v>0.99983639999999996</v>
      </c>
      <c r="N3494">
        <v>-1.3910830000000001E-2</v>
      </c>
      <c r="O3494">
        <v>-1.156126E-2</v>
      </c>
      <c r="P3494">
        <v>0.93597660000000005</v>
      </c>
      <c r="Q3494">
        <v>0.35139100000000001</v>
      </c>
      <c r="R3494">
        <v>-2.172429E-2</v>
      </c>
      <c r="S3494">
        <v>3.3610530000000001</v>
      </c>
      <c r="T3494">
        <v>-0.4389111</v>
      </c>
      <c r="U3494">
        <v>-0.49182130000000002</v>
      </c>
      <c r="V3494">
        <v>1.309683E-2</v>
      </c>
      <c r="W3494">
        <v>0.3643073</v>
      </c>
      <c r="X3494">
        <v>0.93118670000000003</v>
      </c>
      <c r="Y3494">
        <v>0.13219549999999999</v>
      </c>
      <c r="Z3494">
        <v>-8.1429550000000003E-3</v>
      </c>
      <c r="AA3494">
        <v>0.99119020000000002</v>
      </c>
      <c r="AB3494">
        <v>34</v>
      </c>
      <c r="AC3494">
        <v>0.62160000000000004</v>
      </c>
      <c r="AD3494">
        <v>-0.12796540000000001</v>
      </c>
      <c r="AE3494">
        <v>-0.13769999999999499</v>
      </c>
      <c r="AF3494">
        <v>0.12543627647696501</v>
      </c>
      <c r="AG3494">
        <v>-0.12796540000000001</v>
      </c>
      <c r="AH3494">
        <v>0.59895418273606404</v>
      </c>
      <c r="AI3494">
        <v>101.811016245527</v>
      </c>
      <c r="AJ3494">
        <v>78.171750891631802</v>
      </c>
      <c r="AK3494">
        <v>0.62518438565801704</v>
      </c>
      <c r="AL3494">
        <v>68.635041083335494</v>
      </c>
      <c r="AM3494">
        <v>89.194207122755401</v>
      </c>
      <c r="AN3494">
        <v>1.00000000302311</v>
      </c>
    </row>
    <row r="3495" spans="1:40" x14ac:dyDescent="0.25">
      <c r="A3495" t="str">
        <f>"20190304164440421"</f>
        <v>20190304164440421</v>
      </c>
      <c r="B3495" t="str">
        <f>"1551689080413282"</f>
        <v>1551689080413282</v>
      </c>
      <c r="C3495" t="s">
        <v>40</v>
      </c>
      <c r="D3495">
        <v>5.1860679999999997</v>
      </c>
      <c r="E3495">
        <v>0.56887949999999998</v>
      </c>
      <c r="F3495" t="s">
        <v>41</v>
      </c>
      <c r="G3495">
        <v>-220.01320000000001</v>
      </c>
      <c r="H3495">
        <v>0.98632109999999995</v>
      </c>
      <c r="I3495">
        <v>215.34039999999999</v>
      </c>
      <c r="J3495">
        <v>-220.6105</v>
      </c>
      <c r="K3495">
        <v>1.1082620000000001</v>
      </c>
      <c r="L3495">
        <v>215.47499999999999</v>
      </c>
      <c r="M3495">
        <v>0.99980089999999999</v>
      </c>
      <c r="N3495">
        <v>-1.3911160000000001E-2</v>
      </c>
      <c r="O3495">
        <v>-1.430413E-2</v>
      </c>
      <c r="P3495">
        <v>0.93598530000000002</v>
      </c>
      <c r="Q3495">
        <v>0.35107120000000003</v>
      </c>
      <c r="R3495">
        <v>-2.6083990000000001E-2</v>
      </c>
      <c r="S3495">
        <v>3.3585210000000001</v>
      </c>
      <c r="T3495">
        <v>-0.43983139999999998</v>
      </c>
      <c r="U3495">
        <v>-0.50865169999999904</v>
      </c>
      <c r="V3495">
        <v>1.4923570000000001E-2</v>
      </c>
      <c r="W3495">
        <v>0.36397689999999999</v>
      </c>
      <c r="X3495">
        <v>0.93128840000000002</v>
      </c>
      <c r="Y3495">
        <v>0.1344352</v>
      </c>
      <c r="Z3495">
        <v>-8.0039209999999902E-3</v>
      </c>
      <c r="AA3495">
        <v>0.9908901</v>
      </c>
      <c r="AB3495">
        <v>34</v>
      </c>
      <c r="AC3495">
        <v>0.59729999999998995</v>
      </c>
      <c r="AD3495">
        <v>-0.1219409</v>
      </c>
      <c r="AE3495">
        <v>-0.13460000000000599</v>
      </c>
      <c r="AF3495">
        <v>0.121232906903358</v>
      </c>
      <c r="AG3495">
        <v>-0.1219409</v>
      </c>
      <c r="AH3495">
        <v>0.57630556167507396</v>
      </c>
      <c r="AI3495">
        <v>101.698288184787</v>
      </c>
      <c r="AJ3495">
        <v>78.120346225394997</v>
      </c>
      <c r="AK3495">
        <v>0.60141092543008501</v>
      </c>
      <c r="AL3495">
        <v>68.6553668415999</v>
      </c>
      <c r="AM3495">
        <v>89.081933805210497</v>
      </c>
      <c r="AN3495">
        <v>0.99999999032485698</v>
      </c>
    </row>
    <row r="3496" spans="1:40" x14ac:dyDescent="0.25">
      <c r="A3496" t="str">
        <f>"20190304164440443"</f>
        <v>20190304164440443</v>
      </c>
      <c r="B3496" t="str">
        <f>"1551689080433778"</f>
        <v>1551689080433778</v>
      </c>
      <c r="C3496" t="s">
        <v>40</v>
      </c>
      <c r="D3496">
        <v>5.197241</v>
      </c>
      <c r="E3496">
        <v>0.56885079999999999</v>
      </c>
      <c r="F3496" t="s">
        <v>41</v>
      </c>
      <c r="G3496">
        <v>-219.70529999999999</v>
      </c>
      <c r="H3496">
        <v>0.9889694</v>
      </c>
      <c r="I3496">
        <v>215.33349999999999</v>
      </c>
      <c r="J3496">
        <v>-220.2672</v>
      </c>
      <c r="K3496">
        <v>1.108225</v>
      </c>
      <c r="L3496">
        <v>215.46729999999999</v>
      </c>
      <c r="M3496">
        <v>0.99975619999999998</v>
      </c>
      <c r="N3496">
        <v>-1.3911110000000001E-2</v>
      </c>
      <c r="O3496">
        <v>-1.7149379999999999E-2</v>
      </c>
      <c r="P3496">
        <v>0.93605850000000002</v>
      </c>
      <c r="Q3496">
        <v>0.3505586</v>
      </c>
      <c r="R3496">
        <v>-3.0056639999999999E-2</v>
      </c>
      <c r="S3496">
        <v>3.3564609999999999</v>
      </c>
      <c r="T3496">
        <v>-0.4423144</v>
      </c>
      <c r="U3496">
        <v>-0.52427669999999904</v>
      </c>
      <c r="V3496">
        <v>1.6259280000000001E-2</v>
      </c>
      <c r="W3496">
        <v>0.36345759999999999</v>
      </c>
      <c r="X3496">
        <v>0.93146879999999999</v>
      </c>
      <c r="Y3496">
        <v>0.13620179999999901</v>
      </c>
      <c r="Z3496">
        <v>-7.8404010000000003E-3</v>
      </c>
      <c r="AA3496">
        <v>0.99065009999999998</v>
      </c>
      <c r="AB3496">
        <v>34</v>
      </c>
      <c r="AC3496">
        <v>0.56190000000000795</v>
      </c>
      <c r="AD3496">
        <v>-0.1192556</v>
      </c>
      <c r="AE3496">
        <v>-0.133800000000007</v>
      </c>
      <c r="AF3496">
        <v>0.119067626521157</v>
      </c>
      <c r="AG3496">
        <v>-0.1192556</v>
      </c>
      <c r="AH3496">
        <v>0.54104874543478398</v>
      </c>
      <c r="AI3496">
        <v>102.148371321071</v>
      </c>
      <c r="AJ3496">
        <v>77.588854046013694</v>
      </c>
      <c r="AK3496">
        <v>0.56668575308833702</v>
      </c>
      <c r="AL3496">
        <v>68.687307508996497</v>
      </c>
      <c r="AM3496">
        <v>88.999973458775699</v>
      </c>
      <c r="AN3496">
        <v>0.99999995827865795</v>
      </c>
    </row>
    <row r="3497" spans="1:40" x14ac:dyDescent="0.25">
      <c r="A3497" t="str">
        <f>"20190304164440467"</f>
        <v>20190304164440467</v>
      </c>
      <c r="B3497" t="str">
        <f>"1551689080453299"</f>
        <v>1551689080453299</v>
      </c>
      <c r="C3497" t="s">
        <v>40</v>
      </c>
      <c r="D3497">
        <v>5.3053330000000001</v>
      </c>
      <c r="E3497">
        <v>0.56885529999999995</v>
      </c>
      <c r="F3497" t="s">
        <v>41</v>
      </c>
      <c r="G3497">
        <v>-219.39699999999999</v>
      </c>
      <c r="H3497">
        <v>0.99271659999999995</v>
      </c>
      <c r="I3497">
        <v>215.3271</v>
      </c>
      <c r="J3497">
        <v>-219.9143</v>
      </c>
      <c r="K3497">
        <v>1.1081909999999999</v>
      </c>
      <c r="L3497">
        <v>215.45830000000001</v>
      </c>
      <c r="M3497">
        <v>0.99970110000000001</v>
      </c>
      <c r="N3497">
        <v>-1.3911E-2</v>
      </c>
      <c r="O3497">
        <v>-2.01069E-2</v>
      </c>
      <c r="P3497">
        <v>0.93613109999999999</v>
      </c>
      <c r="Q3497">
        <v>0.35003840000000003</v>
      </c>
      <c r="R3497">
        <v>-3.3644100000000003E-2</v>
      </c>
      <c r="S3497">
        <v>3.354263</v>
      </c>
      <c r="T3497">
        <v>-0.44514419999999999</v>
      </c>
      <c r="U3497">
        <v>-0.54028319999999996</v>
      </c>
      <c r="V3497">
        <v>1.7102849999999999E-2</v>
      </c>
      <c r="W3497">
        <v>0.36293340000000002</v>
      </c>
      <c r="X3497">
        <v>0.93165810000000004</v>
      </c>
      <c r="Y3497">
        <v>0.13797089999999901</v>
      </c>
      <c r="Z3497">
        <v>-7.6660929999999997E-3</v>
      </c>
      <c r="AA3497">
        <v>0.99040660000000003</v>
      </c>
      <c r="AB3497">
        <v>34</v>
      </c>
      <c r="AC3497">
        <v>0.517299999999977</v>
      </c>
      <c r="AD3497">
        <v>-0.11547439999999901</v>
      </c>
      <c r="AE3497">
        <v>-0.13120000000000601</v>
      </c>
      <c r="AF3497">
        <v>0.11536979279399399</v>
      </c>
      <c r="AG3497">
        <v>-0.11547439999999901</v>
      </c>
      <c r="AH3497">
        <v>0.496584625860444</v>
      </c>
      <c r="AI3497">
        <v>102.762414109327</v>
      </c>
      <c r="AJ3497">
        <v>76.920695878264098</v>
      </c>
      <c r="AK3497">
        <v>0.52272441762906696</v>
      </c>
      <c r="AL3497">
        <v>68.719543900496902</v>
      </c>
      <c r="AM3497">
        <v>88.948314764154503</v>
      </c>
      <c r="AN3497">
        <v>0.99999998780464605</v>
      </c>
    </row>
    <row r="3498" spans="1:40" x14ac:dyDescent="0.25">
      <c r="A3498" t="str">
        <f>"20190304164440488"</f>
        <v>20190304164440488</v>
      </c>
      <c r="B3498" t="str">
        <f>"1551689080483641"</f>
        <v>1551689080483641</v>
      </c>
      <c r="C3498" t="s">
        <v>40</v>
      </c>
      <c r="D3498">
        <v>5.2284990000000002</v>
      </c>
      <c r="E3498">
        <v>0.56881669999999995</v>
      </c>
      <c r="F3498" t="s">
        <v>41</v>
      </c>
      <c r="G3498">
        <v>-219.0882</v>
      </c>
      <c r="H3498">
        <v>0.99798940000000003</v>
      </c>
      <c r="I3498">
        <v>215.32140000000001</v>
      </c>
      <c r="J3498">
        <v>-219.5813</v>
      </c>
      <c r="K3498">
        <v>1.1081479999999999</v>
      </c>
      <c r="L3498">
        <v>215.44890000000001</v>
      </c>
      <c r="M3498">
        <v>0.99964019999999998</v>
      </c>
      <c r="N3498">
        <v>-1.391104E-2</v>
      </c>
      <c r="O3498">
        <v>-2.293392E-2</v>
      </c>
      <c r="P3498">
        <v>0.93594089999999996</v>
      </c>
      <c r="Q3498">
        <v>0.35028310000000001</v>
      </c>
      <c r="R3498">
        <v>-3.628062E-2</v>
      </c>
      <c r="S3498">
        <v>3.3519290000000002</v>
      </c>
      <c r="T3498">
        <v>-0.44715050000000001</v>
      </c>
      <c r="U3498">
        <v>-0.55513000000000001</v>
      </c>
      <c r="V3498">
        <v>1.7128580000000001E-2</v>
      </c>
      <c r="W3498">
        <v>0.36317509999999997</v>
      </c>
      <c r="X3498">
        <v>0.93156340000000004</v>
      </c>
      <c r="Y3498">
        <v>0.13954559999999999</v>
      </c>
      <c r="Z3498">
        <v>-7.4785609999999999E-3</v>
      </c>
      <c r="AA3498">
        <v>0.99018740000000005</v>
      </c>
      <c r="AB3498">
        <v>34</v>
      </c>
      <c r="AC3498">
        <v>0.49309999999999798</v>
      </c>
      <c r="AD3498">
        <v>-0.110158599999999</v>
      </c>
      <c r="AE3498">
        <v>-0.127499999999997</v>
      </c>
      <c r="AF3498">
        <v>0.11096567246901901</v>
      </c>
      <c r="AG3498">
        <v>-0.110158599999999</v>
      </c>
      <c r="AH3498">
        <v>0.473733382974448</v>
      </c>
      <c r="AI3498">
        <v>102.75697065424001</v>
      </c>
      <c r="AJ3498">
        <v>76.816909148345601</v>
      </c>
      <c r="AK3498">
        <v>0.49887033963233102</v>
      </c>
      <c r="AL3498">
        <v>68.704680677522106</v>
      </c>
      <c r="AM3498">
        <v>88.946625888077804</v>
      </c>
      <c r="AN3498">
        <v>0.99999995486619198</v>
      </c>
    </row>
    <row r="3499" spans="1:40" x14ac:dyDescent="0.25">
      <c r="A3499" t="str">
        <f>"20190304164440510"</f>
        <v>20190304164440510</v>
      </c>
      <c r="B3499" t="str">
        <f>"1551689080503160"</f>
        <v>1551689080503160</v>
      </c>
      <c r="C3499" t="s">
        <v>40</v>
      </c>
      <c r="D3499">
        <v>5.2228979999999998</v>
      </c>
      <c r="E3499">
        <v>0.56878930000000005</v>
      </c>
      <c r="F3499" t="s">
        <v>41</v>
      </c>
      <c r="G3499">
        <v>-218.7807</v>
      </c>
      <c r="H3499">
        <v>1.0012730000000001</v>
      </c>
      <c r="I3499">
        <v>215.31290000000001</v>
      </c>
      <c r="J3499">
        <v>-219.23099999999999</v>
      </c>
      <c r="K3499">
        <v>1.108096</v>
      </c>
      <c r="L3499">
        <v>215.43790000000001</v>
      </c>
      <c r="M3499">
        <v>0.99956630000000002</v>
      </c>
      <c r="N3499">
        <v>-1.3911450000000001E-2</v>
      </c>
      <c r="O3499">
        <v>-2.596124E-2</v>
      </c>
      <c r="P3499">
        <v>0.93569400000000003</v>
      </c>
      <c r="Q3499">
        <v>0.35067039999999999</v>
      </c>
      <c r="R3499">
        <v>-3.8824419999999998E-2</v>
      </c>
      <c r="S3499">
        <v>3.350708</v>
      </c>
      <c r="T3499">
        <v>-0.44719100000000001</v>
      </c>
      <c r="U3499">
        <v>-0.56768799999999997</v>
      </c>
      <c r="V3499">
        <v>1.688601E-2</v>
      </c>
      <c r="W3499">
        <v>0.36356070000000001</v>
      </c>
      <c r="X3499">
        <v>0.93141750000000001</v>
      </c>
      <c r="Y3499">
        <v>0.140229399999999</v>
      </c>
      <c r="Z3499">
        <v>-7.1724110000000001E-3</v>
      </c>
      <c r="AA3499">
        <v>0.99009309999999995</v>
      </c>
      <c r="AB3499">
        <v>34</v>
      </c>
      <c r="AC3499">
        <v>0.45029999999999798</v>
      </c>
      <c r="AD3499">
        <v>-0.106823</v>
      </c>
      <c r="AE3499">
        <v>-0.125</v>
      </c>
      <c r="AF3499">
        <v>0.107642081054467</v>
      </c>
      <c r="AG3499">
        <v>-0.106823</v>
      </c>
      <c r="AH3499">
        <v>0.43088015797102502</v>
      </c>
      <c r="AI3499">
        <v>103.524233860355</v>
      </c>
      <c r="AJ3499">
        <v>75.973513588432596</v>
      </c>
      <c r="AK3499">
        <v>0.456788442800245</v>
      </c>
      <c r="AL3499">
        <v>68.680968350223694</v>
      </c>
      <c r="AM3499">
        <v>88.961377545860003</v>
      </c>
      <c r="AN3499">
        <v>1.0000000396122199</v>
      </c>
    </row>
    <row r="3500" spans="1:40" x14ac:dyDescent="0.25">
      <c r="A3500" t="str">
        <f>"20190304164440532"</f>
        <v>20190304164440532</v>
      </c>
      <c r="B3500" t="str">
        <f>"1551689080523657"</f>
        <v>1551689080523657</v>
      </c>
      <c r="C3500" t="s">
        <v>40</v>
      </c>
      <c r="D3500">
        <v>5.2211970000000001</v>
      </c>
      <c r="E3500">
        <v>0.56874859999999905</v>
      </c>
      <c r="F3500" t="s">
        <v>41</v>
      </c>
      <c r="G3500">
        <v>-218.47210000000001</v>
      </c>
      <c r="H3500">
        <v>1.0069440000000001</v>
      </c>
      <c r="I3500">
        <v>215.3065</v>
      </c>
      <c r="J3500">
        <v>-218.90530000000001</v>
      </c>
      <c r="K3500">
        <v>1.1080399999999999</v>
      </c>
      <c r="L3500">
        <v>215.42660000000001</v>
      </c>
      <c r="M3500">
        <v>0.99948700000000001</v>
      </c>
      <c r="N3500">
        <v>-1.391239E-2</v>
      </c>
      <c r="O3500">
        <v>-2.8845280000000001E-2</v>
      </c>
      <c r="P3500">
        <v>0.93566919999999998</v>
      </c>
      <c r="Q3500">
        <v>0.35047270000000003</v>
      </c>
      <c r="R3500">
        <v>-4.1133179999999998E-2</v>
      </c>
      <c r="S3500">
        <v>3.3494869999999999</v>
      </c>
      <c r="T3500">
        <v>-0.44643939999999999</v>
      </c>
      <c r="U3500">
        <v>-0.57841489999999995</v>
      </c>
      <c r="V3500">
        <v>1.6541549999999999E-2</v>
      </c>
      <c r="W3500">
        <v>0.3633653</v>
      </c>
      <c r="X3500">
        <v>0.93149990000000005</v>
      </c>
      <c r="Y3500">
        <v>0.14053370000000001</v>
      </c>
      <c r="Z3500">
        <v>-6.8460539999999999E-3</v>
      </c>
      <c r="AA3500">
        <v>0.99005220000000005</v>
      </c>
      <c r="AB3500">
        <v>34</v>
      </c>
      <c r="AC3500">
        <v>0.43319999999999897</v>
      </c>
      <c r="AD3500">
        <v>-0.10109599999999901</v>
      </c>
      <c r="AE3500">
        <v>-0.12010000000000701</v>
      </c>
      <c r="AF3500">
        <v>0.102375447608631</v>
      </c>
      <c r="AG3500">
        <v>-0.10109599999999901</v>
      </c>
      <c r="AH3500">
        <v>0.41547208635980298</v>
      </c>
      <c r="AI3500">
        <v>103.293012158255</v>
      </c>
      <c r="AJ3500">
        <v>76.157645594788406</v>
      </c>
      <c r="AK3500">
        <v>0.43967964250489799</v>
      </c>
      <c r="AL3500">
        <v>68.692985263064003</v>
      </c>
      <c r="AM3500">
        <v>88.982650028881295</v>
      </c>
      <c r="AN3500">
        <v>1.0000000139102501</v>
      </c>
    </row>
    <row r="3501" spans="1:40" x14ac:dyDescent="0.25">
      <c r="A3501" t="str">
        <f>"20190304164440554"</f>
        <v>20190304164440554</v>
      </c>
      <c r="B3501" t="str">
        <f>"1551689080543176"</f>
        <v>1551689080543176</v>
      </c>
      <c r="C3501" t="s">
        <v>40</v>
      </c>
      <c r="D3501">
        <v>5.2211829999999999</v>
      </c>
      <c r="E3501">
        <v>0.56871430000000001</v>
      </c>
      <c r="F3501" t="s">
        <v>41</v>
      </c>
      <c r="G3501">
        <v>-218.16560000000001</v>
      </c>
      <c r="H3501">
        <v>1.0090600000000001</v>
      </c>
      <c r="I3501">
        <v>215.29660000000001</v>
      </c>
      <c r="J3501">
        <v>-218.56270000000001</v>
      </c>
      <c r="K3501">
        <v>1.1079650000000001</v>
      </c>
      <c r="L3501">
        <v>215.41370000000001</v>
      </c>
      <c r="M3501">
        <v>0.99939169999999999</v>
      </c>
      <c r="N3501">
        <v>-1.391422E-2</v>
      </c>
      <c r="O3501">
        <v>-3.1979359999999998E-2</v>
      </c>
      <c r="P3501">
        <v>0.93572290000000002</v>
      </c>
      <c r="Q3501">
        <v>0.350043099999999</v>
      </c>
      <c r="R3501">
        <v>-4.3502480000000003E-2</v>
      </c>
      <c r="S3501">
        <v>3.3482059999999998</v>
      </c>
      <c r="T3501">
        <v>-0.44799860000000002</v>
      </c>
      <c r="U3501">
        <v>-0.58804319999999999</v>
      </c>
      <c r="V3501">
        <v>1.6036450000000001E-2</v>
      </c>
      <c r="W3501">
        <v>0.3629405</v>
      </c>
      <c r="X3501">
        <v>0.93167429999999996</v>
      </c>
      <c r="Y3501">
        <v>0.14027300000000001</v>
      </c>
      <c r="Z3501">
        <v>-6.4765250000000003E-3</v>
      </c>
      <c r="AA3501">
        <v>0.99009170000000002</v>
      </c>
      <c r="AB3501">
        <v>34</v>
      </c>
      <c r="AC3501">
        <v>0.39709999999999401</v>
      </c>
      <c r="AD3501">
        <v>-9.8904999999999799E-2</v>
      </c>
      <c r="AE3501">
        <v>-0.117099999999993</v>
      </c>
      <c r="AF3501">
        <v>9.87064794443136E-2</v>
      </c>
      <c r="AG3501">
        <v>-9.8904999999999799E-2</v>
      </c>
      <c r="AH3501">
        <v>0.37901105692649401</v>
      </c>
      <c r="AI3501">
        <v>104.172700437834</v>
      </c>
      <c r="AJ3501">
        <v>75.4026198776954</v>
      </c>
      <c r="AK3501">
        <v>0.40394869647249598</v>
      </c>
      <c r="AL3501">
        <v>68.719107331831097</v>
      </c>
      <c r="AM3501">
        <v>89.013893396337494</v>
      </c>
      <c r="AN3501">
        <v>0.99999998777467103</v>
      </c>
    </row>
    <row r="3502" spans="1:40" x14ac:dyDescent="0.25">
      <c r="A3502" t="str">
        <f>"20190304164440577"</f>
        <v>20190304164440577</v>
      </c>
      <c r="B3502" t="str">
        <f>"1551689080573432"</f>
        <v>1551689080573432</v>
      </c>
      <c r="C3502" t="s">
        <v>40</v>
      </c>
      <c r="D3502">
        <v>5.3285019999999896</v>
      </c>
      <c r="E3502">
        <v>0.56872489999999998</v>
      </c>
      <c r="F3502" t="s">
        <v>41</v>
      </c>
      <c r="G3502">
        <v>-217.57259999999999</v>
      </c>
      <c r="H3502">
        <v>0.97489990000000004</v>
      </c>
      <c r="I3502">
        <v>215.23599999999999</v>
      </c>
      <c r="J3502">
        <v>-218.21960000000001</v>
      </c>
      <c r="K3502">
        <v>1.1078680000000001</v>
      </c>
      <c r="L3502">
        <v>215.39940000000001</v>
      </c>
      <c r="M3502">
        <v>0.99928189999999995</v>
      </c>
      <c r="N3502">
        <v>-1.3917280000000001E-2</v>
      </c>
      <c r="O3502">
        <v>-3.5244030000000003E-2</v>
      </c>
      <c r="P3502">
        <v>0.93575450000000004</v>
      </c>
      <c r="Q3502">
        <v>0.3495839</v>
      </c>
      <c r="R3502">
        <v>-4.6421209999999997E-2</v>
      </c>
      <c r="S3502">
        <v>3.34639</v>
      </c>
      <c r="T3502">
        <v>-0.44967269999999998</v>
      </c>
      <c r="U3502">
        <v>-0.60005189999999997</v>
      </c>
      <c r="V3502">
        <v>1.5970330000000001E-2</v>
      </c>
      <c r="W3502">
        <v>0.36248419999999998</v>
      </c>
      <c r="X3502">
        <v>0.93185309999999999</v>
      </c>
      <c r="Y3502">
        <v>0.14058689999999999</v>
      </c>
      <c r="Z3502">
        <v>-6.1324589999999998E-3</v>
      </c>
      <c r="AA3502">
        <v>0.99004939999999997</v>
      </c>
      <c r="AB3502">
        <v>34</v>
      </c>
      <c r="AC3502">
        <v>0.647000000000019</v>
      </c>
      <c r="AD3502">
        <v>-0.13296810000000001</v>
      </c>
      <c r="AE3502">
        <v>-0.163400000000024</v>
      </c>
      <c r="AF3502">
        <v>0.135128244315429</v>
      </c>
      <c r="AG3502">
        <v>-0.13296810000000001</v>
      </c>
      <c r="AH3502">
        <v>0.62744532878989501</v>
      </c>
      <c r="AI3502">
        <v>101.704386779388</v>
      </c>
      <c r="AJ3502">
        <v>77.846264913541205</v>
      </c>
      <c r="AK3502">
        <v>0.65545999012116596</v>
      </c>
      <c r="AL3502">
        <v>68.7471626716533</v>
      </c>
      <c r="AM3502">
        <v>89.0181468145922</v>
      </c>
      <c r="AN3502">
        <v>1.0000000233347699</v>
      </c>
    </row>
    <row r="3503" spans="1:40" x14ac:dyDescent="0.25">
      <c r="A3503" t="str">
        <f>"20190304164440599"</f>
        <v>20190304164440599</v>
      </c>
      <c r="B3503" t="str">
        <f>"1551689080593928"</f>
        <v>1551689080593928</v>
      </c>
      <c r="C3503" t="s">
        <v>40</v>
      </c>
      <c r="D3503">
        <v>5.2621869999999999</v>
      </c>
      <c r="E3503">
        <v>0.57395090000000004</v>
      </c>
      <c r="F3503" t="s">
        <v>41</v>
      </c>
      <c r="G3503">
        <v>-217.26599999999999</v>
      </c>
      <c r="H3503">
        <v>0.97904829999999998</v>
      </c>
      <c r="I3503">
        <v>215.2242</v>
      </c>
      <c r="J3503">
        <v>-217.8674</v>
      </c>
      <c r="K3503">
        <v>1.1077809999999999</v>
      </c>
      <c r="L3503">
        <v>215.3835</v>
      </c>
      <c r="M3503">
        <v>0.99915379999999998</v>
      </c>
      <c r="N3503">
        <v>-1.392066E-2</v>
      </c>
      <c r="O3503">
        <v>-3.8706539999999998E-2</v>
      </c>
      <c r="P3503">
        <v>0.93528429999999996</v>
      </c>
      <c r="Q3503">
        <v>0.35043210000000002</v>
      </c>
      <c r="R3503">
        <v>-4.9407989999999999E-2</v>
      </c>
      <c r="S3503">
        <v>3.3442539999999998</v>
      </c>
      <c r="T3503">
        <v>-0.45170320000000003</v>
      </c>
      <c r="U3503">
        <v>-0.614151</v>
      </c>
      <c r="V3503">
        <v>1.5815900000000001E-2</v>
      </c>
      <c r="W3503">
        <v>0.36332880000000001</v>
      </c>
      <c r="X3503">
        <v>0.93152670000000004</v>
      </c>
      <c r="Y3503">
        <v>0.14131529999999901</v>
      </c>
      <c r="Z3503">
        <v>-5.7958360000000004E-3</v>
      </c>
      <c r="AA3503">
        <v>0.98994769999999999</v>
      </c>
      <c r="AB3503">
        <v>34</v>
      </c>
      <c r="AC3503">
        <v>0.60140000000001204</v>
      </c>
      <c r="AD3503">
        <v>-0.12873269999999901</v>
      </c>
      <c r="AE3503">
        <v>-0.159300000000001</v>
      </c>
      <c r="AF3503">
        <v>0.13032049579358199</v>
      </c>
      <c r="AG3503">
        <v>-0.12873269999999901</v>
      </c>
      <c r="AH3503">
        <v>0.582189058563095</v>
      </c>
      <c r="AI3503">
        <v>102.17650509407299</v>
      </c>
      <c r="AJ3503">
        <v>77.382583758144193</v>
      </c>
      <c r="AK3503">
        <v>0.61032748552212401</v>
      </c>
      <c r="AL3503">
        <v>68.695229134036296</v>
      </c>
      <c r="AM3503">
        <v>89.027298670605205</v>
      </c>
      <c r="AN3503">
        <v>0.99999997620756897</v>
      </c>
    </row>
    <row r="3504" spans="1:40" x14ac:dyDescent="0.25">
      <c r="A3504" t="str">
        <f>"20190304164440622"</f>
        <v>20190304164440622</v>
      </c>
      <c r="B3504" t="str">
        <f>"1551689080613448"</f>
        <v>1551689080613448</v>
      </c>
      <c r="C3504" t="s">
        <v>40</v>
      </c>
      <c r="D3504">
        <v>5.2486290000000002</v>
      </c>
      <c r="E3504">
        <v>0.57347399999999904</v>
      </c>
      <c r="F3504" t="s">
        <v>41</v>
      </c>
      <c r="G3504">
        <v>-216.97389999999999</v>
      </c>
      <c r="H3504">
        <v>0.9536905</v>
      </c>
      <c r="I3504">
        <v>215.20910000000001</v>
      </c>
      <c r="J3504">
        <v>-217.5403</v>
      </c>
      <c r="K3504">
        <v>1.1076979999999901</v>
      </c>
      <c r="L3504">
        <v>215.36760000000001</v>
      </c>
      <c r="M3504">
        <v>0.99901930000000005</v>
      </c>
      <c r="N3504">
        <v>-1.392346E-2</v>
      </c>
      <c r="O3504">
        <v>-4.2032989999999999E-2</v>
      </c>
      <c r="P3504">
        <v>0.93486789999999997</v>
      </c>
      <c r="Q3504">
        <v>0.35105960000000003</v>
      </c>
      <c r="R3504">
        <v>-5.272077E-2</v>
      </c>
      <c r="S3504">
        <v>3.391785</v>
      </c>
      <c r="T3504">
        <v>-0.58501409999999998</v>
      </c>
      <c r="U3504">
        <v>-0.66230769999999906</v>
      </c>
      <c r="V3504">
        <v>1.6106349999999998E-2</v>
      </c>
      <c r="W3504">
        <v>0.36395110000000003</v>
      </c>
      <c r="X3504">
        <v>0.93127879999999996</v>
      </c>
      <c r="Y3504">
        <v>0.14843970000000001</v>
      </c>
      <c r="Z3504">
        <v>-7.0969730000000003E-3</v>
      </c>
      <c r="AA3504">
        <v>0.988896</v>
      </c>
      <c r="AB3504">
        <v>34</v>
      </c>
      <c r="AC3504">
        <v>0.566400000000015</v>
      </c>
      <c r="AD3504">
        <v>-0.15400749999999899</v>
      </c>
      <c r="AE3504">
        <v>-0.158500000000003</v>
      </c>
      <c r="AF3504">
        <v>0.12591678717980201</v>
      </c>
      <c r="AG3504">
        <v>-0.15400749999999899</v>
      </c>
      <c r="AH3504">
        <v>0.53582414147867596</v>
      </c>
      <c r="AI3504">
        <v>105.631609174014</v>
      </c>
      <c r="AJ3504">
        <v>76.775639930762196</v>
      </c>
      <c r="AK3504">
        <v>0.57156002129373396</v>
      </c>
      <c r="AL3504">
        <v>68.656954378098206</v>
      </c>
      <c r="AM3504">
        <v>89.009175463644496</v>
      </c>
      <c r="AN3504">
        <v>1.00000001051548</v>
      </c>
    </row>
    <row r="3505" spans="1:40" x14ac:dyDescent="0.25">
      <c r="A3505" t="str">
        <f>"20190304164440644"</f>
        <v>20190304164440644</v>
      </c>
      <c r="B3505" t="str">
        <f>"1551689080633944"</f>
        <v>1551689080633944</v>
      </c>
      <c r="C3505" t="s">
        <v>40</v>
      </c>
      <c r="D3505">
        <v>5.2227949999999996</v>
      </c>
      <c r="E3505">
        <v>0.57312919999999901</v>
      </c>
      <c r="F3505" t="s">
        <v>41</v>
      </c>
      <c r="G3505">
        <v>-216.6695</v>
      </c>
      <c r="H3505">
        <v>0.95441969999999998</v>
      </c>
      <c r="I3505">
        <v>215.19550000000001</v>
      </c>
      <c r="J3505">
        <v>-217.19649999999999</v>
      </c>
      <c r="K3505">
        <v>1.107613</v>
      </c>
      <c r="L3505">
        <v>215.34950000000001</v>
      </c>
      <c r="M3505">
        <v>0.99886019999999998</v>
      </c>
      <c r="N3505">
        <v>-1.392672E-2</v>
      </c>
      <c r="O3505">
        <v>-4.5655040000000001E-2</v>
      </c>
      <c r="P3505">
        <v>0.93453509999999995</v>
      </c>
      <c r="Q3505">
        <v>0.35141739999999999</v>
      </c>
      <c r="R3505">
        <v>-5.612557E-2</v>
      </c>
      <c r="S3505">
        <v>3.3956300000000001</v>
      </c>
      <c r="T3505">
        <v>-0.59753690000000004</v>
      </c>
      <c r="U3505">
        <v>-0.67007450000000002</v>
      </c>
      <c r="V3505">
        <v>1.6212879999999999E-2</v>
      </c>
      <c r="W3505">
        <v>0.36430590000000002</v>
      </c>
      <c r="X3505">
        <v>0.93113820000000003</v>
      </c>
      <c r="Y3505">
        <v>0.1468274</v>
      </c>
      <c r="Z3505">
        <v>-6.4797669999999896E-3</v>
      </c>
      <c r="AA3505">
        <v>0.98914089999999999</v>
      </c>
      <c r="AB3505">
        <v>34</v>
      </c>
      <c r="AC3505">
        <v>0.52699999999998604</v>
      </c>
      <c r="AD3505">
        <v>-0.15319329999999901</v>
      </c>
      <c r="AE3505">
        <v>-0.153999999999996</v>
      </c>
      <c r="AF3505">
        <v>0.12040318338504299</v>
      </c>
      <c r="AG3505">
        <v>-0.15319329999999901</v>
      </c>
      <c r="AH3505">
        <v>0.49494901019271298</v>
      </c>
      <c r="AI3505">
        <v>106.738272166203</v>
      </c>
      <c r="AJ3505">
        <v>76.327580157825096</v>
      </c>
      <c r="AK3505">
        <v>0.53192070501615996</v>
      </c>
      <c r="AL3505">
        <v>68.635127078804999</v>
      </c>
      <c r="AM3505">
        <v>89.002472738163902</v>
      </c>
      <c r="AN3505">
        <v>0.99999999687597196</v>
      </c>
    </row>
    <row r="3506" spans="1:40" x14ac:dyDescent="0.25">
      <c r="A3506" t="str">
        <f>"20190304164440667"</f>
        <v>20190304164440667</v>
      </c>
      <c r="B3506" t="str">
        <f>"1551689080653464"</f>
        <v>1551689080653464</v>
      </c>
      <c r="C3506" t="s">
        <v>40</v>
      </c>
      <c r="D3506">
        <v>5.2147079999999999</v>
      </c>
      <c r="E3506">
        <v>0.57302580000000003</v>
      </c>
      <c r="F3506" t="s">
        <v>41</v>
      </c>
      <c r="G3506">
        <v>-216.36340000000001</v>
      </c>
      <c r="H3506">
        <v>0.95928559999999996</v>
      </c>
      <c r="I3506">
        <v>215.18299999999999</v>
      </c>
      <c r="J3506">
        <v>-216.85570000000001</v>
      </c>
      <c r="K3506">
        <v>1.1075200000000001</v>
      </c>
      <c r="L3506">
        <v>215.33029999999999</v>
      </c>
      <c r="M3506">
        <v>0.99868369999999995</v>
      </c>
      <c r="N3506">
        <v>-1.3930359999999999E-2</v>
      </c>
      <c r="O3506">
        <v>-4.936571E-2</v>
      </c>
      <c r="P3506">
        <v>0.93443050000000005</v>
      </c>
      <c r="Q3506">
        <v>0.35115210000000002</v>
      </c>
      <c r="R3506">
        <v>-5.9431480000000002E-2</v>
      </c>
      <c r="S3506">
        <v>3.3967900000000002</v>
      </c>
      <c r="T3506">
        <v>-0.60468599999999995</v>
      </c>
      <c r="U3506">
        <v>-0.6785736</v>
      </c>
      <c r="V3506">
        <v>1.612311E-2</v>
      </c>
      <c r="W3506">
        <v>0.36404350000000002</v>
      </c>
      <c r="X3506">
        <v>0.93124229999999997</v>
      </c>
      <c r="Y3506">
        <v>0.14550250000000001</v>
      </c>
      <c r="Z3506">
        <v>-5.8130859999999899E-3</v>
      </c>
      <c r="AA3506">
        <v>0.98934080000000002</v>
      </c>
      <c r="AB3506">
        <v>34</v>
      </c>
      <c r="AC3506">
        <v>0.49230000000000002</v>
      </c>
      <c r="AD3506">
        <v>-0.14823439999999999</v>
      </c>
      <c r="AE3506">
        <v>-0.14730000000000101</v>
      </c>
      <c r="AF3506">
        <v>0.11338034501267399</v>
      </c>
      <c r="AG3506">
        <v>-0.14823439999999999</v>
      </c>
      <c r="AH3506">
        <v>0.46063984046446299</v>
      </c>
      <c r="AI3506">
        <v>107.352713825693</v>
      </c>
      <c r="AJ3506">
        <v>76.172278265228698</v>
      </c>
      <c r="AK3506">
        <v>0.49700865445350101</v>
      </c>
      <c r="AL3506">
        <v>68.651268360627</v>
      </c>
      <c r="AM3506">
        <v>89.008105766012093</v>
      </c>
      <c r="AN3506">
        <v>0.99999992293880302</v>
      </c>
    </row>
    <row r="3507" spans="1:40" x14ac:dyDescent="0.25">
      <c r="A3507" t="str">
        <f>"20190304164440689"</f>
        <v>20190304164440689</v>
      </c>
      <c r="B3507" t="str">
        <f>"1551689080683720"</f>
        <v>1551689080683720</v>
      </c>
      <c r="C3507" t="s">
        <v>40</v>
      </c>
      <c r="D3507">
        <v>5.2172109999999998</v>
      </c>
      <c r="E3507">
        <v>0.57287330000000003</v>
      </c>
      <c r="F3507" t="s">
        <v>41</v>
      </c>
      <c r="G3507">
        <v>-216.0574</v>
      </c>
      <c r="H3507">
        <v>0.96435519999999997</v>
      </c>
      <c r="I3507">
        <v>215.16800000000001</v>
      </c>
      <c r="J3507">
        <v>-216.51570000000001</v>
      </c>
      <c r="K3507">
        <v>1.1074269999999999</v>
      </c>
      <c r="L3507">
        <v>215.3098</v>
      </c>
      <c r="M3507">
        <v>0.99848809999999999</v>
      </c>
      <c r="N3507">
        <v>-1.3934149999999999E-2</v>
      </c>
      <c r="O3507">
        <v>-5.3173869999999998E-2</v>
      </c>
      <c r="P3507">
        <v>0.93420420000000004</v>
      </c>
      <c r="Q3507">
        <v>0.35125610000000002</v>
      </c>
      <c r="R3507">
        <v>-6.2304810000000002E-2</v>
      </c>
      <c r="S3507">
        <v>3.3954469999999999</v>
      </c>
      <c r="T3507">
        <v>-0.60873730000000004</v>
      </c>
      <c r="U3507">
        <v>-0.6891022</v>
      </c>
      <c r="V3507">
        <v>1.551605E-2</v>
      </c>
      <c r="W3507">
        <v>0.36415229999999998</v>
      </c>
      <c r="X3507">
        <v>0.93121019999999999</v>
      </c>
      <c r="Y3507">
        <v>0.1447937</v>
      </c>
      <c r="Z3507">
        <v>-5.1579319999999996E-3</v>
      </c>
      <c r="AA3507">
        <v>0.98944840000000001</v>
      </c>
      <c r="AB3507">
        <v>34</v>
      </c>
      <c r="AC3507">
        <v>0.45830000000000798</v>
      </c>
      <c r="AD3507">
        <v>-0.143071799999999</v>
      </c>
      <c r="AE3507">
        <v>-0.14179999999998899</v>
      </c>
      <c r="AF3507">
        <v>0.107652618330157</v>
      </c>
      <c r="AG3507">
        <v>-0.143071799999999</v>
      </c>
      <c r="AH3507">
        <v>0.42719677151194202</v>
      </c>
      <c r="AI3507">
        <v>107.991499252221</v>
      </c>
      <c r="AJ3507">
        <v>75.856078597367599</v>
      </c>
      <c r="AK3507">
        <v>0.463201584387192</v>
      </c>
      <c r="AL3507">
        <v>68.644577807441493</v>
      </c>
      <c r="AM3507">
        <v>89.045412172341699</v>
      </c>
      <c r="AN3507">
        <v>1.00000004099346</v>
      </c>
    </row>
    <row r="3508" spans="1:40" x14ac:dyDescent="0.25">
      <c r="A3508" t="str">
        <f>"20190304164440711"</f>
        <v>20190304164440711</v>
      </c>
      <c r="B3508" t="str">
        <f>"1551689080703240"</f>
        <v>1551689080703240</v>
      </c>
      <c r="C3508" t="s">
        <v>40</v>
      </c>
      <c r="D3508">
        <v>5.2272970000000001</v>
      </c>
      <c r="E3508">
        <v>0.57268459999999999</v>
      </c>
      <c r="F3508" t="s">
        <v>41</v>
      </c>
      <c r="G3508">
        <v>-215.75149999999999</v>
      </c>
      <c r="H3508">
        <v>0.96960190000000002</v>
      </c>
      <c r="I3508">
        <v>215.15219999999999</v>
      </c>
      <c r="J3508">
        <v>-216.179</v>
      </c>
      <c r="K3508">
        <v>1.107345</v>
      </c>
      <c r="L3508">
        <v>215.28809999999999</v>
      </c>
      <c r="M3508">
        <v>0.99827489999999997</v>
      </c>
      <c r="N3508">
        <v>-1.3937679999999999E-2</v>
      </c>
      <c r="O3508">
        <v>-5.703619E-2</v>
      </c>
      <c r="P3508">
        <v>0.93374109999999999</v>
      </c>
      <c r="Q3508">
        <v>0.35194239999999999</v>
      </c>
      <c r="R3508">
        <v>-6.5302979999999997E-2</v>
      </c>
      <c r="S3508">
        <v>3.3948059999999902</v>
      </c>
      <c r="T3508">
        <v>-0.612224199999999</v>
      </c>
      <c r="U3508">
        <v>-0.69970699999999997</v>
      </c>
      <c r="V3508">
        <v>1.4993650000000001E-2</v>
      </c>
      <c r="W3508">
        <v>0.36484060000000001</v>
      </c>
      <c r="X3508">
        <v>0.93094929999999998</v>
      </c>
      <c r="Y3508">
        <v>0.1440168</v>
      </c>
      <c r="Z3508">
        <v>-4.475003E-3</v>
      </c>
      <c r="AA3508">
        <v>0.98956509999999998</v>
      </c>
      <c r="AB3508">
        <v>34</v>
      </c>
      <c r="AC3508">
        <v>0.42750000000000898</v>
      </c>
      <c r="AD3508">
        <v>-0.13774310000000001</v>
      </c>
      <c r="AE3508">
        <v>-0.135899999999992</v>
      </c>
      <c r="AF3508">
        <v>0.101703904466274</v>
      </c>
      <c r="AG3508">
        <v>-0.13774310000000001</v>
      </c>
      <c r="AH3508">
        <v>0.39711283333005198</v>
      </c>
      <c r="AI3508">
        <v>108.573196303215</v>
      </c>
      <c r="AJ3508">
        <v>75.634838522684504</v>
      </c>
      <c r="AK3508">
        <v>0.43245282768958399</v>
      </c>
      <c r="AL3508">
        <v>68.602227522538598</v>
      </c>
      <c r="AM3508">
        <v>89.077287456862095</v>
      </c>
      <c r="AN3508">
        <v>1.00000003605958</v>
      </c>
    </row>
    <row r="3509" spans="1:40" x14ac:dyDescent="0.25">
      <c r="A3509" t="str">
        <f>"20190304164440733"</f>
        <v>20190304164440733</v>
      </c>
      <c r="B3509" t="str">
        <f>"1551689080723736"</f>
        <v>1551689080723736</v>
      </c>
      <c r="C3509" t="s">
        <v>40</v>
      </c>
      <c r="D3509">
        <v>5.2053529999999997</v>
      </c>
      <c r="E3509">
        <v>0.57255800000000001</v>
      </c>
      <c r="F3509" t="s">
        <v>41</v>
      </c>
      <c r="G3509">
        <v>-215.44589999999999</v>
      </c>
      <c r="H3509">
        <v>0.97480739999999999</v>
      </c>
      <c r="I3509">
        <v>215.1345</v>
      </c>
      <c r="J3509">
        <v>-215.84559999999999</v>
      </c>
      <c r="K3509">
        <v>1.107278</v>
      </c>
      <c r="L3509">
        <v>215.26519999999999</v>
      </c>
      <c r="M3509">
        <v>0.99804459999999995</v>
      </c>
      <c r="N3509">
        <v>-1.3940599999999999E-2</v>
      </c>
      <c r="O3509">
        <v>-6.093312E-2</v>
      </c>
      <c r="P3509">
        <v>0.93296579999999996</v>
      </c>
      <c r="Q3509">
        <v>0.3532151</v>
      </c>
      <c r="R3509">
        <v>-6.9381059999999994E-2</v>
      </c>
      <c r="S3509">
        <v>3.394485</v>
      </c>
      <c r="T3509">
        <v>-0.61356959999999905</v>
      </c>
      <c r="U3509">
        <v>-0.7098236</v>
      </c>
      <c r="V3509">
        <v>1.553132E-2</v>
      </c>
      <c r="W3509">
        <v>0.3661025</v>
      </c>
      <c r="X3509">
        <v>0.93044499999999997</v>
      </c>
      <c r="Y3509">
        <v>0.14306179999999999</v>
      </c>
      <c r="Z3509">
        <v>-3.754575E-3</v>
      </c>
      <c r="AA3509">
        <v>0.98970659999999999</v>
      </c>
      <c r="AB3509">
        <v>34</v>
      </c>
      <c r="AC3509">
        <v>0.399699999999995</v>
      </c>
      <c r="AD3509">
        <v>-0.13247059999999899</v>
      </c>
      <c r="AE3509">
        <v>-0.13069999999998999</v>
      </c>
      <c r="AF3509">
        <v>9.6521708827541103E-2</v>
      </c>
      <c r="AG3509">
        <v>-0.13247059999999899</v>
      </c>
      <c r="AH3509">
        <v>0.37018741261466098</v>
      </c>
      <c r="AI3509">
        <v>109.099459929467</v>
      </c>
      <c r="AJ3509">
        <v>75.386215477921198</v>
      </c>
      <c r="AK3509">
        <v>0.40485012115310798</v>
      </c>
      <c r="AL3509">
        <v>68.524553613756495</v>
      </c>
      <c r="AM3509">
        <v>89.043687214546395</v>
      </c>
      <c r="AN3509">
        <v>1.00000008021609</v>
      </c>
    </row>
    <row r="3510" spans="1:40" x14ac:dyDescent="0.25">
      <c r="A3510" t="str">
        <f>"20190304164440756"</f>
        <v>20190304164440756</v>
      </c>
      <c r="B3510" t="str">
        <f>"1551689080743256"</f>
        <v>1551689080743256</v>
      </c>
      <c r="C3510" t="s">
        <v>40</v>
      </c>
      <c r="D3510">
        <v>5.1965219999999999</v>
      </c>
      <c r="E3510">
        <v>0.57247569999999903</v>
      </c>
      <c r="F3510" t="s">
        <v>41</v>
      </c>
      <c r="G3510">
        <v>-215.14060000000001</v>
      </c>
      <c r="H3510">
        <v>0.9799525</v>
      </c>
      <c r="I3510">
        <v>215.11529999999999</v>
      </c>
      <c r="J3510">
        <v>-215.50550000000001</v>
      </c>
      <c r="K3510">
        <v>1.1072219999999999</v>
      </c>
      <c r="L3510">
        <v>215.24039999999999</v>
      </c>
      <c r="M3510">
        <v>0.99778990000000001</v>
      </c>
      <c r="N3510">
        <v>-1.3942939999999999E-2</v>
      </c>
      <c r="O3510">
        <v>-6.4970109999999998E-2</v>
      </c>
      <c r="P3510">
        <v>0.93236649999999999</v>
      </c>
      <c r="Q3510">
        <v>0.353925299999999</v>
      </c>
      <c r="R3510">
        <v>-7.3688020000000007E-2</v>
      </c>
      <c r="S3510">
        <v>3.3939360000000001</v>
      </c>
      <c r="T3510">
        <v>-0.61295369999999905</v>
      </c>
      <c r="U3510">
        <v>-0.72134399999999999</v>
      </c>
      <c r="V3510">
        <v>1.6141249999999999E-2</v>
      </c>
      <c r="W3510">
        <v>0.3668035</v>
      </c>
      <c r="X3510">
        <v>0.93015840000000005</v>
      </c>
      <c r="Y3510">
        <v>0.14237569999999999</v>
      </c>
      <c r="Z3510">
        <v>-3.0308399999999999E-3</v>
      </c>
      <c r="AA3510">
        <v>0.98980800000000002</v>
      </c>
      <c r="AB3510">
        <v>34</v>
      </c>
      <c r="AC3510">
        <v>0.364900000000005</v>
      </c>
      <c r="AD3510">
        <v>-0.12726949999999901</v>
      </c>
      <c r="AE3510">
        <v>-0.12510000000000299</v>
      </c>
      <c r="AF3510">
        <v>9.11985229860163E-2</v>
      </c>
      <c r="AG3510">
        <v>-0.12726949999999901</v>
      </c>
      <c r="AH3510">
        <v>0.33571401246884702</v>
      </c>
      <c r="AI3510">
        <v>110.094654120135</v>
      </c>
      <c r="AJ3510">
        <v>74.802059111092802</v>
      </c>
      <c r="AK3510">
        <v>0.370430282769935</v>
      </c>
      <c r="AL3510">
        <v>68.481384566086703</v>
      </c>
      <c r="AM3510">
        <v>89.005833108050197</v>
      </c>
      <c r="AN3510">
        <v>0.999999998327186</v>
      </c>
    </row>
    <row r="3511" spans="1:40" x14ac:dyDescent="0.25">
      <c r="A3511" t="str">
        <f>"20190304164440779"</f>
        <v>20190304164440779</v>
      </c>
      <c r="B3511" t="str">
        <f>"1551689080773512"</f>
        <v>1551689080773512</v>
      </c>
      <c r="C3511" t="s">
        <v>40</v>
      </c>
      <c r="D3511">
        <v>5.1489250000000002</v>
      </c>
      <c r="E3511">
        <v>0.57235009999999997</v>
      </c>
      <c r="F3511" t="s">
        <v>41</v>
      </c>
      <c r="G3511">
        <v>-214.55889999999999</v>
      </c>
      <c r="H3511">
        <v>0.93590949999999995</v>
      </c>
      <c r="I3511">
        <v>215.03530000000001</v>
      </c>
      <c r="J3511">
        <v>-215.15989999999999</v>
      </c>
      <c r="K3511">
        <v>1.1071820000000001</v>
      </c>
      <c r="L3511">
        <v>215.21369999999999</v>
      </c>
      <c r="M3511">
        <v>0.99751140000000005</v>
      </c>
      <c r="N3511">
        <v>-1.3944689999999999E-2</v>
      </c>
      <c r="O3511">
        <v>-6.9114120000000001E-2</v>
      </c>
      <c r="P3511">
        <v>0.93194080000000001</v>
      </c>
      <c r="Q3511">
        <v>0.35412650000000001</v>
      </c>
      <c r="R3511">
        <v>-7.7981339999999996E-2</v>
      </c>
      <c r="S3511">
        <v>3.3925930000000002</v>
      </c>
      <c r="T3511">
        <v>-0.61388669999999901</v>
      </c>
      <c r="U3511">
        <v>-0.73466489999999995</v>
      </c>
      <c r="V3511">
        <v>1.6610449999999999E-2</v>
      </c>
      <c r="W3511">
        <v>0.36699999999999999</v>
      </c>
      <c r="X3511">
        <v>0.93007269999999997</v>
      </c>
      <c r="Y3511">
        <v>0.14211550000000001</v>
      </c>
      <c r="Z3511">
        <v>-2.3336189999999999E-3</v>
      </c>
      <c r="AA3511">
        <v>0.98984740000000004</v>
      </c>
      <c r="AB3511">
        <v>34</v>
      </c>
      <c r="AC3511">
        <v>0.60099999999999898</v>
      </c>
      <c r="AD3511">
        <v>-0.17127249999999899</v>
      </c>
      <c r="AE3511">
        <v>-0.17839999999998199</v>
      </c>
      <c r="AF3511">
        <v>0.12695611678760499</v>
      </c>
      <c r="AG3511">
        <v>-0.17127249999999899</v>
      </c>
      <c r="AH3511">
        <v>0.56939592489583502</v>
      </c>
      <c r="AI3511">
        <v>106.361587764227</v>
      </c>
      <c r="AJ3511">
        <v>77.4305710587183</v>
      </c>
      <c r="AK3511">
        <v>0.60799987182072801</v>
      </c>
      <c r="AL3511">
        <v>68.469283458028201</v>
      </c>
      <c r="AM3511">
        <v>88.976846093657201</v>
      </c>
      <c r="AN3511">
        <v>1.00000006716724</v>
      </c>
    </row>
    <row r="3512" spans="1:40" x14ac:dyDescent="0.25">
      <c r="A3512" t="str">
        <f>"20190304164440800"</f>
        <v>20190304164440800</v>
      </c>
      <c r="B3512" t="str">
        <f>"1551689080794008"</f>
        <v>1551689080794008</v>
      </c>
      <c r="C3512" t="s">
        <v>40</v>
      </c>
      <c r="D3512">
        <v>5.1615890000000002</v>
      </c>
      <c r="E3512">
        <v>0.57232430000000001</v>
      </c>
      <c r="F3512" t="s">
        <v>41</v>
      </c>
      <c r="G3512">
        <v>-214.2543</v>
      </c>
      <c r="H3512">
        <v>0.94226710000000002</v>
      </c>
      <c r="I3512">
        <v>215.01339999999999</v>
      </c>
      <c r="J3512">
        <v>-214.82679999999999</v>
      </c>
      <c r="K3512">
        <v>1.107148</v>
      </c>
      <c r="L3512">
        <v>215.1866</v>
      </c>
      <c r="M3512">
        <v>0.99722469999999996</v>
      </c>
      <c r="N3512">
        <v>-1.3945849999999999E-2</v>
      </c>
      <c r="O3512">
        <v>-7.3132470000000005E-2</v>
      </c>
      <c r="P3512">
        <v>0.93174999999999997</v>
      </c>
      <c r="Q3512">
        <v>0.35350429999999999</v>
      </c>
      <c r="R3512">
        <v>-8.2925670000000007E-2</v>
      </c>
      <c r="S3512">
        <v>3.3909449999999999</v>
      </c>
      <c r="T3512">
        <v>-0.61734750000000005</v>
      </c>
      <c r="U3512">
        <v>-0.74940490000000004</v>
      </c>
      <c r="V3512">
        <v>1.7810090000000001E-2</v>
      </c>
      <c r="W3512">
        <v>0.36636999999999997</v>
      </c>
      <c r="X3512">
        <v>0.93029879999999998</v>
      </c>
      <c r="Y3512">
        <v>0.14236879999999999</v>
      </c>
      <c r="Z3512">
        <v>-1.703045E-3</v>
      </c>
      <c r="AA3512">
        <v>0.98981220000000003</v>
      </c>
      <c r="AB3512">
        <v>34</v>
      </c>
      <c r="AC3512">
        <v>0.57249999999999002</v>
      </c>
      <c r="AD3512">
        <v>-0.1648809</v>
      </c>
      <c r="AE3512">
        <v>-0.17320000000000799</v>
      </c>
      <c r="AF3512">
        <v>0.121621693991967</v>
      </c>
      <c r="AG3512">
        <v>-0.1648809</v>
      </c>
      <c r="AH3512">
        <v>0.54241632070896395</v>
      </c>
      <c r="AI3512">
        <v>106.520890090599</v>
      </c>
      <c r="AJ3512">
        <v>77.362049574676803</v>
      </c>
      <c r="AK3512">
        <v>0.57982153513450596</v>
      </c>
      <c r="AL3512">
        <v>68.508081188865702</v>
      </c>
      <c r="AM3512">
        <v>88.903235875170395</v>
      </c>
      <c r="AN3512">
        <v>1.00000001674362</v>
      </c>
    </row>
    <row r="3513" spans="1:40" x14ac:dyDescent="0.25">
      <c r="A3513" t="str">
        <f>"20190304164440823"</f>
        <v>20190304164440823</v>
      </c>
      <c r="B3513" t="str">
        <f>"1551689080813528"</f>
        <v>1551689080813528</v>
      </c>
      <c r="C3513" t="s">
        <v>40</v>
      </c>
      <c r="D3513">
        <v>5.1379650000000003</v>
      </c>
      <c r="E3513">
        <v>0.5722486</v>
      </c>
      <c r="F3513" t="s">
        <v>41</v>
      </c>
      <c r="G3513">
        <v>-213.95079999999999</v>
      </c>
      <c r="H3513">
        <v>0.94710419999999995</v>
      </c>
      <c r="I3513">
        <v>214.9881</v>
      </c>
      <c r="J3513">
        <v>-214.4923</v>
      </c>
      <c r="K3513">
        <v>1.1071249999999999</v>
      </c>
      <c r="L3513">
        <v>215.15809999999999</v>
      </c>
      <c r="M3513">
        <v>0.99691980000000002</v>
      </c>
      <c r="N3513">
        <v>-1.394659E-2</v>
      </c>
      <c r="O3513">
        <v>-7.7180230000000002E-2</v>
      </c>
      <c r="P3513">
        <v>0.93169020000000002</v>
      </c>
      <c r="Q3513">
        <v>0.35243869999999999</v>
      </c>
      <c r="R3513">
        <v>-8.7981009999999998E-2</v>
      </c>
      <c r="S3513">
        <v>3.3861690000000002</v>
      </c>
      <c r="T3513">
        <v>-0.61858519999999995</v>
      </c>
      <c r="U3513">
        <v>-0.76708980000000004</v>
      </c>
      <c r="V3513">
        <v>1.9067509999999999E-2</v>
      </c>
      <c r="W3513">
        <v>0.36529869999999998</v>
      </c>
      <c r="X3513">
        <v>0.9306951</v>
      </c>
      <c r="Y3513">
        <v>0.1435949</v>
      </c>
      <c r="Z3513">
        <v>-1.1572290000000001E-3</v>
      </c>
      <c r="AA3513">
        <v>0.98963590000000001</v>
      </c>
      <c r="AB3513">
        <v>34</v>
      </c>
      <c r="AC3513">
        <v>0.54150000000001297</v>
      </c>
      <c r="AD3513">
        <v>-0.16002079999999899</v>
      </c>
      <c r="AE3513">
        <v>-0.16999999999998699</v>
      </c>
      <c r="AF3513">
        <v>0.118292194413045</v>
      </c>
      <c r="AG3513">
        <v>-0.16002079999999899</v>
      </c>
      <c r="AH3513">
        <v>0.512283158332413</v>
      </c>
      <c r="AI3513">
        <v>106.928098916913</v>
      </c>
      <c r="AJ3513">
        <v>76.997631230279694</v>
      </c>
      <c r="AK3513">
        <v>0.54957595835582695</v>
      </c>
      <c r="AL3513">
        <v>68.574034527434407</v>
      </c>
      <c r="AM3513">
        <v>88.826323426178803</v>
      </c>
      <c r="AN3513">
        <v>1.00000003966164</v>
      </c>
    </row>
    <row r="3514" spans="1:40" x14ac:dyDescent="0.25">
      <c r="A3514" t="str">
        <f>"20190304164440845"</f>
        <v>20190304164440845</v>
      </c>
      <c r="B3514" t="str">
        <f>"1551689080834024"</f>
        <v>1551689080834024</v>
      </c>
      <c r="C3514" t="s">
        <v>40</v>
      </c>
      <c r="D3514">
        <v>5.102125</v>
      </c>
      <c r="E3514">
        <v>0.57215780000000005</v>
      </c>
      <c r="F3514" t="s">
        <v>41</v>
      </c>
      <c r="G3514">
        <v>-213.6481</v>
      </c>
      <c r="H3514">
        <v>0.95078720000000005</v>
      </c>
      <c r="I3514">
        <v>214.9622</v>
      </c>
      <c r="J3514">
        <v>-214.154</v>
      </c>
      <c r="K3514">
        <v>1.107111</v>
      </c>
      <c r="L3514">
        <v>215.12780000000001</v>
      </c>
      <c r="M3514">
        <v>0.99659390000000003</v>
      </c>
      <c r="N3514">
        <v>-1.3947009999999999E-2</v>
      </c>
      <c r="O3514">
        <v>-8.1278470000000005E-2</v>
      </c>
      <c r="P3514">
        <v>0.93149230000000005</v>
      </c>
      <c r="Q3514">
        <v>0.35154269999999999</v>
      </c>
      <c r="R3514">
        <v>-9.3489680000000006E-2</v>
      </c>
      <c r="S3514">
        <v>3.3828580000000001</v>
      </c>
      <c r="T3514">
        <v>-0.62641230000000003</v>
      </c>
      <c r="U3514">
        <v>-0.78408809999999995</v>
      </c>
      <c r="V3514">
        <v>2.0732E-2</v>
      </c>
      <c r="W3514">
        <v>0.36439169999999999</v>
      </c>
      <c r="X3514">
        <v>0.93101500000000004</v>
      </c>
      <c r="Y3514">
        <v>0.1444694</v>
      </c>
      <c r="Z3514">
        <v>-5.5018720000000001E-4</v>
      </c>
      <c r="AA3514">
        <v>0.98950910000000003</v>
      </c>
      <c r="AB3514">
        <v>34</v>
      </c>
      <c r="AC3514">
        <v>0.505900000000025</v>
      </c>
      <c r="AD3514">
        <v>-0.15632379999999901</v>
      </c>
      <c r="AE3514">
        <v>-0.16560000000001099</v>
      </c>
      <c r="AF3514">
        <v>0.114089970285863</v>
      </c>
      <c r="AG3514">
        <v>-0.15632379999999901</v>
      </c>
      <c r="AH3514">
        <v>0.47658560831767799</v>
      </c>
      <c r="AI3514">
        <v>107.692407712899</v>
      </c>
      <c r="AJ3514">
        <v>76.537302122995598</v>
      </c>
      <c r="AK3514">
        <v>0.51438068958875305</v>
      </c>
      <c r="AL3514">
        <v>68.629848957414396</v>
      </c>
      <c r="AM3514">
        <v>88.724338686295297</v>
      </c>
      <c r="AN3514">
        <v>1.0000000285389401</v>
      </c>
    </row>
    <row r="3515" spans="1:40" x14ac:dyDescent="0.25">
      <c r="A3515" t="str">
        <f>"20190304164440868"</f>
        <v>20190304164440868</v>
      </c>
      <c r="B3515" t="str">
        <f>"1551689080863304"</f>
        <v>1551689080863304</v>
      </c>
      <c r="C3515" t="s">
        <v>40</v>
      </c>
      <c r="D3515">
        <v>5.1164949999999996</v>
      </c>
      <c r="E3515">
        <v>0.57048209999999999</v>
      </c>
      <c r="F3515" t="s">
        <v>41</v>
      </c>
      <c r="G3515">
        <v>-213.34530000000001</v>
      </c>
      <c r="H3515">
        <v>0.95521769999999995</v>
      </c>
      <c r="I3515">
        <v>214.9358</v>
      </c>
      <c r="J3515">
        <v>-213.8126</v>
      </c>
      <c r="K3515">
        <v>1.1070960000000001</v>
      </c>
      <c r="L3515">
        <v>215.0958</v>
      </c>
      <c r="M3515">
        <v>0.99624780000000002</v>
      </c>
      <c r="N3515">
        <v>-1.3947090000000001E-2</v>
      </c>
      <c r="O3515">
        <v>-8.5415550000000007E-2</v>
      </c>
      <c r="P3515">
        <v>0.93127950000000004</v>
      </c>
      <c r="Q3515">
        <v>0.35044940000000002</v>
      </c>
      <c r="R3515">
        <v>-9.9519179999999999E-2</v>
      </c>
      <c r="S3515">
        <v>3.379715</v>
      </c>
      <c r="T3515">
        <v>-0.63472830000000002</v>
      </c>
      <c r="U3515">
        <v>-0.80207819999999996</v>
      </c>
      <c r="V3515">
        <v>2.287053E-2</v>
      </c>
      <c r="W3515">
        <v>0.363284</v>
      </c>
      <c r="X3515">
        <v>0.9313977</v>
      </c>
      <c r="Y3515">
        <v>0.1455632</v>
      </c>
      <c r="Z3515" s="1">
        <v>5.9461220000000001E-5</v>
      </c>
      <c r="AA3515">
        <v>0.98934889999999998</v>
      </c>
      <c r="AB3515">
        <v>34</v>
      </c>
      <c r="AC3515">
        <v>0.467299999999994</v>
      </c>
      <c r="AD3515">
        <v>-0.15187829999999899</v>
      </c>
      <c r="AE3515">
        <v>-0.15999999999999601</v>
      </c>
      <c r="AF3515">
        <v>0.109174279789592</v>
      </c>
      <c r="AG3515">
        <v>-0.15187829999999899</v>
      </c>
      <c r="AH3515">
        <v>0.43786048690856999</v>
      </c>
      <c r="AI3515">
        <v>108.601206292662</v>
      </c>
      <c r="AJ3515">
        <v>75.999581251023798</v>
      </c>
      <c r="AK3515">
        <v>0.476138474998898</v>
      </c>
      <c r="AL3515">
        <v>68.697984789144698</v>
      </c>
      <c r="AM3515">
        <v>88.593381137355806</v>
      </c>
      <c r="AN3515">
        <v>1.0000000006818801</v>
      </c>
    </row>
    <row r="3516" spans="1:40" x14ac:dyDescent="0.25">
      <c r="A3516" t="str">
        <f>"20190304164440901"</f>
        <v>20190304164440901</v>
      </c>
      <c r="B3516" t="str">
        <f>"1551689080893560"</f>
        <v>1551689080893560</v>
      </c>
      <c r="C3516" t="s">
        <v>40</v>
      </c>
      <c r="D3516">
        <v>5.0888730000000004</v>
      </c>
      <c r="E3516">
        <v>0.57015780000000005</v>
      </c>
      <c r="F3516" t="s">
        <v>41</v>
      </c>
      <c r="G3516">
        <v>-213.04839999999999</v>
      </c>
      <c r="H3516">
        <v>0.94749589999999995</v>
      </c>
      <c r="I3516">
        <v>214.9145</v>
      </c>
      <c r="J3516">
        <v>-213.31700000000001</v>
      </c>
      <c r="K3516">
        <v>1.1070869999999999</v>
      </c>
      <c r="L3516">
        <v>215.04679999999999</v>
      </c>
      <c r="M3516">
        <v>0.99571449999999995</v>
      </c>
      <c r="N3516">
        <v>-1.394696E-2</v>
      </c>
      <c r="O3516">
        <v>-9.1423920000000006E-2</v>
      </c>
      <c r="P3516">
        <v>0.93073229999999996</v>
      </c>
      <c r="Q3516">
        <v>0.34949000000000002</v>
      </c>
      <c r="R3516">
        <v>-0.1076778</v>
      </c>
      <c r="S3516">
        <v>3.4025270000000001</v>
      </c>
      <c r="T3516">
        <v>-0.71032109999999904</v>
      </c>
      <c r="U3516">
        <v>-0.80618290000000004</v>
      </c>
      <c r="V3516">
        <v>2.539684E-2</v>
      </c>
      <c r="W3516">
        <v>0.3623055</v>
      </c>
      <c r="X3516">
        <v>0.93171329999999997</v>
      </c>
      <c r="Y3516">
        <v>0.13920070000000001</v>
      </c>
      <c r="Z3516">
        <v>2.133968E-3</v>
      </c>
      <c r="AA3516">
        <v>0.99026190000000003</v>
      </c>
      <c r="AB3516">
        <v>34</v>
      </c>
      <c r="AC3516">
        <v>0.26860000000001999</v>
      </c>
      <c r="AD3516">
        <v>-0.15959110000000001</v>
      </c>
      <c r="AE3516">
        <v>-0.13229999999998601</v>
      </c>
      <c r="AF3516">
        <v>8.3472476989025698E-2</v>
      </c>
      <c r="AG3516">
        <v>-0.15959110000000001</v>
      </c>
      <c r="AH3516">
        <v>0.21771788853419899</v>
      </c>
      <c r="AI3516">
        <v>124.38921789730099</v>
      </c>
      <c r="AJ3516">
        <v>69.023305133917802</v>
      </c>
      <c r="AK3516">
        <v>0.28255628218406897</v>
      </c>
      <c r="AL3516">
        <v>68.758147073719599</v>
      </c>
      <c r="AM3516">
        <v>88.438606046545999</v>
      </c>
      <c r="AN3516">
        <v>0.99999997410456198</v>
      </c>
    </row>
    <row r="3517" spans="1:40" x14ac:dyDescent="0.25">
      <c r="A3517" t="str">
        <f>"20190304164440922"</f>
        <v>20190304164440922</v>
      </c>
      <c r="B3517" t="str">
        <f>"1551689080914057"</f>
        <v>1551689080914057</v>
      </c>
      <c r="C3517" t="s">
        <v>40</v>
      </c>
      <c r="D3517">
        <v>5.1003889999999998</v>
      </c>
      <c r="E3517">
        <v>0.57021829999999996</v>
      </c>
      <c r="F3517" t="s">
        <v>41</v>
      </c>
      <c r="G3517">
        <v>-212.46029999999999</v>
      </c>
      <c r="H3517">
        <v>0.92558149999999995</v>
      </c>
      <c r="I3517">
        <v>214.83709999999999</v>
      </c>
      <c r="J3517">
        <v>-212.9864</v>
      </c>
      <c r="K3517">
        <v>1.1070709999999999</v>
      </c>
      <c r="L3517">
        <v>215.01240000000001</v>
      </c>
      <c r="M3517">
        <v>0.99533720000000003</v>
      </c>
      <c r="N3517">
        <v>-1.394687E-2</v>
      </c>
      <c r="O3517">
        <v>-9.5442089999999993E-2</v>
      </c>
      <c r="P3517">
        <v>0.93021710000000002</v>
      </c>
      <c r="Q3517">
        <v>0.34887639999999998</v>
      </c>
      <c r="R3517">
        <v>-0.11393739999999999</v>
      </c>
      <c r="S3517">
        <v>3.397354</v>
      </c>
      <c r="T3517">
        <v>-0.71956969999999898</v>
      </c>
      <c r="U3517">
        <v>-0.83071899999999999</v>
      </c>
      <c r="V3517">
        <v>2.7897539999999998E-2</v>
      </c>
      <c r="W3517">
        <v>0.36167120000000003</v>
      </c>
      <c r="X3517">
        <v>0.93188820000000006</v>
      </c>
      <c r="Y3517">
        <v>0.14227409999999999</v>
      </c>
      <c r="Z3517">
        <v>2.6193409999999999E-3</v>
      </c>
      <c r="AA3517">
        <v>0.98982380000000003</v>
      </c>
      <c r="AB3517">
        <v>34</v>
      </c>
      <c r="AC3517">
        <v>0.526100000000013</v>
      </c>
      <c r="AD3517">
        <v>-0.181489499999999</v>
      </c>
      <c r="AE3517">
        <v>-0.17530000000002099</v>
      </c>
      <c r="AF3517">
        <v>0.11225830788593499</v>
      </c>
      <c r="AG3517">
        <v>-0.181489499999999</v>
      </c>
      <c r="AH3517">
        <v>0.48814396913093999</v>
      </c>
      <c r="AI3517">
        <v>109.91733442014799</v>
      </c>
      <c r="AJ3517">
        <v>77.048885924887301</v>
      </c>
      <c r="AK3517">
        <v>0.53275219464453705</v>
      </c>
      <c r="AL3517">
        <v>68.797133749980603</v>
      </c>
      <c r="AM3517">
        <v>88.285272783282394</v>
      </c>
      <c r="AN3517">
        <v>0.999999973473365</v>
      </c>
    </row>
    <row r="3518" spans="1:40" x14ac:dyDescent="0.25">
      <c r="A3518" t="str">
        <f>"20190304164440946"</f>
        <v>20190304164440946</v>
      </c>
      <c r="B3518" t="str">
        <f>"1551689080933577"</f>
        <v>1551689080933577</v>
      </c>
      <c r="C3518" t="s">
        <v>40</v>
      </c>
      <c r="D3518">
        <v>4.9869879999999904</v>
      </c>
      <c r="E3518">
        <v>0.57006689999999904</v>
      </c>
      <c r="F3518" t="s">
        <v>41</v>
      </c>
      <c r="G3518">
        <v>-212.15870000000001</v>
      </c>
      <c r="H3518">
        <v>0.93078349999999999</v>
      </c>
      <c r="I3518">
        <v>214.80510000000001</v>
      </c>
      <c r="J3518">
        <v>-212.6482</v>
      </c>
      <c r="K3518">
        <v>1.107062</v>
      </c>
      <c r="L3518">
        <v>214.9759</v>
      </c>
      <c r="M3518">
        <v>0.99493319999999996</v>
      </c>
      <c r="N3518">
        <v>-1.394683E-2</v>
      </c>
      <c r="O3518">
        <v>-9.9568439999999994E-2</v>
      </c>
      <c r="P3518">
        <v>0.92970129999999995</v>
      </c>
      <c r="Q3518">
        <v>0.34813090000000002</v>
      </c>
      <c r="R3518">
        <v>-0.120253399999999</v>
      </c>
      <c r="S3518">
        <v>3.3919220000000001</v>
      </c>
      <c r="T3518">
        <v>-0.72231919999999905</v>
      </c>
      <c r="U3518">
        <v>-0.84924319999999898</v>
      </c>
      <c r="V3518">
        <v>3.035121E-2</v>
      </c>
      <c r="W3518">
        <v>0.36090549999999999</v>
      </c>
      <c r="X3518">
        <v>0.9321083</v>
      </c>
      <c r="Y3518">
        <v>0.14366289999999901</v>
      </c>
      <c r="Z3518">
        <v>3.2784810000000002E-3</v>
      </c>
      <c r="AA3518">
        <v>0.98962119999999998</v>
      </c>
      <c r="AB3518">
        <v>34</v>
      </c>
      <c r="AC3518">
        <v>0.489499999999992</v>
      </c>
      <c r="AD3518">
        <v>-0.1762785</v>
      </c>
      <c r="AE3518">
        <v>-0.17079999999998499</v>
      </c>
      <c r="AF3518">
        <v>0.108646885339112</v>
      </c>
      <c r="AG3518">
        <v>-0.1762785</v>
      </c>
      <c r="AH3518">
        <v>0.45183782943453399</v>
      </c>
      <c r="AI3518">
        <v>110.772973081675</v>
      </c>
      <c r="AJ3518">
        <v>76.479593131763195</v>
      </c>
      <c r="AK3518">
        <v>0.49702683968197497</v>
      </c>
      <c r="AL3518">
        <v>68.844182144481593</v>
      </c>
      <c r="AM3518">
        <v>88.134999955468402</v>
      </c>
      <c r="AN3518">
        <v>0.999999929403799</v>
      </c>
    </row>
    <row r="3519" spans="1:40" x14ac:dyDescent="0.25">
      <c r="A3519" t="str">
        <f>"20190304164440968"</f>
        <v>20190304164440968</v>
      </c>
      <c r="B3519" t="str">
        <f>"1551689080963832"</f>
        <v>1551689080963832</v>
      </c>
      <c r="C3519" t="s">
        <v>40</v>
      </c>
      <c r="D3519">
        <v>5.088025</v>
      </c>
      <c r="E3519">
        <v>0.57109829999999995</v>
      </c>
      <c r="F3519" t="s">
        <v>41</v>
      </c>
      <c r="G3519">
        <v>-211.85589999999999</v>
      </c>
      <c r="H3519">
        <v>0.93916270000000002</v>
      </c>
      <c r="I3519">
        <v>214.7731</v>
      </c>
      <c r="J3519">
        <v>-212.3115</v>
      </c>
      <c r="K3519">
        <v>1.1070519999999999</v>
      </c>
      <c r="L3519">
        <v>214.93799999999999</v>
      </c>
      <c r="M3519">
        <v>0.99451049999999996</v>
      </c>
      <c r="N3519">
        <v>-1.3946989999999999E-2</v>
      </c>
      <c r="O3519">
        <v>-0.1037034</v>
      </c>
      <c r="P3519">
        <v>0.92955650000000001</v>
      </c>
      <c r="Q3519">
        <v>0.34674100000000002</v>
      </c>
      <c r="R3519">
        <v>-0.12528239999999999</v>
      </c>
      <c r="S3519">
        <v>3.3833310000000001</v>
      </c>
      <c r="T3519">
        <v>-0.71685209999999999</v>
      </c>
      <c r="U3519">
        <v>-0.86538700000000002</v>
      </c>
      <c r="V3519">
        <v>3.1474589999999997E-2</v>
      </c>
      <c r="W3519">
        <v>0.35951149999999998</v>
      </c>
      <c r="X3519">
        <v>0.93260969999999999</v>
      </c>
      <c r="Y3519">
        <v>0.14464540000000001</v>
      </c>
      <c r="Z3519">
        <v>3.924973E-3</v>
      </c>
      <c r="AA3519">
        <v>0.98947580000000002</v>
      </c>
      <c r="AB3519">
        <v>34</v>
      </c>
      <c r="AC3519">
        <v>0.455600000000003</v>
      </c>
      <c r="AD3519">
        <v>-0.16788929999999999</v>
      </c>
      <c r="AE3519">
        <v>-0.164899999999988</v>
      </c>
      <c r="AF3519">
        <v>0.10424295632569899</v>
      </c>
      <c r="AG3519">
        <v>-0.16788929999999999</v>
      </c>
      <c r="AH3519">
        <v>0.41983767463039101</v>
      </c>
      <c r="AI3519">
        <v>111.21156022712</v>
      </c>
      <c r="AJ3519">
        <v>76.055818381159199</v>
      </c>
      <c r="AK3519">
        <v>0.464022719311313</v>
      </c>
      <c r="AL3519">
        <v>68.929801628073605</v>
      </c>
      <c r="AM3519">
        <v>88.0670617454563</v>
      </c>
      <c r="AN3519">
        <v>1.0000000104910001</v>
      </c>
    </row>
    <row r="3520" spans="1:40" x14ac:dyDescent="0.25">
      <c r="A3520" t="str">
        <f>"20190304164440990"</f>
        <v>20190304164440990</v>
      </c>
      <c r="B3520" t="str">
        <f>"1551689080983352"</f>
        <v>1551689080983352</v>
      </c>
      <c r="C3520" t="s">
        <v>40</v>
      </c>
      <c r="D3520">
        <v>5.098363</v>
      </c>
      <c r="E3520">
        <v>0.57107439999999998</v>
      </c>
      <c r="F3520" t="s">
        <v>41</v>
      </c>
      <c r="G3520">
        <v>-211.5523</v>
      </c>
      <c r="H3520">
        <v>0.95020230000000006</v>
      </c>
      <c r="I3520">
        <v>214.73650000000001</v>
      </c>
      <c r="J3520">
        <v>-211.9776</v>
      </c>
      <c r="K3520">
        <v>1.107035</v>
      </c>
      <c r="L3520">
        <v>214.8991</v>
      </c>
      <c r="M3520">
        <v>0.9940698</v>
      </c>
      <c r="N3520">
        <v>-1.3947589999999999E-2</v>
      </c>
      <c r="O3520">
        <v>-0.1078457</v>
      </c>
      <c r="P3520">
        <v>0.92862389999999995</v>
      </c>
      <c r="Q3520">
        <v>0.34770659999999998</v>
      </c>
      <c r="R3520">
        <v>-0.1294515</v>
      </c>
      <c r="S3520">
        <v>3.3663639999999999</v>
      </c>
      <c r="T3520">
        <v>-0.69543969999999999</v>
      </c>
      <c r="U3520">
        <v>-0.89309689999999997</v>
      </c>
      <c r="V3520">
        <v>3.1844799999999999E-2</v>
      </c>
      <c r="W3520">
        <v>0.3604675</v>
      </c>
      <c r="X3520">
        <v>0.93222799999999995</v>
      </c>
      <c r="Y3520">
        <v>0.14937239999999999</v>
      </c>
      <c r="Z3520">
        <v>4.0170040000000002E-3</v>
      </c>
      <c r="AA3520">
        <v>0.98877289999999995</v>
      </c>
      <c r="AB3520">
        <v>34</v>
      </c>
      <c r="AC3520">
        <v>0.42529999999999202</v>
      </c>
      <c r="AD3520">
        <v>-0.15683269999999899</v>
      </c>
      <c r="AE3520">
        <v>-0.162599999999997</v>
      </c>
      <c r="AF3520">
        <v>0.103500806389916</v>
      </c>
      <c r="AG3520">
        <v>-0.15683269999999899</v>
      </c>
      <c r="AH3520">
        <v>0.39365307510171899</v>
      </c>
      <c r="AI3520">
        <v>111.07206829831</v>
      </c>
      <c r="AJ3520">
        <v>75.268975841772303</v>
      </c>
      <c r="AK3520">
        <v>0.43620139414001402</v>
      </c>
      <c r="AL3520">
        <v>68.871089919470194</v>
      </c>
      <c r="AM3520">
        <v>88.043543597272304</v>
      </c>
      <c r="AN3520">
        <v>0.99999997691364395</v>
      </c>
    </row>
    <row r="3521" spans="1:40" x14ac:dyDescent="0.25">
      <c r="A3521" t="str">
        <f>"20190304164441012"</f>
        <v>20190304164441012</v>
      </c>
      <c r="B3521" t="str">
        <f>"1551689081003849"</f>
        <v>1551689081003849</v>
      </c>
      <c r="C3521" t="s">
        <v>40</v>
      </c>
      <c r="D3521">
        <v>5.076238</v>
      </c>
      <c r="E3521">
        <v>0.57106420000000002</v>
      </c>
      <c r="F3521" t="s">
        <v>41</v>
      </c>
      <c r="G3521">
        <v>-211.251</v>
      </c>
      <c r="H3521">
        <v>0.95692180000000004</v>
      </c>
      <c r="I3521">
        <v>214.70169999999999</v>
      </c>
      <c r="J3521">
        <v>-211.64789999999999</v>
      </c>
      <c r="K3521">
        <v>1.1070089999999999</v>
      </c>
      <c r="L3521">
        <v>214.85919999999999</v>
      </c>
      <c r="M3521">
        <v>0.99361069999999996</v>
      </c>
      <c r="N3521">
        <v>-1.394885E-2</v>
      </c>
      <c r="O3521">
        <v>-0.1119971</v>
      </c>
      <c r="P3521">
        <v>0.92686619999999997</v>
      </c>
      <c r="Q3521">
        <v>0.350404299999999</v>
      </c>
      <c r="R3521">
        <v>-0.1346696</v>
      </c>
      <c r="S3521">
        <v>3.3635100000000002</v>
      </c>
      <c r="T3521">
        <v>-0.69467139999999905</v>
      </c>
      <c r="U3521">
        <v>-0.91236879999999998</v>
      </c>
      <c r="V3521">
        <v>3.3369790000000003E-2</v>
      </c>
      <c r="W3521">
        <v>0.36313469999999998</v>
      </c>
      <c r="X3521">
        <v>0.93113889999999999</v>
      </c>
      <c r="Y3521">
        <v>0.15077879999999999</v>
      </c>
      <c r="Z3521">
        <v>4.624502E-3</v>
      </c>
      <c r="AA3521">
        <v>0.98855669999999995</v>
      </c>
      <c r="AB3521">
        <v>33</v>
      </c>
      <c r="AC3521">
        <v>0.39690000000001602</v>
      </c>
      <c r="AD3521">
        <v>-0.150087199999999</v>
      </c>
      <c r="AE3521">
        <v>-0.157499999999998</v>
      </c>
      <c r="AF3521">
        <v>9.9731841778577607E-2</v>
      </c>
      <c r="AG3521">
        <v>-0.150087199999999</v>
      </c>
      <c r="AH3521">
        <v>0.36673629129686097</v>
      </c>
      <c r="AI3521">
        <v>111.549507598297</v>
      </c>
      <c r="AJ3521">
        <v>74.786645185448194</v>
      </c>
      <c r="AK3521">
        <v>0.40861732124637501</v>
      </c>
      <c r="AL3521">
        <v>68.707166093530205</v>
      </c>
      <c r="AM3521">
        <v>87.947534751578402</v>
      </c>
      <c r="AN3521">
        <v>1.0000000021609701</v>
      </c>
    </row>
    <row r="3522" spans="1:40" x14ac:dyDescent="0.25">
      <c r="A3522" t="str">
        <f>"20190304164441035"</f>
        <v>20190304164441035</v>
      </c>
      <c r="B3522" t="str">
        <f>"1551689081023368"</f>
        <v>1551689081023368</v>
      </c>
      <c r="C3522" t="s">
        <v>40</v>
      </c>
      <c r="D3522">
        <v>5.313091</v>
      </c>
      <c r="E3522">
        <v>0.5711889</v>
      </c>
      <c r="F3522" t="s">
        <v>41</v>
      </c>
      <c r="G3522">
        <v>-210.94970000000001</v>
      </c>
      <c r="H3522">
        <v>0.96427560000000001</v>
      </c>
      <c r="I3522">
        <v>214.6652</v>
      </c>
      <c r="J3522">
        <v>-211.31780000000001</v>
      </c>
      <c r="K3522">
        <v>1.1069549999999999</v>
      </c>
      <c r="L3522">
        <v>214.8177</v>
      </c>
      <c r="M3522">
        <v>0.99312279999999997</v>
      </c>
      <c r="N3522">
        <v>-1.395098E-2</v>
      </c>
      <c r="O3522">
        <v>-0.1162434</v>
      </c>
      <c r="P3522">
        <v>0.92560350000000002</v>
      </c>
      <c r="Q3522">
        <v>0.35149419999999998</v>
      </c>
      <c r="R3522">
        <v>-0.1403905</v>
      </c>
      <c r="S3522">
        <v>3.36084</v>
      </c>
      <c r="T3522">
        <v>-0.68702149999999995</v>
      </c>
      <c r="U3522">
        <v>-0.93350219999999995</v>
      </c>
      <c r="V3522">
        <v>3.5257160000000003E-2</v>
      </c>
      <c r="W3522">
        <v>0.36419800000000002</v>
      </c>
      <c r="X3522">
        <v>0.93065390000000003</v>
      </c>
      <c r="Y3522">
        <v>0.1525881</v>
      </c>
      <c r="Z3522">
        <v>5.1259299999999999E-3</v>
      </c>
      <c r="AA3522">
        <v>0.98827659999999995</v>
      </c>
      <c r="AB3522">
        <v>33</v>
      </c>
      <c r="AC3522">
        <v>0.36809999999999798</v>
      </c>
      <c r="AD3522">
        <v>-0.14267939999999901</v>
      </c>
      <c r="AE3522">
        <v>-0.15250000000000299</v>
      </c>
      <c r="AF3522">
        <v>9.6321104358999002E-2</v>
      </c>
      <c r="AG3522">
        <v>-0.14267939999999901</v>
      </c>
      <c r="AH3522">
        <v>0.33976410188516798</v>
      </c>
      <c r="AI3522">
        <v>111.99945899543</v>
      </c>
      <c r="AJ3522">
        <v>74.172281840946496</v>
      </c>
      <c r="AK3522">
        <v>0.38088687462175902</v>
      </c>
      <c r="AL3522">
        <v>68.6417646485164</v>
      </c>
      <c r="AM3522">
        <v>87.830427751222103</v>
      </c>
      <c r="AN3522">
        <v>0.999999966060237</v>
      </c>
    </row>
    <row r="3523" spans="1:40" x14ac:dyDescent="0.25">
      <c r="A3523" t="str">
        <f>"20190304164441058"</f>
        <v>20190304164441058</v>
      </c>
      <c r="B3523" t="str">
        <f>"1551689081053626"</f>
        <v>1551689081053626</v>
      </c>
      <c r="C3523" t="s">
        <v>40</v>
      </c>
      <c r="D3523">
        <v>4.7757969999999998</v>
      </c>
      <c r="E3523">
        <v>0.57163079999999999</v>
      </c>
      <c r="F3523" t="s">
        <v>41</v>
      </c>
      <c r="G3523">
        <v>-210.38130000000001</v>
      </c>
      <c r="H3523">
        <v>0.91623759999999999</v>
      </c>
      <c r="I3523">
        <v>214.5504</v>
      </c>
      <c r="J3523">
        <v>-210.964</v>
      </c>
      <c r="K3523">
        <v>1.106867</v>
      </c>
      <c r="L3523">
        <v>214.7714</v>
      </c>
      <c r="M3523">
        <v>0.99256230000000001</v>
      </c>
      <c r="N3523">
        <v>-1.395535E-2</v>
      </c>
      <c r="O3523">
        <v>-0.1209345</v>
      </c>
      <c r="P3523">
        <v>0.92467060000000001</v>
      </c>
      <c r="Q3523">
        <v>0.3515723</v>
      </c>
      <c r="R3523">
        <v>-0.1462232</v>
      </c>
      <c r="S3523">
        <v>3.3554379999999999</v>
      </c>
      <c r="T3523">
        <v>-0.68321369999999904</v>
      </c>
      <c r="U3523">
        <v>-0.95698550000000004</v>
      </c>
      <c r="V3523">
        <v>3.6815649999999998E-2</v>
      </c>
      <c r="W3523">
        <v>0.3642571</v>
      </c>
      <c r="X3523">
        <v>0.93057040000000002</v>
      </c>
      <c r="Y3523">
        <v>0.154779</v>
      </c>
      <c r="Z3523">
        <v>5.7035979999999998E-3</v>
      </c>
      <c r="AA3523">
        <v>0.98793260000000005</v>
      </c>
      <c r="AB3523">
        <v>33</v>
      </c>
      <c r="AC3523">
        <v>0.58270000000001598</v>
      </c>
      <c r="AD3523">
        <v>-0.1906294</v>
      </c>
      <c r="AE3523">
        <v>-0.221000000000003</v>
      </c>
      <c r="AF3523">
        <v>0.13616198374651001</v>
      </c>
      <c r="AG3523">
        <v>-0.1906294</v>
      </c>
      <c r="AH3523">
        <v>0.55337402716292605</v>
      </c>
      <c r="AI3523">
        <v>108.495507188422</v>
      </c>
      <c r="AJ3523">
        <v>76.176538960494696</v>
      </c>
      <c r="AK3523">
        <v>0.600918020948499</v>
      </c>
      <c r="AL3523">
        <v>68.638128314626101</v>
      </c>
      <c r="AM3523">
        <v>87.734419801721003</v>
      </c>
      <c r="AN3523">
        <v>0.999999948170744</v>
      </c>
    </row>
    <row r="3524" spans="1:40" x14ac:dyDescent="0.25">
      <c r="A3524" t="str">
        <f>"20190304164441080"</f>
        <v>20190304164441080</v>
      </c>
      <c r="B3524" t="str">
        <f>"1551689081074121"</f>
        <v>1551689081074121</v>
      </c>
      <c r="C3524" t="s">
        <v>40</v>
      </c>
      <c r="D3524">
        <v>5.1118610000000002</v>
      </c>
      <c r="E3524">
        <v>0.5717295</v>
      </c>
      <c r="F3524" t="s">
        <v>41</v>
      </c>
      <c r="G3524">
        <v>-210.07900000000001</v>
      </c>
      <c r="H3524">
        <v>0.92875739999999996</v>
      </c>
      <c r="I3524">
        <v>214.51130000000001</v>
      </c>
      <c r="J3524">
        <v>-210.6344</v>
      </c>
      <c r="K3524">
        <v>1.106778</v>
      </c>
      <c r="L3524">
        <v>214.72669999999999</v>
      </c>
      <c r="M3524">
        <v>0.99200520000000003</v>
      </c>
      <c r="N3524">
        <v>-1.3960180000000001E-2</v>
      </c>
      <c r="O3524">
        <v>-0.1254229</v>
      </c>
      <c r="P3524">
        <v>0.92364159999999995</v>
      </c>
      <c r="Q3524">
        <v>0.35210429999999998</v>
      </c>
      <c r="R3524">
        <v>-0.151356399999999</v>
      </c>
      <c r="S3524">
        <v>3.3449249999999999</v>
      </c>
      <c r="T3524">
        <v>-0.67315509999999901</v>
      </c>
      <c r="U3524">
        <v>-0.98284910000000003</v>
      </c>
      <c r="V3524">
        <v>3.7890149999999997E-2</v>
      </c>
      <c r="W3524">
        <v>0.3647726</v>
      </c>
      <c r="X3524">
        <v>0.93032530000000002</v>
      </c>
      <c r="Y3524">
        <v>0.1582025</v>
      </c>
      <c r="Z3524">
        <v>6.0370419999999899E-3</v>
      </c>
      <c r="AA3524">
        <v>0.9873883</v>
      </c>
      <c r="AB3524">
        <v>33</v>
      </c>
      <c r="AC3524">
        <v>0.55539999999999101</v>
      </c>
      <c r="AD3524">
        <v>-0.178020599999999</v>
      </c>
      <c r="AE3524">
        <v>-0.21539999999998799</v>
      </c>
      <c r="AF3524">
        <v>0.13222382192110199</v>
      </c>
      <c r="AG3524">
        <v>-0.178020599999999</v>
      </c>
      <c r="AH3524">
        <v>0.53064300801321396</v>
      </c>
      <c r="AI3524">
        <v>108.031481090564</v>
      </c>
      <c r="AJ3524">
        <v>76.008167194962994</v>
      </c>
      <c r="AK3524">
        <v>0.57511431477671904</v>
      </c>
      <c r="AL3524">
        <v>68.606409826947001</v>
      </c>
      <c r="AM3524">
        <v>87.667755014669794</v>
      </c>
      <c r="AN3524">
        <v>0.99999993849893398</v>
      </c>
    </row>
    <row r="3525" spans="1:40" x14ac:dyDescent="0.25">
      <c r="A3525" t="str">
        <f>"20190304164441102"</f>
        <v>20190304164441102</v>
      </c>
      <c r="B3525" t="str">
        <f>"1551689081093641"</f>
        <v>1551689081093641</v>
      </c>
      <c r="C3525" t="s">
        <v>40</v>
      </c>
      <c r="D3525">
        <v>5.0723599999999998</v>
      </c>
      <c r="E3525">
        <v>0.57155230000000001</v>
      </c>
      <c r="F3525" t="s">
        <v>41</v>
      </c>
      <c r="G3525">
        <v>-209.78</v>
      </c>
      <c r="H3525">
        <v>0.93519529999999995</v>
      </c>
      <c r="I3525">
        <v>214.4693</v>
      </c>
      <c r="J3525">
        <v>-210.31870000000001</v>
      </c>
      <c r="K3525">
        <v>1.1066769999999999</v>
      </c>
      <c r="L3525">
        <v>214.6824</v>
      </c>
      <c r="M3525">
        <v>0.99143419999999904</v>
      </c>
      <c r="N3525">
        <v>-1.3964799999999999E-2</v>
      </c>
      <c r="O3525">
        <v>-0.12985910000000001</v>
      </c>
      <c r="P3525">
        <v>0.92242369999999996</v>
      </c>
      <c r="Q3525">
        <v>0.35300789999999999</v>
      </c>
      <c r="R3525">
        <v>-0.1565888</v>
      </c>
      <c r="S3525">
        <v>3.3387760000000002</v>
      </c>
      <c r="T3525">
        <v>-0.67059150000000001</v>
      </c>
      <c r="U3525">
        <v>-1.006149</v>
      </c>
      <c r="V3525">
        <v>3.9148259999999997E-2</v>
      </c>
      <c r="W3525">
        <v>0.36565419999999998</v>
      </c>
      <c r="X3525">
        <v>0.92992710000000001</v>
      </c>
      <c r="Y3525">
        <v>0.16063429999999901</v>
      </c>
      <c r="Z3525">
        <v>6.5426030000000001E-3</v>
      </c>
      <c r="AA3525">
        <v>0.98699230000000004</v>
      </c>
      <c r="AB3525">
        <v>33</v>
      </c>
      <c r="AC3525">
        <v>0.53870000000000495</v>
      </c>
      <c r="AD3525">
        <v>-0.17148169999999899</v>
      </c>
      <c r="AE3525">
        <v>-0.21309999999999699</v>
      </c>
      <c r="AF3525">
        <v>0.129947356813256</v>
      </c>
      <c r="AG3525">
        <v>-0.17148169999999899</v>
      </c>
      <c r="AH3525">
        <v>0.51655310420802203</v>
      </c>
      <c r="AI3525">
        <v>107.845555201618</v>
      </c>
      <c r="AJ3525">
        <v>75.879323914910898</v>
      </c>
      <c r="AK3525">
        <v>0.55957072693680598</v>
      </c>
      <c r="AL3525">
        <v>68.552151074662106</v>
      </c>
      <c r="AM3525">
        <v>87.589374044483904</v>
      </c>
      <c r="AN3525">
        <v>0.99999999577653798</v>
      </c>
    </row>
    <row r="3526" spans="1:40" x14ac:dyDescent="0.25">
      <c r="A3526" t="str">
        <f>"20190304164441124"</f>
        <v>20190304164441124</v>
      </c>
      <c r="B3526" t="str">
        <f>"1551689081113161"</f>
        <v>1551689081113161</v>
      </c>
      <c r="C3526" t="s">
        <v>40</v>
      </c>
      <c r="D3526">
        <v>5.1091480000000002</v>
      </c>
      <c r="E3526">
        <v>0.57144079999999997</v>
      </c>
      <c r="F3526" t="s">
        <v>41</v>
      </c>
      <c r="G3526">
        <v>-209.483</v>
      </c>
      <c r="H3526">
        <v>0.93832969999999905</v>
      </c>
      <c r="I3526">
        <v>214.42519999999999</v>
      </c>
      <c r="J3526">
        <v>-209.9897</v>
      </c>
      <c r="K3526">
        <v>1.106562</v>
      </c>
      <c r="L3526">
        <v>214.6344</v>
      </c>
      <c r="M3526">
        <v>0.99079360000000005</v>
      </c>
      <c r="N3526">
        <v>-1.397108E-2</v>
      </c>
      <c r="O3526">
        <v>-0.13465829999999901</v>
      </c>
      <c r="P3526">
        <v>0.92092669999999999</v>
      </c>
      <c r="Q3526">
        <v>0.35402339999999999</v>
      </c>
      <c r="R3526">
        <v>-0.16297739999999999</v>
      </c>
      <c r="S3526">
        <v>3.335251</v>
      </c>
      <c r="T3526">
        <v>-0.67160509999999995</v>
      </c>
      <c r="U3526">
        <v>-1.025436</v>
      </c>
      <c r="V3526">
        <v>4.1272040000000003E-2</v>
      </c>
      <c r="W3526">
        <v>0.36663659999999998</v>
      </c>
      <c r="X3526">
        <v>0.92944839999999995</v>
      </c>
      <c r="Y3526">
        <v>0.16142400000000001</v>
      </c>
      <c r="Z3526">
        <v>7.3269399999999997E-3</v>
      </c>
      <c r="AA3526">
        <v>0.98685800000000001</v>
      </c>
      <c r="AB3526">
        <v>33</v>
      </c>
      <c r="AC3526">
        <v>0.50669999999999504</v>
      </c>
      <c r="AD3526">
        <v>-0.1682323</v>
      </c>
      <c r="AE3526">
        <v>-0.20920000000000899</v>
      </c>
      <c r="AF3526">
        <v>0.12708711688803201</v>
      </c>
      <c r="AG3526">
        <v>-0.1682323</v>
      </c>
      <c r="AH3526">
        <v>0.484616052869</v>
      </c>
      <c r="AI3526">
        <v>108.561593183756</v>
      </c>
      <c r="AJ3526">
        <v>75.305478352257197</v>
      </c>
      <c r="AK3526">
        <v>0.52849404986294002</v>
      </c>
      <c r="AL3526">
        <v>68.491664574671603</v>
      </c>
      <c r="AM3526">
        <v>87.457458318093998</v>
      </c>
      <c r="AN3526">
        <v>1.0000000530039299</v>
      </c>
    </row>
    <row r="3527" spans="1:40" x14ac:dyDescent="0.25">
      <c r="A3527" t="str">
        <f>"20190304164441146"</f>
        <v>20190304164441146</v>
      </c>
      <c r="B3527" t="str">
        <f>"1551689081133657"</f>
        <v>1551689081133657</v>
      </c>
      <c r="C3527" t="s">
        <v>40</v>
      </c>
      <c r="D3527">
        <v>5.1547850000000004</v>
      </c>
      <c r="E3527">
        <v>0.57140249999999904</v>
      </c>
      <c r="F3527" t="s">
        <v>41</v>
      </c>
      <c r="G3527">
        <v>-209.1849</v>
      </c>
      <c r="H3527">
        <v>0.94441010000000003</v>
      </c>
      <c r="I3527">
        <v>214.3818</v>
      </c>
      <c r="J3527">
        <v>-209.66149999999999</v>
      </c>
      <c r="K3527">
        <v>1.1064210000000001</v>
      </c>
      <c r="L3527">
        <v>214.5848</v>
      </c>
      <c r="M3527">
        <v>0.99010240000000005</v>
      </c>
      <c r="N3527">
        <v>-1.397968E-2</v>
      </c>
      <c r="O3527">
        <v>-0.13964840000000001</v>
      </c>
      <c r="P3527">
        <v>0.9195006</v>
      </c>
      <c r="Q3527">
        <v>0.35432819999999998</v>
      </c>
      <c r="R3527">
        <v>-0.170206</v>
      </c>
      <c r="S3527">
        <v>3.3305660000000001</v>
      </c>
      <c r="T3527">
        <v>-0.67089679999999996</v>
      </c>
      <c r="U3527">
        <v>-1.0449679999999999</v>
      </c>
      <c r="V3527">
        <v>4.4053830000000002E-2</v>
      </c>
      <c r="W3527">
        <v>0.36690319999999998</v>
      </c>
      <c r="X3527">
        <v>0.92921540000000002</v>
      </c>
      <c r="Y3527">
        <v>0.16218369999999999</v>
      </c>
      <c r="Z3527">
        <v>8.1246189999999996E-3</v>
      </c>
      <c r="AA3527">
        <v>0.98672709999999997</v>
      </c>
      <c r="AB3527">
        <v>33</v>
      </c>
      <c r="AC3527">
        <v>0.47659999999998998</v>
      </c>
      <c r="AD3527">
        <v>-0.16201089999999899</v>
      </c>
      <c r="AE3527">
        <v>-0.20300000000000201</v>
      </c>
      <c r="AF3527">
        <v>0.122469006512608</v>
      </c>
      <c r="AG3527">
        <v>-0.16201089999999899</v>
      </c>
      <c r="AH3527">
        <v>0.45570824490314799</v>
      </c>
      <c r="AI3527">
        <v>108.94900260891301</v>
      </c>
      <c r="AJ3527">
        <v>74.957502289502102</v>
      </c>
      <c r="AK3527">
        <v>0.49891501655863502</v>
      </c>
      <c r="AL3527">
        <v>68.475243612725507</v>
      </c>
      <c r="AM3527">
        <v>87.285656313407998</v>
      </c>
      <c r="AN3527">
        <v>0.999999978852534</v>
      </c>
    </row>
    <row r="3528" spans="1:40" x14ac:dyDescent="0.25">
      <c r="A3528" t="str">
        <f>"20190304164441169"</f>
        <v>20190304164441169</v>
      </c>
      <c r="B3528" t="str">
        <f>"1551689081163913"</f>
        <v>1551689081163913</v>
      </c>
      <c r="C3528" t="s">
        <v>40</v>
      </c>
      <c r="D3528">
        <v>5.0739489999999998</v>
      </c>
      <c r="E3528">
        <v>0.57289000000000001</v>
      </c>
      <c r="F3528" t="s">
        <v>41</v>
      </c>
      <c r="G3528">
        <v>-208.88720000000001</v>
      </c>
      <c r="H3528">
        <v>0.95046679999999995</v>
      </c>
      <c r="I3528">
        <v>214.3364</v>
      </c>
      <c r="J3528">
        <v>-209.32089999999999</v>
      </c>
      <c r="K3528">
        <v>1.1062479999999999</v>
      </c>
      <c r="L3528">
        <v>214.53129999999999</v>
      </c>
      <c r="M3528">
        <v>0.98932399999999998</v>
      </c>
      <c r="N3528">
        <v>-1.3990850000000001E-2</v>
      </c>
      <c r="O3528">
        <v>-0.14505960000000001</v>
      </c>
      <c r="P3528">
        <v>0.91843799999999998</v>
      </c>
      <c r="Q3528">
        <v>0.35325289999999998</v>
      </c>
      <c r="R3528">
        <v>-0.1780004</v>
      </c>
      <c r="S3528">
        <v>3.3233030000000001</v>
      </c>
      <c r="T3528">
        <v>-0.66914609999999997</v>
      </c>
      <c r="U3528">
        <v>-1.065369</v>
      </c>
      <c r="V3528">
        <v>4.6955749999999997E-2</v>
      </c>
      <c r="W3528">
        <v>0.36579309999999998</v>
      </c>
      <c r="X3528">
        <v>0.92951099999999998</v>
      </c>
      <c r="Y3528">
        <v>0.16297799999999901</v>
      </c>
      <c r="Z3528">
        <v>8.9798359999999997E-3</v>
      </c>
      <c r="AA3528">
        <v>0.98658880000000004</v>
      </c>
      <c r="AB3528">
        <v>33</v>
      </c>
      <c r="AC3528">
        <v>0.43369999999998698</v>
      </c>
      <c r="AD3528">
        <v>-0.15578119999999901</v>
      </c>
      <c r="AE3528">
        <v>-0.194899999999989</v>
      </c>
      <c r="AF3528">
        <v>0.11732577624926201</v>
      </c>
      <c r="AG3528">
        <v>-0.15578119999999901</v>
      </c>
      <c r="AH3528">
        <v>0.413049637058924</v>
      </c>
      <c r="AI3528">
        <v>109.940617133328</v>
      </c>
      <c r="AJ3528">
        <v>74.142927542484401</v>
      </c>
      <c r="AK3528">
        <v>0.45677469579699898</v>
      </c>
      <c r="AL3528">
        <v>68.543601923940898</v>
      </c>
      <c r="AM3528">
        <v>87.108069451751604</v>
      </c>
      <c r="AN3528">
        <v>1.00000006679333</v>
      </c>
    </row>
    <row r="3529" spans="1:40" x14ac:dyDescent="0.25">
      <c r="A3529" t="str">
        <f>"20190304164441191"</f>
        <v>20190304164441191</v>
      </c>
      <c r="B3529" t="str">
        <f>"1551689081183432"</f>
        <v>1551689081183432</v>
      </c>
      <c r="C3529" t="s">
        <v>40</v>
      </c>
      <c r="D3529">
        <v>5.0587960000000001</v>
      </c>
      <c r="E3529">
        <v>0.57298009999999999</v>
      </c>
      <c r="F3529" t="s">
        <v>41</v>
      </c>
      <c r="G3529">
        <v>-208.57759999999999</v>
      </c>
      <c r="H3529">
        <v>0.98410940000000002</v>
      </c>
      <c r="I3529">
        <v>214.28020000000001</v>
      </c>
      <c r="J3529">
        <v>-208.9991</v>
      </c>
      <c r="K3529">
        <v>1.106077</v>
      </c>
      <c r="L3529">
        <v>214.47890000000001</v>
      </c>
      <c r="M3529">
        <v>0.9885254</v>
      </c>
      <c r="N3529">
        <v>-1.4003349999999999E-2</v>
      </c>
      <c r="O3529">
        <v>-0.1504047</v>
      </c>
      <c r="P3529">
        <v>0.91744239999999999</v>
      </c>
      <c r="Q3529">
        <v>0.35223680000000002</v>
      </c>
      <c r="R3529">
        <v>-0.18501090000000001</v>
      </c>
      <c r="S3529">
        <v>3.2589109999999999</v>
      </c>
      <c r="T3529">
        <v>-0.5354044</v>
      </c>
      <c r="U3529">
        <v>-1.101135</v>
      </c>
      <c r="V3529">
        <v>4.9134410000000003E-2</v>
      </c>
      <c r="W3529">
        <v>0.36474820000000002</v>
      </c>
      <c r="X3529">
        <v>0.92980890000000005</v>
      </c>
      <c r="Y3529">
        <v>0.1731878</v>
      </c>
      <c r="Z3529">
        <v>6.6132200000000004E-3</v>
      </c>
      <c r="AA3529">
        <v>0.98486660000000004</v>
      </c>
      <c r="AB3529">
        <v>33</v>
      </c>
      <c r="AC3529">
        <v>0.42150000000000798</v>
      </c>
      <c r="AD3529">
        <v>-0.121967599999999</v>
      </c>
      <c r="AE3529">
        <v>-0.19870000000000199</v>
      </c>
      <c r="AF3529">
        <v>0.124507680312857</v>
      </c>
      <c r="AG3529">
        <v>-0.121967599999999</v>
      </c>
      <c r="AH3529">
        <v>0.417959090893815</v>
      </c>
      <c r="AI3529">
        <v>105.624797966068</v>
      </c>
      <c r="AJ3529">
        <v>73.411499564810498</v>
      </c>
      <c r="AK3529">
        <v>0.45284440988868602</v>
      </c>
      <c r="AL3529">
        <v>68.607913011889906</v>
      </c>
      <c r="AM3529">
        <v>86.9751007097517</v>
      </c>
      <c r="AN3529">
        <v>1.0000000150842401</v>
      </c>
    </row>
    <row r="3530" spans="1:40" x14ac:dyDescent="0.25">
      <c r="A3530" t="str">
        <f>"20190304164441213"</f>
        <v>20190304164441213</v>
      </c>
      <c r="B3530" t="str">
        <f>"1551689081203929"</f>
        <v>1551689081203929</v>
      </c>
      <c r="C3530" t="s">
        <v>40</v>
      </c>
      <c r="D3530">
        <v>5.0317400000000001</v>
      </c>
      <c r="E3530">
        <v>0.57293300000000003</v>
      </c>
      <c r="F3530" t="s">
        <v>41</v>
      </c>
      <c r="G3530">
        <v>-208.2817</v>
      </c>
      <c r="H3530">
        <v>0.98856189999999999</v>
      </c>
      <c r="I3530">
        <v>214.2295</v>
      </c>
      <c r="J3530">
        <v>-208.67420000000001</v>
      </c>
      <c r="K3530">
        <v>1.105885</v>
      </c>
      <c r="L3530">
        <v>214.4239</v>
      </c>
      <c r="M3530">
        <v>0.98765060000000005</v>
      </c>
      <c r="N3530">
        <v>-1.401734E-2</v>
      </c>
      <c r="O3530">
        <v>-0.15604460000000001</v>
      </c>
      <c r="P3530">
        <v>0.91578610000000005</v>
      </c>
      <c r="Q3530">
        <v>0.35203420000000002</v>
      </c>
      <c r="R3530">
        <v>-0.1934101</v>
      </c>
      <c r="S3530">
        <v>3.2466430000000002</v>
      </c>
      <c r="T3530">
        <v>-0.53144910000000001</v>
      </c>
      <c r="U3530">
        <v>-1.1274109999999999</v>
      </c>
      <c r="V3530">
        <v>5.2522729999999997E-2</v>
      </c>
      <c r="W3530">
        <v>0.36449510000000002</v>
      </c>
      <c r="X3530">
        <v>0.92972290000000002</v>
      </c>
      <c r="Y3530">
        <v>0.17585129999999999</v>
      </c>
      <c r="Z3530">
        <v>7.1212840000000003E-3</v>
      </c>
      <c r="AA3530">
        <v>0.98439100000000002</v>
      </c>
      <c r="AB3530">
        <v>33</v>
      </c>
      <c r="AC3530">
        <v>0.39250000000001201</v>
      </c>
      <c r="AD3530">
        <v>-0.117323099999999</v>
      </c>
      <c r="AE3530">
        <v>-0.19440000000000099</v>
      </c>
      <c r="AF3530">
        <v>0.12201057875365701</v>
      </c>
      <c r="AG3530">
        <v>-0.117323099999999</v>
      </c>
      <c r="AH3530">
        <v>0.39004404221053601</v>
      </c>
      <c r="AI3530">
        <v>106.017543587243</v>
      </c>
      <c r="AJ3530">
        <v>72.629674644006798</v>
      </c>
      <c r="AK3530">
        <v>0.42518895327294998</v>
      </c>
      <c r="AL3530">
        <v>68.623486237893303</v>
      </c>
      <c r="AM3530">
        <v>86.766632830735105</v>
      </c>
      <c r="AN3530">
        <v>0.99999999293753605</v>
      </c>
    </row>
    <row r="3531" spans="1:40" x14ac:dyDescent="0.25">
      <c r="A3531" t="str">
        <f>"20190304164441236"</f>
        <v>20190304164441236</v>
      </c>
      <c r="B3531" t="str">
        <f>"1551689081223449"</f>
        <v>1551689081223449</v>
      </c>
      <c r="C3531" t="s">
        <v>40</v>
      </c>
      <c r="D3531">
        <v>5.0760500000000004</v>
      </c>
      <c r="E3531">
        <v>0.57295499999999999</v>
      </c>
      <c r="F3531" t="s">
        <v>41</v>
      </c>
      <c r="G3531">
        <v>-207.98599999999999</v>
      </c>
      <c r="H3531">
        <v>0.99353100000000005</v>
      </c>
      <c r="I3531">
        <v>214.17760000000001</v>
      </c>
      <c r="J3531">
        <v>-208.34649999999999</v>
      </c>
      <c r="K3531">
        <v>1.1056870000000001</v>
      </c>
      <c r="L3531">
        <v>214.36600000000001</v>
      </c>
      <c r="M3531">
        <v>0.98669050000000003</v>
      </c>
      <c r="N3531">
        <v>-1.403328E-2</v>
      </c>
      <c r="O3531">
        <v>-0.1620026</v>
      </c>
      <c r="P3531">
        <v>0.91393449999999998</v>
      </c>
      <c r="Q3531">
        <v>0.35193629999999998</v>
      </c>
      <c r="R3531">
        <v>-0.2021503</v>
      </c>
      <c r="S3531">
        <v>3.2344819999999999</v>
      </c>
      <c r="T3531">
        <v>-0.52789640000000004</v>
      </c>
      <c r="U3531">
        <v>-1.1567229999999999</v>
      </c>
      <c r="V3531">
        <v>5.5982249999999997E-2</v>
      </c>
      <c r="W3531">
        <v>0.36434369999999999</v>
      </c>
      <c r="X3531">
        <v>0.92958039999999997</v>
      </c>
      <c r="Y3531">
        <v>0.1790098</v>
      </c>
      <c r="Z3531">
        <v>7.6277659999999898E-3</v>
      </c>
      <c r="AA3531">
        <v>0.98381770000000002</v>
      </c>
      <c r="AB3531">
        <v>33</v>
      </c>
      <c r="AC3531">
        <v>0.36050000000000099</v>
      </c>
      <c r="AD3531">
        <v>-0.11215600000000001</v>
      </c>
      <c r="AE3531">
        <v>-0.18839999999997301</v>
      </c>
      <c r="AF3531">
        <v>0.11849438695779101</v>
      </c>
      <c r="AG3531">
        <v>-0.11215600000000001</v>
      </c>
      <c r="AH3531">
        <v>0.35896999471688901</v>
      </c>
      <c r="AI3531">
        <v>106.525201099283</v>
      </c>
      <c r="AJ3531">
        <v>71.732174789256902</v>
      </c>
      <c r="AK3531">
        <v>0.394308692756762</v>
      </c>
      <c r="AL3531">
        <v>68.632802251873002</v>
      </c>
      <c r="AM3531">
        <v>86.553630723324702</v>
      </c>
      <c r="AN3531">
        <v>1.00000003205445</v>
      </c>
    </row>
    <row r="3532" spans="1:40" x14ac:dyDescent="0.25">
      <c r="A3532" t="str">
        <f>"20190304164441259"</f>
        <v>20190304164441259</v>
      </c>
      <c r="B3532" t="str">
        <f>"1551689081253705"</f>
        <v>1551689081253705</v>
      </c>
      <c r="C3532" t="s">
        <v>40</v>
      </c>
      <c r="D3532">
        <v>5.0643900000000004</v>
      </c>
      <c r="E3532">
        <v>0.57289780000000001</v>
      </c>
      <c r="F3532" t="s">
        <v>41</v>
      </c>
      <c r="G3532">
        <v>-207.42529999999999</v>
      </c>
      <c r="H3532">
        <v>0.95537209999999995</v>
      </c>
      <c r="I3532">
        <v>214.02619999999999</v>
      </c>
      <c r="J3532">
        <v>-208.00190000000001</v>
      </c>
      <c r="K3532">
        <v>1.1054850000000001</v>
      </c>
      <c r="L3532">
        <v>214.30279999999999</v>
      </c>
      <c r="M3532">
        <v>0.98559330000000001</v>
      </c>
      <c r="N3532">
        <v>-1.4051599999999999E-2</v>
      </c>
      <c r="O3532">
        <v>-0.168548</v>
      </c>
      <c r="P3532">
        <v>0.9116242</v>
      </c>
      <c r="Q3532">
        <v>0.35264329999999999</v>
      </c>
      <c r="R3532">
        <v>-0.2111499</v>
      </c>
      <c r="S3532">
        <v>3.2220610000000001</v>
      </c>
      <c r="T3532">
        <v>-0.52576919999999905</v>
      </c>
      <c r="U3532">
        <v>-1.18866</v>
      </c>
      <c r="V3532">
        <v>5.9236530000000003E-2</v>
      </c>
      <c r="W3532">
        <v>0.36499239999999999</v>
      </c>
      <c r="X3532">
        <v>0.92912410000000001</v>
      </c>
      <c r="Y3532">
        <v>0.18231459999999999</v>
      </c>
      <c r="Z3532">
        <v>8.2245640000000002E-3</v>
      </c>
      <c r="AA3532">
        <v>0.98320589999999997</v>
      </c>
      <c r="AB3532">
        <v>33</v>
      </c>
      <c r="AC3532">
        <v>0.57660000000001299</v>
      </c>
      <c r="AD3532">
        <v>-0.15011289999999999</v>
      </c>
      <c r="AE3532">
        <v>-0.27660000000000201</v>
      </c>
      <c r="AF3532">
        <v>0.16628557668831501</v>
      </c>
      <c r="AG3532">
        <v>-0.15011289999999999</v>
      </c>
      <c r="AH3532">
        <v>0.582859540760855</v>
      </c>
      <c r="AI3532">
        <v>103.910194113565</v>
      </c>
      <c r="AJ3532">
        <v>74.076938225549299</v>
      </c>
      <c r="AK3532">
        <v>0.62442775404119499</v>
      </c>
      <c r="AL3532">
        <v>68.592885144176407</v>
      </c>
      <c r="AM3532">
        <v>86.352031149367093</v>
      </c>
      <c r="AN3532">
        <v>1.0000000058725</v>
      </c>
    </row>
    <row r="3533" spans="1:40" x14ac:dyDescent="0.25">
      <c r="A3533" t="str">
        <f>"20190304164441282"</f>
        <v>20190304164441282</v>
      </c>
      <c r="B3533" t="str">
        <f>"1551689081273224"</f>
        <v>1551689081273224</v>
      </c>
      <c r="C3533" t="s">
        <v>40</v>
      </c>
      <c r="D3533">
        <v>5.0644859999999996</v>
      </c>
      <c r="E3533">
        <v>0.57277409999999995</v>
      </c>
      <c r="F3533" t="s">
        <v>41</v>
      </c>
      <c r="G3533">
        <v>-207.13</v>
      </c>
      <c r="H3533">
        <v>0.96365120000000004</v>
      </c>
      <c r="I3533">
        <v>213.96969999999999</v>
      </c>
      <c r="J3533">
        <v>-207.6771</v>
      </c>
      <c r="K3533">
        <v>1.105316</v>
      </c>
      <c r="L3533">
        <v>214.24080000000001</v>
      </c>
      <c r="M3533">
        <v>0.98447879999999999</v>
      </c>
      <c r="N3533">
        <v>-1.406899E-2</v>
      </c>
      <c r="O3533">
        <v>-0.17493839999999999</v>
      </c>
      <c r="P3533">
        <v>0.90841260000000001</v>
      </c>
      <c r="Q3533">
        <v>0.35568230000000001</v>
      </c>
      <c r="R3533">
        <v>-0.21971930000000001</v>
      </c>
      <c r="S3533">
        <v>3.2089840000000001</v>
      </c>
      <c r="T3533">
        <v>-0.52171149999999999</v>
      </c>
      <c r="U3533">
        <v>-1.2246859999999999</v>
      </c>
      <c r="V3533">
        <v>6.2382729999999997E-2</v>
      </c>
      <c r="W3533">
        <v>0.36796099999999998</v>
      </c>
      <c r="X3533">
        <v>0.92774619999999997</v>
      </c>
      <c r="Y3533">
        <v>0.18691340000000001</v>
      </c>
      <c r="Z3533">
        <v>8.6367819999999904E-3</v>
      </c>
      <c r="AA3533">
        <v>0.98233839999999994</v>
      </c>
      <c r="AB3533">
        <v>33</v>
      </c>
      <c r="AC3533">
        <v>0.54710000000000003</v>
      </c>
      <c r="AD3533">
        <v>-0.14166480000000001</v>
      </c>
      <c r="AE3533">
        <v>-0.27110000000001799</v>
      </c>
      <c r="AF3533">
        <v>0.16245523632777401</v>
      </c>
      <c r="AG3533">
        <v>-0.14166480000000001</v>
      </c>
      <c r="AH3533">
        <v>0.55615389323350495</v>
      </c>
      <c r="AI3533">
        <v>103.73952020438399</v>
      </c>
      <c r="AJ3533">
        <v>73.7166615330041</v>
      </c>
      <c r="AK3533">
        <v>0.59646271662874095</v>
      </c>
      <c r="AL3533">
        <v>68.410077311497901</v>
      </c>
      <c r="AM3533">
        <v>86.153156063036704</v>
      </c>
      <c r="AN3533">
        <v>0.99999995706884504</v>
      </c>
    </row>
    <row r="3534" spans="1:40" x14ac:dyDescent="0.25">
      <c r="A3534" t="str">
        <f>"20190304164441302"</f>
        <v>20190304164441302</v>
      </c>
      <c r="B3534" t="str">
        <f>"1551689081293721"</f>
        <v>1551689081293721</v>
      </c>
      <c r="C3534" t="s">
        <v>40</v>
      </c>
      <c r="D3534">
        <v>5.075564</v>
      </c>
      <c r="E3534">
        <v>0.57270659999999995</v>
      </c>
      <c r="F3534" t="s">
        <v>41</v>
      </c>
      <c r="G3534">
        <v>-206.83580000000001</v>
      </c>
      <c r="H3534">
        <v>0.97109719999999999</v>
      </c>
      <c r="I3534">
        <v>213.9092</v>
      </c>
      <c r="J3534">
        <v>-207.3663</v>
      </c>
      <c r="K3534">
        <v>1.105148</v>
      </c>
      <c r="L3534">
        <v>214.17920000000001</v>
      </c>
      <c r="M3534">
        <v>0.98333219999999999</v>
      </c>
      <c r="N3534">
        <v>-1.408513E-2</v>
      </c>
      <c r="O3534">
        <v>-0.1812724</v>
      </c>
      <c r="P3534">
        <v>0.90541729999999998</v>
      </c>
      <c r="Q3534">
        <v>0.35735820000000001</v>
      </c>
      <c r="R3534">
        <v>-0.22916159999999999</v>
      </c>
      <c r="S3534">
        <v>3.1974490000000002</v>
      </c>
      <c r="T3534">
        <v>-0.50997570000000003</v>
      </c>
      <c r="U3534">
        <v>-1.259735</v>
      </c>
      <c r="V3534">
        <v>6.63908E-2</v>
      </c>
      <c r="W3534">
        <v>0.36955789999999999</v>
      </c>
      <c r="X3534">
        <v>0.92683289999999996</v>
      </c>
      <c r="Y3534">
        <v>0.19114800000000001</v>
      </c>
      <c r="Z3534">
        <v>8.8669839999999996E-3</v>
      </c>
      <c r="AA3534">
        <v>0.98152119999999998</v>
      </c>
      <c r="AB3534">
        <v>33</v>
      </c>
      <c r="AC3534">
        <v>0.53049999999998898</v>
      </c>
      <c r="AD3534">
        <v>-0.1340508</v>
      </c>
      <c r="AE3534">
        <v>-0.27000000000001001</v>
      </c>
      <c r="AF3534">
        <v>0.16117745624247501</v>
      </c>
      <c r="AG3534">
        <v>-0.1340508</v>
      </c>
      <c r="AH3534">
        <v>0.54311414357146603</v>
      </c>
      <c r="AI3534">
        <v>103.31243640525901</v>
      </c>
      <c r="AJ3534">
        <v>73.470936198824504</v>
      </c>
      <c r="AK3534">
        <v>0.58216901526000298</v>
      </c>
      <c r="AL3534">
        <v>68.311645628454997</v>
      </c>
      <c r="AM3534">
        <v>85.902792754047695</v>
      </c>
      <c r="AN3534">
        <v>1.0000000021497299</v>
      </c>
    </row>
    <row r="3535" spans="1:40" x14ac:dyDescent="0.25">
      <c r="A3535" t="str">
        <f>"20190304164441324"</f>
        <v>20190304164441324</v>
      </c>
      <c r="B3535" t="str">
        <f>"1551689081313241"</f>
        <v>1551689081313241</v>
      </c>
      <c r="C3535" t="s">
        <v>40</v>
      </c>
      <c r="D3535">
        <v>5.0789619999999998</v>
      </c>
      <c r="E3535">
        <v>0.57256960000000001</v>
      </c>
      <c r="F3535" t="s">
        <v>41</v>
      </c>
      <c r="G3535">
        <v>-206.54419999999999</v>
      </c>
      <c r="H3535">
        <v>0.97524639999999996</v>
      </c>
      <c r="I3535">
        <v>213.84450000000001</v>
      </c>
      <c r="J3535">
        <v>-207.04239999999999</v>
      </c>
      <c r="K3535">
        <v>1.1049439999999999</v>
      </c>
      <c r="L3535">
        <v>214.11259999999999</v>
      </c>
      <c r="M3535">
        <v>0.98204029999999998</v>
      </c>
      <c r="N3535">
        <v>-1.410455E-2</v>
      </c>
      <c r="O3535">
        <v>-0.188143</v>
      </c>
      <c r="P3535">
        <v>0.90279540000000003</v>
      </c>
      <c r="Q3535">
        <v>0.35793999999999998</v>
      </c>
      <c r="R3535">
        <v>-0.2384097</v>
      </c>
      <c r="S3535">
        <v>3.183945</v>
      </c>
      <c r="T3535">
        <v>-0.50292230000000004</v>
      </c>
      <c r="U3535">
        <v>-1.295776</v>
      </c>
      <c r="V3535">
        <v>6.9646769999999997E-2</v>
      </c>
      <c r="W3535">
        <v>0.3700736</v>
      </c>
      <c r="X3535">
        <v>0.92638810000000005</v>
      </c>
      <c r="Y3535">
        <v>0.1952931</v>
      </c>
      <c r="Z3535">
        <v>9.2725819999999997E-3</v>
      </c>
      <c r="AA3535">
        <v>0.98070109999999999</v>
      </c>
      <c r="AB3535">
        <v>33</v>
      </c>
      <c r="AC3535">
        <v>0.49819999999999698</v>
      </c>
      <c r="AD3535">
        <v>-0.1296976</v>
      </c>
      <c r="AE3535">
        <v>-0.26809999999997502</v>
      </c>
      <c r="AF3535">
        <v>0.16110249062273199</v>
      </c>
      <c r="AG3535">
        <v>-0.1296976</v>
      </c>
      <c r="AH3535">
        <v>0.51279785957144197</v>
      </c>
      <c r="AI3535">
        <v>103.565811802925</v>
      </c>
      <c r="AJ3535">
        <v>72.559172447397401</v>
      </c>
      <c r="AK3535">
        <v>0.552935009482724</v>
      </c>
      <c r="AL3535">
        <v>68.279844157764202</v>
      </c>
      <c r="AM3535">
        <v>85.700535127777002</v>
      </c>
      <c r="AN3535">
        <v>1.000000026905</v>
      </c>
    </row>
    <row r="3536" spans="1:40" x14ac:dyDescent="0.25">
      <c r="A3536" t="str">
        <f>"20190304164441348"</f>
        <v>20190304164441348</v>
      </c>
      <c r="B3536" t="str">
        <f>"1551689081343496"</f>
        <v>1551689081343496</v>
      </c>
      <c r="C3536" t="s">
        <v>40</v>
      </c>
      <c r="D3536">
        <v>5.0568210000000002</v>
      </c>
      <c r="E3536">
        <v>0.57232659999999902</v>
      </c>
      <c r="F3536" t="s">
        <v>41</v>
      </c>
      <c r="G3536">
        <v>-206.25239999999999</v>
      </c>
      <c r="H3536">
        <v>0.98028729999999997</v>
      </c>
      <c r="I3536">
        <v>213.7809</v>
      </c>
      <c r="J3536">
        <v>-206.70410000000001</v>
      </c>
      <c r="K3536">
        <v>1.104692</v>
      </c>
      <c r="L3536">
        <v>214.0403</v>
      </c>
      <c r="M3536">
        <v>0.98057320000000003</v>
      </c>
      <c r="N3536">
        <v>-1.4130240000000001E-2</v>
      </c>
      <c r="O3536">
        <v>-0.19564390000000001</v>
      </c>
      <c r="P3536">
        <v>0.90018129999999996</v>
      </c>
      <c r="Q3536">
        <v>0.35833019999999999</v>
      </c>
      <c r="R3536">
        <v>-0.24753420000000001</v>
      </c>
      <c r="S3536">
        <v>3.169861</v>
      </c>
      <c r="T3536">
        <v>-0.50012539999999905</v>
      </c>
      <c r="U3536">
        <v>-1.3308719999999901</v>
      </c>
      <c r="V3536">
        <v>7.2217760000000006E-2</v>
      </c>
      <c r="W3536">
        <v>0.37040450000000003</v>
      </c>
      <c r="X3536">
        <v>0.92605890000000002</v>
      </c>
      <c r="Y3536">
        <v>0.19861119999999999</v>
      </c>
      <c r="Z3536">
        <v>9.9270290000000004E-3</v>
      </c>
      <c r="AA3536">
        <v>0.98002809999999996</v>
      </c>
      <c r="AB3536">
        <v>33</v>
      </c>
      <c r="AC3536">
        <v>0.45170000000001598</v>
      </c>
      <c r="AD3536">
        <v>-0.12440469999999999</v>
      </c>
      <c r="AE3536">
        <v>-0.25939999999999902</v>
      </c>
      <c r="AF3536">
        <v>0.15704675360683901</v>
      </c>
      <c r="AG3536">
        <v>-0.12440469999999999</v>
      </c>
      <c r="AH3536">
        <v>0.46708128846779201</v>
      </c>
      <c r="AI3536">
        <v>104.168644002747</v>
      </c>
      <c r="AJ3536">
        <v>71.4158097864307</v>
      </c>
      <c r="AK3536">
        <v>0.50823728930222101</v>
      </c>
      <c r="AL3536">
        <v>68.259433822282801</v>
      </c>
      <c r="AM3536">
        <v>85.540871783296893</v>
      </c>
      <c r="AN3536">
        <v>0.99999999237443804</v>
      </c>
    </row>
    <row r="3537" spans="1:40" x14ac:dyDescent="0.25">
      <c r="A3537" t="str">
        <f>"20190304164441370"</f>
        <v>20190304164441370</v>
      </c>
      <c r="B3537" t="str">
        <f>"1551689081363993"</f>
        <v>1551689081363993</v>
      </c>
      <c r="C3537" t="s">
        <v>40</v>
      </c>
      <c r="D3537">
        <v>5.0903039999999997</v>
      </c>
      <c r="E3537">
        <v>0.5721619</v>
      </c>
      <c r="F3537" t="s">
        <v>41</v>
      </c>
      <c r="G3537">
        <v>-205.9598</v>
      </c>
      <c r="H3537">
        <v>0.98714449999999998</v>
      </c>
      <c r="I3537">
        <v>213.71809999999999</v>
      </c>
      <c r="J3537">
        <v>-206.38390000000001</v>
      </c>
      <c r="K3537">
        <v>1.1044039999999999</v>
      </c>
      <c r="L3537">
        <v>213.96889999999999</v>
      </c>
      <c r="M3537">
        <v>0.97905730000000002</v>
      </c>
      <c r="N3537">
        <v>-1.415988E-2</v>
      </c>
      <c r="O3537">
        <v>-0.20309189999999999</v>
      </c>
      <c r="P3537">
        <v>0.89699119999999999</v>
      </c>
      <c r="Q3537">
        <v>0.35985060000000002</v>
      </c>
      <c r="R3537">
        <v>-0.25673849999999998</v>
      </c>
      <c r="S3537">
        <v>3.155624</v>
      </c>
      <c r="T3537">
        <v>-0.49803969999999997</v>
      </c>
      <c r="U3537">
        <v>-1.3648530000000001</v>
      </c>
      <c r="V3537">
        <v>7.5072029999999998E-2</v>
      </c>
      <c r="W3537">
        <v>0.3718514</v>
      </c>
      <c r="X3537">
        <v>0.92525170000000001</v>
      </c>
      <c r="Y3537">
        <v>0.20169119999999999</v>
      </c>
      <c r="Z3537">
        <v>1.060527E-2</v>
      </c>
      <c r="AA3537">
        <v>0.97939180000000003</v>
      </c>
      <c r="AB3537">
        <v>33</v>
      </c>
      <c r="AC3537">
        <v>0.42410000000000903</v>
      </c>
      <c r="AD3537">
        <v>-0.1172595</v>
      </c>
      <c r="AE3537">
        <v>-0.25079999999999802</v>
      </c>
      <c r="AF3537">
        <v>0.150886218799271</v>
      </c>
      <c r="AG3537">
        <v>-0.1172595</v>
      </c>
      <c r="AH3537">
        <v>0.44121061201255202</v>
      </c>
      <c r="AI3537">
        <v>104.115444986963</v>
      </c>
      <c r="AJ3537">
        <v>71.120220104379101</v>
      </c>
      <c r="AK3537">
        <v>0.48081518852494998</v>
      </c>
      <c r="AL3537">
        <v>68.170156481002095</v>
      </c>
      <c r="AM3537">
        <v>85.361360803871094</v>
      </c>
      <c r="AN3537">
        <v>0.99999999086158498</v>
      </c>
    </row>
    <row r="3538" spans="1:40" x14ac:dyDescent="0.25">
      <c r="A3538" t="str">
        <f>"20190304164441391"</f>
        <v>20190304164441391</v>
      </c>
      <c r="B3538" t="str">
        <f>"1551689081383512"</f>
        <v>1551689081383512</v>
      </c>
      <c r="C3538" t="s">
        <v>40</v>
      </c>
      <c r="D3538">
        <v>5.1151080000000002</v>
      </c>
      <c r="E3538">
        <v>0.56698760000000004</v>
      </c>
      <c r="F3538" t="s">
        <v>41</v>
      </c>
      <c r="G3538">
        <v>-205.66919999999999</v>
      </c>
      <c r="H3538">
        <v>0.99220090000000005</v>
      </c>
      <c r="I3538">
        <v>213.65110000000001</v>
      </c>
      <c r="J3538">
        <v>-206.07650000000001</v>
      </c>
      <c r="K3538">
        <v>1.1041030000000001</v>
      </c>
      <c r="L3538">
        <v>213.89769999999999</v>
      </c>
      <c r="M3538">
        <v>0.97746679999999997</v>
      </c>
      <c r="N3538">
        <v>-1.419403E-2</v>
      </c>
      <c r="O3538">
        <v>-0.2106113</v>
      </c>
      <c r="P3538">
        <v>0.89338859999999998</v>
      </c>
      <c r="Q3538">
        <v>0.3619677</v>
      </c>
      <c r="R3538">
        <v>-0.26615100000000003</v>
      </c>
      <c r="S3538">
        <v>3.142487</v>
      </c>
      <c r="T3538">
        <v>-0.49312499999999998</v>
      </c>
      <c r="U3538">
        <v>-1.3969879999999999</v>
      </c>
      <c r="V3538">
        <v>7.8187699999999999E-2</v>
      </c>
      <c r="W3538">
        <v>0.37388320000000003</v>
      </c>
      <c r="X3538">
        <v>0.92417419999999995</v>
      </c>
      <c r="Y3538">
        <v>0.2040864</v>
      </c>
      <c r="Z3538">
        <v>1.1247780000000001E-2</v>
      </c>
      <c r="AA3538">
        <v>0.97888830000000004</v>
      </c>
      <c r="AB3538">
        <v>33</v>
      </c>
      <c r="AC3538">
        <v>0.40730000000001998</v>
      </c>
      <c r="AD3538">
        <v>-0.11190209999999901</v>
      </c>
      <c r="AE3538">
        <v>-0.24659999999997201</v>
      </c>
      <c r="AF3538">
        <v>0.147149169299465</v>
      </c>
      <c r="AG3538">
        <v>-0.11190209999999901</v>
      </c>
      <c r="AH3538">
        <v>0.42654409843008501</v>
      </c>
      <c r="AI3538">
        <v>103.92850856588601</v>
      </c>
      <c r="AJ3538">
        <v>70.966591335631804</v>
      </c>
      <c r="AK3538">
        <v>0.46488151814786799</v>
      </c>
      <c r="AL3538">
        <v>68.044694436393996</v>
      </c>
      <c r="AM3538">
        <v>85.164134013936504</v>
      </c>
      <c r="AN3538">
        <v>0.99999995780958395</v>
      </c>
    </row>
    <row r="3539" spans="1:40" x14ac:dyDescent="0.25">
      <c r="A3539" t="str">
        <f>"20190304164441414"</f>
        <v>20190304164441414</v>
      </c>
      <c r="B3539" t="str">
        <f>"1551689081404009"</f>
        <v>1551689081404009</v>
      </c>
      <c r="C3539" t="s">
        <v>40</v>
      </c>
      <c r="D3539">
        <v>5.1918639999999998</v>
      </c>
      <c r="E3539">
        <v>0.56609399999999999</v>
      </c>
      <c r="F3539" t="s">
        <v>41</v>
      </c>
      <c r="G3539">
        <v>-205.38249999999999</v>
      </c>
      <c r="H3539">
        <v>0.98682930000000002</v>
      </c>
      <c r="I3539">
        <v>213.59180000000001</v>
      </c>
      <c r="J3539">
        <v>-205.74459999999999</v>
      </c>
      <c r="K3539">
        <v>1.1037399999999999</v>
      </c>
      <c r="L3539">
        <v>213.8176</v>
      </c>
      <c r="M3539">
        <v>0.97558060000000002</v>
      </c>
      <c r="N3539">
        <v>-1.423784E-2</v>
      </c>
      <c r="O3539">
        <v>-0.2191806</v>
      </c>
      <c r="P3539">
        <v>0.88952830000000005</v>
      </c>
      <c r="Q3539">
        <v>0.36430469999999998</v>
      </c>
      <c r="R3539">
        <v>-0.27572099999999999</v>
      </c>
      <c r="S3539">
        <v>3.159424</v>
      </c>
      <c r="T3539">
        <v>-0.53361020000000003</v>
      </c>
      <c r="U3539">
        <v>-1.392242</v>
      </c>
      <c r="V3539">
        <v>8.0583070000000007E-2</v>
      </c>
      <c r="W3539">
        <v>0.37614069999999999</v>
      </c>
      <c r="X3539">
        <v>0.92305179999999998</v>
      </c>
      <c r="Y3539">
        <v>0.19248689999999999</v>
      </c>
      <c r="Z3539">
        <v>1.464679E-2</v>
      </c>
      <c r="AA3539">
        <v>0.98119020000000001</v>
      </c>
      <c r="AB3539">
        <v>33</v>
      </c>
      <c r="AC3539">
        <v>0.36209999999999798</v>
      </c>
      <c r="AD3539">
        <v>-0.11691069999999899</v>
      </c>
      <c r="AE3539">
        <v>-0.22579999999999201</v>
      </c>
      <c r="AF3539">
        <v>0.13109538217274899</v>
      </c>
      <c r="AG3539">
        <v>-0.11691069999999899</v>
      </c>
      <c r="AH3539">
        <v>0.37466786377403399</v>
      </c>
      <c r="AI3539">
        <v>106.411246134815</v>
      </c>
      <c r="AJ3539">
        <v>70.715181318610206</v>
      </c>
      <c r="AK3539">
        <v>0.41379961230830897</v>
      </c>
      <c r="AL3539">
        <v>67.905168345716703</v>
      </c>
      <c r="AM3539">
        <v>85.010687778271603</v>
      </c>
      <c r="AN3539">
        <v>1.00000004142517</v>
      </c>
    </row>
    <row r="3540" spans="1:40" x14ac:dyDescent="0.25">
      <c r="A3540" t="str">
        <f>"20190304164441437"</f>
        <v>20190304164441437</v>
      </c>
      <c r="B3540" t="str">
        <f>"1551689081433288"</f>
        <v>1551689081433288</v>
      </c>
      <c r="C3540" t="s">
        <v>40</v>
      </c>
      <c r="D3540">
        <v>5.3413639999999996</v>
      </c>
      <c r="E3540">
        <v>0.56537590000000004</v>
      </c>
      <c r="F3540" t="s">
        <v>41</v>
      </c>
      <c r="G3540">
        <v>-204.8349</v>
      </c>
      <c r="H3540">
        <v>0.95005660000000003</v>
      </c>
      <c r="I3540">
        <v>213.40860000000001</v>
      </c>
      <c r="J3540">
        <v>-205.42400000000001</v>
      </c>
      <c r="K3540">
        <v>1.1033820000000001</v>
      </c>
      <c r="L3540">
        <v>213.73660000000001</v>
      </c>
      <c r="M3540">
        <v>0.97356410000000004</v>
      </c>
      <c r="N3540">
        <v>-1.428831E-2</v>
      </c>
      <c r="O3540">
        <v>-0.22796649999999999</v>
      </c>
      <c r="P3540">
        <v>0.88466889999999998</v>
      </c>
      <c r="Q3540">
        <v>0.36775150000000001</v>
      </c>
      <c r="R3540">
        <v>-0.28656559999999998</v>
      </c>
      <c r="S3540">
        <v>3.151367</v>
      </c>
      <c r="T3540">
        <v>-0.53221700000000005</v>
      </c>
      <c r="U3540">
        <v>-1.416885</v>
      </c>
      <c r="V3540">
        <v>8.428426E-2</v>
      </c>
      <c r="W3540">
        <v>0.37947579999999997</v>
      </c>
      <c r="X3540">
        <v>0.92135460000000002</v>
      </c>
      <c r="Y3540">
        <v>0.1910644</v>
      </c>
      <c r="Z3540">
        <v>1.593901E-2</v>
      </c>
      <c r="AA3540">
        <v>0.98144810000000005</v>
      </c>
      <c r="AB3540">
        <v>33</v>
      </c>
      <c r="AC3540">
        <v>0.58910000000000196</v>
      </c>
      <c r="AD3540">
        <v>-0.153325399999999</v>
      </c>
      <c r="AE3540">
        <v>-0.32800000000000201</v>
      </c>
      <c r="AF3540">
        <v>0.17595421246632401</v>
      </c>
      <c r="AG3540">
        <v>-0.153325399999999</v>
      </c>
      <c r="AH3540">
        <v>0.61648710257022599</v>
      </c>
      <c r="AI3540">
        <v>103.450100222618</v>
      </c>
      <c r="AJ3540">
        <v>74.070497994841404</v>
      </c>
      <c r="AK3540">
        <v>0.65918503533168604</v>
      </c>
      <c r="AL3540">
        <v>67.698783926497697</v>
      </c>
      <c r="AM3540">
        <v>84.773207835742198</v>
      </c>
      <c r="AN3540">
        <v>1.0000000091052701</v>
      </c>
    </row>
    <row r="3541" spans="1:40" x14ac:dyDescent="0.25">
      <c r="A3541" t="str">
        <f>"20190304164441483"</f>
        <v>20190304164441483</v>
      </c>
      <c r="B3541" t="str">
        <f>"1551689081473305"</f>
        <v>1551689081473305</v>
      </c>
      <c r="C3541" t="s">
        <v>40</v>
      </c>
      <c r="D3541">
        <v>5.4921670000000002</v>
      </c>
      <c r="E3541">
        <v>0.56718579999999996</v>
      </c>
      <c r="F3541" t="s">
        <v>41</v>
      </c>
      <c r="G3541">
        <v>-204.54669999999999</v>
      </c>
      <c r="H3541">
        <v>0.95767500000000005</v>
      </c>
      <c r="I3541">
        <v>213.3314</v>
      </c>
      <c r="J3541">
        <v>-204.7696</v>
      </c>
      <c r="K3541">
        <v>1.1026739999999999</v>
      </c>
      <c r="L3541">
        <v>213.56020000000001</v>
      </c>
      <c r="M3541">
        <v>0.96885060000000001</v>
      </c>
      <c r="N3541">
        <v>-1.4398060000000001E-2</v>
      </c>
      <c r="O3541">
        <v>-0.2472268</v>
      </c>
      <c r="P3541">
        <v>0.87626519999999997</v>
      </c>
      <c r="Q3541">
        <v>0.37065740000000003</v>
      </c>
      <c r="R3541">
        <v>-0.30785180000000001</v>
      </c>
      <c r="S3541">
        <v>3.1382289999999999</v>
      </c>
      <c r="T3541">
        <v>-0.52083359999999901</v>
      </c>
      <c r="U3541">
        <v>-1.4490050000000001</v>
      </c>
      <c r="V3541">
        <v>8.9326950000000002E-2</v>
      </c>
      <c r="W3541">
        <v>0.38222339999999999</v>
      </c>
      <c r="X3541">
        <v>0.91974230000000001</v>
      </c>
      <c r="Y3541">
        <v>0.18171229999999999</v>
      </c>
      <c r="Z3541">
        <v>1.890847E-2</v>
      </c>
      <c r="AA3541">
        <v>0.98316990000000004</v>
      </c>
      <c r="AB3541">
        <v>33</v>
      </c>
      <c r="AC3541">
        <v>0.22290000000000901</v>
      </c>
      <c r="AD3541">
        <v>-0.14499899999999899</v>
      </c>
      <c r="AE3541">
        <v>-0.228800000000006</v>
      </c>
      <c r="AF3541">
        <v>0.13812245039676699</v>
      </c>
      <c r="AG3541">
        <v>-0.14499899999999899</v>
      </c>
      <c r="AH3541">
        <v>0.225984952514627</v>
      </c>
      <c r="AI3541">
        <v>118.699387980277</v>
      </c>
      <c r="AJ3541">
        <v>58.566643814059198</v>
      </c>
      <c r="AK3541">
        <v>0.30194655167371198</v>
      </c>
      <c r="AL3541">
        <v>67.528525828546194</v>
      </c>
      <c r="AM3541">
        <v>84.452733711147303</v>
      </c>
      <c r="AN3541">
        <v>0.99999996495657495</v>
      </c>
    </row>
    <row r="3542" spans="1:40" x14ac:dyDescent="0.25">
      <c r="A3542" t="str">
        <f>"20190304164441504"</f>
        <v>20190304164441504</v>
      </c>
      <c r="B3542" t="str">
        <f>"1551689081493801"</f>
        <v>1551689081493801</v>
      </c>
      <c r="C3542" t="s">
        <v>40</v>
      </c>
      <c r="D3542">
        <v>5.4755339999999997</v>
      </c>
      <c r="E3542">
        <v>0.57335360000000002</v>
      </c>
      <c r="F3542" t="s">
        <v>41</v>
      </c>
      <c r="G3542">
        <v>-203.9742</v>
      </c>
      <c r="H3542">
        <v>0.97324860000000002</v>
      </c>
      <c r="I3542">
        <v>213.16329999999999</v>
      </c>
      <c r="J3542">
        <v>-204.46530000000001</v>
      </c>
      <c r="K3542">
        <v>1.1023400000000001</v>
      </c>
      <c r="L3542">
        <v>213.47290000000001</v>
      </c>
      <c r="M3542">
        <v>0.96635280000000001</v>
      </c>
      <c r="N3542">
        <v>-1.445078E-2</v>
      </c>
      <c r="O3542">
        <v>-0.2568145</v>
      </c>
      <c r="P3542">
        <v>0.87205549999999998</v>
      </c>
      <c r="Q3542">
        <v>0.37154969999999998</v>
      </c>
      <c r="R3542">
        <v>-0.31854389999999999</v>
      </c>
      <c r="S3542">
        <v>3.0940859999999999</v>
      </c>
      <c r="T3542">
        <v>-0.50352249999999998</v>
      </c>
      <c r="U3542">
        <v>-1.5442499999999999</v>
      </c>
      <c r="V3542">
        <v>9.1900620000000002E-2</v>
      </c>
      <c r="W3542">
        <v>0.38303579999999998</v>
      </c>
      <c r="X3542">
        <v>0.91915060000000004</v>
      </c>
      <c r="Y3542">
        <v>0.20161560000000001</v>
      </c>
      <c r="Z3542">
        <v>1.7811279999999999E-2</v>
      </c>
      <c r="AA3542">
        <v>0.97930280000000003</v>
      </c>
      <c r="AB3542">
        <v>33</v>
      </c>
      <c r="AC3542">
        <v>0.49110000000001702</v>
      </c>
      <c r="AD3542">
        <v>-0.129091399999999</v>
      </c>
      <c r="AE3542">
        <v>-0.30960000000001697</v>
      </c>
      <c r="AF3542">
        <v>0.16492454700519199</v>
      </c>
      <c r="AG3542">
        <v>-0.129091399999999</v>
      </c>
      <c r="AH3542">
        <v>0.52803463583489396</v>
      </c>
      <c r="AI3542">
        <v>103.13534004765199</v>
      </c>
      <c r="AJ3542">
        <v>72.654504549201107</v>
      </c>
      <c r="AK3542">
        <v>0.56805393441126395</v>
      </c>
      <c r="AL3542">
        <v>67.478145349328102</v>
      </c>
      <c r="AM3542">
        <v>84.290298077428204</v>
      </c>
      <c r="AN3542">
        <v>0.99999998675919199</v>
      </c>
    </row>
    <row r="3543" spans="1:40" x14ac:dyDescent="0.25">
      <c r="A3543" t="str">
        <f>"20190304164441526"</f>
        <v>20190304164441526</v>
      </c>
      <c r="B3543" t="str">
        <f>"1551689081524057"</f>
        <v>1551689081524057</v>
      </c>
      <c r="C3543" t="s">
        <v>40</v>
      </c>
      <c r="D3543">
        <v>5.5778059999999998</v>
      </c>
      <c r="E3543">
        <v>0.57085699999999995</v>
      </c>
      <c r="F3543" t="s">
        <v>41</v>
      </c>
      <c r="G3543">
        <v>-203.70830000000001</v>
      </c>
      <c r="H3543">
        <v>0.94244099999999997</v>
      </c>
      <c r="I3543">
        <v>213.07429999999999</v>
      </c>
      <c r="J3543">
        <v>-204.1448</v>
      </c>
      <c r="K3543">
        <v>1.10198</v>
      </c>
      <c r="L3543">
        <v>213.37700000000001</v>
      </c>
      <c r="M3543">
        <v>0.96349059999999997</v>
      </c>
      <c r="N3543">
        <v>-1.4511909999999999E-2</v>
      </c>
      <c r="O3543">
        <v>-0.2673489</v>
      </c>
      <c r="P3543">
        <v>0.86742229999999998</v>
      </c>
      <c r="Q3543">
        <v>0.3721949</v>
      </c>
      <c r="R3543">
        <v>-0.33022669999999998</v>
      </c>
      <c r="S3543">
        <v>3.1208499999999999</v>
      </c>
      <c r="T3543">
        <v>-0.65868789999999999</v>
      </c>
      <c r="U3543">
        <v>-1.64248699999999</v>
      </c>
      <c r="V3543">
        <v>9.4645400000000005E-2</v>
      </c>
      <c r="W3543">
        <v>0.3835982</v>
      </c>
      <c r="X3543">
        <v>0.91863740000000005</v>
      </c>
      <c r="Y3543">
        <v>0.21208940000000001</v>
      </c>
      <c r="Z3543">
        <v>2.4991329999999999E-2</v>
      </c>
      <c r="AA3543">
        <v>0.97693070000000004</v>
      </c>
      <c r="AB3543">
        <v>33</v>
      </c>
      <c r="AC3543">
        <v>0.436499999999995</v>
      </c>
      <c r="AD3543">
        <v>-0.15953899999999999</v>
      </c>
      <c r="AE3543">
        <v>-0.30270000000001501</v>
      </c>
      <c r="AF3543">
        <v>0.16049177968234901</v>
      </c>
      <c r="AG3543">
        <v>-0.15953899999999999</v>
      </c>
      <c r="AH3543">
        <v>0.46004387293583998</v>
      </c>
      <c r="AI3543">
        <v>108.130385056322</v>
      </c>
      <c r="AJ3543">
        <v>70.768066423853298</v>
      </c>
      <c r="AK3543">
        <v>0.51268964188133803</v>
      </c>
      <c r="AL3543">
        <v>67.443257702255593</v>
      </c>
      <c r="AM3543">
        <v>84.117683376156705</v>
      </c>
      <c r="AN3543">
        <v>1.00000000173158</v>
      </c>
    </row>
    <row r="3544" spans="1:40" x14ac:dyDescent="0.25">
      <c r="A3544" t="str">
        <f>"20190304164441549"</f>
        <v>20190304164441549</v>
      </c>
      <c r="B3544" t="str">
        <f>"1551689081543577"</f>
        <v>1551689081543577</v>
      </c>
      <c r="C3544" t="s">
        <v>40</v>
      </c>
      <c r="D3544">
        <v>5.5779170000000002</v>
      </c>
      <c r="E3544">
        <v>0.57039430000000002</v>
      </c>
      <c r="F3544" t="s">
        <v>41</v>
      </c>
      <c r="G3544">
        <v>-203.42570000000001</v>
      </c>
      <c r="H3544">
        <v>0.94408559999999997</v>
      </c>
      <c r="I3544">
        <v>212.99199999999999</v>
      </c>
      <c r="J3544">
        <v>-203.81950000000001</v>
      </c>
      <c r="K3544">
        <v>1.1015999999999999</v>
      </c>
      <c r="L3544">
        <v>213.27529999999999</v>
      </c>
      <c r="M3544">
        <v>0.96032629999999997</v>
      </c>
      <c r="N3544">
        <v>-1.457904E-2</v>
      </c>
      <c r="O3544">
        <v>-0.27849770000000001</v>
      </c>
      <c r="P3544">
        <v>0.86315259999999905</v>
      </c>
      <c r="Q3544">
        <v>0.37210399999999999</v>
      </c>
      <c r="R3544">
        <v>-0.34133029999999998</v>
      </c>
      <c r="S3544">
        <v>3.1170200000000001</v>
      </c>
      <c r="T3544">
        <v>-0.68432609999999905</v>
      </c>
      <c r="U3544">
        <v>-1.66832</v>
      </c>
      <c r="V3544">
        <v>9.6125520000000006E-2</v>
      </c>
      <c r="W3544">
        <v>0.38345689999999999</v>
      </c>
      <c r="X3544">
        <v>0.91854270000000005</v>
      </c>
      <c r="Y3544">
        <v>0.20783960000000001</v>
      </c>
      <c r="Z3544">
        <v>2.8530170000000001E-2</v>
      </c>
      <c r="AA3544">
        <v>0.97774680000000003</v>
      </c>
      <c r="AB3544">
        <v>33</v>
      </c>
      <c r="AC3544">
        <v>0.39379999999999798</v>
      </c>
      <c r="AD3544">
        <v>-0.157514399999999</v>
      </c>
      <c r="AE3544">
        <v>-0.28329999999996802</v>
      </c>
      <c r="AF3544">
        <v>0.146916416621271</v>
      </c>
      <c r="AG3544">
        <v>-0.157514399999999</v>
      </c>
      <c r="AH3544">
        <v>0.41352677852411801</v>
      </c>
      <c r="AI3544">
        <v>109.744373567428</v>
      </c>
      <c r="AJ3544">
        <v>70.4410610662583</v>
      </c>
      <c r="AK3544">
        <v>0.466261317542781</v>
      </c>
      <c r="AL3544">
        <v>67.452023932656004</v>
      </c>
      <c r="AM3544">
        <v>84.025740983099396</v>
      </c>
      <c r="AN3544">
        <v>1.00000000073808</v>
      </c>
    </row>
    <row r="3545" spans="1:40" x14ac:dyDescent="0.25">
      <c r="A3545" t="str">
        <f>"20190304164441571"</f>
        <v>20190304164441571</v>
      </c>
      <c r="B3545" t="str">
        <f>"1551689081564074"</f>
        <v>1551689081564074</v>
      </c>
      <c r="C3545" t="s">
        <v>40</v>
      </c>
      <c r="D3545">
        <v>5.5946339999999903</v>
      </c>
      <c r="E3545">
        <v>0.56988919999999998</v>
      </c>
      <c r="F3545" t="s">
        <v>41</v>
      </c>
      <c r="G3545">
        <v>-203.1429</v>
      </c>
      <c r="H3545">
        <v>0.95112490000000005</v>
      </c>
      <c r="I3545">
        <v>212.90170000000001</v>
      </c>
      <c r="J3545">
        <v>-203.51150000000001</v>
      </c>
      <c r="K3545">
        <v>1.101243</v>
      </c>
      <c r="L3545">
        <v>213.17490000000001</v>
      </c>
      <c r="M3545">
        <v>0.95707419999999999</v>
      </c>
      <c r="N3545">
        <v>-1.4646060000000001E-2</v>
      </c>
      <c r="O3545">
        <v>-0.28947299999999998</v>
      </c>
      <c r="P3545">
        <v>0.85928700000000002</v>
      </c>
      <c r="Q3545">
        <v>0.3718361</v>
      </c>
      <c r="R3545">
        <v>-0.35123290000000001</v>
      </c>
      <c r="S3545">
        <v>3.0964200000000002</v>
      </c>
      <c r="T3545">
        <v>-0.68806829999999997</v>
      </c>
      <c r="U3545">
        <v>-1.7090299999999901</v>
      </c>
      <c r="V3545">
        <v>9.6461749999999999E-2</v>
      </c>
      <c r="W3545">
        <v>0.38316929999999999</v>
      </c>
      <c r="X3545">
        <v>0.91862739999999998</v>
      </c>
      <c r="Y3545">
        <v>0.20938850000000001</v>
      </c>
      <c r="Z3545">
        <v>3.0539609999999998E-2</v>
      </c>
      <c r="AA3545">
        <v>0.97735550000000004</v>
      </c>
      <c r="AB3545">
        <v>33</v>
      </c>
      <c r="AC3545">
        <v>0.36860000000001403</v>
      </c>
      <c r="AD3545">
        <v>-0.1501181</v>
      </c>
      <c r="AE3545">
        <v>-0.273200000000002</v>
      </c>
      <c r="AF3545">
        <v>0.13982102963620899</v>
      </c>
      <c r="AG3545">
        <v>-0.1501181</v>
      </c>
      <c r="AH3545">
        <v>0.39014143092817599</v>
      </c>
      <c r="AI3545">
        <v>109.911369975497</v>
      </c>
      <c r="AJ3545">
        <v>70.283056994723694</v>
      </c>
      <c r="AK3545">
        <v>0.44078985968693102</v>
      </c>
      <c r="AL3545">
        <v>67.469863497677494</v>
      </c>
      <c r="AM3545">
        <v>84.005544740279007</v>
      </c>
      <c r="AN3545">
        <v>0.99999994085315402</v>
      </c>
    </row>
    <row r="3546" spans="1:40" x14ac:dyDescent="0.25">
      <c r="A3546" t="str">
        <f>"20190304164441593"</f>
        <v>20190304164441593</v>
      </c>
      <c r="B3546" t="str">
        <f>"1551689081583594"</f>
        <v>1551689081583594</v>
      </c>
      <c r="C3546" t="s">
        <v>40</v>
      </c>
      <c r="D3546">
        <v>5.571008</v>
      </c>
      <c r="E3546">
        <v>0.56922019999999995</v>
      </c>
      <c r="F3546" t="s">
        <v>41</v>
      </c>
      <c r="G3546">
        <v>-202.86320000000001</v>
      </c>
      <c r="H3546">
        <v>0.95517149999999995</v>
      </c>
      <c r="I3546">
        <v>212.80629999999999</v>
      </c>
      <c r="J3546">
        <v>-203.21260000000001</v>
      </c>
      <c r="K3546">
        <v>1.1009009999999999</v>
      </c>
      <c r="L3546">
        <v>213.07329999999999</v>
      </c>
      <c r="M3546">
        <v>0.95366320000000004</v>
      </c>
      <c r="N3546">
        <v>-1.471372E-2</v>
      </c>
      <c r="O3546">
        <v>-0.30051630000000001</v>
      </c>
      <c r="P3546">
        <v>0.85468820000000001</v>
      </c>
      <c r="Q3546">
        <v>0.37227329999999997</v>
      </c>
      <c r="R3546">
        <v>-0.36182979999999998</v>
      </c>
      <c r="S3546">
        <v>3.0762480000000001</v>
      </c>
      <c r="T3546">
        <v>-0.69299319999999998</v>
      </c>
      <c r="U3546">
        <v>-1.7489619999999999</v>
      </c>
      <c r="V3546">
        <v>9.7590979999999994E-2</v>
      </c>
      <c r="W3546">
        <v>0.38356570000000001</v>
      </c>
      <c r="X3546">
        <v>0.91834269999999996</v>
      </c>
      <c r="Y3546">
        <v>0.2105833</v>
      </c>
      <c r="Z3546">
        <v>3.2678440000000003E-2</v>
      </c>
      <c r="AA3546">
        <v>0.97702960000000005</v>
      </c>
      <c r="AB3546">
        <v>33</v>
      </c>
      <c r="AC3546">
        <v>0.34940000000000199</v>
      </c>
      <c r="AD3546">
        <v>-0.14572950000000001</v>
      </c>
      <c r="AE3546">
        <v>-0.26699999999999502</v>
      </c>
      <c r="AF3546">
        <v>0.13483537346202801</v>
      </c>
      <c r="AG3546">
        <v>-0.14572950000000001</v>
      </c>
      <c r="AH3546">
        <v>0.372574014006749</v>
      </c>
      <c r="AI3546">
        <v>110.19339495688401</v>
      </c>
      <c r="AJ3546">
        <v>70.104695987516493</v>
      </c>
      <c r="AK3546">
        <v>0.42217183826019999</v>
      </c>
      <c r="AL3546">
        <v>67.4452735377278</v>
      </c>
      <c r="AM3546">
        <v>83.934024556638093</v>
      </c>
      <c r="AN3546">
        <v>0.99999998011856905</v>
      </c>
    </row>
    <row r="3547" spans="1:40" x14ac:dyDescent="0.25">
      <c r="A3547" t="str">
        <f>"20190304164441615"</f>
        <v>20190304164441615</v>
      </c>
      <c r="B3547" t="str">
        <f>"1551689081604090"</f>
        <v>1551689081604090</v>
      </c>
      <c r="C3547" t="s">
        <v>40</v>
      </c>
      <c r="D3547">
        <v>5.7129669999999999</v>
      </c>
      <c r="E3547">
        <v>0.56828859999999903</v>
      </c>
      <c r="F3547" t="s">
        <v>41</v>
      </c>
      <c r="G3547">
        <v>-202.58590000000001</v>
      </c>
      <c r="H3547">
        <v>0.95769610000000005</v>
      </c>
      <c r="I3547">
        <v>212.70670000000001</v>
      </c>
      <c r="J3547">
        <v>-202.9024</v>
      </c>
      <c r="K3547">
        <v>1.1005579999999999</v>
      </c>
      <c r="L3547">
        <v>212.9632</v>
      </c>
      <c r="M3547">
        <v>0.94984080000000004</v>
      </c>
      <c r="N3547">
        <v>-1.478667E-2</v>
      </c>
      <c r="O3547">
        <v>-0.3123841</v>
      </c>
      <c r="P3547">
        <v>0.84876849999999904</v>
      </c>
      <c r="Q3547">
        <v>0.37299579999999999</v>
      </c>
      <c r="R3547">
        <v>-0.37478860000000003</v>
      </c>
      <c r="S3547">
        <v>3.05722</v>
      </c>
      <c r="T3547">
        <v>-0.69780240000000004</v>
      </c>
      <c r="U3547">
        <v>-1.787598</v>
      </c>
      <c r="V3547">
        <v>0.1005627</v>
      </c>
      <c r="W3547">
        <v>0.38419880000000001</v>
      </c>
      <c r="X3547">
        <v>0.9177573</v>
      </c>
      <c r="Y3547">
        <v>0.21044309999999999</v>
      </c>
      <c r="Z3547">
        <v>3.511918E-2</v>
      </c>
      <c r="AA3547">
        <v>0.97697509999999999</v>
      </c>
      <c r="AB3547">
        <v>33</v>
      </c>
      <c r="AC3547">
        <v>0.31649999999999001</v>
      </c>
      <c r="AD3547">
        <v>-0.14286189999999999</v>
      </c>
      <c r="AE3547">
        <v>-0.25649999999998802</v>
      </c>
      <c r="AF3547">
        <v>0.12892575116100399</v>
      </c>
      <c r="AG3547">
        <v>-0.14286189999999999</v>
      </c>
      <c r="AH3547">
        <v>0.33909275400698502</v>
      </c>
      <c r="AI3547">
        <v>111.49466803086101</v>
      </c>
      <c r="AJ3547">
        <v>69.182799868247599</v>
      </c>
      <c r="AK3547">
        <v>0.38989135358979299</v>
      </c>
      <c r="AL3547">
        <v>67.405990639660899</v>
      </c>
      <c r="AM3547">
        <v>83.746796514164302</v>
      </c>
      <c r="AN3547">
        <v>1.000000018128</v>
      </c>
    </row>
    <row r="3548" spans="1:40" x14ac:dyDescent="0.25">
      <c r="A3548" t="str">
        <f>"20190304164441638"</f>
        <v>20190304164441638</v>
      </c>
      <c r="B3548" t="str">
        <f>"1551689081633369"</f>
        <v>1551689081633369</v>
      </c>
      <c r="C3548" t="s">
        <v>40</v>
      </c>
      <c r="D3548">
        <v>5.2882660000000001</v>
      </c>
      <c r="E3548">
        <v>0.56770900000000002</v>
      </c>
      <c r="F3548" t="s">
        <v>41</v>
      </c>
      <c r="G3548">
        <v>-202.0719</v>
      </c>
      <c r="H3548">
        <v>0.90755940000000002</v>
      </c>
      <c r="I3548">
        <v>212.46459999999999</v>
      </c>
      <c r="J3548">
        <v>-202.58709999999999</v>
      </c>
      <c r="K3548">
        <v>1.100209</v>
      </c>
      <c r="L3548">
        <v>212.84639999999999</v>
      </c>
      <c r="M3548">
        <v>0.94565180000000004</v>
      </c>
      <c r="N3548">
        <v>-1.486266E-2</v>
      </c>
      <c r="O3548">
        <v>-0.32484159999999901</v>
      </c>
      <c r="P3548">
        <v>0.84279329999999997</v>
      </c>
      <c r="Q3548">
        <v>0.37246390000000001</v>
      </c>
      <c r="R3548">
        <v>-0.38854929999999999</v>
      </c>
      <c r="S3548">
        <v>3.0391080000000001</v>
      </c>
      <c r="T3548">
        <v>-0.70601610000000004</v>
      </c>
      <c r="U3548">
        <v>-1.82457</v>
      </c>
      <c r="V3548">
        <v>0.1036706</v>
      </c>
      <c r="W3548">
        <v>0.38358150000000002</v>
      </c>
      <c r="X3548">
        <v>0.91766970000000003</v>
      </c>
      <c r="Y3548">
        <v>0.20914540000000001</v>
      </c>
      <c r="Z3548">
        <v>3.8023130000000002E-2</v>
      </c>
      <c r="AA3548">
        <v>0.97714509999999999</v>
      </c>
      <c r="AB3548">
        <v>32</v>
      </c>
      <c r="AC3548">
        <v>0.515199999999993</v>
      </c>
      <c r="AD3548">
        <v>-0.192649599999999</v>
      </c>
      <c r="AE3548">
        <v>-0.38179999999999797</v>
      </c>
      <c r="AF3548">
        <v>0.17767630956269301</v>
      </c>
      <c r="AG3548">
        <v>-0.192649599999999</v>
      </c>
      <c r="AH3548">
        <v>0.56068595153031198</v>
      </c>
      <c r="AI3548">
        <v>108.135881614342</v>
      </c>
      <c r="AJ3548">
        <v>72.4170621306546</v>
      </c>
      <c r="AK3548">
        <v>0.61891152485911105</v>
      </c>
      <c r="AL3548">
        <v>67.444294219337706</v>
      </c>
      <c r="AM3548">
        <v>83.5545325668609</v>
      </c>
      <c r="AN3548">
        <v>1.00000001937234</v>
      </c>
    </row>
    <row r="3549" spans="1:40" x14ac:dyDescent="0.25">
      <c r="A3549" t="str">
        <f>"20190304164441660"</f>
        <v>20190304164441660</v>
      </c>
      <c r="B3549" t="str">
        <f>"1551689081653865"</f>
        <v>1551689081653865</v>
      </c>
      <c r="C3549" t="s">
        <v>40</v>
      </c>
      <c r="D3549">
        <v>5.2521430000000002</v>
      </c>
      <c r="E3549">
        <v>0.56879599999999997</v>
      </c>
      <c r="F3549" t="s">
        <v>41</v>
      </c>
      <c r="G3549">
        <v>-201.79759999999999</v>
      </c>
      <c r="H3549">
        <v>0.91280260000000002</v>
      </c>
      <c r="I3549">
        <v>212.3579</v>
      </c>
      <c r="J3549">
        <v>-202.27549999999999</v>
      </c>
      <c r="K3549">
        <v>1.099898</v>
      </c>
      <c r="L3549">
        <v>212.7259</v>
      </c>
      <c r="M3549">
        <v>0.94121239999999995</v>
      </c>
      <c r="N3549">
        <v>-1.493542E-2</v>
      </c>
      <c r="O3549">
        <v>-0.33748470000000003</v>
      </c>
      <c r="P3549">
        <v>0.83778699999999995</v>
      </c>
      <c r="Q3549">
        <v>0.37045470000000003</v>
      </c>
      <c r="R3549">
        <v>-0.40109420000000001</v>
      </c>
      <c r="S3549">
        <v>3.0156860000000001</v>
      </c>
      <c r="T3549">
        <v>-0.71543230000000002</v>
      </c>
      <c r="U3549">
        <v>-1.86557</v>
      </c>
      <c r="V3549">
        <v>0.1050116</v>
      </c>
      <c r="W3549">
        <v>0.38154579999999999</v>
      </c>
      <c r="X3549">
        <v>0.91836569999999995</v>
      </c>
      <c r="Y3549">
        <v>0.2092755</v>
      </c>
      <c r="Z3549">
        <v>4.0974070000000001E-2</v>
      </c>
      <c r="AA3549">
        <v>0.97699789999999997</v>
      </c>
      <c r="AB3549">
        <v>32</v>
      </c>
      <c r="AC3549">
        <v>0.47790000000000499</v>
      </c>
      <c r="AD3549">
        <v>-0.1870954</v>
      </c>
      <c r="AE3549">
        <v>-0.367999999999995</v>
      </c>
      <c r="AF3549">
        <v>0.16885617404369699</v>
      </c>
      <c r="AG3549">
        <v>-0.1870954</v>
      </c>
      <c r="AH3549">
        <v>0.52367754908040998</v>
      </c>
      <c r="AI3549">
        <v>108.779709899099</v>
      </c>
      <c r="AJ3549">
        <v>72.128445475295194</v>
      </c>
      <c r="AK3549">
        <v>0.58116716323679196</v>
      </c>
      <c r="AL3549">
        <v>67.570536294762704</v>
      </c>
      <c r="AM3549">
        <v>83.476779101289296</v>
      </c>
      <c r="AN3549">
        <v>1.0000000962843401</v>
      </c>
    </row>
    <row r="3550" spans="1:40" x14ac:dyDescent="0.25">
      <c r="A3550" t="str">
        <f>"20190304164441683"</f>
        <v>20190304164441683</v>
      </c>
      <c r="B3550" t="str">
        <f>"1551689081673385"</f>
        <v>1551689081673385</v>
      </c>
      <c r="C3550" t="s">
        <v>40</v>
      </c>
      <c r="D3550">
        <v>5.2587519999999897</v>
      </c>
      <c r="E3550">
        <v>0.56859190000000004</v>
      </c>
      <c r="F3550" t="s">
        <v>41</v>
      </c>
      <c r="G3550">
        <v>-201.52520000000001</v>
      </c>
      <c r="H3550">
        <v>0.92117479999999996</v>
      </c>
      <c r="I3550">
        <v>212.2422</v>
      </c>
      <c r="J3550">
        <v>-201.9752</v>
      </c>
      <c r="K3550">
        <v>1.0996330000000001</v>
      </c>
      <c r="L3550">
        <v>212.60509999999999</v>
      </c>
      <c r="M3550">
        <v>0.93664890000000001</v>
      </c>
      <c r="N3550">
        <v>-1.500048E-2</v>
      </c>
      <c r="O3550">
        <v>-0.3499486</v>
      </c>
      <c r="P3550">
        <v>0.83294029999999997</v>
      </c>
      <c r="Q3550">
        <v>0.36757420000000002</v>
      </c>
      <c r="R3550">
        <v>-0.41364250000000002</v>
      </c>
      <c r="S3550">
        <v>2.975876</v>
      </c>
      <c r="T3550">
        <v>-0.70849110000000004</v>
      </c>
      <c r="U3550">
        <v>-1.9180759999999999</v>
      </c>
      <c r="V3550">
        <v>0.10634970000000001</v>
      </c>
      <c r="W3550">
        <v>0.37864350000000002</v>
      </c>
      <c r="X3550">
        <v>0.91941220000000001</v>
      </c>
      <c r="Y3550">
        <v>0.21445439999999999</v>
      </c>
      <c r="Z3550">
        <v>4.2414060000000003E-2</v>
      </c>
      <c r="AA3550">
        <v>0.97581269999999998</v>
      </c>
      <c r="AB3550">
        <v>32</v>
      </c>
      <c r="AC3550">
        <v>0.44999999999998802</v>
      </c>
      <c r="AD3550">
        <v>-0.17845820000000001</v>
      </c>
      <c r="AE3550">
        <v>-0.362899999999996</v>
      </c>
      <c r="AF3550">
        <v>0.16657930982205599</v>
      </c>
      <c r="AG3550">
        <v>-0.17845820000000001</v>
      </c>
      <c r="AH3550">
        <v>0.50082388160899904</v>
      </c>
      <c r="AI3550">
        <v>108.681261874569</v>
      </c>
      <c r="AJ3550">
        <v>71.602330126281998</v>
      </c>
      <c r="AK3550">
        <v>0.55715397871498495</v>
      </c>
      <c r="AL3550">
        <v>67.7503162312738</v>
      </c>
      <c r="AM3550">
        <v>83.401839991244003</v>
      </c>
      <c r="AN3550">
        <v>0.999999976145589</v>
      </c>
    </row>
    <row r="3551" spans="1:40" x14ac:dyDescent="0.25">
      <c r="A3551" t="str">
        <f>"20190304164441705"</f>
        <v>20190304164441705</v>
      </c>
      <c r="B3551" t="str">
        <f>"1551689081693881"</f>
        <v>1551689081693881</v>
      </c>
      <c r="C3551" t="s">
        <v>40</v>
      </c>
      <c r="D3551">
        <v>5.2409499999999998</v>
      </c>
      <c r="E3551">
        <v>0.56851949999999996</v>
      </c>
      <c r="F3551" t="s">
        <v>41</v>
      </c>
      <c r="G3551">
        <v>-201.256</v>
      </c>
      <c r="H3551">
        <v>0.9234405</v>
      </c>
      <c r="I3551">
        <v>212.12729999999999</v>
      </c>
      <c r="J3551">
        <v>-201.67590000000001</v>
      </c>
      <c r="K3551">
        <v>1.0993809999999999</v>
      </c>
      <c r="L3551">
        <v>212.47989999999999</v>
      </c>
      <c r="M3551">
        <v>0.93181460000000005</v>
      </c>
      <c r="N3551">
        <v>-1.5061730000000001E-2</v>
      </c>
      <c r="O3551">
        <v>-0.3626221</v>
      </c>
      <c r="P3551">
        <v>0.82739390000000002</v>
      </c>
      <c r="Q3551">
        <v>0.36409710000000001</v>
      </c>
      <c r="R3551">
        <v>-0.42761290000000002</v>
      </c>
      <c r="S3551">
        <v>2.9476930000000001</v>
      </c>
      <c r="T3551">
        <v>-0.72206150000000002</v>
      </c>
      <c r="U3551">
        <v>-1.958618</v>
      </c>
      <c r="V3551">
        <v>0.1089401</v>
      </c>
      <c r="W3551">
        <v>0.37511280000000002</v>
      </c>
      <c r="X3551">
        <v>0.92055549999999997</v>
      </c>
      <c r="Y3551">
        <v>0.2150599</v>
      </c>
      <c r="Z3551">
        <v>4.5740669999999997E-2</v>
      </c>
      <c r="AA3551">
        <v>0.97552910000000004</v>
      </c>
      <c r="AB3551">
        <v>32</v>
      </c>
      <c r="AC3551">
        <v>0.41990000000004102</v>
      </c>
      <c r="AD3551">
        <v>-0.175940499999999</v>
      </c>
      <c r="AE3551">
        <v>-0.35259999999999497</v>
      </c>
      <c r="AF3551">
        <v>0.15985378627937399</v>
      </c>
      <c r="AG3551">
        <v>-0.175940499999999</v>
      </c>
      <c r="AH3551">
        <v>0.47072150863846901</v>
      </c>
      <c r="AI3551">
        <v>109.48973412222399</v>
      </c>
      <c r="AJ3551">
        <v>71.242866145504195</v>
      </c>
      <c r="AK3551">
        <v>0.52733957866158498</v>
      </c>
      <c r="AL3551">
        <v>67.9687151100498</v>
      </c>
      <c r="AM3551">
        <v>83.250909872358605</v>
      </c>
      <c r="AN3551">
        <v>0.99999999334604905</v>
      </c>
    </row>
    <row r="3552" spans="1:40" x14ac:dyDescent="0.25">
      <c r="A3552" t="str">
        <f>"20190304164441728"</f>
        <v>20190304164441728</v>
      </c>
      <c r="B3552" t="str">
        <f>"1551689081724138"</f>
        <v>1551689081724138</v>
      </c>
      <c r="C3552" t="s">
        <v>40</v>
      </c>
      <c r="D3552">
        <v>5.0055480000000001</v>
      </c>
      <c r="E3552">
        <v>0.56843999999999995</v>
      </c>
      <c r="F3552" t="s">
        <v>41</v>
      </c>
      <c r="G3552">
        <v>-200.9889</v>
      </c>
      <c r="H3552">
        <v>0.92566870000000001</v>
      </c>
      <c r="I3552">
        <v>212.00800000000001</v>
      </c>
      <c r="J3552">
        <v>-201.36779999999999</v>
      </c>
      <c r="K3552">
        <v>1.099145</v>
      </c>
      <c r="L3552">
        <v>212.3458</v>
      </c>
      <c r="M3552">
        <v>0.92653169999999996</v>
      </c>
      <c r="N3552">
        <v>-1.5122490000000001E-2</v>
      </c>
      <c r="O3552">
        <v>-0.37591249999999998</v>
      </c>
      <c r="P3552">
        <v>0.82075480000000001</v>
      </c>
      <c r="Q3552">
        <v>0.36134060000000001</v>
      </c>
      <c r="R3552">
        <v>-0.44248680000000001</v>
      </c>
      <c r="S3552">
        <v>2.915451</v>
      </c>
      <c r="T3552">
        <v>-0.73656009999999905</v>
      </c>
      <c r="U3552">
        <v>-2.0017550000000002</v>
      </c>
      <c r="V3552">
        <v>0.11208269999999999</v>
      </c>
      <c r="W3552">
        <v>0.37228119999999998</v>
      </c>
      <c r="X3552">
        <v>0.92132740000000002</v>
      </c>
      <c r="Y3552">
        <v>0.2161942</v>
      </c>
      <c r="Z3552">
        <v>4.9322980000000002E-2</v>
      </c>
      <c r="AA3552">
        <v>0.97510370000000002</v>
      </c>
      <c r="AB3552">
        <v>32</v>
      </c>
      <c r="AC3552">
        <v>0.37889999999998702</v>
      </c>
      <c r="AD3552">
        <v>-0.1734763</v>
      </c>
      <c r="AE3552">
        <v>-0.33780000000001498</v>
      </c>
      <c r="AF3552">
        <v>0.15273105388293101</v>
      </c>
      <c r="AG3552">
        <v>-0.1734763</v>
      </c>
      <c r="AH3552">
        <v>0.42810228060662497</v>
      </c>
      <c r="AI3552">
        <v>110.889859201812</v>
      </c>
      <c r="AJ3552">
        <v>70.365480466453704</v>
      </c>
      <c r="AK3552">
        <v>0.48651039469108398</v>
      </c>
      <c r="AL3552">
        <v>68.143626258723998</v>
      </c>
      <c r="AM3552">
        <v>83.063851407479603</v>
      </c>
      <c r="AN3552">
        <v>1.00000000075174</v>
      </c>
    </row>
    <row r="3553" spans="1:40" x14ac:dyDescent="0.25">
      <c r="A3553" t="str">
        <f>"20190304164441750"</f>
        <v>20190304164441750</v>
      </c>
      <c r="B3553" t="str">
        <f>"1551689081743657"</f>
        <v>1551689081743657</v>
      </c>
      <c r="C3553" t="s">
        <v>40</v>
      </c>
      <c r="D3553">
        <v>5.1998739999999897</v>
      </c>
      <c r="E3553">
        <v>0.56848790000000005</v>
      </c>
      <c r="F3553" t="s">
        <v>41</v>
      </c>
      <c r="G3553">
        <v>-200.7218</v>
      </c>
      <c r="H3553">
        <v>0.93124070000000003</v>
      </c>
      <c r="I3553">
        <v>211.88579999999999</v>
      </c>
      <c r="J3553">
        <v>-201.07079999999999</v>
      </c>
      <c r="K3553">
        <v>1.0989390000000001</v>
      </c>
      <c r="L3553">
        <v>212.2114</v>
      </c>
      <c r="M3553">
        <v>0.92113639999999997</v>
      </c>
      <c r="N3553">
        <v>-1.517925E-2</v>
      </c>
      <c r="O3553">
        <v>-0.38894390000000001</v>
      </c>
      <c r="P3553">
        <v>0.81387279999999995</v>
      </c>
      <c r="Q3553">
        <v>0.36024590000000001</v>
      </c>
      <c r="R3553">
        <v>-0.45588810000000002</v>
      </c>
      <c r="S3553">
        <v>2.8793790000000001</v>
      </c>
      <c r="T3553">
        <v>-0.7480234</v>
      </c>
      <c r="U3553">
        <v>-2.0498349999999999</v>
      </c>
      <c r="V3553">
        <v>0.1141663</v>
      </c>
      <c r="W3553">
        <v>0.37113390000000002</v>
      </c>
      <c r="X3553">
        <v>0.92153439999999998</v>
      </c>
      <c r="Y3553">
        <v>0.21921180000000001</v>
      </c>
      <c r="Z3553">
        <v>5.2518179999999998E-2</v>
      </c>
      <c r="AA3553">
        <v>0.97426279999999998</v>
      </c>
      <c r="AB3553">
        <v>32</v>
      </c>
      <c r="AC3553">
        <v>0.34899999999998899</v>
      </c>
      <c r="AD3553">
        <v>-0.167698299999999</v>
      </c>
      <c r="AE3553">
        <v>-0.32560000000000799</v>
      </c>
      <c r="AF3553">
        <v>0.14615717811051099</v>
      </c>
      <c r="AG3553">
        <v>-0.167698299999999</v>
      </c>
      <c r="AH3553">
        <v>0.39892338986667297</v>
      </c>
      <c r="AI3553">
        <v>111.54008557576699</v>
      </c>
      <c r="AJ3553">
        <v>69.878223472230601</v>
      </c>
      <c r="AK3553">
        <v>0.45675432293393298</v>
      </c>
      <c r="AL3553">
        <v>68.214434775947197</v>
      </c>
      <c r="AM3553">
        <v>82.937771076467797</v>
      </c>
      <c r="AN3553">
        <v>0.99999998308412996</v>
      </c>
    </row>
    <row r="3554" spans="1:40" x14ac:dyDescent="0.25">
      <c r="A3554" t="str">
        <f>"20190304164441771"</f>
        <v>20190304164441771</v>
      </c>
      <c r="B3554" t="str">
        <f>"1551689081763177"</f>
        <v>1551689081763177</v>
      </c>
      <c r="C3554" t="s">
        <v>40</v>
      </c>
      <c r="D3554">
        <v>5.6085890000000003</v>
      </c>
      <c r="E3554">
        <v>0.56846980000000003</v>
      </c>
      <c r="F3554" t="s">
        <v>41</v>
      </c>
      <c r="G3554">
        <v>-200.4572</v>
      </c>
      <c r="H3554">
        <v>0.93687160000000003</v>
      </c>
      <c r="I3554">
        <v>211.7585</v>
      </c>
      <c r="J3554">
        <v>-200.78</v>
      </c>
      <c r="K3554">
        <v>1.098746</v>
      </c>
      <c r="L3554">
        <v>212.07470000000001</v>
      </c>
      <c r="M3554">
        <v>0.91555419999999998</v>
      </c>
      <c r="N3554">
        <v>-1.523355E-2</v>
      </c>
      <c r="O3554">
        <v>-0.40190629999999999</v>
      </c>
      <c r="P3554">
        <v>0.80632250000000005</v>
      </c>
      <c r="Q3554">
        <v>0.36104039999999998</v>
      </c>
      <c r="R3554">
        <v>-0.46850199999999997</v>
      </c>
      <c r="S3554">
        <v>2.8430330000000001</v>
      </c>
      <c r="T3554">
        <v>-0.75027129999999997</v>
      </c>
      <c r="U3554">
        <v>-2.0978850000000002</v>
      </c>
      <c r="V3554">
        <v>0.1158433</v>
      </c>
      <c r="W3554">
        <v>0.3718767</v>
      </c>
      <c r="X3554">
        <v>0.9210256</v>
      </c>
      <c r="Y3554">
        <v>0.2222113</v>
      </c>
      <c r="Z3554">
        <v>5.502253E-2</v>
      </c>
      <c r="AA3554">
        <v>0.9734448</v>
      </c>
      <c r="AB3554">
        <v>32</v>
      </c>
      <c r="AC3554">
        <v>0.32279999999999998</v>
      </c>
      <c r="AD3554">
        <v>-0.161874399999999</v>
      </c>
      <c r="AE3554">
        <v>-0.31620000000000897</v>
      </c>
      <c r="AF3554">
        <v>0.141608380646433</v>
      </c>
      <c r="AG3554">
        <v>-0.161874399999999</v>
      </c>
      <c r="AH3554">
        <v>0.37459922839778198</v>
      </c>
      <c r="AI3554">
        <v>112.009022773493</v>
      </c>
      <c r="AJ3554">
        <v>69.292086662607602</v>
      </c>
      <c r="AK3554">
        <v>0.43195003965838302</v>
      </c>
      <c r="AL3554">
        <v>68.168596339801496</v>
      </c>
      <c r="AM3554">
        <v>82.831186814517494</v>
      </c>
      <c r="AN3554">
        <v>1.00000005300656</v>
      </c>
    </row>
    <row r="3555" spans="1:40" x14ac:dyDescent="0.25">
      <c r="A3555" t="str">
        <f>"20190304164441795"</f>
        <v>20190304164441795</v>
      </c>
      <c r="B3555" t="str">
        <f>"1551689081783674"</f>
        <v>1551689081783674</v>
      </c>
      <c r="C3555" t="s">
        <v>40</v>
      </c>
      <c r="D3555">
        <v>5.5505559999999896</v>
      </c>
      <c r="E3555">
        <v>0.5686795</v>
      </c>
      <c r="F3555" t="s">
        <v>41</v>
      </c>
      <c r="G3555">
        <v>-200.19450000000001</v>
      </c>
      <c r="H3555">
        <v>0.94338639999999996</v>
      </c>
      <c r="I3555">
        <v>211.6267</v>
      </c>
      <c r="J3555">
        <v>-200.4881</v>
      </c>
      <c r="K3555">
        <v>1.098562</v>
      </c>
      <c r="L3555">
        <v>211.93219999999999</v>
      </c>
      <c r="M3555">
        <v>0.90963749999999999</v>
      </c>
      <c r="N3555">
        <v>-1.528798E-2</v>
      </c>
      <c r="O3555">
        <v>-0.41512179999999999</v>
      </c>
      <c r="P3555">
        <v>0.79822599999999999</v>
      </c>
      <c r="Q3555">
        <v>0.36266609999999999</v>
      </c>
      <c r="R3555">
        <v>-0.48094599999999998</v>
      </c>
      <c r="S3555">
        <v>2.806244</v>
      </c>
      <c r="T3555">
        <v>-0.74461199999999905</v>
      </c>
      <c r="U3555">
        <v>-2.1475219999999999</v>
      </c>
      <c r="V3555">
        <v>0.117309</v>
      </c>
      <c r="W3555">
        <v>0.37345109999999998</v>
      </c>
      <c r="X3555">
        <v>0.92020259999999998</v>
      </c>
      <c r="Y3555">
        <v>0.22522139999999999</v>
      </c>
      <c r="Z3555">
        <v>5.6900249999999999E-2</v>
      </c>
      <c r="AA3555">
        <v>0.97264470000000003</v>
      </c>
      <c r="AB3555">
        <v>32</v>
      </c>
      <c r="AC3555">
        <v>0.29359999999999697</v>
      </c>
      <c r="AD3555">
        <v>-0.1551756</v>
      </c>
      <c r="AE3555">
        <v>-0.305499999999995</v>
      </c>
      <c r="AF3555">
        <v>0.137579926818097</v>
      </c>
      <c r="AG3555">
        <v>-0.1551756</v>
      </c>
      <c r="AH3555">
        <v>0.34734758482292399</v>
      </c>
      <c r="AI3555">
        <v>112.555547167038</v>
      </c>
      <c r="AJ3555">
        <v>68.392116263560098</v>
      </c>
      <c r="AK3555">
        <v>0.40454671891013</v>
      </c>
      <c r="AL3555">
        <v>68.071385761941997</v>
      </c>
      <c r="AM3555">
        <v>82.735022793038794</v>
      </c>
      <c r="AN3555">
        <v>0.99999997530948403</v>
      </c>
    </row>
    <row r="3556" spans="1:40" x14ac:dyDescent="0.25">
      <c r="A3556" t="str">
        <f>"20190304164441817"</f>
        <v>20190304164441817</v>
      </c>
      <c r="B3556" t="str">
        <f>"1551689081813930"</f>
        <v>1551689081813930</v>
      </c>
      <c r="C3556" t="s">
        <v>40</v>
      </c>
      <c r="D3556">
        <v>5.5203389999999999</v>
      </c>
      <c r="E3556">
        <v>0.56917790000000001</v>
      </c>
      <c r="F3556" t="s">
        <v>41</v>
      </c>
      <c r="G3556">
        <v>-199.7192</v>
      </c>
      <c r="H3556">
        <v>0.89431050000000001</v>
      </c>
      <c r="I3556">
        <v>211.32169999999999</v>
      </c>
      <c r="J3556">
        <v>-200.1918</v>
      </c>
      <c r="K3556">
        <v>1.098374</v>
      </c>
      <c r="L3556">
        <v>211.78149999999999</v>
      </c>
      <c r="M3556">
        <v>0.90327619999999997</v>
      </c>
      <c r="N3556">
        <v>-1.5345940000000001E-2</v>
      </c>
      <c r="O3556">
        <v>-0.42878519999999998</v>
      </c>
      <c r="P3556">
        <v>0.78958209999999995</v>
      </c>
      <c r="Q3556">
        <v>0.3648246</v>
      </c>
      <c r="R3556">
        <v>-0.49342039999999998</v>
      </c>
      <c r="S3556">
        <v>2.7681269999999998</v>
      </c>
      <c r="T3556">
        <v>-0.73545729999999998</v>
      </c>
      <c r="U3556">
        <v>-2.1980590000000002</v>
      </c>
      <c r="V3556">
        <v>0.11855449999999999</v>
      </c>
      <c r="W3556">
        <v>0.37556279999999997</v>
      </c>
      <c r="X3556">
        <v>0.91918299999999997</v>
      </c>
      <c r="Y3556">
        <v>0.22803970000000001</v>
      </c>
      <c r="Z3556">
        <v>5.8534950000000002E-2</v>
      </c>
      <c r="AA3556">
        <v>0.9718907</v>
      </c>
      <c r="AB3556">
        <v>32</v>
      </c>
      <c r="AC3556">
        <v>0.47259999999999902</v>
      </c>
      <c r="AD3556">
        <v>-0.20406349999999901</v>
      </c>
      <c r="AE3556">
        <v>-0.45980000000000099</v>
      </c>
      <c r="AF3556">
        <v>0.19411521222828501</v>
      </c>
      <c r="AG3556">
        <v>-0.20406349999999901</v>
      </c>
      <c r="AH3556">
        <v>0.56956440649591999</v>
      </c>
      <c r="AI3556">
        <v>108.73310885720601</v>
      </c>
      <c r="AJ3556">
        <v>71.180199228082103</v>
      </c>
      <c r="AK3556">
        <v>0.63539455521568</v>
      </c>
      <c r="AL3556">
        <v>67.940898115385096</v>
      </c>
      <c r="AM3556">
        <v>82.650671455543204</v>
      </c>
      <c r="AN3556">
        <v>0.99999998685154401</v>
      </c>
    </row>
    <row r="3557" spans="1:40" x14ac:dyDescent="0.25">
      <c r="A3557" t="str">
        <f>"20190304164441840"</f>
        <v>20190304164441840</v>
      </c>
      <c r="B3557" t="str">
        <f>"1551689081833449"</f>
        <v>1551689081833449</v>
      </c>
      <c r="C3557" t="s">
        <v>40</v>
      </c>
      <c r="D3557">
        <v>4.956728</v>
      </c>
      <c r="E3557">
        <v>0.56934619999999903</v>
      </c>
      <c r="F3557" t="s">
        <v>41</v>
      </c>
      <c r="G3557">
        <v>-199.4616</v>
      </c>
      <c r="H3557">
        <v>0.90524570000000004</v>
      </c>
      <c r="I3557">
        <v>211.1798</v>
      </c>
      <c r="J3557">
        <v>-199.89400000000001</v>
      </c>
      <c r="K3557">
        <v>1.0981920000000001</v>
      </c>
      <c r="L3557">
        <v>211.62430000000001</v>
      </c>
      <c r="M3557">
        <v>0.896526499999999</v>
      </c>
      <c r="N3557">
        <v>-1.540594E-2</v>
      </c>
      <c r="O3557">
        <v>-0.44272250000000002</v>
      </c>
      <c r="P3557">
        <v>0.78091460000000001</v>
      </c>
      <c r="Q3557">
        <v>0.36643870000000001</v>
      </c>
      <c r="R3557">
        <v>-0.50586089999999995</v>
      </c>
      <c r="S3557">
        <v>2.7281490000000002</v>
      </c>
      <c r="T3557">
        <v>-0.72112259999999995</v>
      </c>
      <c r="U3557">
        <v>-2.2475589999999999</v>
      </c>
      <c r="V3557">
        <v>0.1194289</v>
      </c>
      <c r="W3557">
        <v>0.3771465</v>
      </c>
      <c r="X3557">
        <v>0.91842100000000004</v>
      </c>
      <c r="Y3557">
        <v>0.2305046</v>
      </c>
      <c r="Z3557">
        <v>5.9740509999999997E-2</v>
      </c>
      <c r="AA3557">
        <v>0.97123570000000004</v>
      </c>
      <c r="AB3557">
        <v>32</v>
      </c>
      <c r="AC3557">
        <v>0.43240000000000101</v>
      </c>
      <c r="AD3557">
        <v>-0.19294629999999999</v>
      </c>
      <c r="AE3557">
        <v>-0.444500000000005</v>
      </c>
      <c r="AF3557">
        <v>0.18881790910783999</v>
      </c>
      <c r="AG3557">
        <v>-0.19294629999999999</v>
      </c>
      <c r="AH3557">
        <v>0.53292503010518</v>
      </c>
      <c r="AI3557">
        <v>108.842964068203</v>
      </c>
      <c r="AJ3557">
        <v>70.490518206900802</v>
      </c>
      <c r="AK3557">
        <v>0.59740234783280999</v>
      </c>
      <c r="AL3557">
        <v>67.842956655913596</v>
      </c>
      <c r="AM3557">
        <v>82.590991609838397</v>
      </c>
      <c r="AN3557">
        <v>0.999999938929228</v>
      </c>
    </row>
    <row r="3558" spans="1:40" x14ac:dyDescent="0.25">
      <c r="A3558" t="str">
        <f>"20190304164441862"</f>
        <v>20190304164441862</v>
      </c>
      <c r="B3558" t="str">
        <f>"1551689081853945"</f>
        <v>1551689081853945</v>
      </c>
      <c r="C3558" t="s">
        <v>40</v>
      </c>
      <c r="D3558">
        <v>5.521274</v>
      </c>
      <c r="E3558">
        <v>0.56945659999999998</v>
      </c>
      <c r="F3558" t="s">
        <v>41</v>
      </c>
      <c r="G3558">
        <v>-199.2054</v>
      </c>
      <c r="H3558">
        <v>0.91571199999999997</v>
      </c>
      <c r="I3558">
        <v>211.03649999999999</v>
      </c>
      <c r="J3558">
        <v>-199.6123</v>
      </c>
      <c r="K3558">
        <v>1.0980160000000001</v>
      </c>
      <c r="L3558">
        <v>211.4699</v>
      </c>
      <c r="M3558">
        <v>0.88978330000000005</v>
      </c>
      <c r="N3558">
        <v>-1.5462139999999999E-2</v>
      </c>
      <c r="O3558">
        <v>-0.4561211</v>
      </c>
      <c r="P3558">
        <v>0.77295139999999996</v>
      </c>
      <c r="Q3558">
        <v>0.36899320000000002</v>
      </c>
      <c r="R3558">
        <v>-0.51613009999999904</v>
      </c>
      <c r="S3558">
        <v>2.689209</v>
      </c>
      <c r="T3558">
        <v>-0.712646</v>
      </c>
      <c r="U3558">
        <v>-2.2952880000000002</v>
      </c>
      <c r="V3558">
        <v>0.1185669</v>
      </c>
      <c r="W3558">
        <v>0.37972060000000002</v>
      </c>
      <c r="X3558">
        <v>0.91747160000000005</v>
      </c>
      <c r="Y3558">
        <v>0.2329061</v>
      </c>
      <c r="Z3558">
        <v>6.1297249999999998E-2</v>
      </c>
      <c r="AA3558">
        <v>0.97056549999999997</v>
      </c>
      <c r="AB3558">
        <v>32</v>
      </c>
      <c r="AC3558">
        <v>0.40690000000000698</v>
      </c>
      <c r="AD3558">
        <v>-0.18230399999999899</v>
      </c>
      <c r="AE3558">
        <v>-0.433400000000006</v>
      </c>
      <c r="AF3558">
        <v>0.182863485600741</v>
      </c>
      <c r="AG3558">
        <v>-0.18230399999999899</v>
      </c>
      <c r="AH3558">
        <v>0.51168297101800198</v>
      </c>
      <c r="AI3558">
        <v>108.54670058926099</v>
      </c>
      <c r="AJ3558">
        <v>70.334302789877299</v>
      </c>
      <c r="AK3558">
        <v>0.57314332030641502</v>
      </c>
      <c r="AL3558">
        <v>67.683622716537002</v>
      </c>
      <c r="AM3558">
        <v>82.636351065720206</v>
      </c>
      <c r="AN3558">
        <v>0.99999999032326503</v>
      </c>
    </row>
    <row r="3559" spans="1:40" x14ac:dyDescent="0.25">
      <c r="A3559" t="str">
        <f>"20190304164441885"</f>
        <v>20190304164441885</v>
      </c>
      <c r="B3559" t="str">
        <f>"1551689081873466"</f>
        <v>1551689081873466</v>
      </c>
      <c r="C3559" t="s">
        <v>40</v>
      </c>
      <c r="D3559">
        <v>5.4890169999999996</v>
      </c>
      <c r="E3559">
        <v>0.56954320000000003</v>
      </c>
      <c r="F3559" t="s">
        <v>41</v>
      </c>
      <c r="G3559">
        <v>-198.953</v>
      </c>
      <c r="H3559">
        <v>0.923898</v>
      </c>
      <c r="I3559">
        <v>210.88900000000001</v>
      </c>
      <c r="J3559">
        <v>-199.32769999999999</v>
      </c>
      <c r="K3559">
        <v>1.097834</v>
      </c>
      <c r="L3559">
        <v>211.3081</v>
      </c>
      <c r="M3559">
        <v>0.88258769999999998</v>
      </c>
      <c r="N3559">
        <v>-1.552154E-2</v>
      </c>
      <c r="O3559">
        <v>-0.46989160000000002</v>
      </c>
      <c r="P3559">
        <v>0.76483129999999999</v>
      </c>
      <c r="Q3559">
        <v>0.3714114</v>
      </c>
      <c r="R3559">
        <v>-0.52639019999999903</v>
      </c>
      <c r="S3559">
        <v>2.6541290000000002</v>
      </c>
      <c r="T3559">
        <v>-0.70043080000000002</v>
      </c>
      <c r="U3559">
        <v>-2.3383940000000001</v>
      </c>
      <c r="V3559">
        <v>0.1173308</v>
      </c>
      <c r="W3559">
        <v>0.38217279999999998</v>
      </c>
      <c r="X3559">
        <v>0.91661199999999998</v>
      </c>
      <c r="Y3559">
        <v>0.2331193</v>
      </c>
      <c r="Z3559">
        <v>6.2692540000000005E-2</v>
      </c>
      <c r="AA3559">
        <v>0.97042519999999999</v>
      </c>
      <c r="AB3559">
        <v>32</v>
      </c>
      <c r="AC3559">
        <v>0.37469999999998999</v>
      </c>
      <c r="AD3559">
        <v>-0.17393599999999901</v>
      </c>
      <c r="AE3559">
        <v>-0.41909999999998598</v>
      </c>
      <c r="AF3559">
        <v>0.17691234543162401</v>
      </c>
      <c r="AG3559">
        <v>-0.17393599999999901</v>
      </c>
      <c r="AH3559">
        <v>0.48159914233241902</v>
      </c>
      <c r="AI3559">
        <v>108.72735591345599</v>
      </c>
      <c r="AJ3559">
        <v>69.829516951239199</v>
      </c>
      <c r="AK3559">
        <v>0.54174666031037</v>
      </c>
      <c r="AL3559">
        <v>67.5316654839135</v>
      </c>
      <c r="AM3559">
        <v>82.705529152998807</v>
      </c>
      <c r="AN3559">
        <v>1.0000000621162299</v>
      </c>
    </row>
    <row r="3560" spans="1:40" x14ac:dyDescent="0.25">
      <c r="A3560" t="str">
        <f>"20190304164441907"</f>
        <v>20190304164441907</v>
      </c>
      <c r="B3560" t="str">
        <f>"1551689081903723"</f>
        <v>1551689081903723</v>
      </c>
      <c r="C3560" t="s">
        <v>40</v>
      </c>
      <c r="D3560">
        <v>5.4495449999999996</v>
      </c>
      <c r="E3560">
        <v>0.56967409999999996</v>
      </c>
      <c r="F3560" t="s">
        <v>41</v>
      </c>
      <c r="G3560">
        <v>-198.70179999999999</v>
      </c>
      <c r="H3560">
        <v>0.9329904</v>
      </c>
      <c r="I3560">
        <v>210.73929999999999</v>
      </c>
      <c r="J3560">
        <v>-199.0498</v>
      </c>
      <c r="K3560">
        <v>1.0976429999999999</v>
      </c>
      <c r="L3560">
        <v>211.14410000000001</v>
      </c>
      <c r="M3560">
        <v>0.87516019999999894</v>
      </c>
      <c r="N3560">
        <v>-1.558503E-2</v>
      </c>
      <c r="O3560">
        <v>-0.48358220000000002</v>
      </c>
      <c r="P3560">
        <v>0.75565130000000003</v>
      </c>
      <c r="Q3560">
        <v>0.37383070000000002</v>
      </c>
      <c r="R3560">
        <v>-0.53781199999999996</v>
      </c>
      <c r="S3560">
        <v>2.6194459999999999</v>
      </c>
      <c r="T3560">
        <v>-0.68962599999999996</v>
      </c>
      <c r="U3560">
        <v>-2.379791</v>
      </c>
      <c r="V3560">
        <v>0.1176436</v>
      </c>
      <c r="W3560">
        <v>0.38457609999999998</v>
      </c>
      <c r="X3560">
        <v>0.91556610000000005</v>
      </c>
      <c r="Y3560">
        <v>0.2328607</v>
      </c>
      <c r="Z3560">
        <v>6.4166929999999997E-2</v>
      </c>
      <c r="AA3560">
        <v>0.97039089999999995</v>
      </c>
      <c r="AB3560">
        <v>32</v>
      </c>
      <c r="AC3560">
        <v>0.34800000000001302</v>
      </c>
      <c r="AD3560">
        <v>-0.16465259999999901</v>
      </c>
      <c r="AE3560">
        <v>-0.40480000000002198</v>
      </c>
      <c r="AF3560">
        <v>0.169842758786686</v>
      </c>
      <c r="AG3560">
        <v>-0.16465259999999901</v>
      </c>
      <c r="AH3560">
        <v>0.456902911051424</v>
      </c>
      <c r="AI3560">
        <v>108.66414778898201</v>
      </c>
      <c r="AJ3560">
        <v>69.608583421345799</v>
      </c>
      <c r="AK3560">
        <v>0.51450686246764299</v>
      </c>
      <c r="AL3560">
        <v>67.3825743596243</v>
      </c>
      <c r="AM3560">
        <v>82.678028395793206</v>
      </c>
      <c r="AN3560">
        <v>1.00000003839068</v>
      </c>
    </row>
    <row r="3561" spans="1:40" x14ac:dyDescent="0.25">
      <c r="A3561" t="str">
        <f>"20190304164441930"</f>
        <v>20190304164441930</v>
      </c>
      <c r="B3561" t="str">
        <f>"1551689081923241"</f>
        <v>1551689081923241</v>
      </c>
      <c r="C3561" t="s">
        <v>40</v>
      </c>
      <c r="D3561">
        <v>5.4718019999999896</v>
      </c>
      <c r="E3561">
        <v>0.5696061</v>
      </c>
      <c r="F3561" t="s">
        <v>41</v>
      </c>
      <c r="G3561">
        <v>-198.4539</v>
      </c>
      <c r="H3561">
        <v>0.94074959999999996</v>
      </c>
      <c r="I3561">
        <v>210.5857</v>
      </c>
      <c r="J3561">
        <v>-198.7646</v>
      </c>
      <c r="K3561">
        <v>1.0974410000000001</v>
      </c>
      <c r="L3561">
        <v>210.96960000000001</v>
      </c>
      <c r="M3561">
        <v>0.86709419999999904</v>
      </c>
      <c r="N3561">
        <v>-1.5655820000000001E-2</v>
      </c>
      <c r="O3561">
        <v>-0.49789800000000001</v>
      </c>
      <c r="P3561">
        <v>0.74633439999999995</v>
      </c>
      <c r="Q3561">
        <v>0.37675690000000001</v>
      </c>
      <c r="R3561">
        <v>-0.5486704</v>
      </c>
      <c r="S3561">
        <v>2.5835569999999999</v>
      </c>
      <c r="T3561">
        <v>-0.67991689999999905</v>
      </c>
      <c r="U3561">
        <v>-2.4207610000000002</v>
      </c>
      <c r="V3561">
        <v>0.11683300000000001</v>
      </c>
      <c r="W3561">
        <v>0.38752540000000002</v>
      </c>
      <c r="X3561">
        <v>0.91442559999999995</v>
      </c>
      <c r="Y3561">
        <v>0.23190620000000001</v>
      </c>
      <c r="Z3561">
        <v>6.5859609999999999E-2</v>
      </c>
      <c r="AA3561">
        <v>0.97050610000000004</v>
      </c>
      <c r="AB3561">
        <v>32</v>
      </c>
      <c r="AC3561">
        <v>0.31069999999999698</v>
      </c>
      <c r="AD3561">
        <v>-0.15669139999999901</v>
      </c>
      <c r="AE3561">
        <v>-0.38390000000001101</v>
      </c>
      <c r="AF3561">
        <v>0.16190514002171799</v>
      </c>
      <c r="AG3561">
        <v>-0.15669139999999901</v>
      </c>
      <c r="AH3561">
        <v>0.41848160393635803</v>
      </c>
      <c r="AI3561">
        <v>109.249438006593</v>
      </c>
      <c r="AJ3561">
        <v>68.849188114548596</v>
      </c>
      <c r="AK3561">
        <v>0.47528130831388599</v>
      </c>
      <c r="AL3561">
        <v>67.199390829858402</v>
      </c>
      <c r="AM3561">
        <v>82.718964418503802</v>
      </c>
      <c r="AN3561">
        <v>1.0000000317347499</v>
      </c>
    </row>
    <row r="3562" spans="1:40" x14ac:dyDescent="0.25">
      <c r="A3562" t="str">
        <f>"20190304164441962"</f>
        <v>20190304164441962</v>
      </c>
      <c r="B3562" t="str">
        <f>"1551689081953501"</f>
        <v>1551689081953501</v>
      </c>
      <c r="C3562" t="s">
        <v>40</v>
      </c>
      <c r="D3562">
        <v>5.4270740000000002</v>
      </c>
      <c r="E3562">
        <v>0.56941830000000004</v>
      </c>
      <c r="F3562" t="s">
        <v>41</v>
      </c>
      <c r="G3562">
        <v>-198.20660000000001</v>
      </c>
      <c r="H3562">
        <v>0.95076939999999999</v>
      </c>
      <c r="I3562">
        <v>210.43010000000001</v>
      </c>
      <c r="J3562">
        <v>-198.37090000000001</v>
      </c>
      <c r="K3562">
        <v>1.0971439999999999</v>
      </c>
      <c r="L3562">
        <v>210.71680000000001</v>
      </c>
      <c r="M3562">
        <v>0.85514409999999896</v>
      </c>
      <c r="N3562">
        <v>-1.5761560000000001E-2</v>
      </c>
      <c r="O3562">
        <v>-0.51815069999999996</v>
      </c>
      <c r="P3562">
        <v>0.73436489999999999</v>
      </c>
      <c r="Q3562">
        <v>0.37785940000000001</v>
      </c>
      <c r="R3562">
        <v>-0.56385319999999906</v>
      </c>
      <c r="S3562">
        <v>2.5472109999999999</v>
      </c>
      <c r="T3562">
        <v>-0.66942009999999996</v>
      </c>
      <c r="U3562">
        <v>-2.4625849999999998</v>
      </c>
      <c r="V3562">
        <v>0.11466229999999999</v>
      </c>
      <c r="W3562">
        <v>0.38872069999999997</v>
      </c>
      <c r="X3562">
        <v>0.91419300000000003</v>
      </c>
      <c r="Y3562">
        <v>0.2244304</v>
      </c>
      <c r="Z3562">
        <v>6.9022100000000003E-2</v>
      </c>
      <c r="AA3562">
        <v>0.97204270000000004</v>
      </c>
      <c r="AB3562">
        <v>32</v>
      </c>
      <c r="AC3562">
        <v>0.164299999999997</v>
      </c>
      <c r="AD3562">
        <v>-0.14637459999999999</v>
      </c>
      <c r="AE3562">
        <v>-0.28669999999999601</v>
      </c>
      <c r="AF3562">
        <v>0.13380276752394701</v>
      </c>
      <c r="AG3562">
        <v>-0.14637459999999999</v>
      </c>
      <c r="AH3562">
        <v>0.241669518568004</v>
      </c>
      <c r="AI3562">
        <v>117.918497127241</v>
      </c>
      <c r="AJ3562">
        <v>61.028451108858803</v>
      </c>
      <c r="AK3562">
        <v>0.31262255249280801</v>
      </c>
      <c r="AL3562">
        <v>67.1250797947894</v>
      </c>
      <c r="AM3562">
        <v>82.851030856015697</v>
      </c>
      <c r="AN3562">
        <v>1.0000000334493799</v>
      </c>
    </row>
    <row r="3563" spans="1:40" x14ac:dyDescent="0.25">
      <c r="A3563" t="str">
        <f>"20190304164441984"</f>
        <v>20190304164441984</v>
      </c>
      <c r="B3563" t="str">
        <f>"1551689081973993"</f>
        <v>1551689081973993</v>
      </c>
      <c r="C3563" t="s">
        <v>40</v>
      </c>
      <c r="D3563">
        <v>5.4098930000000003</v>
      </c>
      <c r="E3563">
        <v>0.56932309999999997</v>
      </c>
      <c r="F3563" t="s">
        <v>41</v>
      </c>
      <c r="G3563">
        <v>-197.75069999999999</v>
      </c>
      <c r="H3563">
        <v>0.93143279999999995</v>
      </c>
      <c r="I3563">
        <v>210.09010000000001</v>
      </c>
      <c r="J3563">
        <v>-198.10429999999999</v>
      </c>
      <c r="K3563">
        <v>1.0969390000000001</v>
      </c>
      <c r="L3563">
        <v>210.53790000000001</v>
      </c>
      <c r="M3563">
        <v>0.84649969999999997</v>
      </c>
      <c r="N3563">
        <v>-1.5835109999999999E-2</v>
      </c>
      <c r="O3563">
        <v>-0.53215389999999996</v>
      </c>
      <c r="P3563">
        <v>0.72559770000000001</v>
      </c>
      <c r="Q3563">
        <v>0.37580770000000002</v>
      </c>
      <c r="R3563">
        <v>-0.57643469999999997</v>
      </c>
      <c r="S3563">
        <v>2.493484</v>
      </c>
      <c r="T3563">
        <v>-0.66635730000000004</v>
      </c>
      <c r="U3563">
        <v>-2.519577</v>
      </c>
      <c r="V3563">
        <v>0.1149337</v>
      </c>
      <c r="W3563">
        <v>0.38669189999999998</v>
      </c>
      <c r="X3563">
        <v>0.91501889999999997</v>
      </c>
      <c r="Y3563">
        <v>0.22990840000000001</v>
      </c>
      <c r="Z3563">
        <v>7.067031E-2</v>
      </c>
      <c r="AA3563">
        <v>0.97064300000000003</v>
      </c>
      <c r="AB3563">
        <v>32</v>
      </c>
      <c r="AC3563">
        <v>0.35360000000000003</v>
      </c>
      <c r="AD3563">
        <v>-0.16550619999999899</v>
      </c>
      <c r="AE3563">
        <v>-0.44779999999999998</v>
      </c>
      <c r="AF3563">
        <v>0.17609988550795899</v>
      </c>
      <c r="AG3563">
        <v>-0.16550619999999899</v>
      </c>
      <c r="AH3563">
        <v>0.49595841451404898</v>
      </c>
      <c r="AI3563">
        <v>107.45703164186099</v>
      </c>
      <c r="AJ3563">
        <v>70.451582977930698</v>
      </c>
      <c r="AK3563">
        <v>0.551704831265456</v>
      </c>
      <c r="AL3563">
        <v>67.251183901596605</v>
      </c>
      <c r="AM3563">
        <v>82.840685953244005</v>
      </c>
      <c r="AN3563">
        <v>0.99999998413925395</v>
      </c>
    </row>
    <row r="3564" spans="1:40" x14ac:dyDescent="0.25">
      <c r="A3564" t="str">
        <f>"20190304164442007"</f>
        <v>20190304164442007</v>
      </c>
      <c r="B3564" t="str">
        <f>"1551689082003273"</f>
        <v>1551689082003273</v>
      </c>
      <c r="C3564" t="s">
        <v>40</v>
      </c>
      <c r="D3564">
        <v>5.4309419999999999</v>
      </c>
      <c r="E3564">
        <v>0.56924240000000004</v>
      </c>
      <c r="F3564" t="s">
        <v>41</v>
      </c>
      <c r="G3564">
        <v>-197.51560000000001</v>
      </c>
      <c r="H3564">
        <v>0.93464199999999997</v>
      </c>
      <c r="I3564">
        <v>209.9238</v>
      </c>
      <c r="J3564">
        <v>-197.83779999999999</v>
      </c>
      <c r="K3564">
        <v>1.096732</v>
      </c>
      <c r="L3564">
        <v>210.35239999999999</v>
      </c>
      <c r="M3564">
        <v>0.83739549999999996</v>
      </c>
      <c r="N3564">
        <v>-1.590685E-2</v>
      </c>
      <c r="O3564">
        <v>-0.54636609999999997</v>
      </c>
      <c r="P3564">
        <v>0.71653140000000004</v>
      </c>
      <c r="Q3564">
        <v>0.37185000000000001</v>
      </c>
      <c r="R3564">
        <v>-0.5901786</v>
      </c>
      <c r="S3564">
        <v>2.4523009999999998</v>
      </c>
      <c r="T3564">
        <v>-0.67579940000000005</v>
      </c>
      <c r="U3564">
        <v>-2.5581209999999999</v>
      </c>
      <c r="V3564">
        <v>0.1158677</v>
      </c>
      <c r="W3564">
        <v>0.3827469</v>
      </c>
      <c r="X3564">
        <v>0.91655850000000005</v>
      </c>
      <c r="Y3564">
        <v>0.2291832</v>
      </c>
      <c r="Z3564">
        <v>7.4495060000000002E-2</v>
      </c>
      <c r="AA3564">
        <v>0.97052850000000002</v>
      </c>
      <c r="AB3564">
        <v>32</v>
      </c>
      <c r="AC3564">
        <v>0.32219999999998</v>
      </c>
      <c r="AD3564">
        <v>-0.16209000000000001</v>
      </c>
      <c r="AE3564">
        <v>-0.42859999999998799</v>
      </c>
      <c r="AF3564">
        <v>0.16757813697707499</v>
      </c>
      <c r="AG3564">
        <v>-0.16209000000000001</v>
      </c>
      <c r="AH3564">
        <v>0.46184131897095099</v>
      </c>
      <c r="AI3564">
        <v>108.258641891374</v>
      </c>
      <c r="AJ3564">
        <v>70.056804955666294</v>
      </c>
      <c r="AK3564">
        <v>0.51735191504577904</v>
      </c>
      <c r="AL3564">
        <v>67.496063870884797</v>
      </c>
      <c r="AM3564">
        <v>82.795112462839995</v>
      </c>
      <c r="AN3564">
        <v>0.99999999864257505</v>
      </c>
    </row>
    <row r="3565" spans="1:40" x14ac:dyDescent="0.25">
      <c r="A3565" t="str">
        <f>"20190304164442029"</f>
        <v>20190304164442029</v>
      </c>
      <c r="B3565" t="str">
        <f>"1551689082023770"</f>
        <v>1551689082023770</v>
      </c>
      <c r="C3565" t="s">
        <v>40</v>
      </c>
      <c r="D3565">
        <v>5.3966659999999997</v>
      </c>
      <c r="E3565">
        <v>0.56915719999999903</v>
      </c>
      <c r="F3565" t="s">
        <v>41</v>
      </c>
      <c r="G3565">
        <v>-197.28360000000001</v>
      </c>
      <c r="H3565">
        <v>0.93727649999999996</v>
      </c>
      <c r="I3565">
        <v>209.75380000000001</v>
      </c>
      <c r="J3565">
        <v>-197.56450000000001</v>
      </c>
      <c r="K3565">
        <v>1.0965499999999999</v>
      </c>
      <c r="L3565">
        <v>210.1551</v>
      </c>
      <c r="M3565">
        <v>0.82756759999999996</v>
      </c>
      <c r="N3565">
        <v>-1.597589E-2</v>
      </c>
      <c r="O3565">
        <v>-0.5611389</v>
      </c>
      <c r="P3565">
        <v>0.7077215</v>
      </c>
      <c r="Q3565">
        <v>0.3668112</v>
      </c>
      <c r="R3565">
        <v>-0.60380449999999997</v>
      </c>
      <c r="S3565">
        <v>2.4055789999999999</v>
      </c>
      <c r="T3565">
        <v>-0.69232360000000004</v>
      </c>
      <c r="U3565">
        <v>-2.5988009999999999</v>
      </c>
      <c r="V3565">
        <v>0.1156803</v>
      </c>
      <c r="W3565">
        <v>0.37776860000000001</v>
      </c>
      <c r="X3565">
        <v>0.91864509999999999</v>
      </c>
      <c r="Y3565">
        <v>0.2292092</v>
      </c>
      <c r="Z3565">
        <v>7.9376199999999994E-2</v>
      </c>
      <c r="AA3565">
        <v>0.97013530000000003</v>
      </c>
      <c r="AB3565">
        <v>32</v>
      </c>
      <c r="AC3565">
        <v>0.28090000000000198</v>
      </c>
      <c r="AD3565">
        <v>-0.15927349999999901</v>
      </c>
      <c r="AE3565">
        <v>-0.401299999999992</v>
      </c>
      <c r="AF3565">
        <v>0.15781627983573901</v>
      </c>
      <c r="AG3565">
        <v>-0.15927349999999901</v>
      </c>
      <c r="AH3565">
        <v>0.413943477641805</v>
      </c>
      <c r="AI3565">
        <v>109.77494195027001</v>
      </c>
      <c r="AJ3565">
        <v>69.130612447718406</v>
      </c>
      <c r="AK3565">
        <v>0.470768763476968</v>
      </c>
      <c r="AL3565">
        <v>67.804465518004406</v>
      </c>
      <c r="AM3565">
        <v>82.822811543316107</v>
      </c>
      <c r="AN3565">
        <v>0.99999993335402704</v>
      </c>
    </row>
    <row r="3566" spans="1:40" x14ac:dyDescent="0.25">
      <c r="A3566" t="str">
        <f>"20190304164442052"</f>
        <v>20190304164442052</v>
      </c>
      <c r="B3566" t="str">
        <f>"1551689082043293"</f>
        <v>1551689082043293</v>
      </c>
      <c r="C3566" t="s">
        <v>40</v>
      </c>
      <c r="D3566">
        <v>5.4304030000000001</v>
      </c>
      <c r="E3566">
        <v>0.56906959999999995</v>
      </c>
      <c r="F3566" t="s">
        <v>41</v>
      </c>
      <c r="G3566">
        <v>-197.05260000000001</v>
      </c>
      <c r="H3566">
        <v>0.94191150000000001</v>
      </c>
      <c r="I3566">
        <v>209.58179999999999</v>
      </c>
      <c r="J3566">
        <v>-197.30779999999999</v>
      </c>
      <c r="K3566">
        <v>1.096403</v>
      </c>
      <c r="L3566">
        <v>209.96279999999999</v>
      </c>
      <c r="M3566">
        <v>0.81786709999999996</v>
      </c>
      <c r="N3566">
        <v>-1.6035569999999999E-2</v>
      </c>
      <c r="O3566">
        <v>-0.57518389999999997</v>
      </c>
      <c r="P3566">
        <v>0.69914129999999997</v>
      </c>
      <c r="Q3566">
        <v>0.36088690000000001</v>
      </c>
      <c r="R3566">
        <v>-0.61722140000000003</v>
      </c>
      <c r="S3566">
        <v>2.3561100000000001</v>
      </c>
      <c r="T3566">
        <v>-0.71185909999999997</v>
      </c>
      <c r="U3566">
        <v>-2.6394039999999999</v>
      </c>
      <c r="V3566">
        <v>0.1157064</v>
      </c>
      <c r="W3566">
        <v>0.37190020000000001</v>
      </c>
      <c r="X3566">
        <v>0.92103330000000005</v>
      </c>
      <c r="Y3566">
        <v>0.23047599999999999</v>
      </c>
      <c r="Z3566">
        <v>8.4571549999999995E-2</v>
      </c>
      <c r="AA3566">
        <v>0.96939589999999998</v>
      </c>
      <c r="AB3566">
        <v>32</v>
      </c>
      <c r="AC3566">
        <v>0.255199999999973</v>
      </c>
      <c r="AD3566">
        <v>-0.1544915</v>
      </c>
      <c r="AE3566">
        <v>-0.38100000000000001</v>
      </c>
      <c r="AF3566">
        <v>0.148039206682407</v>
      </c>
      <c r="AG3566">
        <v>-0.1544915</v>
      </c>
      <c r="AH3566">
        <v>0.384301610320265</v>
      </c>
      <c r="AI3566">
        <v>110.562818033773</v>
      </c>
      <c r="AJ3566">
        <v>68.932506842435203</v>
      </c>
      <c r="AK3566">
        <v>0.43985333690010298</v>
      </c>
      <c r="AL3566">
        <v>68.167145437262405</v>
      </c>
      <c r="AM3566">
        <v>82.839629948765904</v>
      </c>
      <c r="AN3566">
        <v>1.00000003473494</v>
      </c>
    </row>
    <row r="3567" spans="1:40" x14ac:dyDescent="0.25">
      <c r="A3567" t="str">
        <f>"20190304164442075"</f>
        <v>20190304164442075</v>
      </c>
      <c r="B3567" t="str">
        <f>"1551689082063786"</f>
        <v>1551689082063786</v>
      </c>
      <c r="C3567" t="s">
        <v>40</v>
      </c>
      <c r="D3567">
        <v>5.3987980000000002</v>
      </c>
      <c r="E3567">
        <v>0.56907509999999994</v>
      </c>
      <c r="F3567" t="s">
        <v>41</v>
      </c>
      <c r="G3567">
        <v>-196.82740000000001</v>
      </c>
      <c r="H3567">
        <v>0.943326</v>
      </c>
      <c r="I3567">
        <v>209.40459999999999</v>
      </c>
      <c r="J3567">
        <v>-197.0548</v>
      </c>
      <c r="K3567">
        <v>1.0962670000000001</v>
      </c>
      <c r="L3567">
        <v>209.7662</v>
      </c>
      <c r="M3567">
        <v>0.80785289999999998</v>
      </c>
      <c r="N3567">
        <v>-1.6088599999999901E-2</v>
      </c>
      <c r="O3567">
        <v>-0.58916459999999904</v>
      </c>
      <c r="P3567">
        <v>0.68973999999999902</v>
      </c>
      <c r="Q3567">
        <v>0.35553649999999998</v>
      </c>
      <c r="R3567">
        <v>-0.63075570000000003</v>
      </c>
      <c r="S3567">
        <v>2.3052220000000001</v>
      </c>
      <c r="T3567">
        <v>-0.73440899999999998</v>
      </c>
      <c r="U3567">
        <v>-2.678696</v>
      </c>
      <c r="V3567">
        <v>0.1161344</v>
      </c>
      <c r="W3567">
        <v>0.366587</v>
      </c>
      <c r="X3567">
        <v>0.92310709999999996</v>
      </c>
      <c r="Y3567">
        <v>0.23175290000000001</v>
      </c>
      <c r="Z3567">
        <v>9.0349819999999997E-2</v>
      </c>
      <c r="AA3567">
        <v>0.96856980000000004</v>
      </c>
      <c r="AB3567">
        <v>32</v>
      </c>
      <c r="AC3567">
        <v>0.227399999999988</v>
      </c>
      <c r="AD3567">
        <v>-0.15294099999999999</v>
      </c>
      <c r="AE3567">
        <v>-0.36160000000000903</v>
      </c>
      <c r="AF3567">
        <v>0.14019224633340199</v>
      </c>
      <c r="AG3567">
        <v>-0.15294099999999999</v>
      </c>
      <c r="AH3567">
        <v>0.35171170029037602</v>
      </c>
      <c r="AI3567">
        <v>111.995783152725</v>
      </c>
      <c r="AJ3567">
        <v>68.267779215363205</v>
      </c>
      <c r="AK3567">
        <v>0.408345363061898</v>
      </c>
      <c r="AL3567">
        <v>68.494717309248102</v>
      </c>
      <c r="AM3567">
        <v>82.829396759920897</v>
      </c>
      <c r="AN3567">
        <v>0.99999997275138397</v>
      </c>
    </row>
    <row r="3568" spans="1:40" x14ac:dyDescent="0.25">
      <c r="A3568" t="str">
        <f>"20190304164442097"</f>
        <v>20190304164442097</v>
      </c>
      <c r="B3568" t="str">
        <f>"1551689082093811"</f>
        <v>1551689082093811</v>
      </c>
      <c r="C3568" t="s">
        <v>40</v>
      </c>
      <c r="D3568">
        <v>5.3911290000000003</v>
      </c>
      <c r="E3568">
        <v>0.56910709999999998</v>
      </c>
      <c r="F3568" t="s">
        <v>41</v>
      </c>
      <c r="G3568">
        <v>-196.4333</v>
      </c>
      <c r="H3568">
        <v>0.88829709999999995</v>
      </c>
      <c r="I3568">
        <v>209.018</v>
      </c>
      <c r="J3568">
        <v>-196.8015</v>
      </c>
      <c r="K3568">
        <v>1.096157</v>
      </c>
      <c r="L3568">
        <v>209.5616</v>
      </c>
      <c r="M3568">
        <v>0.79734569999999905</v>
      </c>
      <c r="N3568">
        <v>-1.6135779999999999E-2</v>
      </c>
      <c r="O3568">
        <v>-0.60330719999999904</v>
      </c>
      <c r="P3568">
        <v>0.67908159999999995</v>
      </c>
      <c r="Q3568">
        <v>0.35159370000000001</v>
      </c>
      <c r="R3568">
        <v>-0.64438359999999995</v>
      </c>
      <c r="S3568">
        <v>2.255417</v>
      </c>
      <c r="T3568">
        <v>-0.75469030000000004</v>
      </c>
      <c r="U3568">
        <v>-2.7153170000000002</v>
      </c>
      <c r="V3568">
        <v>0.1169898</v>
      </c>
      <c r="W3568">
        <v>0.36265609999999998</v>
      </c>
      <c r="X3568">
        <v>0.92455069999999995</v>
      </c>
      <c r="Y3568">
        <v>0.2319621</v>
      </c>
      <c r="Z3568">
        <v>9.6151420000000001E-2</v>
      </c>
      <c r="AA3568">
        <v>0.96796099999999996</v>
      </c>
      <c r="AB3568">
        <v>31</v>
      </c>
      <c r="AC3568">
        <v>0.36820000000000103</v>
      </c>
      <c r="AD3568">
        <v>-0.20785989999999999</v>
      </c>
      <c r="AE3568">
        <v>-0.54359999999999697</v>
      </c>
      <c r="AF3568">
        <v>0.192075468779835</v>
      </c>
      <c r="AG3568">
        <v>-0.20785989999999999</v>
      </c>
      <c r="AH3568">
        <v>0.56499295645087699</v>
      </c>
      <c r="AI3568">
        <v>109.204257337778</v>
      </c>
      <c r="AJ3568">
        <v>71.223979034971094</v>
      </c>
      <c r="AK3568">
        <v>0.63191436490564601</v>
      </c>
      <c r="AL3568">
        <v>68.736594542487396</v>
      </c>
      <c r="AM3568">
        <v>82.788295715603297</v>
      </c>
      <c r="AN3568">
        <v>1.0000000285208599</v>
      </c>
    </row>
    <row r="3569" spans="1:40" x14ac:dyDescent="0.25">
      <c r="A3569" t="str">
        <f>"20190304164442120"</f>
        <v>20190304164442120</v>
      </c>
      <c r="B3569" t="str">
        <f>"1551689082113334"</f>
        <v>1551689082113334</v>
      </c>
      <c r="C3569" t="s">
        <v>40</v>
      </c>
      <c r="D3569">
        <v>5.2705349999999997</v>
      </c>
      <c r="E3569">
        <v>0.56928619999999996</v>
      </c>
      <c r="F3569" t="s">
        <v>41</v>
      </c>
      <c r="G3569">
        <v>-196.2166</v>
      </c>
      <c r="H3569">
        <v>0.89194169999999995</v>
      </c>
      <c r="I3569">
        <v>208.83170000000001</v>
      </c>
      <c r="J3569">
        <v>-196.55549999999999</v>
      </c>
      <c r="K3569">
        <v>1.0960749999999999</v>
      </c>
      <c r="L3569">
        <v>209.35589999999999</v>
      </c>
      <c r="M3569">
        <v>0.78669690000000003</v>
      </c>
      <c r="N3569">
        <v>-1.6176030000000001E-2</v>
      </c>
      <c r="O3569">
        <v>-0.6171276</v>
      </c>
      <c r="P3569">
        <v>0.66659809999999997</v>
      </c>
      <c r="Q3569">
        <v>0.3497883</v>
      </c>
      <c r="R3569">
        <v>-0.65825159999999905</v>
      </c>
      <c r="S3569">
        <v>2.2050019999999999</v>
      </c>
      <c r="T3569">
        <v>-0.76971259999999997</v>
      </c>
      <c r="U3569">
        <v>-2.7518769999999999</v>
      </c>
      <c r="V3569">
        <v>0.1193544</v>
      </c>
      <c r="W3569">
        <v>0.36079250000000002</v>
      </c>
      <c r="X3569">
        <v>0.92497739999999995</v>
      </c>
      <c r="Y3569">
        <v>0.23242489999999999</v>
      </c>
      <c r="Z3569">
        <v>0.10127650000000001</v>
      </c>
      <c r="AA3569">
        <v>0.9673271</v>
      </c>
      <c r="AB3569">
        <v>31</v>
      </c>
      <c r="AC3569">
        <v>0.33889999999999498</v>
      </c>
      <c r="AD3569">
        <v>-0.20413329999999999</v>
      </c>
      <c r="AE3569">
        <v>-0.52419999999997902</v>
      </c>
      <c r="AF3569">
        <v>0.18363001484036401</v>
      </c>
      <c r="AG3569">
        <v>-0.20413329999999999</v>
      </c>
      <c r="AH3569">
        <v>0.53316686007724701</v>
      </c>
      <c r="AI3569">
        <v>109.90028483859</v>
      </c>
      <c r="AJ3569">
        <v>70.995586308151005</v>
      </c>
      <c r="AK3569">
        <v>0.59971433800084695</v>
      </c>
      <c r="AL3569">
        <v>68.851124661905999</v>
      </c>
      <c r="AM3569">
        <v>82.6474696947665</v>
      </c>
      <c r="AN3569">
        <v>0.99999994568318296</v>
      </c>
    </row>
    <row r="3570" spans="1:40" x14ac:dyDescent="0.25">
      <c r="A3570" t="str">
        <f>"20190304164442141"</f>
        <v>20190304164442141</v>
      </c>
      <c r="B3570" t="str">
        <f>"1551689082133827"</f>
        <v>1551689082133827</v>
      </c>
      <c r="C3570" t="s">
        <v>40</v>
      </c>
      <c r="D3570">
        <v>5.2920619999999996</v>
      </c>
      <c r="E3570">
        <v>0.56936759999999997</v>
      </c>
      <c r="F3570" t="s">
        <v>41</v>
      </c>
      <c r="G3570">
        <v>-196.0035</v>
      </c>
      <c r="H3570">
        <v>0.89716359999999995</v>
      </c>
      <c r="I3570">
        <v>208.6404</v>
      </c>
      <c r="J3570">
        <v>-196.31909999999999</v>
      </c>
      <c r="K3570">
        <v>1.096006</v>
      </c>
      <c r="L3570">
        <v>209.15100000000001</v>
      </c>
      <c r="M3570">
        <v>0.77602879999999996</v>
      </c>
      <c r="N3570">
        <v>-1.6209959999999999E-2</v>
      </c>
      <c r="O3570">
        <v>-0.63048909999999903</v>
      </c>
      <c r="P3570">
        <v>0.65339309999999995</v>
      </c>
      <c r="Q3570">
        <v>0.34993879999999999</v>
      </c>
      <c r="R3570">
        <v>-0.67128279999999996</v>
      </c>
      <c r="S3570">
        <v>2.1524809999999999</v>
      </c>
      <c r="T3570">
        <v>-0.7755976</v>
      </c>
      <c r="U3570">
        <v>-2.7898710000000002</v>
      </c>
      <c r="V3570">
        <v>0.1219172</v>
      </c>
      <c r="W3570">
        <v>0.36086289999999999</v>
      </c>
      <c r="X3570">
        <v>0.92461570000000004</v>
      </c>
      <c r="Y3570">
        <v>0.2338085</v>
      </c>
      <c r="Z3570">
        <v>0.104989</v>
      </c>
      <c r="AA3570">
        <v>0.96659759999999995</v>
      </c>
      <c r="AB3570">
        <v>31</v>
      </c>
      <c r="AC3570">
        <v>0.315599999999989</v>
      </c>
      <c r="AD3570">
        <v>-0.1988424</v>
      </c>
      <c r="AE3570">
        <v>-0.51059999999998196</v>
      </c>
      <c r="AF3570">
        <v>0.17777607830893999</v>
      </c>
      <c r="AG3570">
        <v>-0.1988424</v>
      </c>
      <c r="AH3570">
        <v>0.51085913395354998</v>
      </c>
      <c r="AI3570">
        <v>110.183861189314</v>
      </c>
      <c r="AJ3570">
        <v>70.812393543844493</v>
      </c>
      <c r="AK3570">
        <v>0.57629826374928295</v>
      </c>
      <c r="AL3570">
        <v>68.846801200184899</v>
      </c>
      <c r="AM3570">
        <v>82.488473812697293</v>
      </c>
      <c r="AN3570">
        <v>1.0000000144693699</v>
      </c>
    </row>
    <row r="3571" spans="1:40" x14ac:dyDescent="0.25">
      <c r="A3571" t="str">
        <f>"20190304164442164"</f>
        <v>20190304164442164</v>
      </c>
      <c r="B3571" t="str">
        <f>"1551689082153347"</f>
        <v>1551689082153347</v>
      </c>
      <c r="C3571" t="s">
        <v>40</v>
      </c>
      <c r="D3571">
        <v>5.2734680000000003</v>
      </c>
      <c r="E3571">
        <v>0.57511909999999999</v>
      </c>
      <c r="F3571" t="s">
        <v>41</v>
      </c>
      <c r="G3571">
        <v>-195.79499999999999</v>
      </c>
      <c r="H3571">
        <v>0.90252940000000004</v>
      </c>
      <c r="I3571">
        <v>208.4443</v>
      </c>
      <c r="J3571">
        <v>-196.08189999999999</v>
      </c>
      <c r="K3571">
        <v>1.0959730000000001</v>
      </c>
      <c r="L3571">
        <v>208.9383</v>
      </c>
      <c r="M3571">
        <v>0.76488509999999998</v>
      </c>
      <c r="N3571">
        <v>-1.6239590000000002E-2</v>
      </c>
      <c r="O3571">
        <v>-0.64396180000000003</v>
      </c>
      <c r="P3571">
        <v>0.63987299999999903</v>
      </c>
      <c r="Q3571">
        <v>0.35106079999999901</v>
      </c>
      <c r="R3571">
        <v>-0.68360730000000003</v>
      </c>
      <c r="S3571">
        <v>2.0988310000000001</v>
      </c>
      <c r="T3571">
        <v>-0.77464599999999995</v>
      </c>
      <c r="U3571">
        <v>-2.8300019999999999</v>
      </c>
      <c r="V3571">
        <v>0.1238472</v>
      </c>
      <c r="W3571">
        <v>0.36192150000000001</v>
      </c>
      <c r="X3571">
        <v>0.92394520000000002</v>
      </c>
      <c r="Y3571">
        <v>0.23532710000000001</v>
      </c>
      <c r="Z3571">
        <v>0.10768179999999999</v>
      </c>
      <c r="AA3571">
        <v>0.96593260000000003</v>
      </c>
      <c r="AB3571">
        <v>31</v>
      </c>
      <c r="AC3571">
        <v>0.28690000000000199</v>
      </c>
      <c r="AD3571">
        <v>-0.19344359999999899</v>
      </c>
      <c r="AE3571">
        <v>-0.493999999999999</v>
      </c>
      <c r="AF3571">
        <v>0.17325941855736399</v>
      </c>
      <c r="AG3571">
        <v>-0.19344359999999899</v>
      </c>
      <c r="AH3571">
        <v>0.48232783928343498</v>
      </c>
      <c r="AI3571">
        <v>110.678962620121</v>
      </c>
      <c r="AJ3571">
        <v>70.240948016751602</v>
      </c>
      <c r="AK3571">
        <v>0.54779503196690504</v>
      </c>
      <c r="AL3571">
        <v>68.781751476553694</v>
      </c>
      <c r="AM3571">
        <v>82.365481956272703</v>
      </c>
      <c r="AN3571">
        <v>1.0000000168565599</v>
      </c>
    </row>
    <row r="3572" spans="1:40" x14ac:dyDescent="0.25">
      <c r="A3572" t="str">
        <f>"20190304164442186"</f>
        <v>20190304164442186</v>
      </c>
      <c r="B3572" t="str">
        <f>"1551689082173419"</f>
        <v>1551689082173419</v>
      </c>
      <c r="C3572" t="s">
        <v>40</v>
      </c>
      <c r="D3572">
        <v>5.2532489999999896</v>
      </c>
      <c r="E3572">
        <v>0.57530809999999999</v>
      </c>
      <c r="F3572" t="s">
        <v>41</v>
      </c>
      <c r="G3572">
        <v>-195.59200000000001</v>
      </c>
      <c r="H3572">
        <v>0.92852780000000001</v>
      </c>
      <c r="I3572">
        <v>208.22720000000001</v>
      </c>
      <c r="J3572">
        <v>-195.85050000000001</v>
      </c>
      <c r="K3572">
        <v>1.0959490000000001</v>
      </c>
      <c r="L3572">
        <v>208.72329999999999</v>
      </c>
      <c r="M3572">
        <v>0.75356709999999905</v>
      </c>
      <c r="N3572">
        <v>-1.6265100000000001E-2</v>
      </c>
      <c r="O3572">
        <v>-0.65716989999999997</v>
      </c>
      <c r="P3572">
        <v>0.62720719999999996</v>
      </c>
      <c r="Q3572">
        <v>0.35273779999999999</v>
      </c>
      <c r="R3572">
        <v>-0.69439689999999998</v>
      </c>
      <c r="S3572">
        <v>1.9838100000000001</v>
      </c>
      <c r="T3572">
        <v>-0.67793289999999995</v>
      </c>
      <c r="U3572">
        <v>-2.8797760000000001</v>
      </c>
      <c r="V3572">
        <v>0.12420779999999999</v>
      </c>
      <c r="W3572">
        <v>0.36358869999999999</v>
      </c>
      <c r="X3572">
        <v>0.92324200000000001</v>
      </c>
      <c r="Y3572">
        <v>0.25092759999999997</v>
      </c>
      <c r="Z3572">
        <v>9.5199010000000001E-2</v>
      </c>
      <c r="AA3572">
        <v>0.96331330000000004</v>
      </c>
      <c r="AB3572">
        <v>31</v>
      </c>
      <c r="AC3572">
        <v>0.25849999999999701</v>
      </c>
      <c r="AD3572">
        <v>-0.16742119999999999</v>
      </c>
      <c r="AE3572">
        <v>-0.496099999999984</v>
      </c>
      <c r="AF3572">
        <v>0.187223541127778</v>
      </c>
      <c r="AG3572">
        <v>-0.16742119999999999</v>
      </c>
      <c r="AH3572">
        <v>0.47806736507193898</v>
      </c>
      <c r="AI3572">
        <v>108.060605973623</v>
      </c>
      <c r="AJ3572">
        <v>68.613404481910706</v>
      </c>
      <c r="AK3572">
        <v>0.54002862711961097</v>
      </c>
      <c r="AL3572">
        <v>68.679246568485098</v>
      </c>
      <c r="AM3572">
        <v>82.337753795648197</v>
      </c>
      <c r="AN3572">
        <v>1.00000005545626</v>
      </c>
    </row>
    <row r="3573" spans="1:40" x14ac:dyDescent="0.25">
      <c r="A3573" t="str">
        <f>"20190304164442209"</f>
        <v>20190304164442209</v>
      </c>
      <c r="B3573" t="str">
        <f>"1551689082203675"</f>
        <v>1551689082203675</v>
      </c>
      <c r="C3573" t="s">
        <v>40</v>
      </c>
      <c r="D3573">
        <v>5.3320480000000003</v>
      </c>
      <c r="E3573">
        <v>0.57525029999999999</v>
      </c>
      <c r="F3573" t="s">
        <v>41</v>
      </c>
      <c r="G3573">
        <v>-195.3886</v>
      </c>
      <c r="H3573">
        <v>0.93690609999999996</v>
      </c>
      <c r="I3573">
        <v>208.02520000000001</v>
      </c>
      <c r="J3573">
        <v>-195.60570000000001</v>
      </c>
      <c r="K3573">
        <v>1.0959190000000001</v>
      </c>
      <c r="L3573">
        <v>208.48769999999999</v>
      </c>
      <c r="M3573">
        <v>0.74109259999999999</v>
      </c>
      <c r="N3573">
        <v>-1.6289789999999998E-2</v>
      </c>
      <c r="O3573">
        <v>-0.67120550000000001</v>
      </c>
      <c r="P3573">
        <v>0.61326190000000003</v>
      </c>
      <c r="Q3573">
        <v>0.35498649999999998</v>
      </c>
      <c r="R3573">
        <v>-0.70561669999999999</v>
      </c>
      <c r="S3573">
        <v>1.928741</v>
      </c>
      <c r="T3573">
        <v>-0.66405239999999999</v>
      </c>
      <c r="U3573">
        <v>-2.9154659999999999</v>
      </c>
      <c r="V3573">
        <v>0.12453400000000001</v>
      </c>
      <c r="W3573">
        <v>0.36582379999999998</v>
      </c>
      <c r="X3573">
        <v>0.92231459999999998</v>
      </c>
      <c r="Y3573">
        <v>0.25080659999999999</v>
      </c>
      <c r="Z3573">
        <v>9.5794409999999997E-2</v>
      </c>
      <c r="AA3573">
        <v>0.96328570000000002</v>
      </c>
      <c r="AB3573">
        <v>31</v>
      </c>
      <c r="AC3573">
        <v>0.217100000000016</v>
      </c>
      <c r="AD3573">
        <v>-0.15901290000000001</v>
      </c>
      <c r="AE3573">
        <v>-0.46249999999997699</v>
      </c>
      <c r="AF3573">
        <v>0.17966021342813199</v>
      </c>
      <c r="AG3573">
        <v>-0.15901290000000001</v>
      </c>
      <c r="AH3573">
        <v>0.42975832529214197</v>
      </c>
      <c r="AI3573">
        <v>108.84865370163401</v>
      </c>
      <c r="AJ3573">
        <v>67.312662679100498</v>
      </c>
      <c r="AK3573">
        <v>0.492194182019006</v>
      </c>
      <c r="AL3573">
        <v>68.541710346210706</v>
      </c>
      <c r="AM3573">
        <v>82.310238753598099</v>
      </c>
      <c r="AN3573">
        <v>0.99999999558779995</v>
      </c>
    </row>
    <row r="3574" spans="1:40" x14ac:dyDescent="0.25">
      <c r="A3574" t="str">
        <f>"20190304164442231"</f>
        <v>20190304164442231</v>
      </c>
      <c r="B3574" t="str">
        <f>"1551689082224171"</f>
        <v>1551689082224171</v>
      </c>
      <c r="C3574" t="s">
        <v>40</v>
      </c>
      <c r="D3574">
        <v>4.9740140000000004</v>
      </c>
      <c r="E3574">
        <v>0.60875480000000004</v>
      </c>
      <c r="F3574" t="s">
        <v>41</v>
      </c>
      <c r="G3574">
        <v>-195.1842</v>
      </c>
      <c r="H3574">
        <v>0.95008590000000004</v>
      </c>
      <c r="I3574">
        <v>207.822</v>
      </c>
      <c r="J3574">
        <v>-195.3853</v>
      </c>
      <c r="K3574">
        <v>1.0958810000000001</v>
      </c>
      <c r="L3574">
        <v>208.26769999999999</v>
      </c>
      <c r="M3574">
        <v>0.72937039999999997</v>
      </c>
      <c r="N3574">
        <v>-1.6307410000000001E-2</v>
      </c>
      <c r="O3574">
        <v>-0.68392469999999905</v>
      </c>
      <c r="P3574">
        <v>0.59998759999999995</v>
      </c>
      <c r="Q3574">
        <v>0.35883589999999999</v>
      </c>
      <c r="R3574">
        <v>-0.71501899999999996</v>
      </c>
      <c r="S3574">
        <v>1.8692169999999999</v>
      </c>
      <c r="T3574">
        <v>-0.64654769999999995</v>
      </c>
      <c r="U3574">
        <v>-2.9523160000000002</v>
      </c>
      <c r="V3574">
        <v>0.12457699999999999</v>
      </c>
      <c r="W3574">
        <v>0.36965399999999998</v>
      </c>
      <c r="X3574">
        <v>0.92078040000000005</v>
      </c>
      <c r="Y3574">
        <v>0.253249</v>
      </c>
      <c r="Z3574">
        <v>9.5252409999999996E-2</v>
      </c>
      <c r="AA3574">
        <v>0.96270040000000001</v>
      </c>
      <c r="AB3574">
        <v>31</v>
      </c>
      <c r="AC3574">
        <v>0.201099999999996</v>
      </c>
      <c r="AD3574">
        <v>-0.14579509999999901</v>
      </c>
      <c r="AE3574">
        <v>-0.44569999999998799</v>
      </c>
      <c r="AF3574">
        <v>0.17225387344104501</v>
      </c>
      <c r="AG3574">
        <v>-0.14579509999999901</v>
      </c>
      <c r="AH3574">
        <v>0.41469343045214702</v>
      </c>
      <c r="AI3574">
        <v>107.987454980721</v>
      </c>
      <c r="AJ3574">
        <v>67.443153723399007</v>
      </c>
      <c r="AK3574">
        <v>0.47212101135156398</v>
      </c>
      <c r="AL3574">
        <v>68.305720457165705</v>
      </c>
      <c r="AM3574">
        <v>82.294952190432895</v>
      </c>
      <c r="AN3574">
        <v>1.0000000268345699</v>
      </c>
    </row>
    <row r="3575" spans="1:40" x14ac:dyDescent="0.25">
      <c r="A3575" t="str">
        <f>"20190304164442252"</f>
        <v>20190304164442252</v>
      </c>
      <c r="B3575" t="str">
        <f>"1551689082243690"</f>
        <v>1551689082243690</v>
      </c>
      <c r="C3575" t="s">
        <v>40</v>
      </c>
      <c r="D3575">
        <v>5.2602830000000003</v>
      </c>
      <c r="E3575">
        <v>0.57211459999999903</v>
      </c>
      <c r="F3575" t="s">
        <v>42</v>
      </c>
      <c r="G3575">
        <v>-186.4265</v>
      </c>
      <c r="H3575" s="1">
        <v>-1.0501049999999901E-6</v>
      </c>
      <c r="I3575">
        <v>189.93979999999999</v>
      </c>
      <c r="J3575">
        <v>-195.1729</v>
      </c>
      <c r="K3575">
        <v>1.095826</v>
      </c>
      <c r="L3575">
        <v>208.04820000000001</v>
      </c>
      <c r="M3575">
        <v>0.71758569999999999</v>
      </c>
      <c r="N3575">
        <v>-1.6319219999999999E-2</v>
      </c>
      <c r="O3575">
        <v>-0.69627899999999998</v>
      </c>
      <c r="P3575">
        <v>0.586758</v>
      </c>
      <c r="Q3575">
        <v>0.36367579999999999</v>
      </c>
      <c r="R3575">
        <v>-0.72350190000000003</v>
      </c>
      <c r="S3575">
        <v>1.4859770000000001</v>
      </c>
      <c r="T3575">
        <v>-0.18177160000000001</v>
      </c>
      <c r="U3575">
        <v>-3.040009</v>
      </c>
      <c r="V3575">
        <v>0.1242651</v>
      </c>
      <c r="W3575">
        <v>0.37447269999999999</v>
      </c>
      <c r="X3575">
        <v>0.91887339999999995</v>
      </c>
      <c r="Y3575">
        <v>0.33879599999999999</v>
      </c>
      <c r="Z3575">
        <v>1.724324E-2</v>
      </c>
      <c r="AA3575">
        <v>0.94070180000000003</v>
      </c>
      <c r="AB3575">
        <v>31</v>
      </c>
      <c r="AC3575">
        <v>8.7463999999999906</v>
      </c>
      <c r="AD3575">
        <v>-1.095827050105</v>
      </c>
      <c r="AE3575">
        <v>-18.1084</v>
      </c>
      <c r="AF3575">
        <v>6.8848703676068501</v>
      </c>
      <c r="AG3575">
        <v>-1.095827050105</v>
      </c>
      <c r="AH3575">
        <v>18.8313888106211</v>
      </c>
      <c r="AI3575">
        <v>93.128293835386302</v>
      </c>
      <c r="AJ3575">
        <v>69.917280141995406</v>
      </c>
      <c r="AK3575">
        <v>20.080425330138802</v>
      </c>
      <c r="AL3575">
        <v>68.008273112341996</v>
      </c>
      <c r="AM3575">
        <v>82.298252237345906</v>
      </c>
      <c r="AN3575">
        <v>0.99999997167542898</v>
      </c>
    </row>
    <row r="3576" spans="1:40" x14ac:dyDescent="0.25">
      <c r="A3576" t="str">
        <f>"20190304164442276"</f>
        <v>20190304164442276</v>
      </c>
      <c r="B3576" t="str">
        <f>"1551689082273559"</f>
        <v>1551689082273559</v>
      </c>
      <c r="C3576" t="s">
        <v>40</v>
      </c>
      <c r="D3576">
        <v>5.794181</v>
      </c>
      <c r="E3576">
        <v>0.57382759999999999</v>
      </c>
      <c r="F3576" t="s">
        <v>41</v>
      </c>
      <c r="G3576">
        <v>-194.79300000000001</v>
      </c>
      <c r="H3576">
        <v>0.96201570000000003</v>
      </c>
      <c r="I3576">
        <v>207.40799999999999</v>
      </c>
      <c r="J3576">
        <v>-194.94900000000001</v>
      </c>
      <c r="K3576">
        <v>1.095745</v>
      </c>
      <c r="L3576">
        <v>207.80779999999999</v>
      </c>
      <c r="M3576">
        <v>0.70456149999999995</v>
      </c>
      <c r="N3576">
        <v>-1.6324390000000001E-2</v>
      </c>
      <c r="O3576">
        <v>-0.70945530000000001</v>
      </c>
      <c r="P3576">
        <v>0.57157860000000005</v>
      </c>
      <c r="Q3576">
        <v>0.37034600000000001</v>
      </c>
      <c r="R3576">
        <v>-0.73221720000000001</v>
      </c>
      <c r="S3576">
        <v>1.7883</v>
      </c>
      <c r="T3576">
        <v>-0.62967410000000001</v>
      </c>
      <c r="U3576">
        <v>-3.0127109999999999</v>
      </c>
      <c r="V3576">
        <v>0.1243417</v>
      </c>
      <c r="W3576">
        <v>0.38108199999999998</v>
      </c>
      <c r="X3576">
        <v>0.91614169999999995</v>
      </c>
      <c r="Y3576">
        <v>0.24653420000000001</v>
      </c>
      <c r="Z3576">
        <v>9.7411650000000002E-2</v>
      </c>
      <c r="AA3576">
        <v>0.96422609999999997</v>
      </c>
      <c r="AB3576">
        <v>31</v>
      </c>
      <c r="AC3576">
        <v>0.156000000000005</v>
      </c>
      <c r="AD3576">
        <v>-0.1337293</v>
      </c>
      <c r="AE3576">
        <v>-0.39979999999999899</v>
      </c>
      <c r="AF3576">
        <v>0.15589408935986099</v>
      </c>
      <c r="AG3576">
        <v>-0.1337293</v>
      </c>
      <c r="AH3576">
        <v>0.358767811701793</v>
      </c>
      <c r="AI3576">
        <v>108.873829348283</v>
      </c>
      <c r="AJ3576">
        <v>66.5137808478663</v>
      </c>
      <c r="AK3576">
        <v>0.413401542678693</v>
      </c>
      <c r="AL3576">
        <v>67.599279229396402</v>
      </c>
      <c r="AM3576">
        <v>82.270860457704003</v>
      </c>
      <c r="AN3576">
        <v>0.999999981780889</v>
      </c>
    </row>
    <row r="3577" spans="1:40" x14ac:dyDescent="0.25">
      <c r="A3577" t="str">
        <f>"20190304164442298"</f>
        <v>20190304164442298</v>
      </c>
      <c r="B3577" t="str">
        <f>"1551689082294056"</f>
        <v>1551689082294056</v>
      </c>
      <c r="C3577" t="s">
        <v>40</v>
      </c>
      <c r="D3577">
        <v>5.6246559999999999</v>
      </c>
      <c r="E3577">
        <v>0.57411140000000005</v>
      </c>
      <c r="F3577" t="s">
        <v>41</v>
      </c>
      <c r="G3577">
        <v>-194.46879999999999</v>
      </c>
      <c r="H3577">
        <v>0.92913520000000005</v>
      </c>
      <c r="I3577">
        <v>206.95320000000001</v>
      </c>
      <c r="J3577">
        <v>-194.73330000000001</v>
      </c>
      <c r="K3577">
        <v>1.0956399999999999</v>
      </c>
      <c r="L3577">
        <v>207.56710000000001</v>
      </c>
      <c r="M3577">
        <v>0.69137899999999997</v>
      </c>
      <c r="N3577">
        <v>-1.632248E-2</v>
      </c>
      <c r="O3577">
        <v>-0.72230810000000001</v>
      </c>
      <c r="P3577">
        <v>0.55541660000000004</v>
      </c>
      <c r="Q3577">
        <v>0.37605480000000002</v>
      </c>
      <c r="R3577">
        <v>-0.74168429999999996</v>
      </c>
      <c r="S3577">
        <v>1.718002</v>
      </c>
      <c r="T3577">
        <v>-0.59611049999999999</v>
      </c>
      <c r="U3577">
        <v>-3.0575100000000002</v>
      </c>
      <c r="V3577">
        <v>0.12586889999999901</v>
      </c>
      <c r="W3577">
        <v>0.38666679999999998</v>
      </c>
      <c r="X3577">
        <v>0.91358950000000005</v>
      </c>
      <c r="Y3577">
        <v>0.25129679999999999</v>
      </c>
      <c r="Z3577">
        <v>9.3471299999999993E-2</v>
      </c>
      <c r="AA3577">
        <v>0.96338619999999997</v>
      </c>
      <c r="AB3577">
        <v>31</v>
      </c>
      <c r="AC3577">
        <v>0.26450000000002599</v>
      </c>
      <c r="AD3577">
        <v>-0.16650479999999901</v>
      </c>
      <c r="AE3577">
        <v>-0.613900000000001</v>
      </c>
      <c r="AF3577">
        <v>0.219781741665139</v>
      </c>
      <c r="AG3577">
        <v>-0.16650479999999901</v>
      </c>
      <c r="AH3577">
        <v>0.58978474690897198</v>
      </c>
      <c r="AI3577">
        <v>104.817778459401</v>
      </c>
      <c r="AJ3577">
        <v>69.562222617094704</v>
      </c>
      <c r="AK3577">
        <v>0.651055996116219</v>
      </c>
      <c r="AL3577">
        <v>67.252743332082304</v>
      </c>
      <c r="AM3577">
        <v>82.155515074116295</v>
      </c>
      <c r="AN3577">
        <v>0.99999998435984905</v>
      </c>
    </row>
    <row r="3578" spans="1:40" x14ac:dyDescent="0.25">
      <c r="A3578" t="str">
        <f>"20190304164442320"</f>
        <v>20190304164442320</v>
      </c>
      <c r="B3578" t="str">
        <f>"1551689082313576"</f>
        <v>1551689082313576</v>
      </c>
      <c r="C3578" t="s">
        <v>40</v>
      </c>
      <c r="D3578">
        <v>5.6557659999999998</v>
      </c>
      <c r="E3578">
        <v>0.57430170000000003</v>
      </c>
      <c r="F3578" t="s">
        <v>41</v>
      </c>
      <c r="G3578">
        <v>-194.2868</v>
      </c>
      <c r="H3578">
        <v>0.93785439999999998</v>
      </c>
      <c r="I3578">
        <v>206.73509999999999</v>
      </c>
      <c r="J3578">
        <v>-194.52770000000001</v>
      </c>
      <c r="K3578">
        <v>1.095534</v>
      </c>
      <c r="L3578">
        <v>207.32910000000001</v>
      </c>
      <c r="M3578">
        <v>0.67820190000000002</v>
      </c>
      <c r="N3578">
        <v>-1.6320290000000001E-2</v>
      </c>
      <c r="O3578">
        <v>-0.73469439999999997</v>
      </c>
      <c r="P3578">
        <v>0.5410644</v>
      </c>
      <c r="Q3578">
        <v>0.37855539999999999</v>
      </c>
      <c r="R3578">
        <v>-0.75096289999999999</v>
      </c>
      <c r="S3578">
        <v>1.66220099999999</v>
      </c>
      <c r="T3578">
        <v>-0.58679700000000001</v>
      </c>
      <c r="U3578">
        <v>-3.0975799999999998</v>
      </c>
      <c r="V3578">
        <v>0.12624869999999999</v>
      </c>
      <c r="W3578">
        <v>0.3891056</v>
      </c>
      <c r="X3578">
        <v>0.91250100000000001</v>
      </c>
      <c r="Y3578">
        <v>0.25246859999999999</v>
      </c>
      <c r="Z3578">
        <v>9.3661090000000002E-2</v>
      </c>
      <c r="AA3578">
        <v>0.96306139999999996</v>
      </c>
      <c r="AB3578">
        <v>31</v>
      </c>
      <c r="AC3578">
        <v>0.24090000000001</v>
      </c>
      <c r="AD3578">
        <v>-0.1576796</v>
      </c>
      <c r="AE3578">
        <v>-0.59400000000002195</v>
      </c>
      <c r="AF3578">
        <v>0.213004606992512</v>
      </c>
      <c r="AG3578">
        <v>-0.1576796</v>
      </c>
      <c r="AH3578">
        <v>0.56563876305056204</v>
      </c>
      <c r="AI3578">
        <v>104.621404287278</v>
      </c>
      <c r="AJ3578">
        <v>69.364952383871</v>
      </c>
      <c r="AK3578">
        <v>0.62464472231946799</v>
      </c>
      <c r="AL3578">
        <v>67.101141059174395</v>
      </c>
      <c r="AM3578">
        <v>82.122873304797295</v>
      </c>
      <c r="AN3578">
        <v>0.99999998860202399</v>
      </c>
    </row>
    <row r="3579" spans="1:40" x14ac:dyDescent="0.25">
      <c r="A3579" t="str">
        <f>"20190304164442342"</f>
        <v>20190304164442342</v>
      </c>
      <c r="B3579" t="str">
        <f>"1551689082334073"</f>
        <v>1551689082334073</v>
      </c>
      <c r="C3579" t="s">
        <v>40</v>
      </c>
      <c r="D3579">
        <v>5.0552130000000002</v>
      </c>
      <c r="E3579">
        <v>0.57432340000000004</v>
      </c>
      <c r="F3579" t="s">
        <v>41</v>
      </c>
      <c r="G3579">
        <v>-194.1097</v>
      </c>
      <c r="H3579">
        <v>0.94403219999999999</v>
      </c>
      <c r="I3579">
        <v>206.51599999999999</v>
      </c>
      <c r="J3579">
        <v>-194.32679999999999</v>
      </c>
      <c r="K3579">
        <v>1.0954029999999999</v>
      </c>
      <c r="L3579">
        <v>207.08750000000001</v>
      </c>
      <c r="M3579">
        <v>0.6646706</v>
      </c>
      <c r="N3579">
        <v>-1.6315860000000001E-2</v>
      </c>
      <c r="O3579">
        <v>-0.74695840000000002</v>
      </c>
      <c r="P3579">
        <v>0.52951519999999996</v>
      </c>
      <c r="Q3579">
        <v>0.37673079999999998</v>
      </c>
      <c r="R3579">
        <v>-0.76005769999999995</v>
      </c>
      <c r="S3579">
        <v>1.6088559999999901</v>
      </c>
      <c r="T3579">
        <v>-0.58346489999999995</v>
      </c>
      <c r="U3579">
        <v>-3.1298219999999999</v>
      </c>
      <c r="V3579">
        <v>0.124166899999999</v>
      </c>
      <c r="W3579">
        <v>0.38733859999999998</v>
      </c>
      <c r="X3579">
        <v>0.91353790000000001</v>
      </c>
      <c r="Y3579">
        <v>0.25187300000000001</v>
      </c>
      <c r="Z3579">
        <v>9.5110620000000007E-2</v>
      </c>
      <c r="AA3579">
        <v>0.96307529999999997</v>
      </c>
      <c r="AB3579">
        <v>31</v>
      </c>
      <c r="AC3579">
        <v>0.217099999999987</v>
      </c>
      <c r="AD3579">
        <v>-0.1513708</v>
      </c>
      <c r="AE3579">
        <v>-0.571500000000014</v>
      </c>
      <c r="AF3579">
        <v>0.20514665264190299</v>
      </c>
      <c r="AG3579">
        <v>-0.1513708</v>
      </c>
      <c r="AH3579">
        <v>0.53826348168643601</v>
      </c>
      <c r="AI3579">
        <v>104.723417845756</v>
      </c>
      <c r="AJ3579">
        <v>69.136814161354295</v>
      </c>
      <c r="AK3579">
        <v>0.59558865326668398</v>
      </c>
      <c r="AL3579">
        <v>67.211000907128906</v>
      </c>
      <c r="AM3579">
        <v>82.259862058093901</v>
      </c>
      <c r="AN3579">
        <v>1.00000005242098</v>
      </c>
    </row>
    <row r="3580" spans="1:40" x14ac:dyDescent="0.25">
      <c r="A3580" t="str">
        <f>"20190304164442365"</f>
        <v>20190304164442365</v>
      </c>
      <c r="B3580" t="str">
        <f>"1551689082353592"</f>
        <v>1551689082353592</v>
      </c>
      <c r="C3580" t="s">
        <v>40</v>
      </c>
      <c r="D3580">
        <v>5.0631019999999998</v>
      </c>
      <c r="E3580">
        <v>0.5740556</v>
      </c>
      <c r="F3580" t="s">
        <v>41</v>
      </c>
      <c r="G3580">
        <v>-193.93680000000001</v>
      </c>
      <c r="H3580">
        <v>0.94690750000000001</v>
      </c>
      <c r="I3580">
        <v>206.29570000000001</v>
      </c>
      <c r="J3580">
        <v>-194.13050000000001</v>
      </c>
      <c r="K3580">
        <v>1.095264</v>
      </c>
      <c r="L3580">
        <v>206.84229999999999</v>
      </c>
      <c r="M3580">
        <v>0.65076040000000002</v>
      </c>
      <c r="N3580">
        <v>-1.6310809999999999E-2</v>
      </c>
      <c r="O3580">
        <v>-0.75910819999999901</v>
      </c>
      <c r="P3580">
        <v>0.5196501</v>
      </c>
      <c r="Q3580">
        <v>0.37238070000000001</v>
      </c>
      <c r="R3580">
        <v>-0.76895819999999904</v>
      </c>
      <c r="S3580">
        <v>1.555023</v>
      </c>
      <c r="T3580">
        <v>-0.5915011</v>
      </c>
      <c r="U3580">
        <v>-3.1569060000000002</v>
      </c>
      <c r="V3580">
        <v>0.1203975</v>
      </c>
      <c r="W3580">
        <v>0.38312619999999997</v>
      </c>
      <c r="X3580">
        <v>0.91581590000000002</v>
      </c>
      <c r="Y3580">
        <v>0.25064389999999998</v>
      </c>
      <c r="Z3580">
        <v>9.8793740000000005E-2</v>
      </c>
      <c r="AA3580">
        <v>0.96302520000000003</v>
      </c>
      <c r="AB3580">
        <v>31</v>
      </c>
      <c r="AC3580">
        <v>0.19370000000000601</v>
      </c>
      <c r="AD3580">
        <v>-0.148356499999999</v>
      </c>
      <c r="AE3580">
        <v>-0.54659999999998299</v>
      </c>
      <c r="AF3580">
        <v>0.195874469152477</v>
      </c>
      <c r="AG3580">
        <v>-0.148356499999999</v>
      </c>
      <c r="AH3580">
        <v>0.50781699998938601</v>
      </c>
      <c r="AI3580">
        <v>105.246834041144</v>
      </c>
      <c r="AJ3580">
        <v>68.907444643434104</v>
      </c>
      <c r="AK3580">
        <v>0.564140553617832</v>
      </c>
      <c r="AL3580">
        <v>67.472538440999799</v>
      </c>
      <c r="AM3580">
        <v>82.510574643638904</v>
      </c>
      <c r="AN3580">
        <v>1.00000000291275</v>
      </c>
    </row>
    <row r="3581" spans="1:40" x14ac:dyDescent="0.25">
      <c r="A3581" t="str">
        <f>"20190304164442387"</f>
        <v>20190304164442387</v>
      </c>
      <c r="B3581" t="str">
        <f>"1551689082383848"</f>
        <v>1551689082383848</v>
      </c>
      <c r="C3581" t="s">
        <v>40</v>
      </c>
      <c r="D3581">
        <v>5.6914910000000001</v>
      </c>
      <c r="E3581">
        <v>0.57294060000000002</v>
      </c>
      <c r="F3581" t="s">
        <v>41</v>
      </c>
      <c r="G3581">
        <v>-193.76679999999999</v>
      </c>
      <c r="H3581">
        <v>0.94761740000000005</v>
      </c>
      <c r="I3581">
        <v>206.07310000000001</v>
      </c>
      <c r="J3581">
        <v>-193.94040000000001</v>
      </c>
      <c r="K3581">
        <v>1.095127</v>
      </c>
      <c r="L3581">
        <v>206.59540000000001</v>
      </c>
      <c r="M3581">
        <v>0.63656769999999996</v>
      </c>
      <c r="N3581">
        <v>-1.6307229999999999E-2</v>
      </c>
      <c r="O3581">
        <v>-0.77104859999999997</v>
      </c>
      <c r="P3581">
        <v>0.50864639999999905</v>
      </c>
      <c r="Q3581">
        <v>0.36942589999999997</v>
      </c>
      <c r="R3581">
        <v>-0.77769119999999903</v>
      </c>
      <c r="S3581">
        <v>1.503876</v>
      </c>
      <c r="T3581">
        <v>-0.61048539999999996</v>
      </c>
      <c r="U3581">
        <v>-3.1807099999999999</v>
      </c>
      <c r="V3581">
        <v>0.1173327</v>
      </c>
      <c r="W3581">
        <v>0.38027460000000002</v>
      </c>
      <c r="X3581">
        <v>0.91740080000000002</v>
      </c>
      <c r="Y3581">
        <v>0.2483948</v>
      </c>
      <c r="Z3581">
        <v>0.1046755</v>
      </c>
      <c r="AA3581">
        <v>0.96298649999999997</v>
      </c>
      <c r="AB3581">
        <v>31</v>
      </c>
      <c r="AC3581">
        <v>0.17360000000002099</v>
      </c>
      <c r="AD3581">
        <v>-0.14750959999999899</v>
      </c>
      <c r="AE3581">
        <v>-0.52230000000000099</v>
      </c>
      <c r="AF3581">
        <v>0.18533916437183801</v>
      </c>
      <c r="AG3581">
        <v>-0.14750959999999899</v>
      </c>
      <c r="AH3581">
        <v>0.47889692833724401</v>
      </c>
      <c r="AI3581">
        <v>106.02709894265099</v>
      </c>
      <c r="AJ3581">
        <v>68.842932655602397</v>
      </c>
      <c r="AK3581">
        <v>0.53427704041354696</v>
      </c>
      <c r="AL3581">
        <v>67.649306501538703</v>
      </c>
      <c r="AM3581">
        <v>82.711616867715307</v>
      </c>
      <c r="AN3581">
        <v>0.99999998086754405</v>
      </c>
    </row>
    <row r="3582" spans="1:40" x14ac:dyDescent="0.25">
      <c r="A3582" t="str">
        <f>"20190304164442410"</f>
        <v>20190304164442410</v>
      </c>
      <c r="B3582" t="str">
        <f>"1551689082403368"</f>
        <v>1551689082403368</v>
      </c>
      <c r="C3582" t="s">
        <v>40</v>
      </c>
      <c r="D3582">
        <v>5.6877559999999896</v>
      </c>
      <c r="E3582">
        <v>0.57256459999999998</v>
      </c>
      <c r="F3582" t="s">
        <v>41</v>
      </c>
      <c r="G3582">
        <v>-193.6001</v>
      </c>
      <c r="H3582">
        <v>0.94653069999999895</v>
      </c>
      <c r="I3582">
        <v>205.84960000000001</v>
      </c>
      <c r="J3582">
        <v>-193.74359999999999</v>
      </c>
      <c r="K3582">
        <v>1.0949719999999901</v>
      </c>
      <c r="L3582">
        <v>206.3295</v>
      </c>
      <c r="M3582">
        <v>0.62106189999999994</v>
      </c>
      <c r="N3582">
        <v>-1.6302279999999999E-2</v>
      </c>
      <c r="O3582">
        <v>-0.78359209999999901</v>
      </c>
      <c r="P3582">
        <v>0.49591059999999998</v>
      </c>
      <c r="Q3582">
        <v>0.36832300000000001</v>
      </c>
      <c r="R3582">
        <v>-0.78639130000000002</v>
      </c>
      <c r="S3582">
        <v>1.4620059999999999</v>
      </c>
      <c r="T3582">
        <v>-0.63824499999999995</v>
      </c>
      <c r="U3582">
        <v>-3.2045439999999998</v>
      </c>
      <c r="V3582">
        <v>0.1143681</v>
      </c>
      <c r="W3582">
        <v>0.3792565</v>
      </c>
      <c r="X3582">
        <v>0.91819629999999997</v>
      </c>
      <c r="Y3582">
        <v>0.24259629999999999</v>
      </c>
      <c r="Z3582">
        <v>0.1125777</v>
      </c>
      <c r="AA3582">
        <v>0.96357320000000002</v>
      </c>
      <c r="AB3582">
        <v>31</v>
      </c>
      <c r="AC3582">
        <v>0.143499999999988</v>
      </c>
      <c r="AD3582">
        <v>-0.148441299999999</v>
      </c>
      <c r="AE3582">
        <v>-0.479899999999986</v>
      </c>
      <c r="AF3582">
        <v>0.17064039231839301</v>
      </c>
      <c r="AG3582">
        <v>-0.148441299999999</v>
      </c>
      <c r="AH3582">
        <v>0.42767012135697102</v>
      </c>
      <c r="AI3582">
        <v>107.868220577926</v>
      </c>
      <c r="AJ3582">
        <v>68.247998846579094</v>
      </c>
      <c r="AK3582">
        <v>0.48379199635561498</v>
      </c>
      <c r="AL3582">
        <v>67.712363842080507</v>
      </c>
      <c r="AM3582">
        <v>82.899956674037895</v>
      </c>
      <c r="AN3582">
        <v>1.0000000002117699</v>
      </c>
    </row>
    <row r="3583" spans="1:40" x14ac:dyDescent="0.25">
      <c r="A3583" t="str">
        <f>"20190304164442431"</f>
        <v>20190304164442431</v>
      </c>
      <c r="B3583" t="str">
        <f>"1551689082423864"</f>
        <v>1551689082423864</v>
      </c>
      <c r="C3583" t="s">
        <v>40</v>
      </c>
      <c r="D3583">
        <v>5.7029019999999999</v>
      </c>
      <c r="E3583">
        <v>0.56421350000000003</v>
      </c>
      <c r="F3583" t="s">
        <v>41</v>
      </c>
      <c r="G3583">
        <v>-193.43440000000001</v>
      </c>
      <c r="H3583">
        <v>0.9529126</v>
      </c>
      <c r="I3583">
        <v>205.62129999999999</v>
      </c>
      <c r="J3583">
        <v>-193.5658</v>
      </c>
      <c r="K3583">
        <v>1.094819</v>
      </c>
      <c r="L3583">
        <v>206.0788</v>
      </c>
      <c r="M3583">
        <v>0.60623649999999996</v>
      </c>
      <c r="N3583">
        <v>-1.6292460000000002E-2</v>
      </c>
      <c r="O3583">
        <v>-0.79511759999999998</v>
      </c>
      <c r="P3583">
        <v>0.48314360000000001</v>
      </c>
      <c r="Q3583">
        <v>0.36942540000000001</v>
      </c>
      <c r="R3583">
        <v>-0.79378669999999996</v>
      </c>
      <c r="S3583">
        <v>1.409897</v>
      </c>
      <c r="T3583">
        <v>-0.64753739999999904</v>
      </c>
      <c r="U3583">
        <v>-3.2291409999999998</v>
      </c>
      <c r="V3583">
        <v>0.1117983</v>
      </c>
      <c r="W3583">
        <v>0.38041399999999997</v>
      </c>
      <c r="X3583">
        <v>0.91803400000000002</v>
      </c>
      <c r="Y3583">
        <v>0.24031749999999999</v>
      </c>
      <c r="Z3583">
        <v>0.11672879999999999</v>
      </c>
      <c r="AA3583">
        <v>0.96365029999999996</v>
      </c>
      <c r="AB3583">
        <v>31</v>
      </c>
      <c r="AC3583">
        <v>0.131399999999985</v>
      </c>
      <c r="AD3583">
        <v>-0.14190639999999999</v>
      </c>
      <c r="AE3583">
        <v>-0.45750000000001001</v>
      </c>
      <c r="AF3583">
        <v>0.15878508342502701</v>
      </c>
      <c r="AG3583">
        <v>-0.14190639999999999</v>
      </c>
      <c r="AH3583">
        <v>0.40728562588087402</v>
      </c>
      <c r="AI3583">
        <v>107.98457787186901</v>
      </c>
      <c r="AJ3583">
        <v>68.701092516944499</v>
      </c>
      <c r="AK3583">
        <v>0.45959951058332099</v>
      </c>
      <c r="AL3583">
        <v>67.640672012380904</v>
      </c>
      <c r="AM3583">
        <v>83.056701778493306</v>
      </c>
      <c r="AN3583">
        <v>1.00000004821744</v>
      </c>
    </row>
    <row r="3584" spans="1:40" x14ac:dyDescent="0.25">
      <c r="A3584" t="str">
        <f>"20190304164442455"</f>
        <v>20190304164442455</v>
      </c>
      <c r="B3584" t="str">
        <f>"1551689082443384"</f>
        <v>1551689082443384</v>
      </c>
      <c r="C3584" t="s">
        <v>40</v>
      </c>
      <c r="D3584">
        <v>5.7027109999999999</v>
      </c>
      <c r="E3584">
        <v>0.56524909999999995</v>
      </c>
      <c r="F3584" t="s">
        <v>41</v>
      </c>
      <c r="G3584">
        <v>-193.26750000000001</v>
      </c>
      <c r="H3584">
        <v>0.93840539999999995</v>
      </c>
      <c r="I3584">
        <v>205.4067</v>
      </c>
      <c r="J3584">
        <v>-193.38910000000001</v>
      </c>
      <c r="K3584">
        <v>1.0946560000000001</v>
      </c>
      <c r="L3584">
        <v>205.8192</v>
      </c>
      <c r="M3584">
        <v>0.5906709</v>
      </c>
      <c r="N3584">
        <v>-1.6274839999999999E-2</v>
      </c>
      <c r="O3584">
        <v>-0.80674869999999899</v>
      </c>
      <c r="P3584">
        <v>0.46723819999999999</v>
      </c>
      <c r="Q3584">
        <v>0.3704403</v>
      </c>
      <c r="R3584">
        <v>-0.80278450000000001</v>
      </c>
      <c r="S3584">
        <v>1.443665</v>
      </c>
      <c r="T3584">
        <v>-0.75665150000000003</v>
      </c>
      <c r="U3584">
        <v>-3.2527919999999999</v>
      </c>
      <c r="V3584">
        <v>0.11214010000000001</v>
      </c>
      <c r="W3584">
        <v>0.38135930000000001</v>
      </c>
      <c r="X3584">
        <v>0.91759999999999997</v>
      </c>
      <c r="Y3584">
        <v>0.2170715</v>
      </c>
      <c r="Z3584">
        <v>0.1408721</v>
      </c>
      <c r="AA3584">
        <v>0.96593739999999995</v>
      </c>
      <c r="AB3584">
        <v>31</v>
      </c>
      <c r="AC3584">
        <v>0.1216</v>
      </c>
      <c r="AD3584">
        <v>-0.15625059999999899</v>
      </c>
      <c r="AE3584">
        <v>-0.41249999999999398</v>
      </c>
      <c r="AF3584">
        <v>0.12859461195622801</v>
      </c>
      <c r="AG3584">
        <v>-0.15625059999999899</v>
      </c>
      <c r="AH3584">
        <v>0.35747301006526599</v>
      </c>
      <c r="AI3584">
        <v>112.357106473767</v>
      </c>
      <c r="AJ3584">
        <v>70.214699746779601</v>
      </c>
      <c r="AK3584">
        <v>0.41077704067979998</v>
      </c>
      <c r="AL3584">
        <v>67.582094647105095</v>
      </c>
      <c r="AM3584">
        <v>83.0324206838566</v>
      </c>
      <c r="AN3584">
        <v>1.0000000388622401</v>
      </c>
    </row>
    <row r="3585" spans="1:40" x14ac:dyDescent="0.25">
      <c r="A3585" t="str">
        <f>"20190304164442479"</f>
        <v>20190304164442479</v>
      </c>
      <c r="B3585" t="str">
        <f>"1551689082474149"</f>
        <v>1551689082474149</v>
      </c>
      <c r="C3585" t="s">
        <v>40</v>
      </c>
      <c r="D3585">
        <v>5.6992620000000001</v>
      </c>
      <c r="E3585">
        <v>0.56647599999999998</v>
      </c>
      <c r="F3585" t="s">
        <v>41</v>
      </c>
      <c r="G3585">
        <v>-193.01439999999999</v>
      </c>
      <c r="H3585">
        <v>0.89199689999999998</v>
      </c>
      <c r="I3585">
        <v>204.92490000000001</v>
      </c>
      <c r="J3585">
        <v>-193.2079</v>
      </c>
      <c r="K3585">
        <v>1.094495</v>
      </c>
      <c r="L3585">
        <v>205.53980000000001</v>
      </c>
      <c r="M3585">
        <v>0.57369329999999996</v>
      </c>
      <c r="N3585">
        <v>-1.6247649999999999E-2</v>
      </c>
      <c r="O3585">
        <v>-0.8189092</v>
      </c>
      <c r="P3585">
        <v>0.44965070000000001</v>
      </c>
      <c r="Q3585">
        <v>0.371392</v>
      </c>
      <c r="R3585">
        <v>-0.81233180000000005</v>
      </c>
      <c r="S3585">
        <v>1.374344</v>
      </c>
      <c r="T3585">
        <v>-0.74288019999999999</v>
      </c>
      <c r="U3585">
        <v>-3.2798609999999999</v>
      </c>
      <c r="V3585">
        <v>0.1128851</v>
      </c>
      <c r="W3585">
        <v>0.38221379999999999</v>
      </c>
      <c r="X3585">
        <v>0.917153</v>
      </c>
      <c r="Y3585">
        <v>0.2168107</v>
      </c>
      <c r="Z3585">
        <v>0.14097889999999999</v>
      </c>
      <c r="AA3585">
        <v>0.96598039999999996</v>
      </c>
      <c r="AB3585">
        <v>31</v>
      </c>
      <c r="AC3585">
        <v>0.19350000000000001</v>
      </c>
      <c r="AD3585">
        <v>-0.20249809999999899</v>
      </c>
      <c r="AE3585">
        <v>-0.614900000000005</v>
      </c>
      <c r="AF3585">
        <v>0.17687669554416299</v>
      </c>
      <c r="AG3585">
        <v>-0.20249809999999899</v>
      </c>
      <c r="AH3585">
        <v>0.55943363581442895</v>
      </c>
      <c r="AI3585">
        <v>109.041106965336</v>
      </c>
      <c r="AJ3585">
        <v>72.454555886515905</v>
      </c>
      <c r="AK3585">
        <v>0.62069061440526396</v>
      </c>
      <c r="AL3585">
        <v>67.529122605932102</v>
      </c>
      <c r="AM3585">
        <v>82.983207127931706</v>
      </c>
      <c r="AN3585">
        <v>1.0000000300607199</v>
      </c>
    </row>
    <row r="3586" spans="1:40" x14ac:dyDescent="0.25">
      <c r="A3586" t="str">
        <f>"20190304164442502"</f>
        <v>20190304164442502</v>
      </c>
      <c r="B3586" t="str">
        <f>"1551689082493668"</f>
        <v>1551689082493668</v>
      </c>
      <c r="C3586" t="s">
        <v>40</v>
      </c>
      <c r="D3586">
        <v>5.6543559999999999</v>
      </c>
      <c r="E3586">
        <v>0.56673909999999905</v>
      </c>
      <c r="F3586" t="s">
        <v>41</v>
      </c>
      <c r="G3586">
        <v>-192.87</v>
      </c>
      <c r="H3586">
        <v>0.9051709</v>
      </c>
      <c r="I3586">
        <v>204.67930000000001</v>
      </c>
      <c r="J3586">
        <v>-193.03229999999999</v>
      </c>
      <c r="K3586">
        <v>1.0943400000000001</v>
      </c>
      <c r="L3586">
        <v>205.25630000000001</v>
      </c>
      <c r="M3586">
        <v>0.55625619999999998</v>
      </c>
      <c r="N3586">
        <v>-1.621657E-2</v>
      </c>
      <c r="O3586">
        <v>-0.8308527</v>
      </c>
      <c r="P3586">
        <v>0.43107970000000001</v>
      </c>
      <c r="Q3586">
        <v>0.3726622</v>
      </c>
      <c r="R3586">
        <v>-0.82176229999999995</v>
      </c>
      <c r="S3586">
        <v>1.2986599999999999</v>
      </c>
      <c r="T3586">
        <v>-0.72753659999999998</v>
      </c>
      <c r="U3586">
        <v>-3.306854</v>
      </c>
      <c r="V3586">
        <v>0.1142068</v>
      </c>
      <c r="W3586">
        <v>0.38335999999999998</v>
      </c>
      <c r="X3586">
        <v>0.91651070000000001</v>
      </c>
      <c r="Y3586">
        <v>0.21789729999999999</v>
      </c>
      <c r="Z3586">
        <v>0.14058019999999999</v>
      </c>
      <c r="AA3586">
        <v>0.96579400000000004</v>
      </c>
      <c r="AB3586">
        <v>31</v>
      </c>
      <c r="AC3586">
        <v>0.16229999999998701</v>
      </c>
      <c r="AD3586">
        <v>-0.18916909999999901</v>
      </c>
      <c r="AE3586">
        <v>-0.57699999999999796</v>
      </c>
      <c r="AF3586">
        <v>0.169276218833466</v>
      </c>
      <c r="AG3586">
        <v>-0.18916909999999901</v>
      </c>
      <c r="AH3586">
        <v>0.51814743701952803</v>
      </c>
      <c r="AI3586">
        <v>109.138677933271</v>
      </c>
      <c r="AJ3586">
        <v>71.908039606420004</v>
      </c>
      <c r="AK3586">
        <v>0.57698886743790101</v>
      </c>
      <c r="AL3586">
        <v>67.458034628276295</v>
      </c>
      <c r="AM3586">
        <v>82.896961558787694</v>
      </c>
      <c r="AN3586">
        <v>0.99999997299036403</v>
      </c>
    </row>
    <row r="3587" spans="1:40" x14ac:dyDescent="0.25">
      <c r="A3587" t="str">
        <f>"20190304164442522"</f>
        <v>20190304164442522</v>
      </c>
      <c r="B3587" t="str">
        <f>"1551689082514165"</f>
        <v>1551689082514165</v>
      </c>
      <c r="C3587" t="s">
        <v>40</v>
      </c>
      <c r="D3587">
        <v>5.6698659999999999</v>
      </c>
      <c r="E3587">
        <v>0.56695030000000002</v>
      </c>
      <c r="F3587" t="s">
        <v>41</v>
      </c>
      <c r="G3587">
        <v>-192.72909999999999</v>
      </c>
      <c r="H3587">
        <v>0.91612800000000005</v>
      </c>
      <c r="I3587">
        <v>204.4332</v>
      </c>
      <c r="J3587">
        <v>-192.8766</v>
      </c>
      <c r="K3587">
        <v>1.094211</v>
      </c>
      <c r="L3587">
        <v>204.9932</v>
      </c>
      <c r="M3587">
        <v>0.53988049999999999</v>
      </c>
      <c r="N3587">
        <v>-1.61822999999999E-2</v>
      </c>
      <c r="O3587">
        <v>-0.841586099999999</v>
      </c>
      <c r="P3587">
        <v>0.41378860000000001</v>
      </c>
      <c r="Q3587">
        <v>0.3737297</v>
      </c>
      <c r="R3587">
        <v>-0.83012359999999896</v>
      </c>
      <c r="S3587">
        <v>1.2282409999999999</v>
      </c>
      <c r="T3587">
        <v>-0.72147700000000003</v>
      </c>
      <c r="U3587">
        <v>-3.3335880000000002</v>
      </c>
      <c r="V3587">
        <v>0.1153459</v>
      </c>
      <c r="W3587">
        <v>0.3843124</v>
      </c>
      <c r="X3587">
        <v>0.91596909999999998</v>
      </c>
      <c r="Y3587">
        <v>0.21925790000000001</v>
      </c>
      <c r="Z3587">
        <v>0.141617299999999</v>
      </c>
      <c r="AA3587">
        <v>0.96533440000000004</v>
      </c>
      <c r="AB3587">
        <v>31</v>
      </c>
      <c r="AC3587">
        <v>0.14750000000000699</v>
      </c>
      <c r="AD3587">
        <v>-0.17808299999999999</v>
      </c>
      <c r="AE3587">
        <v>-0.56000000000000205</v>
      </c>
      <c r="AF3587">
        <v>0.16282466679259</v>
      </c>
      <c r="AG3587">
        <v>-0.17808299999999999</v>
      </c>
      <c r="AH3587">
        <v>0.50338888483562105</v>
      </c>
      <c r="AI3587">
        <v>108.603129525467</v>
      </c>
      <c r="AJ3587">
        <v>72.075835232980097</v>
      </c>
      <c r="AK3587">
        <v>0.55823453528169298</v>
      </c>
      <c r="AL3587">
        <v>67.398941219628796</v>
      </c>
      <c r="AM3587">
        <v>82.822652982636001</v>
      </c>
      <c r="AN3587">
        <v>1.00000004479768</v>
      </c>
    </row>
    <row r="3588" spans="1:40" x14ac:dyDescent="0.25">
      <c r="A3588" t="str">
        <f>"20190304164442544"</f>
        <v>20190304164442544</v>
      </c>
      <c r="B3588" t="str">
        <f>"1551689082533686"</f>
        <v>1551689082533686</v>
      </c>
      <c r="C3588" t="s">
        <v>40</v>
      </c>
      <c r="D3588">
        <v>5.7166920000000001</v>
      </c>
      <c r="E3588">
        <v>0.5667624</v>
      </c>
      <c r="F3588" t="s">
        <v>41</v>
      </c>
      <c r="G3588">
        <v>-192.59649999999999</v>
      </c>
      <c r="H3588">
        <v>0.92176270000000005</v>
      </c>
      <c r="I3588">
        <v>204.1849</v>
      </c>
      <c r="J3588">
        <v>-192.73249999999999</v>
      </c>
      <c r="K3588">
        <v>1.094093</v>
      </c>
      <c r="L3588">
        <v>204.73859999999999</v>
      </c>
      <c r="M3588">
        <v>0.52386779999999999</v>
      </c>
      <c r="N3588">
        <v>-1.614759E-2</v>
      </c>
      <c r="O3588">
        <v>-0.85164669999999898</v>
      </c>
      <c r="P3588">
        <v>0.39725830000000001</v>
      </c>
      <c r="Q3588">
        <v>0.37540099999999998</v>
      </c>
      <c r="R3588">
        <v>-0.83741299999999996</v>
      </c>
      <c r="S3588">
        <v>1.163254</v>
      </c>
      <c r="T3588">
        <v>-0.71631099999999903</v>
      </c>
      <c r="U3588">
        <v>-3.3565830000000001</v>
      </c>
      <c r="V3588">
        <v>0.1159598</v>
      </c>
      <c r="W3588">
        <v>0.38588869999999997</v>
      </c>
      <c r="X3588">
        <v>0.9152285</v>
      </c>
      <c r="Y3588">
        <v>0.2195452</v>
      </c>
      <c r="Z3588">
        <v>0.14275009999999999</v>
      </c>
      <c r="AA3588">
        <v>0.96510220000000002</v>
      </c>
      <c r="AB3588">
        <v>31</v>
      </c>
      <c r="AC3588">
        <v>0.13599999999999501</v>
      </c>
      <c r="AD3588">
        <v>-0.17233029999999899</v>
      </c>
      <c r="AE3588">
        <v>-0.55369999999999198</v>
      </c>
      <c r="AF3588">
        <v>0.15967701136214299</v>
      </c>
      <c r="AG3588">
        <v>-0.17233029999999899</v>
      </c>
      <c r="AH3588">
        <v>0.49743060173605802</v>
      </c>
      <c r="AI3588">
        <v>108.25578188232301</v>
      </c>
      <c r="AJ3588">
        <v>72.203183065815693</v>
      </c>
      <c r="AK3588">
        <v>0.55011969951923401</v>
      </c>
      <c r="AL3588">
        <v>67.301076725062202</v>
      </c>
      <c r="AM3588">
        <v>82.779077976140499</v>
      </c>
      <c r="AN3588">
        <v>0.99999998560798997</v>
      </c>
    </row>
    <row r="3589" spans="1:40" x14ac:dyDescent="0.25">
      <c r="A3589" t="str">
        <f>"20190304164442561"</f>
        <v>20190304164442561</v>
      </c>
      <c r="B3589" t="str">
        <f>"1551689082554182"</f>
        <v>1551689082554182</v>
      </c>
      <c r="C3589" t="s">
        <v>40</v>
      </c>
      <c r="D3589">
        <v>5.6636540000000002</v>
      </c>
      <c r="E3589">
        <v>0.56705150000000004</v>
      </c>
      <c r="F3589" t="s">
        <v>41</v>
      </c>
      <c r="G3589">
        <v>-192.47020000000001</v>
      </c>
      <c r="H3589">
        <v>0.92440990000000001</v>
      </c>
      <c r="I3589">
        <v>203.9348</v>
      </c>
      <c r="J3589">
        <v>-192.6174</v>
      </c>
      <c r="K3589">
        <v>1.0939920000000001</v>
      </c>
      <c r="L3589">
        <v>204.5266</v>
      </c>
      <c r="M3589">
        <v>0.51042460000000001</v>
      </c>
      <c r="N3589">
        <v>-1.612123E-2</v>
      </c>
      <c r="O3589">
        <v>-0.85977150000000002</v>
      </c>
      <c r="P3589">
        <v>0.38428590000000001</v>
      </c>
      <c r="Q3589">
        <v>0.37605939999999999</v>
      </c>
      <c r="R3589">
        <v>-0.84315149999999905</v>
      </c>
      <c r="S3589">
        <v>1.102646</v>
      </c>
      <c r="T3589">
        <v>-0.71282049999999997</v>
      </c>
      <c r="U3589">
        <v>-3.3789370000000001</v>
      </c>
      <c r="V3589">
        <v>0.1156679</v>
      </c>
      <c r="W3589">
        <v>0.3865093</v>
      </c>
      <c r="X3589">
        <v>0.91500349999999997</v>
      </c>
      <c r="Y3589">
        <v>0.22175239999999999</v>
      </c>
      <c r="Z3589">
        <v>0.14359930000000001</v>
      </c>
      <c r="AA3589">
        <v>0.96447139999999998</v>
      </c>
      <c r="AB3589">
        <v>31</v>
      </c>
      <c r="AC3589">
        <v>0.147199999999998</v>
      </c>
      <c r="AD3589">
        <v>-0.16958210000000001</v>
      </c>
      <c r="AE3589">
        <v>-0.59180000000000599</v>
      </c>
      <c r="AF3589">
        <v>0.162934246741433</v>
      </c>
      <c r="AG3589">
        <v>-0.16958210000000001</v>
      </c>
      <c r="AH3589">
        <v>0.54210309474771901</v>
      </c>
      <c r="AI3589">
        <v>106.677350285816</v>
      </c>
      <c r="AJ3589">
        <v>73.271349087557795</v>
      </c>
      <c r="AK3589">
        <v>0.590915749271132</v>
      </c>
      <c r="AL3589">
        <v>67.262527423786295</v>
      </c>
      <c r="AM3589">
        <v>82.795311109676504</v>
      </c>
      <c r="AN3589">
        <v>0.99999995354457305</v>
      </c>
    </row>
    <row r="3590" spans="1:40" x14ac:dyDescent="0.25">
      <c r="A3590" t="str">
        <f>"20190304164442578"</f>
        <v>20190304164442578</v>
      </c>
      <c r="B3590" t="str">
        <f>"1551689082573701"</f>
        <v>1551689082573701</v>
      </c>
      <c r="C3590" t="s">
        <v>40</v>
      </c>
      <c r="D3590">
        <v>5.0826129999999896</v>
      </c>
      <c r="E3590">
        <v>0.5673298</v>
      </c>
      <c r="F3590" t="s">
        <v>41</v>
      </c>
      <c r="G3590">
        <v>-192.35659999999999</v>
      </c>
      <c r="H3590">
        <v>0.9182671</v>
      </c>
      <c r="I3590">
        <v>203.68209999999999</v>
      </c>
      <c r="J3590">
        <v>-192.5085</v>
      </c>
      <c r="K3590">
        <v>1.0938909999999999</v>
      </c>
      <c r="L3590">
        <v>204.31890000000001</v>
      </c>
      <c r="M3590">
        <v>0.49715779999999898</v>
      </c>
      <c r="N3590">
        <v>-1.609882E-2</v>
      </c>
      <c r="O3590">
        <v>-0.86751100000000003</v>
      </c>
      <c r="P3590">
        <v>0.37186279999999999</v>
      </c>
      <c r="Q3590">
        <v>0.37640240000000003</v>
      </c>
      <c r="R3590">
        <v>-0.84855159999999996</v>
      </c>
      <c r="S3590">
        <v>1.048492</v>
      </c>
      <c r="T3590">
        <v>-0.70633919999999994</v>
      </c>
      <c r="U3590">
        <v>-3.3952330000000002</v>
      </c>
      <c r="V3590">
        <v>0.11506230000000001</v>
      </c>
      <c r="W3590">
        <v>0.38683469999999998</v>
      </c>
      <c r="X3590">
        <v>0.91494240000000004</v>
      </c>
      <c r="Y3590">
        <v>0.22210009999999999</v>
      </c>
      <c r="Z3590">
        <v>0.14393049999999999</v>
      </c>
      <c r="AA3590">
        <v>0.96434200000000003</v>
      </c>
      <c r="AB3590">
        <v>31</v>
      </c>
      <c r="AC3590">
        <v>0.151900000000011</v>
      </c>
      <c r="AD3590">
        <v>-0.175623899999999</v>
      </c>
      <c r="AE3590">
        <v>-0.63680000000002202</v>
      </c>
      <c r="AF3590">
        <v>0.17242998772861501</v>
      </c>
      <c r="AG3590">
        <v>-0.175623899999999</v>
      </c>
      <c r="AH3590">
        <v>0.58586796732310198</v>
      </c>
      <c r="AI3590">
        <v>106.043687126877</v>
      </c>
      <c r="AJ3590">
        <v>73.600029885906693</v>
      </c>
      <c r="AK3590">
        <v>0.63546607309486103</v>
      </c>
      <c r="AL3590">
        <v>67.242312155354099</v>
      </c>
      <c r="AM3590">
        <v>82.832165580524602</v>
      </c>
      <c r="AN3590">
        <v>1.00000000666157</v>
      </c>
    </row>
    <row r="3591" spans="1:40" x14ac:dyDescent="0.25">
      <c r="A3591" t="str">
        <f>"20190304164442601"</f>
        <v>20190304164442601</v>
      </c>
      <c r="B3591" t="str">
        <f>"1551689082593228"</f>
        <v>1551689082593228</v>
      </c>
      <c r="C3591" t="s">
        <v>40</v>
      </c>
      <c r="D3591">
        <v>5.4628880000000004</v>
      </c>
      <c r="E3591">
        <v>0.56733100000000003</v>
      </c>
      <c r="F3591" t="s">
        <v>41</v>
      </c>
      <c r="G3591">
        <v>-192.24809999999999</v>
      </c>
      <c r="H3591">
        <v>0.91053419999999896</v>
      </c>
      <c r="I3591">
        <v>203.42830000000001</v>
      </c>
      <c r="J3591">
        <v>-192.36330000000001</v>
      </c>
      <c r="K3591">
        <v>1.0937840000000001</v>
      </c>
      <c r="L3591">
        <v>204.02789999999999</v>
      </c>
      <c r="M3591">
        <v>0.47842750000000001</v>
      </c>
      <c r="N3591">
        <v>-1.6074189999999999E-2</v>
      </c>
      <c r="O3591">
        <v>-0.87797990000000004</v>
      </c>
      <c r="P3591">
        <v>0.35478310000000002</v>
      </c>
      <c r="Q3591">
        <v>0.37812269999999998</v>
      </c>
      <c r="R3591">
        <v>-0.85507479999999902</v>
      </c>
      <c r="S3591">
        <v>0.99705509999999997</v>
      </c>
      <c r="T3591">
        <v>-0.70156540000000001</v>
      </c>
      <c r="U3591">
        <v>-3.4097140000000001</v>
      </c>
      <c r="V3591">
        <v>0.1135637</v>
      </c>
      <c r="W3591">
        <v>0.38856039999999997</v>
      </c>
      <c r="X3591">
        <v>0.9143983</v>
      </c>
      <c r="Y3591">
        <v>0.215723</v>
      </c>
      <c r="Z3591">
        <v>0.14557349999999999</v>
      </c>
      <c r="AA3591">
        <v>0.96554229999999996</v>
      </c>
      <c r="AB3591">
        <v>31</v>
      </c>
      <c r="AC3591">
        <v>0.115200000000015</v>
      </c>
      <c r="AD3591">
        <v>-0.18324979999999999</v>
      </c>
      <c r="AE3591">
        <v>-0.59959999999998004</v>
      </c>
      <c r="AF3591">
        <v>0.17039675464309301</v>
      </c>
      <c r="AG3591">
        <v>-0.18324979999999999</v>
      </c>
      <c r="AH3591">
        <v>0.53356407739137302</v>
      </c>
      <c r="AI3591">
        <v>108.116348789545</v>
      </c>
      <c r="AJ3591">
        <v>72.288818817172199</v>
      </c>
      <c r="AK3591">
        <v>0.58932687693286701</v>
      </c>
      <c r="AL3591">
        <v>67.135048903893207</v>
      </c>
      <c r="AM3591">
        <v>82.920401464540305</v>
      </c>
      <c r="AN3591">
        <v>1.00000007472436</v>
      </c>
    </row>
    <row r="3592" spans="1:40" x14ac:dyDescent="0.25">
      <c r="A3592" t="str">
        <f>"20190304164442616"</f>
        <v>20190304164442616</v>
      </c>
      <c r="B3592" t="str">
        <f>"1551689082613717"</f>
        <v>1551689082613717</v>
      </c>
      <c r="C3592" t="s">
        <v>40</v>
      </c>
      <c r="D3592">
        <v>5.46549</v>
      </c>
      <c r="E3592">
        <v>0.5675268</v>
      </c>
      <c r="F3592" t="s">
        <v>41</v>
      </c>
      <c r="G3592">
        <v>-192.13140000000001</v>
      </c>
      <c r="H3592">
        <v>0.92055960000000003</v>
      </c>
      <c r="I3592">
        <v>203.1712</v>
      </c>
      <c r="J3592">
        <v>-192.27080000000001</v>
      </c>
      <c r="K3592">
        <v>1.093728</v>
      </c>
      <c r="L3592">
        <v>203.83510000000001</v>
      </c>
      <c r="M3592">
        <v>0.46593190000000001</v>
      </c>
      <c r="N3592">
        <v>-1.605999E-2</v>
      </c>
      <c r="O3592">
        <v>-0.88467489999999904</v>
      </c>
      <c r="P3592">
        <v>0.34371109999999999</v>
      </c>
      <c r="Q3592">
        <v>0.37950020000000001</v>
      </c>
      <c r="R3592">
        <v>-0.85897769999999996</v>
      </c>
      <c r="S3592">
        <v>0.92829899999999999</v>
      </c>
      <c r="T3592">
        <v>-0.69344099999999997</v>
      </c>
      <c r="U3592">
        <v>-3.4299620000000002</v>
      </c>
      <c r="V3592">
        <v>0.1122364</v>
      </c>
      <c r="W3592">
        <v>0.38995849999999999</v>
      </c>
      <c r="X3592">
        <v>0.91396679999999997</v>
      </c>
      <c r="Y3592">
        <v>0.22128229999999999</v>
      </c>
      <c r="Z3592">
        <v>0.14491670000000001</v>
      </c>
      <c r="AA3592">
        <v>0.96438239999999997</v>
      </c>
      <c r="AB3592">
        <v>31</v>
      </c>
      <c r="AC3592">
        <v>0.139399999999994</v>
      </c>
      <c r="AD3592">
        <v>-0.1731684</v>
      </c>
      <c r="AE3592">
        <v>-0.66390000000001204</v>
      </c>
      <c r="AF3592">
        <v>0.17465181389690901</v>
      </c>
      <c r="AG3592">
        <v>-0.1731684</v>
      </c>
      <c r="AH3592">
        <v>0.612461412506489</v>
      </c>
      <c r="AI3592">
        <v>105.211122356495</v>
      </c>
      <c r="AJ3592">
        <v>74.083769281681299</v>
      </c>
      <c r="AK3592">
        <v>0.65999964595860505</v>
      </c>
      <c r="AL3592">
        <v>67.048082250982304</v>
      </c>
      <c r="AM3592">
        <v>82.999049682389995</v>
      </c>
      <c r="AN3592">
        <v>0.99999997635472404</v>
      </c>
    </row>
    <row r="3593" spans="1:40" x14ac:dyDescent="0.25">
      <c r="A3593" t="str">
        <f>"20190304164442633"</f>
        <v>20190304164442633</v>
      </c>
      <c r="B3593" t="str">
        <f>"1551689082623476"</f>
        <v>1551689082623476</v>
      </c>
      <c r="C3593" t="s">
        <v>40</v>
      </c>
      <c r="D3593">
        <v>5.7204600000000001</v>
      </c>
      <c r="E3593">
        <v>0.56729350000000001</v>
      </c>
      <c r="F3593" t="s">
        <v>41</v>
      </c>
      <c r="G3593">
        <v>-192.03530000000001</v>
      </c>
      <c r="H3593">
        <v>0.91054239999999997</v>
      </c>
      <c r="I3593">
        <v>202.9134</v>
      </c>
      <c r="J3593">
        <v>-192.16630000000001</v>
      </c>
      <c r="K3593">
        <v>1.093664</v>
      </c>
      <c r="L3593">
        <v>203.60759999999999</v>
      </c>
      <c r="M3593">
        <v>0.45111319999999999</v>
      </c>
      <c r="N3593">
        <v>-1.604585E-2</v>
      </c>
      <c r="O3593">
        <v>-0.89232250000000002</v>
      </c>
      <c r="P3593">
        <v>0.33166639999999997</v>
      </c>
      <c r="Q3593">
        <v>0.38234240000000003</v>
      </c>
      <c r="R3593">
        <v>-0.86244539999999903</v>
      </c>
      <c r="S3593">
        <v>0.87969969999999997</v>
      </c>
      <c r="T3593">
        <v>-0.68361910000000004</v>
      </c>
      <c r="U3593">
        <v>-3.4425349999999999</v>
      </c>
      <c r="V3593">
        <v>0.10937669999999999</v>
      </c>
      <c r="W3593">
        <v>0.39287689999999997</v>
      </c>
      <c r="X3593">
        <v>0.91306330000000002</v>
      </c>
      <c r="Y3593">
        <v>0.21860889999999999</v>
      </c>
      <c r="Z3593">
        <v>0.14452279999999901</v>
      </c>
      <c r="AA3593">
        <v>0.96505090000000004</v>
      </c>
      <c r="AB3593">
        <v>31</v>
      </c>
      <c r="AC3593">
        <v>0.13100000000000001</v>
      </c>
      <c r="AD3593">
        <v>-0.183121599999999</v>
      </c>
      <c r="AE3593">
        <v>-0.69419999999999404</v>
      </c>
      <c r="AF3593">
        <v>0.18393495809118601</v>
      </c>
      <c r="AG3593">
        <v>-0.183121599999999</v>
      </c>
      <c r="AH3593">
        <v>0.63590605324955096</v>
      </c>
      <c r="AI3593">
        <v>105.46303619600801</v>
      </c>
      <c r="AJ3593">
        <v>73.867559343107899</v>
      </c>
      <c r="AK3593">
        <v>0.68683484023015895</v>
      </c>
      <c r="AL3593">
        <v>66.866373980318301</v>
      </c>
      <c r="AM3593">
        <v>83.169035776236996</v>
      </c>
      <c r="AN3593">
        <v>1.0000000554316899</v>
      </c>
    </row>
    <row r="3594" spans="1:40" x14ac:dyDescent="0.25">
      <c r="A3594" t="str">
        <f>"20190304164442656"</f>
        <v>20190304164442656</v>
      </c>
      <c r="B3594" t="str">
        <f>"1551689082653733"</f>
        <v>1551689082653733</v>
      </c>
      <c r="C3594" t="s">
        <v>40</v>
      </c>
      <c r="D3594">
        <v>5.4664089999999996</v>
      </c>
      <c r="E3594">
        <v>0.56742230000000005</v>
      </c>
      <c r="F3594" t="s">
        <v>41</v>
      </c>
      <c r="G3594">
        <v>-191.9982</v>
      </c>
      <c r="H3594">
        <v>0.95748599999999995</v>
      </c>
      <c r="I3594">
        <v>202.90950000000001</v>
      </c>
      <c r="J3594">
        <v>-192.042</v>
      </c>
      <c r="K3594">
        <v>1.093588</v>
      </c>
      <c r="L3594">
        <v>203.32230000000001</v>
      </c>
      <c r="M3594">
        <v>0.43242799999999998</v>
      </c>
      <c r="N3594">
        <v>-1.6030659999999999E-2</v>
      </c>
      <c r="O3594">
        <v>-0.90152600000000005</v>
      </c>
      <c r="P3594">
        <v>0.31641999999999998</v>
      </c>
      <c r="Q3594">
        <v>0.38428200000000001</v>
      </c>
      <c r="R3594">
        <v>-0.86729809999999996</v>
      </c>
      <c r="S3594">
        <v>0.83212280000000005</v>
      </c>
      <c r="T3594">
        <v>-0.67352939999999994</v>
      </c>
      <c r="U3594">
        <v>-3.4570620000000001</v>
      </c>
      <c r="V3594">
        <v>0.1062099</v>
      </c>
      <c r="W3594">
        <v>0.39490920000000002</v>
      </c>
      <c r="X3594">
        <v>0.91256020000000004</v>
      </c>
      <c r="Y3594">
        <v>0.2117501</v>
      </c>
      <c r="Z3594">
        <v>0.14441989999999999</v>
      </c>
      <c r="AA3594">
        <v>0.96659439999999996</v>
      </c>
      <c r="AB3594">
        <v>31</v>
      </c>
      <c r="AC3594">
        <v>4.3800000000004502E-2</v>
      </c>
      <c r="AD3594">
        <v>-0.136101999999999</v>
      </c>
      <c r="AE3594">
        <v>-0.412800000000004</v>
      </c>
      <c r="AF3594">
        <v>0.12554216588696701</v>
      </c>
      <c r="AG3594">
        <v>-0.136101999999999</v>
      </c>
      <c r="AH3594">
        <v>0.35317593603728098</v>
      </c>
      <c r="AI3594">
        <v>109.956351040485</v>
      </c>
      <c r="AJ3594">
        <v>70.431411053107794</v>
      </c>
      <c r="AK3594">
        <v>0.39877039962289101</v>
      </c>
      <c r="AL3594">
        <v>66.739688013855698</v>
      </c>
      <c r="AM3594">
        <v>83.361399125066995</v>
      </c>
      <c r="AN3594">
        <v>0.99999996886334397</v>
      </c>
    </row>
    <row r="3595" spans="1:40" x14ac:dyDescent="0.25">
      <c r="A3595" t="str">
        <f>"20190304164442671"</f>
        <v>20190304164442671</v>
      </c>
      <c r="B3595" t="str">
        <f>"1551689082663493"</f>
        <v>1551689082663493</v>
      </c>
      <c r="C3595" t="s">
        <v>40</v>
      </c>
      <c r="D3595">
        <v>5.4666730000000001</v>
      </c>
      <c r="E3595">
        <v>0.56738310000000003</v>
      </c>
      <c r="F3595" t="s">
        <v>41</v>
      </c>
      <c r="G3595">
        <v>-191.83590000000001</v>
      </c>
      <c r="H3595">
        <v>0.91634139999999997</v>
      </c>
      <c r="I3595">
        <v>202.392</v>
      </c>
      <c r="J3595">
        <v>-191.95949999999999</v>
      </c>
      <c r="K3595">
        <v>1.0935349999999999</v>
      </c>
      <c r="L3595">
        <v>203.1234</v>
      </c>
      <c r="M3595">
        <v>0.4193481</v>
      </c>
      <c r="N3595">
        <v>-1.602081E-2</v>
      </c>
      <c r="O3595">
        <v>-0.90768419999999905</v>
      </c>
      <c r="P3595">
        <v>0.30518640000000002</v>
      </c>
      <c r="Q3595">
        <v>0.38531840000000001</v>
      </c>
      <c r="R3595">
        <v>-0.87085679999999999</v>
      </c>
      <c r="S3595">
        <v>0.76908869999999996</v>
      </c>
      <c r="T3595">
        <v>-0.66112510000000002</v>
      </c>
      <c r="U3595">
        <v>-3.4713590000000001</v>
      </c>
      <c r="V3595">
        <v>0.1046962</v>
      </c>
      <c r="W3595">
        <v>0.39598529999999998</v>
      </c>
      <c r="X3595">
        <v>0.91226879999999999</v>
      </c>
      <c r="Y3595">
        <v>0.21510779999999999</v>
      </c>
      <c r="Z3595">
        <v>0.1427388</v>
      </c>
      <c r="AA3595">
        <v>0.96610260000000003</v>
      </c>
      <c r="AB3595">
        <v>31</v>
      </c>
      <c r="AC3595">
        <v>0.123599999999981</v>
      </c>
      <c r="AD3595">
        <v>-0.17719360000000001</v>
      </c>
      <c r="AE3595">
        <v>-0.73140000000000704</v>
      </c>
      <c r="AF3595">
        <v>0.18404420953648601</v>
      </c>
      <c r="AG3595">
        <v>-0.17719360000000001</v>
      </c>
      <c r="AH3595">
        <v>0.67716231843013897</v>
      </c>
      <c r="AI3595">
        <v>104.171551665386</v>
      </c>
      <c r="AJ3595">
        <v>74.795013995739197</v>
      </c>
      <c r="AK3595">
        <v>0.72375316817721203</v>
      </c>
      <c r="AL3595">
        <v>66.672561315844604</v>
      </c>
      <c r="AM3595">
        <v>83.453113102000799</v>
      </c>
      <c r="AN3595">
        <v>1.0000000077819799</v>
      </c>
    </row>
    <row r="3596" spans="1:40" x14ac:dyDescent="0.25">
      <c r="A3596" t="str">
        <f>"20190304164442690"</f>
        <v>20190304164442690</v>
      </c>
      <c r="B3596" t="str">
        <f>"1551689082683988"</f>
        <v>1551689082683988</v>
      </c>
      <c r="C3596" t="s">
        <v>40</v>
      </c>
      <c r="D3596">
        <v>5.394819</v>
      </c>
      <c r="E3596">
        <v>0.56738809999999995</v>
      </c>
      <c r="F3596" t="s">
        <v>41</v>
      </c>
      <c r="G3596">
        <v>-191.80629999999999</v>
      </c>
      <c r="H3596">
        <v>0.9546462</v>
      </c>
      <c r="I3596">
        <v>202.38740000000001</v>
      </c>
      <c r="J3596">
        <v>-191.85810000000001</v>
      </c>
      <c r="K3596">
        <v>1.0934740000000001</v>
      </c>
      <c r="L3596">
        <v>202.8672</v>
      </c>
      <c r="M3596">
        <v>0.40243319999999999</v>
      </c>
      <c r="N3596">
        <v>-1.6008049999999999E-2</v>
      </c>
      <c r="O3596">
        <v>-0.9153095</v>
      </c>
      <c r="P3596">
        <v>0.29306389999999999</v>
      </c>
      <c r="Q3596">
        <v>0.38581090000000001</v>
      </c>
      <c r="R3596">
        <v>-0.87479359999999995</v>
      </c>
      <c r="S3596">
        <v>0.72476200000000002</v>
      </c>
      <c r="T3596">
        <v>-0.65646899999999997</v>
      </c>
      <c r="U3596">
        <v>-3.4813390000000002</v>
      </c>
      <c r="V3596">
        <v>0.100395</v>
      </c>
      <c r="W3596">
        <v>0.39663710000000002</v>
      </c>
      <c r="X3596">
        <v>0.91246910000000003</v>
      </c>
      <c r="Y3596">
        <v>0.2093448</v>
      </c>
      <c r="Z3596">
        <v>0.14350370000000001</v>
      </c>
      <c r="AA3596">
        <v>0.96725459999999996</v>
      </c>
      <c r="AB3596">
        <v>31</v>
      </c>
      <c r="AC3596">
        <v>5.1800000000014203E-2</v>
      </c>
      <c r="AD3596">
        <v>-0.1388278</v>
      </c>
      <c r="AE3596">
        <v>-0.47979999999998302</v>
      </c>
      <c r="AF3596">
        <v>0.13455761573285599</v>
      </c>
      <c r="AG3596">
        <v>-0.1388278</v>
      </c>
      <c r="AH3596">
        <v>0.424906836137036</v>
      </c>
      <c r="AI3596">
        <v>107.300777159456</v>
      </c>
      <c r="AJ3596">
        <v>72.428277444036198</v>
      </c>
      <c r="AK3596">
        <v>0.46682408828223199</v>
      </c>
      <c r="AL3596">
        <v>66.631885065370795</v>
      </c>
      <c r="AM3596">
        <v>83.721249809562494</v>
      </c>
      <c r="AN3596">
        <v>1.0000000017881101</v>
      </c>
    </row>
    <row r="3597" spans="1:40" x14ac:dyDescent="0.25">
      <c r="A3597" t="str">
        <f>"20190304164442713"</f>
        <v>20190304164442713</v>
      </c>
      <c r="B3597" t="str">
        <f>"1551689082703508"</f>
        <v>1551689082703508</v>
      </c>
      <c r="C3597" t="s">
        <v>40</v>
      </c>
      <c r="D3597">
        <v>5.4363320000000002</v>
      </c>
      <c r="E3597">
        <v>0.5673414</v>
      </c>
      <c r="F3597" t="s">
        <v>41</v>
      </c>
      <c r="G3597">
        <v>-191.71559999999999</v>
      </c>
      <c r="H3597">
        <v>0.95493150000000004</v>
      </c>
      <c r="I3597">
        <v>202.1242</v>
      </c>
      <c r="J3597">
        <v>-191.749</v>
      </c>
      <c r="K3597">
        <v>1.0934170000000001</v>
      </c>
      <c r="L3597">
        <v>202.57570000000001</v>
      </c>
      <c r="M3597">
        <v>0.38311790000000001</v>
      </c>
      <c r="N3597">
        <v>-1.5995349999999998E-2</v>
      </c>
      <c r="O3597">
        <v>-0.92356099999999997</v>
      </c>
      <c r="P3597">
        <v>0.27913959999999999</v>
      </c>
      <c r="Q3597">
        <v>0.38643280000000002</v>
      </c>
      <c r="R3597">
        <v>-0.87906249999999997</v>
      </c>
      <c r="S3597">
        <v>0.6698151</v>
      </c>
      <c r="T3597">
        <v>-0.65100380000000002</v>
      </c>
      <c r="U3597">
        <v>-3.4920960000000001</v>
      </c>
      <c r="V3597">
        <v>9.5651949999999999E-2</v>
      </c>
      <c r="W3597">
        <v>0.39743800000000001</v>
      </c>
      <c r="X3597">
        <v>0.9126301</v>
      </c>
      <c r="Y3597">
        <v>0.20404310000000001</v>
      </c>
      <c r="Z3597">
        <v>0.14419029999999899</v>
      </c>
      <c r="AA3597">
        <v>0.9682849</v>
      </c>
      <c r="AB3597">
        <v>30</v>
      </c>
      <c r="AC3597">
        <v>3.3400000000028698E-2</v>
      </c>
      <c r="AD3597">
        <v>-0.13848550000000001</v>
      </c>
      <c r="AE3597">
        <v>-0.45150000000001</v>
      </c>
      <c r="AF3597">
        <v>0.12998651792940599</v>
      </c>
      <c r="AG3597">
        <v>-0.13848550000000001</v>
      </c>
      <c r="AH3597">
        <v>0.39306131127824501</v>
      </c>
      <c r="AI3597">
        <v>108.49551568651199</v>
      </c>
      <c r="AJ3597">
        <v>71.700799184896198</v>
      </c>
      <c r="AK3597">
        <v>0.436545442053213</v>
      </c>
      <c r="AL3597">
        <v>66.581886608761906</v>
      </c>
      <c r="AM3597">
        <v>84.016725098322098</v>
      </c>
      <c r="AN3597">
        <v>0.99999997940440599</v>
      </c>
    </row>
    <row r="3598" spans="1:40" x14ac:dyDescent="0.25">
      <c r="A3598" t="str">
        <f>"20190304164442733"</f>
        <v>20190304164442733</v>
      </c>
      <c r="B3598" t="str">
        <f>"1551689082724005"</f>
        <v>1551689082724005</v>
      </c>
      <c r="C3598" t="s">
        <v>40</v>
      </c>
      <c r="D3598">
        <v>5.3232100000000004</v>
      </c>
      <c r="E3598">
        <v>0.56721560000000004</v>
      </c>
      <c r="F3598" t="s">
        <v>41</v>
      </c>
      <c r="G3598">
        <v>-191.62469999999999</v>
      </c>
      <c r="H3598">
        <v>0.96128080000000005</v>
      </c>
      <c r="I3598">
        <v>201.8586</v>
      </c>
      <c r="J3598">
        <v>-191.65270000000001</v>
      </c>
      <c r="K3598">
        <v>1.0933850000000001</v>
      </c>
      <c r="L3598">
        <v>202.30090000000001</v>
      </c>
      <c r="M3598">
        <v>0.36488209999999999</v>
      </c>
      <c r="N3598">
        <v>-1.59837E-2</v>
      </c>
      <c r="O3598">
        <v>-0.93091659999999998</v>
      </c>
      <c r="P3598">
        <v>0.26742379999999999</v>
      </c>
      <c r="Q3598">
        <v>0.38601619999999998</v>
      </c>
      <c r="R3598">
        <v>-0.88287959999999999</v>
      </c>
      <c r="S3598">
        <v>0.60729979999999995</v>
      </c>
      <c r="T3598">
        <v>-0.64473389999999997</v>
      </c>
      <c r="U3598">
        <v>-3.5032960000000002</v>
      </c>
      <c r="V3598">
        <v>8.9884530000000004E-2</v>
      </c>
      <c r="W3598">
        <v>0.39725640000000001</v>
      </c>
      <c r="X3598">
        <v>0.91329519999999997</v>
      </c>
      <c r="Y3598">
        <v>0.20207829999999999</v>
      </c>
      <c r="Z3598">
        <v>0.14433850000000001</v>
      </c>
      <c r="AA3598">
        <v>0.9686747</v>
      </c>
      <c r="AB3598">
        <v>30</v>
      </c>
      <c r="AC3598">
        <v>2.8000000000019998E-2</v>
      </c>
      <c r="AD3598">
        <v>-0.1321042</v>
      </c>
      <c r="AE3598">
        <v>-0.44230000000001701</v>
      </c>
      <c r="AF3598">
        <v>0.12429521221534499</v>
      </c>
      <c r="AG3598">
        <v>-0.1321042</v>
      </c>
      <c r="AH3598">
        <v>0.38757827070751799</v>
      </c>
      <c r="AI3598">
        <v>107.98153726375401</v>
      </c>
      <c r="AJ3598">
        <v>72.219106901310099</v>
      </c>
      <c r="AK3598">
        <v>0.42792258103765402</v>
      </c>
      <c r="AL3598">
        <v>66.593225525022305</v>
      </c>
      <c r="AM3598">
        <v>84.379175081232205</v>
      </c>
      <c r="AN3598">
        <v>0.99999999920866001</v>
      </c>
    </row>
    <row r="3599" spans="1:40" x14ac:dyDescent="0.25">
      <c r="A3599" t="str">
        <f>"20190304164442757"</f>
        <v>20190304164442757</v>
      </c>
      <c r="B3599" t="str">
        <f>"1551689082753286"</f>
        <v>1551689082753286</v>
      </c>
      <c r="C3599" t="s">
        <v>40</v>
      </c>
      <c r="D3599">
        <v>5.3290889999999997</v>
      </c>
      <c r="E3599">
        <v>0.56692690000000001</v>
      </c>
      <c r="F3599" t="s">
        <v>41</v>
      </c>
      <c r="G3599">
        <v>-191.5412</v>
      </c>
      <c r="H3599">
        <v>0.96355840000000004</v>
      </c>
      <c r="I3599">
        <v>201.5926</v>
      </c>
      <c r="J3599">
        <v>-191.5548</v>
      </c>
      <c r="K3599">
        <v>1.093377</v>
      </c>
      <c r="L3599">
        <v>202.00120000000001</v>
      </c>
      <c r="M3599">
        <v>0.34497689999999998</v>
      </c>
      <c r="N3599">
        <v>-1.5966850000000001E-2</v>
      </c>
      <c r="O3599">
        <v>-0.93847539999999996</v>
      </c>
      <c r="P3599">
        <v>0.25527610000000001</v>
      </c>
      <c r="Q3599">
        <v>0.38570520000000003</v>
      </c>
      <c r="R3599">
        <v>-0.88660349999999999</v>
      </c>
      <c r="S3599">
        <v>0.55244450000000001</v>
      </c>
      <c r="T3599">
        <v>-0.64395429999999998</v>
      </c>
      <c r="U3599">
        <v>-3.5121769999999999</v>
      </c>
      <c r="V3599">
        <v>8.2980230000000002E-2</v>
      </c>
      <c r="W3599">
        <v>0.39722669999999999</v>
      </c>
      <c r="X3599">
        <v>0.91396129999999998</v>
      </c>
      <c r="Y3599">
        <v>0.1963945</v>
      </c>
      <c r="Z3599">
        <v>0.1459811</v>
      </c>
      <c r="AA3599">
        <v>0.96959720000000005</v>
      </c>
      <c r="AB3599">
        <v>30</v>
      </c>
      <c r="AC3599">
        <v>1.35999999999967E-2</v>
      </c>
      <c r="AD3599">
        <v>-0.12981860000000001</v>
      </c>
      <c r="AE3599">
        <v>-0.40860000000000601</v>
      </c>
      <c r="AF3599">
        <v>0.116467083592285</v>
      </c>
      <c r="AG3599">
        <v>-0.12981860000000001</v>
      </c>
      <c r="AH3599">
        <v>0.352644527844095</v>
      </c>
      <c r="AI3599">
        <v>109.267471005198</v>
      </c>
      <c r="AJ3599">
        <v>71.723281345483201</v>
      </c>
      <c r="AK3599">
        <v>0.39341531933166601</v>
      </c>
      <c r="AL3599">
        <v>66.595080152142998</v>
      </c>
      <c r="AM3599">
        <v>84.812233962327397</v>
      </c>
      <c r="AN3599">
        <v>1.0000000138307099</v>
      </c>
    </row>
    <row r="3600" spans="1:40" x14ac:dyDescent="0.25">
      <c r="A3600" t="str">
        <f>"20190304164442772"</f>
        <v>20190304164442772</v>
      </c>
      <c r="B3600" t="str">
        <f>"1551689082764021"</f>
        <v>1551689082764021</v>
      </c>
      <c r="C3600" t="s">
        <v>40</v>
      </c>
      <c r="D3600">
        <v>5.3339160000000003</v>
      </c>
      <c r="E3600">
        <v>0.56682589999999999</v>
      </c>
      <c r="F3600" t="s">
        <v>41</v>
      </c>
      <c r="G3600">
        <v>-191.42250000000001</v>
      </c>
      <c r="H3600">
        <v>0.92215290000000005</v>
      </c>
      <c r="I3600">
        <v>201.06659999999999</v>
      </c>
      <c r="J3600">
        <v>-191.48670000000001</v>
      </c>
      <c r="K3600">
        <v>1.0933759999999999</v>
      </c>
      <c r="L3600">
        <v>201.78030000000001</v>
      </c>
      <c r="M3600">
        <v>0.33030530000000002</v>
      </c>
      <c r="N3600">
        <v>-1.5952529999999999E-2</v>
      </c>
      <c r="O3600">
        <v>-0.9437392</v>
      </c>
      <c r="P3600">
        <v>0.24462780000000001</v>
      </c>
      <c r="Q3600">
        <v>0.38578469999999998</v>
      </c>
      <c r="R3600">
        <v>-0.88956599999999997</v>
      </c>
      <c r="S3600">
        <v>0.4984131</v>
      </c>
      <c r="T3600">
        <v>-0.64499439999999997</v>
      </c>
      <c r="U3600">
        <v>-3.5208129999999902</v>
      </c>
      <c r="V3600">
        <v>7.9659750000000001E-2</v>
      </c>
      <c r="W3600">
        <v>0.39743580000000001</v>
      </c>
      <c r="X3600">
        <v>0.91416580000000003</v>
      </c>
      <c r="Y3600">
        <v>0.19604820000000001</v>
      </c>
      <c r="Z3600">
        <v>0.14736479999999999</v>
      </c>
      <c r="AA3600">
        <v>0.96945789999999998</v>
      </c>
      <c r="AB3600">
        <v>30</v>
      </c>
      <c r="AC3600">
        <v>6.4199999999999494E-2</v>
      </c>
      <c r="AD3600">
        <v>-0.17122309999999999</v>
      </c>
      <c r="AE3600">
        <v>-0.71370000000001699</v>
      </c>
      <c r="AF3600">
        <v>0.16571193011401</v>
      </c>
      <c r="AG3600">
        <v>-0.17122309999999999</v>
      </c>
      <c r="AH3600">
        <v>0.657311959305098</v>
      </c>
      <c r="AI3600">
        <v>104.175644927607</v>
      </c>
      <c r="AJ3600">
        <v>75.850275350947598</v>
      </c>
      <c r="AK3600">
        <v>0.69916865318836097</v>
      </c>
      <c r="AL3600">
        <v>66.582024495134903</v>
      </c>
      <c r="AM3600">
        <v>85.019866718499898</v>
      </c>
      <c r="AN3600">
        <v>1.0000000003906699</v>
      </c>
    </row>
    <row r="3601" spans="1:40" x14ac:dyDescent="0.25">
      <c r="A3601" t="str">
        <f>"20190304164442785"</f>
        <v>20190304164442785</v>
      </c>
      <c r="B3601" t="str">
        <f>"1551689082773782"</f>
        <v>1551689082773782</v>
      </c>
      <c r="C3601" t="s">
        <v>40</v>
      </c>
      <c r="D3601">
        <v>5.3344269999999998</v>
      </c>
      <c r="E3601">
        <v>0.56670089999999995</v>
      </c>
      <c r="F3601" t="s">
        <v>41</v>
      </c>
      <c r="G3601">
        <v>-191.3937</v>
      </c>
      <c r="H3601">
        <v>0.96137680000000003</v>
      </c>
      <c r="I3601">
        <v>201.0582</v>
      </c>
      <c r="J3601">
        <v>-191.43989999999999</v>
      </c>
      <c r="K3601">
        <v>1.0933850000000001</v>
      </c>
      <c r="L3601">
        <v>201.61850000000001</v>
      </c>
      <c r="M3601">
        <v>0.31958199999999998</v>
      </c>
      <c r="N3601">
        <v>-1.594046E-2</v>
      </c>
      <c r="O3601">
        <v>-0.94742470000000001</v>
      </c>
      <c r="P3601">
        <v>0.23734040000000001</v>
      </c>
      <c r="Q3601">
        <v>0.38597160000000003</v>
      </c>
      <c r="R3601">
        <v>-0.8914571</v>
      </c>
      <c r="S3601">
        <v>0.45443729999999899</v>
      </c>
      <c r="T3601">
        <v>-0.64468340000000002</v>
      </c>
      <c r="U3601">
        <v>-3.527069</v>
      </c>
      <c r="V3601">
        <v>7.6729240000000004E-2</v>
      </c>
      <c r="W3601">
        <v>0.39773730000000002</v>
      </c>
      <c r="X3601">
        <v>0.91428540000000003</v>
      </c>
      <c r="Y3601">
        <v>0.19704150000000001</v>
      </c>
      <c r="Z3601">
        <v>0.1480533</v>
      </c>
      <c r="AA3601">
        <v>0.9691516</v>
      </c>
      <c r="AB3601">
        <v>30</v>
      </c>
      <c r="AC3601">
        <v>4.6199999999998902E-2</v>
      </c>
      <c r="AD3601">
        <v>-0.13200819999999999</v>
      </c>
      <c r="AE3601">
        <v>-0.56030000000001201</v>
      </c>
      <c r="AF3601">
        <v>0.12823771337659301</v>
      </c>
      <c r="AG3601">
        <v>-0.13200819999999999</v>
      </c>
      <c r="AH3601">
        <v>0.51716284823132697</v>
      </c>
      <c r="AI3601">
        <v>103.914932545079</v>
      </c>
      <c r="AJ3601">
        <v>76.073606967710603</v>
      </c>
      <c r="AK3601">
        <v>0.54893395558121205</v>
      </c>
      <c r="AL3601">
        <v>66.563199424786305</v>
      </c>
      <c r="AM3601">
        <v>85.2028283030034</v>
      </c>
      <c r="AN3601">
        <v>1.0000000643677101</v>
      </c>
    </row>
    <row r="3602" spans="1:40" x14ac:dyDescent="0.25">
      <c r="A3602" t="str">
        <f>"20190304164442802"</f>
        <v>20190304164442802</v>
      </c>
      <c r="B3602" t="str">
        <f>"1551689082793308"</f>
        <v>1551689082793308</v>
      </c>
      <c r="C3602" t="s">
        <v>40</v>
      </c>
      <c r="D3602">
        <v>5.361688</v>
      </c>
      <c r="E3602">
        <v>0.56650669999999903</v>
      </c>
      <c r="F3602" t="s">
        <v>41</v>
      </c>
      <c r="G3602">
        <v>-191.34030000000001</v>
      </c>
      <c r="H3602">
        <v>0.94263010000000003</v>
      </c>
      <c r="I3602">
        <v>200.79329999999999</v>
      </c>
      <c r="J3602">
        <v>-191.37719999999999</v>
      </c>
      <c r="K3602">
        <v>1.0934060000000001</v>
      </c>
      <c r="L3602">
        <v>201.39320000000001</v>
      </c>
      <c r="M3602">
        <v>0.30466179999999998</v>
      </c>
      <c r="N3602">
        <v>-1.5922499999999999E-2</v>
      </c>
      <c r="O3602">
        <v>-0.9523277</v>
      </c>
      <c r="P3602">
        <v>0.2285403</v>
      </c>
      <c r="Q3602">
        <v>0.386328</v>
      </c>
      <c r="R3602">
        <v>-0.8935999</v>
      </c>
      <c r="S3602">
        <v>0.42605589999999999</v>
      </c>
      <c r="T3602">
        <v>-0.64472479999999999</v>
      </c>
      <c r="U3602">
        <v>-3.5309750000000002</v>
      </c>
      <c r="V3602">
        <v>7.1294129999999997E-2</v>
      </c>
      <c r="W3602">
        <v>0.39831080000000002</v>
      </c>
      <c r="X3602">
        <v>0.91447560000000006</v>
      </c>
      <c r="Y3602">
        <v>0.1894758</v>
      </c>
      <c r="Z3602">
        <v>0.14937259999999999</v>
      </c>
      <c r="AA3602">
        <v>0.97045700000000001</v>
      </c>
      <c r="AB3602">
        <v>30</v>
      </c>
      <c r="AC3602">
        <v>3.6899999999974398E-2</v>
      </c>
      <c r="AD3602">
        <v>-0.15077589999999899</v>
      </c>
      <c r="AE3602">
        <v>-0.59990000000001897</v>
      </c>
      <c r="AF3602">
        <v>0.13890307188525</v>
      </c>
      <c r="AG3602">
        <v>-0.15077589999999899</v>
      </c>
      <c r="AH3602">
        <v>0.54812310417685695</v>
      </c>
      <c r="AI3602">
        <v>104.93041429391199</v>
      </c>
      <c r="AJ3602">
        <v>75.779704909378196</v>
      </c>
      <c r="AK3602">
        <v>0.58520626511721696</v>
      </c>
      <c r="AL3602">
        <v>66.527378798162204</v>
      </c>
      <c r="AM3602">
        <v>85.542137108702306</v>
      </c>
      <c r="AN3602">
        <v>0.99999998468222795</v>
      </c>
    </row>
    <row r="3603" spans="1:40" x14ac:dyDescent="0.25">
      <c r="A3603" t="str">
        <f>"20190304164442824"</f>
        <v>20190304164442824</v>
      </c>
      <c r="B3603" t="str">
        <f>"1551689082813796"</f>
        <v>1551689082813796</v>
      </c>
      <c r="C3603" t="s">
        <v>40</v>
      </c>
      <c r="D3603">
        <v>5.3587860000000003</v>
      </c>
      <c r="E3603">
        <v>0.56635369999999996</v>
      </c>
      <c r="F3603" t="s">
        <v>41</v>
      </c>
      <c r="G3603">
        <v>-191.2808</v>
      </c>
      <c r="H3603">
        <v>0.93537530000000002</v>
      </c>
      <c r="I3603">
        <v>200.52600000000001</v>
      </c>
      <c r="J3603">
        <v>-191.3006</v>
      </c>
      <c r="K3603">
        <v>1.093467</v>
      </c>
      <c r="L3603">
        <v>201.09739999999999</v>
      </c>
      <c r="M3603">
        <v>0.28515949999999901</v>
      </c>
      <c r="N3603">
        <v>-1.589337E-2</v>
      </c>
      <c r="O3603">
        <v>-0.95834850000000005</v>
      </c>
      <c r="P3603">
        <v>0.2174102</v>
      </c>
      <c r="Q3603">
        <v>0.38473629999999998</v>
      </c>
      <c r="R3603">
        <v>-0.89705709999999905</v>
      </c>
      <c r="S3603">
        <v>0.39303589999999999</v>
      </c>
      <c r="T3603">
        <v>-0.64411759999999996</v>
      </c>
      <c r="U3603">
        <v>-3.5351409999999999</v>
      </c>
      <c r="V3603">
        <v>6.4023930000000007E-2</v>
      </c>
      <c r="W3603">
        <v>0.39701880000000001</v>
      </c>
      <c r="X3603">
        <v>0.91557469999999996</v>
      </c>
      <c r="Y3603">
        <v>0.17854130000000001</v>
      </c>
      <c r="Z3603">
        <v>0.15087529999999999</v>
      </c>
      <c r="AA3603">
        <v>0.9722961</v>
      </c>
      <c r="AB3603">
        <v>30</v>
      </c>
      <c r="AC3603">
        <v>1.9800000000003599E-2</v>
      </c>
      <c r="AD3603">
        <v>-0.158091699999999</v>
      </c>
      <c r="AE3603">
        <v>-0.57140000000001101</v>
      </c>
      <c r="AF3603">
        <v>0.13375640078211101</v>
      </c>
      <c r="AG3603">
        <v>-0.158091699999999</v>
      </c>
      <c r="AH3603">
        <v>0.51401620291126005</v>
      </c>
      <c r="AI3603">
        <v>106.57560073943699</v>
      </c>
      <c r="AJ3603">
        <v>75.414071003470895</v>
      </c>
      <c r="AK3603">
        <v>0.55416280749828795</v>
      </c>
      <c r="AL3603">
        <v>66.608059211642598</v>
      </c>
      <c r="AM3603">
        <v>85.999955776815</v>
      </c>
      <c r="AN3603">
        <v>1.00000001122308</v>
      </c>
    </row>
    <row r="3604" spans="1:40" x14ac:dyDescent="0.25">
      <c r="A3604" t="str">
        <f>"20190304164442840"</f>
        <v>20190304164442840</v>
      </c>
      <c r="B3604" t="str">
        <f>"1551689082833317"</f>
        <v>1551689082833317</v>
      </c>
      <c r="C3604" t="s">
        <v>40</v>
      </c>
      <c r="D3604">
        <v>5.4690139999999996</v>
      </c>
      <c r="E3604">
        <v>0.56618489999999999</v>
      </c>
      <c r="F3604" t="s">
        <v>41</v>
      </c>
      <c r="G3604">
        <v>-191.21889999999999</v>
      </c>
      <c r="H3604">
        <v>0.9389267</v>
      </c>
      <c r="I3604">
        <v>200.25479999999999</v>
      </c>
      <c r="J3604">
        <v>-191.24629999999999</v>
      </c>
      <c r="K3604">
        <v>1.0935299999999999</v>
      </c>
      <c r="L3604">
        <v>200.8717</v>
      </c>
      <c r="M3604">
        <v>0.27036890000000002</v>
      </c>
      <c r="N3604">
        <v>-1.5863240000000001E-2</v>
      </c>
      <c r="O3604">
        <v>-0.96262630000000005</v>
      </c>
      <c r="P3604">
        <v>0.207679</v>
      </c>
      <c r="Q3604">
        <v>0.38340849999999999</v>
      </c>
      <c r="R3604">
        <v>-0.89992649999999996</v>
      </c>
      <c r="S3604">
        <v>0.34315489999999998</v>
      </c>
      <c r="T3604">
        <v>-0.64841910000000003</v>
      </c>
      <c r="U3604">
        <v>-3.5391849999999998</v>
      </c>
      <c r="V3604">
        <v>5.9850269999999997E-2</v>
      </c>
      <c r="W3604">
        <v>0.39585569999999998</v>
      </c>
      <c r="X3604">
        <v>0.91636030000000002</v>
      </c>
      <c r="Y3604">
        <v>0.17709610000000001</v>
      </c>
      <c r="Z3604">
        <v>0.15302679999999999</v>
      </c>
      <c r="AA3604">
        <v>0.97222410000000004</v>
      </c>
      <c r="AB3604">
        <v>30</v>
      </c>
      <c r="AC3604">
        <v>2.7400000000000001E-2</v>
      </c>
      <c r="AD3604">
        <v>-0.154603299999999</v>
      </c>
      <c r="AE3604">
        <v>-0.61690000000001499</v>
      </c>
      <c r="AF3604">
        <v>0.132148734785768</v>
      </c>
      <c r="AG3604">
        <v>-0.154603299999999</v>
      </c>
      <c r="AH3604">
        <v>0.56585796115429698</v>
      </c>
      <c r="AI3604">
        <v>104.89897089378999</v>
      </c>
      <c r="AJ3604">
        <v>76.854914919345006</v>
      </c>
      <c r="AK3604">
        <v>0.60129917734690697</v>
      </c>
      <c r="AL3604">
        <v>66.680647300704194</v>
      </c>
      <c r="AM3604">
        <v>86.263146410071798</v>
      </c>
      <c r="AN3604">
        <v>0.99999999472882595</v>
      </c>
    </row>
    <row r="3605" spans="1:40" x14ac:dyDescent="0.25">
      <c r="A3605" t="str">
        <f>"20190304164442852"</f>
        <v>20190304164442852</v>
      </c>
      <c r="B3605" t="str">
        <f>"1551689082844053"</f>
        <v>1551689082844053</v>
      </c>
      <c r="C3605" t="s">
        <v>40</v>
      </c>
      <c r="D3605">
        <v>5.4662850000000001</v>
      </c>
      <c r="E3605">
        <v>0.56601290000000004</v>
      </c>
      <c r="F3605" t="s">
        <v>41</v>
      </c>
      <c r="G3605">
        <v>-191.17060000000001</v>
      </c>
      <c r="H3605">
        <v>0.93050149999999998</v>
      </c>
      <c r="I3605">
        <v>199.98580000000001</v>
      </c>
      <c r="J3605">
        <v>-191.20599999999999</v>
      </c>
      <c r="K3605">
        <v>1.0935900000000001</v>
      </c>
      <c r="L3605">
        <v>200.6953</v>
      </c>
      <c r="M3605">
        <v>0.25886419999999999</v>
      </c>
      <c r="N3605">
        <v>-1.5835129999999999E-2</v>
      </c>
      <c r="O3605">
        <v>-0.96578390000000003</v>
      </c>
      <c r="P3605">
        <v>0.201514</v>
      </c>
      <c r="Q3605">
        <v>0.38156010000000001</v>
      </c>
      <c r="R3605">
        <v>-0.90211090000000005</v>
      </c>
      <c r="S3605">
        <v>0.30271910000000002</v>
      </c>
      <c r="T3605">
        <v>-0.65176129999999999</v>
      </c>
      <c r="U3605">
        <v>-3.5414430000000001</v>
      </c>
      <c r="V3605">
        <v>5.522353E-2</v>
      </c>
      <c r="W3605">
        <v>0.39419320000000002</v>
      </c>
      <c r="X3605">
        <v>0.91736689999999999</v>
      </c>
      <c r="Y3605">
        <v>0.17644019999999999</v>
      </c>
      <c r="Z3605">
        <v>0.15469559999999999</v>
      </c>
      <c r="AA3605">
        <v>0.97207929999999998</v>
      </c>
      <c r="AB3605">
        <v>30</v>
      </c>
      <c r="AC3605">
        <v>3.5399999999981398E-2</v>
      </c>
      <c r="AD3605">
        <v>-0.1630885</v>
      </c>
      <c r="AE3605">
        <v>-0.70949999999999103</v>
      </c>
      <c r="AF3605">
        <v>0.142009366083579</v>
      </c>
      <c r="AG3605">
        <v>-0.1630885</v>
      </c>
      <c r="AH3605">
        <v>0.65970403489991403</v>
      </c>
      <c r="AI3605">
        <v>103.58663834390801</v>
      </c>
      <c r="AJ3605">
        <v>77.851759396709099</v>
      </c>
      <c r="AK3605">
        <v>0.69424342456442301</v>
      </c>
      <c r="AL3605">
        <v>66.784333831615697</v>
      </c>
      <c r="AM3605">
        <v>86.555073533520698</v>
      </c>
      <c r="AN3605">
        <v>0.999999973203755</v>
      </c>
    </row>
    <row r="3606" spans="1:40" x14ac:dyDescent="0.25">
      <c r="A3606" t="str">
        <f>"20190304164442868"</f>
        <v>20190304164442868</v>
      </c>
      <c r="B3606" t="str">
        <f>"1551689082863574"</f>
        <v>1551689082863574</v>
      </c>
      <c r="C3606" t="s">
        <v>40</v>
      </c>
      <c r="D3606">
        <v>5.4778669999999998</v>
      </c>
      <c r="E3606">
        <v>0.56576439999999995</v>
      </c>
      <c r="F3606" t="s">
        <v>41</v>
      </c>
      <c r="G3606">
        <v>-191.15029999999999</v>
      </c>
      <c r="H3606">
        <v>0.96013190000000004</v>
      </c>
      <c r="I3606">
        <v>199.97720000000001</v>
      </c>
      <c r="J3606">
        <v>-191.16200000000001</v>
      </c>
      <c r="K3606">
        <v>1.093685</v>
      </c>
      <c r="L3606">
        <v>200.48670000000001</v>
      </c>
      <c r="M3606">
        <v>0.24541450000000001</v>
      </c>
      <c r="N3606">
        <v>-1.579332E-2</v>
      </c>
      <c r="O3606">
        <v>-0.96928979999999998</v>
      </c>
      <c r="P3606">
        <v>0.19718289999999999</v>
      </c>
      <c r="Q3606">
        <v>0.37771969999999999</v>
      </c>
      <c r="R3606">
        <v>-0.90468059999999995</v>
      </c>
      <c r="S3606">
        <v>0.27484130000000001</v>
      </c>
      <c r="T3606">
        <v>-0.65832590000000002</v>
      </c>
      <c r="U3606">
        <v>-3.5425420000000001</v>
      </c>
      <c r="V3606">
        <v>4.6955370000000003E-2</v>
      </c>
      <c r="W3606">
        <v>0.39069120000000002</v>
      </c>
      <c r="X3606">
        <v>0.91932340000000001</v>
      </c>
      <c r="Y3606">
        <v>0.17041889999999901</v>
      </c>
      <c r="Z3606">
        <v>0.1574179</v>
      </c>
      <c r="AA3606">
        <v>0.97271629999999998</v>
      </c>
      <c r="AB3606">
        <v>30</v>
      </c>
      <c r="AC3606">
        <v>1.17000000000189E-2</v>
      </c>
      <c r="AD3606">
        <v>-0.13355310000000001</v>
      </c>
      <c r="AE3606">
        <v>-0.50950000000000195</v>
      </c>
      <c r="AF3606">
        <v>0.10640493232453201</v>
      </c>
      <c r="AG3606">
        <v>-0.13355310000000001</v>
      </c>
      <c r="AH3606">
        <v>0.46486251694673297</v>
      </c>
      <c r="AI3606">
        <v>105.645069504803</v>
      </c>
      <c r="AJ3606">
        <v>77.1073543657035</v>
      </c>
      <c r="AK3606">
        <v>0.495232874317376</v>
      </c>
      <c r="AL3606">
        <v>67.002484481972104</v>
      </c>
      <c r="AM3606">
        <v>87.076101081485504</v>
      </c>
      <c r="AN3606">
        <v>0.99999996715841699</v>
      </c>
    </row>
    <row r="3607" spans="1:40" x14ac:dyDescent="0.25">
      <c r="A3607" t="str">
        <f>"20190304164442883"</f>
        <v>20190304164442883</v>
      </c>
      <c r="B3607" t="str">
        <f>"1551689082873333"</f>
        <v>1551689082873333</v>
      </c>
      <c r="C3607" t="s">
        <v>40</v>
      </c>
      <c r="D3607">
        <v>5.4600019999999896</v>
      </c>
      <c r="E3607">
        <v>0.56558249999999999</v>
      </c>
      <c r="F3607" t="s">
        <v>41</v>
      </c>
      <c r="G3607">
        <v>-191.10659999999999</v>
      </c>
      <c r="H3607">
        <v>0.94637559999999998</v>
      </c>
      <c r="I3607">
        <v>199.71</v>
      </c>
      <c r="J3607">
        <v>-191.12299999999999</v>
      </c>
      <c r="K3607">
        <v>1.0938049999999999</v>
      </c>
      <c r="L3607">
        <v>200.29069999999999</v>
      </c>
      <c r="M3607">
        <v>0.23293449999999999</v>
      </c>
      <c r="N3607">
        <v>-1.574571E-2</v>
      </c>
      <c r="O3607">
        <v>-0.97236500000000003</v>
      </c>
      <c r="P3607">
        <v>0.1896071</v>
      </c>
      <c r="Q3607">
        <v>0.37635610000000003</v>
      </c>
      <c r="R3607">
        <v>-0.90686560000000005</v>
      </c>
      <c r="S3607">
        <v>0.25296020000000002</v>
      </c>
      <c r="T3607">
        <v>-0.6711416</v>
      </c>
      <c r="U3607">
        <v>-3.5411220000000001</v>
      </c>
      <c r="V3607">
        <v>4.274849E-2</v>
      </c>
      <c r="W3607">
        <v>0.38947540000000003</v>
      </c>
      <c r="X3607">
        <v>0.92004430000000004</v>
      </c>
      <c r="Y3607">
        <v>0.16375200000000001</v>
      </c>
      <c r="Z3607">
        <v>0.16176479999999999</v>
      </c>
      <c r="AA3607">
        <v>0.97314820000000002</v>
      </c>
      <c r="AB3607">
        <v>30</v>
      </c>
      <c r="AC3607">
        <v>1.6400000000004401E-2</v>
      </c>
      <c r="AD3607">
        <v>-0.14742939999999899</v>
      </c>
      <c r="AE3607">
        <v>-0.58069999999997801</v>
      </c>
      <c r="AF3607">
        <v>0.112112483012992</v>
      </c>
      <c r="AG3607">
        <v>-0.14742939999999899</v>
      </c>
      <c r="AH3607">
        <v>0.53414164528071095</v>
      </c>
      <c r="AI3607">
        <v>105.116289863099</v>
      </c>
      <c r="AJ3607">
        <v>78.146103945231104</v>
      </c>
      <c r="AK3607">
        <v>0.56534231581837502</v>
      </c>
      <c r="AL3607">
        <v>67.078139220197798</v>
      </c>
      <c r="AM3607">
        <v>87.339750088463504</v>
      </c>
      <c r="AN3607">
        <v>1.0000000172824599</v>
      </c>
    </row>
    <row r="3608" spans="1:40" x14ac:dyDescent="0.25">
      <c r="A3608" t="str">
        <f>"20190304164442903"</f>
        <v>20190304164442903</v>
      </c>
      <c r="B3608" t="str">
        <f>"1551689082893829"</f>
        <v>1551689082893829</v>
      </c>
      <c r="C3608" t="s">
        <v>40</v>
      </c>
      <c r="D3608">
        <v>5.4861230000000001</v>
      </c>
      <c r="E3608">
        <v>0.56522659999999902</v>
      </c>
      <c r="F3608" t="s">
        <v>41</v>
      </c>
      <c r="G3608">
        <v>-191.06909999999999</v>
      </c>
      <c r="H3608">
        <v>0.93156110000000003</v>
      </c>
      <c r="I3608">
        <v>199.4425</v>
      </c>
      <c r="J3608">
        <v>-191.0712</v>
      </c>
      <c r="K3608">
        <v>1.094049</v>
      </c>
      <c r="L3608">
        <v>200.0086</v>
      </c>
      <c r="M3608">
        <v>0.2152887</v>
      </c>
      <c r="N3608">
        <v>-1.565776E-2</v>
      </c>
      <c r="O3608">
        <v>-0.97642510000000005</v>
      </c>
      <c r="P3608">
        <v>0.18009910000000001</v>
      </c>
      <c r="Q3608">
        <v>0.3734345</v>
      </c>
      <c r="R3608">
        <v>-0.91000630000000005</v>
      </c>
      <c r="S3608">
        <v>0.22563169999999999</v>
      </c>
      <c r="T3608">
        <v>-0.67712950000000005</v>
      </c>
      <c r="U3608">
        <v>-3.5419160000000001</v>
      </c>
      <c r="V3608">
        <v>3.5566859999999999E-2</v>
      </c>
      <c r="W3608">
        <v>0.3867969</v>
      </c>
      <c r="X3608">
        <v>0.92147880000000004</v>
      </c>
      <c r="Y3608">
        <v>0.15341479999999999</v>
      </c>
      <c r="Z3608">
        <v>0.16464790000000001</v>
      </c>
      <c r="AA3608">
        <v>0.97434849999999995</v>
      </c>
      <c r="AB3608">
        <v>30</v>
      </c>
      <c r="AC3608">
        <v>2.1000000000128598E-3</v>
      </c>
      <c r="AD3608">
        <v>-0.16248789999999999</v>
      </c>
      <c r="AE3608">
        <v>-0.56610000000000504</v>
      </c>
      <c r="AF3608">
        <v>0.110717605595376</v>
      </c>
      <c r="AG3608">
        <v>-0.16248789999999999</v>
      </c>
      <c r="AH3608">
        <v>0.51116185382386703</v>
      </c>
      <c r="AI3608">
        <v>107.258730673001</v>
      </c>
      <c r="AJ3608">
        <v>77.778531380361898</v>
      </c>
      <c r="AK3608">
        <v>0.54767430708390497</v>
      </c>
      <c r="AL3608">
        <v>67.244660865097799</v>
      </c>
      <c r="AM3608">
        <v>87.789618271174504</v>
      </c>
      <c r="AN3608">
        <v>1.0000000111146501</v>
      </c>
    </row>
    <row r="3609" spans="1:40" x14ac:dyDescent="0.25">
      <c r="A3609" t="str">
        <f>"20190304164442924"</f>
        <v>20190304164442924</v>
      </c>
      <c r="B3609" t="str">
        <f>"1551689082913349"</f>
        <v>1551689082913349</v>
      </c>
      <c r="C3609" t="s">
        <v>40</v>
      </c>
      <c r="D3609">
        <v>5.5668030000000002</v>
      </c>
      <c r="E3609">
        <v>0.56493570000000004</v>
      </c>
      <c r="F3609" t="s">
        <v>41</v>
      </c>
      <c r="G3609">
        <v>-191.02420000000001</v>
      </c>
      <c r="H3609">
        <v>0.93052100000000004</v>
      </c>
      <c r="I3609">
        <v>199.17060000000001</v>
      </c>
      <c r="J3609">
        <v>-191.024</v>
      </c>
      <c r="K3609">
        <v>1.0943769999999999</v>
      </c>
      <c r="L3609">
        <v>199.72550000000001</v>
      </c>
      <c r="M3609">
        <v>0.1980751</v>
      </c>
      <c r="N3609">
        <v>-1.554285E-2</v>
      </c>
      <c r="O3609">
        <v>-0.98006360000000003</v>
      </c>
      <c r="P3609">
        <v>0.17572070000000001</v>
      </c>
      <c r="Q3609">
        <v>0.36986740000000001</v>
      </c>
      <c r="R3609">
        <v>-0.91231600000000002</v>
      </c>
      <c r="S3609">
        <v>0.1985779</v>
      </c>
      <c r="T3609">
        <v>-0.69089219999999996</v>
      </c>
      <c r="U3609">
        <v>-3.5408780000000002</v>
      </c>
      <c r="V3609">
        <v>2.3524139999999999E-2</v>
      </c>
      <c r="W3609">
        <v>0.38363609999999998</v>
      </c>
      <c r="X3609">
        <v>0.92318469999999997</v>
      </c>
      <c r="Y3609">
        <v>0.14347889999999999</v>
      </c>
      <c r="Z3609">
        <v>0.16954379999999999</v>
      </c>
      <c r="AA3609">
        <v>0.97502239999999996</v>
      </c>
      <c r="AB3609">
        <v>30</v>
      </c>
      <c r="AC3609">
        <v>-2.0000000000663901E-4</v>
      </c>
      <c r="AD3609">
        <v>-0.163856</v>
      </c>
      <c r="AE3609">
        <v>-0.55490000000000295</v>
      </c>
      <c r="AF3609">
        <v>0.10128920336975</v>
      </c>
      <c r="AG3609">
        <v>-0.163856</v>
      </c>
      <c r="AH3609">
        <v>0.50024422051140005</v>
      </c>
      <c r="AI3609">
        <v>107.79856143301301</v>
      </c>
      <c r="AJ3609">
        <v>78.553531627503503</v>
      </c>
      <c r="AK3609">
        <v>0.53605276942698199</v>
      </c>
      <c r="AL3609">
        <v>67.440906638907805</v>
      </c>
      <c r="AM3609">
        <v>88.540332901118802</v>
      </c>
      <c r="AN3609">
        <v>1.00000001635001</v>
      </c>
    </row>
    <row r="3610" spans="1:40" x14ac:dyDescent="0.25">
      <c r="A3610" t="str">
        <f>"20190304164442946"</f>
        <v>20190304164442946</v>
      </c>
      <c r="B3610" t="str">
        <f>"1551689082933845"</f>
        <v>1551689082933845</v>
      </c>
      <c r="C3610" t="s">
        <v>40</v>
      </c>
      <c r="D3610">
        <v>5.5102729999999998</v>
      </c>
      <c r="E3610">
        <v>0.5645751</v>
      </c>
      <c r="F3610" t="s">
        <v>41</v>
      </c>
      <c r="G3610">
        <v>-190.98070000000001</v>
      </c>
      <c r="H3610">
        <v>0.92986659999999999</v>
      </c>
      <c r="I3610">
        <v>198.89850000000001</v>
      </c>
      <c r="J3610">
        <v>-190.97819999999999</v>
      </c>
      <c r="K3610">
        <v>1.0948560000000001</v>
      </c>
      <c r="L3610">
        <v>199.4204</v>
      </c>
      <c r="M3610">
        <v>0.18019279999999999</v>
      </c>
      <c r="N3610">
        <v>-1.539455E-2</v>
      </c>
      <c r="O3610">
        <v>-0.98351089999999997</v>
      </c>
      <c r="P3610">
        <v>0.16871800000000001</v>
      </c>
      <c r="Q3610">
        <v>0.36769810000000003</v>
      </c>
      <c r="R3610">
        <v>-0.91451199999999999</v>
      </c>
      <c r="S3610">
        <v>0.18505859999999999</v>
      </c>
      <c r="T3610">
        <v>-0.70370889999999997</v>
      </c>
      <c r="U3610">
        <v>-3.537979</v>
      </c>
      <c r="V3610">
        <v>1.3345030000000001E-2</v>
      </c>
      <c r="W3610">
        <v>0.3817392</v>
      </c>
      <c r="X3610">
        <v>0.92417380000000005</v>
      </c>
      <c r="Y3610">
        <v>0.12917609999999999</v>
      </c>
      <c r="Z3610">
        <v>0.17434169999999999</v>
      </c>
      <c r="AA3610">
        <v>0.97617540000000003</v>
      </c>
      <c r="AB3610">
        <v>30</v>
      </c>
      <c r="AC3610">
        <v>-2.5000000000261402E-3</v>
      </c>
      <c r="AD3610">
        <v>-0.16498940000000001</v>
      </c>
      <c r="AE3610">
        <v>-0.52189999999998804</v>
      </c>
      <c r="AF3610">
        <v>8.7743939749730507E-2</v>
      </c>
      <c r="AG3610">
        <v>-0.16498940000000001</v>
      </c>
      <c r="AH3610">
        <v>0.466303500930346</v>
      </c>
      <c r="AI3610">
        <v>109.17366797858401</v>
      </c>
      <c r="AJ3610">
        <v>79.3433110898401</v>
      </c>
      <c r="AK3610">
        <v>0.50235391513858196</v>
      </c>
      <c r="AL3610">
        <v>67.558547022513196</v>
      </c>
      <c r="AM3610">
        <v>89.172708900309502</v>
      </c>
      <c r="AN3610">
        <v>1.0000000596243801</v>
      </c>
    </row>
    <row r="3611" spans="1:40" x14ac:dyDescent="0.25">
      <c r="A3611" t="str">
        <f>"20190304164442969"</f>
        <v>20190304164442969</v>
      </c>
      <c r="B3611" t="str">
        <f>"1551689082964102"</f>
        <v>1551689082964102</v>
      </c>
      <c r="C3611" t="s">
        <v>40</v>
      </c>
      <c r="D3611">
        <v>5.5204199999999997</v>
      </c>
      <c r="E3611">
        <v>0.56413279999999999</v>
      </c>
      <c r="F3611" t="s">
        <v>41</v>
      </c>
      <c r="G3611">
        <v>-190.94329999999999</v>
      </c>
      <c r="H3611">
        <v>0.93451200000000001</v>
      </c>
      <c r="I3611">
        <v>198.62270000000001</v>
      </c>
      <c r="J3611">
        <v>-190.93539999999999</v>
      </c>
      <c r="K3611">
        <v>1.0955079999999999</v>
      </c>
      <c r="L3611">
        <v>199.1001</v>
      </c>
      <c r="M3611">
        <v>0.16236129999999999</v>
      </c>
      <c r="N3611">
        <v>-1.521409E-2</v>
      </c>
      <c r="O3611">
        <v>-0.9866144</v>
      </c>
      <c r="P3611">
        <v>0.1594892</v>
      </c>
      <c r="Q3611">
        <v>0.36682389999999998</v>
      </c>
      <c r="R3611">
        <v>-0.91651740000000004</v>
      </c>
      <c r="S3611">
        <v>0.155365</v>
      </c>
      <c r="T3611">
        <v>-0.71061209999999997</v>
      </c>
      <c r="U3611">
        <v>-3.5374759999999998</v>
      </c>
      <c r="V3611">
        <v>5.2977579999999996E-3</v>
      </c>
      <c r="W3611">
        <v>0.38099329999999998</v>
      </c>
      <c r="X3611">
        <v>0.92456260000000001</v>
      </c>
      <c r="Y3611">
        <v>0.1194279</v>
      </c>
      <c r="Z3611">
        <v>0.17738219999999999</v>
      </c>
      <c r="AA3611">
        <v>0.97686870000000003</v>
      </c>
      <c r="AB3611">
        <v>30</v>
      </c>
      <c r="AC3611">
        <v>-7.9000000000064505E-3</v>
      </c>
      <c r="AD3611">
        <v>-0.160995999999999</v>
      </c>
      <c r="AE3611">
        <v>-0.477399999999988</v>
      </c>
      <c r="AF3611">
        <v>7.6605609399506794E-2</v>
      </c>
      <c r="AG3611">
        <v>-0.160995999999999</v>
      </c>
      <c r="AH3611">
        <v>0.42182170569816002</v>
      </c>
      <c r="AI3611">
        <v>110.582462325406</v>
      </c>
      <c r="AJ3611">
        <v>79.706888309233193</v>
      </c>
      <c r="AK3611">
        <v>0.45795379985930301</v>
      </c>
      <c r="AL3611">
        <v>67.604776031721599</v>
      </c>
      <c r="AM3611">
        <v>89.671697890109996</v>
      </c>
      <c r="AN3611">
        <v>0.99999998110173804</v>
      </c>
    </row>
    <row r="3612" spans="1:40" x14ac:dyDescent="0.25">
      <c r="A3612" t="str">
        <f>"20190304164442991"</f>
        <v>20190304164442991</v>
      </c>
      <c r="B3612" t="str">
        <f>"1551689082983621"</f>
        <v>1551689082983621</v>
      </c>
      <c r="C3612" t="s">
        <v>40</v>
      </c>
      <c r="D3612">
        <v>5.5212500000000002</v>
      </c>
      <c r="E3612">
        <v>0.5639132</v>
      </c>
      <c r="F3612" t="s">
        <v>41</v>
      </c>
      <c r="G3612">
        <v>-190.90889999999999</v>
      </c>
      <c r="H3612">
        <v>0.94329620000000003</v>
      </c>
      <c r="I3612">
        <v>198.34450000000001</v>
      </c>
      <c r="J3612">
        <v>-190.89940000000001</v>
      </c>
      <c r="K3612">
        <v>1.096287</v>
      </c>
      <c r="L3612">
        <v>198.79679999999999</v>
      </c>
      <c r="M3612">
        <v>0.14659129999999901</v>
      </c>
      <c r="N3612">
        <v>-1.5018490000000001E-2</v>
      </c>
      <c r="O3612">
        <v>-0.98908320000000005</v>
      </c>
      <c r="P3612">
        <v>0.1510369</v>
      </c>
      <c r="Q3612">
        <v>0.3663826</v>
      </c>
      <c r="R3612">
        <v>-0.9181243</v>
      </c>
      <c r="S3612">
        <v>0.1242065</v>
      </c>
      <c r="T3612">
        <v>-0.71247079999999996</v>
      </c>
      <c r="U3612">
        <v>-3.5368040000000001</v>
      </c>
      <c r="V3612">
        <v>-1.695294E-3</v>
      </c>
      <c r="W3612">
        <v>0.38059779999999999</v>
      </c>
      <c r="X3612">
        <v>0.92473910000000004</v>
      </c>
      <c r="Y3612">
        <v>0.1121828</v>
      </c>
      <c r="Z3612">
        <v>0.178917299999999</v>
      </c>
      <c r="AA3612">
        <v>0.97744750000000002</v>
      </c>
      <c r="AB3612">
        <v>30</v>
      </c>
      <c r="AC3612">
        <v>-9.4999999999742998E-3</v>
      </c>
      <c r="AD3612">
        <v>-0.15299080000000001</v>
      </c>
      <c r="AE3612">
        <v>-0.452299999999979</v>
      </c>
      <c r="AF3612">
        <v>6.7938420567443897E-2</v>
      </c>
      <c r="AG3612">
        <v>-0.15299080000000001</v>
      </c>
      <c r="AH3612">
        <v>0.40024655151010002</v>
      </c>
      <c r="AI3612">
        <v>110.648967960606</v>
      </c>
      <c r="AJ3612">
        <v>80.366354342066501</v>
      </c>
      <c r="AK3612">
        <v>0.43384227072700798</v>
      </c>
      <c r="AL3612">
        <v>67.629282880091793</v>
      </c>
      <c r="AM3612">
        <v>90.105038364244294</v>
      </c>
      <c r="AN3612">
        <v>0.99999998122769795</v>
      </c>
    </row>
    <row r="3613" spans="1:40" x14ac:dyDescent="0.25">
      <c r="A3613" t="str">
        <f>"20190304164443013"</f>
        <v>20190304164443013</v>
      </c>
      <c r="B3613" t="str">
        <f>"1551689083004117"</f>
        <v>1551689083004117</v>
      </c>
      <c r="C3613" t="s">
        <v>40</v>
      </c>
      <c r="D3613">
        <v>5.5394459999999999</v>
      </c>
      <c r="E3613">
        <v>0.56390629999999997</v>
      </c>
      <c r="F3613" t="s">
        <v>41</v>
      </c>
      <c r="G3613">
        <v>-190.88040000000001</v>
      </c>
      <c r="H3613">
        <v>0.94911319999999999</v>
      </c>
      <c r="I3613">
        <v>198.06720000000001</v>
      </c>
      <c r="J3613">
        <v>-190.86760000000001</v>
      </c>
      <c r="K3613">
        <v>1.0972219999999999</v>
      </c>
      <c r="L3613">
        <v>198.49789999999999</v>
      </c>
      <c r="M3613">
        <v>0.1323318</v>
      </c>
      <c r="N3613">
        <v>-1.480617E-2</v>
      </c>
      <c r="O3613">
        <v>-0.99109510000000001</v>
      </c>
      <c r="P3613">
        <v>0.143805399999999</v>
      </c>
      <c r="Q3613">
        <v>0.36867630000000001</v>
      </c>
      <c r="R3613">
        <v>-0.91836700000000004</v>
      </c>
      <c r="S3613">
        <v>9.3048099999999995E-2</v>
      </c>
      <c r="T3613">
        <v>-0.71286549999999904</v>
      </c>
      <c r="U3613">
        <v>-3.5366970000000002</v>
      </c>
      <c r="V3613">
        <v>-8.6868620000000001E-3</v>
      </c>
      <c r="W3613">
        <v>0.38287330000000003</v>
      </c>
      <c r="X3613">
        <v>0.92376000000000003</v>
      </c>
      <c r="Y3613">
        <v>0.106488</v>
      </c>
      <c r="Z3613">
        <v>0.17989840000000001</v>
      </c>
      <c r="AA3613">
        <v>0.97790429999999995</v>
      </c>
      <c r="AB3613">
        <v>30</v>
      </c>
      <c r="AC3613">
        <v>-1.27999999999985E-2</v>
      </c>
      <c r="AD3613">
        <v>-0.14810879999999901</v>
      </c>
      <c r="AE3613">
        <v>-0.43069999999997299</v>
      </c>
      <c r="AF3613">
        <v>6.2325300900761597E-2</v>
      </c>
      <c r="AG3613">
        <v>-0.14810879999999901</v>
      </c>
      <c r="AH3613">
        <v>0.38028696182761601</v>
      </c>
      <c r="AI3613">
        <v>111.023686243386</v>
      </c>
      <c r="AJ3613">
        <v>80.692528283751201</v>
      </c>
      <c r="AK3613">
        <v>0.41284238288466601</v>
      </c>
      <c r="AL3613">
        <v>67.488224132577201</v>
      </c>
      <c r="AM3613">
        <v>90.538782648286798</v>
      </c>
      <c r="AN3613">
        <v>0.99999998151214797</v>
      </c>
    </row>
    <row r="3614" spans="1:40" x14ac:dyDescent="0.25">
      <c r="A3614" t="str">
        <f>"20190304164443036"</f>
        <v>20190304164443036</v>
      </c>
      <c r="B3614" t="str">
        <f>"1551689083023637"</f>
        <v>1551689083023637</v>
      </c>
      <c r="C3614" t="s">
        <v>40</v>
      </c>
      <c r="D3614">
        <v>5.5279480000000003</v>
      </c>
      <c r="E3614">
        <v>0.56401679999999998</v>
      </c>
      <c r="F3614" t="s">
        <v>41</v>
      </c>
      <c r="G3614">
        <v>-190.85499999999999</v>
      </c>
      <c r="H3614">
        <v>0.95648259999999996</v>
      </c>
      <c r="I3614">
        <v>197.78899999999999</v>
      </c>
      <c r="J3614">
        <v>-190.83850000000001</v>
      </c>
      <c r="K3614">
        <v>1.0983480000000001</v>
      </c>
      <c r="L3614">
        <v>198.19300000000001</v>
      </c>
      <c r="M3614">
        <v>0.1193438</v>
      </c>
      <c r="N3614">
        <v>-1.457732E-2</v>
      </c>
      <c r="O3614">
        <v>-0.99274609999999996</v>
      </c>
      <c r="P3614">
        <v>0.13840729999999901</v>
      </c>
      <c r="Q3614">
        <v>0.37152459999999998</v>
      </c>
      <c r="R3614">
        <v>-0.91804870000000005</v>
      </c>
      <c r="S3614">
        <v>6.3507079999999994E-2</v>
      </c>
      <c r="T3614">
        <v>-0.70230289999999995</v>
      </c>
      <c r="U3614">
        <v>-3.5386350000000002</v>
      </c>
      <c r="V3614">
        <v>-1.6481180000000002E-2</v>
      </c>
      <c r="W3614">
        <v>0.38566650000000002</v>
      </c>
      <c r="X3614">
        <v>0.92249099999999995</v>
      </c>
      <c r="Y3614">
        <v>0.1016469</v>
      </c>
      <c r="Z3614">
        <v>0.17777589999999999</v>
      </c>
      <c r="AA3614">
        <v>0.97880730000000005</v>
      </c>
      <c r="AB3614">
        <v>30</v>
      </c>
      <c r="AC3614">
        <v>-1.6499999999979299E-2</v>
      </c>
      <c r="AD3614">
        <v>-0.141865399999999</v>
      </c>
      <c r="AE3614">
        <v>-0.403999999999968</v>
      </c>
      <c r="AF3614">
        <v>5.7521080196211501E-2</v>
      </c>
      <c r="AG3614">
        <v>-0.141865399999999</v>
      </c>
      <c r="AH3614">
        <v>0.35539290079328401</v>
      </c>
      <c r="AI3614">
        <v>111.506975279786</v>
      </c>
      <c r="AJ3614">
        <v>80.806285483857806</v>
      </c>
      <c r="AK3614">
        <v>0.38696069608987999</v>
      </c>
      <c r="AL3614">
        <v>67.314875456286003</v>
      </c>
      <c r="AM3614">
        <v>91.023534758968395</v>
      </c>
      <c r="AN3614">
        <v>0.99999996179871997</v>
      </c>
    </row>
    <row r="3615" spans="1:40" x14ac:dyDescent="0.25">
      <c r="A3615" t="str">
        <f>"20190304164443058"</f>
        <v>20190304164443058</v>
      </c>
      <c r="B3615" t="str">
        <f>"1551689083053893"</f>
        <v>1551689083053893</v>
      </c>
      <c r="C3615" t="s">
        <v>40</v>
      </c>
      <c r="D3615">
        <v>5.4887280000000001</v>
      </c>
      <c r="E3615">
        <v>0.56420579999999998</v>
      </c>
      <c r="F3615" t="s">
        <v>41</v>
      </c>
      <c r="G3615">
        <v>-190.82730000000001</v>
      </c>
      <c r="H3615">
        <v>0.91609879999999999</v>
      </c>
      <c r="I3615">
        <v>197.25890000000001</v>
      </c>
      <c r="J3615">
        <v>-190.8109</v>
      </c>
      <c r="K3615">
        <v>1.0996060000000001</v>
      </c>
      <c r="L3615">
        <v>197.87459999999999</v>
      </c>
      <c r="M3615">
        <v>0.10750410000000001</v>
      </c>
      <c r="N3615">
        <v>-1.4343119999999999E-2</v>
      </c>
      <c r="O3615">
        <v>-0.99410140000000002</v>
      </c>
      <c r="P3615">
        <v>0.13654810000000001</v>
      </c>
      <c r="Q3615">
        <v>0.37336780000000003</v>
      </c>
      <c r="R3615">
        <v>-0.91757909999999998</v>
      </c>
      <c r="S3615">
        <v>4.2480469999999999E-2</v>
      </c>
      <c r="T3615">
        <v>-0.69064300000000001</v>
      </c>
      <c r="U3615">
        <v>-3.540924</v>
      </c>
      <c r="V3615">
        <v>-2.6849990000000001E-2</v>
      </c>
      <c r="W3615">
        <v>0.38747179999999998</v>
      </c>
      <c r="X3615">
        <v>0.92149049999999999</v>
      </c>
      <c r="Y3615">
        <v>9.5620419999999998E-2</v>
      </c>
      <c r="Z3615">
        <v>0.17525209999999999</v>
      </c>
      <c r="AA3615">
        <v>0.97986910000000005</v>
      </c>
      <c r="AB3615">
        <v>30</v>
      </c>
      <c r="AC3615">
        <v>-1.6400000000004401E-2</v>
      </c>
      <c r="AD3615">
        <v>-0.18350719999999901</v>
      </c>
      <c r="AE3615">
        <v>-0.61569999999997505</v>
      </c>
      <c r="AF3615">
        <v>7.5775511457436606E-2</v>
      </c>
      <c r="AG3615">
        <v>-0.18350719999999901</v>
      </c>
      <c r="AH3615">
        <v>0.56060374545810199</v>
      </c>
      <c r="AI3615">
        <v>107.972471554911</v>
      </c>
      <c r="AJ3615">
        <v>82.302116663873704</v>
      </c>
      <c r="AK3615">
        <v>0.59472126245000601</v>
      </c>
      <c r="AL3615">
        <v>67.202722109704496</v>
      </c>
      <c r="AM3615">
        <v>91.668987325518202</v>
      </c>
      <c r="AN3615">
        <v>1.00000002967424</v>
      </c>
    </row>
    <row r="3616" spans="1:40" x14ac:dyDescent="0.25">
      <c r="A3616" t="str">
        <f>"20190304164443082"</f>
        <v>20190304164443082</v>
      </c>
      <c r="B3616" t="str">
        <f>"1551689083073412"</f>
        <v>1551689083073412</v>
      </c>
      <c r="C3616" t="s">
        <v>40</v>
      </c>
      <c r="D3616">
        <v>5.4980180000000001</v>
      </c>
      <c r="E3616">
        <v>0.56427369999999899</v>
      </c>
      <c r="F3616" t="s">
        <v>41</v>
      </c>
      <c r="G3616">
        <v>-190.8049</v>
      </c>
      <c r="H3616">
        <v>0.92788479999999995</v>
      </c>
      <c r="I3616">
        <v>196.9796</v>
      </c>
      <c r="J3616">
        <v>-190.78559999999999</v>
      </c>
      <c r="K3616">
        <v>1.1007849999999999</v>
      </c>
      <c r="L3616">
        <v>197.55289999999999</v>
      </c>
      <c r="M3616">
        <v>9.7038399999999997E-2</v>
      </c>
      <c r="N3616">
        <v>-1.4128460000000001E-2</v>
      </c>
      <c r="O3616">
        <v>-0.99518039999999997</v>
      </c>
      <c r="P3616">
        <v>0.13565360000000001</v>
      </c>
      <c r="Q3616">
        <v>0.3754981</v>
      </c>
      <c r="R3616">
        <v>-0.91684189999999999</v>
      </c>
      <c r="S3616">
        <v>2.3895260000000001E-2</v>
      </c>
      <c r="T3616">
        <v>-0.67958640000000003</v>
      </c>
      <c r="U3616">
        <v>-3.5424500000000001</v>
      </c>
      <c r="V3616">
        <v>-3.6810490000000001E-2</v>
      </c>
      <c r="W3616">
        <v>0.38952150000000002</v>
      </c>
      <c r="X3616">
        <v>0.92028149999999997</v>
      </c>
      <c r="Y3616">
        <v>9.0300290000000005E-2</v>
      </c>
      <c r="Z3616">
        <v>0.17280329999999999</v>
      </c>
      <c r="AA3616">
        <v>0.98080829999999997</v>
      </c>
      <c r="AB3616">
        <v>30</v>
      </c>
      <c r="AC3616">
        <v>-1.9300000000015399E-2</v>
      </c>
      <c r="AD3616">
        <v>-0.1729002</v>
      </c>
      <c r="AE3616">
        <v>-0.57329999999998904</v>
      </c>
      <c r="AF3616">
        <v>6.86129314051213E-2</v>
      </c>
      <c r="AG3616">
        <v>-0.1729002</v>
      </c>
      <c r="AH3616">
        <v>0.52135463308028895</v>
      </c>
      <c r="AI3616">
        <v>108.200930704215</v>
      </c>
      <c r="AJ3616">
        <v>82.502669130130599</v>
      </c>
      <c r="AK3616">
        <v>0.55354572254722201</v>
      </c>
      <c r="AL3616">
        <v>67.075271596805706</v>
      </c>
      <c r="AM3616">
        <v>92.290562179809498</v>
      </c>
      <c r="AN3616">
        <v>1.00000002518926</v>
      </c>
    </row>
    <row r="3617" spans="1:40" x14ac:dyDescent="0.25">
      <c r="A3617" t="str">
        <f>"20190304164443104"</f>
        <v>20190304164443104</v>
      </c>
      <c r="B3617" t="str">
        <f>"1551689083093909"</f>
        <v>1551689083093909</v>
      </c>
      <c r="C3617" t="s">
        <v>40</v>
      </c>
      <c r="D3617">
        <v>5.495717</v>
      </c>
      <c r="E3617">
        <v>0.56433559999999905</v>
      </c>
      <c r="F3617" t="s">
        <v>41</v>
      </c>
      <c r="G3617">
        <v>-190.78200000000001</v>
      </c>
      <c r="H3617">
        <v>0.93968960000000001</v>
      </c>
      <c r="I3617">
        <v>196.70060000000001</v>
      </c>
      <c r="J3617">
        <v>-190.76400000000001</v>
      </c>
      <c r="K3617">
        <v>1.1018049999999999</v>
      </c>
      <c r="L3617">
        <v>197.25360000000001</v>
      </c>
      <c r="M3617">
        <v>8.8700500000000002E-2</v>
      </c>
      <c r="N3617">
        <v>-1.394576E-2</v>
      </c>
      <c r="O3617">
        <v>-0.99596079999999998</v>
      </c>
      <c r="P3617">
        <v>0.13332820000000001</v>
      </c>
      <c r="Q3617">
        <v>0.38023509999999999</v>
      </c>
      <c r="R3617">
        <v>-0.91522959999999998</v>
      </c>
      <c r="S3617">
        <v>1.522827E-2</v>
      </c>
      <c r="T3617">
        <v>-0.66981969999999902</v>
      </c>
      <c r="U3617">
        <v>-3.5441889999999998</v>
      </c>
      <c r="V3617">
        <v>-4.3214870000000002E-2</v>
      </c>
      <c r="W3617">
        <v>0.3940881</v>
      </c>
      <c r="X3617">
        <v>0.91805610000000004</v>
      </c>
      <c r="Y3617">
        <v>8.437037E-2</v>
      </c>
      <c r="Z3617">
        <v>0.17056170000000001</v>
      </c>
      <c r="AA3617">
        <v>0.9817283</v>
      </c>
      <c r="AB3617">
        <v>30</v>
      </c>
      <c r="AC3617">
        <v>-1.8000000000000599E-2</v>
      </c>
      <c r="AD3617">
        <v>-0.16211539999999899</v>
      </c>
      <c r="AE3617">
        <v>-0.55299999999999705</v>
      </c>
      <c r="AF3617">
        <v>6.1689185645586897E-2</v>
      </c>
      <c r="AG3617">
        <v>-0.16211539999999899</v>
      </c>
      <c r="AH3617">
        <v>0.50580030845111901</v>
      </c>
      <c r="AI3617">
        <v>107.64873389087499</v>
      </c>
      <c r="AJ3617">
        <v>83.046348138123605</v>
      </c>
      <c r="AK3617">
        <v>0.53471572874941897</v>
      </c>
      <c r="AL3617">
        <v>66.790886162810907</v>
      </c>
      <c r="AM3617">
        <v>92.695045875766894</v>
      </c>
      <c r="AN3617">
        <v>0.99999997914896799</v>
      </c>
    </row>
    <row r="3618" spans="1:40" x14ac:dyDescent="0.25">
      <c r="A3618" t="str">
        <f>"20190304164443136"</f>
        <v>20190304164443136</v>
      </c>
      <c r="B3618" t="str">
        <f>"1551689083124165"</f>
        <v>1551689083124165</v>
      </c>
      <c r="C3618" t="s">
        <v>40</v>
      </c>
      <c r="D3618">
        <v>5.4979839999999998</v>
      </c>
      <c r="E3618">
        <v>0.56438330000000003</v>
      </c>
      <c r="F3618" t="s">
        <v>41</v>
      </c>
      <c r="G3618">
        <v>-190.76070000000001</v>
      </c>
      <c r="H3618">
        <v>0.94883930000000005</v>
      </c>
      <c r="I3618">
        <v>196.42310000000001</v>
      </c>
      <c r="J3618">
        <v>-190.73509999999999</v>
      </c>
      <c r="K3618">
        <v>1.103275</v>
      </c>
      <c r="L3618">
        <v>196.8142</v>
      </c>
      <c r="M3618">
        <v>7.8913789999999998E-2</v>
      </c>
      <c r="N3618">
        <v>-1.369161E-2</v>
      </c>
      <c r="O3618">
        <v>-0.9967876</v>
      </c>
      <c r="P3618">
        <v>0.13385320000000001</v>
      </c>
      <c r="Q3618">
        <v>0.38437369999999998</v>
      </c>
      <c r="R3618">
        <v>-0.91342259999999997</v>
      </c>
      <c r="S3618">
        <v>1.478577E-2</v>
      </c>
      <c r="T3618">
        <v>-0.65321660000000004</v>
      </c>
      <c r="U3618">
        <v>-3.5470730000000001</v>
      </c>
      <c r="V3618">
        <v>-5.4231740000000001E-2</v>
      </c>
      <c r="W3618">
        <v>0.397984</v>
      </c>
      <c r="X3618">
        <v>0.91578800000000005</v>
      </c>
      <c r="Y3618">
        <v>7.4721099999999999E-2</v>
      </c>
      <c r="Z3618">
        <v>0.16653490000000001</v>
      </c>
      <c r="AA3618">
        <v>0.98320030000000003</v>
      </c>
      <c r="AB3618">
        <v>30</v>
      </c>
      <c r="AC3618">
        <v>-2.5600000000025599E-2</v>
      </c>
      <c r="AD3618">
        <v>-0.15443569999999901</v>
      </c>
      <c r="AE3618">
        <v>-0.39109999999999401</v>
      </c>
      <c r="AF3618">
        <v>4.88082001750446E-2</v>
      </c>
      <c r="AG3618">
        <v>-0.15443569999999901</v>
      </c>
      <c r="AH3618">
        <v>0.33573335253138398</v>
      </c>
      <c r="AI3618">
        <v>114.475497601736</v>
      </c>
      <c r="AJ3618">
        <v>81.728409296049307</v>
      </c>
      <c r="AK3618">
        <v>0.37275931891876302</v>
      </c>
      <c r="AL3618">
        <v>66.547791150052703</v>
      </c>
      <c r="AM3618">
        <v>93.389021500120407</v>
      </c>
      <c r="AN3618">
        <v>1.00000000341171</v>
      </c>
    </row>
    <row r="3619" spans="1:40" x14ac:dyDescent="0.25">
      <c r="A3619" t="str">
        <f>"20190304164443159"</f>
        <v>20190304164443159</v>
      </c>
      <c r="B3619" t="str">
        <f>"1551689083153445"</f>
        <v>1551689083153445</v>
      </c>
      <c r="C3619" t="s">
        <v>40</v>
      </c>
      <c r="D3619">
        <v>5.5061970000000002</v>
      </c>
      <c r="E3619">
        <v>0.56434240000000002</v>
      </c>
      <c r="F3619" t="s">
        <v>41</v>
      </c>
      <c r="G3619">
        <v>-190.7304</v>
      </c>
      <c r="H3619">
        <v>0.93613179999999996</v>
      </c>
      <c r="I3619">
        <v>195.88390000000001</v>
      </c>
      <c r="J3619">
        <v>-190.71629999999999</v>
      </c>
      <c r="K3619">
        <v>1.1043480000000001</v>
      </c>
      <c r="L3619">
        <v>196.50450000000001</v>
      </c>
      <c r="M3619">
        <v>7.3809570000000005E-2</v>
      </c>
      <c r="N3619">
        <v>-1.353416E-2</v>
      </c>
      <c r="O3619">
        <v>-0.99718059999999997</v>
      </c>
      <c r="P3619">
        <v>0.1390604</v>
      </c>
      <c r="Q3619">
        <v>0.38407019999999997</v>
      </c>
      <c r="R3619">
        <v>-0.91277220000000003</v>
      </c>
      <c r="S3619">
        <v>1.869202E-2</v>
      </c>
      <c r="T3619">
        <v>-0.63777419999999996</v>
      </c>
      <c r="U3619">
        <v>-3.5499879999999999</v>
      </c>
      <c r="V3619">
        <v>-6.5201889999999998E-2</v>
      </c>
      <c r="W3619">
        <v>0.39754260000000002</v>
      </c>
      <c r="X3619">
        <v>0.91526419999999997</v>
      </c>
      <c r="Y3619">
        <v>6.8544179999999996E-2</v>
      </c>
      <c r="Z3619">
        <v>0.16256129999999999</v>
      </c>
      <c r="AA3619">
        <v>0.98431469999999999</v>
      </c>
      <c r="AB3619">
        <v>30</v>
      </c>
      <c r="AC3619">
        <v>-1.41000000000133E-2</v>
      </c>
      <c r="AD3619">
        <v>-0.16821619999999901</v>
      </c>
      <c r="AE3619">
        <v>-0.62059999999999504</v>
      </c>
      <c r="AF3619">
        <v>5.5776164152911097E-2</v>
      </c>
      <c r="AG3619">
        <v>-0.16821619999999901</v>
      </c>
      <c r="AH3619">
        <v>0.57559849892179005</v>
      </c>
      <c r="AI3619">
        <v>106.218828206155</v>
      </c>
      <c r="AJ3619">
        <v>84.465252602309405</v>
      </c>
      <c r="AK3619">
        <v>0.60226348253158302</v>
      </c>
      <c r="AL3619">
        <v>66.575355362876707</v>
      </c>
      <c r="AM3619">
        <v>94.074771738519502</v>
      </c>
      <c r="AN3619">
        <v>0.999999980537985</v>
      </c>
    </row>
    <row r="3620" spans="1:40" x14ac:dyDescent="0.25">
      <c r="A3620" t="str">
        <f>"20190304164443181"</f>
        <v>20190304164443181</v>
      </c>
      <c r="B3620" t="str">
        <f>"1551689083173941"</f>
        <v>1551689083173941</v>
      </c>
      <c r="C3620" t="s">
        <v>40</v>
      </c>
      <c r="D3620">
        <v>5.5149350000000004</v>
      </c>
      <c r="E3620">
        <v>0.56429430000000003</v>
      </c>
      <c r="F3620" t="s">
        <v>41</v>
      </c>
      <c r="G3620">
        <v>-190.7123</v>
      </c>
      <c r="H3620">
        <v>0.94415640000000001</v>
      </c>
      <c r="I3620">
        <v>195.6079</v>
      </c>
      <c r="J3620">
        <v>-190.6978</v>
      </c>
      <c r="K3620">
        <v>1.1054189999999999</v>
      </c>
      <c r="L3620">
        <v>196.1883</v>
      </c>
      <c r="M3620">
        <v>6.9696690000000006E-2</v>
      </c>
      <c r="N3620">
        <v>-1.3396460000000001E-2</v>
      </c>
      <c r="O3620">
        <v>-0.99747850000000005</v>
      </c>
      <c r="P3620">
        <v>0.14005899999999999</v>
      </c>
      <c r="Q3620">
        <v>0.38739010000000001</v>
      </c>
      <c r="R3620">
        <v>-0.91121509999999994</v>
      </c>
      <c r="S3620">
        <v>1.5975949999999999E-2</v>
      </c>
      <c r="T3620">
        <v>-0.63449860000000002</v>
      </c>
      <c r="U3620">
        <v>-3.5512540000000001</v>
      </c>
      <c r="V3620">
        <v>-7.1062100000000003E-2</v>
      </c>
      <c r="W3620">
        <v>0.40060970000000001</v>
      </c>
      <c r="X3620">
        <v>0.91348890000000005</v>
      </c>
      <c r="Y3620">
        <v>6.5189520000000001E-2</v>
      </c>
      <c r="Z3620">
        <v>0.16185629999999901</v>
      </c>
      <c r="AA3620">
        <v>0.98465879999999995</v>
      </c>
      <c r="AB3620">
        <v>30</v>
      </c>
      <c r="AC3620">
        <v>-1.4499999999998099E-2</v>
      </c>
      <c r="AD3620">
        <v>-0.16126260000000001</v>
      </c>
      <c r="AE3620">
        <v>-0.58039999999999703</v>
      </c>
      <c r="AF3620">
        <v>5.0986642849769698E-2</v>
      </c>
      <c r="AG3620">
        <v>-0.16126260000000001</v>
      </c>
      <c r="AH3620">
        <v>0.53657997552506997</v>
      </c>
      <c r="AI3620">
        <v>106.65666726796</v>
      </c>
      <c r="AJ3620">
        <v>84.571965741488199</v>
      </c>
      <c r="AK3620">
        <v>0.56260406507803995</v>
      </c>
      <c r="AL3620">
        <v>66.383699748901094</v>
      </c>
      <c r="AM3620">
        <v>94.448193045298098</v>
      </c>
      <c r="AN3620">
        <v>0.99999996210685405</v>
      </c>
    </row>
    <row r="3621" spans="1:40" x14ac:dyDescent="0.25">
      <c r="A3621" t="str">
        <f>"20190304164443203"</f>
        <v>20190304164443203</v>
      </c>
      <c r="B3621" t="str">
        <f>"1551689083193461"</f>
        <v>1551689083193461</v>
      </c>
      <c r="C3621" t="s">
        <v>40</v>
      </c>
      <c r="D3621">
        <v>5.5055959999999997</v>
      </c>
      <c r="E3621">
        <v>0.5642279</v>
      </c>
      <c r="F3621" t="s">
        <v>41</v>
      </c>
      <c r="G3621">
        <v>-190.6952</v>
      </c>
      <c r="H3621">
        <v>0.95567869999999999</v>
      </c>
      <c r="I3621">
        <v>195.3304</v>
      </c>
      <c r="J3621">
        <v>-190.68129999999999</v>
      </c>
      <c r="K3621">
        <v>1.1064130000000001</v>
      </c>
      <c r="L3621">
        <v>195.90090000000001</v>
      </c>
      <c r="M3621">
        <v>6.6945399999999905E-2</v>
      </c>
      <c r="N3621">
        <v>-1.3299800000000001E-2</v>
      </c>
      <c r="O3621">
        <v>-0.99766809999999995</v>
      </c>
      <c r="P3621">
        <v>0.13715169999999999</v>
      </c>
      <c r="Q3621">
        <v>0.39326630000000001</v>
      </c>
      <c r="R3621">
        <v>-0.90913770000000005</v>
      </c>
      <c r="S3621">
        <v>1.1245730000000001E-2</v>
      </c>
      <c r="T3621">
        <v>-0.62045430000000001</v>
      </c>
      <c r="U3621">
        <v>-3.5543670000000001</v>
      </c>
      <c r="V3621">
        <v>-7.1695519999999999E-2</v>
      </c>
      <c r="W3621">
        <v>0.40619709999999998</v>
      </c>
      <c r="X3621">
        <v>0.91096849999999996</v>
      </c>
      <c r="Y3621">
        <v>6.3753859999999996E-2</v>
      </c>
      <c r="Z3621">
        <v>0.15809429999999999</v>
      </c>
      <c r="AA3621">
        <v>0.98536369999999895</v>
      </c>
      <c r="AB3621">
        <v>30</v>
      </c>
      <c r="AC3621">
        <v>-1.39000000000066E-2</v>
      </c>
      <c r="AD3621">
        <v>-0.15073429999999899</v>
      </c>
      <c r="AE3621">
        <v>-0.570500000000009</v>
      </c>
      <c r="AF3621">
        <v>4.8669006355368603E-2</v>
      </c>
      <c r="AG3621">
        <v>-0.15073429999999899</v>
      </c>
      <c r="AH3621">
        <v>0.53122678003650203</v>
      </c>
      <c r="AI3621">
        <v>105.77839117851499</v>
      </c>
      <c r="AJ3621">
        <v>84.765388445073</v>
      </c>
      <c r="AK3621">
        <v>0.55433869899553101</v>
      </c>
      <c r="AL3621">
        <v>66.033833868872406</v>
      </c>
      <c r="AM3621">
        <v>94.500046517819399</v>
      </c>
      <c r="AN3621">
        <v>0.99999996981436401</v>
      </c>
    </row>
    <row r="3622" spans="1:40" x14ac:dyDescent="0.25">
      <c r="A3622" t="str">
        <f>"20190304164443225"</f>
        <v>20190304164443225</v>
      </c>
      <c r="B3622" t="str">
        <f>"1551689083213957"</f>
        <v>1551689083213957</v>
      </c>
      <c r="C3622" t="s">
        <v>40</v>
      </c>
      <c r="D3622">
        <v>5.5063279999999999</v>
      </c>
      <c r="E3622">
        <v>0.56418840000000003</v>
      </c>
      <c r="F3622" t="s">
        <v>41</v>
      </c>
      <c r="G3622">
        <v>-190.67699999999999</v>
      </c>
      <c r="H3622">
        <v>0.96305099999999999</v>
      </c>
      <c r="I3622">
        <v>195.05549999999999</v>
      </c>
      <c r="J3622">
        <v>-190.66390000000001</v>
      </c>
      <c r="K3622">
        <v>1.107472</v>
      </c>
      <c r="L3622">
        <v>195.5986</v>
      </c>
      <c r="M3622">
        <v>6.5065730000000002E-2</v>
      </c>
      <c r="N3622">
        <v>-1.3238659999999999E-2</v>
      </c>
      <c r="O3622">
        <v>-0.99779320000000005</v>
      </c>
      <c r="P3622">
        <v>0.1381529</v>
      </c>
      <c r="Q3622">
        <v>0.39581660000000002</v>
      </c>
      <c r="R3622">
        <v>-0.90787850000000003</v>
      </c>
      <c r="S3622">
        <v>1.8218990000000001E-2</v>
      </c>
      <c r="T3622">
        <v>-0.60343579999999997</v>
      </c>
      <c r="U3622">
        <v>-3.5581209999999999</v>
      </c>
      <c r="V3622">
        <v>-7.5476970000000004E-2</v>
      </c>
      <c r="W3622">
        <v>0.40851910000000002</v>
      </c>
      <c r="X3622">
        <v>0.90962370000000004</v>
      </c>
      <c r="Y3622">
        <v>5.9948929999999997E-2</v>
      </c>
      <c r="Z3622">
        <v>0.1534614</v>
      </c>
      <c r="AA3622">
        <v>0.9863345</v>
      </c>
      <c r="AB3622">
        <v>30</v>
      </c>
      <c r="AC3622">
        <v>-1.3100000000008501E-2</v>
      </c>
      <c r="AD3622">
        <v>-0.14442099999999999</v>
      </c>
      <c r="AE3622">
        <v>-0.54310000000000902</v>
      </c>
      <c r="AF3622">
        <v>4.5216949187922503E-2</v>
      </c>
      <c r="AG3622">
        <v>-0.14442099999999999</v>
      </c>
      <c r="AH3622">
        <v>0.50538020236929104</v>
      </c>
      <c r="AI3622">
        <v>105.88794620852801</v>
      </c>
      <c r="AJ3622">
        <v>84.887294120930605</v>
      </c>
      <c r="AK3622">
        <v>0.52755203220316405</v>
      </c>
      <c r="AL3622">
        <v>65.8881578916981</v>
      </c>
      <c r="AM3622">
        <v>94.743310715031996</v>
      </c>
      <c r="AN3622">
        <v>0.99999995183343904</v>
      </c>
    </row>
    <row r="3623" spans="1:40" x14ac:dyDescent="0.25">
      <c r="A3623" t="str">
        <f>"20190304164443238"</f>
        <v>20190304164443238</v>
      </c>
      <c r="B3623" t="str">
        <f>"1551689083233477"</f>
        <v>1551689083233477</v>
      </c>
      <c r="C3623" t="s">
        <v>40</v>
      </c>
      <c r="D3623">
        <v>5.495387</v>
      </c>
      <c r="E3623">
        <v>0.5598301</v>
      </c>
      <c r="F3623" t="s">
        <v>41</v>
      </c>
      <c r="G3623">
        <v>-190.6583</v>
      </c>
      <c r="H3623">
        <v>0.97084090000000001</v>
      </c>
      <c r="I3623">
        <v>194.78100000000001</v>
      </c>
      <c r="J3623">
        <v>-190.6541</v>
      </c>
      <c r="K3623">
        <v>1.108061</v>
      </c>
      <c r="L3623">
        <v>195.42920000000001</v>
      </c>
      <c r="M3623">
        <v>6.4411629999999997E-2</v>
      </c>
      <c r="N3623">
        <v>-1.322337E-2</v>
      </c>
      <c r="O3623">
        <v>-0.99783580000000005</v>
      </c>
      <c r="P3623">
        <v>0.1412408</v>
      </c>
      <c r="Q3623">
        <v>0.39575729999999998</v>
      </c>
      <c r="R3623">
        <v>-0.90742869999999998</v>
      </c>
      <c r="S3623">
        <v>2.5177000000000001E-2</v>
      </c>
      <c r="T3623">
        <v>-0.59504590000000002</v>
      </c>
      <c r="U3623">
        <v>-3.5599980000000002</v>
      </c>
      <c r="V3623">
        <v>-7.9747209999999999E-2</v>
      </c>
      <c r="W3623">
        <v>0.40836329999999998</v>
      </c>
      <c r="X3623">
        <v>0.90932930000000001</v>
      </c>
      <c r="Y3623">
        <v>5.7371030000000003E-2</v>
      </c>
      <c r="Z3623">
        <v>0.15115809999999999</v>
      </c>
      <c r="AA3623">
        <v>0.98684329999999998</v>
      </c>
      <c r="AB3623">
        <v>30</v>
      </c>
      <c r="AC3623">
        <v>-4.1999999999973101E-3</v>
      </c>
      <c r="AD3623">
        <v>-0.13722009999999901</v>
      </c>
      <c r="AE3623">
        <v>-0.64820000000003097</v>
      </c>
      <c r="AF3623">
        <v>4.39758771542424E-2</v>
      </c>
      <c r="AG3623">
        <v>-0.13722009999999901</v>
      </c>
      <c r="AH3623">
        <v>0.61885091260163605</v>
      </c>
      <c r="AI3623">
        <v>102.471670426602</v>
      </c>
      <c r="AJ3623">
        <v>85.9353636413949</v>
      </c>
      <c r="AK3623">
        <v>0.63540513504643104</v>
      </c>
      <c r="AL3623">
        <v>65.897938461757903</v>
      </c>
      <c r="AM3623">
        <v>95.011955860567596</v>
      </c>
      <c r="AN3623">
        <v>0.99999998906408105</v>
      </c>
    </row>
    <row r="3624" spans="1:40" x14ac:dyDescent="0.25">
      <c r="A3624" t="str">
        <f>"20190304164443259"</f>
        <v>20190304164443259</v>
      </c>
      <c r="B3624" t="str">
        <f>"1551689083253973"</f>
        <v>1551689083253973</v>
      </c>
      <c r="C3624" t="s">
        <v>40</v>
      </c>
      <c r="D3624">
        <v>5.508273</v>
      </c>
      <c r="E3624">
        <v>0.55956980000000001</v>
      </c>
      <c r="F3624" t="s">
        <v>41</v>
      </c>
      <c r="G3624">
        <v>-190.63679999999999</v>
      </c>
      <c r="H3624">
        <v>0.93766939999999999</v>
      </c>
      <c r="I3624">
        <v>194.52699999999999</v>
      </c>
      <c r="J3624">
        <v>-190.6361</v>
      </c>
      <c r="K3624">
        <v>1.109089</v>
      </c>
      <c r="L3624">
        <v>195.13069999999999</v>
      </c>
      <c r="M3624">
        <v>6.4068139999999996E-2</v>
      </c>
      <c r="N3624">
        <v>-1.323175E-2</v>
      </c>
      <c r="O3624">
        <v>-0.99785820000000003</v>
      </c>
      <c r="P3624">
        <v>0.14982860000000001</v>
      </c>
      <c r="Q3624">
        <v>0.39469320000000002</v>
      </c>
      <c r="R3624">
        <v>-0.90651479999999995</v>
      </c>
      <c r="S3624">
        <v>6.9061280000000003E-2</v>
      </c>
      <c r="T3624">
        <v>-0.67833269999999901</v>
      </c>
      <c r="U3624">
        <v>-3.59111</v>
      </c>
      <c r="V3624">
        <v>-8.9660779999999995E-2</v>
      </c>
      <c r="W3624">
        <v>0.40715129999999999</v>
      </c>
      <c r="X3624">
        <v>0.90894929999999996</v>
      </c>
      <c r="Y3624">
        <v>4.510057E-2</v>
      </c>
      <c r="Z3624">
        <v>0.17192109999999999</v>
      </c>
      <c r="AA3624">
        <v>0.9840778</v>
      </c>
      <c r="AB3624">
        <v>30</v>
      </c>
      <c r="AC3624">
        <v>-6.9999999999481501E-4</v>
      </c>
      <c r="AD3624">
        <v>-0.17141960000000001</v>
      </c>
      <c r="AE3624">
        <v>-0.60369999999997404</v>
      </c>
      <c r="AF3624">
        <v>3.6441700493267302E-2</v>
      </c>
      <c r="AG3624">
        <v>-0.17141960000000001</v>
      </c>
      <c r="AH3624">
        <v>0.55746793576103304</v>
      </c>
      <c r="AI3624">
        <v>107.05820669292901</v>
      </c>
      <c r="AJ3624">
        <v>86.259894082056107</v>
      </c>
      <c r="AK3624">
        <v>0.584365618599065</v>
      </c>
      <c r="AL3624">
        <v>65.973991751332093</v>
      </c>
      <c r="AM3624">
        <v>95.633558210999794</v>
      </c>
      <c r="AN3624">
        <v>1.00000003326619</v>
      </c>
    </row>
    <row r="3625" spans="1:40" x14ac:dyDescent="0.25">
      <c r="A3625" t="str">
        <f>"20190304164443282"</f>
        <v>20190304164443282</v>
      </c>
      <c r="B3625" t="str">
        <f>"1551689083273493"</f>
        <v>1551689083273493</v>
      </c>
      <c r="C3625" t="s">
        <v>40</v>
      </c>
      <c r="D3625">
        <v>5.5209809999999999</v>
      </c>
      <c r="E3625">
        <v>0.5594481</v>
      </c>
      <c r="F3625" t="s">
        <v>41</v>
      </c>
      <c r="G3625">
        <v>-190.6157</v>
      </c>
      <c r="H3625">
        <v>0.94312660000000004</v>
      </c>
      <c r="I3625">
        <v>194.25479999999999</v>
      </c>
      <c r="J3625">
        <v>-190.6172</v>
      </c>
      <c r="K3625">
        <v>1.110044</v>
      </c>
      <c r="L3625">
        <v>194.83109999999999</v>
      </c>
      <c r="M3625">
        <v>6.457003E-2</v>
      </c>
      <c r="N3625">
        <v>-1.3260050000000001E-2</v>
      </c>
      <c r="O3625">
        <v>-0.99782530000000003</v>
      </c>
      <c r="P3625">
        <v>0.153558</v>
      </c>
      <c r="Q3625">
        <v>0.39568340000000002</v>
      </c>
      <c r="R3625">
        <v>-0.90545819999999999</v>
      </c>
      <c r="S3625">
        <v>8.4197999999999995E-2</v>
      </c>
      <c r="T3625">
        <v>-0.68078039999999995</v>
      </c>
      <c r="U3625">
        <v>-3.5918580000000002</v>
      </c>
      <c r="V3625">
        <v>-9.3888600000000003E-2</v>
      </c>
      <c r="W3625">
        <v>0.40796460000000001</v>
      </c>
      <c r="X3625">
        <v>0.9081574</v>
      </c>
      <c r="Y3625">
        <v>4.1468640000000001E-2</v>
      </c>
      <c r="Z3625">
        <v>0.1725013</v>
      </c>
      <c r="AA3625">
        <v>0.98413600000000001</v>
      </c>
      <c r="AB3625">
        <v>30</v>
      </c>
      <c r="AC3625">
        <v>1.4999999999929499E-3</v>
      </c>
      <c r="AD3625">
        <v>-0.16691739999999999</v>
      </c>
      <c r="AE3625">
        <v>-0.57630000000000303</v>
      </c>
      <c r="AF3625">
        <v>3.2953665190836701E-2</v>
      </c>
      <c r="AG3625">
        <v>-0.16691739999999999</v>
      </c>
      <c r="AH3625">
        <v>0.53067631420781503</v>
      </c>
      <c r="AI3625">
        <v>107.428764313287</v>
      </c>
      <c r="AJ3625">
        <v>86.446638794693499</v>
      </c>
      <c r="AK3625">
        <v>0.55728333272534003</v>
      </c>
      <c r="AL3625">
        <v>65.922962472313102</v>
      </c>
      <c r="AM3625">
        <v>95.902475834307594</v>
      </c>
      <c r="AN3625">
        <v>1.0000000236189299</v>
      </c>
    </row>
    <row r="3626" spans="1:40" x14ac:dyDescent="0.25">
      <c r="A3626" t="str">
        <f>"20190304164443304"</f>
        <v>20190304164443304</v>
      </c>
      <c r="B3626" t="str">
        <f>"1551689083293989"</f>
        <v>1551689083293989</v>
      </c>
      <c r="C3626" t="s">
        <v>40</v>
      </c>
      <c r="D3626">
        <v>5.5689609999999998</v>
      </c>
      <c r="E3626">
        <v>0.55855350000000004</v>
      </c>
      <c r="F3626" t="s">
        <v>41</v>
      </c>
      <c r="G3626">
        <v>-190.5932</v>
      </c>
      <c r="H3626">
        <v>0.94960180000000005</v>
      </c>
      <c r="I3626">
        <v>193.98259999999999</v>
      </c>
      <c r="J3626">
        <v>-190.59690000000001</v>
      </c>
      <c r="K3626">
        <v>1.1109</v>
      </c>
      <c r="L3626">
        <v>194.5257</v>
      </c>
      <c r="M3626">
        <v>6.5837049999999994E-2</v>
      </c>
      <c r="N3626">
        <v>-1.3293660000000001E-2</v>
      </c>
      <c r="O3626">
        <v>-0.99774180000000001</v>
      </c>
      <c r="P3626">
        <v>0.15589169999999999</v>
      </c>
      <c r="Q3626">
        <v>0.39700560000000001</v>
      </c>
      <c r="R3626">
        <v>-0.90447999999999995</v>
      </c>
      <c r="S3626">
        <v>0.1020966</v>
      </c>
      <c r="T3626">
        <v>-0.67953189999999997</v>
      </c>
      <c r="U3626">
        <v>-3.5928960000000001</v>
      </c>
      <c r="V3626">
        <v>-9.5927219999999994E-2</v>
      </c>
      <c r="W3626">
        <v>0.40912189999999998</v>
      </c>
      <c r="X3626">
        <v>0.90742339999999999</v>
      </c>
      <c r="Y3626">
        <v>3.7847359999999997E-2</v>
      </c>
      <c r="Z3626">
        <v>0.17206859999999999</v>
      </c>
      <c r="AA3626">
        <v>0.9843577</v>
      </c>
      <c r="AB3626">
        <v>30</v>
      </c>
      <c r="AC3626">
        <v>3.70000000000914E-3</v>
      </c>
      <c r="AD3626">
        <v>-0.161298199999999</v>
      </c>
      <c r="AE3626">
        <v>-0.54310000000000902</v>
      </c>
      <c r="AF3626">
        <v>2.9468138025213399E-2</v>
      </c>
      <c r="AG3626">
        <v>-0.161298199999999</v>
      </c>
      <c r="AH3626">
        <v>0.498220925896533</v>
      </c>
      <c r="AI3626">
        <v>107.909978466588</v>
      </c>
      <c r="AJ3626">
        <v>86.615085576548694</v>
      </c>
      <c r="AK3626">
        <v>0.52450888599060996</v>
      </c>
      <c r="AL3626">
        <v>65.850313977624097</v>
      </c>
      <c r="AM3626">
        <v>96.034544449325793</v>
      </c>
      <c r="AN3626">
        <v>0.99999999373204895</v>
      </c>
    </row>
    <row r="3627" spans="1:40" x14ac:dyDescent="0.25">
      <c r="A3627" t="str">
        <f>"20190304164443326"</f>
        <v>20190304164443326</v>
      </c>
      <c r="B3627" t="str">
        <f>"1551689083313509"</f>
        <v>1551689083313509</v>
      </c>
      <c r="C3627" t="s">
        <v>40</v>
      </c>
      <c r="D3627">
        <v>5.5237400000000001</v>
      </c>
      <c r="E3627">
        <v>0.55631900000000001</v>
      </c>
      <c r="F3627" t="s">
        <v>41</v>
      </c>
      <c r="G3627">
        <v>-190.56809999999999</v>
      </c>
      <c r="H3627">
        <v>0.96070160000000004</v>
      </c>
      <c r="I3627">
        <v>193.70869999999999</v>
      </c>
      <c r="J3627">
        <v>-190.57679999999999</v>
      </c>
      <c r="K3627">
        <v>1.1115790000000001</v>
      </c>
      <c r="L3627">
        <v>194.23830000000001</v>
      </c>
      <c r="M3627">
        <v>6.7630419999999997E-2</v>
      </c>
      <c r="N3627">
        <v>-1.3326040000000001E-2</v>
      </c>
      <c r="O3627">
        <v>-0.99762150000000005</v>
      </c>
      <c r="P3627">
        <v>0.1607797</v>
      </c>
      <c r="Q3627">
        <v>0.39491500000000002</v>
      </c>
      <c r="R3627">
        <v>-0.90453950000000005</v>
      </c>
      <c r="S3627">
        <v>0.12670899999999999</v>
      </c>
      <c r="T3627">
        <v>-0.65896869999999996</v>
      </c>
      <c r="U3627">
        <v>-3.5842290000000001</v>
      </c>
      <c r="V3627">
        <v>-9.9800860000000005E-2</v>
      </c>
      <c r="W3627">
        <v>0.40691250000000001</v>
      </c>
      <c r="X3627">
        <v>0.90799890000000005</v>
      </c>
      <c r="Y3627">
        <v>3.2800179999999998E-2</v>
      </c>
      <c r="Z3627">
        <v>0.166995799999999</v>
      </c>
      <c r="AA3627">
        <v>0.98541190000000001</v>
      </c>
      <c r="AB3627">
        <v>30</v>
      </c>
      <c r="AC3627">
        <v>8.7000000000045895E-3</v>
      </c>
      <c r="AD3627">
        <v>-0.15087739999999999</v>
      </c>
      <c r="AE3627">
        <v>-0.52960000000001595</v>
      </c>
      <c r="AF3627">
        <v>2.51032896946644E-2</v>
      </c>
      <c r="AG3627">
        <v>-0.15087739999999999</v>
      </c>
      <c r="AH3627">
        <v>0.489275810116647</v>
      </c>
      <c r="AI3627">
        <v>107.116934472389</v>
      </c>
      <c r="AJ3627">
        <v>87.0628990142703</v>
      </c>
      <c r="AK3627">
        <v>0.51262557812652698</v>
      </c>
      <c r="AL3627">
        <v>65.988970083909607</v>
      </c>
      <c r="AM3627">
        <v>96.2723718644298</v>
      </c>
      <c r="AN3627">
        <v>0.99999999835709896</v>
      </c>
    </row>
    <row r="3628" spans="1:40" x14ac:dyDescent="0.25">
      <c r="A3628" t="str">
        <f>"20190304164443341"</f>
        <v>20190304164443341</v>
      </c>
      <c r="B3628" t="str">
        <f>"1551689083334006"</f>
        <v>1551689083334006</v>
      </c>
      <c r="C3628" t="s">
        <v>40</v>
      </c>
      <c r="D3628">
        <v>5.5079789999999997</v>
      </c>
      <c r="E3628">
        <v>0.55473819999999996</v>
      </c>
      <c r="F3628" t="s">
        <v>41</v>
      </c>
      <c r="G3628">
        <v>-190.5412</v>
      </c>
      <c r="H3628">
        <v>0.96820949999999995</v>
      </c>
      <c r="I3628">
        <v>193.43700000000001</v>
      </c>
      <c r="J3628">
        <v>-190.5617</v>
      </c>
      <c r="K3628">
        <v>1.1119870000000001</v>
      </c>
      <c r="L3628">
        <v>194.03200000000001</v>
      </c>
      <c r="M3628">
        <v>6.9212529999999994E-2</v>
      </c>
      <c r="N3628">
        <v>-1.3349420000000001E-2</v>
      </c>
      <c r="O3628">
        <v>-0.99751259999999997</v>
      </c>
      <c r="P3628">
        <v>0.1639755</v>
      </c>
      <c r="Q3628">
        <v>0.39308700000000002</v>
      </c>
      <c r="R3628">
        <v>-0.90476239999999997</v>
      </c>
      <c r="S3628">
        <v>0.15876770000000001</v>
      </c>
      <c r="T3628">
        <v>-0.63819989999999904</v>
      </c>
      <c r="U3628">
        <v>-3.5670169999999999</v>
      </c>
      <c r="V3628">
        <v>-0.1019114</v>
      </c>
      <c r="W3628">
        <v>0.40501340000000002</v>
      </c>
      <c r="X3628">
        <v>0.90861340000000002</v>
      </c>
      <c r="Y3628">
        <v>2.534983E-2</v>
      </c>
      <c r="Z3628">
        <v>0.1622432</v>
      </c>
      <c r="AA3628">
        <v>0.98642510000000005</v>
      </c>
      <c r="AB3628">
        <v>30</v>
      </c>
      <c r="AC3628">
        <v>2.0499999999998401E-2</v>
      </c>
      <c r="AD3628">
        <v>-0.1437775</v>
      </c>
      <c r="AE3628">
        <v>-0.59499999999999797</v>
      </c>
      <c r="AF3628">
        <v>1.95916688907464E-2</v>
      </c>
      <c r="AG3628">
        <v>-0.1437775</v>
      </c>
      <c r="AH3628">
        <v>0.56220305336134302</v>
      </c>
      <c r="AI3628">
        <v>104.33698185224701</v>
      </c>
      <c r="AJ3628">
        <v>88.0041625981724</v>
      </c>
      <c r="AK3628">
        <v>0.58062731265846601</v>
      </c>
      <c r="AL3628">
        <v>66.108034390948504</v>
      </c>
      <c r="AM3628">
        <v>96.399631177606096</v>
      </c>
      <c r="AN3628">
        <v>1.00000004914453</v>
      </c>
    </row>
    <row r="3629" spans="1:40" x14ac:dyDescent="0.25">
      <c r="A3629" t="str">
        <f>"20190304164443360"</f>
        <v>20190304164443360</v>
      </c>
      <c r="B3629" t="str">
        <f>"1551689083353525"</f>
        <v>1551689083353525</v>
      </c>
      <c r="C3629" t="s">
        <v>40</v>
      </c>
      <c r="D3629">
        <v>5.4747209999999997</v>
      </c>
      <c r="E3629">
        <v>0.55368079999999997</v>
      </c>
      <c r="F3629" t="s">
        <v>41</v>
      </c>
      <c r="G3629">
        <v>-190.51840000000001</v>
      </c>
      <c r="H3629">
        <v>0.96065469999999997</v>
      </c>
      <c r="I3629">
        <v>193.1728</v>
      </c>
      <c r="J3629">
        <v>-190.542</v>
      </c>
      <c r="K3629">
        <v>1.112419</v>
      </c>
      <c r="L3629">
        <v>193.77379999999999</v>
      </c>
      <c r="M3629">
        <v>7.1458149999999998E-2</v>
      </c>
      <c r="N3629">
        <v>-1.3377979999999999E-2</v>
      </c>
      <c r="O3629">
        <v>-0.99735399999999996</v>
      </c>
      <c r="P3629">
        <v>0.17041679999999901</v>
      </c>
      <c r="Q3629">
        <v>0.39048359999999999</v>
      </c>
      <c r="R3629">
        <v>-0.90469940000000004</v>
      </c>
      <c r="S3629">
        <v>0.17973329999999901</v>
      </c>
      <c r="T3629">
        <v>-0.62629190000000001</v>
      </c>
      <c r="U3629">
        <v>-3.5553129999999999</v>
      </c>
      <c r="V3629">
        <v>-0.1066815</v>
      </c>
      <c r="W3629">
        <v>0.40232689999999999</v>
      </c>
      <c r="X3629">
        <v>0.90925909999999999</v>
      </c>
      <c r="Y3629">
        <v>2.163528E-2</v>
      </c>
      <c r="Z3629">
        <v>0.15953149999999999</v>
      </c>
      <c r="AA3629">
        <v>0.98695580000000005</v>
      </c>
      <c r="AB3629">
        <v>30</v>
      </c>
      <c r="AC3629">
        <v>2.35999999999876E-2</v>
      </c>
      <c r="AD3629">
        <v>-0.15176429999999999</v>
      </c>
      <c r="AE3629">
        <v>-0.60099999999999898</v>
      </c>
      <c r="AF3629">
        <v>1.82486721583092E-2</v>
      </c>
      <c r="AG3629">
        <v>-0.15176429999999999</v>
      </c>
      <c r="AH3629">
        <v>0.56516685253292498</v>
      </c>
      <c r="AI3629">
        <v>105.02357302869299</v>
      </c>
      <c r="AJ3629">
        <v>88.150619140344602</v>
      </c>
      <c r="AK3629">
        <v>0.58547330254419305</v>
      </c>
      <c r="AL3629">
        <v>66.276274795012199</v>
      </c>
      <c r="AM3629">
        <v>96.691801770311301</v>
      </c>
      <c r="AN3629">
        <v>0.99999999391933403</v>
      </c>
    </row>
    <row r="3630" spans="1:40" x14ac:dyDescent="0.25">
      <c r="A3630" t="str">
        <f>"20190304164443381"</f>
        <v>20190304164443381</v>
      </c>
      <c r="B3630" t="str">
        <f>"1551689083374021"</f>
        <v>1551689083374021</v>
      </c>
      <c r="C3630" t="s">
        <v>40</v>
      </c>
      <c r="D3630">
        <v>5.4930070000000004</v>
      </c>
      <c r="E3630">
        <v>0.55285410000000001</v>
      </c>
      <c r="F3630" t="s">
        <v>41</v>
      </c>
      <c r="G3630">
        <v>-190.49199999999999</v>
      </c>
      <c r="H3630">
        <v>0.95985699999999996</v>
      </c>
      <c r="I3630">
        <v>192.9058</v>
      </c>
      <c r="J3630">
        <v>-190.5188</v>
      </c>
      <c r="K3630">
        <v>1.1127830000000001</v>
      </c>
      <c r="L3630">
        <v>193.48410000000001</v>
      </c>
      <c r="M3630">
        <v>7.421208E-2</v>
      </c>
      <c r="N3630">
        <v>-1.3407280000000001E-2</v>
      </c>
      <c r="O3630">
        <v>-0.9971525</v>
      </c>
      <c r="P3630">
        <v>0.1728519</v>
      </c>
      <c r="Q3630">
        <v>0.39151160000000002</v>
      </c>
      <c r="R3630">
        <v>-0.9037925</v>
      </c>
      <c r="S3630">
        <v>0.20491029999999999</v>
      </c>
      <c r="T3630">
        <v>-0.62346990000000002</v>
      </c>
      <c r="U3630">
        <v>-3.546494</v>
      </c>
      <c r="V3630">
        <v>-0.107003399999999</v>
      </c>
      <c r="W3630">
        <v>0.40328350000000002</v>
      </c>
      <c r="X3630">
        <v>0.90879739999999998</v>
      </c>
      <c r="Y3630">
        <v>1.728795E-2</v>
      </c>
      <c r="Z3630">
        <v>0.15908929999999999</v>
      </c>
      <c r="AA3630">
        <v>0.98711280000000001</v>
      </c>
      <c r="AB3630">
        <v>30</v>
      </c>
      <c r="AC3630">
        <v>2.67999999999801E-2</v>
      </c>
      <c r="AD3630">
        <v>-0.15292600000000001</v>
      </c>
      <c r="AE3630">
        <v>-0.57830000000001203</v>
      </c>
      <c r="AF3630">
        <v>1.5138278560036401E-2</v>
      </c>
      <c r="AG3630">
        <v>-0.15292600000000001</v>
      </c>
      <c r="AH3630">
        <v>0.54094735299228403</v>
      </c>
      <c r="AI3630">
        <v>105.77974574660701</v>
      </c>
      <c r="AJ3630">
        <v>88.397010080635695</v>
      </c>
      <c r="AK3630">
        <v>0.56235181840474202</v>
      </c>
      <c r="AL3630">
        <v>66.216393234386203</v>
      </c>
      <c r="AM3630">
        <v>96.715188318605598</v>
      </c>
      <c r="AN3630">
        <v>1.0000000116152801</v>
      </c>
    </row>
    <row r="3631" spans="1:40" x14ac:dyDescent="0.25">
      <c r="A3631" t="str">
        <f>"20190304164443404"</f>
        <v>20190304164443404</v>
      </c>
      <c r="B3631" t="str">
        <f>"1551689083393541"</f>
        <v>1551689083393541</v>
      </c>
      <c r="C3631" t="s">
        <v>40</v>
      </c>
      <c r="D3631">
        <v>5.4720490000000002</v>
      </c>
      <c r="E3631">
        <v>0.55232559999999997</v>
      </c>
      <c r="F3631" t="s">
        <v>41</v>
      </c>
      <c r="G3631">
        <v>-190.46510000000001</v>
      </c>
      <c r="H3631">
        <v>0.96639920000000001</v>
      </c>
      <c r="I3631">
        <v>192.63560000000001</v>
      </c>
      <c r="J3631">
        <v>-190.4948</v>
      </c>
      <c r="K3631">
        <v>1.113035</v>
      </c>
      <c r="L3631">
        <v>193.1962</v>
      </c>
      <c r="M3631">
        <v>7.7078969999999997E-2</v>
      </c>
      <c r="N3631">
        <v>-1.3432639999999999E-2</v>
      </c>
      <c r="O3631">
        <v>-0.99693469999999995</v>
      </c>
      <c r="P3631">
        <v>0.17274049999999999</v>
      </c>
      <c r="Q3631">
        <v>0.39257530000000002</v>
      </c>
      <c r="R3631">
        <v>-0.90335259999999995</v>
      </c>
      <c r="S3631">
        <v>0.22468569999999999</v>
      </c>
      <c r="T3631">
        <v>-0.61107309999999904</v>
      </c>
      <c r="U3631">
        <v>-3.5410919999999999</v>
      </c>
      <c r="V3631">
        <v>-0.1045445</v>
      </c>
      <c r="W3631">
        <v>0.40431709999999998</v>
      </c>
      <c r="X3631">
        <v>0.9086244</v>
      </c>
      <c r="Y3631">
        <v>1.455554E-2</v>
      </c>
      <c r="Z3631">
        <v>0.15590619999999999</v>
      </c>
      <c r="AA3631">
        <v>0.9876646</v>
      </c>
      <c r="AB3631">
        <v>30</v>
      </c>
      <c r="AC3631">
        <v>2.9699999999991102E-2</v>
      </c>
      <c r="AD3631">
        <v>-0.14663579999999901</v>
      </c>
      <c r="AE3631">
        <v>-0.56059999999999299</v>
      </c>
      <c r="AF3631">
        <v>1.2733935696106299E-2</v>
      </c>
      <c r="AG3631">
        <v>-0.14663579999999901</v>
      </c>
      <c r="AH3631">
        <v>0.525376474577949</v>
      </c>
      <c r="AI3631">
        <v>105.59038837849501</v>
      </c>
      <c r="AJ3631">
        <v>88.611551934097506</v>
      </c>
      <c r="AK3631">
        <v>0.54560484876869197</v>
      </c>
      <c r="AL3631">
        <v>66.151661962234797</v>
      </c>
      <c r="AM3631">
        <v>96.563475772301103</v>
      </c>
      <c r="AN3631">
        <v>1.0000000850540001</v>
      </c>
    </row>
    <row r="3632" spans="1:40" x14ac:dyDescent="0.25">
      <c r="A3632" t="str">
        <f>"20190304164443426"</f>
        <v>20190304164443426</v>
      </c>
      <c r="B3632" t="str">
        <f>"1551689083414037"</f>
        <v>1551689083414037</v>
      </c>
      <c r="C3632" t="s">
        <v>40</v>
      </c>
      <c r="D3632">
        <v>5.4933579999999997</v>
      </c>
      <c r="E3632">
        <v>0.55187759999999997</v>
      </c>
      <c r="F3632" t="s">
        <v>41</v>
      </c>
      <c r="G3632">
        <v>-190.43799999999999</v>
      </c>
      <c r="H3632">
        <v>0.9715992</v>
      </c>
      <c r="I3632">
        <v>192.3663</v>
      </c>
      <c r="J3632">
        <v>-190.46860000000001</v>
      </c>
      <c r="K3632">
        <v>1.1131770000000001</v>
      </c>
      <c r="L3632">
        <v>192.89570000000001</v>
      </c>
      <c r="M3632">
        <v>8.011385E-2</v>
      </c>
      <c r="N3632">
        <v>-1.3455699999999999E-2</v>
      </c>
      <c r="O3632">
        <v>-0.99669490000000005</v>
      </c>
      <c r="P3632">
        <v>0.17051529999999901</v>
      </c>
      <c r="Q3632">
        <v>0.39181769999999999</v>
      </c>
      <c r="R3632">
        <v>-0.90410360000000001</v>
      </c>
      <c r="S3632">
        <v>0.24229429999999999</v>
      </c>
      <c r="T3632">
        <v>-0.60290129999999997</v>
      </c>
      <c r="U3632">
        <v>-3.5366360000000001</v>
      </c>
      <c r="V3632">
        <v>-9.9631380000000005E-2</v>
      </c>
      <c r="W3632">
        <v>0.40357939999999998</v>
      </c>
      <c r="X3632">
        <v>0.90950390000000003</v>
      </c>
      <c r="Y3632">
        <v>1.260528E-2</v>
      </c>
      <c r="Z3632">
        <v>0.1538052</v>
      </c>
      <c r="AA3632">
        <v>0.98802080000000003</v>
      </c>
      <c r="AB3632">
        <v>30</v>
      </c>
      <c r="AC3632">
        <v>3.0600000000020999E-2</v>
      </c>
      <c r="AD3632">
        <v>-0.1415778</v>
      </c>
      <c r="AE3632">
        <v>-0.52940000000000897</v>
      </c>
      <c r="AF3632">
        <v>1.11217193686274E-2</v>
      </c>
      <c r="AG3632">
        <v>-0.1415778</v>
      </c>
      <c r="AH3632">
        <v>0.494874592632772</v>
      </c>
      <c r="AI3632">
        <v>105.96137782004401</v>
      </c>
      <c r="AJ3632">
        <v>88.712562049586495</v>
      </c>
      <c r="AK3632">
        <v>0.51484835488520997</v>
      </c>
      <c r="AL3632">
        <v>66.197865487846798</v>
      </c>
      <c r="AM3632">
        <v>96.251525319416302</v>
      </c>
      <c r="AN3632">
        <v>1.00000004405013</v>
      </c>
    </row>
    <row r="3633" spans="1:40" x14ac:dyDescent="0.25">
      <c r="A3633" t="str">
        <f>"20190304164443450"</f>
        <v>20190304164443450</v>
      </c>
      <c r="B3633" t="str">
        <f>"1551689083443317"</f>
        <v>1551689083443317</v>
      </c>
      <c r="C3633" t="s">
        <v>40</v>
      </c>
      <c r="D3633">
        <v>5.5043879999999996</v>
      </c>
      <c r="E3633">
        <v>0.55128109999999997</v>
      </c>
      <c r="F3633" t="s">
        <v>41</v>
      </c>
      <c r="G3633">
        <v>-190.41210000000001</v>
      </c>
      <c r="H3633">
        <v>0.97709769999999896</v>
      </c>
      <c r="I3633">
        <v>192.09710000000001</v>
      </c>
      <c r="J3633">
        <v>-190.4402</v>
      </c>
      <c r="K3633">
        <v>1.1132420000000001</v>
      </c>
      <c r="L3633">
        <v>192.58080000000001</v>
      </c>
      <c r="M3633">
        <v>8.325304E-2</v>
      </c>
      <c r="N3633">
        <v>-1.347682E-2</v>
      </c>
      <c r="O3633">
        <v>-0.99643729999999997</v>
      </c>
      <c r="P3633">
        <v>0.16809260000000001</v>
      </c>
      <c r="Q3633">
        <v>0.38855499999999998</v>
      </c>
      <c r="R3633">
        <v>-0.90596359999999998</v>
      </c>
      <c r="S3633">
        <v>0.25041200000000002</v>
      </c>
      <c r="T3633">
        <v>-0.60198280000000004</v>
      </c>
      <c r="U3633">
        <v>-3.531876</v>
      </c>
      <c r="V3633">
        <v>-9.4229099999999996E-2</v>
      </c>
      <c r="W3633">
        <v>0.4003755</v>
      </c>
      <c r="X3633">
        <v>0.91149349999999996</v>
      </c>
      <c r="Y3633">
        <v>1.3402259999999999E-2</v>
      </c>
      <c r="Z3633">
        <v>0.1536797</v>
      </c>
      <c r="AA3633">
        <v>0.98802979999999996</v>
      </c>
      <c r="AB3633">
        <v>30</v>
      </c>
      <c r="AC3633">
        <v>2.80999999999949E-2</v>
      </c>
      <c r="AD3633">
        <v>-0.1361443</v>
      </c>
      <c r="AE3633">
        <v>-0.48369999999999802</v>
      </c>
      <c r="AF3633">
        <v>1.1372776212588E-2</v>
      </c>
      <c r="AG3633">
        <v>-0.1361443</v>
      </c>
      <c r="AH3633">
        <v>0.44891567004229299</v>
      </c>
      <c r="AI3633">
        <v>106.866064619155</v>
      </c>
      <c r="AJ3633">
        <v>88.548785946415606</v>
      </c>
      <c r="AK3633">
        <v>0.469243954964571</v>
      </c>
      <c r="AL3633">
        <v>66.398345918370595</v>
      </c>
      <c r="AM3633">
        <v>95.902202296836293</v>
      </c>
      <c r="AN3633">
        <v>1.0000000324146501</v>
      </c>
    </row>
    <row r="3634" spans="1:40" x14ac:dyDescent="0.25">
      <c r="A3634" t="str">
        <f>"20190304164443472"</f>
        <v>20190304164443472</v>
      </c>
      <c r="B3634" t="str">
        <f>"1551689083463813"</f>
        <v>1551689083463813</v>
      </c>
      <c r="C3634" t="s">
        <v>40</v>
      </c>
      <c r="D3634">
        <v>5.5162230000000001</v>
      </c>
      <c r="E3634">
        <v>0.55099869999999995</v>
      </c>
      <c r="F3634" t="s">
        <v>41</v>
      </c>
      <c r="G3634">
        <v>-190.387</v>
      </c>
      <c r="H3634">
        <v>0.98314679999999999</v>
      </c>
      <c r="I3634">
        <v>191.82769999999999</v>
      </c>
      <c r="J3634">
        <v>-190.41249999999999</v>
      </c>
      <c r="K3634">
        <v>1.113243</v>
      </c>
      <c r="L3634">
        <v>192.2841</v>
      </c>
      <c r="M3634">
        <v>8.6098690000000005E-2</v>
      </c>
      <c r="N3634">
        <v>-1.349407E-2</v>
      </c>
      <c r="O3634">
        <v>-0.99619530000000001</v>
      </c>
      <c r="P3634">
        <v>0.16527739999999999</v>
      </c>
      <c r="Q3634">
        <v>0.38528440000000003</v>
      </c>
      <c r="R3634">
        <v>-0.90787640000000003</v>
      </c>
      <c r="S3634">
        <v>0.24931339999999999</v>
      </c>
      <c r="T3634">
        <v>-0.60933850000000001</v>
      </c>
      <c r="U3634">
        <v>-3.526459</v>
      </c>
      <c r="V3634">
        <v>-8.861347E-2</v>
      </c>
      <c r="W3634">
        <v>0.39717849999999999</v>
      </c>
      <c r="X3634">
        <v>0.91345330000000002</v>
      </c>
      <c r="Y3634">
        <v>1.6477450000000001E-2</v>
      </c>
      <c r="Z3634">
        <v>0.15583849999999999</v>
      </c>
      <c r="AA3634">
        <v>0.98764510000000005</v>
      </c>
      <c r="AB3634">
        <v>30</v>
      </c>
      <c r="AC3634">
        <v>2.5499999999993798E-2</v>
      </c>
      <c r="AD3634">
        <v>-0.130096199999999</v>
      </c>
      <c r="AE3634">
        <v>-0.45640000000000203</v>
      </c>
      <c r="AF3634">
        <v>1.2852661961488E-2</v>
      </c>
      <c r="AG3634">
        <v>-0.130096199999999</v>
      </c>
      <c r="AH3634">
        <v>0.422664821220047</v>
      </c>
      <c r="AI3634">
        <v>107.100918298127</v>
      </c>
      <c r="AJ3634">
        <v>88.258250049797198</v>
      </c>
      <c r="AK3634">
        <v>0.44242034680935599</v>
      </c>
      <c r="AL3634">
        <v>66.598089517705702</v>
      </c>
      <c r="AM3634">
        <v>95.540885770287602</v>
      </c>
      <c r="AN3634">
        <v>1.00000001960429</v>
      </c>
    </row>
    <row r="3635" spans="1:40" x14ac:dyDescent="0.25">
      <c r="A3635" t="str">
        <f>"20190304164443495"</f>
        <v>20190304164443495</v>
      </c>
      <c r="B3635" t="str">
        <f>"1551689083484066"</f>
        <v>1551689083484066</v>
      </c>
      <c r="C3635" t="s">
        <v>40</v>
      </c>
      <c r="D3635">
        <v>5.5211069999999998</v>
      </c>
      <c r="E3635">
        <v>0.55069259999999998</v>
      </c>
      <c r="F3635" t="s">
        <v>41</v>
      </c>
      <c r="G3635">
        <v>-190.363</v>
      </c>
      <c r="H3635">
        <v>0.98617909999999998</v>
      </c>
      <c r="I3635">
        <v>191.5599</v>
      </c>
      <c r="J3635">
        <v>-190.38460000000001</v>
      </c>
      <c r="K3635">
        <v>1.113192</v>
      </c>
      <c r="L3635">
        <v>191.99270000000001</v>
      </c>
      <c r="M3635">
        <v>8.8721129999999995E-2</v>
      </c>
      <c r="N3635">
        <v>-1.3508569999999999E-2</v>
      </c>
      <c r="O3635">
        <v>-0.99596510000000005</v>
      </c>
      <c r="P3635">
        <v>0.16501250000000001</v>
      </c>
      <c r="Q3635">
        <v>0.38369999999999999</v>
      </c>
      <c r="R3635">
        <v>-0.90859559999999995</v>
      </c>
      <c r="S3635">
        <v>0.24189759999999999</v>
      </c>
      <c r="T3635">
        <v>-0.61825669999999899</v>
      </c>
      <c r="U3635">
        <v>-3.5227200000000001</v>
      </c>
      <c r="V3635">
        <v>-8.5791249999999999E-2</v>
      </c>
      <c r="W3635">
        <v>0.39564939999999998</v>
      </c>
      <c r="X3635">
        <v>0.91438589999999997</v>
      </c>
      <c r="Y3635">
        <v>2.1126510000000001E-2</v>
      </c>
      <c r="Z3635">
        <v>0.15835389999999999</v>
      </c>
      <c r="AA3635">
        <v>0.98715640000000004</v>
      </c>
      <c r="AB3635">
        <v>30</v>
      </c>
      <c r="AC3635">
        <v>2.1600000000006499E-2</v>
      </c>
      <c r="AD3635">
        <v>-0.12701289999999901</v>
      </c>
      <c r="AE3635">
        <v>-0.43280000000001401</v>
      </c>
      <c r="AF3635">
        <v>1.55512016970899E-2</v>
      </c>
      <c r="AG3635">
        <v>-0.12701289999999901</v>
      </c>
      <c r="AH3635">
        <v>0.398752867857047</v>
      </c>
      <c r="AI3635">
        <v>107.655409231909</v>
      </c>
      <c r="AJ3635">
        <v>87.7666194521682</v>
      </c>
      <c r="AK3635">
        <v>0.41878152569669702</v>
      </c>
      <c r="AL3635">
        <v>66.693520349724295</v>
      </c>
      <c r="AM3635">
        <v>95.360022204868898</v>
      </c>
      <c r="AN3635">
        <v>1.0000000802078599</v>
      </c>
    </row>
    <row r="3636" spans="1:40" x14ac:dyDescent="0.25">
      <c r="A3636" t="str">
        <f>"20190304164443528"</f>
        <v>20190304164443528</v>
      </c>
      <c r="B3636" t="str">
        <f>"1551689083523612"</f>
        <v>1551689083523612</v>
      </c>
      <c r="C3636" t="s">
        <v>40</v>
      </c>
      <c r="D3636">
        <v>5.5337129999999997</v>
      </c>
      <c r="E3636">
        <v>0.55012740000000004</v>
      </c>
      <c r="F3636" t="s">
        <v>41</v>
      </c>
      <c r="G3636">
        <v>-190.3201</v>
      </c>
      <c r="H3636">
        <v>0.94656870000000004</v>
      </c>
      <c r="I3636">
        <v>191.04640000000001</v>
      </c>
      <c r="J3636">
        <v>-190.34039999999999</v>
      </c>
      <c r="K3636">
        <v>1.112992</v>
      </c>
      <c r="L3636">
        <v>191.54409999999999</v>
      </c>
      <c r="M3636">
        <v>9.2289280000000001E-2</v>
      </c>
      <c r="N3636">
        <v>-1.352594E-2</v>
      </c>
      <c r="O3636">
        <v>-0.99564030000000003</v>
      </c>
      <c r="P3636">
        <v>0.16398869999999999</v>
      </c>
      <c r="Q3636">
        <v>0.38350859999999998</v>
      </c>
      <c r="R3636">
        <v>-0.90886140000000004</v>
      </c>
      <c r="S3636">
        <v>0.24055480000000001</v>
      </c>
      <c r="T3636">
        <v>-0.61996899999999999</v>
      </c>
      <c r="U3636">
        <v>-3.5199280000000002</v>
      </c>
      <c r="V3636">
        <v>-8.1253599999999995E-2</v>
      </c>
      <c r="W3636">
        <v>0.39554349999999999</v>
      </c>
      <c r="X3636">
        <v>0.91484600000000005</v>
      </c>
      <c r="Y3636">
        <v>2.5030630000000002E-2</v>
      </c>
      <c r="Z3636">
        <v>0.1588436</v>
      </c>
      <c r="AA3636">
        <v>0.98698640000000004</v>
      </c>
      <c r="AB3636">
        <v>30</v>
      </c>
      <c r="AC3636">
        <v>2.02999999999917E-2</v>
      </c>
      <c r="AD3636">
        <v>-0.166423299999999</v>
      </c>
      <c r="AE3636">
        <v>-0.49769999999997999</v>
      </c>
      <c r="AF3636">
        <v>2.3140154550661499E-2</v>
      </c>
      <c r="AG3636">
        <v>-0.166423299999999</v>
      </c>
      <c r="AH3636">
        <v>0.44749630901747001</v>
      </c>
      <c r="AI3636">
        <v>110.375121770901</v>
      </c>
      <c r="AJ3636">
        <v>87.039856372893198</v>
      </c>
      <c r="AK3636">
        <v>0.47800118004015202</v>
      </c>
      <c r="AL3636">
        <v>66.700125069944207</v>
      </c>
      <c r="AM3636">
        <v>95.075503969959499</v>
      </c>
      <c r="AN3636">
        <v>1.0000000058106</v>
      </c>
    </row>
    <row r="3637" spans="1:40" x14ac:dyDescent="0.25">
      <c r="A3637" t="str">
        <f>"20190304164443551"</f>
        <v>20190304164443551</v>
      </c>
      <c r="B3637" t="str">
        <f>"1551689083544109"</f>
        <v>1551689083544109</v>
      </c>
      <c r="C3637" t="s">
        <v>40</v>
      </c>
      <c r="D3637">
        <v>5.5549369999999998</v>
      </c>
      <c r="E3637">
        <v>0.54985319999999904</v>
      </c>
      <c r="F3637" t="s">
        <v>41</v>
      </c>
      <c r="G3637">
        <v>-190.28659999999999</v>
      </c>
      <c r="H3637">
        <v>0.97729889999999997</v>
      </c>
      <c r="I3637">
        <v>190.7663</v>
      </c>
      <c r="J3637">
        <v>-190.30950000000001</v>
      </c>
      <c r="K3637">
        <v>1.112832</v>
      </c>
      <c r="L3637">
        <v>191.23660000000001</v>
      </c>
      <c r="M3637">
        <v>9.4446219999999997E-2</v>
      </c>
      <c r="N3637">
        <v>-1.3535989999999999E-2</v>
      </c>
      <c r="O3637">
        <v>-0.99543800000000005</v>
      </c>
      <c r="P3637">
        <v>0.16370499999999999</v>
      </c>
      <c r="Q3637">
        <v>0.3843916</v>
      </c>
      <c r="R3637">
        <v>-0.90853950000000006</v>
      </c>
      <c r="S3637">
        <v>0.24308779999999999</v>
      </c>
      <c r="T3637">
        <v>-0.61335169999999894</v>
      </c>
      <c r="U3637">
        <v>-3.5158230000000001</v>
      </c>
      <c r="V3637">
        <v>-7.88518E-2</v>
      </c>
      <c r="W3637">
        <v>0.39647559999999998</v>
      </c>
      <c r="X3637">
        <v>0.91465260000000004</v>
      </c>
      <c r="Y3637">
        <v>2.6390719999999999E-2</v>
      </c>
      <c r="Z3637">
        <v>0.15718219999999999</v>
      </c>
      <c r="AA3637">
        <v>0.98721689999999995</v>
      </c>
      <c r="AB3637">
        <v>30</v>
      </c>
      <c r="AC3637">
        <v>2.2900000000021199E-2</v>
      </c>
      <c r="AD3637">
        <v>-0.13553309999999999</v>
      </c>
      <c r="AE3637">
        <v>-0.47030000000000799</v>
      </c>
      <c r="AF3637">
        <v>1.9969923280887199E-2</v>
      </c>
      <c r="AG3637">
        <v>-0.13553309999999999</v>
      </c>
      <c r="AH3637">
        <v>0.43437108745331598</v>
      </c>
      <c r="AI3637">
        <v>107.311850694787</v>
      </c>
      <c r="AJ3637">
        <v>87.367717976148498</v>
      </c>
      <c r="AK3637">
        <v>0.455462688534232</v>
      </c>
      <c r="AL3637">
        <v>66.641963315278105</v>
      </c>
      <c r="AM3637">
        <v>94.927261538221899</v>
      </c>
      <c r="AN3637">
        <v>0.99999994322267804</v>
      </c>
    </row>
    <row r="3638" spans="1:40" x14ac:dyDescent="0.25">
      <c r="A3638" t="str">
        <f>"20190304164443563"</f>
        <v>20190304164443563</v>
      </c>
      <c r="B3638" t="str">
        <f>"1551689083553869"</f>
        <v>1551689083553869</v>
      </c>
      <c r="C3638" t="s">
        <v>40</v>
      </c>
      <c r="D3638">
        <v>5.551177</v>
      </c>
      <c r="E3638">
        <v>0.54974540000000005</v>
      </c>
      <c r="F3638" t="s">
        <v>41</v>
      </c>
      <c r="G3638">
        <v>-190.25729999999999</v>
      </c>
      <c r="H3638">
        <v>0.98493149999999996</v>
      </c>
      <c r="I3638">
        <v>190.49719999999999</v>
      </c>
      <c r="J3638">
        <v>-190.29239999999999</v>
      </c>
      <c r="K3638">
        <v>1.1127180000000001</v>
      </c>
      <c r="L3638">
        <v>191.06819999999999</v>
      </c>
      <c r="M3638">
        <v>9.5451149999999998E-2</v>
      </c>
      <c r="N3638">
        <v>-1.354031E-2</v>
      </c>
      <c r="O3638">
        <v>-0.99534219999999896</v>
      </c>
      <c r="P3638">
        <v>0.1636782</v>
      </c>
      <c r="Q3638">
        <v>0.38451740000000001</v>
      </c>
      <c r="R3638">
        <v>-0.90849100000000005</v>
      </c>
      <c r="S3638">
        <v>0.2494507</v>
      </c>
      <c r="T3638">
        <v>-0.60804179999999997</v>
      </c>
      <c r="U3638">
        <v>-3.514313</v>
      </c>
      <c r="V3638">
        <v>-7.7788839999999998E-2</v>
      </c>
      <c r="W3638">
        <v>0.39663189999999998</v>
      </c>
      <c r="X3638">
        <v>0.91467600000000004</v>
      </c>
      <c r="Y3638">
        <v>2.5577659999999999E-2</v>
      </c>
      <c r="Z3638">
        <v>0.155781</v>
      </c>
      <c r="AA3638">
        <v>0.98746040000000002</v>
      </c>
      <c r="AB3638">
        <v>30</v>
      </c>
      <c r="AC3638">
        <v>3.5099999999999902E-2</v>
      </c>
      <c r="AD3638">
        <v>-0.1277865</v>
      </c>
      <c r="AE3638">
        <v>-0.57099999999999795</v>
      </c>
      <c r="AF3638">
        <v>1.8637939940997099E-2</v>
      </c>
      <c r="AG3638">
        <v>-0.1277865</v>
      </c>
      <c r="AH3638">
        <v>0.54457147865056599</v>
      </c>
      <c r="AI3638">
        <v>103.198368191667</v>
      </c>
      <c r="AJ3638">
        <v>88.039819048935996</v>
      </c>
      <c r="AK3638">
        <v>0.55967388517524896</v>
      </c>
      <c r="AL3638">
        <v>66.632211470763494</v>
      </c>
      <c r="AM3638">
        <v>94.861036380560293</v>
      </c>
      <c r="AN3638">
        <v>1.0000000763510699</v>
      </c>
    </row>
    <row r="3639" spans="1:40" x14ac:dyDescent="0.25">
      <c r="A3639" t="str">
        <f>"20190304164443576"</f>
        <v>20190304164443576</v>
      </c>
      <c r="B3639" t="str">
        <f>"1551689083563629"</f>
        <v>1551689083563629</v>
      </c>
      <c r="C3639" t="s">
        <v>40</v>
      </c>
      <c r="D3639">
        <v>5.5449460000000004</v>
      </c>
      <c r="E3639">
        <v>0.54962630000000001</v>
      </c>
      <c r="F3639" t="s">
        <v>41</v>
      </c>
      <c r="G3639">
        <v>-190.23269999999999</v>
      </c>
      <c r="H3639">
        <v>0.96966140000000001</v>
      </c>
      <c r="I3639">
        <v>190.2389</v>
      </c>
      <c r="J3639">
        <v>-190.2758</v>
      </c>
      <c r="K3639">
        <v>1.1125890000000001</v>
      </c>
      <c r="L3639">
        <v>190.90559999999999</v>
      </c>
      <c r="M3639">
        <v>9.6346080000000001E-2</v>
      </c>
      <c r="N3639">
        <v>-1.354413E-2</v>
      </c>
      <c r="O3639">
        <v>-0.99525600000000003</v>
      </c>
      <c r="P3639">
        <v>0.16362789999999999</v>
      </c>
      <c r="Q3639">
        <v>0.38443040000000001</v>
      </c>
      <c r="R3639">
        <v>-0.90853729999999999</v>
      </c>
      <c r="S3639">
        <v>0.25288389999999999</v>
      </c>
      <c r="T3639">
        <v>-0.60599539999999996</v>
      </c>
      <c r="U3639">
        <v>-3.5131070000000002</v>
      </c>
      <c r="V3639">
        <v>-7.6785450000000005E-2</v>
      </c>
      <c r="W3639">
        <v>0.3965767</v>
      </c>
      <c r="X3639">
        <v>0.91478459999999995</v>
      </c>
      <c r="Y3639">
        <v>2.5486789999999999E-2</v>
      </c>
      <c r="Z3639">
        <v>0.15525320000000001</v>
      </c>
      <c r="AA3639">
        <v>0.98754580000000003</v>
      </c>
      <c r="AB3639">
        <v>30</v>
      </c>
      <c r="AC3639">
        <v>4.3100000000009603E-2</v>
      </c>
      <c r="AD3639">
        <v>-0.14292759999999999</v>
      </c>
      <c r="AE3639">
        <v>-0.66669999999999097</v>
      </c>
      <c r="AF3639">
        <v>2.04063940612501E-2</v>
      </c>
      <c r="AG3639">
        <v>-0.14292759999999999</v>
      </c>
      <c r="AH3639">
        <v>0.63852679995533601</v>
      </c>
      <c r="AI3639">
        <v>102.610854527423</v>
      </c>
      <c r="AJ3639">
        <v>88.169532673197097</v>
      </c>
      <c r="AK3639">
        <v>0.65464585389471797</v>
      </c>
      <c r="AL3639">
        <v>66.635654221083996</v>
      </c>
      <c r="AM3639">
        <v>94.798062068903107</v>
      </c>
      <c r="AN3639">
        <v>0.99999997435587495</v>
      </c>
    </row>
    <row r="3640" spans="1:40" x14ac:dyDescent="0.25">
      <c r="A3640" t="str">
        <f>"20190304164443589"</f>
        <v>20190304164443589</v>
      </c>
      <c r="B3640" t="str">
        <f>"1551689083584125"</f>
        <v>1551689083584125</v>
      </c>
      <c r="C3640" t="s">
        <v>40</v>
      </c>
      <c r="D3640">
        <v>5.5499369999999999</v>
      </c>
      <c r="E3640">
        <v>0.54945239999999995</v>
      </c>
      <c r="F3640" t="s">
        <v>41</v>
      </c>
      <c r="G3640">
        <v>-190.209</v>
      </c>
      <c r="H3640">
        <v>0.95340499999999995</v>
      </c>
      <c r="I3640">
        <v>189.9811</v>
      </c>
      <c r="J3640">
        <v>-190.2567</v>
      </c>
      <c r="K3640">
        <v>1.112412</v>
      </c>
      <c r="L3640">
        <v>190.7183</v>
      </c>
      <c r="M3640">
        <v>9.717663E-2</v>
      </c>
      <c r="N3640">
        <v>-1.354734E-2</v>
      </c>
      <c r="O3640">
        <v>-0.99517509999999998</v>
      </c>
      <c r="P3640">
        <v>0.16380749999999999</v>
      </c>
      <c r="Q3640">
        <v>0.38439760000000001</v>
      </c>
      <c r="R3640">
        <v>-0.90851890000000002</v>
      </c>
      <c r="S3640">
        <v>0.25468439999999998</v>
      </c>
      <c r="T3640">
        <v>-0.60492579999999996</v>
      </c>
      <c r="U3640">
        <v>-3.5121310000000001</v>
      </c>
      <c r="V3640">
        <v>-7.6025309999999999E-2</v>
      </c>
      <c r="W3640">
        <v>0.39658330000000003</v>
      </c>
      <c r="X3640">
        <v>0.91484529999999997</v>
      </c>
      <c r="Y3640">
        <v>2.5794399999999999E-2</v>
      </c>
      <c r="Z3640">
        <v>0.1549825</v>
      </c>
      <c r="AA3640">
        <v>0.98758040000000002</v>
      </c>
      <c r="AB3640">
        <v>30</v>
      </c>
      <c r="AC3640">
        <v>4.7699999999991798E-2</v>
      </c>
      <c r="AD3640">
        <v>-0.15900700000000001</v>
      </c>
      <c r="AE3640">
        <v>-0.73720000000000097</v>
      </c>
      <c r="AF3640">
        <v>2.3100752669702199E-2</v>
      </c>
      <c r="AG3640">
        <v>-0.15900700000000001</v>
      </c>
      <c r="AH3640">
        <v>0.70565421537552298</v>
      </c>
      <c r="AI3640">
        <v>102.691949655165</v>
      </c>
      <c r="AJ3640">
        <v>88.124997928924302</v>
      </c>
      <c r="AK3640">
        <v>0.72371592665917694</v>
      </c>
      <c r="AL3640">
        <v>66.635243971628896</v>
      </c>
      <c r="AM3640">
        <v>94.750468216906896</v>
      </c>
      <c r="AN3640">
        <v>1.00000004226578</v>
      </c>
    </row>
    <row r="3641" spans="1:40" x14ac:dyDescent="0.25">
      <c r="A3641" t="str">
        <f>"20190304164443605"</f>
        <v>20190304164443605</v>
      </c>
      <c r="B3641" t="str">
        <f>"1551689083593885"</f>
        <v>1551689083593885</v>
      </c>
      <c r="C3641" t="s">
        <v>40</v>
      </c>
      <c r="D3641">
        <v>5.5438650000000003</v>
      </c>
      <c r="E3641">
        <v>0.54935769999999995</v>
      </c>
      <c r="F3641" t="s">
        <v>41</v>
      </c>
      <c r="G3641">
        <v>-190.20160000000001</v>
      </c>
      <c r="H3641">
        <v>0.98363080000000003</v>
      </c>
      <c r="I3641">
        <v>189.96700000000001</v>
      </c>
      <c r="J3641">
        <v>-190.23670000000001</v>
      </c>
      <c r="K3641">
        <v>1.1122110000000001</v>
      </c>
      <c r="L3641">
        <v>190.5224</v>
      </c>
      <c r="M3641">
        <v>9.7867819999999994E-2</v>
      </c>
      <c r="N3641">
        <v>-1.355075E-2</v>
      </c>
      <c r="O3641">
        <v>-0.99510730000000003</v>
      </c>
      <c r="P3641">
        <v>0.16263059999999999</v>
      </c>
      <c r="Q3641">
        <v>0.38492720000000002</v>
      </c>
      <c r="R3641">
        <v>-0.90850560000000002</v>
      </c>
      <c r="S3641">
        <v>0.25856020000000002</v>
      </c>
      <c r="T3641">
        <v>-0.60186049999999902</v>
      </c>
      <c r="U3641">
        <v>-3.5101469999999999</v>
      </c>
      <c r="V3641">
        <v>-7.4018059999999997E-2</v>
      </c>
      <c r="W3641">
        <v>0.39715800000000001</v>
      </c>
      <c r="X3641">
        <v>0.91476049999999998</v>
      </c>
      <c r="Y3641">
        <v>2.5355780000000001E-2</v>
      </c>
      <c r="Z3641">
        <v>0.1542192</v>
      </c>
      <c r="AA3641">
        <v>0.98771129999999996</v>
      </c>
      <c r="AB3641">
        <v>30</v>
      </c>
      <c r="AC3641">
        <v>3.5099999999999902E-2</v>
      </c>
      <c r="AD3641">
        <v>-0.12858019999999901</v>
      </c>
      <c r="AE3641">
        <v>-0.55539999999999101</v>
      </c>
      <c r="AF3641">
        <v>1.84446653279354E-2</v>
      </c>
      <c r="AG3641">
        <v>-0.12858019999999901</v>
      </c>
      <c r="AH3641">
        <v>0.52798326009512098</v>
      </c>
      <c r="AI3641">
        <v>103.67883246929399</v>
      </c>
      <c r="AJ3641">
        <v>87.999232236554406</v>
      </c>
      <c r="AK3641">
        <v>0.54372731810326802</v>
      </c>
      <c r="AL3641">
        <v>66.599367906455697</v>
      </c>
      <c r="AM3641">
        <v>94.6260230303035</v>
      </c>
      <c r="AN3641">
        <v>0.99999996126520596</v>
      </c>
    </row>
    <row r="3642" spans="1:40" x14ac:dyDescent="0.25">
      <c r="A3642" t="str">
        <f>"20190304164443628"</f>
        <v>20190304164443628</v>
      </c>
      <c r="B3642" t="str">
        <f>"1551689083624141"</f>
        <v>1551689083624141</v>
      </c>
      <c r="C3642" t="s">
        <v>40</v>
      </c>
      <c r="D3642">
        <v>5.5432199999999998</v>
      </c>
      <c r="E3642">
        <v>0.54911259999999995</v>
      </c>
      <c r="F3642" t="s">
        <v>41</v>
      </c>
      <c r="G3642">
        <v>-190.1772</v>
      </c>
      <c r="H3642">
        <v>0.97311080000000005</v>
      </c>
      <c r="I3642">
        <v>189.70650000000001</v>
      </c>
      <c r="J3642">
        <v>-190.20570000000001</v>
      </c>
      <c r="K3642">
        <v>1.111872</v>
      </c>
      <c r="L3642">
        <v>190.2183</v>
      </c>
      <c r="M3642">
        <v>9.8606369999999999E-2</v>
      </c>
      <c r="N3642">
        <v>-1.355631E-2</v>
      </c>
      <c r="O3642">
        <v>-0.99503399999999997</v>
      </c>
      <c r="P3642">
        <v>0.1610501</v>
      </c>
      <c r="Q3642">
        <v>0.38655659999999997</v>
      </c>
      <c r="R3642">
        <v>-0.90809519999999999</v>
      </c>
      <c r="S3642">
        <v>0.25650020000000001</v>
      </c>
      <c r="T3642">
        <v>-0.5984526</v>
      </c>
      <c r="U3642">
        <v>-3.5097960000000001</v>
      </c>
      <c r="V3642">
        <v>-7.1469870000000005E-2</v>
      </c>
      <c r="W3642">
        <v>0.39885169999999998</v>
      </c>
      <c r="X3642">
        <v>0.91422610000000004</v>
      </c>
      <c r="Y3642">
        <v>2.6655080000000001E-2</v>
      </c>
      <c r="Z3642">
        <v>0.15328820000000001</v>
      </c>
      <c r="AA3642">
        <v>0.98782190000000003</v>
      </c>
      <c r="AB3642">
        <v>30</v>
      </c>
      <c r="AC3642">
        <v>2.8500000000008099E-2</v>
      </c>
      <c r="AD3642">
        <v>-0.138761199999999</v>
      </c>
      <c r="AE3642">
        <v>-0.51179999999999304</v>
      </c>
      <c r="AF3642">
        <v>2.0600670686196299E-2</v>
      </c>
      <c r="AG3642">
        <v>-0.138761199999999</v>
      </c>
      <c r="AH3642">
        <v>0.47714985141720401</v>
      </c>
      <c r="AI3642">
        <v>106.20079798220399</v>
      </c>
      <c r="AJ3642">
        <v>87.527822947854702</v>
      </c>
      <c r="AK3642">
        <v>0.49734398454753698</v>
      </c>
      <c r="AL3642">
        <v>66.493587479313206</v>
      </c>
      <c r="AM3642">
        <v>94.470021698418506</v>
      </c>
      <c r="AN3642">
        <v>0.99999999141595797</v>
      </c>
    </row>
    <row r="3643" spans="1:40" x14ac:dyDescent="0.25">
      <c r="A3643" t="str">
        <f>"20190304164443640"</f>
        <v>20190304164443640</v>
      </c>
      <c r="B3643" t="str">
        <f>"1551689083633901"</f>
        <v>1551689083633901</v>
      </c>
      <c r="C3643" t="s">
        <v>40</v>
      </c>
      <c r="D3643">
        <v>5.5468919999999997</v>
      </c>
      <c r="E3643">
        <v>0.5490467</v>
      </c>
      <c r="F3643" t="s">
        <v>41</v>
      </c>
      <c r="G3643">
        <v>-190.14959999999999</v>
      </c>
      <c r="H3643">
        <v>0.98102920000000005</v>
      </c>
      <c r="I3643">
        <v>189.4374</v>
      </c>
      <c r="J3643">
        <v>-190.18879999999999</v>
      </c>
      <c r="K3643">
        <v>1.111683</v>
      </c>
      <c r="L3643">
        <v>190.0504</v>
      </c>
      <c r="M3643">
        <v>9.8810640000000005E-2</v>
      </c>
      <c r="N3643">
        <v>-1.3559369999999999E-2</v>
      </c>
      <c r="O3643">
        <v>-0.99501430000000002</v>
      </c>
      <c r="P3643">
        <v>0.15970319999999999</v>
      </c>
      <c r="Q3643">
        <v>0.38764330000000002</v>
      </c>
      <c r="R3643">
        <v>-0.90787030000000002</v>
      </c>
      <c r="S3643">
        <v>0.2530365</v>
      </c>
      <c r="T3643">
        <v>-0.58805220000000002</v>
      </c>
      <c r="U3643">
        <v>-3.5090479999999999</v>
      </c>
      <c r="V3643">
        <v>-6.9772929999999997E-2</v>
      </c>
      <c r="W3643">
        <v>0.39997349999999998</v>
      </c>
      <c r="X3643">
        <v>0.91386710000000004</v>
      </c>
      <c r="Y3643">
        <v>2.7782910000000001E-2</v>
      </c>
      <c r="Z3643">
        <v>0.15049409999999999</v>
      </c>
      <c r="AA3643">
        <v>0.98822049999999995</v>
      </c>
      <c r="AB3643">
        <v>30</v>
      </c>
      <c r="AC3643">
        <v>3.9199999999993899E-2</v>
      </c>
      <c r="AD3643">
        <v>-0.13065379999999999</v>
      </c>
      <c r="AE3643">
        <v>-0.61299999999999899</v>
      </c>
      <c r="AF3643">
        <v>2.0634758278122299E-2</v>
      </c>
      <c r="AG3643">
        <v>-0.13065379999999999</v>
      </c>
      <c r="AH3643">
        <v>0.58730204535535202</v>
      </c>
      <c r="AI3643">
        <v>102.53454043969199</v>
      </c>
      <c r="AJ3643">
        <v>87.987750192480604</v>
      </c>
      <c r="AK3643">
        <v>0.60201320681710702</v>
      </c>
      <c r="AL3643">
        <v>66.423479890935099</v>
      </c>
      <c r="AM3643">
        <v>94.366010880327707</v>
      </c>
      <c r="AN3643">
        <v>1.00000006946272</v>
      </c>
    </row>
    <row r="3644" spans="1:40" x14ac:dyDescent="0.25">
      <c r="A3644" t="str">
        <f>"20190304164443652"</f>
        <v>20190304164443652</v>
      </c>
      <c r="B3644" t="str">
        <f>"1551689083643660"</f>
        <v>1551689083643660</v>
      </c>
      <c r="C3644" t="s">
        <v>40</v>
      </c>
      <c r="D3644">
        <v>5.5327840000000004</v>
      </c>
      <c r="E3644">
        <v>0.54898829999999998</v>
      </c>
      <c r="F3644" t="s">
        <v>41</v>
      </c>
      <c r="G3644">
        <v>-190.12690000000001</v>
      </c>
      <c r="H3644">
        <v>0.96690520000000002</v>
      </c>
      <c r="I3644">
        <v>189.1788</v>
      </c>
      <c r="J3644">
        <v>-190.1722</v>
      </c>
      <c r="K3644">
        <v>1.1114919999999999</v>
      </c>
      <c r="L3644">
        <v>189.88650000000001</v>
      </c>
      <c r="M3644">
        <v>9.8903050000000006E-2</v>
      </c>
      <c r="N3644">
        <v>-1.356226E-2</v>
      </c>
      <c r="O3644">
        <v>-0.99500469999999996</v>
      </c>
      <c r="P3644">
        <v>0.15843289999999999</v>
      </c>
      <c r="Q3644">
        <v>0.38859349999999998</v>
      </c>
      <c r="R3644">
        <v>-0.90768649999999995</v>
      </c>
      <c r="S3644">
        <v>0.24909970000000001</v>
      </c>
      <c r="T3644">
        <v>-0.58291029999999999</v>
      </c>
      <c r="U3644">
        <v>-3.5095209999999999</v>
      </c>
      <c r="V3644">
        <v>-6.8253579999999994E-2</v>
      </c>
      <c r="W3644">
        <v>0.40095570000000003</v>
      </c>
      <c r="X3644">
        <v>0.91355129999999996</v>
      </c>
      <c r="Y3644">
        <v>2.897166E-2</v>
      </c>
      <c r="Z3644">
        <v>0.14907329999999999</v>
      </c>
      <c r="AA3644">
        <v>0.98840170000000005</v>
      </c>
      <c r="AB3644">
        <v>30</v>
      </c>
      <c r="AC3644">
        <v>4.5299999999997398E-2</v>
      </c>
      <c r="AD3644">
        <v>-0.14458679999999899</v>
      </c>
      <c r="AE3644">
        <v>-0.70770000000001598</v>
      </c>
      <c r="AF3644">
        <v>2.3927589515051102E-2</v>
      </c>
      <c r="AG3644">
        <v>-0.14458679999999899</v>
      </c>
      <c r="AH3644">
        <v>0.68042481966526602</v>
      </c>
      <c r="AI3644">
        <v>101.989423130937</v>
      </c>
      <c r="AJ3644">
        <v>87.985985878187904</v>
      </c>
      <c r="AK3644">
        <v>0.69602859674782802</v>
      </c>
      <c r="AL3644">
        <v>66.362062524322596</v>
      </c>
      <c r="AM3644">
        <v>94.272765003182002</v>
      </c>
      <c r="AN3644">
        <v>1.00000000113849</v>
      </c>
    </row>
    <row r="3645" spans="1:40" x14ac:dyDescent="0.25">
      <c r="A3645" t="str">
        <f>"20190304164443665"</f>
        <v>20190304164443665</v>
      </c>
      <c r="B3645" t="str">
        <f>"1551689083653421"</f>
        <v>1551689083653421</v>
      </c>
      <c r="C3645" t="s">
        <v>40</v>
      </c>
      <c r="D3645">
        <v>5.5380589999999996</v>
      </c>
      <c r="E3645">
        <v>0.54893230000000004</v>
      </c>
      <c r="F3645" t="s">
        <v>41</v>
      </c>
      <c r="G3645">
        <v>-190.12200000000001</v>
      </c>
      <c r="H3645">
        <v>0.99286969999999997</v>
      </c>
      <c r="I3645">
        <v>189.16650000000001</v>
      </c>
      <c r="J3645">
        <v>-190.15649999999999</v>
      </c>
      <c r="K3645">
        <v>1.111308</v>
      </c>
      <c r="L3645">
        <v>189.72880000000001</v>
      </c>
      <c r="M3645">
        <v>9.8784419999999998E-2</v>
      </c>
      <c r="N3645">
        <v>-1.3564949999999999E-2</v>
      </c>
      <c r="O3645">
        <v>-0.99501629999999996</v>
      </c>
      <c r="P3645">
        <v>0.15676789999999999</v>
      </c>
      <c r="Q3645">
        <v>0.38926100000000002</v>
      </c>
      <c r="R3645">
        <v>-0.90768919999999997</v>
      </c>
      <c r="S3645">
        <v>0.24508669999999999</v>
      </c>
      <c r="T3645">
        <v>-0.57823780000000002</v>
      </c>
      <c r="U3645">
        <v>-3.5098569999999998</v>
      </c>
      <c r="V3645">
        <v>-6.6522269999999994E-2</v>
      </c>
      <c r="W3645">
        <v>0.40165590000000001</v>
      </c>
      <c r="X3645">
        <v>0.91337140000000006</v>
      </c>
      <c r="Y3645">
        <v>2.9969220000000001E-2</v>
      </c>
      <c r="Z3645">
        <v>0.14779120000000001</v>
      </c>
      <c r="AA3645">
        <v>0.98856440000000001</v>
      </c>
      <c r="AB3645">
        <v>30</v>
      </c>
      <c r="AC3645">
        <v>3.4499999999979901E-2</v>
      </c>
      <c r="AD3645">
        <v>-0.1184383</v>
      </c>
      <c r="AE3645">
        <v>-0.56229999999999303</v>
      </c>
      <c r="AF3645">
        <v>2.0322144947774901E-2</v>
      </c>
      <c r="AG3645">
        <v>-0.1184383</v>
      </c>
      <c r="AH3645">
        <v>0.53912842731414601</v>
      </c>
      <c r="AI3645">
        <v>102.381667630921</v>
      </c>
      <c r="AJ3645">
        <v>87.841289621872804</v>
      </c>
      <c r="AK3645">
        <v>0.55235865306917498</v>
      </c>
      <c r="AL3645">
        <v>66.318262187006695</v>
      </c>
      <c r="AM3645">
        <v>94.165586410543895</v>
      </c>
      <c r="AN3645">
        <v>0.99999999437436105</v>
      </c>
    </row>
    <row r="3646" spans="1:40" x14ac:dyDescent="0.25">
      <c r="A3646" t="str">
        <f>"20190304164443683"</f>
        <v>20190304164443683</v>
      </c>
      <c r="B3646" t="str">
        <f>"1551689083673917"</f>
        <v>1551689083673917</v>
      </c>
      <c r="C3646" t="s">
        <v>40</v>
      </c>
      <c r="D3646">
        <v>5.53613</v>
      </c>
      <c r="E3646">
        <v>0.54880709999999999</v>
      </c>
      <c r="F3646" t="s">
        <v>41</v>
      </c>
      <c r="G3646">
        <v>-190.10079999999999</v>
      </c>
      <c r="H3646">
        <v>0.97706329999999997</v>
      </c>
      <c r="I3646">
        <v>188.90860000000001</v>
      </c>
      <c r="J3646">
        <v>-190.13210000000001</v>
      </c>
      <c r="K3646">
        <v>1.111003</v>
      </c>
      <c r="L3646">
        <v>189.48089999999999</v>
      </c>
      <c r="M3646">
        <v>9.8369020000000001E-2</v>
      </c>
      <c r="N3646">
        <v>-1.3569350000000001E-2</v>
      </c>
      <c r="O3646">
        <v>-0.99505779999999999</v>
      </c>
      <c r="P3646">
        <v>0.1530628</v>
      </c>
      <c r="Q3646">
        <v>0.38970440000000001</v>
      </c>
      <c r="R3646">
        <v>-0.90813149999999998</v>
      </c>
      <c r="S3646">
        <v>0.2397919</v>
      </c>
      <c r="T3646">
        <v>-0.57459199999999999</v>
      </c>
      <c r="U3646">
        <v>-3.5100859999999998</v>
      </c>
      <c r="V3646">
        <v>-6.2877959999999997E-2</v>
      </c>
      <c r="W3646">
        <v>0.40215190000000001</v>
      </c>
      <c r="X3646">
        <v>0.91341130000000004</v>
      </c>
      <c r="Y3646">
        <v>3.10292E-2</v>
      </c>
      <c r="Z3646">
        <v>0.14679909999999999</v>
      </c>
      <c r="AA3646">
        <v>0.98867950000000004</v>
      </c>
      <c r="AB3646">
        <v>30</v>
      </c>
      <c r="AC3646">
        <v>3.1300000000015801E-2</v>
      </c>
      <c r="AD3646">
        <v>-0.13393969999999999</v>
      </c>
      <c r="AE3646">
        <v>-0.57229999999998404</v>
      </c>
      <c r="AF3646">
        <v>2.3851076219410499E-2</v>
      </c>
      <c r="AG3646">
        <v>-0.13393969999999999</v>
      </c>
      <c r="AH3646">
        <v>0.54295231760714602</v>
      </c>
      <c r="AI3646">
        <v>103.844654356036</v>
      </c>
      <c r="AJ3646">
        <v>87.4846999453639</v>
      </c>
      <c r="AK3646">
        <v>0.55973738151733798</v>
      </c>
      <c r="AL3646">
        <v>66.287226652499697</v>
      </c>
      <c r="AM3646">
        <v>93.937949071479593</v>
      </c>
      <c r="AN3646">
        <v>0.99999999574752996</v>
      </c>
    </row>
    <row r="3647" spans="1:40" x14ac:dyDescent="0.25">
      <c r="A3647" t="str">
        <f>"20190304164443698"</f>
        <v>20190304164443698</v>
      </c>
      <c r="B3647" t="str">
        <f>"1551689083693437"</f>
        <v>1551689083693437</v>
      </c>
      <c r="C3647" t="s">
        <v>40</v>
      </c>
      <c r="D3647">
        <v>5.531981</v>
      </c>
      <c r="E3647">
        <v>0.54868669999999997</v>
      </c>
      <c r="F3647" t="s">
        <v>41</v>
      </c>
      <c r="G3647">
        <v>-190.07730000000001</v>
      </c>
      <c r="H3647">
        <v>0.97471450000000004</v>
      </c>
      <c r="I3647">
        <v>188.64439999999999</v>
      </c>
      <c r="J3647">
        <v>-190.11349999999999</v>
      </c>
      <c r="K3647">
        <v>1.110765</v>
      </c>
      <c r="L3647">
        <v>189.28919999999999</v>
      </c>
      <c r="M3647">
        <v>9.7828440000000003E-2</v>
      </c>
      <c r="N3647">
        <v>-1.3573180000000001E-2</v>
      </c>
      <c r="O3647">
        <v>-0.99511099999999997</v>
      </c>
      <c r="P3647">
        <v>0.15107570000000001</v>
      </c>
      <c r="Q3647">
        <v>0.38936419999999999</v>
      </c>
      <c r="R3647">
        <v>-0.90861029999999998</v>
      </c>
      <c r="S3647">
        <v>0.2302246</v>
      </c>
      <c r="T3647">
        <v>-0.57192229999999999</v>
      </c>
      <c r="U3647">
        <v>-3.510132</v>
      </c>
      <c r="V3647">
        <v>-6.1118249999999999E-2</v>
      </c>
      <c r="W3647">
        <v>0.40185399999999999</v>
      </c>
      <c r="X3647">
        <v>0.91366179999999997</v>
      </c>
      <c r="Y3647">
        <v>3.3160250000000002E-2</v>
      </c>
      <c r="Z3647">
        <v>0.14608599999999999</v>
      </c>
      <c r="AA3647">
        <v>0.98871600000000004</v>
      </c>
      <c r="AB3647">
        <v>30</v>
      </c>
      <c r="AC3647">
        <v>3.6199999999979499E-2</v>
      </c>
      <c r="AD3647">
        <v>-0.13605049999999899</v>
      </c>
      <c r="AE3647">
        <v>-0.64480000000000304</v>
      </c>
      <c r="AF3647">
        <v>2.59093962704364E-2</v>
      </c>
      <c r="AG3647">
        <v>-0.13605049999999899</v>
      </c>
      <c r="AH3647">
        <v>0.617829206032948</v>
      </c>
      <c r="AI3647">
        <v>102.40817925512</v>
      </c>
      <c r="AJ3647">
        <v>87.598640977209698</v>
      </c>
      <c r="AK3647">
        <v>0.63316187755790498</v>
      </c>
      <c r="AL3647">
        <v>66.305867286806205</v>
      </c>
      <c r="AM3647">
        <v>93.827027108874702</v>
      </c>
      <c r="AN3647">
        <v>0.99999998128915102</v>
      </c>
    </row>
    <row r="3648" spans="1:40" x14ac:dyDescent="0.25">
      <c r="A3648" t="str">
        <f>"20190304164443713"</f>
        <v>20190304164443713</v>
      </c>
      <c r="B3648" t="str">
        <f>"1551689083704172"</f>
        <v>1551689083704172</v>
      </c>
      <c r="C3648" t="s">
        <v>40</v>
      </c>
      <c r="D3648">
        <v>5.6330080000000002</v>
      </c>
      <c r="E3648">
        <v>0.54856359999999904</v>
      </c>
      <c r="F3648" t="s">
        <v>41</v>
      </c>
      <c r="G3648">
        <v>-190.0556</v>
      </c>
      <c r="H3648">
        <v>0.96338259999999998</v>
      </c>
      <c r="I3648">
        <v>188.3844</v>
      </c>
      <c r="J3648">
        <v>-190.0932</v>
      </c>
      <c r="K3648">
        <v>1.110503</v>
      </c>
      <c r="L3648">
        <v>189.0772</v>
      </c>
      <c r="M3648">
        <v>9.7017580000000006E-2</v>
      </c>
      <c r="N3648">
        <v>-1.357826E-2</v>
      </c>
      <c r="O3648">
        <v>-0.99519000000000002</v>
      </c>
      <c r="P3648">
        <v>0.14884429999999901</v>
      </c>
      <c r="Q3648">
        <v>0.38915689999999997</v>
      </c>
      <c r="R3648">
        <v>-0.90906690000000001</v>
      </c>
      <c r="S3648">
        <v>0.22541810000000001</v>
      </c>
      <c r="T3648">
        <v>-0.57163830000000004</v>
      </c>
      <c r="U3648">
        <v>-3.5092319999999999</v>
      </c>
      <c r="V3648">
        <v>-5.9343510000000002E-2</v>
      </c>
      <c r="W3648">
        <v>0.40169120000000003</v>
      </c>
      <c r="X3648">
        <v>0.91385039999999995</v>
      </c>
      <c r="Y3648">
        <v>3.3676999999999999E-2</v>
      </c>
      <c r="Z3648">
        <v>0.14606669999999999</v>
      </c>
      <c r="AA3648">
        <v>0.98870130000000001</v>
      </c>
      <c r="AB3648">
        <v>30</v>
      </c>
      <c r="AC3648">
        <v>3.7599999999997601E-2</v>
      </c>
      <c r="AD3648">
        <v>-0.14712040000000001</v>
      </c>
      <c r="AE3648">
        <v>-0.69280000000000497</v>
      </c>
      <c r="AF3648">
        <v>2.8515259660001201E-2</v>
      </c>
      <c r="AG3648">
        <v>-0.14712040000000001</v>
      </c>
      <c r="AH3648">
        <v>0.66335325055095795</v>
      </c>
      <c r="AI3648">
        <v>102.493643013911</v>
      </c>
      <c r="AJ3648">
        <v>87.5385681676145</v>
      </c>
      <c r="AK3648">
        <v>0.68006989872082901</v>
      </c>
      <c r="AL3648">
        <v>66.316054116442203</v>
      </c>
      <c r="AM3648">
        <v>93.715449868519997</v>
      </c>
      <c r="AN3648">
        <v>1.0000000129583599</v>
      </c>
    </row>
    <row r="3649" spans="1:40" x14ac:dyDescent="0.25">
      <c r="A3649" t="str">
        <f>"20190304164443730"</f>
        <v>20190304164443730</v>
      </c>
      <c r="B3649" t="str">
        <f>"1551689083723693"</f>
        <v>1551689083723693</v>
      </c>
      <c r="C3649" t="s">
        <v>40</v>
      </c>
      <c r="D3649">
        <v>5.5587900000000001</v>
      </c>
      <c r="E3649">
        <v>0.54841149999999905</v>
      </c>
      <c r="F3649" t="s">
        <v>41</v>
      </c>
      <c r="G3649">
        <v>-190.04929999999999</v>
      </c>
      <c r="H3649">
        <v>0.99508209999999997</v>
      </c>
      <c r="I3649">
        <v>188.36940000000001</v>
      </c>
      <c r="J3649">
        <v>-190.0729</v>
      </c>
      <c r="K3649">
        <v>1.1102350000000001</v>
      </c>
      <c r="L3649">
        <v>188.85820000000001</v>
      </c>
      <c r="M3649">
        <v>9.5893400000000004E-2</v>
      </c>
      <c r="N3649">
        <v>-1.3583710000000001E-2</v>
      </c>
      <c r="O3649">
        <v>-0.99529900000000004</v>
      </c>
      <c r="P3649">
        <v>0.1445919</v>
      </c>
      <c r="Q3649">
        <v>0.3887698</v>
      </c>
      <c r="R3649">
        <v>-0.90991849999999996</v>
      </c>
      <c r="S3649">
        <v>0.2188416</v>
      </c>
      <c r="T3649">
        <v>-0.57227019999999995</v>
      </c>
      <c r="U3649">
        <v>-3.5092319999999999</v>
      </c>
      <c r="V3649">
        <v>-5.5806969999999997E-2</v>
      </c>
      <c r="W3649">
        <v>0.40134530000000002</v>
      </c>
      <c r="X3649">
        <v>0.91422510000000001</v>
      </c>
      <c r="Y3649">
        <v>3.4394330000000001E-2</v>
      </c>
      <c r="Z3649">
        <v>0.146264899999999</v>
      </c>
      <c r="AA3649">
        <v>0.98864730000000001</v>
      </c>
      <c r="AB3649">
        <v>30</v>
      </c>
      <c r="AC3649">
        <v>2.3600000000016001E-2</v>
      </c>
      <c r="AD3649">
        <v>-0.1151529</v>
      </c>
      <c r="AE3649">
        <v>-0.48879999999999701</v>
      </c>
      <c r="AF3649">
        <v>2.2158852974619999E-2</v>
      </c>
      <c r="AG3649">
        <v>-0.1151529</v>
      </c>
      <c r="AH3649">
        <v>0.463164765617185</v>
      </c>
      <c r="AI3649">
        <v>103.94657606754301</v>
      </c>
      <c r="AJ3649">
        <v>87.260928475599798</v>
      </c>
      <c r="AK3649">
        <v>0.477779033919219</v>
      </c>
      <c r="AL3649">
        <v>66.337693362783696</v>
      </c>
      <c r="AM3649">
        <v>93.493167219576193</v>
      </c>
      <c r="AN3649">
        <v>1.0000000006013401</v>
      </c>
    </row>
    <row r="3650" spans="1:40" x14ac:dyDescent="0.25">
      <c r="A3650" t="str">
        <f>"20190304164443751"</f>
        <v>20190304164443751</v>
      </c>
      <c r="B3650" t="str">
        <f>"1551689083744188"</f>
        <v>1551689083744188</v>
      </c>
      <c r="C3650" t="s">
        <v>40</v>
      </c>
      <c r="D3650">
        <v>5.5673599999999999</v>
      </c>
      <c r="E3650">
        <v>0.54826739999999996</v>
      </c>
      <c r="F3650" t="s">
        <v>41</v>
      </c>
      <c r="G3650">
        <v>-190.0291</v>
      </c>
      <c r="H3650">
        <v>0.98770789999999997</v>
      </c>
      <c r="I3650">
        <v>188.10759999999999</v>
      </c>
      <c r="J3650">
        <v>-190.04679999999999</v>
      </c>
      <c r="K3650">
        <v>1.109885</v>
      </c>
      <c r="L3650">
        <v>188.5711</v>
      </c>
      <c r="M3650">
        <v>9.4080269999999994E-2</v>
      </c>
      <c r="N3650">
        <v>-1.35909E-2</v>
      </c>
      <c r="O3650">
        <v>-0.99547189999999997</v>
      </c>
      <c r="P3650">
        <v>0.13984540000000001</v>
      </c>
      <c r="Q3650">
        <v>0.38840449999999999</v>
      </c>
      <c r="R3650">
        <v>-0.9108155</v>
      </c>
      <c r="S3650">
        <v>0.2048798</v>
      </c>
      <c r="T3650">
        <v>-0.57283219999999901</v>
      </c>
      <c r="U3650">
        <v>-3.5091860000000001</v>
      </c>
      <c r="V3650">
        <v>-5.2326099999999903E-2</v>
      </c>
      <c r="W3650">
        <v>0.40103</v>
      </c>
      <c r="X3650">
        <v>0.91456930000000003</v>
      </c>
      <c r="Y3650">
        <v>3.6491099999999999E-2</v>
      </c>
      <c r="Z3650">
        <v>0.1464636</v>
      </c>
      <c r="AA3650">
        <v>0.98854280000000005</v>
      </c>
      <c r="AB3650">
        <v>30</v>
      </c>
      <c r="AC3650">
        <v>1.7699999999990699E-2</v>
      </c>
      <c r="AD3650">
        <v>-0.1221771</v>
      </c>
      <c r="AE3650">
        <v>-0.46350000000001002</v>
      </c>
      <c r="AF3650">
        <v>2.43025874560336E-2</v>
      </c>
      <c r="AG3650">
        <v>-0.1221771</v>
      </c>
      <c r="AH3650">
        <v>0.43306242404721301</v>
      </c>
      <c r="AI3650">
        <v>105.731484595051</v>
      </c>
      <c r="AJ3650">
        <v>86.788045620937993</v>
      </c>
      <c r="AK3650">
        <v>0.45062281638096802</v>
      </c>
      <c r="AL3650">
        <v>66.357416524646496</v>
      </c>
      <c r="AM3650">
        <v>93.274546583702502</v>
      </c>
      <c r="AN3650">
        <v>1.0000000430718401</v>
      </c>
    </row>
    <row r="3651" spans="1:40" x14ac:dyDescent="0.25">
      <c r="A3651" t="str">
        <f>"20190304164443764"</f>
        <v>20190304164443764</v>
      </c>
      <c r="B3651" t="str">
        <f>"1551689083753949"</f>
        <v>1551689083753949</v>
      </c>
      <c r="C3651" t="s">
        <v>40</v>
      </c>
      <c r="D3651">
        <v>5.73752</v>
      </c>
      <c r="E3651">
        <v>0.54822700000000002</v>
      </c>
      <c r="F3651" t="s">
        <v>41</v>
      </c>
      <c r="G3651">
        <v>-190.00839999999999</v>
      </c>
      <c r="H3651">
        <v>0.99067249999999996</v>
      </c>
      <c r="I3651">
        <v>187.8408</v>
      </c>
      <c r="J3651">
        <v>-190.03210000000001</v>
      </c>
      <c r="K3651">
        <v>1.1096779999999999</v>
      </c>
      <c r="L3651">
        <v>188.40260000000001</v>
      </c>
      <c r="M3651">
        <v>9.278285E-2</v>
      </c>
      <c r="N3651">
        <v>-1.359633E-2</v>
      </c>
      <c r="O3651">
        <v>-0.99559370000000003</v>
      </c>
      <c r="P3651">
        <v>0.13736789999999999</v>
      </c>
      <c r="Q3651">
        <v>0.38797019999999999</v>
      </c>
      <c r="R3651">
        <v>-0.91137780000000002</v>
      </c>
      <c r="S3651">
        <v>0.18521119999999999</v>
      </c>
      <c r="T3651">
        <v>-0.57279749999999996</v>
      </c>
      <c r="U3651">
        <v>-3.5095830000000001</v>
      </c>
      <c r="V3651">
        <v>-5.080469E-2</v>
      </c>
      <c r="W3651">
        <v>0.40062589999999998</v>
      </c>
      <c r="X3651">
        <v>0.91483210000000004</v>
      </c>
      <c r="Y3651">
        <v>4.0712520000000002E-2</v>
      </c>
      <c r="Z3651">
        <v>0.146467299999999</v>
      </c>
      <c r="AA3651">
        <v>0.98837739999999996</v>
      </c>
      <c r="AB3651">
        <v>30</v>
      </c>
      <c r="AC3651">
        <v>2.3700000000019299E-2</v>
      </c>
      <c r="AD3651">
        <v>-0.1190055</v>
      </c>
      <c r="AE3651">
        <v>-0.56180000000000496</v>
      </c>
      <c r="AF3651">
        <v>2.73092375071174E-2</v>
      </c>
      <c r="AG3651">
        <v>-0.1190055</v>
      </c>
      <c r="AH3651">
        <v>0.53749973563047104</v>
      </c>
      <c r="AI3651">
        <v>102.468638522619</v>
      </c>
      <c r="AJ3651">
        <v>87.091422320079303</v>
      </c>
      <c r="AK3651">
        <v>0.55119331389839699</v>
      </c>
      <c r="AL3651">
        <v>66.382687653106402</v>
      </c>
      <c r="AM3651">
        <v>93.178624110726503</v>
      </c>
      <c r="AN3651">
        <v>0.99999999973360798</v>
      </c>
    </row>
    <row r="3652" spans="1:40" x14ac:dyDescent="0.25">
      <c r="A3652" t="str">
        <f>"20190304164443778"</f>
        <v>20190304164443778</v>
      </c>
      <c r="B3652" t="str">
        <f>"1551689083773470"</f>
        <v>1551689083773470</v>
      </c>
      <c r="C3652" t="s">
        <v>40</v>
      </c>
      <c r="D3652">
        <v>5.556451</v>
      </c>
      <c r="E3652">
        <v>0.54812099999999997</v>
      </c>
      <c r="F3652" t="s">
        <v>41</v>
      </c>
      <c r="G3652">
        <v>-189.99170000000001</v>
      </c>
      <c r="H3652">
        <v>0.97590540000000003</v>
      </c>
      <c r="I3652">
        <v>187.58240000000001</v>
      </c>
      <c r="J3652">
        <v>-190.01679999999999</v>
      </c>
      <c r="K3652">
        <v>1.1094580000000001</v>
      </c>
      <c r="L3652">
        <v>188.2244</v>
      </c>
      <c r="M3652">
        <v>9.1299829999999998E-2</v>
      </c>
      <c r="N3652">
        <v>-1.3602319999999999E-2</v>
      </c>
      <c r="O3652">
        <v>-0.99573060000000002</v>
      </c>
      <c r="P3652">
        <v>0.13425509999999999</v>
      </c>
      <c r="Q3652">
        <v>0.38791209999999998</v>
      </c>
      <c r="R3652">
        <v>-0.91186610000000001</v>
      </c>
      <c r="S3652">
        <v>0.17304990000000001</v>
      </c>
      <c r="T3652">
        <v>-0.5724167</v>
      </c>
      <c r="U3652">
        <v>-3.5093230000000002</v>
      </c>
      <c r="V3652">
        <v>-4.8817399999999997E-2</v>
      </c>
      <c r="W3652">
        <v>0.40059529999999999</v>
      </c>
      <c r="X3652">
        <v>0.91495369999999998</v>
      </c>
      <c r="Y3652">
        <v>4.2633650000000002E-2</v>
      </c>
      <c r="Z3652">
        <v>0.14640639999999999</v>
      </c>
      <c r="AA3652">
        <v>0.9883054</v>
      </c>
      <c r="AB3652">
        <v>30</v>
      </c>
      <c r="AC3652">
        <v>2.5099999999980499E-2</v>
      </c>
      <c r="AD3652">
        <v>-0.13355259999999999</v>
      </c>
      <c r="AE3652">
        <v>-0.64199999999999502</v>
      </c>
      <c r="AF3652">
        <v>3.2232056184288801E-2</v>
      </c>
      <c r="AG3652">
        <v>-0.13355259999999999</v>
      </c>
      <c r="AH3652">
        <v>0.61503512018209905</v>
      </c>
      <c r="AI3652">
        <v>102.235085355019</v>
      </c>
      <c r="AJ3652">
        <v>87.000052829096305</v>
      </c>
      <c r="AK3652">
        <v>0.63019314616237798</v>
      </c>
      <c r="AL3652">
        <v>66.3846012461822</v>
      </c>
      <c r="AM3652">
        <v>93.054123231800602</v>
      </c>
      <c r="AN3652">
        <v>1.0000000030342699</v>
      </c>
    </row>
    <row r="3653" spans="1:40" x14ac:dyDescent="0.25">
      <c r="A3653" t="str">
        <f>"20190304164443794"</f>
        <v>20190304164443794</v>
      </c>
      <c r="B3653" t="str">
        <f>"1551689083784205"</f>
        <v>1551689083784205</v>
      </c>
      <c r="C3653" t="s">
        <v>40</v>
      </c>
      <c r="D3653">
        <v>5.6780980000000003</v>
      </c>
      <c r="E3653">
        <v>0.54812099999999997</v>
      </c>
      <c r="F3653" t="s">
        <v>41</v>
      </c>
      <c r="G3653">
        <v>-189.97569999999999</v>
      </c>
      <c r="H3653">
        <v>0.96291590000000005</v>
      </c>
      <c r="I3653">
        <v>187.32329999999999</v>
      </c>
      <c r="J3653">
        <v>-189.9983</v>
      </c>
      <c r="K3653">
        <v>1.1091850000000001</v>
      </c>
      <c r="L3653">
        <v>188.00319999999999</v>
      </c>
      <c r="M3653">
        <v>8.9240739999999999E-2</v>
      </c>
      <c r="N3653">
        <v>-1.361045E-2</v>
      </c>
      <c r="O3653">
        <v>-0.99591730000000001</v>
      </c>
      <c r="P3653">
        <v>0.12771579999999999</v>
      </c>
      <c r="Q3653">
        <v>0.38711630000000002</v>
      </c>
      <c r="R3653">
        <v>-0.91314280000000003</v>
      </c>
      <c r="S3653">
        <v>0.16052249999999901</v>
      </c>
      <c r="T3653">
        <v>-0.57057049999999998</v>
      </c>
      <c r="U3653">
        <v>-3.5090479999999999</v>
      </c>
      <c r="V3653">
        <v>-4.3832969999999999E-2</v>
      </c>
      <c r="W3653">
        <v>0.39982450000000003</v>
      </c>
      <c r="X3653">
        <v>0.91554310000000005</v>
      </c>
      <c r="Y3653">
        <v>4.4079409999999999E-2</v>
      </c>
      <c r="Z3653">
        <v>0.14595710000000001</v>
      </c>
      <c r="AA3653">
        <v>0.98830839999999998</v>
      </c>
      <c r="AB3653">
        <v>30</v>
      </c>
      <c r="AC3653">
        <v>2.2600000000011201E-2</v>
      </c>
      <c r="AD3653">
        <v>-0.14626910000000001</v>
      </c>
      <c r="AE3653">
        <v>-0.67990000000000295</v>
      </c>
      <c r="AF3653">
        <v>3.6483880784481303E-2</v>
      </c>
      <c r="AG3653">
        <v>-0.14626910000000001</v>
      </c>
      <c r="AH3653">
        <v>0.64919088474304798</v>
      </c>
      <c r="AI3653">
        <v>102.67792329079499</v>
      </c>
      <c r="AJ3653">
        <v>86.783417781532094</v>
      </c>
      <c r="AK3653">
        <v>0.66646419859236805</v>
      </c>
      <c r="AL3653">
        <v>66.432794014231604</v>
      </c>
      <c r="AM3653">
        <v>92.741026550372396</v>
      </c>
      <c r="AN3653">
        <v>1.0000000640084299</v>
      </c>
    </row>
    <row r="3654" spans="1:40" x14ac:dyDescent="0.25">
      <c r="A3654" t="str">
        <f>"20190304164443823"</f>
        <v>20190304164443823</v>
      </c>
      <c r="B3654" t="str">
        <f>"1551689083813541"</f>
        <v>1551689083813541</v>
      </c>
      <c r="C3654" t="s">
        <v>40</v>
      </c>
      <c r="D3654">
        <v>5.5743269999999896</v>
      </c>
      <c r="E3654">
        <v>0.54856640000000001</v>
      </c>
      <c r="F3654" t="s">
        <v>41</v>
      </c>
      <c r="G3654">
        <v>-189.96129999999999</v>
      </c>
      <c r="H3654">
        <v>0.95515159999999999</v>
      </c>
      <c r="I3654">
        <v>187.0616</v>
      </c>
      <c r="J3654">
        <v>-189.9692</v>
      </c>
      <c r="K3654">
        <v>1.1087450000000001</v>
      </c>
      <c r="L3654">
        <v>187.631</v>
      </c>
      <c r="M3654">
        <v>8.5201170000000007E-2</v>
      </c>
      <c r="N3654">
        <v>-1.3626279999999999E-2</v>
      </c>
      <c r="O3654">
        <v>-0.99627069999999995</v>
      </c>
      <c r="P3654">
        <v>0.1184708</v>
      </c>
      <c r="Q3654">
        <v>0.38616400000000001</v>
      </c>
      <c r="R3654">
        <v>-0.91479069999999996</v>
      </c>
      <c r="S3654">
        <v>0.1379852</v>
      </c>
      <c r="T3654">
        <v>-0.57405899999999999</v>
      </c>
      <c r="U3654">
        <v>-3.50943</v>
      </c>
      <c r="V3654">
        <v>-3.7804259999999999E-2</v>
      </c>
      <c r="W3654">
        <v>0.39890900000000001</v>
      </c>
      <c r="X3654">
        <v>0.91621090000000005</v>
      </c>
      <c r="Y3654">
        <v>4.6370519999999998E-2</v>
      </c>
      <c r="Z3654">
        <v>0.1469685</v>
      </c>
      <c r="AA3654">
        <v>0.98805370000000003</v>
      </c>
      <c r="AB3654">
        <v>30</v>
      </c>
      <c r="AC3654">
        <v>7.9000000000064505E-3</v>
      </c>
      <c r="AD3654">
        <v>-0.15359339999999999</v>
      </c>
      <c r="AE3654">
        <v>-0.56939999999997304</v>
      </c>
      <c r="AF3654">
        <v>3.7890298332722797E-2</v>
      </c>
      <c r="AG3654">
        <v>-0.15359339999999999</v>
      </c>
      <c r="AH3654">
        <v>0.52948297862657501</v>
      </c>
      <c r="AI3654">
        <v>106.13737359953301</v>
      </c>
      <c r="AJ3654">
        <v>85.906837772223199</v>
      </c>
      <c r="AK3654">
        <v>0.55261092269930101</v>
      </c>
      <c r="AL3654">
        <v>66.490007071387296</v>
      </c>
      <c r="AM3654">
        <v>92.362771029085295</v>
      </c>
      <c r="AN3654">
        <v>0.99999998281697799</v>
      </c>
    </row>
    <row r="3655" spans="1:40" x14ac:dyDescent="0.25">
      <c r="A3655" t="str">
        <f>"20190304164443840"</f>
        <v>20190304164443840</v>
      </c>
      <c r="B3655" t="str">
        <f>"1551689083834036"</f>
        <v>1551689083834036</v>
      </c>
      <c r="C3655" t="s">
        <v>40</v>
      </c>
      <c r="D3655">
        <v>5.7527749999999997</v>
      </c>
      <c r="E3655">
        <v>0.55587969999999998</v>
      </c>
      <c r="F3655" t="s">
        <v>41</v>
      </c>
      <c r="G3655">
        <v>-189.9444</v>
      </c>
      <c r="H3655">
        <v>0.9703927</v>
      </c>
      <c r="I3655">
        <v>186.78899999999999</v>
      </c>
      <c r="J3655">
        <v>-189.95160000000001</v>
      </c>
      <c r="K3655">
        <v>1.108498</v>
      </c>
      <c r="L3655">
        <v>187.39269999999999</v>
      </c>
      <c r="M3655">
        <v>8.2313689999999995E-2</v>
      </c>
      <c r="N3655">
        <v>-1.3636509999999999E-2</v>
      </c>
      <c r="O3655">
        <v>-0.99651339999999999</v>
      </c>
      <c r="P3655">
        <v>0.1120433</v>
      </c>
      <c r="Q3655">
        <v>0.3858955</v>
      </c>
      <c r="R3655">
        <v>-0.91571349999999996</v>
      </c>
      <c r="S3655">
        <v>0.10380549999999999</v>
      </c>
      <c r="T3655">
        <v>-0.5765496</v>
      </c>
      <c r="U3655">
        <v>-3.5093839999999998</v>
      </c>
      <c r="V3655">
        <v>-3.3744990000000002E-2</v>
      </c>
      <c r="W3655">
        <v>0.39865270000000003</v>
      </c>
      <c r="X3655">
        <v>0.91648090000000004</v>
      </c>
      <c r="Y3655">
        <v>5.3080090000000003E-2</v>
      </c>
      <c r="Z3655">
        <v>0.14769099999999999</v>
      </c>
      <c r="AA3655">
        <v>0.98760809999999999</v>
      </c>
      <c r="AB3655">
        <v>30</v>
      </c>
      <c r="AC3655">
        <v>7.2000000000116398E-3</v>
      </c>
      <c r="AD3655">
        <v>-0.13810529999999999</v>
      </c>
      <c r="AE3655">
        <v>-0.60369999999997404</v>
      </c>
      <c r="AF3655">
        <v>4.0407465903841901E-2</v>
      </c>
      <c r="AG3655">
        <v>-0.13810529999999999</v>
      </c>
      <c r="AH3655">
        <v>0.57229767728235004</v>
      </c>
      <c r="AI3655">
        <v>103.53462392295501</v>
      </c>
      <c r="AJ3655">
        <v>85.961294903794098</v>
      </c>
      <c r="AK3655">
        <v>0.59011055626181796</v>
      </c>
      <c r="AL3655">
        <v>66.506020016916196</v>
      </c>
      <c r="AM3655">
        <v>92.108688218471798</v>
      </c>
      <c r="AN3655">
        <v>0.99999996981609895</v>
      </c>
    </row>
    <row r="3656" spans="1:40" x14ac:dyDescent="0.25">
      <c r="A3656" t="str">
        <f>"20190304164443852"</f>
        <v>20190304164443852</v>
      </c>
      <c r="B3656" t="str">
        <f>"1551689083843796"</f>
        <v>1551689083843796</v>
      </c>
      <c r="C3656" t="s">
        <v>40</v>
      </c>
      <c r="D3656">
        <v>5.7420330000000002</v>
      </c>
      <c r="E3656">
        <v>0.55620749999999997</v>
      </c>
      <c r="F3656" t="s">
        <v>41</v>
      </c>
      <c r="G3656">
        <v>-189.9436</v>
      </c>
      <c r="H3656">
        <v>0.91930460000000003</v>
      </c>
      <c r="I3656">
        <v>186.54759999999999</v>
      </c>
      <c r="J3656">
        <v>-189.93989999999999</v>
      </c>
      <c r="K3656">
        <v>1.1083289999999999</v>
      </c>
      <c r="L3656">
        <v>187.2286</v>
      </c>
      <c r="M3656">
        <v>8.0200419999999994E-2</v>
      </c>
      <c r="N3656">
        <v>-1.364334E-2</v>
      </c>
      <c r="O3656">
        <v>-0.99668540000000005</v>
      </c>
      <c r="P3656">
        <v>0.109524499999999</v>
      </c>
      <c r="Q3656">
        <v>0.38657849999999999</v>
      </c>
      <c r="R3656">
        <v>-0.91573009999999999</v>
      </c>
      <c r="S3656">
        <v>3.4713750000000002E-2</v>
      </c>
      <c r="T3656">
        <v>-0.80874869999999899</v>
      </c>
      <c r="U3656">
        <v>-3.6127009999999999</v>
      </c>
      <c r="V3656">
        <v>-3.3011680000000002E-2</v>
      </c>
      <c r="W3656">
        <v>0.39934930000000002</v>
      </c>
      <c r="X3656">
        <v>0.91620429999999997</v>
      </c>
      <c r="Y3656">
        <v>7.0713460000000006E-2</v>
      </c>
      <c r="Z3656">
        <v>0.20380229999999999</v>
      </c>
      <c r="AA3656">
        <v>0.97645490000000001</v>
      </c>
      <c r="AB3656">
        <v>30</v>
      </c>
      <c r="AC3656">
        <v>-3.70000000000914E-3</v>
      </c>
      <c r="AD3656">
        <v>-0.18902440000000001</v>
      </c>
      <c r="AE3656">
        <v>-0.68100000000001104</v>
      </c>
      <c r="AF3656">
        <v>5.41386846137984E-2</v>
      </c>
      <c r="AG3656">
        <v>-0.18902440000000001</v>
      </c>
      <c r="AH3656">
        <v>0.62997453047858099</v>
      </c>
      <c r="AI3656">
        <v>106.64398115617</v>
      </c>
      <c r="AJ3656">
        <v>85.088189401225407</v>
      </c>
      <c r="AK3656">
        <v>0.65994630843636104</v>
      </c>
      <c r="AL3656">
        <v>66.462493041749099</v>
      </c>
      <c r="AM3656">
        <v>92.063526741653604</v>
      </c>
      <c r="AN3656">
        <v>0.99999997688270004</v>
      </c>
    </row>
    <row r="3657" spans="1:40" x14ac:dyDescent="0.25">
      <c r="A3657" t="str">
        <f>"20190304164443865"</f>
        <v>20190304164443865</v>
      </c>
      <c r="B3657" t="str">
        <f>"1551689083864292"</f>
        <v>1551689083864292</v>
      </c>
      <c r="C3657" t="s">
        <v>40</v>
      </c>
      <c r="D3657">
        <v>5.6070729999999998</v>
      </c>
      <c r="E3657">
        <v>0.55712759999999995</v>
      </c>
      <c r="F3657" t="s">
        <v>41</v>
      </c>
      <c r="G3657">
        <v>-189.9366</v>
      </c>
      <c r="H3657">
        <v>0.95378819999999997</v>
      </c>
      <c r="I3657">
        <v>186.53139999999999</v>
      </c>
      <c r="J3657">
        <v>-189.92910000000001</v>
      </c>
      <c r="K3657">
        <v>1.1081700000000001</v>
      </c>
      <c r="L3657">
        <v>187.06559999999999</v>
      </c>
      <c r="M3657">
        <v>7.7912170000000003E-2</v>
      </c>
      <c r="N3657">
        <v>-1.3652269999999999E-2</v>
      </c>
      <c r="O3657">
        <v>-0.99686669999999999</v>
      </c>
      <c r="P3657">
        <v>0.10701910000000001</v>
      </c>
      <c r="Q3657">
        <v>0.38799800000000001</v>
      </c>
      <c r="R3657">
        <v>-0.91542570000000001</v>
      </c>
      <c r="S3657">
        <v>1.768494E-2</v>
      </c>
      <c r="T3657">
        <v>-0.80051930000000004</v>
      </c>
      <c r="U3657">
        <v>-3.6119080000000001</v>
      </c>
      <c r="V3657">
        <v>-3.2475329999999997E-2</v>
      </c>
      <c r="W3657">
        <v>0.40078009999999997</v>
      </c>
      <c r="X3657">
        <v>0.91559860000000004</v>
      </c>
      <c r="Y3657">
        <v>7.3019630000000002E-2</v>
      </c>
      <c r="Z3657">
        <v>0.20176769999999999</v>
      </c>
      <c r="AA3657">
        <v>0.97670769999999996</v>
      </c>
      <c r="AB3657">
        <v>30</v>
      </c>
      <c r="AC3657">
        <v>-7.4999999999931797E-3</v>
      </c>
      <c r="AD3657">
        <v>-0.15438180000000001</v>
      </c>
      <c r="AE3657">
        <v>-0.53419999999999801</v>
      </c>
      <c r="AF3657">
        <v>4.5317630021418802E-2</v>
      </c>
      <c r="AG3657">
        <v>-0.15438180000000001</v>
      </c>
      <c r="AH3657">
        <v>0.49099242005918903</v>
      </c>
      <c r="AI3657">
        <v>107.385196019218</v>
      </c>
      <c r="AJ3657">
        <v>84.726653333406901</v>
      </c>
      <c r="AK3657">
        <v>0.51668267274757496</v>
      </c>
      <c r="AL3657">
        <v>66.373046296359405</v>
      </c>
      <c r="AM3657">
        <v>92.031370136721094</v>
      </c>
      <c r="AN3657">
        <v>1.0000000659682799</v>
      </c>
    </row>
    <row r="3658" spans="1:40" x14ac:dyDescent="0.25">
      <c r="A3658" t="str">
        <f>"20190304164443878"</f>
        <v>20190304164443878</v>
      </c>
      <c r="B3658" t="str">
        <f>"1551689083874052"</f>
        <v>1551689083874052</v>
      </c>
      <c r="C3658" t="s">
        <v>40</v>
      </c>
      <c r="D3658">
        <v>5.6299190000000001</v>
      </c>
      <c r="E3658">
        <v>0.55734240000000002</v>
      </c>
      <c r="F3658" t="s">
        <v>41</v>
      </c>
      <c r="G3658">
        <v>-189.93029999999999</v>
      </c>
      <c r="H3658">
        <v>0.93685980000000002</v>
      </c>
      <c r="I3658">
        <v>186.27420000000001</v>
      </c>
      <c r="J3658">
        <v>-189.91829999999999</v>
      </c>
      <c r="K3658">
        <v>1.108006</v>
      </c>
      <c r="L3658">
        <v>186.89859999999999</v>
      </c>
      <c r="M3658">
        <v>7.5483720000000004E-2</v>
      </c>
      <c r="N3658">
        <v>-1.3661690000000001E-2</v>
      </c>
      <c r="O3658">
        <v>-0.99705359999999998</v>
      </c>
      <c r="P3658">
        <v>0.1038446</v>
      </c>
      <c r="Q3658">
        <v>0.39007579999999997</v>
      </c>
      <c r="R3658">
        <v>-0.91490879999999997</v>
      </c>
      <c r="S3658">
        <v>-5.3405759999999997E-3</v>
      </c>
      <c r="T3658">
        <v>-0.78110029999999997</v>
      </c>
      <c r="U3658">
        <v>-3.6088710000000002</v>
      </c>
      <c r="V3658">
        <v>-3.140138E-2</v>
      </c>
      <c r="W3658">
        <v>0.402862</v>
      </c>
      <c r="X3658">
        <v>0.91472189999999998</v>
      </c>
      <c r="Y3658">
        <v>7.681491E-2</v>
      </c>
      <c r="Z3658">
        <v>0.19695650000000001</v>
      </c>
      <c r="AA3658">
        <v>0.9773984</v>
      </c>
      <c r="AB3658">
        <v>30</v>
      </c>
      <c r="AC3658">
        <v>-1.2000000000000399E-2</v>
      </c>
      <c r="AD3658">
        <v>-0.1711462</v>
      </c>
      <c r="AE3658">
        <v>-0.62439999999997997</v>
      </c>
      <c r="AF3658">
        <v>5.4973587894975702E-2</v>
      </c>
      <c r="AG3658">
        <v>-0.1711462</v>
      </c>
      <c r="AH3658">
        <v>0.57828252700657201</v>
      </c>
      <c r="AI3658">
        <v>106.416435642314</v>
      </c>
      <c r="AJ3658">
        <v>84.569579142525498</v>
      </c>
      <c r="AK3658">
        <v>0.60557724377786304</v>
      </c>
      <c r="AL3658">
        <v>66.242781627364295</v>
      </c>
      <c r="AM3658">
        <v>91.966127943724302</v>
      </c>
      <c r="AN3658">
        <v>0.99999999602475698</v>
      </c>
    </row>
    <row r="3659" spans="1:40" x14ac:dyDescent="0.25">
      <c r="A3659" t="str">
        <f>"20190304164443891"</f>
        <v>20190304164443891</v>
      </c>
      <c r="B3659" t="str">
        <f>"1551689083883690"</f>
        <v>1551689083883690</v>
      </c>
      <c r="C3659" t="s">
        <v>40</v>
      </c>
      <c r="D3659">
        <v>5.6324589999999999</v>
      </c>
      <c r="E3659">
        <v>0.55766199999999999</v>
      </c>
      <c r="F3659" t="s">
        <v>41</v>
      </c>
      <c r="G3659">
        <v>-189.92359999999999</v>
      </c>
      <c r="H3659">
        <v>0.92009350000000001</v>
      </c>
      <c r="I3659">
        <v>186.017</v>
      </c>
      <c r="J3659">
        <v>-189.9076</v>
      </c>
      <c r="K3659">
        <v>1.1078220000000001</v>
      </c>
      <c r="L3659">
        <v>186.72389999999999</v>
      </c>
      <c r="M3659">
        <v>7.2796169999999993E-2</v>
      </c>
      <c r="N3659">
        <v>-1.3672500000000001E-2</v>
      </c>
      <c r="O3659">
        <v>-0.9972531</v>
      </c>
      <c r="P3659">
        <v>9.9910239999999997E-2</v>
      </c>
      <c r="Q3659">
        <v>0.3915032</v>
      </c>
      <c r="R3659">
        <v>-0.91473669999999996</v>
      </c>
      <c r="S3659">
        <v>-2.1713260000000002E-2</v>
      </c>
      <c r="T3659">
        <v>-0.7693255</v>
      </c>
      <c r="U3659">
        <v>-3.6094970000000002</v>
      </c>
      <c r="V3659">
        <v>-2.9769110000000001E-2</v>
      </c>
      <c r="W3659">
        <v>0.40429480000000001</v>
      </c>
      <c r="X3659">
        <v>0.91414419999999996</v>
      </c>
      <c r="Y3659">
        <v>7.8563220000000003E-2</v>
      </c>
      <c r="Z3659">
        <v>0.19391439999999999</v>
      </c>
      <c r="AA3659">
        <v>0.97786759999999995</v>
      </c>
      <c r="AB3659">
        <v>30</v>
      </c>
      <c r="AC3659">
        <v>-1.5999999999991101E-2</v>
      </c>
      <c r="AD3659">
        <v>-0.18772849999999999</v>
      </c>
      <c r="AE3659">
        <v>-0.70689999999998998</v>
      </c>
      <c r="AF3659">
        <v>6.2982392700076301E-2</v>
      </c>
      <c r="AG3659">
        <v>-0.18772849999999999</v>
      </c>
      <c r="AH3659">
        <v>0.65751185646772303</v>
      </c>
      <c r="AI3659">
        <v>105.86581559479799</v>
      </c>
      <c r="AJ3659">
        <v>84.528389715013802</v>
      </c>
      <c r="AK3659">
        <v>0.68668086685017504</v>
      </c>
      <c r="AL3659">
        <v>66.153058083320104</v>
      </c>
      <c r="AM3659">
        <v>91.865178177109996</v>
      </c>
      <c r="AN3659">
        <v>1.0000000518054299</v>
      </c>
    </row>
    <row r="3660" spans="1:40" x14ac:dyDescent="0.25">
      <c r="A3660" t="str">
        <f>"20190304164443909"</f>
        <v>20190304164443909</v>
      </c>
      <c r="B3660" t="str">
        <f>"1551689083904186"</f>
        <v>1551689083904186</v>
      </c>
      <c r="C3660" t="s">
        <v>40</v>
      </c>
      <c r="D3660">
        <v>5.6478510000000002</v>
      </c>
      <c r="E3660">
        <v>0.55818080000000003</v>
      </c>
      <c r="F3660" t="s">
        <v>41</v>
      </c>
      <c r="G3660">
        <v>-189.91569999999999</v>
      </c>
      <c r="H3660">
        <v>0.95553699999999997</v>
      </c>
      <c r="I3660">
        <v>186.0001</v>
      </c>
      <c r="J3660">
        <v>-189.89510000000001</v>
      </c>
      <c r="K3660">
        <v>1.1075900000000001</v>
      </c>
      <c r="L3660">
        <v>186.50319999999999</v>
      </c>
      <c r="M3660">
        <v>6.9172960000000006E-2</v>
      </c>
      <c r="N3660">
        <v>-1.368866E-2</v>
      </c>
      <c r="O3660">
        <v>-0.99751100000000004</v>
      </c>
      <c r="P3660">
        <v>9.2828579999999994E-2</v>
      </c>
      <c r="Q3660">
        <v>0.39471630000000002</v>
      </c>
      <c r="R3660">
        <v>-0.91410210000000003</v>
      </c>
      <c r="S3660">
        <v>-4.0237429999999998E-2</v>
      </c>
      <c r="T3660">
        <v>-0.75933019999999996</v>
      </c>
      <c r="U3660">
        <v>-3.6090390000000001</v>
      </c>
      <c r="V3660">
        <v>-2.582046E-2</v>
      </c>
      <c r="W3660">
        <v>0.40749039999999997</v>
      </c>
      <c r="X3660">
        <v>0.9128444</v>
      </c>
      <c r="Y3660">
        <v>7.9965850000000005E-2</v>
      </c>
      <c r="Z3660">
        <v>0.19139819999999999</v>
      </c>
      <c r="AA3660">
        <v>0.97824949999999999</v>
      </c>
      <c r="AB3660">
        <v>30</v>
      </c>
      <c r="AC3660">
        <v>-2.0599999999973299E-2</v>
      </c>
      <c r="AD3660">
        <v>-0.15205299999999999</v>
      </c>
      <c r="AE3660">
        <v>-0.503099999999989</v>
      </c>
      <c r="AF3660">
        <v>5.0728787523028999E-2</v>
      </c>
      <c r="AG3660">
        <v>-0.15205299999999999</v>
      </c>
      <c r="AH3660">
        <v>0.45864510936814501</v>
      </c>
      <c r="AI3660">
        <v>108.237930990134</v>
      </c>
      <c r="AJ3660">
        <v>83.688411636313404</v>
      </c>
      <c r="AK3660">
        <v>0.48584859888639598</v>
      </c>
      <c r="AL3660">
        <v>65.952717418845396</v>
      </c>
      <c r="AM3660">
        <v>91.620220296504101</v>
      </c>
      <c r="AN3660">
        <v>1.0000000104290601</v>
      </c>
    </row>
    <row r="3661" spans="1:40" x14ac:dyDescent="0.25">
      <c r="A3661" t="str">
        <f>"20190304164443933"</f>
        <v>20190304164443933</v>
      </c>
      <c r="B3661" t="str">
        <f>"1551689083923706"</f>
        <v>1551689083923706</v>
      </c>
      <c r="C3661" t="s">
        <v>40</v>
      </c>
      <c r="D3661">
        <v>5.6956619999999996</v>
      </c>
      <c r="E3661">
        <v>0.55839539999999999</v>
      </c>
      <c r="F3661" t="s">
        <v>41</v>
      </c>
      <c r="G3661">
        <v>-189.9083</v>
      </c>
      <c r="H3661">
        <v>0.95013669999999995</v>
      </c>
      <c r="I3661">
        <v>185.73759999999999</v>
      </c>
      <c r="J3661">
        <v>-189.8783</v>
      </c>
      <c r="K3661">
        <v>1.107237</v>
      </c>
      <c r="L3661">
        <v>186.1781</v>
      </c>
      <c r="M3661">
        <v>6.3467880000000004E-2</v>
      </c>
      <c r="N3661">
        <v>-1.371376E-2</v>
      </c>
      <c r="O3661">
        <v>-0.99788980000000005</v>
      </c>
      <c r="P3661">
        <v>8.6283070000000003E-2</v>
      </c>
      <c r="Q3661">
        <v>0.39645039999999998</v>
      </c>
      <c r="R3661">
        <v>-0.91399280000000005</v>
      </c>
      <c r="S3661">
        <v>-6.1279300000000002E-2</v>
      </c>
      <c r="T3661">
        <v>-0.7418323</v>
      </c>
      <c r="U3661">
        <v>-3.608444</v>
      </c>
      <c r="V3661">
        <v>-2.4169469999999998E-2</v>
      </c>
      <c r="W3661">
        <v>0.4092481</v>
      </c>
      <c r="X3661">
        <v>0.912103</v>
      </c>
      <c r="Y3661">
        <v>7.9988310000000007E-2</v>
      </c>
      <c r="Z3661">
        <v>0.18696960000000001</v>
      </c>
      <c r="AA3661">
        <v>0.97910379999999997</v>
      </c>
      <c r="AB3661">
        <v>29</v>
      </c>
      <c r="AC3661">
        <v>-3.0000000000001099E-2</v>
      </c>
      <c r="AD3661">
        <v>-0.157100299999999</v>
      </c>
      <c r="AE3661">
        <v>-0.44050000000001399</v>
      </c>
      <c r="AF3661">
        <v>5.1393085159609102E-2</v>
      </c>
      <c r="AG3661">
        <v>-0.157100299999999</v>
      </c>
      <c r="AH3661">
        <v>0.38851889578869703</v>
      </c>
      <c r="AI3661">
        <v>111.844120512483</v>
      </c>
      <c r="AJ3661">
        <v>82.464690344701296</v>
      </c>
      <c r="AK3661">
        <v>0.42221876538967501</v>
      </c>
      <c r="AL3661">
        <v>65.842390316287705</v>
      </c>
      <c r="AM3661">
        <v>91.517903826343698</v>
      </c>
      <c r="AN3661">
        <v>1.00000002662134</v>
      </c>
    </row>
    <row r="3662" spans="1:40" x14ac:dyDescent="0.25">
      <c r="A3662" t="str">
        <f>"20190304164443952"</f>
        <v>20190304164443952</v>
      </c>
      <c r="B3662" t="str">
        <f>"1551689083944202"</f>
        <v>1551689083944202</v>
      </c>
      <c r="C3662" t="s">
        <v>40</v>
      </c>
      <c r="D3662">
        <v>5.727525</v>
      </c>
      <c r="E3662">
        <v>0.55852760000000001</v>
      </c>
      <c r="F3662" t="s">
        <v>41</v>
      </c>
      <c r="G3662">
        <v>-189.89500000000001</v>
      </c>
      <c r="H3662">
        <v>0.9626709</v>
      </c>
      <c r="I3662">
        <v>185.46680000000001</v>
      </c>
      <c r="J3662">
        <v>-189.86680000000001</v>
      </c>
      <c r="K3662">
        <v>1.10697</v>
      </c>
      <c r="L3662">
        <v>185.9178</v>
      </c>
      <c r="M3662">
        <v>5.8528099999999902E-2</v>
      </c>
      <c r="N3662">
        <v>-1.373601E-2</v>
      </c>
      <c r="O3662">
        <v>-0.99819139999999995</v>
      </c>
      <c r="P3662">
        <v>8.4327979999999997E-2</v>
      </c>
      <c r="Q3662">
        <v>0.39678229999999998</v>
      </c>
      <c r="R3662">
        <v>-0.91403080000000003</v>
      </c>
      <c r="S3662">
        <v>-8.3435060000000005E-2</v>
      </c>
      <c r="T3662">
        <v>-0.73296930000000005</v>
      </c>
      <c r="U3662">
        <v>-3.6081240000000001</v>
      </c>
      <c r="V3662">
        <v>-2.6471999999999999E-2</v>
      </c>
      <c r="W3662">
        <v>0.40964</v>
      </c>
      <c r="X3662">
        <v>0.91186310000000004</v>
      </c>
      <c r="Y3662">
        <v>8.1075510000000003E-2</v>
      </c>
      <c r="Z3662">
        <v>0.1847261</v>
      </c>
      <c r="AA3662">
        <v>0.97944019999999998</v>
      </c>
      <c r="AB3662">
        <v>29</v>
      </c>
      <c r="AC3662">
        <v>-2.8199999999998199E-2</v>
      </c>
      <c r="AD3662">
        <v>-0.14429909999999899</v>
      </c>
      <c r="AE3662">
        <v>-0.45099999999999302</v>
      </c>
      <c r="AF3662">
        <v>4.95024609173269E-2</v>
      </c>
      <c r="AG3662">
        <v>-0.14429909999999899</v>
      </c>
      <c r="AH3662">
        <v>0.40706680542169399</v>
      </c>
      <c r="AI3662">
        <v>109.386595009868</v>
      </c>
      <c r="AJ3662">
        <v>83.066436712425698</v>
      </c>
      <c r="AK3662">
        <v>0.43471382307663597</v>
      </c>
      <c r="AL3662">
        <v>65.817777950216893</v>
      </c>
      <c r="AM3662">
        <v>91.662868033156897</v>
      </c>
      <c r="AN3662">
        <v>1.0000000047627999</v>
      </c>
    </row>
    <row r="3663" spans="1:40" x14ac:dyDescent="0.25">
      <c r="A3663" t="str">
        <f>"20190304164443965"</f>
        <v>20190304164443965</v>
      </c>
      <c r="B3663" t="str">
        <f>"1551689083953963"</f>
        <v>1551689083953963</v>
      </c>
      <c r="C3663" t="s">
        <v>40</v>
      </c>
      <c r="D3663">
        <v>5.7519419999999997</v>
      </c>
      <c r="E3663">
        <v>0.55849629999999995</v>
      </c>
      <c r="F3663" t="s">
        <v>41</v>
      </c>
      <c r="G3663">
        <v>-189.8869</v>
      </c>
      <c r="H3663">
        <v>0.96249039999999997</v>
      </c>
      <c r="I3663">
        <v>185.2021</v>
      </c>
      <c r="J3663">
        <v>-189.8604</v>
      </c>
      <c r="K3663">
        <v>1.1067990000000001</v>
      </c>
      <c r="L3663">
        <v>185.75069999999999</v>
      </c>
      <c r="M3663">
        <v>5.5168380000000003E-2</v>
      </c>
      <c r="N3663">
        <v>-1.3751340000000001E-2</v>
      </c>
      <c r="O3663">
        <v>-0.9983824</v>
      </c>
      <c r="P3663">
        <v>8.279599E-2</v>
      </c>
      <c r="Q3663">
        <v>0.39665709999999998</v>
      </c>
      <c r="R3663">
        <v>-0.91422530000000002</v>
      </c>
      <c r="S3663">
        <v>-0.10112</v>
      </c>
      <c r="T3663">
        <v>-0.72797100000000003</v>
      </c>
      <c r="U3663">
        <v>-3.607529</v>
      </c>
      <c r="V3663">
        <v>-2.7844500000000001E-2</v>
      </c>
      <c r="W3663">
        <v>0.4095569</v>
      </c>
      <c r="X3663">
        <v>0.91185950000000005</v>
      </c>
      <c r="Y3663">
        <v>8.2528290000000004E-2</v>
      </c>
      <c r="Z3663">
        <v>0.18347150000000001</v>
      </c>
      <c r="AA3663">
        <v>0.9795547</v>
      </c>
      <c r="AB3663">
        <v>29</v>
      </c>
      <c r="AC3663">
        <v>-2.6499999999998601E-2</v>
      </c>
      <c r="AD3663">
        <v>-0.14430860000000001</v>
      </c>
      <c r="AE3663">
        <v>-0.54859999999999298</v>
      </c>
      <c r="AF3663">
        <v>5.3064625711934502E-2</v>
      </c>
      <c r="AG3663">
        <v>-0.14430860000000001</v>
      </c>
      <c r="AH3663">
        <v>0.51102439634841901</v>
      </c>
      <c r="AI3663">
        <v>105.689020229909</v>
      </c>
      <c r="AJ3663">
        <v>84.071669654488602</v>
      </c>
      <c r="AK3663">
        <v>0.53365415785804005</v>
      </c>
      <c r="AL3663">
        <v>65.822995955549999</v>
      </c>
      <c r="AM3663">
        <v>91.749037811746106</v>
      </c>
      <c r="AN3663">
        <v>0.99999995912905404</v>
      </c>
    </row>
    <row r="3664" spans="1:40" x14ac:dyDescent="0.25">
      <c r="A3664" t="str">
        <f>"20190304164443979"</f>
        <v>20190304164443979</v>
      </c>
      <c r="B3664" t="str">
        <f>"1551689083973482"</f>
        <v>1551689083973482</v>
      </c>
      <c r="C3664" t="s">
        <v>40</v>
      </c>
      <c r="D3664">
        <v>5.7394170000000004</v>
      </c>
      <c r="E3664">
        <v>0.55839090000000002</v>
      </c>
      <c r="F3664" t="s">
        <v>41</v>
      </c>
      <c r="G3664">
        <v>-189.8854</v>
      </c>
      <c r="H3664">
        <v>0.94451810000000003</v>
      </c>
      <c r="I3664">
        <v>184.946</v>
      </c>
      <c r="J3664">
        <v>-189.85409999999999</v>
      </c>
      <c r="K3664">
        <v>1.1066229999999999</v>
      </c>
      <c r="L3664">
        <v>185.57490000000001</v>
      </c>
      <c r="M3664">
        <v>5.1540629999999997E-2</v>
      </c>
      <c r="N3664">
        <v>-1.3767339999999999E-2</v>
      </c>
      <c r="O3664">
        <v>-0.99857600000000002</v>
      </c>
      <c r="P3664">
        <v>8.0437560000000005E-2</v>
      </c>
      <c r="Q3664">
        <v>0.39670729999999998</v>
      </c>
      <c r="R3664">
        <v>-0.91441419999999995</v>
      </c>
      <c r="S3664">
        <v>-0.1125488</v>
      </c>
      <c r="T3664">
        <v>-0.72748349999999995</v>
      </c>
      <c r="U3664">
        <v>-3.6073149999999998</v>
      </c>
      <c r="V3664">
        <v>-2.8630260000000001E-2</v>
      </c>
      <c r="W3664">
        <v>0.40964390000000001</v>
      </c>
      <c r="X3664">
        <v>0.91179619999999995</v>
      </c>
      <c r="Y3664">
        <v>8.2011269999999997E-2</v>
      </c>
      <c r="Z3664">
        <v>0.18339179999999999</v>
      </c>
      <c r="AA3664">
        <v>0.97961299999999996</v>
      </c>
      <c r="AB3664">
        <v>29</v>
      </c>
      <c r="AC3664">
        <v>-3.1300000000015801E-2</v>
      </c>
      <c r="AD3664">
        <v>-0.162104899999999</v>
      </c>
      <c r="AE3664">
        <v>-0.628900000000015</v>
      </c>
      <c r="AF3664">
        <v>5.9717540616092003E-2</v>
      </c>
      <c r="AG3664">
        <v>-0.162104899999999</v>
      </c>
      <c r="AH3664">
        <v>0.58751274451634705</v>
      </c>
      <c r="AI3664">
        <v>105.349766523971</v>
      </c>
      <c r="AJ3664">
        <v>84.196122329670999</v>
      </c>
      <c r="AK3664">
        <v>0.61238501633398501</v>
      </c>
      <c r="AL3664">
        <v>65.817534511868303</v>
      </c>
      <c r="AM3664">
        <v>91.798487718759802</v>
      </c>
      <c r="AN3664">
        <v>1.00000006346465</v>
      </c>
    </row>
    <row r="3665" spans="1:40" x14ac:dyDescent="0.25">
      <c r="A3665" t="str">
        <f>"20190304164443990"</f>
        <v>20190304164443990</v>
      </c>
      <c r="B3665" t="str">
        <f>"1551689083984003"</f>
        <v>1551689083984003</v>
      </c>
      <c r="C3665" t="s">
        <v>40</v>
      </c>
      <c r="D3665">
        <v>5.7541000000000002</v>
      </c>
      <c r="E3665">
        <v>0.55833449999999996</v>
      </c>
      <c r="F3665" t="s">
        <v>41</v>
      </c>
      <c r="G3665">
        <v>-189.88489999999999</v>
      </c>
      <c r="H3665">
        <v>0.92796590000000001</v>
      </c>
      <c r="I3665">
        <v>184.6893</v>
      </c>
      <c r="J3665">
        <v>-189.84889999999999</v>
      </c>
      <c r="K3665">
        <v>1.1064560000000001</v>
      </c>
      <c r="L3665">
        <v>185.4068</v>
      </c>
      <c r="M3665">
        <v>4.7942129999999999E-2</v>
      </c>
      <c r="N3665">
        <v>-1.3783170000000001E-2</v>
      </c>
      <c r="O3665">
        <v>-0.99875499999999995</v>
      </c>
      <c r="P3665">
        <v>7.6923820000000004E-2</v>
      </c>
      <c r="Q3665">
        <v>0.39748470000000002</v>
      </c>
      <c r="R3665">
        <v>-0.9143791</v>
      </c>
      <c r="S3665">
        <v>-0.1248932</v>
      </c>
      <c r="T3665">
        <v>-0.72753269999999903</v>
      </c>
      <c r="U3665">
        <v>-3.6074069999999998</v>
      </c>
      <c r="V3665">
        <v>-2.825047E-2</v>
      </c>
      <c r="W3665">
        <v>0.41044059999999999</v>
      </c>
      <c r="X3665">
        <v>0.91144959999999997</v>
      </c>
      <c r="Y3665">
        <v>8.1768209999999994E-2</v>
      </c>
      <c r="Z3665">
        <v>0.18342800000000001</v>
      </c>
      <c r="AA3665">
        <v>0.97962649999999996</v>
      </c>
      <c r="AB3665">
        <v>29</v>
      </c>
      <c r="AC3665">
        <v>-3.6000000000001302E-2</v>
      </c>
      <c r="AD3665">
        <v>-0.17849009999999901</v>
      </c>
      <c r="AE3665">
        <v>-0.71750000000000103</v>
      </c>
      <c r="AF3665">
        <v>6.6269558505677006E-2</v>
      </c>
      <c r="AG3665">
        <v>-0.17849009999999901</v>
      </c>
      <c r="AH3665">
        <v>0.67338125528593995</v>
      </c>
      <c r="AI3665">
        <v>104.777487397754</v>
      </c>
      <c r="AJ3665">
        <v>84.379441554940001</v>
      </c>
      <c r="AK3665">
        <v>0.69978045496642405</v>
      </c>
      <c r="AL3665">
        <v>65.767483728193</v>
      </c>
      <c r="AM3665">
        <v>91.775319952724104</v>
      </c>
      <c r="AN3665">
        <v>0.99999997426187004</v>
      </c>
    </row>
    <row r="3666" spans="1:40" x14ac:dyDescent="0.25">
      <c r="A3666" t="str">
        <f>"20190304164444008"</f>
        <v>20190304164444008</v>
      </c>
      <c r="B3666" t="str">
        <f>"1551689084003522"</f>
        <v>1551689084003522</v>
      </c>
      <c r="C3666" t="s">
        <v>40</v>
      </c>
      <c r="D3666">
        <v>5.7570360000000003</v>
      </c>
      <c r="E3666">
        <v>0.55812169999999905</v>
      </c>
      <c r="F3666" t="s">
        <v>41</v>
      </c>
      <c r="G3666">
        <v>-189.87710000000001</v>
      </c>
      <c r="H3666">
        <v>0.95920919999999998</v>
      </c>
      <c r="I3666">
        <v>184.67429999999999</v>
      </c>
      <c r="J3666">
        <v>-189.84309999999999</v>
      </c>
      <c r="K3666">
        <v>1.1062369999999999</v>
      </c>
      <c r="L3666">
        <v>185.18190000000001</v>
      </c>
      <c r="M3666">
        <v>4.2944320000000001E-2</v>
      </c>
      <c r="N3666">
        <v>-1.3804800000000001E-2</v>
      </c>
      <c r="O3666">
        <v>-0.99898209999999998</v>
      </c>
      <c r="P3666">
        <v>6.9664050000000005E-2</v>
      </c>
      <c r="Q3666">
        <v>0.39936129999999997</v>
      </c>
      <c r="R3666">
        <v>-0.91414329999999999</v>
      </c>
      <c r="S3666">
        <v>-0.13858029999999999</v>
      </c>
      <c r="T3666">
        <v>-0.72502109999999997</v>
      </c>
      <c r="U3666">
        <v>-3.607758</v>
      </c>
      <c r="V3666">
        <v>-2.5366240000000002E-2</v>
      </c>
      <c r="W3666">
        <v>0.41230859999999903</v>
      </c>
      <c r="X3666">
        <v>0.91069100000000003</v>
      </c>
      <c r="Y3666">
        <v>8.0496880000000007E-2</v>
      </c>
      <c r="Z3666">
        <v>0.18279690000000001</v>
      </c>
      <c r="AA3666">
        <v>0.97984979999999999</v>
      </c>
      <c r="AB3666">
        <v>29</v>
      </c>
      <c r="AC3666">
        <v>-3.4000000000020202E-2</v>
      </c>
      <c r="AD3666">
        <v>-0.14702779999999999</v>
      </c>
      <c r="AE3666">
        <v>-0.50760000000002403</v>
      </c>
      <c r="AF3666">
        <v>5.1470238958939901E-2</v>
      </c>
      <c r="AG3666">
        <v>-0.14702779999999999</v>
      </c>
      <c r="AH3666">
        <v>0.466691427894248</v>
      </c>
      <c r="AI3666">
        <v>107.387643169321</v>
      </c>
      <c r="AJ3666">
        <v>83.706425434457799</v>
      </c>
      <c r="AK3666">
        <v>0.49200330114878599</v>
      </c>
      <c r="AL3666">
        <v>65.650058852684793</v>
      </c>
      <c r="AM3666">
        <v>91.595494857982004</v>
      </c>
      <c r="AN3666">
        <v>0.999999962623348</v>
      </c>
    </row>
    <row r="3667" spans="1:40" x14ac:dyDescent="0.25">
      <c r="A3667" t="str">
        <f>"20190304164444022"</f>
        <v>20190304164444022</v>
      </c>
      <c r="B3667" t="str">
        <f>"1551689084013283"</f>
        <v>1551689084013283</v>
      </c>
      <c r="C3667" t="s">
        <v>40</v>
      </c>
      <c r="D3667">
        <v>5.7958429999999996</v>
      </c>
      <c r="E3667">
        <v>0.55801780000000001</v>
      </c>
      <c r="F3667" t="s">
        <v>41</v>
      </c>
      <c r="G3667">
        <v>-189.87549999999999</v>
      </c>
      <c r="H3667">
        <v>0.95226549999999999</v>
      </c>
      <c r="I3667">
        <v>184.41319999999999</v>
      </c>
      <c r="J3667">
        <v>-189.83930000000001</v>
      </c>
      <c r="K3667">
        <v>1.10607099999999</v>
      </c>
      <c r="L3667">
        <v>184.99539999999999</v>
      </c>
      <c r="M3667">
        <v>3.8678810000000001E-2</v>
      </c>
      <c r="N3667">
        <v>-1.382193E-2</v>
      </c>
      <c r="O3667">
        <v>-0.9991563</v>
      </c>
      <c r="P3667">
        <v>6.4098859999999994E-2</v>
      </c>
      <c r="Q3667">
        <v>0.3999257</v>
      </c>
      <c r="R3667">
        <v>-0.9143038</v>
      </c>
      <c r="S3667">
        <v>-0.15205379999999999</v>
      </c>
      <c r="T3667">
        <v>-0.72290180000000004</v>
      </c>
      <c r="U3667">
        <v>-3.6091609999999998</v>
      </c>
      <c r="V3667">
        <v>-2.3547430000000001E-2</v>
      </c>
      <c r="W3667">
        <v>0.41287509999999999</v>
      </c>
      <c r="X3667">
        <v>0.91048320000000005</v>
      </c>
      <c r="Y3667">
        <v>7.9884899999999995E-2</v>
      </c>
      <c r="Z3667">
        <v>0.1821952</v>
      </c>
      <c r="AA3667">
        <v>0.98001190000000005</v>
      </c>
      <c r="AB3667">
        <v>29</v>
      </c>
      <c r="AC3667">
        <v>-3.6199999999979499E-2</v>
      </c>
      <c r="AD3667">
        <v>-0.15380549999999901</v>
      </c>
      <c r="AE3667">
        <v>-0.58220000000000005</v>
      </c>
      <c r="AF3667">
        <v>5.4878576462373298E-2</v>
      </c>
      <c r="AG3667">
        <v>-0.15380549999999901</v>
      </c>
      <c r="AH3667">
        <v>0.54263852040406002</v>
      </c>
      <c r="AI3667">
        <v>105.748536984156</v>
      </c>
      <c r="AJ3667">
        <v>84.225149600696895</v>
      </c>
      <c r="AK3667">
        <v>0.56667835128147803</v>
      </c>
      <c r="AL3667">
        <v>65.614427324553006</v>
      </c>
      <c r="AM3667">
        <v>91.481485513370401</v>
      </c>
      <c r="AN3667">
        <v>0.99999999357092695</v>
      </c>
    </row>
    <row r="3668" spans="1:40" x14ac:dyDescent="0.25">
      <c r="A3668" t="str">
        <f>"20190304164444041"</f>
        <v>20190304164444041</v>
      </c>
      <c r="B3668" t="str">
        <f>"1551689084033778"</f>
        <v>1551689084033778</v>
      </c>
      <c r="C3668" t="s">
        <v>40</v>
      </c>
      <c r="D3668">
        <v>5.6892120000000004</v>
      </c>
      <c r="E3668">
        <v>0.55793599999999999</v>
      </c>
      <c r="F3668" t="s">
        <v>41</v>
      </c>
      <c r="G3668">
        <v>-189.8783</v>
      </c>
      <c r="H3668">
        <v>0.93788050000000001</v>
      </c>
      <c r="I3668">
        <v>184.1559</v>
      </c>
      <c r="J3668">
        <v>-189.8356</v>
      </c>
      <c r="K3668">
        <v>1.10586299999999</v>
      </c>
      <c r="L3668">
        <v>184.7433</v>
      </c>
      <c r="M3668">
        <v>3.2761020000000002E-2</v>
      </c>
      <c r="N3668">
        <v>-1.3843370000000001E-2</v>
      </c>
      <c r="O3668">
        <v>-0.99936749999999996</v>
      </c>
      <c r="P3668">
        <v>5.7432530000000002E-2</v>
      </c>
      <c r="Q3668">
        <v>0.39903280000000002</v>
      </c>
      <c r="R3668">
        <v>-0.91513630000000001</v>
      </c>
      <c r="S3668">
        <v>-0.16682429999999901</v>
      </c>
      <c r="T3668">
        <v>-0.72281549999999894</v>
      </c>
      <c r="U3668">
        <v>-3.60907</v>
      </c>
      <c r="V3668">
        <v>-2.210997E-2</v>
      </c>
      <c r="W3668">
        <v>0.41200150000000002</v>
      </c>
      <c r="X3668">
        <v>0.91091489999999997</v>
      </c>
      <c r="Y3668">
        <v>7.7988719999999997E-2</v>
      </c>
      <c r="Z3668">
        <v>0.18221689999999999</v>
      </c>
      <c r="AA3668">
        <v>0.98016060000000005</v>
      </c>
      <c r="AB3668">
        <v>29</v>
      </c>
      <c r="AC3668">
        <v>-4.2699999999996401E-2</v>
      </c>
      <c r="AD3668">
        <v>-0.16798249999999901</v>
      </c>
      <c r="AE3668">
        <v>-0.58740000000000203</v>
      </c>
      <c r="AF3668">
        <v>5.72641528835173E-2</v>
      </c>
      <c r="AG3668">
        <v>-0.16798249999999901</v>
      </c>
      <c r="AH3668">
        <v>0.54162316391740795</v>
      </c>
      <c r="AI3668">
        <v>107.14119654792199</v>
      </c>
      <c r="AJ3668">
        <v>83.964714483095904</v>
      </c>
      <c r="AK3668">
        <v>0.56995873114079099</v>
      </c>
      <c r="AL3668">
        <v>65.669372479695099</v>
      </c>
      <c r="AM3668">
        <v>91.390425469012897</v>
      </c>
      <c r="AN3668">
        <v>1.00000002090883</v>
      </c>
    </row>
    <row r="3669" spans="1:40" x14ac:dyDescent="0.25">
      <c r="A3669" t="str">
        <f>"20190304164444063"</f>
        <v>20190304164444063</v>
      </c>
      <c r="B3669" t="str">
        <f>"1551689084053298"</f>
        <v>1551689084053298</v>
      </c>
      <c r="C3669" t="s">
        <v>40</v>
      </c>
      <c r="D3669">
        <v>5.5439030000000002</v>
      </c>
      <c r="E3669">
        <v>0.5578592</v>
      </c>
      <c r="F3669" t="s">
        <v>41</v>
      </c>
      <c r="G3669">
        <v>-189.881</v>
      </c>
      <c r="H3669">
        <v>0.93459000000000003</v>
      </c>
      <c r="I3669">
        <v>183.89340000000001</v>
      </c>
      <c r="J3669">
        <v>-189.83330000000001</v>
      </c>
      <c r="K3669">
        <v>1.105694</v>
      </c>
      <c r="L3669">
        <v>184.45740000000001</v>
      </c>
      <c r="M3669">
        <v>2.5882459999999999E-2</v>
      </c>
      <c r="N3669">
        <v>-1.386456E-2</v>
      </c>
      <c r="O3669">
        <v>-0.99956889999999998</v>
      </c>
      <c r="P3669">
        <v>5.1474489999999998E-2</v>
      </c>
      <c r="Q3669">
        <v>0.39769719999999997</v>
      </c>
      <c r="R3669">
        <v>-0.91607179999999999</v>
      </c>
      <c r="S3669">
        <v>-0.19305420000000001</v>
      </c>
      <c r="T3669">
        <v>-0.72699630000000004</v>
      </c>
      <c r="U3669">
        <v>-3.6072690000000001</v>
      </c>
      <c r="V3669">
        <v>-2.2292360000000001E-2</v>
      </c>
      <c r="W3669">
        <v>0.41070630000000002</v>
      </c>
      <c r="X3669">
        <v>0.9114951</v>
      </c>
      <c r="Y3669">
        <v>7.8247079999999997E-2</v>
      </c>
      <c r="Z3669">
        <v>0.18340619999999999</v>
      </c>
      <c r="AA3669">
        <v>0.97991810000000001</v>
      </c>
      <c r="AB3669">
        <v>29</v>
      </c>
      <c r="AC3669">
        <v>-4.7699999999963397E-2</v>
      </c>
      <c r="AD3669">
        <v>-0.17110400000000001</v>
      </c>
      <c r="AE3669">
        <v>-0.56399999999999295</v>
      </c>
      <c r="AF3669">
        <v>5.7068060474798302E-2</v>
      </c>
      <c r="AG3669">
        <v>-0.17110400000000001</v>
      </c>
      <c r="AH3669">
        <v>0.51547088807917796</v>
      </c>
      <c r="AI3669">
        <v>108.258835587851</v>
      </c>
      <c r="AJ3669">
        <v>83.682480381971899</v>
      </c>
      <c r="AK3669">
        <v>0.54611681790573996</v>
      </c>
      <c r="AL3669">
        <v>65.750787928790402</v>
      </c>
      <c r="AM3669">
        <v>91.400998836610597</v>
      </c>
      <c r="AN3669">
        <v>0.99999996574903405</v>
      </c>
    </row>
    <row r="3670" spans="1:40" x14ac:dyDescent="0.25">
      <c r="A3670" t="str">
        <f>"20190304164444075"</f>
        <v>20190304164444075</v>
      </c>
      <c r="B3670" t="str">
        <f>"1551689084064035"</f>
        <v>1551689084064035</v>
      </c>
      <c r="C3670" t="s">
        <v>40</v>
      </c>
      <c r="D3670">
        <v>5.6659759999999997</v>
      </c>
      <c r="E3670">
        <v>0.55785390000000001</v>
      </c>
      <c r="F3670" t="s">
        <v>41</v>
      </c>
      <c r="G3670">
        <v>-189.8854</v>
      </c>
      <c r="H3670">
        <v>0.93739320000000004</v>
      </c>
      <c r="I3670">
        <v>183.62809999999999</v>
      </c>
      <c r="J3670">
        <v>-189.8329</v>
      </c>
      <c r="K3670">
        <v>1.105621</v>
      </c>
      <c r="L3670">
        <v>184.28829999999999</v>
      </c>
      <c r="M3670">
        <v>2.1765010000000001E-2</v>
      </c>
      <c r="N3670">
        <v>-1.387536E-2</v>
      </c>
      <c r="O3670">
        <v>-0.99966699999999997</v>
      </c>
      <c r="P3670">
        <v>4.6971730000000003E-2</v>
      </c>
      <c r="Q3670">
        <v>0.39778039999999998</v>
      </c>
      <c r="R3670">
        <v>-0.91627780000000003</v>
      </c>
      <c r="S3670">
        <v>-0.2256775</v>
      </c>
      <c r="T3670">
        <v>-0.73127749999999903</v>
      </c>
      <c r="U3670">
        <v>-3.6050260000000001</v>
      </c>
      <c r="V3670">
        <v>-2.1487340000000001E-2</v>
      </c>
      <c r="W3670">
        <v>0.41079369999999998</v>
      </c>
      <c r="X3670">
        <v>0.91147509999999998</v>
      </c>
      <c r="Y3670">
        <v>8.2988809999999996E-2</v>
      </c>
      <c r="Z3670">
        <v>0.18457299999999999</v>
      </c>
      <c r="AA3670">
        <v>0.97930879999999998</v>
      </c>
      <c r="AB3670">
        <v>29</v>
      </c>
      <c r="AC3670">
        <v>-5.2500000000008998E-2</v>
      </c>
      <c r="AD3670">
        <v>-0.16822780000000001</v>
      </c>
      <c r="AE3670">
        <v>-0.66020000000000301</v>
      </c>
      <c r="AF3670">
        <v>6.28058518264073E-2</v>
      </c>
      <c r="AG3670">
        <v>-0.16822780000000001</v>
      </c>
      <c r="AH3670">
        <v>0.61896409627278104</v>
      </c>
      <c r="AI3670">
        <v>105.13097725963399</v>
      </c>
      <c r="AJ3670">
        <v>84.206068028089902</v>
      </c>
      <c r="AK3670">
        <v>0.64448562450318503</v>
      </c>
      <c r="AL3670">
        <v>65.745296806705099</v>
      </c>
      <c r="AM3670">
        <v>91.350454779741099</v>
      </c>
      <c r="AN3670">
        <v>1.0000000138299801</v>
      </c>
    </row>
    <row r="3671" spans="1:40" x14ac:dyDescent="0.25">
      <c r="A3671" t="str">
        <f>"20190304164444088"</f>
        <v>20190304164444088</v>
      </c>
      <c r="B3671" t="str">
        <f>"1551689084083554"</f>
        <v>1551689084083554</v>
      </c>
      <c r="C3671" t="s">
        <v>40</v>
      </c>
      <c r="D3671">
        <v>5.6898780000000002</v>
      </c>
      <c r="E3671">
        <v>0.55779650000000003</v>
      </c>
      <c r="F3671" t="s">
        <v>41</v>
      </c>
      <c r="G3671">
        <v>-189.8946</v>
      </c>
      <c r="H3671">
        <v>0.91997720000000005</v>
      </c>
      <c r="I3671">
        <v>183.37299999999999</v>
      </c>
      <c r="J3671">
        <v>-189.83340000000001</v>
      </c>
      <c r="K3671">
        <v>1.1055680000000001</v>
      </c>
      <c r="L3671">
        <v>184.11429999999999</v>
      </c>
      <c r="M3671">
        <v>1.7488779999999999E-2</v>
      </c>
      <c r="N3671">
        <v>-1.38847E-2</v>
      </c>
      <c r="O3671">
        <v>-0.99975069999999999</v>
      </c>
      <c r="P3671">
        <v>4.1245259999999999E-2</v>
      </c>
      <c r="Q3671">
        <v>0.39812829999999999</v>
      </c>
      <c r="R3671">
        <v>-0.91640219999999994</v>
      </c>
      <c r="S3671">
        <v>-0.2430725</v>
      </c>
      <c r="T3671">
        <v>-0.73086759999999995</v>
      </c>
      <c r="U3671">
        <v>-3.6038670000000002</v>
      </c>
      <c r="V3671">
        <v>-1.9626049999999999E-2</v>
      </c>
      <c r="W3671">
        <v>0.41112670000000001</v>
      </c>
      <c r="X3671">
        <v>0.91136689999999998</v>
      </c>
      <c r="Y3671">
        <v>8.3453319999999998E-2</v>
      </c>
      <c r="Z3671">
        <v>0.1845107</v>
      </c>
      <c r="AA3671">
        <v>0.97928099999999996</v>
      </c>
      <c r="AB3671">
        <v>29</v>
      </c>
      <c r="AC3671">
        <v>-6.1199999999985197E-2</v>
      </c>
      <c r="AD3671">
        <v>-0.1855908</v>
      </c>
      <c r="AE3671">
        <v>-0.74129999999999496</v>
      </c>
      <c r="AF3671">
        <v>6.9810274950987794E-2</v>
      </c>
      <c r="AG3671">
        <v>-0.1855908</v>
      </c>
      <c r="AH3671">
        <v>0.69674054057420998</v>
      </c>
      <c r="AI3671">
        <v>104.844526547764</v>
      </c>
      <c r="AJ3671">
        <v>84.278315995686597</v>
      </c>
      <c r="AK3671">
        <v>0.72440651599292905</v>
      </c>
      <c r="AL3671">
        <v>65.724367629149597</v>
      </c>
      <c r="AM3671">
        <v>91.233659085409997</v>
      </c>
      <c r="AN3671">
        <v>0.99999998585355099</v>
      </c>
    </row>
    <row r="3672" spans="1:40" x14ac:dyDescent="0.25">
      <c r="A3672" t="str">
        <f>"20190304164444109"</f>
        <v>20190304164444109</v>
      </c>
      <c r="B3672" t="str">
        <f>"1551689084104050"</f>
        <v>1551689084104050</v>
      </c>
      <c r="C3672" t="s">
        <v>40</v>
      </c>
      <c r="D3672">
        <v>5.689813</v>
      </c>
      <c r="E3672">
        <v>0.55779119999999904</v>
      </c>
      <c r="F3672" t="s">
        <v>41</v>
      </c>
      <c r="G3672">
        <v>-189.88810000000001</v>
      </c>
      <c r="H3672">
        <v>0.95200839999999998</v>
      </c>
      <c r="I3672">
        <v>183.35740000000001</v>
      </c>
      <c r="J3672">
        <v>-189.8356</v>
      </c>
      <c r="K3672">
        <v>1.105518</v>
      </c>
      <c r="L3672">
        <v>183.83580000000001</v>
      </c>
      <c r="M3672">
        <v>1.0627060000000001E-2</v>
      </c>
      <c r="N3672">
        <v>-1.3896820000000001E-2</v>
      </c>
      <c r="O3672">
        <v>-0.99984709999999999</v>
      </c>
      <c r="P3672">
        <v>3.1857990000000003E-2</v>
      </c>
      <c r="Q3672">
        <v>0.39902359999999998</v>
      </c>
      <c r="R3672">
        <v>-0.91638759999999997</v>
      </c>
      <c r="S3672">
        <v>-0.2605286</v>
      </c>
      <c r="T3672">
        <v>-0.73078390000000004</v>
      </c>
      <c r="U3672">
        <v>-3.6029049999999998</v>
      </c>
      <c r="V3672">
        <v>-1.6469549999999999E-2</v>
      </c>
      <c r="W3672">
        <v>0.41198849999999998</v>
      </c>
      <c r="X3672">
        <v>0.91104019999999997</v>
      </c>
      <c r="Y3672">
        <v>8.1356670000000006E-2</v>
      </c>
      <c r="Z3672">
        <v>0.1845444</v>
      </c>
      <c r="AA3672">
        <v>0.97945110000000002</v>
      </c>
      <c r="AB3672">
        <v>29</v>
      </c>
      <c r="AC3672">
        <v>-5.2500000000008998E-2</v>
      </c>
      <c r="AD3672">
        <v>-0.153509599999999</v>
      </c>
      <c r="AE3672">
        <v>-0.478399999999993</v>
      </c>
      <c r="AF3672">
        <v>5.2264177417794599E-2</v>
      </c>
      <c r="AG3672">
        <v>-0.153509599999999</v>
      </c>
      <c r="AH3672">
        <v>0.43369143968171098</v>
      </c>
      <c r="AI3672">
        <v>109.362385292127</v>
      </c>
      <c r="AJ3672">
        <v>83.128419419339195</v>
      </c>
      <c r="AK3672">
        <v>0.46301728519193902</v>
      </c>
      <c r="AL3672">
        <v>65.670189593846303</v>
      </c>
      <c r="AM3672">
        <v>91.035665529082706</v>
      </c>
      <c r="AN3672">
        <v>1.00000000811274</v>
      </c>
    </row>
    <row r="3673" spans="1:40" x14ac:dyDescent="0.25">
      <c r="A3673" t="str">
        <f>"20190304164444133"</f>
        <v>20190304164444133</v>
      </c>
      <c r="B3673" t="str">
        <f>"1551689084123570"</f>
        <v>1551689084123570</v>
      </c>
      <c r="C3673" t="s">
        <v>40</v>
      </c>
      <c r="D3673">
        <v>5.813059</v>
      </c>
      <c r="E3673">
        <v>0.55766499999999997</v>
      </c>
      <c r="F3673" t="s">
        <v>41</v>
      </c>
      <c r="G3673">
        <v>-189.89490000000001</v>
      </c>
      <c r="H3673">
        <v>0.95502379999999998</v>
      </c>
      <c r="I3673">
        <v>183.0925</v>
      </c>
      <c r="J3673">
        <v>-189.84</v>
      </c>
      <c r="K3673">
        <v>1.1055109999999999</v>
      </c>
      <c r="L3673">
        <v>183.53739999999999</v>
      </c>
      <c r="M3673">
        <v>3.307979E-3</v>
      </c>
      <c r="N3673">
        <v>-1.3905600000000001E-2</v>
      </c>
      <c r="O3673">
        <v>-0.99989799999999995</v>
      </c>
      <c r="P3673">
        <v>2.2223400000000001E-2</v>
      </c>
      <c r="Q3673">
        <v>0.39972560000000001</v>
      </c>
      <c r="R3673">
        <v>-0.91636569999999995</v>
      </c>
      <c r="S3673">
        <v>-0.28680420000000001</v>
      </c>
      <c r="T3673">
        <v>-0.72875190000000001</v>
      </c>
      <c r="U3673">
        <v>-3.6010279999999999</v>
      </c>
      <c r="V3673">
        <v>-1.353266E-2</v>
      </c>
      <c r="W3673">
        <v>0.4126553</v>
      </c>
      <c r="X3673">
        <v>0.91078669999999995</v>
      </c>
      <c r="Y3673">
        <v>8.1211820000000004E-2</v>
      </c>
      <c r="Z3673">
        <v>0.1840714</v>
      </c>
      <c r="AA3673">
        <v>0.97955210000000004</v>
      </c>
      <c r="AB3673">
        <v>29</v>
      </c>
      <c r="AC3673">
        <v>-5.4900000000003502E-2</v>
      </c>
      <c r="AD3673">
        <v>-0.15048719999999999</v>
      </c>
      <c r="AE3673">
        <v>-0.44489999999998903</v>
      </c>
      <c r="AF3673">
        <v>5.0662110528012103E-2</v>
      </c>
      <c r="AG3673">
        <v>-0.15048719999999999</v>
      </c>
      <c r="AH3673">
        <v>0.39967401104938599</v>
      </c>
      <c r="AI3673">
        <v>110.482464175709</v>
      </c>
      <c r="AJ3673">
        <v>82.775796088303395</v>
      </c>
      <c r="AK3673">
        <v>0.43006088163805001</v>
      </c>
      <c r="AL3673">
        <v>65.628253154161499</v>
      </c>
      <c r="AM3673">
        <v>90.851250081948805</v>
      </c>
      <c r="AN3673">
        <v>0.99999997120082695</v>
      </c>
    </row>
    <row r="3674" spans="1:40" x14ac:dyDescent="0.25">
      <c r="A3674" t="str">
        <f>"20190304164444152"</f>
        <v>20190304164444152</v>
      </c>
      <c r="B3674" t="str">
        <f>"1551689084144066"</f>
        <v>1551689084144066</v>
      </c>
      <c r="C3674" t="s">
        <v>40</v>
      </c>
      <c r="D3674">
        <v>5.5957569999999999</v>
      </c>
      <c r="E3674">
        <v>0.55764499999999995</v>
      </c>
      <c r="F3674" t="s">
        <v>41</v>
      </c>
      <c r="G3674">
        <v>-189.90309999999999</v>
      </c>
      <c r="H3674">
        <v>0.9615686</v>
      </c>
      <c r="I3674">
        <v>182.8263</v>
      </c>
      <c r="J3674">
        <v>-189.8459</v>
      </c>
      <c r="K3674">
        <v>1.105561</v>
      </c>
      <c r="L3674">
        <v>183.2705</v>
      </c>
      <c r="M3674">
        <v>-3.1534549999999999E-3</v>
      </c>
      <c r="N3674">
        <v>-1.3909029999999999E-2</v>
      </c>
      <c r="O3674">
        <v>-0.99989830000000002</v>
      </c>
      <c r="P3674">
        <v>1.477234E-2</v>
      </c>
      <c r="Q3674">
        <v>0.40032259999999997</v>
      </c>
      <c r="R3674">
        <v>-0.91625529999999999</v>
      </c>
      <c r="S3674">
        <v>-0.31866460000000002</v>
      </c>
      <c r="T3674">
        <v>-0.72840190000000005</v>
      </c>
      <c r="U3674">
        <v>-3.5992579999999998</v>
      </c>
      <c r="V3674">
        <v>-1.2038699999999999E-2</v>
      </c>
      <c r="W3674">
        <v>0.41322940000000002</v>
      </c>
      <c r="X3674">
        <v>0.91054740000000001</v>
      </c>
      <c r="Y3674">
        <v>8.3417930000000001E-2</v>
      </c>
      <c r="Z3674">
        <v>0.1839857</v>
      </c>
      <c r="AA3674">
        <v>0.9793828</v>
      </c>
      <c r="AB3674">
        <v>29</v>
      </c>
      <c r="AC3674">
        <v>-5.7199999999994498E-2</v>
      </c>
      <c r="AD3674">
        <v>-0.14399239999999999</v>
      </c>
      <c r="AE3674">
        <v>-0.44419999999999499</v>
      </c>
      <c r="AF3674">
        <v>5.0571425975064997E-2</v>
      </c>
      <c r="AG3674">
        <v>-0.14399239999999999</v>
      </c>
      <c r="AH3674">
        <v>0.40274759257272102</v>
      </c>
      <c r="AI3674">
        <v>109.53160838314901</v>
      </c>
      <c r="AJ3674">
        <v>82.8430523329625</v>
      </c>
      <c r="AK3674">
        <v>0.43069351481771101</v>
      </c>
      <c r="AL3674">
        <v>65.592137695194793</v>
      </c>
      <c r="AM3674">
        <v>90.757485566883105</v>
      </c>
      <c r="AN3674">
        <v>1.0000000174843999</v>
      </c>
    </row>
    <row r="3675" spans="1:40" x14ac:dyDescent="0.25">
      <c r="A3675" t="str">
        <f>"20190304164444176"</f>
        <v>20190304164444176</v>
      </c>
      <c r="B3675" t="str">
        <f>"1551689084163587"</f>
        <v>1551689084163587</v>
      </c>
      <c r="C3675" t="s">
        <v>40</v>
      </c>
      <c r="D3675">
        <v>5.5909199999999997</v>
      </c>
      <c r="E3675">
        <v>0.55765229999999999</v>
      </c>
      <c r="F3675" t="s">
        <v>41</v>
      </c>
      <c r="G3675">
        <v>-189.91480000000001</v>
      </c>
      <c r="H3675">
        <v>0.96281559999999999</v>
      </c>
      <c r="I3675">
        <v>182.56299999999999</v>
      </c>
      <c r="J3675">
        <v>-189.85409999999999</v>
      </c>
      <c r="K3675">
        <v>1.1056509999999999</v>
      </c>
      <c r="L3675">
        <v>182.9796</v>
      </c>
      <c r="M3675">
        <v>-1.0052210000000001E-2</v>
      </c>
      <c r="N3675">
        <v>-1.390865E-2</v>
      </c>
      <c r="O3675">
        <v>-0.99985279999999999</v>
      </c>
      <c r="P3675">
        <v>6.6931909999999898E-3</v>
      </c>
      <c r="Q3675">
        <v>0.40027750000000001</v>
      </c>
      <c r="R3675">
        <v>-0.91636969999999995</v>
      </c>
      <c r="S3675">
        <v>-0.34983829999999999</v>
      </c>
      <c r="T3675">
        <v>-0.72550459999999894</v>
      </c>
      <c r="U3675">
        <v>-3.5968019999999998</v>
      </c>
      <c r="V3675">
        <v>-1.0371780000000001E-2</v>
      </c>
      <c r="W3675">
        <v>0.41315859999999899</v>
      </c>
      <c r="X3675">
        <v>0.91059999999999997</v>
      </c>
      <c r="Y3675">
        <v>8.502883E-2</v>
      </c>
      <c r="Z3675">
        <v>0.18326020000000001</v>
      </c>
      <c r="AA3675">
        <v>0.97938029999999998</v>
      </c>
      <c r="AB3675">
        <v>29</v>
      </c>
      <c r="AC3675">
        <v>-6.0700000000025497E-2</v>
      </c>
      <c r="AD3675">
        <v>-0.1428354</v>
      </c>
      <c r="AE3675">
        <v>-0.41660000000001601</v>
      </c>
      <c r="AF3675">
        <v>5.0675556739088801E-2</v>
      </c>
      <c r="AG3675">
        <v>-0.1428354</v>
      </c>
      <c r="AH3675">
        <v>0.37412407160220401</v>
      </c>
      <c r="AI3675">
        <v>110.723200570692</v>
      </c>
      <c r="AJ3675">
        <v>82.286164267185995</v>
      </c>
      <c r="AK3675">
        <v>0.40365676570099501</v>
      </c>
      <c r="AL3675">
        <v>65.596591344035303</v>
      </c>
      <c r="AM3675">
        <v>90.652573603826994</v>
      </c>
      <c r="AN3675">
        <v>0.99999998128716305</v>
      </c>
    </row>
    <row r="3676" spans="1:40" x14ac:dyDescent="0.25">
      <c r="A3676" t="str">
        <f>"20190304164444188"</f>
        <v>20190304164444188</v>
      </c>
      <c r="B3676" t="str">
        <f>"1551689084184082"</f>
        <v>1551689084184082</v>
      </c>
      <c r="C3676" t="s">
        <v>40</v>
      </c>
      <c r="D3676">
        <v>5.5931220000000001</v>
      </c>
      <c r="E3676">
        <v>0.55763640000000003</v>
      </c>
      <c r="F3676" t="s">
        <v>41</v>
      </c>
      <c r="G3676">
        <v>-189.95169999999999</v>
      </c>
      <c r="H3676">
        <v>0.92002220000000001</v>
      </c>
      <c r="I3676">
        <v>182.06</v>
      </c>
      <c r="J3676">
        <v>-189.86019999999999</v>
      </c>
      <c r="K3676">
        <v>1.105723</v>
      </c>
      <c r="L3676">
        <v>182.80109999999999</v>
      </c>
      <c r="M3676">
        <v>-1.4188249999999999E-2</v>
      </c>
      <c r="N3676">
        <v>-1.3906450000000001E-2</v>
      </c>
      <c r="O3676">
        <v>-0.99980279999999999</v>
      </c>
      <c r="P3676">
        <v>1.8576179999999999E-3</v>
      </c>
      <c r="Q3676">
        <v>0.40016600000000002</v>
      </c>
      <c r="R3676">
        <v>-0.91644110000000001</v>
      </c>
      <c r="S3676">
        <v>-0.38055420000000001</v>
      </c>
      <c r="T3676">
        <v>-0.72494950000000002</v>
      </c>
      <c r="U3676">
        <v>-3.593216</v>
      </c>
      <c r="V3676">
        <v>-9.4027889999999999E-3</v>
      </c>
      <c r="W3676">
        <v>0.41303060000000003</v>
      </c>
      <c r="X3676">
        <v>0.91066860000000005</v>
      </c>
      <c r="Y3676">
        <v>8.9282810000000004E-2</v>
      </c>
      <c r="Z3676">
        <v>0.18317639999999999</v>
      </c>
      <c r="AA3676">
        <v>0.97901740000000004</v>
      </c>
      <c r="AB3676">
        <v>29</v>
      </c>
      <c r="AC3676">
        <v>-9.1499999999996307E-2</v>
      </c>
      <c r="AD3676">
        <v>-0.185700799999999</v>
      </c>
      <c r="AE3676">
        <v>-0.74109999999998799</v>
      </c>
      <c r="AF3676">
        <v>7.6258654578369306E-2</v>
      </c>
      <c r="AG3676">
        <v>-0.185700799999999</v>
      </c>
      <c r="AH3676">
        <v>0.69908869203598401</v>
      </c>
      <c r="AI3676">
        <v>104.792225977238</v>
      </c>
      <c r="AJ3676">
        <v>83.774621778154696</v>
      </c>
      <c r="AK3676">
        <v>0.72734116400168503</v>
      </c>
      <c r="AL3676">
        <v>65.604644771626397</v>
      </c>
      <c r="AM3676">
        <v>90.591566440065407</v>
      </c>
      <c r="AN3676">
        <v>0.99999999400164896</v>
      </c>
    </row>
    <row r="3677" spans="1:40" x14ac:dyDescent="0.25">
      <c r="A3677" t="str">
        <f>"20190304164444201"</f>
        <v>20190304164444201</v>
      </c>
      <c r="B3677" t="str">
        <f>"1551689084193843"</f>
        <v>1551689084193843</v>
      </c>
      <c r="C3677" t="s">
        <v>40</v>
      </c>
      <c r="D3677">
        <v>5.432607</v>
      </c>
      <c r="E3677">
        <v>0.55793389999999998</v>
      </c>
      <c r="F3677" t="s">
        <v>41</v>
      </c>
      <c r="G3677">
        <v>-189.94399999999999</v>
      </c>
      <c r="H3677">
        <v>0.9526538</v>
      </c>
      <c r="I3677">
        <v>182.0438</v>
      </c>
      <c r="J3677">
        <v>-189.8663</v>
      </c>
      <c r="K3677">
        <v>1.1057900000000001</v>
      </c>
      <c r="L3677">
        <v>182.636</v>
      </c>
      <c r="M3677">
        <v>-1.7962740000000001E-2</v>
      </c>
      <c r="N3677">
        <v>-1.3903860000000001E-2</v>
      </c>
      <c r="O3677">
        <v>-0.99974209999999997</v>
      </c>
      <c r="P3677">
        <v>-2.624319E-3</v>
      </c>
      <c r="Q3677">
        <v>0.3996653</v>
      </c>
      <c r="R3677">
        <v>-0.91665759999999996</v>
      </c>
      <c r="S3677">
        <v>-0.39624019999999999</v>
      </c>
      <c r="T3677">
        <v>-0.72541499999999903</v>
      </c>
      <c r="U3677">
        <v>-3.59111</v>
      </c>
      <c r="V3677">
        <v>-8.4613429999999996E-3</v>
      </c>
      <c r="W3677">
        <v>0.41251579999999899</v>
      </c>
      <c r="X3677">
        <v>0.91091109999999997</v>
      </c>
      <c r="Y3677">
        <v>8.9805800000000005E-2</v>
      </c>
      <c r="Z3677">
        <v>0.18334810000000001</v>
      </c>
      <c r="AA3677">
        <v>0.97893739999999996</v>
      </c>
      <c r="AB3677">
        <v>29</v>
      </c>
      <c r="AC3677">
        <v>-7.7700000000021405E-2</v>
      </c>
      <c r="AD3677">
        <v>-0.1531362</v>
      </c>
      <c r="AE3677">
        <v>-0.59219999999999096</v>
      </c>
      <c r="AF3677">
        <v>6.2913208960850703E-2</v>
      </c>
      <c r="AG3677">
        <v>-0.1531362</v>
      </c>
      <c r="AH3677">
        <v>0.55689216386915996</v>
      </c>
      <c r="AI3677">
        <v>105.282748288528</v>
      </c>
      <c r="AJ3677">
        <v>83.554510334528103</v>
      </c>
      <c r="AK3677">
        <v>0.58097990480830497</v>
      </c>
      <c r="AL3677">
        <v>65.637027150224</v>
      </c>
      <c r="AM3677">
        <v>90.532198257633596</v>
      </c>
      <c r="AN3677">
        <v>0.99999995583910495</v>
      </c>
    </row>
    <row r="3678" spans="1:40" x14ac:dyDescent="0.25">
      <c r="A3678" t="str">
        <f>"20190304164444214"</f>
        <v>20190304164444214</v>
      </c>
      <c r="B3678" t="str">
        <f>"1551689084203604"</f>
        <v>1551689084203604</v>
      </c>
      <c r="C3678" t="s">
        <v>40</v>
      </c>
      <c r="D3678">
        <v>5.5742459999999996</v>
      </c>
      <c r="E3678">
        <v>0.55794060000000001</v>
      </c>
      <c r="F3678" t="s">
        <v>41</v>
      </c>
      <c r="G3678">
        <v>-189.9639</v>
      </c>
      <c r="H3678">
        <v>0.9356565</v>
      </c>
      <c r="I3678">
        <v>181.79060000000001</v>
      </c>
      <c r="J3678">
        <v>-189.87309999999999</v>
      </c>
      <c r="K3678">
        <v>1.105861</v>
      </c>
      <c r="L3678">
        <v>182.46510000000001</v>
      </c>
      <c r="M3678">
        <v>-2.182957E-2</v>
      </c>
      <c r="N3678">
        <v>-1.3900910000000001E-2</v>
      </c>
      <c r="O3678">
        <v>-0.99966529999999998</v>
      </c>
      <c r="P3678">
        <v>-6.9200959999999997E-3</v>
      </c>
      <c r="Q3678">
        <v>0.3994607</v>
      </c>
      <c r="R3678">
        <v>-0.91672450000000005</v>
      </c>
      <c r="S3678">
        <v>-0.41363529999999998</v>
      </c>
      <c r="T3678">
        <v>-0.72165230000000002</v>
      </c>
      <c r="U3678">
        <v>-3.5862430000000001</v>
      </c>
      <c r="V3678">
        <v>-7.7897959999999999E-3</v>
      </c>
      <c r="W3678">
        <v>0.41229909999999997</v>
      </c>
      <c r="X3678">
        <v>0.91101520000000002</v>
      </c>
      <c r="Y3678">
        <v>9.0803709999999996E-2</v>
      </c>
      <c r="Z3678">
        <v>0.18254229999999999</v>
      </c>
      <c r="AA3678">
        <v>0.97899590000000003</v>
      </c>
      <c r="AB3678">
        <v>29</v>
      </c>
      <c r="AC3678">
        <v>-9.0800000000001505E-2</v>
      </c>
      <c r="AD3678">
        <v>-0.17020449999999901</v>
      </c>
      <c r="AE3678">
        <v>-0.67449999999999399</v>
      </c>
      <c r="AF3678">
        <v>7.1576301919792196E-2</v>
      </c>
      <c r="AG3678">
        <v>-0.17020449999999901</v>
      </c>
      <c r="AH3678">
        <v>0.63651220898795102</v>
      </c>
      <c r="AI3678">
        <v>104.881139727308</v>
      </c>
      <c r="AJ3678">
        <v>83.5839974672637</v>
      </c>
      <c r="AK3678">
        <v>0.662752239534114</v>
      </c>
      <c r="AL3678">
        <v>65.650656284693198</v>
      </c>
      <c r="AM3678">
        <v>90.489905719534306</v>
      </c>
      <c r="AN3678">
        <v>0.99999996170678496</v>
      </c>
    </row>
    <row r="3679" spans="1:40" x14ac:dyDescent="0.25">
      <c r="A3679" t="str">
        <f>"20190304164444227"</f>
        <v>20190304164444227</v>
      </c>
      <c r="B3679" t="str">
        <f>"1551689084224099"</f>
        <v>1551689084224099</v>
      </c>
      <c r="C3679" t="s">
        <v>40</v>
      </c>
      <c r="D3679">
        <v>5.6164649999999998</v>
      </c>
      <c r="E3679">
        <v>0.55789419999999901</v>
      </c>
      <c r="F3679" t="s">
        <v>41</v>
      </c>
      <c r="G3679">
        <v>-189.98410000000001</v>
      </c>
      <c r="H3679">
        <v>0.91897740000000006</v>
      </c>
      <c r="I3679">
        <v>181.5378</v>
      </c>
      <c r="J3679">
        <v>-189.8809</v>
      </c>
      <c r="K3679">
        <v>1.1059380000000001</v>
      </c>
      <c r="L3679">
        <v>182.29140000000001</v>
      </c>
      <c r="M3679">
        <v>-2.5650409999999998E-2</v>
      </c>
      <c r="N3679">
        <v>-1.3897069999999999E-2</v>
      </c>
      <c r="O3679">
        <v>-0.99957439999999997</v>
      </c>
      <c r="P3679">
        <v>-1.078727E-2</v>
      </c>
      <c r="Q3679">
        <v>0.39931889999999998</v>
      </c>
      <c r="R3679">
        <v>-0.91674889999999998</v>
      </c>
      <c r="S3679">
        <v>-0.42845149999999999</v>
      </c>
      <c r="T3679">
        <v>-0.72209909999999999</v>
      </c>
      <c r="U3679">
        <v>-3.583939</v>
      </c>
      <c r="V3679">
        <v>-7.5132080000000004E-3</v>
      </c>
      <c r="W3679">
        <v>0.41214879999999998</v>
      </c>
      <c r="X3679">
        <v>0.91108560000000005</v>
      </c>
      <c r="Y3679">
        <v>9.1057360000000004E-2</v>
      </c>
      <c r="Z3679">
        <v>0.18271380000000001</v>
      </c>
      <c r="AA3679">
        <v>0.97894040000000004</v>
      </c>
      <c r="AB3679">
        <v>29</v>
      </c>
      <c r="AC3679">
        <v>-0.103200000000015</v>
      </c>
      <c r="AD3679">
        <v>-0.18696059999999901</v>
      </c>
      <c r="AE3679">
        <v>-0.75360000000000504</v>
      </c>
      <c r="AF3679">
        <v>7.9057701038074094E-2</v>
      </c>
      <c r="AG3679">
        <v>-0.18696059999999901</v>
      </c>
      <c r="AH3679">
        <v>0.71292741038721597</v>
      </c>
      <c r="AI3679">
        <v>104.60887210819899</v>
      </c>
      <c r="AJ3679">
        <v>83.672229073613593</v>
      </c>
      <c r="AK3679">
        <v>0.74126235472146196</v>
      </c>
      <c r="AL3679">
        <v>65.660109957336203</v>
      </c>
      <c r="AM3679">
        <v>90.472475200395195</v>
      </c>
      <c r="AN3679">
        <v>1.00000002608162</v>
      </c>
    </row>
    <row r="3680" spans="1:40" x14ac:dyDescent="0.25">
      <c r="A3680" t="str">
        <f>"20190304164444242"</f>
        <v>20190304164444242</v>
      </c>
      <c r="B3680" t="str">
        <f>"1551689084233859"</f>
        <v>1551689084233859</v>
      </c>
      <c r="C3680" t="s">
        <v>40</v>
      </c>
      <c r="D3680">
        <v>5.6209100000000003</v>
      </c>
      <c r="E3680">
        <v>0.55787439999999999</v>
      </c>
      <c r="F3680" t="s">
        <v>41</v>
      </c>
      <c r="G3680">
        <v>-189.97620000000001</v>
      </c>
      <c r="H3680">
        <v>0.95069999999999999</v>
      </c>
      <c r="I3680">
        <v>181.52189999999999</v>
      </c>
      <c r="J3680">
        <v>-189.8903</v>
      </c>
      <c r="K3680">
        <v>1.1060299999999901</v>
      </c>
      <c r="L3680">
        <v>182.09520000000001</v>
      </c>
      <c r="M3680">
        <v>-2.9887279999999999E-2</v>
      </c>
      <c r="N3680">
        <v>-1.38919E-2</v>
      </c>
      <c r="O3680">
        <v>-0.99945689999999998</v>
      </c>
      <c r="P3680">
        <v>-1.4731940000000001E-2</v>
      </c>
      <c r="Q3680">
        <v>0.3984586</v>
      </c>
      <c r="R3680">
        <v>-0.91706849999999995</v>
      </c>
      <c r="S3680">
        <v>-0.44287109999999902</v>
      </c>
      <c r="T3680">
        <v>-0.72238159999999996</v>
      </c>
      <c r="U3680">
        <v>-3.5818789999999998</v>
      </c>
      <c r="V3680">
        <v>-7.5755319999999899E-3</v>
      </c>
      <c r="W3680">
        <v>0.41128619999999999</v>
      </c>
      <c r="X3680">
        <v>0.91147480000000003</v>
      </c>
      <c r="Y3680">
        <v>9.0784329999999996E-2</v>
      </c>
      <c r="Z3680">
        <v>0.18282789999999999</v>
      </c>
      <c r="AA3680">
        <v>0.97894440000000005</v>
      </c>
      <c r="AB3680">
        <v>29</v>
      </c>
      <c r="AC3680">
        <v>-8.5900000000009399E-2</v>
      </c>
      <c r="AD3680">
        <v>-0.155329999999999</v>
      </c>
      <c r="AE3680">
        <v>-0.57330000000001702</v>
      </c>
      <c r="AF3680">
        <v>6.4121852100253895E-2</v>
      </c>
      <c r="AG3680">
        <v>-0.155329999999999</v>
      </c>
      <c r="AH3680">
        <v>0.53705278143616897</v>
      </c>
      <c r="AI3680">
        <v>106.023375385713</v>
      </c>
      <c r="AJ3680">
        <v>83.191355117427605</v>
      </c>
      <c r="AK3680">
        <v>0.56272969609315204</v>
      </c>
      <c r="AL3680">
        <v>65.714342975196203</v>
      </c>
      <c r="AM3680">
        <v>90.476190913124299</v>
      </c>
      <c r="AN3680">
        <v>1.00000001901528</v>
      </c>
    </row>
    <row r="3681" spans="1:40" x14ac:dyDescent="0.25">
      <c r="A3681" t="str">
        <f>"20190304164444255"</f>
        <v>20190304164444255</v>
      </c>
      <c r="B3681" t="str">
        <f>"1551689084243619"</f>
        <v>1551689084243619</v>
      </c>
      <c r="C3681" t="s">
        <v>40</v>
      </c>
      <c r="D3681">
        <v>5.7029480000000001</v>
      </c>
      <c r="E3681">
        <v>0.55786259999999999</v>
      </c>
      <c r="F3681" t="s">
        <v>41</v>
      </c>
      <c r="G3681">
        <v>-189.99700000000001</v>
      </c>
      <c r="H3681">
        <v>0.93826330000000002</v>
      </c>
      <c r="I3681">
        <v>181.26730000000001</v>
      </c>
      <c r="J3681">
        <v>-189.89879999999999</v>
      </c>
      <c r="K3681">
        <v>1.106114</v>
      </c>
      <c r="L3681">
        <v>181.92859999999999</v>
      </c>
      <c r="M3681">
        <v>-3.3423889999999998E-2</v>
      </c>
      <c r="N3681">
        <v>-1.3886900000000001E-2</v>
      </c>
      <c r="O3681">
        <v>-0.99934469999999997</v>
      </c>
      <c r="P3681">
        <v>-1.8072810000000002E-2</v>
      </c>
      <c r="Q3681">
        <v>0.39808650000000001</v>
      </c>
      <c r="R3681">
        <v>-0.91716989999999998</v>
      </c>
      <c r="S3681">
        <v>-0.46081539999999999</v>
      </c>
      <c r="T3681">
        <v>-0.72504190000000002</v>
      </c>
      <c r="U3681">
        <v>-3.5789339999999998</v>
      </c>
      <c r="V3681">
        <v>-7.5782499999999999E-3</v>
      </c>
      <c r="W3681">
        <v>0.41090929999999998</v>
      </c>
      <c r="X3681">
        <v>0.91164480000000003</v>
      </c>
      <c r="Y3681">
        <v>9.2169520000000005E-2</v>
      </c>
      <c r="Z3681">
        <v>0.18358469999999999</v>
      </c>
      <c r="AA3681">
        <v>0.97867329999999997</v>
      </c>
      <c r="AB3681">
        <v>29</v>
      </c>
      <c r="AC3681">
        <v>-9.8200000000019799E-2</v>
      </c>
      <c r="AD3681">
        <v>-0.16785069999999999</v>
      </c>
      <c r="AE3681">
        <v>-0.66129999999998201</v>
      </c>
      <c r="AF3681">
        <v>7.15308731912358E-2</v>
      </c>
      <c r="AG3681">
        <v>-0.16785069999999999</v>
      </c>
      <c r="AH3681">
        <v>0.62482743692765097</v>
      </c>
      <c r="AI3681">
        <v>104.94347285614801</v>
      </c>
      <c r="AJ3681">
        <v>83.469153396712898</v>
      </c>
      <c r="AK3681">
        <v>0.65092230661390704</v>
      </c>
      <c r="AL3681">
        <v>65.738033188676596</v>
      </c>
      <c r="AM3681">
        <v>90.476272930203393</v>
      </c>
      <c r="AN3681">
        <v>1.0000000620332901</v>
      </c>
    </row>
    <row r="3682" spans="1:40" x14ac:dyDescent="0.25">
      <c r="A3682" t="str">
        <f>"20190304164444268"</f>
        <v>20190304164444268</v>
      </c>
      <c r="B3682" t="str">
        <f>"1551689084264115"</f>
        <v>1551689084264115</v>
      </c>
      <c r="C3682" t="s">
        <v>40</v>
      </c>
      <c r="D3682">
        <v>5.5921110000000001</v>
      </c>
      <c r="E3682">
        <v>0.55772659999999996</v>
      </c>
      <c r="F3682" t="s">
        <v>41</v>
      </c>
      <c r="G3682">
        <v>-190.0197</v>
      </c>
      <c r="H3682">
        <v>0.9205738</v>
      </c>
      <c r="I3682">
        <v>181.01570000000001</v>
      </c>
      <c r="J3682">
        <v>-189.90809999999999</v>
      </c>
      <c r="K3682">
        <v>1.1062110000000001</v>
      </c>
      <c r="L3682">
        <v>181.75839999999999</v>
      </c>
      <c r="M3682">
        <v>-3.6914679999999998E-2</v>
      </c>
      <c r="N3682">
        <v>-1.388005E-2</v>
      </c>
      <c r="O3682">
        <v>-0.99922200000000005</v>
      </c>
      <c r="P3682">
        <v>-2.206725E-2</v>
      </c>
      <c r="Q3682">
        <v>0.3977638</v>
      </c>
      <c r="R3682">
        <v>-0.91722239999999999</v>
      </c>
      <c r="S3682">
        <v>-0.47344969999999997</v>
      </c>
      <c r="T3682">
        <v>-0.72689029999999999</v>
      </c>
      <c r="U3682">
        <v>-3.5771030000000001</v>
      </c>
      <c r="V3682">
        <v>-6.8990830000000003E-3</v>
      </c>
      <c r="W3682">
        <v>0.41057109999999902</v>
      </c>
      <c r="X3682">
        <v>0.91180249999999996</v>
      </c>
      <c r="Y3682">
        <v>9.2140979999999997E-2</v>
      </c>
      <c r="Z3682">
        <v>0.1840975</v>
      </c>
      <c r="AA3682">
        <v>0.97857959999999999</v>
      </c>
      <c r="AB3682">
        <v>29</v>
      </c>
      <c r="AC3682">
        <v>-0.111600000000009</v>
      </c>
      <c r="AD3682">
        <v>-0.185637199999999</v>
      </c>
      <c r="AE3682">
        <v>-0.74269999999998404</v>
      </c>
      <c r="AF3682">
        <v>7.9262213533877995E-2</v>
      </c>
      <c r="AG3682">
        <v>-0.185637199999999</v>
      </c>
      <c r="AH3682">
        <v>0.703342961255917</v>
      </c>
      <c r="AI3682">
        <v>104.696262093904</v>
      </c>
      <c r="AJ3682">
        <v>83.570262637550002</v>
      </c>
      <c r="AK3682">
        <v>0.73173423431350504</v>
      </c>
      <c r="AL3682">
        <v>65.759284857306497</v>
      </c>
      <c r="AM3682">
        <v>90.433515805398201</v>
      </c>
      <c r="AN3682">
        <v>1.0000000122538499</v>
      </c>
    </row>
    <row r="3683" spans="1:40" x14ac:dyDescent="0.25">
      <c r="A3683" t="str">
        <f>"20190304164444299"</f>
        <v>20190304164444299</v>
      </c>
      <c r="B3683" t="str">
        <f>"1551689084293395"</f>
        <v>1551689084293395</v>
      </c>
      <c r="C3683" t="s">
        <v>40</v>
      </c>
      <c r="D3683">
        <v>5.6038629999999996</v>
      </c>
      <c r="E3683">
        <v>0.55766930000000003</v>
      </c>
      <c r="F3683" t="s">
        <v>41</v>
      </c>
      <c r="G3683">
        <v>-190.011</v>
      </c>
      <c r="H3683">
        <v>0.95119039999999999</v>
      </c>
      <c r="I3683">
        <v>181.00030000000001</v>
      </c>
      <c r="J3683">
        <v>-189.93190000000001</v>
      </c>
      <c r="K3683">
        <v>1.1064670000000001</v>
      </c>
      <c r="L3683">
        <v>181.35919999999999</v>
      </c>
      <c r="M3683">
        <v>-4.478741E-2</v>
      </c>
      <c r="N3683">
        <v>-1.3861180000000001E-2</v>
      </c>
      <c r="O3683">
        <v>-0.99890040000000002</v>
      </c>
      <c r="P3683">
        <v>-2.9699650000000001E-2</v>
      </c>
      <c r="Q3683">
        <v>0.39651209999999998</v>
      </c>
      <c r="R3683">
        <v>-0.91754919999999995</v>
      </c>
      <c r="S3683">
        <v>-0.4845276</v>
      </c>
      <c r="T3683">
        <v>-0.73105909999999996</v>
      </c>
      <c r="U3683">
        <v>-3.5761259999999999</v>
      </c>
      <c r="V3683">
        <v>-6.8011629999999998E-3</v>
      </c>
      <c r="W3683">
        <v>0.40930149999999998</v>
      </c>
      <c r="X3683">
        <v>0.91237380000000001</v>
      </c>
      <c r="Y3683">
        <v>8.7286489999999994E-2</v>
      </c>
      <c r="Z3683">
        <v>0.18517739999999999</v>
      </c>
      <c r="AA3683">
        <v>0.97882089999999999</v>
      </c>
      <c r="AB3683">
        <v>29</v>
      </c>
      <c r="AC3683">
        <v>-7.9099999999982601E-2</v>
      </c>
      <c r="AD3683">
        <v>-0.15527659999999999</v>
      </c>
      <c r="AE3683">
        <v>-0.35889999999997702</v>
      </c>
      <c r="AF3683">
        <v>5.3410485792261798E-2</v>
      </c>
      <c r="AG3683">
        <v>-0.15527659999999999</v>
      </c>
      <c r="AH3683">
        <v>0.30723743334452103</v>
      </c>
      <c r="AI3683">
        <v>116.470009316101</v>
      </c>
      <c r="AJ3683">
        <v>80.138195521013103</v>
      </c>
      <c r="AK3683">
        <v>0.34836524359966597</v>
      </c>
      <c r="AL3683">
        <v>65.839035356895295</v>
      </c>
      <c r="AM3683">
        <v>90.427095471300504</v>
      </c>
      <c r="AN3683">
        <v>0.99999996232342003</v>
      </c>
    </row>
    <row r="3684" spans="1:40" x14ac:dyDescent="0.25">
      <c r="A3684" t="str">
        <f>"20190304164444311"</f>
        <v>20190304164444311</v>
      </c>
      <c r="B3684" t="str">
        <f>"1551689084304130"</f>
        <v>1551689084304130</v>
      </c>
      <c r="C3684" t="s">
        <v>40</v>
      </c>
      <c r="D3684">
        <v>5.604349</v>
      </c>
      <c r="E3684">
        <v>0.55761810000000001</v>
      </c>
      <c r="F3684" t="s">
        <v>41</v>
      </c>
      <c r="G3684">
        <v>-190.05590000000001</v>
      </c>
      <c r="H3684">
        <v>0.92750699999999997</v>
      </c>
      <c r="I3684">
        <v>180.4924</v>
      </c>
      <c r="J3684">
        <v>-189.94300000000001</v>
      </c>
      <c r="K3684">
        <v>1.1066009999999999</v>
      </c>
      <c r="L3684">
        <v>181.1848</v>
      </c>
      <c r="M3684">
        <v>-4.8068569999999998E-2</v>
      </c>
      <c r="N3684">
        <v>-1.385191E-2</v>
      </c>
      <c r="O3684">
        <v>-0.99874819999999997</v>
      </c>
      <c r="P3684">
        <v>-3.1262690000000003E-2</v>
      </c>
      <c r="Q3684">
        <v>0.39559270000000002</v>
      </c>
      <c r="R3684">
        <v>-0.91789430000000005</v>
      </c>
      <c r="S3684">
        <v>-0.51058959999999998</v>
      </c>
      <c r="T3684">
        <v>-0.73730479999999998</v>
      </c>
      <c r="U3684">
        <v>-3.571701</v>
      </c>
      <c r="V3684">
        <v>-8.4154750000000004E-3</v>
      </c>
      <c r="W3684">
        <v>0.40839249999999999</v>
      </c>
      <c r="X3684">
        <v>0.91276760000000001</v>
      </c>
      <c r="Y3684">
        <v>9.1128810000000005E-2</v>
      </c>
      <c r="Z3684">
        <v>0.18688660000000001</v>
      </c>
      <c r="AA3684">
        <v>0.97814570000000001</v>
      </c>
      <c r="AB3684">
        <v>29</v>
      </c>
      <c r="AC3684">
        <v>-0.112900000000024</v>
      </c>
      <c r="AD3684">
        <v>-0.179093999999999</v>
      </c>
      <c r="AE3684">
        <v>-0.69239999999999202</v>
      </c>
      <c r="AF3684">
        <v>7.4620533685816198E-2</v>
      </c>
      <c r="AG3684">
        <v>-0.179093999999999</v>
      </c>
      <c r="AH3684">
        <v>0.65438051373884998</v>
      </c>
      <c r="AI3684">
        <v>105.212195040984</v>
      </c>
      <c r="AJ3684">
        <v>83.494529418354603</v>
      </c>
      <c r="AK3684">
        <v>0.68253698921353501</v>
      </c>
      <c r="AL3684">
        <v>65.896105212127395</v>
      </c>
      <c r="AM3684">
        <v>90.528236912346401</v>
      </c>
      <c r="AN3684">
        <v>0.99999997294274201</v>
      </c>
    </row>
    <row r="3685" spans="1:40" x14ac:dyDescent="0.25">
      <c r="A3685" t="str">
        <f>"20190304164444325"</f>
        <v>20190304164444325</v>
      </c>
      <c r="B3685" t="str">
        <f>"1551689084313892"</f>
        <v>1551689084313892</v>
      </c>
      <c r="C3685" t="s">
        <v>40</v>
      </c>
      <c r="D3685">
        <v>5.6065769999999997</v>
      </c>
      <c r="E3685">
        <v>0.55756719999999904</v>
      </c>
      <c r="F3685" t="s">
        <v>41</v>
      </c>
      <c r="G3685">
        <v>-190.04689999999999</v>
      </c>
      <c r="H3685">
        <v>0.95950199999999997</v>
      </c>
      <c r="I3685">
        <v>180.47620000000001</v>
      </c>
      <c r="J3685">
        <v>-189.9545</v>
      </c>
      <c r="K3685">
        <v>1.1067359999999999</v>
      </c>
      <c r="L3685">
        <v>181.0153</v>
      </c>
      <c r="M3685">
        <v>-5.1119970000000001E-2</v>
      </c>
      <c r="N3685">
        <v>-1.3841620000000001E-2</v>
      </c>
      <c r="O3685">
        <v>-0.99859659999999995</v>
      </c>
      <c r="P3685">
        <v>-3.2509349999999999E-2</v>
      </c>
      <c r="Q3685">
        <v>0.39469559999999998</v>
      </c>
      <c r="R3685">
        <v>-0.91823670000000002</v>
      </c>
      <c r="S3685">
        <v>-0.52243039999999996</v>
      </c>
      <c r="T3685">
        <v>-0.74081280000000005</v>
      </c>
      <c r="U3685">
        <v>-3.5697939999999999</v>
      </c>
      <c r="V3685">
        <v>-1.0142109999999999E-2</v>
      </c>
      <c r="W3685">
        <v>0.40750520000000001</v>
      </c>
      <c r="X3685">
        <v>0.91314660000000003</v>
      </c>
      <c r="Y3685">
        <v>9.1310760000000005E-2</v>
      </c>
      <c r="Z3685">
        <v>0.1878281</v>
      </c>
      <c r="AA3685">
        <v>0.97794840000000005</v>
      </c>
      <c r="AB3685">
        <v>29</v>
      </c>
      <c r="AC3685">
        <v>-9.2399999999997803E-2</v>
      </c>
      <c r="AD3685">
        <v>-0.147234</v>
      </c>
      <c r="AE3685">
        <v>-0.53909999999999003</v>
      </c>
      <c r="AF3685">
        <v>6.0345095354612001E-2</v>
      </c>
      <c r="AG3685">
        <v>-0.147234</v>
      </c>
      <c r="AH3685">
        <v>0.50642311302033105</v>
      </c>
      <c r="AI3685">
        <v>106.10294456388201</v>
      </c>
      <c r="AJ3685">
        <v>83.204708081602007</v>
      </c>
      <c r="AK3685">
        <v>0.53083307234059995</v>
      </c>
      <c r="AL3685">
        <v>65.951789392332799</v>
      </c>
      <c r="AM3685">
        <v>90.636344925579905</v>
      </c>
      <c r="AN3685">
        <v>1.00000003175692</v>
      </c>
    </row>
    <row r="3686" spans="1:40" x14ac:dyDescent="0.25">
      <c r="A3686" t="str">
        <f>"20190304164444344"</f>
        <v>20190304164444344</v>
      </c>
      <c r="B3686" t="str">
        <f>"1551689084333411"</f>
        <v>1551689084333411</v>
      </c>
      <c r="C3686" t="s">
        <v>40</v>
      </c>
      <c r="D3686">
        <v>5.6054789999999999</v>
      </c>
      <c r="E3686">
        <v>0.5575175</v>
      </c>
      <c r="F3686" t="s">
        <v>41</v>
      </c>
      <c r="G3686">
        <v>-190.07249999999999</v>
      </c>
      <c r="H3686">
        <v>0.94208630000000004</v>
      </c>
      <c r="I3686">
        <v>180.22559999999999</v>
      </c>
      <c r="J3686">
        <v>-189.97130000000001</v>
      </c>
      <c r="K3686">
        <v>1.1069530000000001</v>
      </c>
      <c r="L3686">
        <v>180.77510000000001</v>
      </c>
      <c r="M3686">
        <v>-5.5265639999999998E-2</v>
      </c>
      <c r="N3686">
        <v>-1.382627E-2</v>
      </c>
      <c r="O3686">
        <v>-0.99837589999999998</v>
      </c>
      <c r="P3686">
        <v>-3.5110049999999997E-2</v>
      </c>
      <c r="Q3686">
        <v>0.39458989999999999</v>
      </c>
      <c r="R3686">
        <v>-0.91818639999999996</v>
      </c>
      <c r="S3686">
        <v>-0.53341669999999997</v>
      </c>
      <c r="T3686">
        <v>-0.74404130000000002</v>
      </c>
      <c r="U3686">
        <v>-3.5680689999999999</v>
      </c>
      <c r="V3686">
        <v>-1.157179E-2</v>
      </c>
      <c r="W3686">
        <v>0.40739239999999999</v>
      </c>
      <c r="X3686">
        <v>0.91317990000000004</v>
      </c>
      <c r="Y3686">
        <v>9.0167919999999999E-2</v>
      </c>
      <c r="Z3686">
        <v>0.1886862</v>
      </c>
      <c r="AA3686">
        <v>0.97788920000000001</v>
      </c>
      <c r="AB3686">
        <v>29</v>
      </c>
      <c r="AC3686">
        <v>-0.101199999999977</v>
      </c>
      <c r="AD3686">
        <v>-0.16486669999999901</v>
      </c>
      <c r="AE3686">
        <v>-0.54950000000002297</v>
      </c>
      <c r="AF3686">
        <v>6.5013516971836605E-2</v>
      </c>
      <c r="AG3686">
        <v>-0.16486669999999901</v>
      </c>
      <c r="AH3686">
        <v>0.50986219953597001</v>
      </c>
      <c r="AI3686">
        <v>107.78407311087599</v>
      </c>
      <c r="AJ3686">
        <v>82.733318520908099</v>
      </c>
      <c r="AK3686">
        <v>0.53978444649099899</v>
      </c>
      <c r="AL3686">
        <v>65.958865680898199</v>
      </c>
      <c r="AM3686">
        <v>90.726011646896396</v>
      </c>
      <c r="AN3686">
        <v>1.0000000018327799</v>
      </c>
    </row>
    <row r="3687" spans="1:40" x14ac:dyDescent="0.25">
      <c r="A3687" t="str">
        <f>"20190304164444365"</f>
        <v>20190304164444365</v>
      </c>
      <c r="B3687" t="str">
        <f>"1551689084353907"</f>
        <v>1551689084353907</v>
      </c>
      <c r="C3687" t="s">
        <v>40</v>
      </c>
      <c r="D3687">
        <v>5.5998239999999999</v>
      </c>
      <c r="E3687">
        <v>0.55750699999999997</v>
      </c>
      <c r="F3687" t="s">
        <v>41</v>
      </c>
      <c r="G3687">
        <v>-190.09559999999999</v>
      </c>
      <c r="H3687">
        <v>0.93856110000000004</v>
      </c>
      <c r="I3687">
        <v>179.96850000000001</v>
      </c>
      <c r="J3687">
        <v>-189.99180000000001</v>
      </c>
      <c r="K3687">
        <v>1.1072360000000001</v>
      </c>
      <c r="L3687">
        <v>180.4948</v>
      </c>
      <c r="M3687">
        <v>-5.9777820000000002E-2</v>
      </c>
      <c r="N3687">
        <v>-1.3806819999999999E-2</v>
      </c>
      <c r="O3687">
        <v>-0.99811640000000001</v>
      </c>
      <c r="P3687">
        <v>-4.1592450000000003E-2</v>
      </c>
      <c r="Q3687">
        <v>0.39624029999999999</v>
      </c>
      <c r="R3687">
        <v>-0.91720440000000003</v>
      </c>
      <c r="S3687">
        <v>-0.54922490000000002</v>
      </c>
      <c r="T3687">
        <v>-0.74442699999999995</v>
      </c>
      <c r="U3687">
        <v>-3.5662539999999998</v>
      </c>
      <c r="V3687">
        <v>-9.4555560000000004E-3</v>
      </c>
      <c r="W3687">
        <v>0.40898519999999999</v>
      </c>
      <c r="X3687">
        <v>0.91249199999999997</v>
      </c>
      <c r="Y3687">
        <v>8.9974639999999995E-2</v>
      </c>
      <c r="Z3687">
        <v>0.18876999999999999</v>
      </c>
      <c r="AA3687">
        <v>0.97789079999999995</v>
      </c>
      <c r="AB3687">
        <v>29</v>
      </c>
      <c r="AC3687">
        <v>-0.10379999999997799</v>
      </c>
      <c r="AD3687">
        <v>-0.16867489999999999</v>
      </c>
      <c r="AE3687">
        <v>-0.526299999999992</v>
      </c>
      <c r="AF3687">
        <v>6.5658657470423001E-2</v>
      </c>
      <c r="AG3687">
        <v>-0.16867489999999999</v>
      </c>
      <c r="AH3687">
        <v>0.483737414199505</v>
      </c>
      <c r="AI3687">
        <v>109.061195503627</v>
      </c>
      <c r="AJ3687">
        <v>82.270365156167898</v>
      </c>
      <c r="AK3687">
        <v>0.51649217524300595</v>
      </c>
      <c r="AL3687">
        <v>65.858896796002696</v>
      </c>
      <c r="AM3687">
        <v>90.5936973275479</v>
      </c>
      <c r="AN3687">
        <v>0.99999997571115395</v>
      </c>
    </row>
    <row r="3688" spans="1:40" x14ac:dyDescent="0.25">
      <c r="A3688" t="str">
        <f>"20190304164444378"</f>
        <v>20190304164444378</v>
      </c>
      <c r="B3688" t="str">
        <f>"1551689084373427"</f>
        <v>1551689084373427</v>
      </c>
      <c r="C3688" t="s">
        <v>40</v>
      </c>
      <c r="D3688">
        <v>5.6678629999999997</v>
      </c>
      <c r="E3688">
        <v>0.55751530000000005</v>
      </c>
      <c r="F3688" t="s">
        <v>41</v>
      </c>
      <c r="G3688">
        <v>-190.11600000000001</v>
      </c>
      <c r="H3688">
        <v>0.94365310000000002</v>
      </c>
      <c r="I3688">
        <v>179.7073</v>
      </c>
      <c r="J3688">
        <v>-190.00389999999999</v>
      </c>
      <c r="K3688">
        <v>1.1074090000000001</v>
      </c>
      <c r="L3688">
        <v>180.3349</v>
      </c>
      <c r="M3688">
        <v>-6.2200510000000001E-2</v>
      </c>
      <c r="N3688">
        <v>-1.379536E-2</v>
      </c>
      <c r="O3688">
        <v>-0.99796839999999998</v>
      </c>
      <c r="P3688">
        <v>-4.4555610000000002E-2</v>
      </c>
      <c r="Q3688">
        <v>0.39681860000000002</v>
      </c>
      <c r="R3688">
        <v>-0.91681520000000005</v>
      </c>
      <c r="S3688">
        <v>-0.56222530000000004</v>
      </c>
      <c r="T3688">
        <v>-0.74063469999999998</v>
      </c>
      <c r="U3688">
        <v>-3.5652919999999999</v>
      </c>
      <c r="V3688">
        <v>-8.8640009999999998E-3</v>
      </c>
      <c r="W3688">
        <v>0.4095395</v>
      </c>
      <c r="X3688">
        <v>0.91224930000000004</v>
      </c>
      <c r="Y3688">
        <v>9.1108179999999997E-2</v>
      </c>
      <c r="Z3688">
        <v>0.1877375</v>
      </c>
      <c r="AA3688">
        <v>0.97798459999999998</v>
      </c>
      <c r="AB3688">
        <v>29</v>
      </c>
      <c r="AC3688">
        <v>-0.11209999999999801</v>
      </c>
      <c r="AD3688">
        <v>-0.16375590000000001</v>
      </c>
      <c r="AE3688">
        <v>-0.62760000000000005</v>
      </c>
      <c r="AF3688">
        <v>6.8333729298634696E-2</v>
      </c>
      <c r="AG3688">
        <v>-0.16375590000000001</v>
      </c>
      <c r="AH3688">
        <v>0.594157487092281</v>
      </c>
      <c r="AI3688">
        <v>105.312597167818</v>
      </c>
      <c r="AJ3688">
        <v>83.439268889426003</v>
      </c>
      <c r="AK3688">
        <v>0.62008758479144099</v>
      </c>
      <c r="AL3688">
        <v>65.824089263220799</v>
      </c>
      <c r="AM3688">
        <v>90.5567051294056</v>
      </c>
      <c r="AN3688">
        <v>0.99999997896223303</v>
      </c>
    </row>
    <row r="3689" spans="1:40" x14ac:dyDescent="0.25">
      <c r="A3689" t="str">
        <f>"20190304164444390"</f>
        <v>20190304164444390</v>
      </c>
      <c r="B3689" t="str">
        <f>"1551689084384163"</f>
        <v>1551689084384163</v>
      </c>
      <c r="C3689" t="s">
        <v>40</v>
      </c>
      <c r="D3689">
        <v>5.7036100000000003</v>
      </c>
      <c r="E3689">
        <v>0.55749989999999905</v>
      </c>
      <c r="F3689" t="s">
        <v>41</v>
      </c>
      <c r="G3689">
        <v>-190.14410000000001</v>
      </c>
      <c r="H3689">
        <v>0.925589</v>
      </c>
      <c r="I3689">
        <v>179.45840000000001</v>
      </c>
      <c r="J3689">
        <v>-190.01679999999999</v>
      </c>
      <c r="K3689">
        <v>1.10759599999999</v>
      </c>
      <c r="L3689">
        <v>180.16849999999999</v>
      </c>
      <c r="M3689">
        <v>-6.4581139999999995E-2</v>
      </c>
      <c r="N3689">
        <v>-1.378306E-2</v>
      </c>
      <c r="O3689">
        <v>-0.99781739999999997</v>
      </c>
      <c r="P3689">
        <v>-4.6500380000000001E-2</v>
      </c>
      <c r="Q3689">
        <v>0.39712380000000003</v>
      </c>
      <c r="R3689">
        <v>-0.91658649999999997</v>
      </c>
      <c r="S3689">
        <v>-0.56985469999999905</v>
      </c>
      <c r="T3689">
        <v>-0.73933590000000005</v>
      </c>
      <c r="U3689">
        <v>-3.564514</v>
      </c>
      <c r="V3689">
        <v>-9.2754859999999995E-3</v>
      </c>
      <c r="W3689">
        <v>0.40982970000000002</v>
      </c>
      <c r="X3689">
        <v>0.91211489999999995</v>
      </c>
      <c r="Y3689">
        <v>9.0818869999999996E-2</v>
      </c>
      <c r="Z3689">
        <v>0.18738079999999999</v>
      </c>
      <c r="AA3689">
        <v>0.9780799</v>
      </c>
      <c r="AB3689">
        <v>29</v>
      </c>
      <c r="AC3689">
        <v>-0.12730000000001901</v>
      </c>
      <c r="AD3689">
        <v>-0.182006999999999</v>
      </c>
      <c r="AE3689">
        <v>-0.71009999999998197</v>
      </c>
      <c r="AF3689">
        <v>7.6313426486683003E-2</v>
      </c>
      <c r="AG3689">
        <v>-0.182006999999999</v>
      </c>
      <c r="AH3689">
        <v>0.67394275803548798</v>
      </c>
      <c r="AI3689">
        <v>105.021322281149</v>
      </c>
      <c r="AJ3689">
        <v>83.539671033564801</v>
      </c>
      <c r="AK3689">
        <v>0.70224577479655803</v>
      </c>
      <c r="AL3689">
        <v>65.805862836822001</v>
      </c>
      <c r="AM3689">
        <v>90.582632607388305</v>
      </c>
      <c r="AN3689">
        <v>1.0000000042223101</v>
      </c>
    </row>
    <row r="3690" spans="1:40" x14ac:dyDescent="0.25">
      <c r="A3690" t="str">
        <f>"20190304164444402"</f>
        <v>20190304164444402</v>
      </c>
      <c r="B3690" t="str">
        <f>"1551689084393923"</f>
        <v>1551689084393923</v>
      </c>
      <c r="C3690" t="s">
        <v>40</v>
      </c>
      <c r="D3690">
        <v>5.7025399999999999</v>
      </c>
      <c r="E3690">
        <v>0.55749700000000002</v>
      </c>
      <c r="F3690" t="s">
        <v>41</v>
      </c>
      <c r="G3690">
        <v>-190.13470000000001</v>
      </c>
      <c r="H3690">
        <v>0.95709489999999997</v>
      </c>
      <c r="I3690">
        <v>179.44220000000001</v>
      </c>
      <c r="J3690">
        <v>-190.02869999999999</v>
      </c>
      <c r="K3690">
        <v>1.1077699999999999</v>
      </c>
      <c r="L3690">
        <v>180.01929999999999</v>
      </c>
      <c r="M3690">
        <v>-6.6565429999999995E-2</v>
      </c>
      <c r="N3690">
        <v>-1.3771719999999999E-2</v>
      </c>
      <c r="O3690">
        <v>-0.99768699999999999</v>
      </c>
      <c r="P3690">
        <v>-4.6929470000000001E-2</v>
      </c>
      <c r="Q3690">
        <v>0.39743260000000002</v>
      </c>
      <c r="R3690">
        <v>-0.91643050000000004</v>
      </c>
      <c r="S3690">
        <v>-0.57815550000000004</v>
      </c>
      <c r="T3690">
        <v>-0.73839219999999905</v>
      </c>
      <c r="U3690">
        <v>-3.563599</v>
      </c>
      <c r="V3690">
        <v>-1.0830029999999999E-2</v>
      </c>
      <c r="W3690">
        <v>0.41013319999999998</v>
      </c>
      <c r="X3690">
        <v>0.91196129999999997</v>
      </c>
      <c r="Y3690">
        <v>9.1106240000000005E-2</v>
      </c>
      <c r="Z3690">
        <v>0.1871206</v>
      </c>
      <c r="AA3690">
        <v>0.97810299999999994</v>
      </c>
      <c r="AB3690">
        <v>29</v>
      </c>
      <c r="AC3690">
        <v>-0.10600000000002199</v>
      </c>
      <c r="AD3690">
        <v>-0.15067510000000001</v>
      </c>
      <c r="AE3690">
        <v>-0.57709999999997297</v>
      </c>
      <c r="AF3690">
        <v>6.3180002482249198E-2</v>
      </c>
      <c r="AG3690">
        <v>-0.15067510000000001</v>
      </c>
      <c r="AH3690">
        <v>0.54681744404680599</v>
      </c>
      <c r="AI3690">
        <v>105.308480184545</v>
      </c>
      <c r="AJ3690">
        <v>83.4091956590904</v>
      </c>
      <c r="AK3690">
        <v>0.570704841040926</v>
      </c>
      <c r="AL3690">
        <v>65.786796787548695</v>
      </c>
      <c r="AM3690">
        <v>90.680386156072103</v>
      </c>
      <c r="AN3690">
        <v>0.99999997199486501</v>
      </c>
    </row>
    <row r="3691" spans="1:40" x14ac:dyDescent="0.25">
      <c r="A3691" t="str">
        <f>"20190304164444415"</f>
        <v>20190304164444415</v>
      </c>
      <c r="B3691" t="str">
        <f>"1551689084403683"</f>
        <v>1551689084403683</v>
      </c>
      <c r="C3691" t="s">
        <v>40</v>
      </c>
      <c r="D3691">
        <v>5.6307519999999904</v>
      </c>
      <c r="E3691">
        <v>0.55748379999999997</v>
      </c>
      <c r="F3691" t="s">
        <v>41</v>
      </c>
      <c r="G3691">
        <v>-190.1644</v>
      </c>
      <c r="H3691">
        <v>0.93737769999999998</v>
      </c>
      <c r="I3691">
        <v>179.19460000000001</v>
      </c>
      <c r="J3691">
        <v>-190.04169999999999</v>
      </c>
      <c r="K3691">
        <v>1.1079680000000001</v>
      </c>
      <c r="L3691">
        <v>179.857</v>
      </c>
      <c r="M3691">
        <v>-6.8644469999999999E-2</v>
      </c>
      <c r="N3691">
        <v>-1.375966E-2</v>
      </c>
      <c r="O3691">
        <v>-0.99754640000000006</v>
      </c>
      <c r="P3691">
        <v>-4.7349839999999997E-2</v>
      </c>
      <c r="Q3691">
        <v>0.39775709999999997</v>
      </c>
      <c r="R3691">
        <v>-0.91626839999999998</v>
      </c>
      <c r="S3691">
        <v>-0.58650210000000003</v>
      </c>
      <c r="T3691">
        <v>-0.73606910000000003</v>
      </c>
      <c r="U3691">
        <v>-3.562729</v>
      </c>
      <c r="V3691">
        <v>-1.2499649999999999E-2</v>
      </c>
      <c r="W3691">
        <v>0.4104507</v>
      </c>
      <c r="X3691">
        <v>0.91179719999999997</v>
      </c>
      <c r="Y3691">
        <v>9.1320280000000004E-2</v>
      </c>
      <c r="Z3691">
        <v>0.1864952</v>
      </c>
      <c r="AA3691">
        <v>0.97820249999999997</v>
      </c>
      <c r="AB3691">
        <v>29</v>
      </c>
      <c r="AC3691">
        <v>-0.122700000000008</v>
      </c>
      <c r="AD3691">
        <v>-0.1705903</v>
      </c>
      <c r="AE3691">
        <v>-0.662399999999991</v>
      </c>
      <c r="AF3691">
        <v>7.2300001519246093E-2</v>
      </c>
      <c r="AG3691">
        <v>-0.1705903</v>
      </c>
      <c r="AH3691">
        <v>0.62893148911296204</v>
      </c>
      <c r="AI3691">
        <v>105.08092811335599</v>
      </c>
      <c r="AJ3691">
        <v>83.442241976482094</v>
      </c>
      <c r="AK3691">
        <v>0.65565475569969101</v>
      </c>
      <c r="AL3691">
        <v>65.766851750330304</v>
      </c>
      <c r="AM3691">
        <v>90.785407469340598</v>
      </c>
      <c r="AN3691">
        <v>1.00000007615422</v>
      </c>
    </row>
    <row r="3692" spans="1:40" x14ac:dyDescent="0.25">
      <c r="A3692" t="str">
        <f>"20190304164444431"</f>
        <v>20190304164444431</v>
      </c>
      <c r="B3692" t="str">
        <f>"1551689084424129"</f>
        <v>1551689084424129</v>
      </c>
      <c r="C3692" t="s">
        <v>40</v>
      </c>
      <c r="D3692">
        <v>5.7345860000000002</v>
      </c>
      <c r="E3692">
        <v>0.55745999999999996</v>
      </c>
      <c r="F3692" t="s">
        <v>41</v>
      </c>
      <c r="G3692">
        <v>-190.19399999999999</v>
      </c>
      <c r="H3692">
        <v>0.92023619999999995</v>
      </c>
      <c r="I3692">
        <v>178.94589999999999</v>
      </c>
      <c r="J3692">
        <v>-190.06049999999999</v>
      </c>
      <c r="K3692">
        <v>1.1082639999999999</v>
      </c>
      <c r="L3692">
        <v>179.62620000000001</v>
      </c>
      <c r="M3692">
        <v>-7.1263270000000004E-2</v>
      </c>
      <c r="N3692">
        <v>-1.374154E-2</v>
      </c>
      <c r="O3692">
        <v>-0.99736290000000005</v>
      </c>
      <c r="P3692">
        <v>-4.9268739999999998E-2</v>
      </c>
      <c r="Q3692">
        <v>0.39887990000000001</v>
      </c>
      <c r="R3692">
        <v>-0.91567880000000001</v>
      </c>
      <c r="S3692">
        <v>-0.59519960000000005</v>
      </c>
      <c r="T3692">
        <v>-0.73393090000000005</v>
      </c>
      <c r="U3692">
        <v>-3.5620120000000002</v>
      </c>
      <c r="V3692">
        <v>-1.3238990000000001E-2</v>
      </c>
      <c r="W3692">
        <v>0.41154439999999998</v>
      </c>
      <c r="X3692">
        <v>0.91129360000000004</v>
      </c>
      <c r="Y3692">
        <v>9.1081510000000004E-2</v>
      </c>
      <c r="Z3692">
        <v>0.18590599999999999</v>
      </c>
      <c r="AA3692">
        <v>0.97833689999999995</v>
      </c>
      <c r="AB3692">
        <v>29</v>
      </c>
      <c r="AC3692">
        <v>-0.13350000000002599</v>
      </c>
      <c r="AD3692">
        <v>-0.18802779999999999</v>
      </c>
      <c r="AE3692">
        <v>-0.680300000000016</v>
      </c>
      <c r="AF3692">
        <v>7.8873705419700901E-2</v>
      </c>
      <c r="AG3692">
        <v>-0.18802779999999999</v>
      </c>
      <c r="AH3692">
        <v>0.640938126786749</v>
      </c>
      <c r="AI3692">
        <v>106.233818365898</v>
      </c>
      <c r="AJ3692">
        <v>82.984465778693504</v>
      </c>
      <c r="AK3692">
        <v>0.67258991766780196</v>
      </c>
      <c r="AL3692">
        <v>65.698112576919797</v>
      </c>
      <c r="AM3692">
        <v>90.832316714019399</v>
      </c>
      <c r="AN3692">
        <v>1.0000000447142601</v>
      </c>
    </row>
    <row r="3693" spans="1:40" x14ac:dyDescent="0.25">
      <c r="A3693" t="str">
        <f>"20190304164444455"</f>
        <v>20190304164444455</v>
      </c>
      <c r="B3693" t="str">
        <f>"1551689084443648"</f>
        <v>1551689084443648</v>
      </c>
      <c r="C3693" t="s">
        <v>40</v>
      </c>
      <c r="D3693">
        <v>5.2552370000000002</v>
      </c>
      <c r="E3693">
        <v>0.55744359999999904</v>
      </c>
      <c r="F3693" t="s">
        <v>41</v>
      </c>
      <c r="G3693">
        <v>-190.18090000000001</v>
      </c>
      <c r="H3693">
        <v>0.96438670000000004</v>
      </c>
      <c r="I3693">
        <v>178.92330000000001</v>
      </c>
      <c r="J3693">
        <v>-190.0839</v>
      </c>
      <c r="K3693">
        <v>1.1086180000000001</v>
      </c>
      <c r="L3693">
        <v>179.34569999999999</v>
      </c>
      <c r="M3693">
        <v>-7.4046390000000004E-2</v>
      </c>
      <c r="N3693">
        <v>-1.371995E-2</v>
      </c>
      <c r="O3693">
        <v>-0.99716070000000001</v>
      </c>
      <c r="P3693">
        <v>-5.4766080000000002E-2</v>
      </c>
      <c r="Q3693">
        <v>0.40057330000000002</v>
      </c>
      <c r="R3693">
        <v>-0.91462670000000001</v>
      </c>
      <c r="S3693">
        <v>-0.60961909999999997</v>
      </c>
      <c r="T3693">
        <v>-0.72883589999999998</v>
      </c>
      <c r="U3693">
        <v>-3.5609440000000001</v>
      </c>
      <c r="V3693">
        <v>-1.0595729999999999E-2</v>
      </c>
      <c r="W3693">
        <v>0.41317769999999998</v>
      </c>
      <c r="X3693">
        <v>0.91058870000000003</v>
      </c>
      <c r="Y3693">
        <v>9.2245339999999995E-2</v>
      </c>
      <c r="Z3693">
        <v>0.1845223</v>
      </c>
      <c r="AA3693">
        <v>0.97848979999999997</v>
      </c>
      <c r="AB3693">
        <v>29</v>
      </c>
      <c r="AC3693">
        <v>-9.7000000000008399E-2</v>
      </c>
      <c r="AD3693">
        <v>-0.14423130000000001</v>
      </c>
      <c r="AE3693">
        <v>-0.42239999999998101</v>
      </c>
      <c r="AF3693">
        <v>5.8927216644665499E-2</v>
      </c>
      <c r="AG3693">
        <v>-0.14423130000000001</v>
      </c>
      <c r="AH3693">
        <v>0.38570563867896401</v>
      </c>
      <c r="AI3693">
        <v>110.286945658473</v>
      </c>
      <c r="AJ3693">
        <v>81.313650311963301</v>
      </c>
      <c r="AK3693">
        <v>0.41598548588854001</v>
      </c>
      <c r="AL3693">
        <v>65.595388317549705</v>
      </c>
      <c r="AM3693">
        <v>90.666671145987294</v>
      </c>
      <c r="AN3693">
        <v>0.99999993091960404</v>
      </c>
    </row>
    <row r="3694" spans="1:40" x14ac:dyDescent="0.25">
      <c r="A3694" t="str">
        <f>"20190304164444469"</f>
        <v>20190304164444469</v>
      </c>
      <c r="B3694" t="str">
        <f>"1551689084464146"</f>
        <v>1551689084464146</v>
      </c>
      <c r="C3694" t="s">
        <v>40</v>
      </c>
      <c r="D3694">
        <v>5.7215210000000001</v>
      </c>
      <c r="E3694">
        <v>0.55739269999999996</v>
      </c>
      <c r="F3694" t="s">
        <v>41</v>
      </c>
      <c r="G3694">
        <v>-190.24340000000001</v>
      </c>
      <c r="H3694">
        <v>0.92248200000000002</v>
      </c>
      <c r="I3694">
        <v>178.43119999999999</v>
      </c>
      <c r="J3694">
        <v>-190.1</v>
      </c>
      <c r="K3694">
        <v>1.1088830000000001</v>
      </c>
      <c r="L3694">
        <v>179.15360000000001</v>
      </c>
      <c r="M3694">
        <v>-7.5633720000000002E-2</v>
      </c>
      <c r="N3694">
        <v>-1.370561E-2</v>
      </c>
      <c r="O3694">
        <v>-0.99704159999999997</v>
      </c>
      <c r="P3694">
        <v>-5.7293650000000002E-2</v>
      </c>
      <c r="Q3694">
        <v>0.40057920000000002</v>
      </c>
      <c r="R3694">
        <v>-0.91446950000000005</v>
      </c>
      <c r="S3694">
        <v>-0.61994930000000004</v>
      </c>
      <c r="T3694">
        <v>-0.72456960000000004</v>
      </c>
      <c r="U3694">
        <v>-3.5602260000000001</v>
      </c>
      <c r="V3694">
        <v>-9.7873370000000001E-3</v>
      </c>
      <c r="W3694">
        <v>0.41315819999999998</v>
      </c>
      <c r="X3694">
        <v>0.91060669999999999</v>
      </c>
      <c r="Y3694">
        <v>9.3486299999999994E-2</v>
      </c>
      <c r="Z3694">
        <v>0.1833687</v>
      </c>
      <c r="AA3694">
        <v>0.97858889999999998</v>
      </c>
      <c r="AB3694">
        <v>29</v>
      </c>
      <c r="AC3694">
        <v>-0.14340000000001299</v>
      </c>
      <c r="AD3694">
        <v>-0.18640100000000001</v>
      </c>
      <c r="AE3694">
        <v>-0.72240000000002103</v>
      </c>
      <c r="AF3694">
        <v>8.3027860557950695E-2</v>
      </c>
      <c r="AG3694">
        <v>-0.18640100000000001</v>
      </c>
      <c r="AH3694">
        <v>0.68716086789909003</v>
      </c>
      <c r="AI3694">
        <v>105.07239182871</v>
      </c>
      <c r="AJ3694">
        <v>83.1104976472934</v>
      </c>
      <c r="AK3694">
        <v>0.716818677771206</v>
      </c>
      <c r="AL3694">
        <v>65.596617676665105</v>
      </c>
      <c r="AM3694">
        <v>90.615799895012501</v>
      </c>
      <c r="AN3694">
        <v>1.00000002613884</v>
      </c>
    </row>
    <row r="3695" spans="1:40" x14ac:dyDescent="0.25">
      <c r="A3695" t="str">
        <f>"20190304164444482"</f>
        <v>20190304164444482</v>
      </c>
      <c r="B3695" t="str">
        <f>"1551689084473906"</f>
        <v>1551689084473906</v>
      </c>
      <c r="C3695" t="s">
        <v>40</v>
      </c>
      <c r="D3695">
        <v>5.7190260000000004</v>
      </c>
      <c r="E3695">
        <v>0.55734939999999999</v>
      </c>
      <c r="F3695" t="s">
        <v>41</v>
      </c>
      <c r="G3695">
        <v>-190.23070000000001</v>
      </c>
      <c r="H3695">
        <v>0.95778629999999998</v>
      </c>
      <c r="I3695">
        <v>178.41299999999899</v>
      </c>
      <c r="J3695">
        <v>-190.11500000000001</v>
      </c>
      <c r="K3695">
        <v>1.1091150000000001</v>
      </c>
      <c r="L3695">
        <v>178.97630000000001</v>
      </c>
      <c r="M3695">
        <v>-7.693883E-2</v>
      </c>
      <c r="N3695">
        <v>-1.369305E-2</v>
      </c>
      <c r="O3695">
        <v>-0.99694179999999999</v>
      </c>
      <c r="P3695">
        <v>-5.8400769999999998E-2</v>
      </c>
      <c r="Q3695">
        <v>0.39991270000000001</v>
      </c>
      <c r="R3695">
        <v>-0.91469100000000003</v>
      </c>
      <c r="S3695">
        <v>-0.62640379999999996</v>
      </c>
      <c r="T3695">
        <v>-0.72610439999999998</v>
      </c>
      <c r="U3695">
        <v>-3.5594329999999998</v>
      </c>
      <c r="V3695">
        <v>-1.013639E-2</v>
      </c>
      <c r="W3695">
        <v>0.41247899999999998</v>
      </c>
      <c r="X3695">
        <v>0.91091069999999996</v>
      </c>
      <c r="Y3695">
        <v>9.3928129999999999E-2</v>
      </c>
      <c r="Z3695">
        <v>0.18376390000000001</v>
      </c>
      <c r="AA3695">
        <v>0.97847249999999997</v>
      </c>
      <c r="AB3695">
        <v>29</v>
      </c>
      <c r="AC3695">
        <v>-0.11570000000000299</v>
      </c>
      <c r="AD3695">
        <v>-0.15132869999999901</v>
      </c>
      <c r="AE3695">
        <v>-0.563300000000026</v>
      </c>
      <c r="AF3695">
        <v>6.7349359196709604E-2</v>
      </c>
      <c r="AG3695">
        <v>-0.15132869999999901</v>
      </c>
      <c r="AH3695">
        <v>0.53358227346387299</v>
      </c>
      <c r="AI3695">
        <v>105.71534779986401</v>
      </c>
      <c r="AJ3695">
        <v>82.806104655968298</v>
      </c>
      <c r="AK3695">
        <v>0.55870059439987396</v>
      </c>
      <c r="AL3695">
        <v>65.639342552048106</v>
      </c>
      <c r="AM3695">
        <v>90.637547013698807</v>
      </c>
      <c r="AN3695">
        <v>0.99999998760886</v>
      </c>
    </row>
    <row r="3696" spans="1:40" x14ac:dyDescent="0.25">
      <c r="A3696" t="str">
        <f>"20190304164444500"</f>
        <v>20190304164444500</v>
      </c>
      <c r="B3696" t="str">
        <f>"1551689084493425"</f>
        <v>1551689084493425</v>
      </c>
      <c r="C3696" t="s">
        <v>40</v>
      </c>
      <c r="D3696">
        <v>5.7075529999999999</v>
      </c>
      <c r="E3696">
        <v>0.55727700000000002</v>
      </c>
      <c r="F3696" t="s">
        <v>41</v>
      </c>
      <c r="G3696">
        <v>-190.2594</v>
      </c>
      <c r="H3696">
        <v>0.94273709999999999</v>
      </c>
      <c r="I3696">
        <v>178.1645</v>
      </c>
      <c r="J3696">
        <v>-190.13390000000001</v>
      </c>
      <c r="K3696">
        <v>1.109402</v>
      </c>
      <c r="L3696">
        <v>178.75470000000001</v>
      </c>
      <c r="M3696">
        <v>-7.8341740000000007E-2</v>
      </c>
      <c r="N3696">
        <v>-1.36779E-2</v>
      </c>
      <c r="O3696">
        <v>-0.99683299999999997</v>
      </c>
      <c r="P3696">
        <v>-5.7316400000000003E-2</v>
      </c>
      <c r="Q3696">
        <v>0.39815070000000002</v>
      </c>
      <c r="R3696">
        <v>-0.91552820000000001</v>
      </c>
      <c r="S3696">
        <v>-0.63224789999999997</v>
      </c>
      <c r="T3696">
        <v>-0.72913989999999995</v>
      </c>
      <c r="U3696">
        <v>-3.5581969999999998</v>
      </c>
      <c r="V3696">
        <v>-1.2865339999999999E-2</v>
      </c>
      <c r="W3696">
        <v>0.41071629999999998</v>
      </c>
      <c r="X3696">
        <v>0.91167240000000005</v>
      </c>
      <c r="Y3696">
        <v>9.4116080000000005E-2</v>
      </c>
      <c r="Z3696">
        <v>0.1845792</v>
      </c>
      <c r="AA3696">
        <v>0.97830090000000003</v>
      </c>
      <c r="AB3696">
        <v>29</v>
      </c>
      <c r="AC3696">
        <v>-0.12549999999998801</v>
      </c>
      <c r="AD3696">
        <v>-0.1666649</v>
      </c>
      <c r="AE3696">
        <v>-0.59020000000000905</v>
      </c>
      <c r="AF3696">
        <v>7.3281729754414895E-2</v>
      </c>
      <c r="AG3696">
        <v>-0.1666649</v>
      </c>
      <c r="AH3696">
        <v>0.55581388605082505</v>
      </c>
      <c r="AI3696">
        <v>106.556404219679</v>
      </c>
      <c r="AJ3696">
        <v>82.489113218752806</v>
      </c>
      <c r="AK3696">
        <v>0.58487304326214995</v>
      </c>
      <c r="AL3696">
        <v>65.750159904420201</v>
      </c>
      <c r="AM3696">
        <v>90.808493005223099</v>
      </c>
      <c r="AN3696">
        <v>0.99999998049038197</v>
      </c>
    </row>
    <row r="3697" spans="1:40" x14ac:dyDescent="0.25">
      <c r="A3697" t="str">
        <f>"20190304164444523"</f>
        <v>20190304164444523</v>
      </c>
      <c r="B3697" t="str">
        <f>"1551689084513921"</f>
        <v>1551689084513921</v>
      </c>
      <c r="C3697" t="s">
        <v>40</v>
      </c>
      <c r="D3697">
        <v>5.668215</v>
      </c>
      <c r="E3697">
        <v>0.55723520000000004</v>
      </c>
      <c r="F3697" t="s">
        <v>41</v>
      </c>
      <c r="G3697">
        <v>-190.2852</v>
      </c>
      <c r="H3697">
        <v>0.93526569999999998</v>
      </c>
      <c r="I3697">
        <v>177.91229999999999</v>
      </c>
      <c r="J3697">
        <v>-190.15880000000001</v>
      </c>
      <c r="K3697">
        <v>1.1097859999999999</v>
      </c>
      <c r="L3697">
        <v>178.4615</v>
      </c>
      <c r="M3697">
        <v>-7.973015E-2</v>
      </c>
      <c r="N3697">
        <v>-1.3658709999999999E-2</v>
      </c>
      <c r="O3697">
        <v>-0.99672300000000003</v>
      </c>
      <c r="P3697">
        <v>-5.7836909999999998E-2</v>
      </c>
      <c r="Q3697">
        <v>0.39849279999999998</v>
      </c>
      <c r="R3697">
        <v>-0.91534660000000001</v>
      </c>
      <c r="S3697">
        <v>-0.63847349999999903</v>
      </c>
      <c r="T3697">
        <v>-0.73521320000000001</v>
      </c>
      <c r="U3697">
        <v>-3.5565639999999998</v>
      </c>
      <c r="V3697">
        <v>-1.3984750000000001E-2</v>
      </c>
      <c r="W3697">
        <v>0.41102929999999999</v>
      </c>
      <c r="X3697">
        <v>0.91151490000000002</v>
      </c>
      <c r="Y3697">
        <v>9.4410499999999994E-2</v>
      </c>
      <c r="Z3697">
        <v>0.1862095</v>
      </c>
      <c r="AA3697">
        <v>0.97796349999999999</v>
      </c>
      <c r="AB3697">
        <v>29</v>
      </c>
      <c r="AC3697">
        <v>-0.12639999999998899</v>
      </c>
      <c r="AD3697">
        <v>-0.17452029999999999</v>
      </c>
      <c r="AE3697">
        <v>-0.54920000000001301</v>
      </c>
      <c r="AF3697">
        <v>7.5012057823841405E-2</v>
      </c>
      <c r="AG3697">
        <v>-0.17452029999999999</v>
      </c>
      <c r="AH3697">
        <v>0.50874218172247299</v>
      </c>
      <c r="AI3697">
        <v>108.745850913724</v>
      </c>
      <c r="AJ3697">
        <v>81.612394698644195</v>
      </c>
      <c r="AK3697">
        <v>0.54304949258313395</v>
      </c>
      <c r="AL3697">
        <v>65.730490692261299</v>
      </c>
      <c r="AM3697">
        <v>90.878981015253004</v>
      </c>
      <c r="AN3697">
        <v>1.00000003580653</v>
      </c>
    </row>
    <row r="3698" spans="1:40" x14ac:dyDescent="0.25">
      <c r="A3698" t="str">
        <f>"20190304164444545"</f>
        <v>20190304164444545</v>
      </c>
      <c r="B3698" t="str">
        <f>"1551689084533442"</f>
        <v>1551689084533442</v>
      </c>
      <c r="C3698" t="s">
        <v>40</v>
      </c>
      <c r="D3698">
        <v>5.691916</v>
      </c>
      <c r="E3698">
        <v>0.55725049999999998</v>
      </c>
      <c r="F3698" t="s">
        <v>41</v>
      </c>
      <c r="G3698">
        <v>-190.30600000000001</v>
      </c>
      <c r="H3698">
        <v>0.94295779999999996</v>
      </c>
      <c r="I3698">
        <v>177.65260000000001</v>
      </c>
      <c r="J3698">
        <v>-190.1815</v>
      </c>
      <c r="K3698">
        <v>1.1101259999999999</v>
      </c>
      <c r="L3698">
        <v>178.19390000000001</v>
      </c>
      <c r="M3698">
        <v>-8.0585989999999996E-2</v>
      </c>
      <c r="N3698">
        <v>-1.3642690000000001E-2</v>
      </c>
      <c r="O3698">
        <v>-0.9966545</v>
      </c>
      <c r="P3698">
        <v>-6.125398E-2</v>
      </c>
      <c r="Q3698">
        <v>0.39978209999999997</v>
      </c>
      <c r="R3698">
        <v>-0.91456130000000002</v>
      </c>
      <c r="S3698">
        <v>-0.64706419999999998</v>
      </c>
      <c r="T3698">
        <v>-0.73336020000000002</v>
      </c>
      <c r="U3698">
        <v>-3.5558320000000001</v>
      </c>
      <c r="V3698">
        <v>-1.1634759999999999E-2</v>
      </c>
      <c r="W3698">
        <v>0.4122787</v>
      </c>
      <c r="X3698">
        <v>0.91098349999999995</v>
      </c>
      <c r="Y3698">
        <v>9.5894140000000003E-2</v>
      </c>
      <c r="Z3698">
        <v>0.18570710000000001</v>
      </c>
      <c r="AA3698">
        <v>0.97791470000000003</v>
      </c>
      <c r="AB3698">
        <v>29</v>
      </c>
      <c r="AC3698">
        <v>-0.124499999999983</v>
      </c>
      <c r="AD3698">
        <v>-0.16716819999999899</v>
      </c>
      <c r="AE3698">
        <v>-0.541300000000006</v>
      </c>
      <c r="AF3698">
        <v>7.37860444012782E-2</v>
      </c>
      <c r="AG3698">
        <v>-0.16716819999999899</v>
      </c>
      <c r="AH3698">
        <v>0.50392622389184405</v>
      </c>
      <c r="AI3698">
        <v>108.171470179588</v>
      </c>
      <c r="AJ3698">
        <v>81.669814383046301</v>
      </c>
      <c r="AK3698">
        <v>0.53603285959493197</v>
      </c>
      <c r="AL3698">
        <v>65.651940632582694</v>
      </c>
      <c r="AM3698">
        <v>90.731721707161199</v>
      </c>
      <c r="AN3698">
        <v>1.0000000156930899</v>
      </c>
    </row>
    <row r="3699" spans="1:40" x14ac:dyDescent="0.25">
      <c r="A3699" t="str">
        <f>"20190304164444566"</f>
        <v>20190304164444566</v>
      </c>
      <c r="B3699" t="str">
        <f>"1551689084553937"</f>
        <v>1551689084553937</v>
      </c>
      <c r="C3699" t="s">
        <v>40</v>
      </c>
      <c r="D3699">
        <v>5.7060440000000003</v>
      </c>
      <c r="E3699">
        <v>0.55709489999999995</v>
      </c>
      <c r="F3699" t="s">
        <v>41</v>
      </c>
      <c r="G3699">
        <v>-190.32730000000001</v>
      </c>
      <c r="H3699">
        <v>0.94631620000000005</v>
      </c>
      <c r="I3699">
        <v>177.3955</v>
      </c>
      <c r="J3699">
        <v>-190.20519999999999</v>
      </c>
      <c r="K3699">
        <v>1.110457</v>
      </c>
      <c r="L3699">
        <v>177.91290000000001</v>
      </c>
      <c r="M3699">
        <v>-8.1109340000000002E-2</v>
      </c>
      <c r="N3699">
        <v>-1.362735E-2</v>
      </c>
      <c r="O3699">
        <v>-0.99661219999999995</v>
      </c>
      <c r="P3699">
        <v>-6.4560809999999996E-2</v>
      </c>
      <c r="Q3699">
        <v>0.40037270000000003</v>
      </c>
      <c r="R3699">
        <v>-0.91407539999999998</v>
      </c>
      <c r="S3699">
        <v>-0.64839169999999902</v>
      </c>
      <c r="T3699">
        <v>-0.72956869999999996</v>
      </c>
      <c r="U3699">
        <v>-3.5557400000000001</v>
      </c>
      <c r="V3699">
        <v>-9.1122849999999995E-3</v>
      </c>
      <c r="W3699">
        <v>0.41283819999999999</v>
      </c>
      <c r="X3699">
        <v>0.91075890000000004</v>
      </c>
      <c r="Y3699">
        <v>9.5763860000000006E-2</v>
      </c>
      <c r="Z3699">
        <v>0.18471950000000001</v>
      </c>
      <c r="AA3699">
        <v>0.9781145</v>
      </c>
      <c r="AB3699">
        <v>29</v>
      </c>
      <c r="AC3699">
        <v>-0.122100000000017</v>
      </c>
      <c r="AD3699">
        <v>-0.164140799999999</v>
      </c>
      <c r="AE3699">
        <v>-0.51740000000000896</v>
      </c>
      <c r="AF3699">
        <v>7.2788604008840102E-2</v>
      </c>
      <c r="AG3699">
        <v>-0.164140799999999</v>
      </c>
      <c r="AH3699">
        <v>0.47985340882405603</v>
      </c>
      <c r="AI3699">
        <v>108.685316567058</v>
      </c>
      <c r="AJ3699">
        <v>81.374600780188899</v>
      </c>
      <c r="AK3699">
        <v>0.51234722313901704</v>
      </c>
      <c r="AL3699">
        <v>65.616751202211603</v>
      </c>
      <c r="AM3699">
        <v>90.573234093164402</v>
      </c>
      <c r="AN3699">
        <v>1.0000000935231801</v>
      </c>
    </row>
    <row r="3700" spans="1:40" x14ac:dyDescent="0.25">
      <c r="A3700" t="str">
        <f>"20190304164444581"</f>
        <v>20190304164444581</v>
      </c>
      <c r="B3700" t="str">
        <f>"1551689084573456"</f>
        <v>1551689084573456</v>
      </c>
      <c r="C3700" t="s">
        <v>40</v>
      </c>
      <c r="D3700">
        <v>5.6898600000000004</v>
      </c>
      <c r="E3700">
        <v>0.55642080000000005</v>
      </c>
      <c r="F3700" t="s">
        <v>41</v>
      </c>
      <c r="G3700">
        <v>-190.34979999999999</v>
      </c>
      <c r="H3700">
        <v>0.9656148</v>
      </c>
      <c r="I3700">
        <v>177.13079999999999</v>
      </c>
      <c r="J3700">
        <v>-190.22049999999999</v>
      </c>
      <c r="K3700">
        <v>1.110662</v>
      </c>
      <c r="L3700">
        <v>177.72829999999999</v>
      </c>
      <c r="M3700">
        <v>-8.1259219999999993E-2</v>
      </c>
      <c r="N3700">
        <v>-1.361797E-2</v>
      </c>
      <c r="O3700">
        <v>-0.99660009999999999</v>
      </c>
      <c r="P3700">
        <v>-6.5165070000000005E-2</v>
      </c>
      <c r="Q3700">
        <v>0.40067380000000002</v>
      </c>
      <c r="R3700">
        <v>-0.91390090000000002</v>
      </c>
      <c r="S3700">
        <v>-0.65138240000000003</v>
      </c>
      <c r="T3700">
        <v>-0.65230109999999997</v>
      </c>
      <c r="U3700">
        <v>-3.5217130000000001</v>
      </c>
      <c r="V3700">
        <v>-8.8369940000000008E-3</v>
      </c>
      <c r="W3700">
        <v>0.41312389999999999</v>
      </c>
      <c r="X3700">
        <v>0.910632</v>
      </c>
      <c r="Y3700">
        <v>9.8701979999999995E-2</v>
      </c>
      <c r="Z3700">
        <v>0.16601250000000001</v>
      </c>
      <c r="AA3700">
        <v>0.98117160000000003</v>
      </c>
      <c r="AB3700">
        <v>29</v>
      </c>
      <c r="AC3700">
        <v>-0.1293</v>
      </c>
      <c r="AD3700">
        <v>-0.14504719999999899</v>
      </c>
      <c r="AE3700">
        <v>-0.59749999999999603</v>
      </c>
      <c r="AF3700">
        <v>7.6035080185388002E-2</v>
      </c>
      <c r="AG3700">
        <v>-0.14504719999999899</v>
      </c>
      <c r="AH3700">
        <v>0.57373339169860404</v>
      </c>
      <c r="AI3700">
        <v>104.069758389285</v>
      </c>
      <c r="AJ3700">
        <v>82.450762279731507</v>
      </c>
      <c r="AK3700">
        <v>0.59664899932591997</v>
      </c>
      <c r="AL3700">
        <v>65.598776177410798</v>
      </c>
      <c r="AM3700">
        <v>90.555994701290501</v>
      </c>
      <c r="AN3700">
        <v>1.00000004431908</v>
      </c>
    </row>
    <row r="3701" spans="1:40" x14ac:dyDescent="0.25">
      <c r="A3701" t="str">
        <f>"20190304164444592"</f>
        <v>20190304164444592</v>
      </c>
      <c r="B3701" t="str">
        <f>"1551689084584194"</f>
        <v>1551689084584194</v>
      </c>
      <c r="C3701" t="s">
        <v>40</v>
      </c>
      <c r="D3701">
        <v>5.6308879999999997</v>
      </c>
      <c r="E3701">
        <v>0.55653430000000004</v>
      </c>
      <c r="F3701" t="s">
        <v>41</v>
      </c>
      <c r="G3701">
        <v>-190.3767</v>
      </c>
      <c r="H3701">
        <v>0.95257639999999999</v>
      </c>
      <c r="I3701">
        <v>176.8828</v>
      </c>
      <c r="J3701">
        <v>-190.2337</v>
      </c>
      <c r="K3701">
        <v>1.1108260000000001</v>
      </c>
      <c r="L3701">
        <v>177.5701</v>
      </c>
      <c r="M3701">
        <v>-8.1293660000000004E-2</v>
      </c>
      <c r="N3701">
        <v>-1.3610229999999999E-2</v>
      </c>
      <c r="O3701">
        <v>-0.99659730000000002</v>
      </c>
      <c r="P3701">
        <v>-6.5556299999999998E-2</v>
      </c>
      <c r="Q3701">
        <v>0.4010398</v>
      </c>
      <c r="R3701">
        <v>-0.91371199999999997</v>
      </c>
      <c r="S3701">
        <v>-0.65016169999999995</v>
      </c>
      <c r="T3701">
        <v>-0.65918949999999998</v>
      </c>
      <c r="U3701">
        <v>-3.5252690000000002</v>
      </c>
      <c r="V3701">
        <v>-8.6309539999999997E-3</v>
      </c>
      <c r="W3701">
        <v>0.41347689999999998</v>
      </c>
      <c r="X3701">
        <v>0.91047370000000005</v>
      </c>
      <c r="Y3701">
        <v>9.8110000000000003E-2</v>
      </c>
      <c r="Z3701">
        <v>0.16769139999999999</v>
      </c>
      <c r="AA3701">
        <v>0.98094550000000003</v>
      </c>
      <c r="AB3701">
        <v>29</v>
      </c>
      <c r="AC3701">
        <v>-0.14299999999999999</v>
      </c>
      <c r="AD3701">
        <v>-0.15824959999999999</v>
      </c>
      <c r="AE3701">
        <v>-0.68729999999999303</v>
      </c>
      <c r="AF3701">
        <v>8.2458228258732405E-2</v>
      </c>
      <c r="AG3701">
        <v>-0.15824959999999999</v>
      </c>
      <c r="AH3701">
        <v>0.66296268511744105</v>
      </c>
      <c r="AI3701">
        <v>103.32633847028799</v>
      </c>
      <c r="AJ3701">
        <v>82.910054294317803</v>
      </c>
      <c r="AK3701">
        <v>0.68655794887675403</v>
      </c>
      <c r="AL3701">
        <v>65.576563797823098</v>
      </c>
      <c r="AM3701">
        <v>90.543126534211595</v>
      </c>
      <c r="AN3701">
        <v>0.99999999929612504</v>
      </c>
    </row>
    <row r="3702" spans="1:40" x14ac:dyDescent="0.25">
      <c r="A3702" t="str">
        <f>"20190304164444605"</f>
        <v>20190304164444605</v>
      </c>
      <c r="B3702" t="str">
        <f>"1551689084593953"</f>
        <v>1551689084593953</v>
      </c>
      <c r="C3702" t="s">
        <v>40</v>
      </c>
      <c r="D3702">
        <v>5.6654730000000004</v>
      </c>
      <c r="E3702">
        <v>0.55653560000000002</v>
      </c>
      <c r="F3702" t="s">
        <v>41</v>
      </c>
      <c r="G3702">
        <v>-190.36449999999999</v>
      </c>
      <c r="H3702">
        <v>0.98018620000000001</v>
      </c>
      <c r="I3702">
        <v>176.8682</v>
      </c>
      <c r="J3702">
        <v>-190.24600000000001</v>
      </c>
      <c r="K3702">
        <v>1.110978</v>
      </c>
      <c r="L3702">
        <v>177.41929999999999</v>
      </c>
      <c r="M3702">
        <v>-8.1170899999999893E-2</v>
      </c>
      <c r="N3702">
        <v>-1.3603580000000001E-2</v>
      </c>
      <c r="O3702">
        <v>-0.99660729999999997</v>
      </c>
      <c r="P3702">
        <v>-6.6482390000000002E-2</v>
      </c>
      <c r="Q3702">
        <v>0.40144069999999998</v>
      </c>
      <c r="R3702">
        <v>-0.91346890000000003</v>
      </c>
      <c r="S3702">
        <v>-0.65600590000000003</v>
      </c>
      <c r="T3702">
        <v>-0.65603159999999905</v>
      </c>
      <c r="U3702">
        <v>-3.5241699999999998</v>
      </c>
      <c r="V3702">
        <v>-7.7264250000000003E-3</v>
      </c>
      <c r="W3702">
        <v>0.41386590000000001</v>
      </c>
      <c r="X3702">
        <v>0.91030509999999998</v>
      </c>
      <c r="Y3702">
        <v>9.9883589999999994E-2</v>
      </c>
      <c r="Z3702">
        <v>0.1668722</v>
      </c>
      <c r="AA3702">
        <v>0.98090619999999995</v>
      </c>
      <c r="AB3702">
        <v>29</v>
      </c>
      <c r="AC3702">
        <v>-0.118500000000011</v>
      </c>
      <c r="AD3702">
        <v>-0.13079180000000001</v>
      </c>
      <c r="AE3702">
        <v>-0.55109999999999004</v>
      </c>
      <c r="AF3702">
        <v>6.9623255649618104E-2</v>
      </c>
      <c r="AG3702">
        <v>-0.13079180000000001</v>
      </c>
      <c r="AH3702">
        <v>0.530349046960224</v>
      </c>
      <c r="AI3702">
        <v>103.740167839664</v>
      </c>
      <c r="AJ3702">
        <v>82.521082659356196</v>
      </c>
      <c r="AK3702">
        <v>0.55065779235938395</v>
      </c>
      <c r="AL3702">
        <v>65.552083639616995</v>
      </c>
      <c r="AM3702">
        <v>90.4862994977738</v>
      </c>
      <c r="AN3702">
        <v>1.0000000279560499</v>
      </c>
    </row>
    <row r="3703" spans="1:40" x14ac:dyDescent="0.25">
      <c r="A3703" t="str">
        <f>"20190304164444622"</f>
        <v>20190304164444622</v>
      </c>
      <c r="B3703" t="str">
        <f>"1551689084613476"</f>
        <v>1551689084613476</v>
      </c>
      <c r="C3703" t="s">
        <v>40</v>
      </c>
      <c r="D3703">
        <v>5.6296049999999997</v>
      </c>
      <c r="E3703">
        <v>0.55656269999999997</v>
      </c>
      <c r="F3703" t="s">
        <v>41</v>
      </c>
      <c r="G3703">
        <v>-190.39529999999999</v>
      </c>
      <c r="H3703">
        <v>0.96314299999999997</v>
      </c>
      <c r="I3703">
        <v>176.62270000000001</v>
      </c>
      <c r="J3703">
        <v>-190.26439999999999</v>
      </c>
      <c r="K3703">
        <v>1.1112120000000001</v>
      </c>
      <c r="L3703">
        <v>177.1926</v>
      </c>
      <c r="M3703">
        <v>-8.0846470000000004E-2</v>
      </c>
      <c r="N3703">
        <v>-1.359432E-2</v>
      </c>
      <c r="O3703">
        <v>-0.99663400000000002</v>
      </c>
      <c r="P3703">
        <v>-7.0158650000000003E-2</v>
      </c>
      <c r="Q3703">
        <v>0.40197319999999997</v>
      </c>
      <c r="R3703">
        <v>-0.91295970000000004</v>
      </c>
      <c r="S3703">
        <v>-0.66017150000000002</v>
      </c>
      <c r="T3703">
        <v>-0.65399039999999997</v>
      </c>
      <c r="U3703">
        <v>-3.5235439999999998</v>
      </c>
      <c r="V3703">
        <v>-3.9476600000000004E-3</v>
      </c>
      <c r="W3703">
        <v>0.41438320000000001</v>
      </c>
      <c r="X3703">
        <v>0.91009390000000001</v>
      </c>
      <c r="Y3703">
        <v>0.1013744</v>
      </c>
      <c r="Z3703">
        <v>0.16634309999999999</v>
      </c>
      <c r="AA3703">
        <v>0.98084309999999997</v>
      </c>
      <c r="AB3703">
        <v>29</v>
      </c>
      <c r="AC3703">
        <v>-0.13089999999999599</v>
      </c>
      <c r="AD3703">
        <v>-0.14806900000000001</v>
      </c>
      <c r="AE3703">
        <v>-0.56989999999998897</v>
      </c>
      <c r="AF3703">
        <v>7.9307470657738396E-2</v>
      </c>
      <c r="AG3703">
        <v>-0.14806900000000001</v>
      </c>
      <c r="AH3703">
        <v>0.54375179872928503</v>
      </c>
      <c r="AI3703">
        <v>105.08067495592999</v>
      </c>
      <c r="AJ3703">
        <v>81.701788870758193</v>
      </c>
      <c r="AK3703">
        <v>0.56910466724888298</v>
      </c>
      <c r="AL3703">
        <v>65.519519395471406</v>
      </c>
      <c r="AM3703">
        <v>90.248526924976602</v>
      </c>
      <c r="AN3703">
        <v>0.99999996363946198</v>
      </c>
    </row>
    <row r="3704" spans="1:40" x14ac:dyDescent="0.25">
      <c r="A3704" t="str">
        <f>"20190304164444634"</f>
        <v>20190304164444634</v>
      </c>
      <c r="B3704" t="str">
        <f>"1551689084624209"</f>
        <v>1551689084624209</v>
      </c>
      <c r="C3704" t="s">
        <v>40</v>
      </c>
      <c r="D3704">
        <v>5.7011000000000003</v>
      </c>
      <c r="E3704">
        <v>0.5563399</v>
      </c>
      <c r="F3704" t="s">
        <v>41</v>
      </c>
      <c r="G3704">
        <v>-190.42099999999999</v>
      </c>
      <c r="H3704">
        <v>0.95889930000000001</v>
      </c>
      <c r="I3704">
        <v>176.3708</v>
      </c>
      <c r="J3704">
        <v>-190.27629999999999</v>
      </c>
      <c r="K3704">
        <v>1.1113569999999999</v>
      </c>
      <c r="L3704">
        <v>177.04429999999999</v>
      </c>
      <c r="M3704">
        <v>-8.0546729999999997E-2</v>
      </c>
      <c r="N3704">
        <v>-1.35887E-2</v>
      </c>
      <c r="O3704">
        <v>-0.99665840000000006</v>
      </c>
      <c r="P3704">
        <v>-7.1928580000000006E-2</v>
      </c>
      <c r="Q3704">
        <v>0.40151320000000001</v>
      </c>
      <c r="R3704">
        <v>-0.91302439999999996</v>
      </c>
      <c r="S3704">
        <v>-0.67005919999999997</v>
      </c>
      <c r="T3704">
        <v>-0.65297939999999999</v>
      </c>
      <c r="U3704">
        <v>-3.5220340000000001</v>
      </c>
      <c r="V3704">
        <v>-2.0590719999999999E-3</v>
      </c>
      <c r="W3704">
        <v>0.41392060000000003</v>
      </c>
      <c r="X3704">
        <v>0.91031070000000003</v>
      </c>
      <c r="Y3704">
        <v>0.10441250000000001</v>
      </c>
      <c r="Z3704">
        <v>0.16608709999999999</v>
      </c>
      <c r="AA3704">
        <v>0.98056779999999999</v>
      </c>
      <c r="AB3704">
        <v>29</v>
      </c>
      <c r="AC3704">
        <v>-0.1447</v>
      </c>
      <c r="AD3704">
        <v>-0.152457699999999</v>
      </c>
      <c r="AE3704">
        <v>-0.67349999999999</v>
      </c>
      <c r="AF3704">
        <v>8.5775202369678005E-2</v>
      </c>
      <c r="AG3704">
        <v>-0.152457699999999</v>
      </c>
      <c r="AH3704">
        <v>0.651077206644323</v>
      </c>
      <c r="AI3704">
        <v>103.07004429486599</v>
      </c>
      <c r="AJ3704">
        <v>82.494873766228807</v>
      </c>
      <c r="AK3704">
        <v>0.67416783121313595</v>
      </c>
      <c r="AL3704">
        <v>65.548641055916306</v>
      </c>
      <c r="AM3704">
        <v>90.129599634619396</v>
      </c>
      <c r="AN3704">
        <v>1.0000000367081701</v>
      </c>
    </row>
    <row r="3705" spans="1:40" x14ac:dyDescent="0.25">
      <c r="A3705" t="str">
        <f>"20190304164444655"</f>
        <v>20190304164444655</v>
      </c>
      <c r="B3705" t="str">
        <f>"1551689084643729"</f>
        <v>1551689084643729</v>
      </c>
      <c r="C3705" t="s">
        <v>40</v>
      </c>
      <c r="D3705">
        <v>5.6558729999999997</v>
      </c>
      <c r="E3705">
        <v>0.5562629</v>
      </c>
      <c r="F3705" t="s">
        <v>41</v>
      </c>
      <c r="G3705">
        <v>-190.452</v>
      </c>
      <c r="H3705">
        <v>0.94019459999999999</v>
      </c>
      <c r="I3705">
        <v>176.12639999999999</v>
      </c>
      <c r="J3705">
        <v>-190.2971</v>
      </c>
      <c r="K3705">
        <v>1.1116010000000001</v>
      </c>
      <c r="L3705">
        <v>176.77969999999999</v>
      </c>
      <c r="M3705">
        <v>-7.9762730000000004E-2</v>
      </c>
      <c r="N3705">
        <v>-1.3580429999999999E-2</v>
      </c>
      <c r="O3705">
        <v>-0.99672150000000004</v>
      </c>
      <c r="P3705">
        <v>-7.4291179999999998E-2</v>
      </c>
      <c r="Q3705">
        <v>0.40002320000000002</v>
      </c>
      <c r="R3705">
        <v>-0.91348929999999995</v>
      </c>
      <c r="S3705">
        <v>-0.67349239999999999</v>
      </c>
      <c r="T3705">
        <v>-0.6567653</v>
      </c>
      <c r="U3705">
        <v>-3.5215610000000002</v>
      </c>
      <c r="V3705">
        <v>7.355711E-4</v>
      </c>
      <c r="W3705">
        <v>0.41243370000000001</v>
      </c>
      <c r="X3705">
        <v>0.91098730000000006</v>
      </c>
      <c r="Y3705">
        <v>0.1061058</v>
      </c>
      <c r="Z3705">
        <v>0.16711099999999901</v>
      </c>
      <c r="AA3705">
        <v>0.98021199999999997</v>
      </c>
      <c r="AB3705">
        <v>29</v>
      </c>
      <c r="AC3705">
        <v>-0.15489999999999701</v>
      </c>
      <c r="AD3705">
        <v>-0.17140639999999999</v>
      </c>
      <c r="AE3705">
        <v>-0.65330000000000099</v>
      </c>
      <c r="AF3705">
        <v>9.6033679236673802E-2</v>
      </c>
      <c r="AG3705">
        <v>-0.17140639999999999</v>
      </c>
      <c r="AH3705">
        <v>0.62297281183550601</v>
      </c>
      <c r="AI3705">
        <v>105.212626091161</v>
      </c>
      <c r="AJ3705">
        <v>81.236614503603406</v>
      </c>
      <c r="AK3705">
        <v>0.65322105431081201</v>
      </c>
      <c r="AL3705">
        <v>65.642191474588302</v>
      </c>
      <c r="AM3705">
        <v>89.953736884803106</v>
      </c>
      <c r="AN3705">
        <v>0.99999997936091101</v>
      </c>
    </row>
    <row r="3706" spans="1:40" x14ac:dyDescent="0.25">
      <c r="A3706" t="str">
        <f>"20190304164444678"</f>
        <v>20190304164444678</v>
      </c>
      <c r="B3706" t="str">
        <f>"1551689084673987"</f>
        <v>1551689084673987</v>
      </c>
      <c r="C3706" t="s">
        <v>40</v>
      </c>
      <c r="D3706">
        <v>5.5993769999999996</v>
      </c>
      <c r="E3706">
        <v>0.55604709999999902</v>
      </c>
      <c r="F3706" t="s">
        <v>41</v>
      </c>
      <c r="G3706">
        <v>-190.47309999999999</v>
      </c>
      <c r="H3706">
        <v>0.94042429999999999</v>
      </c>
      <c r="I3706">
        <v>175.8724</v>
      </c>
      <c r="J3706">
        <v>-190.31979999999999</v>
      </c>
      <c r="K3706">
        <v>1.1118349999999999</v>
      </c>
      <c r="L3706">
        <v>176.48339999999999</v>
      </c>
      <c r="M3706">
        <v>-7.862595E-2</v>
      </c>
      <c r="N3706">
        <v>-1.357248E-2</v>
      </c>
      <c r="O3706">
        <v>-0.99681180000000003</v>
      </c>
      <c r="P3706">
        <v>-7.5833529999999996E-2</v>
      </c>
      <c r="Q3706">
        <v>0.39845449999999999</v>
      </c>
      <c r="R3706">
        <v>-0.91404790000000002</v>
      </c>
      <c r="S3706">
        <v>-0.68255619999999995</v>
      </c>
      <c r="T3706">
        <v>-0.6641454</v>
      </c>
      <c r="U3706">
        <v>-3.5194399999999999</v>
      </c>
      <c r="V3706">
        <v>3.035916E-3</v>
      </c>
      <c r="W3706">
        <v>0.41087200000000001</v>
      </c>
      <c r="X3706">
        <v>0.91168800000000005</v>
      </c>
      <c r="Y3706">
        <v>0.1097101</v>
      </c>
      <c r="Z3706">
        <v>0.16913339999999999</v>
      </c>
      <c r="AA3706">
        <v>0.97946800000000001</v>
      </c>
      <c r="AB3706">
        <v>29</v>
      </c>
      <c r="AC3706">
        <v>-0.15330000000000099</v>
      </c>
      <c r="AD3706">
        <v>-0.1714107</v>
      </c>
      <c r="AE3706">
        <v>-0.61099999999999</v>
      </c>
      <c r="AF3706">
        <v>9.7557087279100702E-2</v>
      </c>
      <c r="AG3706">
        <v>-0.1714107</v>
      </c>
      <c r="AH3706">
        <v>0.57834085789312895</v>
      </c>
      <c r="AI3706">
        <v>106.291250993067</v>
      </c>
      <c r="AJ3706">
        <v>80.425231011923501</v>
      </c>
      <c r="AK3706">
        <v>0.61104595675074402</v>
      </c>
      <c r="AL3706">
        <v>65.740376086747503</v>
      </c>
      <c r="AM3706">
        <v>89.809206076191501</v>
      </c>
      <c r="AN3706">
        <v>1.00000001325697</v>
      </c>
    </row>
    <row r="3707" spans="1:40" x14ac:dyDescent="0.25">
      <c r="A3707" t="str">
        <f>"20190304164444691"</f>
        <v>20190304164444691</v>
      </c>
      <c r="B3707" t="str">
        <f>"1551689084683745"</f>
        <v>1551689084683745</v>
      </c>
      <c r="C3707" t="s">
        <v>40</v>
      </c>
      <c r="D3707">
        <v>5.6052249999999999</v>
      </c>
      <c r="E3707">
        <v>0.55607430000000002</v>
      </c>
      <c r="F3707" t="s">
        <v>41</v>
      </c>
      <c r="G3707">
        <v>-190.49029999999999</v>
      </c>
      <c r="H3707">
        <v>0.94652950000000002</v>
      </c>
      <c r="I3707">
        <v>175.6157</v>
      </c>
      <c r="J3707">
        <v>-190.33269999999999</v>
      </c>
      <c r="K3707">
        <v>1.1119540000000001</v>
      </c>
      <c r="L3707">
        <v>176.31229999999999</v>
      </c>
      <c r="M3707">
        <v>-7.7880499999999894E-2</v>
      </c>
      <c r="N3707">
        <v>-1.356808E-2</v>
      </c>
      <c r="O3707">
        <v>-0.99687049999999999</v>
      </c>
      <c r="P3707">
        <v>-7.6479839999999993E-2</v>
      </c>
      <c r="Q3707">
        <v>0.39752870000000001</v>
      </c>
      <c r="R3707">
        <v>-0.91439729999999997</v>
      </c>
      <c r="S3707">
        <v>-0.69071959999999999</v>
      </c>
      <c r="T3707">
        <v>-0.67003800000000002</v>
      </c>
      <c r="U3707">
        <v>-3.516861</v>
      </c>
      <c r="V3707">
        <v>4.2204850000000004E-3</v>
      </c>
      <c r="W3707">
        <v>0.40995090000000001</v>
      </c>
      <c r="X3707">
        <v>0.91209779999999996</v>
      </c>
      <c r="Y3707">
        <v>0.1127172</v>
      </c>
      <c r="Z3707">
        <v>0.17077899999999999</v>
      </c>
      <c r="AA3707">
        <v>0.97884079999999996</v>
      </c>
      <c r="AB3707">
        <v>29</v>
      </c>
      <c r="AC3707">
        <v>-0.15760000000000199</v>
      </c>
      <c r="AD3707">
        <v>-0.1654245</v>
      </c>
      <c r="AE3707">
        <v>-0.69659999999998901</v>
      </c>
      <c r="AF3707">
        <v>9.7627187842964605E-2</v>
      </c>
      <c r="AG3707">
        <v>-0.1654245</v>
      </c>
      <c r="AH3707">
        <v>0.67077328667493996</v>
      </c>
      <c r="AI3707">
        <v>103.71474145896001</v>
      </c>
      <c r="AJ3707">
        <v>81.719074625745705</v>
      </c>
      <c r="AK3707">
        <v>0.69773428690517703</v>
      </c>
      <c r="AL3707">
        <v>65.798248898028206</v>
      </c>
      <c r="AM3707">
        <v>89.734881224184306</v>
      </c>
      <c r="AN3707">
        <v>0.99999997483464198</v>
      </c>
    </row>
    <row r="3708" spans="1:40" x14ac:dyDescent="0.25">
      <c r="A3708" t="str">
        <f>"20190304164444703"</f>
        <v>20190304164444703</v>
      </c>
      <c r="B3708" t="str">
        <f>"1551689084693506"</f>
        <v>1551689084693506</v>
      </c>
      <c r="C3708" t="s">
        <v>40</v>
      </c>
      <c r="D3708">
        <v>5.6083569999999998</v>
      </c>
      <c r="E3708">
        <v>0.55606639999999996</v>
      </c>
      <c r="F3708" t="s">
        <v>41</v>
      </c>
      <c r="G3708">
        <v>-190.47329999999999</v>
      </c>
      <c r="H3708">
        <v>0.97567709999999996</v>
      </c>
      <c r="I3708">
        <v>175.60050000000001</v>
      </c>
      <c r="J3708">
        <v>-190.34289999999999</v>
      </c>
      <c r="K3708">
        <v>1.1120319999999999</v>
      </c>
      <c r="L3708">
        <v>176.17330000000001</v>
      </c>
      <c r="M3708">
        <v>-7.7213470000000006E-2</v>
      </c>
      <c r="N3708">
        <v>-1.3564720000000001E-2</v>
      </c>
      <c r="O3708">
        <v>-0.99692259999999999</v>
      </c>
      <c r="P3708">
        <v>-7.7418390000000004E-2</v>
      </c>
      <c r="Q3708">
        <v>0.39721479999999998</v>
      </c>
      <c r="R3708">
        <v>-0.91445449999999995</v>
      </c>
      <c r="S3708">
        <v>-0.694519</v>
      </c>
      <c r="T3708">
        <v>-0.67304299999999995</v>
      </c>
      <c r="U3708">
        <v>-3.5153660000000002</v>
      </c>
      <c r="V3708">
        <v>5.6864569999999998E-3</v>
      </c>
      <c r="W3708">
        <v>0.40964</v>
      </c>
      <c r="X3708">
        <v>0.91222950000000003</v>
      </c>
      <c r="Y3708">
        <v>0.1144472</v>
      </c>
      <c r="Z3708">
        <v>0.1716329</v>
      </c>
      <c r="AA3708">
        <v>0.97849070000000005</v>
      </c>
      <c r="AB3708">
        <v>29</v>
      </c>
      <c r="AC3708">
        <v>-0.13040000000000801</v>
      </c>
      <c r="AD3708">
        <v>-0.136354899999999</v>
      </c>
      <c r="AE3708">
        <v>-0.57279999999999998</v>
      </c>
      <c r="AF3708">
        <v>8.1393576538393103E-2</v>
      </c>
      <c r="AG3708">
        <v>-0.136354899999999</v>
      </c>
      <c r="AH3708">
        <v>0.551449565163317</v>
      </c>
      <c r="AI3708">
        <v>103.74554953833901</v>
      </c>
      <c r="AJ3708">
        <v>81.603804056703893</v>
      </c>
      <c r="AK3708">
        <v>0.573859038418437</v>
      </c>
      <c r="AL3708">
        <v>65.817776876544002</v>
      </c>
      <c r="AM3708">
        <v>89.642846710698393</v>
      </c>
      <c r="AN3708">
        <v>0.99999996303173</v>
      </c>
    </row>
    <row r="3709" spans="1:40" x14ac:dyDescent="0.25">
      <c r="A3709" t="str">
        <f>"20190304164444715"</f>
        <v>20190304164444715</v>
      </c>
      <c r="B3709" t="str">
        <f>"1551689084704242"</f>
        <v>1551689084704242</v>
      </c>
      <c r="C3709" t="s">
        <v>40</v>
      </c>
      <c r="D3709">
        <v>5.6152449999999998</v>
      </c>
      <c r="E3709">
        <v>0.55606679999999997</v>
      </c>
      <c r="F3709" t="s">
        <v>41</v>
      </c>
      <c r="G3709">
        <v>-190.5052</v>
      </c>
      <c r="H3709">
        <v>0.95555230000000002</v>
      </c>
      <c r="I3709">
        <v>175.35769999999999</v>
      </c>
      <c r="J3709">
        <v>-190.3545</v>
      </c>
      <c r="K3709">
        <v>1.112114</v>
      </c>
      <c r="L3709">
        <v>176.0155</v>
      </c>
      <c r="M3709">
        <v>-7.6434509999999997E-2</v>
      </c>
      <c r="N3709">
        <v>-1.3560900000000001E-2</v>
      </c>
      <c r="O3709">
        <v>-0.99698249999999999</v>
      </c>
      <c r="P3709">
        <v>-7.8125299999999995E-2</v>
      </c>
      <c r="Q3709">
        <v>0.39689229999999998</v>
      </c>
      <c r="R3709">
        <v>-0.91453419999999996</v>
      </c>
      <c r="S3709">
        <v>-0.69889829999999997</v>
      </c>
      <c r="T3709">
        <v>-0.67439720000000003</v>
      </c>
      <c r="U3709">
        <v>-3.5144039999999999</v>
      </c>
      <c r="V3709">
        <v>7.0193199999999999E-3</v>
      </c>
      <c r="W3709">
        <v>0.40932020000000002</v>
      </c>
      <c r="X3709">
        <v>0.91236379999999995</v>
      </c>
      <c r="Y3709">
        <v>0.1164311</v>
      </c>
      <c r="Z3709">
        <v>0.17201810000000001</v>
      </c>
      <c r="AA3709">
        <v>0.97818890000000003</v>
      </c>
      <c r="AB3709">
        <v>28</v>
      </c>
      <c r="AC3709">
        <v>-0.1507</v>
      </c>
      <c r="AD3709">
        <v>-0.156561699999999</v>
      </c>
      <c r="AE3709">
        <v>-0.65780000000000804</v>
      </c>
      <c r="AF3709">
        <v>9.4869661442789396E-2</v>
      </c>
      <c r="AG3709">
        <v>-0.156561699999999</v>
      </c>
      <c r="AH3709">
        <v>0.63330854610148701</v>
      </c>
      <c r="AI3709">
        <v>103.73843148436301</v>
      </c>
      <c r="AJ3709">
        <v>81.480438068332802</v>
      </c>
      <c r="AK3709">
        <v>0.65923556725524102</v>
      </c>
      <c r="AL3709">
        <v>65.837862025949903</v>
      </c>
      <c r="AM3709">
        <v>89.559200533526194</v>
      </c>
      <c r="AN3709">
        <v>1.00000000026587</v>
      </c>
    </row>
    <row r="3710" spans="1:40" x14ac:dyDescent="0.25">
      <c r="A3710" t="str">
        <f>"20190304164444730"</f>
        <v>20190304164444730</v>
      </c>
      <c r="B3710" t="str">
        <f>"1551689084723761"</f>
        <v>1551689084723761</v>
      </c>
      <c r="C3710" t="s">
        <v>40</v>
      </c>
      <c r="D3710">
        <v>5.6565180000000002</v>
      </c>
      <c r="E3710">
        <v>0.55599379999999998</v>
      </c>
      <c r="F3710" t="s">
        <v>41</v>
      </c>
      <c r="G3710">
        <v>-190.5343</v>
      </c>
      <c r="H3710">
        <v>0.93865350000000003</v>
      </c>
      <c r="I3710">
        <v>175.1131</v>
      </c>
      <c r="J3710">
        <v>-190.36779999999999</v>
      </c>
      <c r="K3710">
        <v>1.1121890000000001</v>
      </c>
      <c r="L3710">
        <v>175.82929999999999</v>
      </c>
      <c r="M3710">
        <v>-7.5454279999999999E-2</v>
      </c>
      <c r="N3710">
        <v>-1.355665E-2</v>
      </c>
      <c r="O3710">
        <v>-0.99705719999999998</v>
      </c>
      <c r="P3710">
        <v>-7.8382980000000005E-2</v>
      </c>
      <c r="Q3710">
        <v>0.3967347</v>
      </c>
      <c r="R3710">
        <v>-0.91458079999999997</v>
      </c>
      <c r="S3710">
        <v>-0.7004089</v>
      </c>
      <c r="T3710">
        <v>-0.67531560000000002</v>
      </c>
      <c r="U3710">
        <v>-3.513611</v>
      </c>
      <c r="V3710">
        <v>8.1018440000000004E-3</v>
      </c>
      <c r="W3710">
        <v>0.40916360000000002</v>
      </c>
      <c r="X3710">
        <v>0.91242500000000004</v>
      </c>
      <c r="Y3710">
        <v>0.1178424</v>
      </c>
      <c r="Z3710">
        <v>0.1723026</v>
      </c>
      <c r="AA3710">
        <v>0.9779698</v>
      </c>
      <c r="AB3710">
        <v>28</v>
      </c>
      <c r="AC3710">
        <v>-0.166500000000013</v>
      </c>
      <c r="AD3710">
        <v>-0.17353549999999901</v>
      </c>
      <c r="AE3710">
        <v>-0.71619999999998596</v>
      </c>
      <c r="AF3710">
        <v>0.10607183592712199</v>
      </c>
      <c r="AG3710">
        <v>-0.17353549999999901</v>
      </c>
      <c r="AH3710">
        <v>0.68838002720511604</v>
      </c>
      <c r="AI3710">
        <v>103.990509496024</v>
      </c>
      <c r="AJ3710">
        <v>81.240242153431396</v>
      </c>
      <c r="AK3710">
        <v>0.71779723180861899</v>
      </c>
      <c r="AL3710">
        <v>65.847694071570302</v>
      </c>
      <c r="AM3710">
        <v>89.491257617794801</v>
      </c>
      <c r="AN3710">
        <v>0.99999993603307802</v>
      </c>
    </row>
    <row r="3711" spans="1:40" x14ac:dyDescent="0.25">
      <c r="A3711" t="str">
        <f>"20190304164444746"</f>
        <v>20190304164444746</v>
      </c>
      <c r="B3711" t="str">
        <f>"1551689084733521"</f>
        <v>1551689084733521</v>
      </c>
      <c r="C3711" t="s">
        <v>40</v>
      </c>
      <c r="D3711">
        <v>5.6179899999999998</v>
      </c>
      <c r="E3711">
        <v>0.55600229999999995</v>
      </c>
      <c r="F3711" t="s">
        <v>41</v>
      </c>
      <c r="G3711">
        <v>-190.5137</v>
      </c>
      <c r="H3711">
        <v>0.97137859999999998</v>
      </c>
      <c r="I3711">
        <v>175.09610000000001</v>
      </c>
      <c r="J3711">
        <v>-190.38140000000001</v>
      </c>
      <c r="K3711">
        <v>1.11225</v>
      </c>
      <c r="L3711">
        <v>175.636</v>
      </c>
      <c r="M3711">
        <v>-7.4402759999999998E-2</v>
      </c>
      <c r="N3711">
        <v>-1.3552420000000001E-2</v>
      </c>
      <c r="O3711">
        <v>-0.99713629999999998</v>
      </c>
      <c r="P3711">
        <v>-7.9376399999999903E-2</v>
      </c>
      <c r="Q3711">
        <v>0.39644390000000002</v>
      </c>
      <c r="R3711">
        <v>-0.91462120000000002</v>
      </c>
      <c r="S3711">
        <v>-0.699295</v>
      </c>
      <c r="T3711">
        <v>-0.67462349999999904</v>
      </c>
      <c r="U3711">
        <v>-3.5128780000000002</v>
      </c>
      <c r="V3711">
        <v>1.0002749999999999E-2</v>
      </c>
      <c r="W3711">
        <v>0.40887639999999997</v>
      </c>
      <c r="X3711">
        <v>0.91253499999999999</v>
      </c>
      <c r="Y3711">
        <v>0.11863360000000001</v>
      </c>
      <c r="Z3711">
        <v>0.17217639999999901</v>
      </c>
      <c r="AA3711">
        <v>0.9778964</v>
      </c>
      <c r="AB3711">
        <v>28</v>
      </c>
      <c r="AC3711">
        <v>-0.13229999999998601</v>
      </c>
      <c r="AD3711">
        <v>-0.14087139999999901</v>
      </c>
      <c r="AE3711">
        <v>-0.53989999999998795</v>
      </c>
      <c r="AF3711">
        <v>8.6222020774778099E-2</v>
      </c>
      <c r="AG3711">
        <v>-0.14087139999999901</v>
      </c>
      <c r="AH3711">
        <v>0.51516215514062103</v>
      </c>
      <c r="AI3711">
        <v>105.093512670585</v>
      </c>
      <c r="AJ3711">
        <v>80.498545766069597</v>
      </c>
      <c r="AK3711">
        <v>0.54099078947203405</v>
      </c>
      <c r="AL3711">
        <v>65.865729647909205</v>
      </c>
      <c r="AM3711">
        <v>89.371977616131105</v>
      </c>
      <c r="AN3711">
        <v>1.00000004585476</v>
      </c>
    </row>
    <row r="3712" spans="1:40" x14ac:dyDescent="0.25">
      <c r="A3712" t="str">
        <f>"20190304164444768"</f>
        <v>20190304164444768</v>
      </c>
      <c r="B3712" t="str">
        <f>"1551689084763778"</f>
        <v>1551689084763778</v>
      </c>
      <c r="C3712" t="s">
        <v>40</v>
      </c>
      <c r="D3712">
        <v>5.6435069999999996</v>
      </c>
      <c r="E3712">
        <v>0.55595640000000002</v>
      </c>
      <c r="F3712" t="s">
        <v>41</v>
      </c>
      <c r="G3712">
        <v>-190.53870000000001</v>
      </c>
      <c r="H3712">
        <v>0.96085580000000004</v>
      </c>
      <c r="I3712">
        <v>174.8486</v>
      </c>
      <c r="J3712">
        <v>-190.40110000000001</v>
      </c>
      <c r="K3712">
        <v>1.112304</v>
      </c>
      <c r="L3712">
        <v>175.34960000000001</v>
      </c>
      <c r="M3712">
        <v>-7.281137E-2</v>
      </c>
      <c r="N3712">
        <v>-1.354644E-2</v>
      </c>
      <c r="O3712">
        <v>-0.99725379999999997</v>
      </c>
      <c r="P3712">
        <v>-7.9773079999999996E-2</v>
      </c>
      <c r="Q3712">
        <v>0.3965494</v>
      </c>
      <c r="R3712">
        <v>-0.91454100000000005</v>
      </c>
      <c r="S3712">
        <v>-0.70143129999999998</v>
      </c>
      <c r="T3712">
        <v>-0.67530059999999903</v>
      </c>
      <c r="U3712">
        <v>-3.5118870000000002</v>
      </c>
      <c r="V3712">
        <v>1.1817319999999999E-2</v>
      </c>
      <c r="W3712">
        <v>0.40898259999999997</v>
      </c>
      <c r="X3712">
        <v>0.91246570000000005</v>
      </c>
      <c r="Y3712">
        <v>0.1208317</v>
      </c>
      <c r="Z3712">
        <v>0.17240739999999999</v>
      </c>
      <c r="AA3712">
        <v>0.97758650000000002</v>
      </c>
      <c r="AB3712">
        <v>28</v>
      </c>
      <c r="AC3712">
        <v>-0.13759999999999101</v>
      </c>
      <c r="AD3712">
        <v>-0.15144820000000001</v>
      </c>
      <c r="AE3712">
        <v>-0.501000000000004</v>
      </c>
      <c r="AF3712">
        <v>9.2862286554500698E-2</v>
      </c>
      <c r="AG3712">
        <v>-0.15144820000000001</v>
      </c>
      <c r="AH3712">
        <v>0.46977278652015197</v>
      </c>
      <c r="AI3712">
        <v>107.55040085613101</v>
      </c>
      <c r="AJ3712">
        <v>78.818219484995396</v>
      </c>
      <c r="AK3712">
        <v>0.50224140858981203</v>
      </c>
      <c r="AL3712">
        <v>65.859061562592103</v>
      </c>
      <c r="AM3712">
        <v>89.258005303882896</v>
      </c>
      <c r="AN3712">
        <v>1.00000003491561</v>
      </c>
    </row>
    <row r="3713" spans="1:40" x14ac:dyDescent="0.25">
      <c r="A3713" t="str">
        <f>"20190304164444782"</f>
        <v>20190304164444782</v>
      </c>
      <c r="B3713" t="str">
        <f>"1551689084773538"</f>
        <v>1551689084773538</v>
      </c>
      <c r="C3713" t="s">
        <v>40</v>
      </c>
      <c r="D3713">
        <v>5.6221889999999997</v>
      </c>
      <c r="E3713">
        <v>0.55594330000000003</v>
      </c>
      <c r="F3713" t="s">
        <v>41</v>
      </c>
      <c r="G3713">
        <v>-190.55160000000001</v>
      </c>
      <c r="H3713">
        <v>0.96686450000000002</v>
      </c>
      <c r="I3713">
        <v>174.5925</v>
      </c>
      <c r="J3713">
        <v>-190.4128</v>
      </c>
      <c r="K3713">
        <v>1.1123179999999999</v>
      </c>
      <c r="L3713">
        <v>175.17619999999999</v>
      </c>
      <c r="M3713">
        <v>-7.1841810000000006E-2</v>
      </c>
      <c r="N3713">
        <v>-1.3543019999999999E-2</v>
      </c>
      <c r="O3713">
        <v>-0.99732399999999999</v>
      </c>
      <c r="P3713">
        <v>-8.0260659999999998E-2</v>
      </c>
      <c r="Q3713">
        <v>0.39681250000000001</v>
      </c>
      <c r="R3713">
        <v>-0.91438390000000003</v>
      </c>
      <c r="S3713">
        <v>-0.69821169999999899</v>
      </c>
      <c r="T3713">
        <v>-0.67474319999999999</v>
      </c>
      <c r="U3713">
        <v>-3.5120089999999902</v>
      </c>
      <c r="V3713">
        <v>1.3191609999999999E-2</v>
      </c>
      <c r="W3713">
        <v>0.40924500000000003</v>
      </c>
      <c r="X3713">
        <v>0.91232919999999995</v>
      </c>
      <c r="Y3713">
        <v>0.1209322</v>
      </c>
      <c r="Z3713">
        <v>0.17228879999999999</v>
      </c>
      <c r="AA3713">
        <v>0.97759499999999999</v>
      </c>
      <c r="AB3713">
        <v>28</v>
      </c>
      <c r="AC3713">
        <v>-0.138800000000003</v>
      </c>
      <c r="AD3713">
        <v>-0.14545350000000001</v>
      </c>
      <c r="AE3713">
        <v>-0.583699999999993</v>
      </c>
      <c r="AF3713">
        <v>9.1146384539542005E-2</v>
      </c>
      <c r="AG3713">
        <v>-0.14545350000000001</v>
      </c>
      <c r="AH3713">
        <v>0.55929251092903698</v>
      </c>
      <c r="AI3713">
        <v>104.39593744968199</v>
      </c>
      <c r="AJ3713">
        <v>80.744030776671707</v>
      </c>
      <c r="AK3713">
        <v>0.58504059419683596</v>
      </c>
      <c r="AL3713">
        <v>65.842585039403502</v>
      </c>
      <c r="AM3713">
        <v>89.171602847793807</v>
      </c>
      <c r="AN3713">
        <v>1.00000002888601</v>
      </c>
    </row>
    <row r="3714" spans="1:40" x14ac:dyDescent="0.25">
      <c r="A3714" t="str">
        <f>"20190304164444802"</f>
        <v>20190304164444802</v>
      </c>
      <c r="B3714" t="str">
        <f>"1551689084794033"</f>
        <v>1551689084794033</v>
      </c>
      <c r="C3714" t="s">
        <v>40</v>
      </c>
      <c r="D3714">
        <v>5.615958</v>
      </c>
      <c r="E3714">
        <v>0.55598199999999998</v>
      </c>
      <c r="F3714" t="s">
        <v>41</v>
      </c>
      <c r="G3714">
        <v>-190.5772</v>
      </c>
      <c r="H3714">
        <v>0.95315309999999998</v>
      </c>
      <c r="I3714">
        <v>174.34690000000001</v>
      </c>
      <c r="J3714">
        <v>-190.43</v>
      </c>
      <c r="K3714">
        <v>1.1123240000000001</v>
      </c>
      <c r="L3714">
        <v>174.91579999999999</v>
      </c>
      <c r="M3714">
        <v>-7.0397539999999995E-2</v>
      </c>
      <c r="N3714">
        <v>-1.353818E-2</v>
      </c>
      <c r="O3714">
        <v>-0.99742719999999896</v>
      </c>
      <c r="P3714">
        <v>-8.1517770000000003E-2</v>
      </c>
      <c r="Q3714">
        <v>0.39685359999999997</v>
      </c>
      <c r="R3714">
        <v>-0.91425509999999999</v>
      </c>
      <c r="S3714">
        <v>-0.69573969999999996</v>
      </c>
      <c r="T3714">
        <v>-0.67419449999999903</v>
      </c>
      <c r="U3714">
        <v>-3.5124050000000002</v>
      </c>
      <c r="V3714">
        <v>1.577829E-2</v>
      </c>
      <c r="W3714">
        <v>0.40928799999999999</v>
      </c>
      <c r="X3714">
        <v>0.91226879999999999</v>
      </c>
      <c r="Y3714">
        <v>0.12169000000000001</v>
      </c>
      <c r="Z3714">
        <v>0.17215730000000001</v>
      </c>
      <c r="AA3714">
        <v>0.97752410000000001</v>
      </c>
      <c r="AB3714">
        <v>28</v>
      </c>
      <c r="AC3714">
        <v>-0.147199999999998</v>
      </c>
      <c r="AD3714">
        <v>-0.159170899999999</v>
      </c>
      <c r="AE3714">
        <v>-0.56889999999998497</v>
      </c>
      <c r="AF3714">
        <v>9.9482951403286501E-2</v>
      </c>
      <c r="AG3714">
        <v>-0.159170899999999</v>
      </c>
      <c r="AH3714">
        <v>0.53835339521530601</v>
      </c>
      <c r="AI3714">
        <v>106.21126556273499</v>
      </c>
      <c r="AJ3714">
        <v>79.530351656361304</v>
      </c>
      <c r="AK3714">
        <v>0.57013736166520901</v>
      </c>
      <c r="AL3714">
        <v>65.839883884808799</v>
      </c>
      <c r="AM3714">
        <v>89.009130535455</v>
      </c>
      <c r="AN3714">
        <v>0.99999999241638204</v>
      </c>
    </row>
    <row r="3715" spans="1:40" x14ac:dyDescent="0.25">
      <c r="A3715" t="str">
        <f>"20190304164444823"</f>
        <v>20190304164444823</v>
      </c>
      <c r="B3715" t="str">
        <f>"1551689084813553"</f>
        <v>1551689084813553</v>
      </c>
      <c r="C3715" t="s">
        <v>40</v>
      </c>
      <c r="D3715">
        <v>5.6420159999999999</v>
      </c>
      <c r="E3715">
        <v>0.55600799999999995</v>
      </c>
      <c r="F3715" t="s">
        <v>41</v>
      </c>
      <c r="G3715">
        <v>-190.5926</v>
      </c>
      <c r="H3715">
        <v>0.95459649999999996</v>
      </c>
      <c r="I3715">
        <v>174.09350000000001</v>
      </c>
      <c r="J3715">
        <v>-190.44730000000001</v>
      </c>
      <c r="K3715">
        <v>1.1123099999999999</v>
      </c>
      <c r="L3715">
        <v>174.6497</v>
      </c>
      <c r="M3715">
        <v>-6.8954100000000004E-2</v>
      </c>
      <c r="N3715">
        <v>-1.353357E-2</v>
      </c>
      <c r="O3715">
        <v>-0.99752799999999997</v>
      </c>
      <c r="P3715">
        <v>-8.2427609999999998E-2</v>
      </c>
      <c r="Q3715">
        <v>0.39662350000000002</v>
      </c>
      <c r="R3715">
        <v>-0.91427309999999995</v>
      </c>
      <c r="S3715">
        <v>-0.69409180000000004</v>
      </c>
      <c r="T3715">
        <v>-0.67367980000000005</v>
      </c>
      <c r="U3715">
        <v>-3.511917</v>
      </c>
      <c r="V3715">
        <v>1.8024789999999999E-2</v>
      </c>
      <c r="W3715">
        <v>0.40906090000000001</v>
      </c>
      <c r="X3715">
        <v>0.91232899999999995</v>
      </c>
      <c r="Y3715">
        <v>0.1227121</v>
      </c>
      <c r="Z3715">
        <v>0.17207140000000001</v>
      </c>
      <c r="AA3715">
        <v>0.97741140000000004</v>
      </c>
      <c r="AB3715">
        <v>28</v>
      </c>
      <c r="AC3715">
        <v>-0.14529999999999099</v>
      </c>
      <c r="AD3715">
        <v>-0.15771350000000001</v>
      </c>
      <c r="AE3715">
        <v>-0.55619999999998904</v>
      </c>
      <c r="AF3715">
        <v>9.9136593198489206E-2</v>
      </c>
      <c r="AG3715">
        <v>-0.15771350000000001</v>
      </c>
      <c r="AH3715">
        <v>0.52535400146400502</v>
      </c>
      <c r="AI3715">
        <v>106.435945748612</v>
      </c>
      <c r="AJ3715">
        <v>79.313697833540104</v>
      </c>
      <c r="AK3715">
        <v>0.55740330017635797</v>
      </c>
      <c r="AL3715">
        <v>65.854143286625003</v>
      </c>
      <c r="AM3715">
        <v>88.868160441041397</v>
      </c>
      <c r="AN3715">
        <v>0.99999995860217605</v>
      </c>
    </row>
    <row r="3716" spans="1:40" x14ac:dyDescent="0.25">
      <c r="A3716" t="str">
        <f>"20190304164444837"</f>
        <v>20190304164444837</v>
      </c>
      <c r="B3716" t="str">
        <f>"1551689084834049"</f>
        <v>1551689084834049</v>
      </c>
      <c r="C3716" t="s">
        <v>40</v>
      </c>
      <c r="D3716">
        <v>5.6457459999999999</v>
      </c>
      <c r="E3716">
        <v>0.55601250000000002</v>
      </c>
      <c r="F3716" t="s">
        <v>41</v>
      </c>
      <c r="G3716">
        <v>-190.60769999999999</v>
      </c>
      <c r="H3716">
        <v>0.9569626</v>
      </c>
      <c r="I3716">
        <v>173.84</v>
      </c>
      <c r="J3716">
        <v>-190.45859999999999</v>
      </c>
      <c r="K3716">
        <v>1.1122989999999999</v>
      </c>
      <c r="L3716">
        <v>174.47149999999999</v>
      </c>
      <c r="M3716">
        <v>-6.8010630000000002E-2</v>
      </c>
      <c r="N3716">
        <v>-1.353064E-2</v>
      </c>
      <c r="O3716">
        <v>-0.99759299999999995</v>
      </c>
      <c r="P3716">
        <v>-8.2622290000000001E-2</v>
      </c>
      <c r="Q3716">
        <v>0.3967888</v>
      </c>
      <c r="R3716">
        <v>-0.914184</v>
      </c>
      <c r="S3716">
        <v>-0.69503780000000004</v>
      </c>
      <c r="T3716">
        <v>-0.67368169999999905</v>
      </c>
      <c r="U3716">
        <v>-3.5108640000000002</v>
      </c>
      <c r="V3716">
        <v>1.910705E-2</v>
      </c>
      <c r="W3716">
        <v>0.40922449999999999</v>
      </c>
      <c r="X3716">
        <v>0.91223370000000004</v>
      </c>
      <c r="Y3716">
        <v>0.12395630000000001</v>
      </c>
      <c r="Z3716">
        <v>0.17212529999999901</v>
      </c>
      <c r="AA3716">
        <v>0.97724500000000003</v>
      </c>
      <c r="AB3716">
        <v>28</v>
      </c>
      <c r="AC3716">
        <v>-0.14910000000000401</v>
      </c>
      <c r="AD3716">
        <v>-0.15533639999999899</v>
      </c>
      <c r="AE3716">
        <v>-0.63149999999998796</v>
      </c>
      <c r="AF3716">
        <v>0.100067092613287</v>
      </c>
      <c r="AG3716">
        <v>-0.15533639999999899</v>
      </c>
      <c r="AH3716">
        <v>0.60547810333669905</v>
      </c>
      <c r="AI3716">
        <v>104.204264123613</v>
      </c>
      <c r="AJ3716">
        <v>80.615580896298795</v>
      </c>
      <c r="AK3716">
        <v>0.633045459512382</v>
      </c>
      <c r="AL3716">
        <v>65.843872799922906</v>
      </c>
      <c r="AM3716">
        <v>88.800095552369001</v>
      </c>
      <c r="AN3716">
        <v>1.0000000470878201</v>
      </c>
    </row>
    <row r="3717" spans="1:40" x14ac:dyDescent="0.25">
      <c r="A3717" t="str">
        <f>"20190304164444856"</f>
        <v>20190304164444856</v>
      </c>
      <c r="B3717" t="str">
        <f>"1551689084853570"</f>
        <v>1551689084853570</v>
      </c>
      <c r="C3717" t="s">
        <v>40</v>
      </c>
      <c r="D3717">
        <v>5.635078</v>
      </c>
      <c r="E3717">
        <v>0.55602750000000001</v>
      </c>
      <c r="F3717" t="s">
        <v>41</v>
      </c>
      <c r="G3717">
        <v>-190.63229999999999</v>
      </c>
      <c r="H3717">
        <v>0.94432139999999998</v>
      </c>
      <c r="I3717">
        <v>173.5941</v>
      </c>
      <c r="J3717">
        <v>-190.4735</v>
      </c>
      <c r="K3717">
        <v>1.1122860000000001</v>
      </c>
      <c r="L3717">
        <v>174.23330000000001</v>
      </c>
      <c r="M3717">
        <v>-6.6790359999999993E-2</v>
      </c>
      <c r="N3717">
        <v>-1.352692E-2</v>
      </c>
      <c r="O3717">
        <v>-0.99767550000000005</v>
      </c>
      <c r="P3717">
        <v>-8.3922979999999994E-2</v>
      </c>
      <c r="Q3717">
        <v>0.39697700000000002</v>
      </c>
      <c r="R3717">
        <v>-0.91398409999999997</v>
      </c>
      <c r="S3717">
        <v>-0.69479369999999996</v>
      </c>
      <c r="T3717">
        <v>-0.67216299999999995</v>
      </c>
      <c r="U3717">
        <v>-3.5105740000000001</v>
      </c>
      <c r="V3717">
        <v>2.1568690000000001E-2</v>
      </c>
      <c r="W3717">
        <v>0.40941250000000001</v>
      </c>
      <c r="X3717">
        <v>0.91209439999999997</v>
      </c>
      <c r="Y3717">
        <v>0.1251313</v>
      </c>
      <c r="Z3717">
        <v>0.1717475</v>
      </c>
      <c r="AA3717">
        <v>0.97716170000000002</v>
      </c>
      <c r="AB3717">
        <v>28</v>
      </c>
      <c r="AC3717">
        <v>-0.15879999999998501</v>
      </c>
      <c r="AD3717">
        <v>-0.16796459999999999</v>
      </c>
      <c r="AE3717">
        <v>-0.63920000000001598</v>
      </c>
      <c r="AF3717">
        <v>0.108680902368223</v>
      </c>
      <c r="AG3717">
        <v>-0.16796459999999999</v>
      </c>
      <c r="AH3717">
        <v>0.60878681875618001</v>
      </c>
      <c r="AI3717">
        <v>105.19533055570299</v>
      </c>
      <c r="AJ3717">
        <v>79.878158460857506</v>
      </c>
      <c r="AK3717">
        <v>0.64081591434982399</v>
      </c>
      <c r="AL3717">
        <v>65.832065661607103</v>
      </c>
      <c r="AM3717">
        <v>88.6453544377746</v>
      </c>
      <c r="AN3717">
        <v>0.99999999902796299</v>
      </c>
    </row>
    <row r="3718" spans="1:40" x14ac:dyDescent="0.25">
      <c r="A3718" t="str">
        <f>"20190304164444869"</f>
        <v>20190304164444869</v>
      </c>
      <c r="B3718" t="str">
        <f>"1551689084864306"</f>
        <v>1551689084864306</v>
      </c>
      <c r="C3718" t="s">
        <v>40</v>
      </c>
      <c r="D3718">
        <v>5.638401</v>
      </c>
      <c r="E3718">
        <v>0.55604319999999996</v>
      </c>
      <c r="F3718" t="s">
        <v>41</v>
      </c>
      <c r="G3718">
        <v>-190.6515</v>
      </c>
      <c r="H3718">
        <v>0.94225729999999996</v>
      </c>
      <c r="I3718">
        <v>173.34309999999999</v>
      </c>
      <c r="J3718">
        <v>-190.4836</v>
      </c>
      <c r="K3718">
        <v>1.1122639999999999</v>
      </c>
      <c r="L3718">
        <v>174.06970000000001</v>
      </c>
      <c r="M3718">
        <v>-6.5987039999999997E-2</v>
      </c>
      <c r="N3718">
        <v>-1.352446E-2</v>
      </c>
      <c r="O3718">
        <v>-0.99772899999999998</v>
      </c>
      <c r="P3718">
        <v>-8.4455829999999996E-2</v>
      </c>
      <c r="Q3718">
        <v>0.39713009999999999</v>
      </c>
      <c r="R3718">
        <v>-0.91386840000000003</v>
      </c>
      <c r="S3718">
        <v>-0.70060730000000004</v>
      </c>
      <c r="T3718">
        <v>-0.67042789999999997</v>
      </c>
      <c r="U3718">
        <v>-3.5091709999999998</v>
      </c>
      <c r="V3718">
        <v>2.2873270000000001E-2</v>
      </c>
      <c r="W3718">
        <v>0.40956429999999999</v>
      </c>
      <c r="X3718">
        <v>0.91199450000000004</v>
      </c>
      <c r="Y3718">
        <v>0.1275734</v>
      </c>
      <c r="Z3718">
        <v>0.17131479999999999</v>
      </c>
      <c r="AA3718">
        <v>0.97692190000000001</v>
      </c>
      <c r="AB3718">
        <v>28</v>
      </c>
      <c r="AC3718">
        <v>-0.16790000000000299</v>
      </c>
      <c r="AD3718">
        <v>-0.17000669999999901</v>
      </c>
      <c r="AE3718">
        <v>-0.72660000000001901</v>
      </c>
      <c r="AF3718">
        <v>0.11367574634589001</v>
      </c>
      <c r="AG3718">
        <v>-0.17000669999999901</v>
      </c>
      <c r="AH3718">
        <v>0.69973152644857295</v>
      </c>
      <c r="AI3718">
        <v>103.485758809941</v>
      </c>
      <c r="AJ3718">
        <v>80.772557046990002</v>
      </c>
      <c r="AK3718">
        <v>0.72900525543938</v>
      </c>
      <c r="AL3718">
        <v>65.822533155778103</v>
      </c>
      <c r="AM3718">
        <v>88.563294901634507</v>
      </c>
      <c r="AN3718">
        <v>1.0000000351726099</v>
      </c>
    </row>
    <row r="3719" spans="1:40" x14ac:dyDescent="0.25">
      <c r="A3719" t="str">
        <f>"20190304164444880"</f>
        <v>20190304164444880</v>
      </c>
      <c r="B3719" t="str">
        <f>"1551689084874066"</f>
        <v>1551689084874066</v>
      </c>
      <c r="C3719" t="s">
        <v>40</v>
      </c>
      <c r="D3719">
        <v>5.6899839999999999</v>
      </c>
      <c r="E3719">
        <v>0.55600919999999998</v>
      </c>
      <c r="F3719" t="s">
        <v>41</v>
      </c>
      <c r="G3719">
        <v>-190.63239999999999</v>
      </c>
      <c r="H3719">
        <v>0.97092330000000004</v>
      </c>
      <c r="I3719">
        <v>173.32859999999999</v>
      </c>
      <c r="J3719">
        <v>-190.4924</v>
      </c>
      <c r="K3719">
        <v>1.112242</v>
      </c>
      <c r="L3719">
        <v>173.92619999999999</v>
      </c>
      <c r="M3719">
        <v>-6.5307680000000007E-2</v>
      </c>
      <c r="N3719">
        <v>-1.3522289999999999E-2</v>
      </c>
      <c r="O3719">
        <v>-0.99777360000000004</v>
      </c>
      <c r="P3719">
        <v>-8.4860850000000002E-2</v>
      </c>
      <c r="Q3719">
        <v>0.3972405</v>
      </c>
      <c r="R3719">
        <v>-0.91378280000000001</v>
      </c>
      <c r="S3719">
        <v>-0.70320130000000003</v>
      </c>
      <c r="T3719">
        <v>-0.6692977</v>
      </c>
      <c r="U3719">
        <v>-3.5086210000000002</v>
      </c>
      <c r="V3719">
        <v>2.3935430000000001E-2</v>
      </c>
      <c r="W3719">
        <v>0.4096726</v>
      </c>
      <c r="X3719">
        <v>0.91191849999999997</v>
      </c>
      <c r="Y3719">
        <v>0.1289806</v>
      </c>
      <c r="Z3719">
        <v>0.17102519999999999</v>
      </c>
      <c r="AA3719">
        <v>0.97678779999999998</v>
      </c>
      <c r="AB3719">
        <v>28</v>
      </c>
      <c r="AC3719">
        <v>-0.139999999999986</v>
      </c>
      <c r="AD3719">
        <v>-0.14131869999999899</v>
      </c>
      <c r="AE3719">
        <v>-0.59759999999999902</v>
      </c>
      <c r="AF3719">
        <v>9.5601604103544499E-2</v>
      </c>
      <c r="AG3719">
        <v>-0.14131869999999899</v>
      </c>
      <c r="AH3719">
        <v>0.57498672622862501</v>
      </c>
      <c r="AI3719">
        <v>103.62833117480299</v>
      </c>
      <c r="AJ3719">
        <v>80.559931808999707</v>
      </c>
      <c r="AK3719">
        <v>0.59976693558079097</v>
      </c>
      <c r="AL3719">
        <v>65.815728938085499</v>
      </c>
      <c r="AM3719">
        <v>88.496483709154305</v>
      </c>
      <c r="AN3719">
        <v>0.99999994732114605</v>
      </c>
    </row>
    <row r="3720" spans="1:40" x14ac:dyDescent="0.25">
      <c r="A3720" t="str">
        <f>"20190304164444902"</f>
        <v>20190304164444902</v>
      </c>
      <c r="B3720" t="str">
        <f>"1551689084893585"</f>
        <v>1551689084893585</v>
      </c>
      <c r="C3720" t="s">
        <v>40</v>
      </c>
      <c r="D3720">
        <v>5.713686</v>
      </c>
      <c r="E3720">
        <v>0.55600839999999996</v>
      </c>
      <c r="F3720" t="s">
        <v>41</v>
      </c>
      <c r="G3720">
        <v>-190.66130000000001</v>
      </c>
      <c r="H3720">
        <v>0.95220479999999996</v>
      </c>
      <c r="I3720">
        <v>173.08629999999999</v>
      </c>
      <c r="J3720">
        <v>-190.50819999999999</v>
      </c>
      <c r="K3720">
        <v>1.112179</v>
      </c>
      <c r="L3720">
        <v>173.66370000000001</v>
      </c>
      <c r="M3720">
        <v>-6.4136949999999998E-2</v>
      </c>
      <c r="N3720">
        <v>-1.351834E-2</v>
      </c>
      <c r="O3720">
        <v>-0.9978496</v>
      </c>
      <c r="P3720">
        <v>-8.5402489999999998E-2</v>
      </c>
      <c r="Q3720">
        <v>0.39748559999999999</v>
      </c>
      <c r="R3720">
        <v>-0.91362540000000003</v>
      </c>
      <c r="S3720">
        <v>-0.70536799999999999</v>
      </c>
      <c r="T3720">
        <v>-0.66846989999999995</v>
      </c>
      <c r="U3720">
        <v>-3.5081329999999999</v>
      </c>
      <c r="V3720">
        <v>2.5627509999999999E-2</v>
      </c>
      <c r="W3720">
        <v>0.40991230000000001</v>
      </c>
      <c r="X3720">
        <v>0.91176489999999999</v>
      </c>
      <c r="Y3720">
        <v>0.1307547</v>
      </c>
      <c r="Z3720">
        <v>0.1708201</v>
      </c>
      <c r="AA3720">
        <v>0.97658780000000001</v>
      </c>
      <c r="AB3720">
        <v>28</v>
      </c>
      <c r="AC3720">
        <v>-0.153100000000023</v>
      </c>
      <c r="AD3720">
        <v>-0.15997419999999901</v>
      </c>
      <c r="AE3720">
        <v>-0.57740000000001102</v>
      </c>
      <c r="AF3720">
        <v>0.108002750662963</v>
      </c>
      <c r="AG3720">
        <v>-0.15997419999999901</v>
      </c>
      <c r="AH3720">
        <v>0.54681394358616298</v>
      </c>
      <c r="AI3720">
        <v>106.014120405596</v>
      </c>
      <c r="AJ3720">
        <v>78.827158139684897</v>
      </c>
      <c r="AK3720">
        <v>0.57988087372895702</v>
      </c>
      <c r="AL3720">
        <v>65.800675489494097</v>
      </c>
      <c r="AM3720">
        <v>88.389977873896299</v>
      </c>
      <c r="AN3720">
        <v>1.00000004791604</v>
      </c>
    </row>
    <row r="3721" spans="1:40" x14ac:dyDescent="0.25">
      <c r="A3721" t="str">
        <f>"20190304164444915"</f>
        <v>20190304164444915</v>
      </c>
      <c r="B3721" t="str">
        <f>"1551689084904321"</f>
        <v>1551689084904321</v>
      </c>
      <c r="C3721" t="s">
        <v>40</v>
      </c>
      <c r="D3721">
        <v>5.677022</v>
      </c>
      <c r="E3721">
        <v>0.55864179999999997</v>
      </c>
      <c r="F3721" t="s">
        <v>41</v>
      </c>
      <c r="G3721">
        <v>-190.67599999999999</v>
      </c>
      <c r="H3721">
        <v>0.95436310000000002</v>
      </c>
      <c r="I3721">
        <v>172.83359999999999</v>
      </c>
      <c r="J3721">
        <v>-190.51779999999999</v>
      </c>
      <c r="K3721">
        <v>1.1121319999999999</v>
      </c>
      <c r="L3721">
        <v>173.50290000000001</v>
      </c>
      <c r="M3721">
        <v>-6.3467200000000001E-2</v>
      </c>
      <c r="N3721">
        <v>-1.3515950000000001E-2</v>
      </c>
      <c r="O3721">
        <v>-0.99789240000000001</v>
      </c>
      <c r="P3721">
        <v>-8.5509290000000002E-2</v>
      </c>
      <c r="Q3721">
        <v>0.39753300000000003</v>
      </c>
      <c r="R3721">
        <v>-0.91359480000000004</v>
      </c>
      <c r="S3721">
        <v>-0.70811459999999904</v>
      </c>
      <c r="T3721">
        <v>-0.66689989999999999</v>
      </c>
      <c r="U3721">
        <v>-3.507584</v>
      </c>
      <c r="V3721">
        <v>2.6402189999999999E-2</v>
      </c>
      <c r="W3721">
        <v>0.40995540000000003</v>
      </c>
      <c r="X3721">
        <v>0.91172339999999996</v>
      </c>
      <c r="Y3721">
        <v>0.132196799999999</v>
      </c>
      <c r="Z3721">
        <v>0.17041099999999901</v>
      </c>
      <c r="AA3721">
        <v>0.97646509999999997</v>
      </c>
      <c r="AB3721">
        <v>28</v>
      </c>
      <c r="AC3721">
        <v>-0.15819999999999301</v>
      </c>
      <c r="AD3721">
        <v>-0.15776889999999999</v>
      </c>
      <c r="AE3721">
        <v>-0.66930000000002099</v>
      </c>
      <c r="AF3721">
        <v>0.109629293324394</v>
      </c>
      <c r="AG3721">
        <v>-0.15776889999999999</v>
      </c>
      <c r="AH3721">
        <v>0.64409633289728996</v>
      </c>
      <c r="AI3721">
        <v>103.575524619814</v>
      </c>
      <c r="AJ3721">
        <v>80.340463534274704</v>
      </c>
      <c r="AK3721">
        <v>0.67213815083935902</v>
      </c>
      <c r="AL3721">
        <v>65.797967690317904</v>
      </c>
      <c r="AM3721">
        <v>88.341260725486507</v>
      </c>
      <c r="AN3721">
        <v>1.0000000318667499</v>
      </c>
    </row>
    <row r="3722" spans="1:40" x14ac:dyDescent="0.25">
      <c r="A3722" t="str">
        <f>"20190304164444935"</f>
        <v>20190304164444935</v>
      </c>
      <c r="B3722" t="str">
        <f>"1551689084923841"</f>
        <v>1551689084923841</v>
      </c>
      <c r="C3722" t="s">
        <v>40</v>
      </c>
      <c r="D3722">
        <v>5.6143479999999997</v>
      </c>
      <c r="E3722">
        <v>0.55788000000000004</v>
      </c>
      <c r="F3722" t="s">
        <v>41</v>
      </c>
      <c r="G3722">
        <v>-190.7097</v>
      </c>
      <c r="H3722">
        <v>0.94978390000000001</v>
      </c>
      <c r="I3722">
        <v>172.5847</v>
      </c>
      <c r="J3722">
        <v>-190.53290000000001</v>
      </c>
      <c r="K3722">
        <v>1.112033</v>
      </c>
      <c r="L3722">
        <v>173.24930000000001</v>
      </c>
      <c r="M3722">
        <v>-6.253177E-2</v>
      </c>
      <c r="N3722">
        <v>-1.351218E-2</v>
      </c>
      <c r="O3722">
        <v>-0.99795149999999999</v>
      </c>
      <c r="P3722">
        <v>-8.6101150000000001E-2</v>
      </c>
      <c r="Q3722">
        <v>0.39927430000000003</v>
      </c>
      <c r="R3722">
        <v>-0.91277969999999997</v>
      </c>
      <c r="S3722">
        <v>-0.72813419999999995</v>
      </c>
      <c r="T3722">
        <v>-0.61592469999999999</v>
      </c>
      <c r="U3722">
        <v>-3.4836119999999999</v>
      </c>
      <c r="V3722">
        <v>2.8000460000000001E-2</v>
      </c>
      <c r="W3722">
        <v>0.41167860000000001</v>
      </c>
      <c r="X3722">
        <v>0.91089889999999996</v>
      </c>
      <c r="Y3722">
        <v>0.14024229999999999</v>
      </c>
      <c r="Z3722">
        <v>0.15771489999999999</v>
      </c>
      <c r="AA3722">
        <v>0.97747530000000005</v>
      </c>
      <c r="AB3722">
        <v>28</v>
      </c>
      <c r="AC3722">
        <v>-0.176799999999985</v>
      </c>
      <c r="AD3722">
        <v>-0.16224910000000001</v>
      </c>
      <c r="AE3722">
        <v>-0.66460000000000696</v>
      </c>
      <c r="AF3722">
        <v>0.12777925271152399</v>
      </c>
      <c r="AG3722">
        <v>-0.16224910000000001</v>
      </c>
      <c r="AH3722">
        <v>0.63879975550131896</v>
      </c>
      <c r="AI3722">
        <v>103.985368418627</v>
      </c>
      <c r="AJ3722">
        <v>78.688402904122697</v>
      </c>
      <c r="AK3722">
        <v>0.67135492513488804</v>
      </c>
      <c r="AL3722">
        <v>65.689675783488198</v>
      </c>
      <c r="AM3722">
        <v>88.239318150114698</v>
      </c>
      <c r="AN3722">
        <v>1.00000005073968</v>
      </c>
    </row>
    <row r="3723" spans="1:40" x14ac:dyDescent="0.25">
      <c r="A3723" t="str">
        <f>"20190304164444958"</f>
        <v>20190304164444958</v>
      </c>
      <c r="B3723" t="str">
        <f>"1551689084954097"</f>
        <v>1551689084954097</v>
      </c>
      <c r="C3723" t="s">
        <v>40</v>
      </c>
      <c r="D3723">
        <v>5.6157269999999997</v>
      </c>
      <c r="E3723">
        <v>0.55743160000000003</v>
      </c>
      <c r="F3723" t="s">
        <v>41</v>
      </c>
      <c r="G3723">
        <v>-190.72329999999999</v>
      </c>
      <c r="H3723">
        <v>0.94779619999999998</v>
      </c>
      <c r="I3723">
        <v>172.33420000000001</v>
      </c>
      <c r="J3723">
        <v>-190.55009999999999</v>
      </c>
      <c r="K3723">
        <v>1.1118950000000001</v>
      </c>
      <c r="L3723">
        <v>172.95599999999999</v>
      </c>
      <c r="M3723">
        <v>-6.1639779999999998E-2</v>
      </c>
      <c r="N3723">
        <v>-1.3507969999999999E-2</v>
      </c>
      <c r="O3723">
        <v>-0.99800719999999998</v>
      </c>
      <c r="P3723">
        <v>-8.6841680000000004E-2</v>
      </c>
      <c r="Q3723">
        <v>0.40073959999999997</v>
      </c>
      <c r="R3723">
        <v>-0.91206730000000003</v>
      </c>
      <c r="S3723">
        <v>-0.72599789999999997</v>
      </c>
      <c r="T3723">
        <v>-0.62686219999999904</v>
      </c>
      <c r="U3723">
        <v>-3.492432</v>
      </c>
      <c r="V3723">
        <v>2.9741710000000001E-2</v>
      </c>
      <c r="W3723">
        <v>0.41312379999999999</v>
      </c>
      <c r="X3723">
        <v>0.91018900000000003</v>
      </c>
      <c r="Y3723">
        <v>0.1399734</v>
      </c>
      <c r="Z3723">
        <v>0.16027810000000001</v>
      </c>
      <c r="AA3723">
        <v>0.97709690000000005</v>
      </c>
      <c r="AB3723">
        <v>28</v>
      </c>
      <c r="AC3723">
        <v>-0.17320000000000799</v>
      </c>
      <c r="AD3723">
        <v>-0.16409879999999999</v>
      </c>
      <c r="AE3723">
        <v>-0.62179999999997904</v>
      </c>
      <c r="AF3723">
        <v>0.12637166315411399</v>
      </c>
      <c r="AG3723">
        <v>-0.16409879999999999</v>
      </c>
      <c r="AH3723">
        <v>0.59296882978649601</v>
      </c>
      <c r="AI3723">
        <v>105.144958448644</v>
      </c>
      <c r="AJ3723">
        <v>77.969287740158705</v>
      </c>
      <c r="AK3723">
        <v>0.62810050669311202</v>
      </c>
      <c r="AL3723">
        <v>65.598779486702398</v>
      </c>
      <c r="AM3723">
        <v>88.128445477273104</v>
      </c>
      <c r="AN3723">
        <v>0.99999992958057904</v>
      </c>
    </row>
    <row r="3724" spans="1:40" x14ac:dyDescent="0.25">
      <c r="A3724" t="str">
        <f>"20190304164444980"</f>
        <v>20190304164444980</v>
      </c>
      <c r="B3724" t="str">
        <f>"1551689084973617"</f>
        <v>1551689084973617</v>
      </c>
      <c r="C3724" t="s">
        <v>40</v>
      </c>
      <c r="D3724">
        <v>5.5967029999999998</v>
      </c>
      <c r="E3724">
        <v>0.55737479999999995</v>
      </c>
      <c r="F3724" t="s">
        <v>41</v>
      </c>
      <c r="G3724">
        <v>-190.7321</v>
      </c>
      <c r="H3724">
        <v>0.95404960000000005</v>
      </c>
      <c r="I3724">
        <v>172.07980000000001</v>
      </c>
      <c r="J3724">
        <v>-190.56649999999999</v>
      </c>
      <c r="K3724">
        <v>1.1117509999999999</v>
      </c>
      <c r="L3724">
        <v>172.6771</v>
      </c>
      <c r="M3724">
        <v>-6.0985940000000002E-2</v>
      </c>
      <c r="N3724">
        <v>-1.3504199999999999E-2</v>
      </c>
      <c r="O3724">
        <v>-0.99804749999999998</v>
      </c>
      <c r="P3724">
        <v>-8.9657169999999994E-2</v>
      </c>
      <c r="Q3724">
        <v>0.40239029999999998</v>
      </c>
      <c r="R3724">
        <v>-0.91106790000000004</v>
      </c>
      <c r="S3724">
        <v>-0.72653199999999996</v>
      </c>
      <c r="T3724">
        <v>-0.62990489999999999</v>
      </c>
      <c r="U3724">
        <v>-3.496826</v>
      </c>
      <c r="V3724">
        <v>3.3360359999999999E-2</v>
      </c>
      <c r="W3724">
        <v>0.41475339999999999</v>
      </c>
      <c r="X3724">
        <v>0.90932210000000002</v>
      </c>
      <c r="Y3724">
        <v>0.1404987</v>
      </c>
      <c r="Z3724">
        <v>0.16089200000000001</v>
      </c>
      <c r="AA3724">
        <v>0.97692060000000003</v>
      </c>
      <c r="AB3724">
        <v>28</v>
      </c>
      <c r="AC3724">
        <v>-0.16560000000001099</v>
      </c>
      <c r="AD3724">
        <v>-0.15770139999999999</v>
      </c>
      <c r="AE3724">
        <v>-0.59729999999998995</v>
      </c>
      <c r="AF3724">
        <v>0.121027065443962</v>
      </c>
      <c r="AG3724">
        <v>-0.15770139999999999</v>
      </c>
      <c r="AH3724">
        <v>0.56942755593958205</v>
      </c>
      <c r="AI3724">
        <v>105.157419443382</v>
      </c>
      <c r="AJ3724">
        <v>78.000818105447607</v>
      </c>
      <c r="AK3724">
        <v>0.60312935892332697</v>
      </c>
      <c r="AL3724">
        <v>65.496211843740696</v>
      </c>
      <c r="AM3724">
        <v>87.898928250372094</v>
      </c>
      <c r="AN3724">
        <v>0.99999998898964904</v>
      </c>
    </row>
    <row r="3725" spans="1:40" x14ac:dyDescent="0.25">
      <c r="A3725" t="str">
        <f>"20190304164444992"</f>
        <v>20190304164444992</v>
      </c>
      <c r="B3725" t="str">
        <f>"1551689084983378"</f>
        <v>1551689084983378</v>
      </c>
      <c r="C3725" t="s">
        <v>40</v>
      </c>
      <c r="D3725">
        <v>5.6210659999999999</v>
      </c>
      <c r="E3725">
        <v>0.55728089999999997</v>
      </c>
      <c r="F3725" t="s">
        <v>41</v>
      </c>
      <c r="G3725">
        <v>-190.74459999999999</v>
      </c>
      <c r="H3725">
        <v>0.95899310000000004</v>
      </c>
      <c r="I3725">
        <v>171.8262</v>
      </c>
      <c r="J3725">
        <v>-190.57570000000001</v>
      </c>
      <c r="K3725">
        <v>1.111666</v>
      </c>
      <c r="L3725">
        <v>172.5224</v>
      </c>
      <c r="M3725">
        <v>-6.0701629999999999E-2</v>
      </c>
      <c r="N3725">
        <v>-1.3502220000000001E-2</v>
      </c>
      <c r="O3725">
        <v>-0.99806479999999997</v>
      </c>
      <c r="P3725">
        <v>-9.1539679999999998E-2</v>
      </c>
      <c r="Q3725">
        <v>0.40306170000000002</v>
      </c>
      <c r="R3725">
        <v>-0.9105837</v>
      </c>
      <c r="S3725">
        <v>-0.73085019999999901</v>
      </c>
      <c r="T3725">
        <v>-0.62809559999999998</v>
      </c>
      <c r="U3725">
        <v>-3.4983369999999998</v>
      </c>
      <c r="V3725">
        <v>3.561802E-2</v>
      </c>
      <c r="W3725">
        <v>0.41541319999999998</v>
      </c>
      <c r="X3725">
        <v>0.90893520000000005</v>
      </c>
      <c r="Y3725">
        <v>0.14187079999999999</v>
      </c>
      <c r="Z3725">
        <v>0.1603031</v>
      </c>
      <c r="AA3725">
        <v>0.97681910000000005</v>
      </c>
      <c r="AB3725">
        <v>28</v>
      </c>
      <c r="AC3725">
        <v>-0.16889999999997901</v>
      </c>
      <c r="AD3725">
        <v>-0.1526729</v>
      </c>
      <c r="AE3725">
        <v>-0.69620000000000404</v>
      </c>
      <c r="AF3725">
        <v>0.120836142485269</v>
      </c>
      <c r="AG3725">
        <v>-0.1526729</v>
      </c>
      <c r="AH3725">
        <v>0.67453403349253505</v>
      </c>
      <c r="AI3725">
        <v>102.559898369374</v>
      </c>
      <c r="AJ3725">
        <v>79.843751884208899</v>
      </c>
      <c r="AK3725">
        <v>0.70207303755723205</v>
      </c>
      <c r="AL3725">
        <v>65.454659231416599</v>
      </c>
      <c r="AM3725">
        <v>87.755925181001501</v>
      </c>
      <c r="AN3725">
        <v>0.99999998394099998</v>
      </c>
    </row>
    <row r="3726" spans="1:40" x14ac:dyDescent="0.25">
      <c r="A3726" t="str">
        <f>"20190304164445004"</f>
        <v>20190304164445004</v>
      </c>
      <c r="B3726" t="str">
        <f>"1551689084994113"</f>
        <v>1551689084994113</v>
      </c>
      <c r="C3726" t="s">
        <v>40</v>
      </c>
      <c r="D3726">
        <v>5.617604</v>
      </c>
      <c r="E3726">
        <v>0.5572916</v>
      </c>
      <c r="F3726" t="s">
        <v>41</v>
      </c>
      <c r="G3726">
        <v>-190.72470000000001</v>
      </c>
      <c r="H3726">
        <v>0.98423099999999997</v>
      </c>
      <c r="I3726">
        <v>171.8133</v>
      </c>
      <c r="J3726">
        <v>-190.58449999999999</v>
      </c>
      <c r="K3726">
        <v>1.1115809999999999</v>
      </c>
      <c r="L3726">
        <v>172.3723</v>
      </c>
      <c r="M3726">
        <v>-6.0525599999999999E-2</v>
      </c>
      <c r="N3726">
        <v>-1.3500430000000001E-2</v>
      </c>
      <c r="O3726">
        <v>-0.99807539999999995</v>
      </c>
      <c r="P3726">
        <v>-9.3657660000000004E-2</v>
      </c>
      <c r="Q3726">
        <v>0.40328229999999998</v>
      </c>
      <c r="R3726">
        <v>-0.91026989999999997</v>
      </c>
      <c r="S3726">
        <v>-0.73399349999999997</v>
      </c>
      <c r="T3726">
        <v>-0.62888290000000002</v>
      </c>
      <c r="U3726">
        <v>-3.4991759999999998</v>
      </c>
      <c r="V3726">
        <v>3.8003009999999997E-2</v>
      </c>
      <c r="W3726">
        <v>0.41562359999999998</v>
      </c>
      <c r="X3726">
        <v>0.90874239999999995</v>
      </c>
      <c r="Y3726">
        <v>0.14283270000000001</v>
      </c>
      <c r="Z3726">
        <v>0.16045200000000001</v>
      </c>
      <c r="AA3726">
        <v>0.97665449999999998</v>
      </c>
      <c r="AB3726">
        <v>28</v>
      </c>
      <c r="AC3726">
        <v>-0.140200000000021</v>
      </c>
      <c r="AD3726">
        <v>-0.12734999999999899</v>
      </c>
      <c r="AE3726">
        <v>-0.55899999999999705</v>
      </c>
      <c r="AF3726">
        <v>0.10116615123834199</v>
      </c>
      <c r="AG3726">
        <v>-0.12734999999999899</v>
      </c>
      <c r="AH3726">
        <v>0.54008924470541797</v>
      </c>
      <c r="AI3726">
        <v>103.04869403753401</v>
      </c>
      <c r="AJ3726">
        <v>79.390653016239895</v>
      </c>
      <c r="AK3726">
        <v>0.56404698820474797</v>
      </c>
      <c r="AL3726">
        <v>65.441405729808594</v>
      </c>
      <c r="AM3726">
        <v>87.605323484097696</v>
      </c>
      <c r="AN3726">
        <v>0.99999997760188897</v>
      </c>
    </row>
    <row r="3727" spans="1:40" x14ac:dyDescent="0.25">
      <c r="A3727" t="str">
        <f>"20190304164445019"</f>
        <v>20190304164445019</v>
      </c>
      <c r="B3727" t="str">
        <f>"1551689085013635"</f>
        <v>1551689085013635</v>
      </c>
      <c r="C3727" t="s">
        <v>40</v>
      </c>
      <c r="D3727">
        <v>5.6791989999999997</v>
      </c>
      <c r="E3727">
        <v>0.55746359999999995</v>
      </c>
      <c r="F3727" t="s">
        <v>41</v>
      </c>
      <c r="G3727">
        <v>-190.75370000000001</v>
      </c>
      <c r="H3727">
        <v>0.96736040000000001</v>
      </c>
      <c r="I3727">
        <v>171.5711</v>
      </c>
      <c r="J3727">
        <v>-190.5949</v>
      </c>
      <c r="K3727">
        <v>1.1114740000000001</v>
      </c>
      <c r="L3727">
        <v>172.1979</v>
      </c>
      <c r="M3727">
        <v>-6.0384340000000002E-2</v>
      </c>
      <c r="N3727">
        <v>-1.349846E-2</v>
      </c>
      <c r="O3727">
        <v>-0.99808419999999998</v>
      </c>
      <c r="P3727">
        <v>-9.5441869999999998E-2</v>
      </c>
      <c r="Q3727">
        <v>0.4031458</v>
      </c>
      <c r="R3727">
        <v>-0.91014550000000005</v>
      </c>
      <c r="S3727">
        <v>-0.73844909999999997</v>
      </c>
      <c r="T3727">
        <v>-0.62985659999999999</v>
      </c>
      <c r="U3727">
        <v>-3.4988100000000002</v>
      </c>
      <c r="V3727">
        <v>4.0030799999999998E-2</v>
      </c>
      <c r="W3727">
        <v>0.41547650000000003</v>
      </c>
      <c r="X3727">
        <v>0.90872260000000005</v>
      </c>
      <c r="Y3727">
        <v>0.1441741</v>
      </c>
      <c r="Z3727">
        <v>0.16069620000000001</v>
      </c>
      <c r="AA3727">
        <v>0.97641719999999999</v>
      </c>
      <c r="AB3727">
        <v>28</v>
      </c>
      <c r="AC3727">
        <v>-0.15880000000001299</v>
      </c>
      <c r="AD3727">
        <v>-0.14411360000000001</v>
      </c>
      <c r="AE3727">
        <v>-0.62680000000000202</v>
      </c>
      <c r="AF3727">
        <v>0.11494784022301401</v>
      </c>
      <c r="AG3727">
        <v>-0.14411360000000001</v>
      </c>
      <c r="AH3727">
        <v>0.60518366431456805</v>
      </c>
      <c r="AI3727">
        <v>103.16748951007401</v>
      </c>
      <c r="AJ3727">
        <v>79.245418991010894</v>
      </c>
      <c r="AK3727">
        <v>0.63263654907861899</v>
      </c>
      <c r="AL3727">
        <v>65.450671815443698</v>
      </c>
      <c r="AM3727">
        <v>87.477652696765404</v>
      </c>
      <c r="AN3727">
        <v>0.99999997537582397</v>
      </c>
    </row>
    <row r="3728" spans="1:40" x14ac:dyDescent="0.25">
      <c r="A3728" t="str">
        <f>"20190304164445035"</f>
        <v>20190304164445035</v>
      </c>
      <c r="B3728" t="str">
        <f>"1551689085023394"</f>
        <v>1551689085023394</v>
      </c>
      <c r="C3728" t="s">
        <v>40</v>
      </c>
      <c r="D3728">
        <v>5.596787</v>
      </c>
      <c r="E3728">
        <v>0.55749009999999999</v>
      </c>
      <c r="F3728" t="s">
        <v>41</v>
      </c>
      <c r="G3728">
        <v>-190.78049999999999</v>
      </c>
      <c r="H3728">
        <v>0.95438789999999996</v>
      </c>
      <c r="I3728">
        <v>171.32689999999999</v>
      </c>
      <c r="J3728">
        <v>-190.6069</v>
      </c>
      <c r="K3728">
        <v>1.1113519999999999</v>
      </c>
      <c r="L3728">
        <v>171.9967</v>
      </c>
      <c r="M3728">
        <v>-6.0342800000000002E-2</v>
      </c>
      <c r="N3728">
        <v>-1.3496350000000001E-2</v>
      </c>
      <c r="O3728">
        <v>-0.99808649999999999</v>
      </c>
      <c r="P3728">
        <v>-9.971534E-2</v>
      </c>
      <c r="Q3728">
        <v>0.40302830000000001</v>
      </c>
      <c r="R3728">
        <v>-0.90973930000000003</v>
      </c>
      <c r="S3728">
        <v>-0.74461359999999999</v>
      </c>
      <c r="T3728">
        <v>-0.63078400000000001</v>
      </c>
      <c r="U3728">
        <v>-3.4974820000000002</v>
      </c>
      <c r="V3728">
        <v>4.4494619999999999E-2</v>
      </c>
      <c r="W3728">
        <v>0.41534300000000002</v>
      </c>
      <c r="X3728">
        <v>0.9085761</v>
      </c>
      <c r="Y3728">
        <v>0.14592559999999999</v>
      </c>
      <c r="Z3728">
        <v>0.16095809999999999</v>
      </c>
      <c r="AA3728">
        <v>0.97611380000000003</v>
      </c>
      <c r="AB3728">
        <v>28</v>
      </c>
      <c r="AC3728">
        <v>-0.17359999999999301</v>
      </c>
      <c r="AD3728">
        <v>-0.1569641</v>
      </c>
      <c r="AE3728">
        <v>-0.66980000000000905</v>
      </c>
      <c r="AF3728">
        <v>0.12635975956989401</v>
      </c>
      <c r="AG3728">
        <v>-0.1569641</v>
      </c>
      <c r="AH3728">
        <v>0.64582133537145403</v>
      </c>
      <c r="AI3728">
        <v>103.415691214991</v>
      </c>
      <c r="AJ3728">
        <v>78.929505933800996</v>
      </c>
      <c r="AK3728">
        <v>0.67652768956513498</v>
      </c>
      <c r="AL3728">
        <v>65.459082735210899</v>
      </c>
      <c r="AM3728">
        <v>87.196361561525094</v>
      </c>
      <c r="AN3728">
        <v>1.0000000541745699</v>
      </c>
    </row>
    <row r="3729" spans="1:40" x14ac:dyDescent="0.25">
      <c r="A3729" t="str">
        <f>"20190304164445058"</f>
        <v>20190304164445058</v>
      </c>
      <c r="B3729" t="str">
        <f>"1551689085053650"</f>
        <v>1551689085053650</v>
      </c>
      <c r="C3729" t="s">
        <v>40</v>
      </c>
      <c r="D3729">
        <v>5.6368099999999997</v>
      </c>
      <c r="E3729">
        <v>0.55754009999999998</v>
      </c>
      <c r="F3729" t="s">
        <v>41</v>
      </c>
      <c r="G3729">
        <v>-190.8058</v>
      </c>
      <c r="H3729">
        <v>0.9456118</v>
      </c>
      <c r="I3729">
        <v>171.08070000000001</v>
      </c>
      <c r="J3729">
        <v>-190.62459999999999</v>
      </c>
      <c r="K3729">
        <v>1.111167</v>
      </c>
      <c r="L3729">
        <v>171.70500000000001</v>
      </c>
      <c r="M3729">
        <v>-6.0541089999999999E-2</v>
      </c>
      <c r="N3729">
        <v>-1.349409E-2</v>
      </c>
      <c r="O3729">
        <v>-0.99807460000000003</v>
      </c>
      <c r="P3729">
        <v>-0.1051039</v>
      </c>
      <c r="Q3729">
        <v>0.40315800000000002</v>
      </c>
      <c r="R3729">
        <v>-0.90907499999999997</v>
      </c>
      <c r="S3729">
        <v>-0.75883480000000003</v>
      </c>
      <c r="T3729">
        <v>-0.63231680000000001</v>
      </c>
      <c r="U3729">
        <v>-3.4945979999999999</v>
      </c>
      <c r="V3729">
        <v>4.993264E-2</v>
      </c>
      <c r="W3729">
        <v>0.41544439999999999</v>
      </c>
      <c r="X3729">
        <v>0.90824709999999997</v>
      </c>
      <c r="Y3729">
        <v>0.14966889999999999</v>
      </c>
      <c r="Z3729">
        <v>0.16138640000000001</v>
      </c>
      <c r="AA3729">
        <v>0.97547609999999996</v>
      </c>
      <c r="AB3729">
        <v>28</v>
      </c>
      <c r="AC3729">
        <v>-0.18120000000001801</v>
      </c>
      <c r="AD3729">
        <v>-0.16555520000000001</v>
      </c>
      <c r="AE3729">
        <v>-0.62430000000000496</v>
      </c>
      <c r="AF3729">
        <v>0.13435419788332001</v>
      </c>
      <c r="AG3729">
        <v>-0.16555520000000001</v>
      </c>
      <c r="AH3729">
        <v>0.59550181676849601</v>
      </c>
      <c r="AI3729">
        <v>105.173269274958</v>
      </c>
      <c r="AJ3729">
        <v>77.2860768552585</v>
      </c>
      <c r="AK3729">
        <v>0.63252034632135701</v>
      </c>
      <c r="AL3729">
        <v>65.452695890966993</v>
      </c>
      <c r="AM3729">
        <v>86.853221555685593</v>
      </c>
      <c r="AN3729">
        <v>1.00000005634356</v>
      </c>
    </row>
    <row r="3730" spans="1:40" x14ac:dyDescent="0.25">
      <c r="A3730" t="str">
        <f>"20190304164445070"</f>
        <v>20190304164445070</v>
      </c>
      <c r="B3730" t="str">
        <f>"1551689085063410"</f>
        <v>1551689085063410</v>
      </c>
      <c r="C3730" t="s">
        <v>40</v>
      </c>
      <c r="D3730">
        <v>5.605003</v>
      </c>
      <c r="E3730">
        <v>0.55767540000000004</v>
      </c>
      <c r="F3730" t="s">
        <v>41</v>
      </c>
      <c r="G3730">
        <v>-190.82</v>
      </c>
      <c r="H3730">
        <v>0.95169499999999996</v>
      </c>
      <c r="I3730">
        <v>170.82740000000001</v>
      </c>
      <c r="J3730">
        <v>-190.63460000000001</v>
      </c>
      <c r="K3730">
        <v>1.1110640000000001</v>
      </c>
      <c r="L3730">
        <v>171.5421</v>
      </c>
      <c r="M3730">
        <v>-6.0747820000000001E-2</v>
      </c>
      <c r="N3730">
        <v>-1.349299E-2</v>
      </c>
      <c r="O3730">
        <v>-0.99806209999999995</v>
      </c>
      <c r="P3730">
        <v>-0.107658</v>
      </c>
      <c r="Q3730">
        <v>0.40310319999999999</v>
      </c>
      <c r="R3730">
        <v>-0.90880030000000001</v>
      </c>
      <c r="S3730">
        <v>-0.77650450000000004</v>
      </c>
      <c r="T3730">
        <v>-0.63451279999999999</v>
      </c>
      <c r="U3730">
        <v>-3.4916689999999999</v>
      </c>
      <c r="V3730">
        <v>5.2417320000000003E-2</v>
      </c>
      <c r="W3730">
        <v>0.4153733</v>
      </c>
      <c r="X3730">
        <v>0.90813960000000005</v>
      </c>
      <c r="Y3730">
        <v>0.15431439999999999</v>
      </c>
      <c r="Z3730">
        <v>0.16196070000000001</v>
      </c>
      <c r="AA3730">
        <v>0.97465679999999999</v>
      </c>
      <c r="AB3730">
        <v>28</v>
      </c>
      <c r="AC3730">
        <v>-0.18539999999998699</v>
      </c>
      <c r="AD3730">
        <v>-0.15936899999999901</v>
      </c>
      <c r="AE3730">
        <v>-0.71469999999999301</v>
      </c>
      <c r="AF3730">
        <v>0.13533222717441901</v>
      </c>
      <c r="AG3730">
        <v>-0.15936899999999901</v>
      </c>
      <c r="AH3730">
        <v>0.69238641514254795</v>
      </c>
      <c r="AI3730">
        <v>102.729392894529</v>
      </c>
      <c r="AJ3730">
        <v>78.940531856331702</v>
      </c>
      <c r="AK3730">
        <v>0.72326498446070098</v>
      </c>
      <c r="AL3730">
        <v>65.457173976545803</v>
      </c>
      <c r="AM3730">
        <v>86.6965842362942</v>
      </c>
      <c r="AN3730">
        <v>1.0000000434385099</v>
      </c>
    </row>
    <row r="3731" spans="1:40" x14ac:dyDescent="0.25">
      <c r="A3731" t="str">
        <f>"20190304164445082"</f>
        <v>20190304164445082</v>
      </c>
      <c r="B3731" t="str">
        <f>"1551689085074146"</f>
        <v>1551689085074146</v>
      </c>
      <c r="C3731" t="s">
        <v>40</v>
      </c>
      <c r="D3731">
        <v>5.6192599999999997</v>
      </c>
      <c r="E3731">
        <v>0.55767789999999995</v>
      </c>
      <c r="F3731" t="s">
        <v>41</v>
      </c>
      <c r="G3731">
        <v>-190.7988</v>
      </c>
      <c r="H3731">
        <v>0.97879289999999997</v>
      </c>
      <c r="I3731">
        <v>170.81379999999999</v>
      </c>
      <c r="J3731">
        <v>-190.64359999999999</v>
      </c>
      <c r="K3731">
        <v>1.1109819999999999</v>
      </c>
      <c r="L3731">
        <v>171.39660000000001</v>
      </c>
      <c r="M3731">
        <v>-6.1003219999999997E-2</v>
      </c>
      <c r="N3731">
        <v>-1.349205E-2</v>
      </c>
      <c r="O3731">
        <v>-0.99804660000000001</v>
      </c>
      <c r="P3731">
        <v>-0.11054750000000001</v>
      </c>
      <c r="Q3731">
        <v>0.4026923</v>
      </c>
      <c r="R3731">
        <v>-0.90863590000000005</v>
      </c>
      <c r="S3731">
        <v>-0.7858887</v>
      </c>
      <c r="T3731">
        <v>-0.6336927</v>
      </c>
      <c r="U3731">
        <v>-3.4890750000000001</v>
      </c>
      <c r="V3731">
        <v>5.5166680000000003E-2</v>
      </c>
      <c r="W3731">
        <v>0.4149486</v>
      </c>
      <c r="X3731">
        <v>0.90817079999999994</v>
      </c>
      <c r="Y3731">
        <v>0.15671479999999999</v>
      </c>
      <c r="Z3731">
        <v>0.1617799</v>
      </c>
      <c r="AA3731">
        <v>0.97430369999999999</v>
      </c>
      <c r="AB3731">
        <v>28</v>
      </c>
      <c r="AC3731">
        <v>-0.155200000000007</v>
      </c>
      <c r="AD3731">
        <v>-0.132189099999999</v>
      </c>
      <c r="AE3731">
        <v>-0.58280000000001997</v>
      </c>
      <c r="AF3731">
        <v>0.113884080114779</v>
      </c>
      <c r="AG3731">
        <v>-0.132189099999999</v>
      </c>
      <c r="AH3731">
        <v>0.56408469610141498</v>
      </c>
      <c r="AI3731">
        <v>102.936869342211</v>
      </c>
      <c r="AJ3731">
        <v>78.5858817841183</v>
      </c>
      <c r="AK3731">
        <v>0.59045328878601799</v>
      </c>
      <c r="AL3731">
        <v>65.483919138637503</v>
      </c>
      <c r="AM3731">
        <v>86.523849058313402</v>
      </c>
      <c r="AN3731">
        <v>0.99999995259841001</v>
      </c>
    </row>
    <row r="3732" spans="1:40" x14ac:dyDescent="0.25">
      <c r="A3732" t="str">
        <f>"20190304164445096"</f>
        <v>20190304164445096</v>
      </c>
      <c r="B3732" t="str">
        <f>"1551689085083906"</f>
        <v>1551689085083906</v>
      </c>
      <c r="C3732" t="s">
        <v>40</v>
      </c>
      <c r="D3732">
        <v>5.6003449999999999</v>
      </c>
      <c r="E3732">
        <v>0.55766269999999996</v>
      </c>
      <c r="F3732" t="s">
        <v>41</v>
      </c>
      <c r="G3732">
        <v>-190.8314</v>
      </c>
      <c r="H3732">
        <v>0.96063149999999997</v>
      </c>
      <c r="I3732">
        <v>170.5728</v>
      </c>
      <c r="J3732">
        <v>-190.65379999999999</v>
      </c>
      <c r="K3732">
        <v>1.110886</v>
      </c>
      <c r="L3732">
        <v>171.2355</v>
      </c>
      <c r="M3732">
        <v>-6.1327079999999999E-2</v>
      </c>
      <c r="N3732">
        <v>-1.3491E-2</v>
      </c>
      <c r="O3732">
        <v>-0.99802650000000004</v>
      </c>
      <c r="P3732">
        <v>-0.113302</v>
      </c>
      <c r="Q3732">
        <v>0.40199879999999999</v>
      </c>
      <c r="R3732">
        <v>-0.9086031</v>
      </c>
      <c r="S3732">
        <v>-0.79498290000000005</v>
      </c>
      <c r="T3732">
        <v>-0.63637980000000005</v>
      </c>
      <c r="U3732">
        <v>-3.4869690000000002</v>
      </c>
      <c r="V3732">
        <v>5.7716820000000002E-2</v>
      </c>
      <c r="W3732">
        <v>0.41424129999999998</v>
      </c>
      <c r="X3732">
        <v>0.90833529999999996</v>
      </c>
      <c r="Y3732">
        <v>0.15890650000000001</v>
      </c>
      <c r="Z3732">
        <v>0.16251879999999999</v>
      </c>
      <c r="AA3732">
        <v>0.97382559999999996</v>
      </c>
      <c r="AB3732">
        <v>28</v>
      </c>
      <c r="AC3732">
        <v>-0.177600000000012</v>
      </c>
      <c r="AD3732">
        <v>-0.15025449999999901</v>
      </c>
      <c r="AE3732">
        <v>-0.66270000000000095</v>
      </c>
      <c r="AF3732">
        <v>0.130367770084345</v>
      </c>
      <c r="AG3732">
        <v>-0.15025449999999901</v>
      </c>
      <c r="AH3732">
        <v>0.64157380331965597</v>
      </c>
      <c r="AI3732">
        <v>102.925906191336</v>
      </c>
      <c r="AJ3732">
        <v>78.513884091639895</v>
      </c>
      <c r="AK3732">
        <v>0.67170612275984398</v>
      </c>
      <c r="AL3732">
        <v>65.528454729687894</v>
      </c>
      <c r="AM3732">
        <v>86.364238659575605</v>
      </c>
      <c r="AN3732">
        <v>1.0000000515813401</v>
      </c>
    </row>
    <row r="3733" spans="1:40" x14ac:dyDescent="0.25">
      <c r="A3733" t="str">
        <f>"20190304164445109"</f>
        <v>20190304164445109</v>
      </c>
      <c r="B3733" t="str">
        <f>"1551689085103426"</f>
        <v>1551689085103426</v>
      </c>
      <c r="C3733" t="s">
        <v>40</v>
      </c>
      <c r="D3733">
        <v>5.6274240000000004</v>
      </c>
      <c r="E3733">
        <v>0.55762210000000001</v>
      </c>
      <c r="F3733" t="s">
        <v>41</v>
      </c>
      <c r="G3733">
        <v>-190.86240000000001</v>
      </c>
      <c r="H3733">
        <v>0.94457749999999996</v>
      </c>
      <c r="I3733">
        <v>170.33070000000001</v>
      </c>
      <c r="J3733">
        <v>-190.6645</v>
      </c>
      <c r="K3733">
        <v>1.1107830000000001</v>
      </c>
      <c r="L3733">
        <v>171.06729999999999</v>
      </c>
      <c r="M3733">
        <v>-6.177465E-2</v>
      </c>
      <c r="N3733">
        <v>-1.348998E-2</v>
      </c>
      <c r="O3733">
        <v>-0.99799919999999998</v>
      </c>
      <c r="P3733">
        <v>-0.1158682</v>
      </c>
      <c r="Q3733">
        <v>0.40122669999999999</v>
      </c>
      <c r="R3733">
        <v>-0.90862100000000001</v>
      </c>
      <c r="S3733">
        <v>-0.80302430000000002</v>
      </c>
      <c r="T3733">
        <v>-0.64058099999999996</v>
      </c>
      <c r="U3733">
        <v>-3.4850310000000002</v>
      </c>
      <c r="V3733">
        <v>5.9964950000000003E-2</v>
      </c>
      <c r="W3733">
        <v>0.41345520000000002</v>
      </c>
      <c r="X3733">
        <v>0.90854780000000002</v>
      </c>
      <c r="Y3733">
        <v>0.16066989999999901</v>
      </c>
      <c r="Z3733">
        <v>0.16366410000000001</v>
      </c>
      <c r="AA3733">
        <v>0.97334430000000005</v>
      </c>
      <c r="AB3733">
        <v>28</v>
      </c>
      <c r="AC3733">
        <v>-0.19790000000000399</v>
      </c>
      <c r="AD3733">
        <v>-0.16620550000000001</v>
      </c>
      <c r="AE3733">
        <v>-0.73659999999998105</v>
      </c>
      <c r="AF3733">
        <v>0.14512340584276501</v>
      </c>
      <c r="AG3733">
        <v>-0.16620550000000001</v>
      </c>
      <c r="AH3733">
        <v>0.71353675733724498</v>
      </c>
      <c r="AI3733">
        <v>102.857972884102</v>
      </c>
      <c r="AJ3733">
        <v>78.503646277698493</v>
      </c>
      <c r="AK3733">
        <v>0.74687333278475299</v>
      </c>
      <c r="AL3733">
        <v>65.577930654161406</v>
      </c>
      <c r="AM3733">
        <v>86.2239050848804</v>
      </c>
      <c r="AN3733">
        <v>1.0000000512601801</v>
      </c>
    </row>
    <row r="3734" spans="1:40" x14ac:dyDescent="0.25">
      <c r="A3734" t="str">
        <f>"20190304164445124"</f>
        <v>20190304164445124</v>
      </c>
      <c r="B3734" t="str">
        <f>"1551689085114162"</f>
        <v>1551689085114162</v>
      </c>
      <c r="C3734" t="s">
        <v>40</v>
      </c>
      <c r="D3734">
        <v>5.6903319999999997</v>
      </c>
      <c r="E3734">
        <v>0.557704599999999</v>
      </c>
      <c r="F3734" t="s">
        <v>41</v>
      </c>
      <c r="G3734">
        <v>-190.83920000000001</v>
      </c>
      <c r="H3734">
        <v>0.97183969999999997</v>
      </c>
      <c r="I3734">
        <v>170.31710000000001</v>
      </c>
      <c r="J3734">
        <v>-190.6771</v>
      </c>
      <c r="K3734">
        <v>1.1106590000000001</v>
      </c>
      <c r="L3734">
        <v>170.87129999999999</v>
      </c>
      <c r="M3734">
        <v>-6.2383729999999998E-2</v>
      </c>
      <c r="N3734">
        <v>-1.3489070000000001E-2</v>
      </c>
      <c r="O3734">
        <v>-0.99796130000000005</v>
      </c>
      <c r="P3734">
        <v>-0.1197915</v>
      </c>
      <c r="Q3734">
        <v>0.3991633</v>
      </c>
      <c r="R3734">
        <v>-0.90902110000000003</v>
      </c>
      <c r="S3734">
        <v>-0.81053160000000002</v>
      </c>
      <c r="T3734">
        <v>-0.64518850000000005</v>
      </c>
      <c r="U3734">
        <v>-3.483231</v>
      </c>
      <c r="V3734">
        <v>6.340788E-2</v>
      </c>
      <c r="W3734">
        <v>0.4113792</v>
      </c>
      <c r="X3734">
        <v>0.90925610000000001</v>
      </c>
      <c r="Y3734">
        <v>0.16211819999999999</v>
      </c>
      <c r="Z3734">
        <v>0.16491539999999999</v>
      </c>
      <c r="AA3734">
        <v>0.97289289999999995</v>
      </c>
      <c r="AB3734">
        <v>28</v>
      </c>
      <c r="AC3734">
        <v>-0.16210000000000899</v>
      </c>
      <c r="AD3734">
        <v>-0.13881930000000001</v>
      </c>
      <c r="AE3734">
        <v>-0.55419999999998004</v>
      </c>
      <c r="AF3734">
        <v>0.12025732815290301</v>
      </c>
      <c r="AG3734">
        <v>-0.13881930000000001</v>
      </c>
      <c r="AH3734">
        <v>0.53245843036920604</v>
      </c>
      <c r="AI3734">
        <v>104.268342465888</v>
      </c>
      <c r="AJ3734">
        <v>77.273107289974703</v>
      </c>
      <c r="AK3734">
        <v>0.56324470978270502</v>
      </c>
      <c r="AL3734">
        <v>65.708497308942697</v>
      </c>
      <c r="AM3734">
        <v>86.0108798776958</v>
      </c>
      <c r="AN3734">
        <v>1.0000000304129699</v>
      </c>
    </row>
    <row r="3735" spans="1:40" x14ac:dyDescent="0.25">
      <c r="A3735" t="str">
        <f>"20190304164445139"</f>
        <v>20190304164445139</v>
      </c>
      <c r="B3735" t="str">
        <f>"1551689085133682"</f>
        <v>1551689085133682</v>
      </c>
      <c r="C3735" t="s">
        <v>40</v>
      </c>
      <c r="D3735">
        <v>5.6238919999999997</v>
      </c>
      <c r="E3735">
        <v>0.55787369999999903</v>
      </c>
      <c r="F3735" t="s">
        <v>41</v>
      </c>
      <c r="G3735">
        <v>-190.8672</v>
      </c>
      <c r="H3735">
        <v>0.96097639999999995</v>
      </c>
      <c r="I3735">
        <v>170.0729</v>
      </c>
      <c r="J3735">
        <v>-190.6885</v>
      </c>
      <c r="K3735">
        <v>1.110552</v>
      </c>
      <c r="L3735">
        <v>170.69820000000001</v>
      </c>
      <c r="M3735">
        <v>-6.2997289999999997E-2</v>
      </c>
      <c r="N3735">
        <v>-1.3488460000000001E-2</v>
      </c>
      <c r="O3735">
        <v>-0.99792250000000005</v>
      </c>
      <c r="P3735">
        <v>-0.121181399999999</v>
      </c>
      <c r="Q3735">
        <v>0.39833220000000003</v>
      </c>
      <c r="R3735">
        <v>-0.90920109999999998</v>
      </c>
      <c r="S3735">
        <v>-0.8273163</v>
      </c>
      <c r="T3735">
        <v>-0.65191949999999999</v>
      </c>
      <c r="U3735">
        <v>-3.4774780000000001</v>
      </c>
      <c r="V3735">
        <v>6.4320180000000005E-2</v>
      </c>
      <c r="W3735">
        <v>0.41053539999999999</v>
      </c>
      <c r="X3735">
        <v>0.90957330000000003</v>
      </c>
      <c r="Y3735">
        <v>0.16623260000000001</v>
      </c>
      <c r="Z3735">
        <v>0.16683410000000001</v>
      </c>
      <c r="AA3735">
        <v>0.97187089999999998</v>
      </c>
      <c r="AB3735">
        <v>28</v>
      </c>
      <c r="AC3735">
        <v>-0.178699999999992</v>
      </c>
      <c r="AD3735">
        <v>-0.149575599999999</v>
      </c>
      <c r="AE3735">
        <v>-0.62530000000000996</v>
      </c>
      <c r="AF3735">
        <v>0.13196818039629199</v>
      </c>
      <c r="AG3735">
        <v>-0.149575599999999</v>
      </c>
      <c r="AH3735">
        <v>0.60339715077921496</v>
      </c>
      <c r="AI3735">
        <v>103.612964673626</v>
      </c>
      <c r="AJ3735">
        <v>77.663173355069802</v>
      </c>
      <c r="AK3735">
        <v>0.635512849847227</v>
      </c>
      <c r="AL3735">
        <v>65.761527620089495</v>
      </c>
      <c r="AM3735">
        <v>85.955080918260293</v>
      </c>
      <c r="AN3735">
        <v>0.999999994140641</v>
      </c>
    </row>
    <row r="3736" spans="1:40" x14ac:dyDescent="0.25">
      <c r="A3736" t="str">
        <f>"20190304164445160"</f>
        <v>20190304164445160</v>
      </c>
      <c r="B3736" t="str">
        <f>"1551689085154177"</f>
        <v>1551689085154177</v>
      </c>
      <c r="C3736" t="s">
        <v>40</v>
      </c>
      <c r="D3736">
        <v>5.6296369999999998</v>
      </c>
      <c r="E3736">
        <v>0.5579788</v>
      </c>
      <c r="F3736" t="s">
        <v>41</v>
      </c>
      <c r="G3736">
        <v>-190.89760000000001</v>
      </c>
      <c r="H3736">
        <v>0.94742040000000005</v>
      </c>
      <c r="I3736">
        <v>169.83</v>
      </c>
      <c r="J3736">
        <v>-190.70580000000001</v>
      </c>
      <c r="K3736">
        <v>1.110385</v>
      </c>
      <c r="L3736">
        <v>170.43989999999999</v>
      </c>
      <c r="M3736">
        <v>-6.4078819999999995E-2</v>
      </c>
      <c r="N3736">
        <v>-1.3488129999999999E-2</v>
      </c>
      <c r="O3736">
        <v>-0.99785389999999996</v>
      </c>
      <c r="P3736">
        <v>-0.12522719999999901</v>
      </c>
      <c r="Q3736">
        <v>0.3966655</v>
      </c>
      <c r="R3736">
        <v>-0.90938200000000002</v>
      </c>
      <c r="S3736">
        <v>-0.83612059999999999</v>
      </c>
      <c r="T3736">
        <v>-0.65277779999999996</v>
      </c>
      <c r="U3736">
        <v>-3.4741520000000001</v>
      </c>
      <c r="V3736">
        <v>6.7507070000000002E-2</v>
      </c>
      <c r="W3736">
        <v>0.40884470000000001</v>
      </c>
      <c r="X3736">
        <v>0.91010369999999996</v>
      </c>
      <c r="Y3736">
        <v>0.167689</v>
      </c>
      <c r="Z3736">
        <v>0.16713810000000001</v>
      </c>
      <c r="AA3736">
        <v>0.97156849999999995</v>
      </c>
      <c r="AB3736">
        <v>28</v>
      </c>
      <c r="AC3736">
        <v>-0.1918</v>
      </c>
      <c r="AD3736">
        <v>-0.16296459999999999</v>
      </c>
      <c r="AE3736">
        <v>-0.60989999999998101</v>
      </c>
      <c r="AF3736">
        <v>0.14302800590578299</v>
      </c>
      <c r="AG3736">
        <v>-0.16296459999999999</v>
      </c>
      <c r="AH3736">
        <v>0.58305660115814195</v>
      </c>
      <c r="AI3736">
        <v>105.187107567495</v>
      </c>
      <c r="AJ3736">
        <v>76.217093729300601</v>
      </c>
      <c r="AK3736">
        <v>0.62206870318368401</v>
      </c>
      <c r="AL3736">
        <v>65.8677179030975</v>
      </c>
      <c r="AM3736">
        <v>85.757846152619294</v>
      </c>
      <c r="AN3736">
        <v>0.99999996898588195</v>
      </c>
    </row>
    <row r="3737" spans="1:40" x14ac:dyDescent="0.25">
      <c r="A3737" t="str">
        <f>"20190304164445182"</f>
        <v>20190304164445182</v>
      </c>
      <c r="B3737" t="str">
        <f>"1551689085173697"</f>
        <v>1551689085173697</v>
      </c>
      <c r="C3737" t="s">
        <v>40</v>
      </c>
      <c r="D3737">
        <v>5.6196279999999996</v>
      </c>
      <c r="E3737">
        <v>0.55810170000000003</v>
      </c>
      <c r="F3737" t="s">
        <v>41</v>
      </c>
      <c r="G3737">
        <v>-190.91730000000001</v>
      </c>
      <c r="H3737">
        <v>0.94736869999999995</v>
      </c>
      <c r="I3737">
        <v>169.58070000000001</v>
      </c>
      <c r="J3737">
        <v>-190.72569999999999</v>
      </c>
      <c r="K3737">
        <v>1.1101989999999999</v>
      </c>
      <c r="L3737">
        <v>170.15270000000001</v>
      </c>
      <c r="M3737">
        <v>-6.5505010000000002E-2</v>
      </c>
      <c r="N3737">
        <v>-1.348889E-2</v>
      </c>
      <c r="O3737">
        <v>-0.99776120000000001</v>
      </c>
      <c r="P3737">
        <v>-0.12928480000000001</v>
      </c>
      <c r="Q3737">
        <v>0.39524700000000001</v>
      </c>
      <c r="R3737">
        <v>-0.90943130000000005</v>
      </c>
      <c r="S3737">
        <v>-0.85322569999999998</v>
      </c>
      <c r="T3737">
        <v>-0.65799249999999998</v>
      </c>
      <c r="U3737">
        <v>-3.4684599999999999</v>
      </c>
      <c r="V3737">
        <v>7.0418700000000001E-2</v>
      </c>
      <c r="W3737">
        <v>0.40739629999999999</v>
      </c>
      <c r="X3737">
        <v>0.91053249999999997</v>
      </c>
      <c r="Y3737">
        <v>0.17109820000000001</v>
      </c>
      <c r="Z3737">
        <v>0.16863829999999999</v>
      </c>
      <c r="AA3737">
        <v>0.97071439999999998</v>
      </c>
      <c r="AB3737">
        <v>28</v>
      </c>
      <c r="AC3737">
        <v>-0.191600000000022</v>
      </c>
      <c r="AD3737">
        <v>-0.16283029999999901</v>
      </c>
      <c r="AE3737">
        <v>-0.57200000000000195</v>
      </c>
      <c r="AF3737">
        <v>0.143276855437107</v>
      </c>
      <c r="AG3737">
        <v>-0.16283029999999901</v>
      </c>
      <c r="AH3737">
        <v>0.54370806706373498</v>
      </c>
      <c r="AI3737">
        <v>106.15074583092</v>
      </c>
      <c r="AJ3737">
        <v>75.237143352815906</v>
      </c>
      <c r="AK3737">
        <v>0.58537204075034099</v>
      </c>
      <c r="AL3737">
        <v>65.958620598894797</v>
      </c>
      <c r="AM3737">
        <v>85.577665806777603</v>
      </c>
      <c r="AN3737">
        <v>0.99999998605981399</v>
      </c>
    </row>
    <row r="3738" spans="1:40" x14ac:dyDescent="0.25">
      <c r="A3738" t="str">
        <f>"20190304164445195"</f>
        <v>20190304164445195</v>
      </c>
      <c r="B3738" t="str">
        <f>"1551689085183457"</f>
        <v>1551689085183457</v>
      </c>
      <c r="C3738" t="s">
        <v>40</v>
      </c>
      <c r="D3738">
        <v>5.6677839999999904</v>
      </c>
      <c r="E3738">
        <v>0.55806650000000002</v>
      </c>
      <c r="F3738" t="s">
        <v>41</v>
      </c>
      <c r="G3738">
        <v>-190.9331</v>
      </c>
      <c r="H3738">
        <v>0.95277820000000002</v>
      </c>
      <c r="I3738">
        <v>169.3289</v>
      </c>
      <c r="J3738">
        <v>-190.73660000000001</v>
      </c>
      <c r="K3738">
        <v>1.1101000000000001</v>
      </c>
      <c r="L3738">
        <v>169.9982</v>
      </c>
      <c r="M3738">
        <v>-6.634893E-2</v>
      </c>
      <c r="N3738">
        <v>-1.3489549999999999E-2</v>
      </c>
      <c r="O3738">
        <v>-0.99770530000000002</v>
      </c>
      <c r="P3738">
        <v>-0.1312287</v>
      </c>
      <c r="Q3738">
        <v>0.39436850000000001</v>
      </c>
      <c r="R3738">
        <v>-0.90953430000000002</v>
      </c>
      <c r="S3738">
        <v>-0.87115480000000001</v>
      </c>
      <c r="T3738">
        <v>-0.66158600000000001</v>
      </c>
      <c r="U3738">
        <v>-3.4624480000000002</v>
      </c>
      <c r="V3738">
        <v>7.1670670000000006E-2</v>
      </c>
      <c r="W3738">
        <v>0.40650249999999999</v>
      </c>
      <c r="X3738">
        <v>0.91083429999999999</v>
      </c>
      <c r="Y3738">
        <v>0.17533609999999999</v>
      </c>
      <c r="Z3738">
        <v>0.16970850000000001</v>
      </c>
      <c r="AA3738">
        <v>0.9697713</v>
      </c>
      <c r="AB3738">
        <v>28</v>
      </c>
      <c r="AC3738">
        <v>-0.19649999999998599</v>
      </c>
      <c r="AD3738">
        <v>-0.15732180000000001</v>
      </c>
      <c r="AE3738">
        <v>-0.66929999999999201</v>
      </c>
      <c r="AF3738">
        <v>0.14431482139868301</v>
      </c>
      <c r="AG3738">
        <v>-0.15732180000000001</v>
      </c>
      <c r="AH3738">
        <v>0.64790717093543204</v>
      </c>
      <c r="AI3738">
        <v>103.33348657796201</v>
      </c>
      <c r="AJ3738">
        <v>77.442926822258897</v>
      </c>
      <c r="AK3738">
        <v>0.68217345197546997</v>
      </c>
      <c r="AL3738">
        <v>66.014685297695806</v>
      </c>
      <c r="AM3738">
        <v>85.500846740678298</v>
      </c>
      <c r="AN3738">
        <v>1.00000004475049</v>
      </c>
    </row>
    <row r="3739" spans="1:40" x14ac:dyDescent="0.25">
      <c r="A3739" t="str">
        <f>"20190304164445207"</f>
        <v>20190304164445207</v>
      </c>
      <c r="B3739" t="str">
        <f>"1551689085203954"</f>
        <v>1551689085203954</v>
      </c>
      <c r="C3739" t="s">
        <v>40</v>
      </c>
      <c r="D3739">
        <v>5.6127029999999998</v>
      </c>
      <c r="E3739">
        <v>0.55810819999999906</v>
      </c>
      <c r="F3739" t="s">
        <v>41</v>
      </c>
      <c r="G3739">
        <v>-190.96809999999999</v>
      </c>
      <c r="H3739">
        <v>0.93523469999999997</v>
      </c>
      <c r="I3739">
        <v>169.08850000000001</v>
      </c>
      <c r="J3739">
        <v>-190.74889999999999</v>
      </c>
      <c r="K3739">
        <v>1.1099870000000001</v>
      </c>
      <c r="L3739">
        <v>169.82900000000001</v>
      </c>
      <c r="M3739">
        <v>-6.7404400000000003E-2</v>
      </c>
      <c r="N3739">
        <v>-1.3490769999999999E-2</v>
      </c>
      <c r="O3739">
        <v>-0.99763460000000004</v>
      </c>
      <c r="P3739">
        <v>-0.133131</v>
      </c>
      <c r="Q3739">
        <v>0.39429779999999998</v>
      </c>
      <c r="R3739">
        <v>-0.9092886</v>
      </c>
      <c r="S3739">
        <v>-0.88055419999999995</v>
      </c>
      <c r="T3739">
        <v>-0.66500579999999998</v>
      </c>
      <c r="U3739">
        <v>-3.4596559999999998</v>
      </c>
      <c r="V3739">
        <v>7.2726310000000002E-2</v>
      </c>
      <c r="W3739">
        <v>0.4064102</v>
      </c>
      <c r="X3739">
        <v>0.91079180000000004</v>
      </c>
      <c r="Y3739">
        <v>0.1769124</v>
      </c>
      <c r="Z3739">
        <v>0.1706608</v>
      </c>
      <c r="AA3739">
        <v>0.96931769999999995</v>
      </c>
      <c r="AB3739">
        <v>28</v>
      </c>
      <c r="AC3739">
        <v>-0.21920000000000001</v>
      </c>
      <c r="AD3739">
        <v>-0.1747523</v>
      </c>
      <c r="AE3739">
        <v>-0.74049999999999705</v>
      </c>
      <c r="AF3739">
        <v>0.160562231036665</v>
      </c>
      <c r="AG3739">
        <v>-0.1747523</v>
      </c>
      <c r="AH3739">
        <v>0.71688363492857099</v>
      </c>
      <c r="AI3739">
        <v>103.380464354645</v>
      </c>
      <c r="AJ3739">
        <v>77.375662636420799</v>
      </c>
      <c r="AK3739">
        <v>0.755142862257971</v>
      </c>
      <c r="AL3739">
        <v>66.020473130695095</v>
      </c>
      <c r="AM3739">
        <v>85.434644510281402</v>
      </c>
      <c r="AN3739">
        <v>1.0000000348887399</v>
      </c>
    </row>
    <row r="3740" spans="1:40" x14ac:dyDescent="0.25">
      <c r="A3740" t="str">
        <f>"20190304164445225"</f>
        <v>20190304164445225</v>
      </c>
      <c r="B3740" t="str">
        <f>"1551689085213714"</f>
        <v>1551689085213714</v>
      </c>
      <c r="C3740" t="s">
        <v>40</v>
      </c>
      <c r="D3740">
        <v>5.6331160000000002</v>
      </c>
      <c r="E3740">
        <v>0.549442599999999</v>
      </c>
      <c r="F3740" t="s">
        <v>41</v>
      </c>
      <c r="G3740">
        <v>-190.9434</v>
      </c>
      <c r="H3740">
        <v>0.96490089999999995</v>
      </c>
      <c r="I3740">
        <v>169.07380000000001</v>
      </c>
      <c r="J3740">
        <v>-190.76429999999999</v>
      </c>
      <c r="K3740">
        <v>1.109847</v>
      </c>
      <c r="L3740">
        <v>169.62209999999999</v>
      </c>
      <c r="M3740">
        <v>-6.8821240000000006E-2</v>
      </c>
      <c r="N3740">
        <v>-1.34929E-2</v>
      </c>
      <c r="O3740">
        <v>-0.99753780000000003</v>
      </c>
      <c r="P3740">
        <v>-0.13592589999999999</v>
      </c>
      <c r="Q3740">
        <v>0.3951461</v>
      </c>
      <c r="R3740">
        <v>-0.90850649999999999</v>
      </c>
      <c r="S3740">
        <v>-0.89064030000000005</v>
      </c>
      <c r="T3740">
        <v>-0.66418559999999904</v>
      </c>
      <c r="U3740">
        <v>-3.4568940000000001</v>
      </c>
      <c r="V3740">
        <v>7.4413499999999994E-2</v>
      </c>
      <c r="W3740">
        <v>0.407223</v>
      </c>
      <c r="X3740">
        <v>0.91029230000000005</v>
      </c>
      <c r="Y3740">
        <v>0.17836099999999999</v>
      </c>
      <c r="Z3740">
        <v>0.1704667</v>
      </c>
      <c r="AA3740">
        <v>0.96908640000000001</v>
      </c>
      <c r="AB3740">
        <v>28</v>
      </c>
      <c r="AC3740">
        <v>-0.17910000000000501</v>
      </c>
      <c r="AD3740">
        <v>-0.14494609999999999</v>
      </c>
      <c r="AE3740">
        <v>-0.54829999999998302</v>
      </c>
      <c r="AF3740">
        <v>0.13256610494944099</v>
      </c>
      <c r="AG3740">
        <v>-0.14494609999999999</v>
      </c>
      <c r="AH3740">
        <v>0.52610518125858097</v>
      </c>
      <c r="AI3740">
        <v>104.95765137098699</v>
      </c>
      <c r="AJ3740">
        <v>75.8572263833573</v>
      </c>
      <c r="AK3740">
        <v>0.56157796060191101</v>
      </c>
      <c r="AL3740">
        <v>65.969493185285302</v>
      </c>
      <c r="AM3740">
        <v>85.326643756569396</v>
      </c>
      <c r="AN3740">
        <v>1.0000000060752701</v>
      </c>
    </row>
    <row r="3741" spans="1:40" x14ac:dyDescent="0.25">
      <c r="A3741" t="str">
        <f>"20190304164445240"</f>
        <v>20190304164445240</v>
      </c>
      <c r="B3741" t="str">
        <f>"1551689085234210"</f>
        <v>1551689085234210</v>
      </c>
      <c r="C3741" t="s">
        <v>40</v>
      </c>
      <c r="D3741">
        <v>5.5605120000000001</v>
      </c>
      <c r="E3741">
        <v>0.54811869999999996</v>
      </c>
      <c r="F3741" t="s">
        <v>41</v>
      </c>
      <c r="G3741">
        <v>-190.9588</v>
      </c>
      <c r="H3741">
        <v>0.97132540000000001</v>
      </c>
      <c r="I3741">
        <v>168.8218</v>
      </c>
      <c r="J3741">
        <v>-190.77799999999999</v>
      </c>
      <c r="K3741">
        <v>1.109715</v>
      </c>
      <c r="L3741">
        <v>169.44200000000001</v>
      </c>
      <c r="M3741">
        <v>-7.0183830000000003E-2</v>
      </c>
      <c r="N3741">
        <v>-1.349551E-2</v>
      </c>
      <c r="O3741">
        <v>-0.99744279999999996</v>
      </c>
      <c r="P3741">
        <v>-0.1375981</v>
      </c>
      <c r="Q3741">
        <v>0.39606560000000002</v>
      </c>
      <c r="R3741">
        <v>-0.90785400000000005</v>
      </c>
      <c r="S3741">
        <v>-0.83447269999999896</v>
      </c>
      <c r="T3741">
        <v>-0.59462689999999996</v>
      </c>
      <c r="U3741">
        <v>-3.435883</v>
      </c>
      <c r="V3741">
        <v>7.5014899999999995E-2</v>
      </c>
      <c r="W3741">
        <v>0.40811259999999999</v>
      </c>
      <c r="X3741">
        <v>0.9098444</v>
      </c>
      <c r="Y3741">
        <v>0.1642325</v>
      </c>
      <c r="Z3741">
        <v>0.153199</v>
      </c>
      <c r="AA3741">
        <v>0.9744526</v>
      </c>
      <c r="AB3741">
        <v>28</v>
      </c>
      <c r="AC3741">
        <v>-0.18080000000000401</v>
      </c>
      <c r="AD3741">
        <v>-0.138389599999999</v>
      </c>
      <c r="AE3741">
        <v>-0.62020000000001096</v>
      </c>
      <c r="AF3741">
        <v>0.130818798110236</v>
      </c>
      <c r="AG3741">
        <v>-0.138389599999999</v>
      </c>
      <c r="AH3741">
        <v>0.60365870197949101</v>
      </c>
      <c r="AI3741">
        <v>102.62860244028199</v>
      </c>
      <c r="AJ3741">
        <v>77.772513036270396</v>
      </c>
      <c r="AK3741">
        <v>0.63298425557254601</v>
      </c>
      <c r="AL3741">
        <v>65.913673202612998</v>
      </c>
      <c r="AM3741">
        <v>85.286734958334506</v>
      </c>
      <c r="AN3741">
        <v>0.99999998085606401</v>
      </c>
    </row>
    <row r="3742" spans="1:40" x14ac:dyDescent="0.25">
      <c r="A3742" t="str">
        <f>"20190304164445252"</f>
        <v>20190304164445252</v>
      </c>
      <c r="B3742" t="str">
        <f>"1551689085243970"</f>
        <v>1551689085243970</v>
      </c>
      <c r="C3742" t="s">
        <v>40</v>
      </c>
      <c r="D3742">
        <v>5.5437810000000001</v>
      </c>
      <c r="E3742">
        <v>0.54771159999999997</v>
      </c>
      <c r="F3742" t="s">
        <v>41</v>
      </c>
      <c r="G3742">
        <v>-190.9873</v>
      </c>
      <c r="H3742">
        <v>0.96336909999999998</v>
      </c>
      <c r="I3742">
        <v>168.57730000000001</v>
      </c>
      <c r="J3742">
        <v>-190.79130000000001</v>
      </c>
      <c r="K3742">
        <v>1.1095839999999999</v>
      </c>
      <c r="L3742">
        <v>169.27180000000001</v>
      </c>
      <c r="M3742">
        <v>-7.1585079999999995E-2</v>
      </c>
      <c r="N3742">
        <v>-1.3498680000000001E-2</v>
      </c>
      <c r="O3742">
        <v>-0.99734319999999999</v>
      </c>
      <c r="P3742">
        <v>-0.13910790000000001</v>
      </c>
      <c r="Q3742">
        <v>0.39710649999999997</v>
      </c>
      <c r="R3742">
        <v>-0.90716920000000001</v>
      </c>
      <c r="S3742">
        <v>-0.83081050000000001</v>
      </c>
      <c r="T3742">
        <v>-0.58087369999999905</v>
      </c>
      <c r="U3742">
        <v>-3.4319920000000002</v>
      </c>
      <c r="V3742">
        <v>7.5425889999999995E-2</v>
      </c>
      <c r="W3742">
        <v>0.40912359999999998</v>
      </c>
      <c r="X3742">
        <v>0.90935630000000001</v>
      </c>
      <c r="Y3742">
        <v>0.1622527</v>
      </c>
      <c r="Z3742">
        <v>0.14964249999999901</v>
      </c>
      <c r="AA3742">
        <v>0.97533639999999999</v>
      </c>
      <c r="AB3742">
        <v>28</v>
      </c>
      <c r="AC3742">
        <v>-0.19599999999999701</v>
      </c>
      <c r="AD3742">
        <v>-0.14621490000000001</v>
      </c>
      <c r="AE3742">
        <v>-0.694500000000005</v>
      </c>
      <c r="AF3742">
        <v>0.140027973935334</v>
      </c>
      <c r="AG3742">
        <v>-0.14621490000000001</v>
      </c>
      <c r="AH3742">
        <v>0.67887908023502497</v>
      </c>
      <c r="AI3742">
        <v>101.91116435897899</v>
      </c>
      <c r="AJ3742">
        <v>78.345417583843997</v>
      </c>
      <c r="AK3742">
        <v>0.70842320405757297</v>
      </c>
      <c r="AL3742">
        <v>65.850208232280593</v>
      </c>
      <c r="AM3742">
        <v>85.258497252121103</v>
      </c>
      <c r="AN3742">
        <v>1.00000003265447</v>
      </c>
    </row>
    <row r="3743" spans="1:40" x14ac:dyDescent="0.25">
      <c r="A3743" t="str">
        <f>"20190304164445264"</f>
        <v>20190304164445264</v>
      </c>
      <c r="B3743" t="str">
        <f>"1551689085253730"</f>
        <v>1551689085253730</v>
      </c>
      <c r="C3743" t="s">
        <v>40</v>
      </c>
      <c r="D3743">
        <v>5.5442019999999896</v>
      </c>
      <c r="E3743">
        <v>0.54748450000000004</v>
      </c>
      <c r="F3743" t="s">
        <v>41</v>
      </c>
      <c r="G3743">
        <v>-190.96369999999999</v>
      </c>
      <c r="H3743">
        <v>0.99094009999999999</v>
      </c>
      <c r="I3743">
        <v>168.56299999999999</v>
      </c>
      <c r="J3743">
        <v>-190.803</v>
      </c>
      <c r="K3743">
        <v>1.1094649999999999</v>
      </c>
      <c r="L3743">
        <v>169.1268</v>
      </c>
      <c r="M3743">
        <v>-7.2917270000000006E-2</v>
      </c>
      <c r="N3743">
        <v>-1.350258E-2</v>
      </c>
      <c r="O3743">
        <v>-0.99724669999999904</v>
      </c>
      <c r="P3743">
        <v>-0.1407291</v>
      </c>
      <c r="Q3743">
        <v>0.39762769999999997</v>
      </c>
      <c r="R3743">
        <v>-0.90669060000000001</v>
      </c>
      <c r="S3743">
        <v>-0.83470149999999999</v>
      </c>
      <c r="T3743">
        <v>-0.57425380000000004</v>
      </c>
      <c r="U3743">
        <v>-3.4303590000000002</v>
      </c>
      <c r="V3743">
        <v>7.598212E-2</v>
      </c>
      <c r="W3743">
        <v>0.40961999999999998</v>
      </c>
      <c r="X3743">
        <v>0.90908650000000002</v>
      </c>
      <c r="Y3743">
        <v>0.1621514</v>
      </c>
      <c r="Z3743">
        <v>0.14786070000000001</v>
      </c>
      <c r="AA3743">
        <v>0.97562499999999996</v>
      </c>
      <c r="AB3743">
        <v>28</v>
      </c>
      <c r="AC3743">
        <v>-0.16069999999999099</v>
      </c>
      <c r="AD3743">
        <v>-0.118524899999999</v>
      </c>
      <c r="AE3743">
        <v>-0.56380000000001396</v>
      </c>
      <c r="AF3743">
        <v>0.114478456249165</v>
      </c>
      <c r="AG3743">
        <v>-0.118524899999999</v>
      </c>
      <c r="AH3743">
        <v>0.55147675365081295</v>
      </c>
      <c r="AI3743">
        <v>101.883732495329</v>
      </c>
      <c r="AJ3743">
        <v>78.272794628837303</v>
      </c>
      <c r="AK3743">
        <v>0.57556935175740698</v>
      </c>
      <c r="AL3743">
        <v>65.819035143575206</v>
      </c>
      <c r="AM3743">
        <v>85.222281150892798</v>
      </c>
      <c r="AN3743">
        <v>1.0000000457209699</v>
      </c>
    </row>
    <row r="3744" spans="1:40" x14ac:dyDescent="0.25">
      <c r="A3744" t="str">
        <f>"20190304164445282"</f>
        <v>20190304164445282</v>
      </c>
      <c r="B3744" t="str">
        <f>"1551689085274226"</f>
        <v>1551689085274226</v>
      </c>
      <c r="C3744" t="s">
        <v>40</v>
      </c>
      <c r="D3744">
        <v>5.5558249999999996</v>
      </c>
      <c r="E3744">
        <v>0.54713990000000001</v>
      </c>
      <c r="F3744" t="s">
        <v>41</v>
      </c>
      <c r="G3744">
        <v>-191.00040000000001</v>
      </c>
      <c r="H3744">
        <v>0.975684</v>
      </c>
      <c r="I3744">
        <v>168.3228</v>
      </c>
      <c r="J3744">
        <v>-190.82089999999999</v>
      </c>
      <c r="K3744">
        <v>1.1092850000000001</v>
      </c>
      <c r="L3744">
        <v>168.91149999999999</v>
      </c>
      <c r="M3744">
        <v>-7.5023320000000004E-2</v>
      </c>
      <c r="N3744">
        <v>-1.3508849999999999E-2</v>
      </c>
      <c r="O3744">
        <v>-0.99709029999999998</v>
      </c>
      <c r="P3744">
        <v>-0.14183479999999901</v>
      </c>
      <c r="Q3744">
        <v>0.39862300000000001</v>
      </c>
      <c r="R3744">
        <v>-0.90608100000000003</v>
      </c>
      <c r="S3744">
        <v>-0.84114069999999996</v>
      </c>
      <c r="T3744">
        <v>-0.57035230000000003</v>
      </c>
      <c r="U3744">
        <v>-3.4282840000000001</v>
      </c>
      <c r="V3744">
        <v>7.5393569999999993E-2</v>
      </c>
      <c r="W3744">
        <v>0.41058450000000002</v>
      </c>
      <c r="X3744">
        <v>0.90870019999999996</v>
      </c>
      <c r="Y3744">
        <v>0.16197139999999999</v>
      </c>
      <c r="Z3744">
        <v>0.14681340000000001</v>
      </c>
      <c r="AA3744">
        <v>0.97581300000000004</v>
      </c>
      <c r="AB3744">
        <v>28</v>
      </c>
      <c r="AC3744">
        <v>-0.17950000000001801</v>
      </c>
      <c r="AD3744">
        <v>-0.133601</v>
      </c>
      <c r="AE3744">
        <v>-0.58869999999998801</v>
      </c>
      <c r="AF3744">
        <v>0.12875652061274101</v>
      </c>
      <c r="AG3744">
        <v>-0.133601</v>
      </c>
      <c r="AH3744">
        <v>0.57348480156139803</v>
      </c>
      <c r="AI3744">
        <v>102.806021832106</v>
      </c>
      <c r="AJ3744">
        <v>77.346013500427205</v>
      </c>
      <c r="AK3744">
        <v>0.60275391862949801</v>
      </c>
      <c r="AL3744">
        <v>65.758440928442198</v>
      </c>
      <c r="AM3744">
        <v>85.257113333525496</v>
      </c>
      <c r="AN3744">
        <v>0.99999993775881502</v>
      </c>
    </row>
    <row r="3745" spans="1:40" x14ac:dyDescent="0.25">
      <c r="A3745" t="str">
        <f>"20190304164445303"</f>
        <v>20190304164445303</v>
      </c>
      <c r="B3745" t="str">
        <f>"1551689085293539"</f>
        <v>1551689085293539</v>
      </c>
      <c r="C3745" t="s">
        <v>40</v>
      </c>
      <c r="D3745">
        <v>5.5368879999999896</v>
      </c>
      <c r="E3745">
        <v>0.54689500000000002</v>
      </c>
      <c r="F3745" t="s">
        <v>41</v>
      </c>
      <c r="G3745">
        <v>-191.02760000000001</v>
      </c>
      <c r="H3745">
        <v>0.97170500000000004</v>
      </c>
      <c r="I3745">
        <v>168.07679999999999</v>
      </c>
      <c r="J3745">
        <v>-190.84389999999999</v>
      </c>
      <c r="K3745">
        <v>1.109048</v>
      </c>
      <c r="L3745">
        <v>168.6455</v>
      </c>
      <c r="M3745">
        <v>-7.7906030000000001E-2</v>
      </c>
      <c r="N3745">
        <v>-1.351783E-2</v>
      </c>
      <c r="O3745">
        <v>-0.99686900000000001</v>
      </c>
      <c r="P3745">
        <v>-0.1441267</v>
      </c>
      <c r="Q3745">
        <v>0.39847320000000003</v>
      </c>
      <c r="R3745">
        <v>-0.90578510000000001</v>
      </c>
      <c r="S3745">
        <v>-0.84812929999999997</v>
      </c>
      <c r="T3745">
        <v>-0.56467040000000002</v>
      </c>
      <c r="U3745">
        <v>-3.4266200000000002</v>
      </c>
      <c r="V3745">
        <v>7.5295580000000001E-2</v>
      </c>
      <c r="W3745">
        <v>0.41040189999999999</v>
      </c>
      <c r="X3745">
        <v>0.90879089999999996</v>
      </c>
      <c r="Y3745">
        <v>0.1611629</v>
      </c>
      <c r="Z3745">
        <v>0.14524770000000001</v>
      </c>
      <c r="AA3745">
        <v>0.97618110000000002</v>
      </c>
      <c r="AB3745">
        <v>28</v>
      </c>
      <c r="AC3745">
        <v>-0.18370000000001599</v>
      </c>
      <c r="AD3745">
        <v>-0.13734299999999999</v>
      </c>
      <c r="AE3745">
        <v>-0.56870000000000598</v>
      </c>
      <c r="AF3745">
        <v>0.13186797963254901</v>
      </c>
      <c r="AG3745">
        <v>-0.13734299999999999</v>
      </c>
      <c r="AH3745">
        <v>0.55212434799448695</v>
      </c>
      <c r="AI3745">
        <v>103.601256095034</v>
      </c>
      <c r="AJ3745">
        <v>76.567263976871999</v>
      </c>
      <c r="AK3745">
        <v>0.58403215609220405</v>
      </c>
      <c r="AL3745">
        <v>65.769916535175597</v>
      </c>
      <c r="AM3745">
        <v>85.263720248280805</v>
      </c>
      <c r="AN3745">
        <v>1.00000002190697</v>
      </c>
    </row>
    <row r="3746" spans="1:40" x14ac:dyDescent="0.25">
      <c r="A3746" t="str">
        <f>"20190304164445316"</f>
        <v>20190304164445316</v>
      </c>
      <c r="B3746" t="str">
        <f>"1551689085314036"</f>
        <v>1551689085314036</v>
      </c>
      <c r="C3746" t="s">
        <v>40</v>
      </c>
      <c r="D3746">
        <v>5.5426699999999904</v>
      </c>
      <c r="E3746">
        <v>0.54668099999999997</v>
      </c>
      <c r="F3746" t="s">
        <v>41</v>
      </c>
      <c r="G3746">
        <v>-191.0488</v>
      </c>
      <c r="H3746">
        <v>0.97359680000000004</v>
      </c>
      <c r="I3746">
        <v>167.8279</v>
      </c>
      <c r="J3746">
        <v>-190.8587</v>
      </c>
      <c r="K3746">
        <v>1.108897</v>
      </c>
      <c r="L3746">
        <v>168.47970000000001</v>
      </c>
      <c r="M3746">
        <v>-7.982976E-2</v>
      </c>
      <c r="N3746">
        <v>-1.3523719999999999E-2</v>
      </c>
      <c r="O3746">
        <v>-0.99671679999999996</v>
      </c>
      <c r="P3746">
        <v>-0.14587240000000001</v>
      </c>
      <c r="Q3746">
        <v>0.39782269999999997</v>
      </c>
      <c r="R3746">
        <v>-0.90579160000000003</v>
      </c>
      <c r="S3746">
        <v>-0.85754390000000003</v>
      </c>
      <c r="T3746">
        <v>-0.56725530000000002</v>
      </c>
      <c r="U3746">
        <v>-3.4251100000000001</v>
      </c>
      <c r="V3746">
        <v>7.5409690000000001E-2</v>
      </c>
      <c r="W3746">
        <v>0.40973480000000001</v>
      </c>
      <c r="X3746">
        <v>0.90908239999999996</v>
      </c>
      <c r="Y3746">
        <v>0.1618599</v>
      </c>
      <c r="Z3746">
        <v>0.1459251</v>
      </c>
      <c r="AA3746">
        <v>0.97596479999999997</v>
      </c>
      <c r="AB3746">
        <v>28</v>
      </c>
      <c r="AC3746">
        <v>-0.19010000000000099</v>
      </c>
      <c r="AD3746">
        <v>-0.13530019999999901</v>
      </c>
      <c r="AE3746">
        <v>-0.65180000000000804</v>
      </c>
      <c r="AF3746">
        <v>0.132205351695309</v>
      </c>
      <c r="AG3746">
        <v>-0.13530019999999901</v>
      </c>
      <c r="AH3746">
        <v>0.63950104271741703</v>
      </c>
      <c r="AI3746">
        <v>101.705511409534</v>
      </c>
      <c r="AJ3746">
        <v>78.319670322156398</v>
      </c>
      <c r="AK3746">
        <v>0.666892782067391</v>
      </c>
      <c r="AL3746">
        <v>65.811824042221502</v>
      </c>
      <c r="AM3746">
        <v>85.258089228970206</v>
      </c>
      <c r="AN3746">
        <v>1.00000001883334</v>
      </c>
    </row>
    <row r="3747" spans="1:40" x14ac:dyDescent="0.25">
      <c r="A3747" t="str">
        <f>"20190304164445337"</f>
        <v>20190304164445337</v>
      </c>
      <c r="B3747" t="str">
        <f>"1551689085323795"</f>
        <v>1551689085323795</v>
      </c>
      <c r="C3747" t="s">
        <v>40</v>
      </c>
      <c r="D3747">
        <v>5.6398609999999998</v>
      </c>
      <c r="E3747">
        <v>0.54643249999999999</v>
      </c>
      <c r="F3747" t="s">
        <v>41</v>
      </c>
      <c r="G3747">
        <v>-191.0831</v>
      </c>
      <c r="H3747">
        <v>0.95964870000000002</v>
      </c>
      <c r="I3747">
        <v>167.5874</v>
      </c>
      <c r="J3747">
        <v>-190.8819</v>
      </c>
      <c r="K3747">
        <v>1.1086940000000001</v>
      </c>
      <c r="L3747">
        <v>168.23050000000001</v>
      </c>
      <c r="M3747">
        <v>-8.2938509999999993E-2</v>
      </c>
      <c r="N3747">
        <v>-1.3532560000000001E-2</v>
      </c>
      <c r="O3747">
        <v>-0.99646290000000004</v>
      </c>
      <c r="P3747">
        <v>-0.14875469999999999</v>
      </c>
      <c r="Q3747">
        <v>0.39657249999999999</v>
      </c>
      <c r="R3747">
        <v>-0.90587130000000005</v>
      </c>
      <c r="S3747">
        <v>-0.86155700000000002</v>
      </c>
      <c r="T3747">
        <v>-0.57283249999999997</v>
      </c>
      <c r="U3747">
        <v>-3.4248810000000001</v>
      </c>
      <c r="V3747">
        <v>7.5610559999999993E-2</v>
      </c>
      <c r="W3747">
        <v>0.40846339999999998</v>
      </c>
      <c r="X3747">
        <v>0.90963769999999999</v>
      </c>
      <c r="Y3747">
        <v>0.1598203</v>
      </c>
      <c r="Z3747">
        <v>0.1474037</v>
      </c>
      <c r="AA3747">
        <v>0.97607869999999997</v>
      </c>
      <c r="AB3747">
        <v>28</v>
      </c>
      <c r="AC3747">
        <v>-0.20119999999999999</v>
      </c>
      <c r="AD3747">
        <v>-0.14904529999999999</v>
      </c>
      <c r="AE3747">
        <v>-0.643100000000004</v>
      </c>
      <c r="AF3747">
        <v>0.14029996636383599</v>
      </c>
      <c r="AG3747">
        <v>-0.14904529999999999</v>
      </c>
      <c r="AH3747">
        <v>0.626901943006546</v>
      </c>
      <c r="AI3747">
        <v>103.062081474252</v>
      </c>
      <c r="AJ3747">
        <v>77.385135161794295</v>
      </c>
      <c r="AK3747">
        <v>0.65947299274433202</v>
      </c>
      <c r="AL3747">
        <v>65.891656175422995</v>
      </c>
      <c r="AM3747">
        <v>85.248405095804998</v>
      </c>
      <c r="AN3747">
        <v>1.0000000255921799</v>
      </c>
    </row>
    <row r="3748" spans="1:40" x14ac:dyDescent="0.25">
      <c r="A3748" t="str">
        <f>"20190304164445361"</f>
        <v>20190304164445361</v>
      </c>
      <c r="B3748" t="str">
        <f>"1551689085354052"</f>
        <v>1551689085354052</v>
      </c>
      <c r="C3748" t="s">
        <v>40</v>
      </c>
      <c r="D3748">
        <v>5.6331519999999999</v>
      </c>
      <c r="E3748">
        <v>0.54618310000000003</v>
      </c>
      <c r="F3748" t="s">
        <v>41</v>
      </c>
      <c r="G3748">
        <v>-191.1069</v>
      </c>
      <c r="H3748">
        <v>0.95794590000000002</v>
      </c>
      <c r="I3748">
        <v>167.3408</v>
      </c>
      <c r="J3748">
        <v>-190.91139999999999</v>
      </c>
      <c r="K3748">
        <v>1.108484</v>
      </c>
      <c r="L3748">
        <v>167.92789999999999</v>
      </c>
      <c r="M3748">
        <v>-8.7004860000000003E-2</v>
      </c>
      <c r="N3748">
        <v>-1.354255E-2</v>
      </c>
      <c r="O3748">
        <v>-0.9961158</v>
      </c>
      <c r="P3748">
        <v>-0.1517801</v>
      </c>
      <c r="Q3748">
        <v>0.39546999999999999</v>
      </c>
      <c r="R3748">
        <v>-0.90585130000000003</v>
      </c>
      <c r="S3748">
        <v>-0.86564640000000004</v>
      </c>
      <c r="T3748">
        <v>-0.58005090000000004</v>
      </c>
      <c r="U3748">
        <v>-3.4235229999999999</v>
      </c>
      <c r="V3748">
        <v>7.5088849999999999E-2</v>
      </c>
      <c r="W3748">
        <v>0.4073445</v>
      </c>
      <c r="X3748">
        <v>0.91018250000000001</v>
      </c>
      <c r="Y3748">
        <v>0.15690799999999999</v>
      </c>
      <c r="Z3748">
        <v>0.149368</v>
      </c>
      <c r="AA3748">
        <v>0.97625260000000003</v>
      </c>
      <c r="AB3748">
        <v>28</v>
      </c>
      <c r="AC3748">
        <v>-0.195500000000009</v>
      </c>
      <c r="AD3748">
        <v>-0.15053809999999901</v>
      </c>
      <c r="AE3748">
        <v>-0.58709999999999196</v>
      </c>
      <c r="AF3748">
        <v>0.135645314429511</v>
      </c>
      <c r="AG3748">
        <v>-0.15053809999999901</v>
      </c>
      <c r="AH3748">
        <v>0.56825309915089095</v>
      </c>
      <c r="AI3748">
        <v>104.449331420313</v>
      </c>
      <c r="AJ3748">
        <v>76.574400571578494</v>
      </c>
      <c r="AK3748">
        <v>0.60330171189288295</v>
      </c>
      <c r="AL3748">
        <v>65.961871525841602</v>
      </c>
      <c r="AM3748">
        <v>85.283854185504296</v>
      </c>
      <c r="AN3748">
        <v>1.0000000301904099</v>
      </c>
    </row>
    <row r="3749" spans="1:40" x14ac:dyDescent="0.25">
      <c r="A3749" t="str">
        <f>"20190304164445382"</f>
        <v>20190304164445382</v>
      </c>
      <c r="B3749" t="str">
        <f>"1551689085373571"</f>
        <v>1551689085373571</v>
      </c>
      <c r="C3749" t="s">
        <v>40</v>
      </c>
      <c r="D3749">
        <v>5.5486000000000004</v>
      </c>
      <c r="E3749">
        <v>0.54619149999999905</v>
      </c>
      <c r="F3749" t="s">
        <v>41</v>
      </c>
      <c r="G3749">
        <v>-191.12549999999999</v>
      </c>
      <c r="H3749">
        <v>0.96480010000000005</v>
      </c>
      <c r="I3749">
        <v>167.09010000000001</v>
      </c>
      <c r="J3749">
        <v>-190.93870000000001</v>
      </c>
      <c r="K3749">
        <v>1.1083259999999999</v>
      </c>
      <c r="L3749">
        <v>167.66149999999999</v>
      </c>
      <c r="M3749">
        <v>-9.0794200000000005E-2</v>
      </c>
      <c r="N3749">
        <v>-1.355101E-2</v>
      </c>
      <c r="O3749">
        <v>-0.99577760000000004</v>
      </c>
      <c r="P3749">
        <v>-0.15424309999999999</v>
      </c>
      <c r="Q3749">
        <v>0.39555170000000001</v>
      </c>
      <c r="R3749">
        <v>-0.90539959999999997</v>
      </c>
      <c r="S3749">
        <v>-0.87431340000000002</v>
      </c>
      <c r="T3749">
        <v>-0.58672419999999903</v>
      </c>
      <c r="U3749">
        <v>-3.4214479999999998</v>
      </c>
      <c r="V3749">
        <v>7.4252139999999994E-2</v>
      </c>
      <c r="W3749">
        <v>0.40741290000000002</v>
      </c>
      <c r="X3749">
        <v>0.91022049999999999</v>
      </c>
      <c r="Y3749">
        <v>0.1555462</v>
      </c>
      <c r="Z3749">
        <v>0.1511709</v>
      </c>
      <c r="AA3749">
        <v>0.97619299999999998</v>
      </c>
      <c r="AB3749">
        <v>28</v>
      </c>
      <c r="AC3749">
        <v>-0.18679999999997601</v>
      </c>
      <c r="AD3749">
        <v>-0.14352589999999901</v>
      </c>
      <c r="AE3749">
        <v>-0.57139999999998203</v>
      </c>
      <c r="AF3749">
        <v>0.12690977760452099</v>
      </c>
      <c r="AG3749">
        <v>-0.14352589999999901</v>
      </c>
      <c r="AH3749">
        <v>0.55440010163334197</v>
      </c>
      <c r="AI3749">
        <v>104.163303127072</v>
      </c>
      <c r="AJ3749">
        <v>77.1063628998279</v>
      </c>
      <c r="AK3749">
        <v>0.58657075303282802</v>
      </c>
      <c r="AL3749">
        <v>65.957579624202197</v>
      </c>
      <c r="AM3749">
        <v>85.3363666064879</v>
      </c>
      <c r="AN3749">
        <v>1.0000000050006099</v>
      </c>
    </row>
    <row r="3750" spans="1:40" x14ac:dyDescent="0.25">
      <c r="A3750" t="str">
        <f>"20190304164445395"</f>
        <v>20190304164445395</v>
      </c>
      <c r="B3750" t="str">
        <f>"1551689085384308"</f>
        <v>1551689085384308</v>
      </c>
      <c r="C3750" t="s">
        <v>40</v>
      </c>
      <c r="D3750">
        <v>5.5536159999999999</v>
      </c>
      <c r="E3750">
        <v>0.5461973</v>
      </c>
      <c r="F3750" t="s">
        <v>41</v>
      </c>
      <c r="G3750">
        <v>-191.15129999999999</v>
      </c>
      <c r="H3750">
        <v>0.96754530000000005</v>
      </c>
      <c r="I3750">
        <v>166.84190000000001</v>
      </c>
      <c r="J3750">
        <v>-190.95509999999999</v>
      </c>
      <c r="K3750">
        <v>1.1082449999999999</v>
      </c>
      <c r="L3750">
        <v>167.50599999999901</v>
      </c>
      <c r="M3750">
        <v>-9.307153E-2</v>
      </c>
      <c r="N3750">
        <v>-1.3555660000000001E-2</v>
      </c>
      <c r="O3750">
        <v>-0.99556710000000004</v>
      </c>
      <c r="P3750">
        <v>-0.15623999999999999</v>
      </c>
      <c r="Q3750">
        <v>0.39553529999999998</v>
      </c>
      <c r="R3750">
        <v>-0.90506410000000004</v>
      </c>
      <c r="S3750">
        <v>-0.88606260000000003</v>
      </c>
      <c r="T3750">
        <v>-0.58711639999999998</v>
      </c>
      <c r="U3750">
        <v>-3.4190059999999902</v>
      </c>
      <c r="V3750">
        <v>7.4257859999999995E-2</v>
      </c>
      <c r="W3750">
        <v>0.40738669999999999</v>
      </c>
      <c r="X3750">
        <v>0.91023169999999998</v>
      </c>
      <c r="Y3750">
        <v>0.15659600000000001</v>
      </c>
      <c r="Z3750">
        <v>0.15125739999999999</v>
      </c>
      <c r="AA3750">
        <v>0.97601179999999998</v>
      </c>
      <c r="AB3750">
        <v>28</v>
      </c>
      <c r="AC3750">
        <v>-0.19620000000000401</v>
      </c>
      <c r="AD3750">
        <v>-0.14069969999999901</v>
      </c>
      <c r="AE3750">
        <v>-0.66409999999996205</v>
      </c>
      <c r="AF3750">
        <v>0.128239557151928</v>
      </c>
      <c r="AG3750">
        <v>-0.14069969999999901</v>
      </c>
      <c r="AH3750">
        <v>0.652540058113937</v>
      </c>
      <c r="AI3750">
        <v>101.94599346899599</v>
      </c>
      <c r="AJ3750">
        <v>78.881714072832906</v>
      </c>
      <c r="AK3750">
        <v>0.67974283154878001</v>
      </c>
      <c r="AL3750">
        <v>65.959221972987507</v>
      </c>
      <c r="AM3750">
        <v>85.336066064411497</v>
      </c>
      <c r="AN3750">
        <v>0.99999995039677803</v>
      </c>
    </row>
    <row r="3751" spans="1:40" x14ac:dyDescent="0.25">
      <c r="A3751" t="str">
        <f>"20190304164445408"</f>
        <v>20190304164445408</v>
      </c>
      <c r="B3751" t="str">
        <f>"1551689085403491"</f>
        <v>1551689085403491</v>
      </c>
      <c r="C3751" t="s">
        <v>40</v>
      </c>
      <c r="D3751">
        <v>5.6806809999999999</v>
      </c>
      <c r="E3751">
        <v>0.54587819999999898</v>
      </c>
      <c r="F3751" t="s">
        <v>41</v>
      </c>
      <c r="G3751">
        <v>-191.19149999999999</v>
      </c>
      <c r="H3751">
        <v>0.95297710000000002</v>
      </c>
      <c r="I3751">
        <v>166.60310000000001</v>
      </c>
      <c r="J3751">
        <v>-190.9725</v>
      </c>
      <c r="K3751">
        <v>1.1081669999999999</v>
      </c>
      <c r="L3751">
        <v>167.34630000000001</v>
      </c>
      <c r="M3751">
        <v>-9.549407E-2</v>
      </c>
      <c r="N3751">
        <v>-1.3560539999999999E-2</v>
      </c>
      <c r="O3751">
        <v>-0.99533769999999999</v>
      </c>
      <c r="P3751">
        <v>-0.15875699999999901</v>
      </c>
      <c r="Q3751">
        <v>0.39588410000000002</v>
      </c>
      <c r="R3751">
        <v>-0.90447359999999999</v>
      </c>
      <c r="S3751">
        <v>-0.89456179999999996</v>
      </c>
      <c r="T3751">
        <v>-0.58755080000000004</v>
      </c>
      <c r="U3751">
        <v>-3.4170229999999999</v>
      </c>
      <c r="V3751">
        <v>7.4670260000000002E-2</v>
      </c>
      <c r="W3751">
        <v>0.40772120000000001</v>
      </c>
      <c r="X3751">
        <v>0.91004819999999997</v>
      </c>
      <c r="Y3751">
        <v>0.15659979999999901</v>
      </c>
      <c r="Z3751">
        <v>0.1513612</v>
      </c>
      <c r="AA3751">
        <v>0.9759951</v>
      </c>
      <c r="AB3751">
        <v>28</v>
      </c>
      <c r="AC3751">
        <v>-0.21899999999999401</v>
      </c>
      <c r="AD3751">
        <v>-0.15518989999999899</v>
      </c>
      <c r="AE3751">
        <v>-0.74320000000000097</v>
      </c>
      <c r="AF3751">
        <v>0.141350392815108</v>
      </c>
      <c r="AG3751">
        <v>-0.15518989999999899</v>
      </c>
      <c r="AH3751">
        <v>0.73137578921411495</v>
      </c>
      <c r="AI3751">
        <v>101.76831670319</v>
      </c>
      <c r="AJ3751">
        <v>79.061509417748894</v>
      </c>
      <c r="AK3751">
        <v>0.76090366253525399</v>
      </c>
      <c r="AL3751">
        <v>65.938235059599705</v>
      </c>
      <c r="AM3751">
        <v>85.309338154168501</v>
      </c>
      <c r="AN3751">
        <v>0.99999997549057296</v>
      </c>
    </row>
    <row r="3752" spans="1:40" x14ac:dyDescent="0.25">
      <c r="A3752" t="str">
        <f>"20190304164445425"</f>
        <v>20190304164445425</v>
      </c>
      <c r="B3752" t="str">
        <f>"1551689085414227"</f>
        <v>1551689085414227</v>
      </c>
      <c r="C3752" t="s">
        <v>40</v>
      </c>
      <c r="D3752">
        <v>5.5424610000000003</v>
      </c>
      <c r="E3752">
        <v>0.54588400000000004</v>
      </c>
      <c r="F3752" t="s">
        <v>41</v>
      </c>
      <c r="G3752">
        <v>-191.17240000000001</v>
      </c>
      <c r="H3752">
        <v>0.97793200000000002</v>
      </c>
      <c r="I3752">
        <v>166.5899</v>
      </c>
      <c r="J3752">
        <v>-190.99700000000001</v>
      </c>
      <c r="K3752">
        <v>1.1080650000000001</v>
      </c>
      <c r="L3752">
        <v>167.12799999999999</v>
      </c>
      <c r="M3752">
        <v>-9.8882380000000006E-2</v>
      </c>
      <c r="N3752">
        <v>-1.3567320000000001E-2</v>
      </c>
      <c r="O3752">
        <v>-0.99500670000000002</v>
      </c>
      <c r="P3752">
        <v>-0.16241429999999901</v>
      </c>
      <c r="Q3752">
        <v>0.39557999999999999</v>
      </c>
      <c r="R3752">
        <v>-0.90395689999999995</v>
      </c>
      <c r="S3752">
        <v>-0.90217590000000003</v>
      </c>
      <c r="T3752">
        <v>-0.58805980000000002</v>
      </c>
      <c r="U3752">
        <v>-3.4159090000000001</v>
      </c>
      <c r="V3752">
        <v>7.5341519999999995E-2</v>
      </c>
      <c r="W3752">
        <v>0.40740159999999997</v>
      </c>
      <c r="X3752">
        <v>0.91013599999999995</v>
      </c>
      <c r="Y3752">
        <v>0.1553486</v>
      </c>
      <c r="Z3752">
        <v>0.15144179999999999</v>
      </c>
      <c r="AA3752">
        <v>0.97618249999999995</v>
      </c>
      <c r="AB3752">
        <v>28</v>
      </c>
      <c r="AC3752">
        <v>-0.175399999999996</v>
      </c>
      <c r="AD3752">
        <v>-0.130132999999999</v>
      </c>
      <c r="AE3752">
        <v>-0.53809999999998503</v>
      </c>
      <c r="AF3752">
        <v>0.115234476611869</v>
      </c>
      <c r="AG3752">
        <v>-0.130132999999999</v>
      </c>
      <c r="AH3752">
        <v>0.52504945602382502</v>
      </c>
      <c r="AI3752">
        <v>103.608748801703</v>
      </c>
      <c r="AJ3752">
        <v>77.621354610203397</v>
      </c>
      <c r="AK3752">
        <v>0.55307369631896797</v>
      </c>
      <c r="AL3752">
        <v>65.958287762452102</v>
      </c>
      <c r="AM3752">
        <v>85.267815885335395</v>
      </c>
      <c r="AN3752">
        <v>0.99999997340723401</v>
      </c>
    </row>
    <row r="3753" spans="1:40" x14ac:dyDescent="0.25">
      <c r="A3753" t="str">
        <f>"20190304164445440"</f>
        <v>20190304164445440</v>
      </c>
      <c r="B3753" t="str">
        <f>"1551689085433747"</f>
        <v>1551689085433747</v>
      </c>
      <c r="C3753" t="s">
        <v>40</v>
      </c>
      <c r="D3753">
        <v>5.6844449999999904</v>
      </c>
      <c r="E3753">
        <v>0.54588040000000004</v>
      </c>
      <c r="F3753" t="s">
        <v>41</v>
      </c>
      <c r="G3753">
        <v>-191.2071</v>
      </c>
      <c r="H3753">
        <v>0.97303200000000001</v>
      </c>
      <c r="I3753">
        <v>166.34639999999999</v>
      </c>
      <c r="J3753">
        <v>-191.0172</v>
      </c>
      <c r="K3753">
        <v>1.107985</v>
      </c>
      <c r="L3753">
        <v>166.95269999999999</v>
      </c>
      <c r="M3753">
        <v>-0.1016698</v>
      </c>
      <c r="N3753">
        <v>-1.3572880000000001E-2</v>
      </c>
      <c r="O3753">
        <v>-0.99472550000000004</v>
      </c>
      <c r="P3753">
        <v>-0.1650006</v>
      </c>
      <c r="Q3753">
        <v>0.39534390000000003</v>
      </c>
      <c r="R3753">
        <v>-0.90359179999999995</v>
      </c>
      <c r="S3753">
        <v>-0.91647339999999999</v>
      </c>
      <c r="T3753">
        <v>-0.58919299999999997</v>
      </c>
      <c r="U3753">
        <v>-3.411896</v>
      </c>
      <c r="V3753">
        <v>7.5461929999999997E-2</v>
      </c>
      <c r="W3753">
        <v>0.4071572</v>
      </c>
      <c r="X3753">
        <v>0.91023540000000003</v>
      </c>
      <c r="Y3753">
        <v>0.15666939999999999</v>
      </c>
      <c r="Z3753">
        <v>0.15176419999999999</v>
      </c>
      <c r="AA3753">
        <v>0.97592129999999999</v>
      </c>
      <c r="AB3753">
        <v>28</v>
      </c>
      <c r="AC3753">
        <v>-0.18989999999999399</v>
      </c>
      <c r="AD3753">
        <v>-0.13495299999999999</v>
      </c>
      <c r="AE3753">
        <v>-0.60630000000000395</v>
      </c>
      <c r="AF3753">
        <v>0.121773558972138</v>
      </c>
      <c r="AG3753">
        <v>-0.13495299999999999</v>
      </c>
      <c r="AH3753">
        <v>0.59559467132628696</v>
      </c>
      <c r="AI3753">
        <v>102.516283839971</v>
      </c>
      <c r="AJ3753">
        <v>78.444728363715697</v>
      </c>
      <c r="AK3753">
        <v>0.62271512297840304</v>
      </c>
      <c r="AL3753">
        <v>65.973620429803006</v>
      </c>
      <c r="AM3753">
        <v>85.260802619442401</v>
      </c>
      <c r="AN3753">
        <v>0.99999998590216199</v>
      </c>
    </row>
    <row r="3754" spans="1:40" x14ac:dyDescent="0.25">
      <c r="A3754" t="str">
        <f>"20190304164445452"</f>
        <v>20190304164445452</v>
      </c>
      <c r="B3754" t="str">
        <f>"1551689085443508"</f>
        <v>1551689085443508</v>
      </c>
      <c r="C3754" t="s">
        <v>40</v>
      </c>
      <c r="D3754">
        <v>5.5364909999999998</v>
      </c>
      <c r="E3754">
        <v>0.54785079999999997</v>
      </c>
      <c r="F3754" t="s">
        <v>41</v>
      </c>
      <c r="G3754">
        <v>-191.24719999999999</v>
      </c>
      <c r="H3754">
        <v>0.96158339999999998</v>
      </c>
      <c r="I3754">
        <v>166.10679999999999</v>
      </c>
      <c r="J3754">
        <v>-191.03639999999999</v>
      </c>
      <c r="K3754">
        <v>1.1079159999999999</v>
      </c>
      <c r="L3754">
        <v>166.7901</v>
      </c>
      <c r="M3754">
        <v>-0.1042979</v>
      </c>
      <c r="N3754">
        <v>-1.3578049999999999E-2</v>
      </c>
      <c r="O3754">
        <v>-0.9944537</v>
      </c>
      <c r="P3754">
        <v>-0.16739000000000001</v>
      </c>
      <c r="Q3754">
        <v>0.39508850000000001</v>
      </c>
      <c r="R3754">
        <v>-0.90326419999999996</v>
      </c>
      <c r="S3754">
        <v>-0.92704770000000003</v>
      </c>
      <c r="T3754">
        <v>-0.59002069999999995</v>
      </c>
      <c r="U3754">
        <v>-3.4089510000000001</v>
      </c>
      <c r="V3754">
        <v>7.5520840000000006E-2</v>
      </c>
      <c r="W3754">
        <v>0.4068946</v>
      </c>
      <c r="X3754">
        <v>0.91034789999999999</v>
      </c>
      <c r="Y3754">
        <v>0.15708269999999999</v>
      </c>
      <c r="Z3754">
        <v>0.1519895</v>
      </c>
      <c r="AA3754">
        <v>0.97581980000000001</v>
      </c>
      <c r="AB3754">
        <v>28</v>
      </c>
      <c r="AC3754">
        <v>-0.21080000000000601</v>
      </c>
      <c r="AD3754">
        <v>-0.14633259999999901</v>
      </c>
      <c r="AE3754">
        <v>-0.68330000000000202</v>
      </c>
      <c r="AF3754">
        <v>0.13281490339812599</v>
      </c>
      <c r="AG3754">
        <v>-0.14633259999999901</v>
      </c>
      <c r="AH3754">
        <v>0.67336224938545097</v>
      </c>
      <c r="AI3754">
        <v>102.035735662186</v>
      </c>
      <c r="AJ3754">
        <v>78.842125658837006</v>
      </c>
      <c r="AK3754">
        <v>0.70176188788281202</v>
      </c>
      <c r="AL3754">
        <v>65.990091744813796</v>
      </c>
      <c r="AM3754">
        <v>85.257703243536199</v>
      </c>
      <c r="AN3754">
        <v>0.99999995590893598</v>
      </c>
    </row>
    <row r="3755" spans="1:40" x14ac:dyDescent="0.25">
      <c r="A3755" t="str">
        <f>"20190304164445466"</f>
        <v>20190304164445466</v>
      </c>
      <c r="B3755" t="str">
        <f>"1551689085454245"</f>
        <v>1551689085454245</v>
      </c>
      <c r="C3755" t="s">
        <v>40</v>
      </c>
      <c r="D3755">
        <v>5.6464080000000001</v>
      </c>
      <c r="E3755">
        <v>0.54785079999999997</v>
      </c>
      <c r="F3755" t="s">
        <v>41</v>
      </c>
      <c r="G3755">
        <v>-191.23310000000001</v>
      </c>
      <c r="H3755">
        <v>0.99492939999999996</v>
      </c>
      <c r="I3755">
        <v>166.08949999999999</v>
      </c>
      <c r="J3755">
        <v>-191.0557</v>
      </c>
      <c r="K3755">
        <v>1.1078509999999999</v>
      </c>
      <c r="L3755">
        <v>166.63299999999899</v>
      </c>
      <c r="M3755">
        <v>-0.106906399999999</v>
      </c>
      <c r="N3755">
        <v>-1.3583309999999999E-2</v>
      </c>
      <c r="O3755">
        <v>-0.99417659999999997</v>
      </c>
      <c r="P3755">
        <v>-0.169928</v>
      </c>
      <c r="Q3755">
        <v>0.39477370000000001</v>
      </c>
      <c r="R3755">
        <v>-0.90292779999999995</v>
      </c>
      <c r="S3755">
        <v>-0.95016480000000003</v>
      </c>
      <c r="T3755">
        <v>-0.54570669999999899</v>
      </c>
      <c r="U3755">
        <v>-3.3838810000000001</v>
      </c>
      <c r="V3755">
        <v>7.5739379999999995E-2</v>
      </c>
      <c r="W3755">
        <v>0.40657359999999998</v>
      </c>
      <c r="X3755">
        <v>0.91047319999999998</v>
      </c>
      <c r="Y3755">
        <v>0.16297059999999999</v>
      </c>
      <c r="Z3755">
        <v>0.1406666</v>
      </c>
      <c r="AA3755">
        <v>0.97655179999999997</v>
      </c>
      <c r="AB3755">
        <v>28</v>
      </c>
      <c r="AC3755">
        <v>-0.177400000000005</v>
      </c>
      <c r="AD3755">
        <v>-0.112921599999999</v>
      </c>
      <c r="AE3755">
        <v>-0.54349999999999399</v>
      </c>
      <c r="AF3755">
        <v>0.11383340954028399</v>
      </c>
      <c r="AG3755">
        <v>-0.112921599999999</v>
      </c>
      <c r="AH3755">
        <v>0.53834998617390295</v>
      </c>
      <c r="AI3755">
        <v>101.59708320754</v>
      </c>
      <c r="AJ3755">
        <v>78.060745084999994</v>
      </c>
      <c r="AK3755">
        <v>0.56172060714163496</v>
      </c>
      <c r="AL3755">
        <v>66.010225256962499</v>
      </c>
      <c r="AM3755">
        <v>85.244694499909102</v>
      </c>
      <c r="AN3755">
        <v>0.99999999690899199</v>
      </c>
    </row>
    <row r="3756" spans="1:40" x14ac:dyDescent="0.25">
      <c r="A3756" t="str">
        <f>"20190304164445484"</f>
        <v>20190304164445484</v>
      </c>
      <c r="B3756" t="str">
        <f>"1551689085473764"</f>
        <v>1551689085473764</v>
      </c>
      <c r="C3756" t="s">
        <v>40</v>
      </c>
      <c r="D3756">
        <v>5.9460480000000002</v>
      </c>
      <c r="E3756">
        <v>0.54950310000000002</v>
      </c>
      <c r="F3756" t="s">
        <v>41</v>
      </c>
      <c r="G3756">
        <v>-191.27770000000001</v>
      </c>
      <c r="H3756">
        <v>0.98145660000000001</v>
      </c>
      <c r="I3756">
        <v>165.85159999999999</v>
      </c>
      <c r="J3756">
        <v>-191.0831</v>
      </c>
      <c r="K3756">
        <v>1.107761</v>
      </c>
      <c r="L3756">
        <v>166.4145</v>
      </c>
      <c r="M3756">
        <v>-0.1105955</v>
      </c>
      <c r="N3756">
        <v>-1.359049E-2</v>
      </c>
      <c r="O3756">
        <v>-0.99377280000000001</v>
      </c>
      <c r="P3756">
        <v>-0.172989</v>
      </c>
      <c r="Q3756">
        <v>0.39394410000000002</v>
      </c>
      <c r="R3756">
        <v>-0.90270879999999998</v>
      </c>
      <c r="S3756">
        <v>-0.96020510000000003</v>
      </c>
      <c r="T3756">
        <v>-0.54678439999999995</v>
      </c>
      <c r="U3756">
        <v>-3.38089</v>
      </c>
      <c r="V3756">
        <v>7.5487410000000005E-2</v>
      </c>
      <c r="W3756">
        <v>0.40574179999999999</v>
      </c>
      <c r="X3756">
        <v>0.91086509999999998</v>
      </c>
      <c r="Y3756">
        <v>0.1622094</v>
      </c>
      <c r="Z3756">
        <v>0.1409511</v>
      </c>
      <c r="AA3756">
        <v>0.97663750000000005</v>
      </c>
      <c r="AB3756">
        <v>28</v>
      </c>
      <c r="AC3756">
        <v>-0.19460000000000799</v>
      </c>
      <c r="AD3756">
        <v>-0.12630440000000001</v>
      </c>
      <c r="AE3756">
        <v>-0.56290000000001295</v>
      </c>
      <c r="AF3756">
        <v>0.125501959277874</v>
      </c>
      <c r="AG3756">
        <v>-0.12630440000000001</v>
      </c>
      <c r="AH3756">
        <v>0.55596703989426599</v>
      </c>
      <c r="AI3756">
        <v>102.495031619098</v>
      </c>
      <c r="AJ3756">
        <v>77.279467118913203</v>
      </c>
      <c r="AK3756">
        <v>0.58378325831659195</v>
      </c>
      <c r="AL3756">
        <v>66.062379344322196</v>
      </c>
      <c r="AM3756">
        <v>85.262472188474206</v>
      </c>
      <c r="AN3756">
        <v>0.99999999386687899</v>
      </c>
    </row>
    <row r="3757" spans="1:40" x14ac:dyDescent="0.25">
      <c r="A3757" t="str">
        <f>"20190304164445504"</f>
        <v>20190304164445504</v>
      </c>
      <c r="B3757" t="str">
        <f>"1551689085494025"</f>
        <v>1551689085494025</v>
      </c>
      <c r="C3757" t="s">
        <v>40</v>
      </c>
      <c r="D3757">
        <v>5.6886359999999998</v>
      </c>
      <c r="E3757">
        <v>0.55924949999999995</v>
      </c>
      <c r="F3757" t="s">
        <v>41</v>
      </c>
      <c r="G3757">
        <v>-191.3177</v>
      </c>
      <c r="H3757">
        <v>0.97446440000000001</v>
      </c>
      <c r="I3757">
        <v>165.6104</v>
      </c>
      <c r="J3757">
        <v>-191.11600000000001</v>
      </c>
      <c r="K3757">
        <v>1.1076649999999999</v>
      </c>
      <c r="L3757">
        <v>166.1611</v>
      </c>
      <c r="M3757">
        <v>-0.1149877</v>
      </c>
      <c r="N3757">
        <v>-1.359898E-2</v>
      </c>
      <c r="O3757">
        <v>-0.99327390000000004</v>
      </c>
      <c r="P3757">
        <v>-0.1768479</v>
      </c>
      <c r="Q3757">
        <v>0.39329059999999999</v>
      </c>
      <c r="R3757">
        <v>-0.90224579999999999</v>
      </c>
      <c r="S3757">
        <v>-0.98526000000000002</v>
      </c>
      <c r="T3757">
        <v>-0.55993800000000005</v>
      </c>
      <c r="U3757">
        <v>-3.37886</v>
      </c>
      <c r="V3757">
        <v>7.5415629999999997E-2</v>
      </c>
      <c r="W3757">
        <v>0.40508359999999999</v>
      </c>
      <c r="X3757">
        <v>0.91116399999999997</v>
      </c>
      <c r="Y3757">
        <v>0.16454460000000001</v>
      </c>
      <c r="Z3757">
        <v>0.14436559999999901</v>
      </c>
      <c r="AA3757">
        <v>0.97574780000000005</v>
      </c>
      <c r="AB3757">
        <v>28</v>
      </c>
      <c r="AC3757">
        <v>-0.20170000000001601</v>
      </c>
      <c r="AD3757">
        <v>-0.133200599999999</v>
      </c>
      <c r="AE3757">
        <v>-0.55070000000000596</v>
      </c>
      <c r="AF3757">
        <v>0.130310384534117</v>
      </c>
      <c r="AG3757">
        <v>-0.133200599999999</v>
      </c>
      <c r="AH3757">
        <v>0.542269366256661</v>
      </c>
      <c r="AI3757">
        <v>103.43267036483699</v>
      </c>
      <c r="AJ3757">
        <v>76.487709991853194</v>
      </c>
      <c r="AK3757">
        <v>0.57339276393951</v>
      </c>
      <c r="AL3757">
        <v>66.103634901363307</v>
      </c>
      <c r="AM3757">
        <v>85.268502153033097</v>
      </c>
      <c r="AN3757">
        <v>1.00000003756662</v>
      </c>
    </row>
    <row r="3758" spans="1:40" x14ac:dyDescent="0.25">
      <c r="A3758" t="str">
        <f>"20190304164445528"</f>
        <v>20190304164445528</v>
      </c>
      <c r="B3758" t="str">
        <f>"1551689085524281"</f>
        <v>1551689085524281</v>
      </c>
      <c r="C3758" t="s">
        <v>40</v>
      </c>
      <c r="D3758">
        <v>5.7114570000000002</v>
      </c>
      <c r="E3758">
        <v>0.55876700000000001</v>
      </c>
      <c r="F3758" t="s">
        <v>41</v>
      </c>
      <c r="G3758">
        <v>-191.36449999999999</v>
      </c>
      <c r="H3758">
        <v>0.94881400000000005</v>
      </c>
      <c r="I3758">
        <v>165.37889999999999</v>
      </c>
      <c r="J3758">
        <v>-191.15389999999999</v>
      </c>
      <c r="K3758">
        <v>1.107558</v>
      </c>
      <c r="L3758">
        <v>165.88099999999901</v>
      </c>
      <c r="M3758">
        <v>-0.119974499999999</v>
      </c>
      <c r="N3758">
        <v>-1.3608520000000001E-2</v>
      </c>
      <c r="O3758">
        <v>-0.99268369999999995</v>
      </c>
      <c r="P3758">
        <v>-0.18108099999999999</v>
      </c>
      <c r="Q3758">
        <v>0.3927447</v>
      </c>
      <c r="R3758">
        <v>-0.90164359999999999</v>
      </c>
      <c r="S3758">
        <v>-1.0837859999999999</v>
      </c>
      <c r="T3758">
        <v>-0.69324140000000001</v>
      </c>
      <c r="U3758">
        <v>-3.4148100000000001</v>
      </c>
      <c r="V3758">
        <v>7.5183249999999993E-2</v>
      </c>
      <c r="W3758">
        <v>0.4045337</v>
      </c>
      <c r="X3758">
        <v>0.9114274</v>
      </c>
      <c r="Y3758">
        <v>0.18087900000000001</v>
      </c>
      <c r="Z3758">
        <v>0.1775902</v>
      </c>
      <c r="AA3758">
        <v>0.9673389</v>
      </c>
      <c r="AB3758">
        <v>28</v>
      </c>
      <c r="AC3758">
        <v>-0.21059999999999901</v>
      </c>
      <c r="AD3758">
        <v>-0.158744</v>
      </c>
      <c r="AE3758">
        <v>-0.502099999999984</v>
      </c>
      <c r="AF3758">
        <v>0.13717362925217699</v>
      </c>
      <c r="AG3758">
        <v>-0.158744</v>
      </c>
      <c r="AH3758">
        <v>0.48270991613230102</v>
      </c>
      <c r="AI3758">
        <v>107.553995388492</v>
      </c>
      <c r="AJ3758">
        <v>74.136226240160298</v>
      </c>
      <c r="AK3758">
        <v>0.52633176346356603</v>
      </c>
      <c r="AL3758">
        <v>66.138089565786203</v>
      </c>
      <c r="AM3758">
        <v>85.284372590515105</v>
      </c>
      <c r="AN3758">
        <v>0.99999997049350497</v>
      </c>
    </row>
    <row r="3759" spans="1:40" x14ac:dyDescent="0.25">
      <c r="A3759" t="str">
        <f>"20190304164445540"</f>
        <v>20190304164445540</v>
      </c>
      <c r="B3759" t="str">
        <f>"1551689085534040"</f>
        <v>1551689085534040</v>
      </c>
      <c r="C3759" t="s">
        <v>40</v>
      </c>
      <c r="D3759">
        <v>5.7183089999999996</v>
      </c>
      <c r="E3759">
        <v>0.55860889999999996</v>
      </c>
      <c r="F3759" t="s">
        <v>41</v>
      </c>
      <c r="G3759">
        <v>-191.39359999999999</v>
      </c>
      <c r="H3759">
        <v>0.94867849999999998</v>
      </c>
      <c r="I3759">
        <v>165.13409999999999</v>
      </c>
      <c r="J3759">
        <v>-191.17740000000001</v>
      </c>
      <c r="K3759">
        <v>1.107504</v>
      </c>
      <c r="L3759">
        <v>165.71289999999999</v>
      </c>
      <c r="M3759">
        <v>-0.12303550000000001</v>
      </c>
      <c r="N3759">
        <v>-1.361418E-2</v>
      </c>
      <c r="O3759">
        <v>-0.99230890000000005</v>
      </c>
      <c r="P3759">
        <v>-0.1836084</v>
      </c>
      <c r="Q3759">
        <v>0.39267639999999998</v>
      </c>
      <c r="R3759">
        <v>-0.90116209999999997</v>
      </c>
      <c r="S3759">
        <v>-1.098724</v>
      </c>
      <c r="T3759">
        <v>-0.72819969999999901</v>
      </c>
      <c r="U3759">
        <v>-3.4237980000000001</v>
      </c>
      <c r="V3759">
        <v>7.4979740000000003E-2</v>
      </c>
      <c r="W3759">
        <v>0.40446310000000002</v>
      </c>
      <c r="X3759">
        <v>0.91147549999999999</v>
      </c>
      <c r="Y3759">
        <v>0.18045</v>
      </c>
      <c r="Z3759">
        <v>0.1861418</v>
      </c>
      <c r="AA3759">
        <v>0.9658101</v>
      </c>
      <c r="AB3759">
        <v>28</v>
      </c>
      <c r="AC3759">
        <v>-0.21619999999998599</v>
      </c>
      <c r="AD3759">
        <v>-0.15882550000000001</v>
      </c>
      <c r="AE3759">
        <v>-0.57880000000000098</v>
      </c>
      <c r="AF3759">
        <v>0.13445307910829299</v>
      </c>
      <c r="AG3759">
        <v>-0.15882550000000001</v>
      </c>
      <c r="AH3759">
        <v>0.56375251249531999</v>
      </c>
      <c r="AI3759">
        <v>105.32526370569001</v>
      </c>
      <c r="AJ3759">
        <v>76.585739500782395</v>
      </c>
      <c r="AK3759">
        <v>0.60093266284729197</v>
      </c>
      <c r="AL3759">
        <v>66.142512736475993</v>
      </c>
      <c r="AM3759">
        <v>85.297326835040096</v>
      </c>
      <c r="AN3759">
        <v>0.99999997388616302</v>
      </c>
    </row>
    <row r="3760" spans="1:40" x14ac:dyDescent="0.25">
      <c r="A3760" t="str">
        <f>"20190304164445554"</f>
        <v>20190304164445554</v>
      </c>
      <c r="B3760" t="str">
        <f>"1551689085543802"</f>
        <v>1551689085543802</v>
      </c>
      <c r="C3760" t="s">
        <v>40</v>
      </c>
      <c r="D3760">
        <v>5.711748</v>
      </c>
      <c r="E3760">
        <v>0.55841269999999998</v>
      </c>
      <c r="F3760" t="s">
        <v>41</v>
      </c>
      <c r="G3760">
        <v>-191.4409</v>
      </c>
      <c r="H3760">
        <v>0.93287779999999998</v>
      </c>
      <c r="I3760">
        <v>164.89840000000001</v>
      </c>
      <c r="J3760">
        <v>-191.2004</v>
      </c>
      <c r="K3760">
        <v>1.10745</v>
      </c>
      <c r="L3760">
        <v>165.55189999999999</v>
      </c>
      <c r="M3760">
        <v>-0.1260029</v>
      </c>
      <c r="N3760">
        <v>-1.361945E-2</v>
      </c>
      <c r="O3760">
        <v>-0.99193640000000005</v>
      </c>
      <c r="P3760">
        <v>-0.18632599999999999</v>
      </c>
      <c r="Q3760">
        <v>0.3925922</v>
      </c>
      <c r="R3760">
        <v>-0.90064129999999998</v>
      </c>
      <c r="S3760">
        <v>-1.106735</v>
      </c>
      <c r="T3760">
        <v>-0.73358459999999903</v>
      </c>
      <c r="U3760">
        <v>-3.423203</v>
      </c>
      <c r="V3760">
        <v>7.5051370000000006E-2</v>
      </c>
      <c r="W3760">
        <v>0.40437410000000001</v>
      </c>
      <c r="X3760">
        <v>0.91150909999999996</v>
      </c>
      <c r="Y3760">
        <v>0.17952939999999901</v>
      </c>
      <c r="Z3760">
        <v>0.18743170000000001</v>
      </c>
      <c r="AA3760">
        <v>0.96573209999999998</v>
      </c>
      <c r="AB3760">
        <v>27</v>
      </c>
      <c r="AC3760">
        <v>-0.24049999999999699</v>
      </c>
      <c r="AD3760">
        <v>-0.17457220000000001</v>
      </c>
      <c r="AE3760">
        <v>-0.65349999999997899</v>
      </c>
      <c r="AF3760">
        <v>0.14699393047482201</v>
      </c>
      <c r="AG3760">
        <v>-0.17457220000000001</v>
      </c>
      <c r="AH3760">
        <v>0.63847009537182797</v>
      </c>
      <c r="AI3760">
        <v>104.919943548139</v>
      </c>
      <c r="AJ3760">
        <v>77.034808774614007</v>
      </c>
      <c r="AK3760">
        <v>0.67803151202093004</v>
      </c>
      <c r="AL3760">
        <v>66.148088522973893</v>
      </c>
      <c r="AM3760">
        <v>85.293027168153799</v>
      </c>
      <c r="AN3760">
        <v>0.99999998013624802</v>
      </c>
    </row>
    <row r="3761" spans="1:40" x14ac:dyDescent="0.25">
      <c r="A3761" t="str">
        <f>"20190304164445573"</f>
        <v>20190304164445573</v>
      </c>
      <c r="B3761" t="str">
        <f>"1551689085564297"</f>
        <v>1551689085564297</v>
      </c>
      <c r="C3761" t="s">
        <v>40</v>
      </c>
      <c r="D3761">
        <v>5.7201950000000004</v>
      </c>
      <c r="E3761">
        <v>0.55812740000000005</v>
      </c>
      <c r="F3761" t="s">
        <v>41</v>
      </c>
      <c r="G3761">
        <v>-191.4896</v>
      </c>
      <c r="H3761">
        <v>0.91565079999999999</v>
      </c>
      <c r="I3761">
        <v>164.66370000000001</v>
      </c>
      <c r="J3761">
        <v>-191.23480000000001</v>
      </c>
      <c r="K3761">
        <v>1.1073740000000001</v>
      </c>
      <c r="L3761">
        <v>165.31829999999999</v>
      </c>
      <c r="M3761">
        <v>-0.1304111</v>
      </c>
      <c r="N3761">
        <v>-1.362741E-2</v>
      </c>
      <c r="O3761">
        <v>-0.99136650000000004</v>
      </c>
      <c r="P3761">
        <v>-0.1908379</v>
      </c>
      <c r="Q3761">
        <v>0.39266879999999998</v>
      </c>
      <c r="R3761">
        <v>-0.89966229999999903</v>
      </c>
      <c r="S3761">
        <v>-1.114395</v>
      </c>
      <c r="T3761">
        <v>-0.73895119999999903</v>
      </c>
      <c r="U3761">
        <v>-3.4225310000000002</v>
      </c>
      <c r="V3761">
        <v>7.5652419999999998E-2</v>
      </c>
      <c r="W3761">
        <v>0.40443780000000001</v>
      </c>
      <c r="X3761">
        <v>0.9114312</v>
      </c>
      <c r="Y3761">
        <v>0.17709510000000001</v>
      </c>
      <c r="Z3761">
        <v>0.18868950000000001</v>
      </c>
      <c r="AA3761">
        <v>0.96593669999999998</v>
      </c>
      <c r="AB3761">
        <v>27</v>
      </c>
      <c r="AC3761">
        <v>-0.25479999999998798</v>
      </c>
      <c r="AD3761">
        <v>-0.19172320000000001</v>
      </c>
      <c r="AE3761">
        <v>-0.65459999999998697</v>
      </c>
      <c r="AF3761">
        <v>0.15565315449558401</v>
      </c>
      <c r="AG3761">
        <v>-0.19172320000000001</v>
      </c>
      <c r="AH3761">
        <v>0.63494042863715905</v>
      </c>
      <c r="AI3761">
        <v>106.344877584012</v>
      </c>
      <c r="AJ3761">
        <v>76.225803983214007</v>
      </c>
      <c r="AK3761">
        <v>0.68127456861430402</v>
      </c>
      <c r="AL3761">
        <v>66.1440991019374</v>
      </c>
      <c r="AM3761">
        <v>85.255099052331303</v>
      </c>
      <c r="AN3761">
        <v>1.00000002752706</v>
      </c>
    </row>
    <row r="3762" spans="1:40" x14ac:dyDescent="0.25">
      <c r="A3762" t="str">
        <f>"20190304164445593"</f>
        <v>20190304164445593</v>
      </c>
      <c r="B3762" t="str">
        <f>"1551689085583817"</f>
        <v>1551689085583817</v>
      </c>
      <c r="C3762" t="s">
        <v>40</v>
      </c>
      <c r="D3762">
        <v>5.6638260000000002</v>
      </c>
      <c r="E3762">
        <v>0.55814969999999997</v>
      </c>
      <c r="F3762" t="s">
        <v>41</v>
      </c>
      <c r="G3762">
        <v>-191.45849999999999</v>
      </c>
      <c r="H3762">
        <v>0.95954479999999998</v>
      </c>
      <c r="I3762">
        <v>164.6404</v>
      </c>
      <c r="J3762">
        <v>-191.27269999999999</v>
      </c>
      <c r="K3762">
        <v>1.107294</v>
      </c>
      <c r="L3762">
        <v>165.07</v>
      </c>
      <c r="M3762">
        <v>-0.13519329999999999</v>
      </c>
      <c r="N3762">
        <v>-1.363613E-2</v>
      </c>
      <c r="O3762">
        <v>-0.99072559999999998</v>
      </c>
      <c r="P3762">
        <v>-0.19646050000000001</v>
      </c>
      <c r="Q3762">
        <v>0.3927293</v>
      </c>
      <c r="R3762">
        <v>-0.89842489999999997</v>
      </c>
      <c r="S3762">
        <v>-1.1283570000000001</v>
      </c>
      <c r="T3762">
        <v>-0.74583069999999996</v>
      </c>
      <c r="U3762">
        <v>-3.4207610000000002</v>
      </c>
      <c r="V3762">
        <v>7.7043500000000001E-2</v>
      </c>
      <c r="W3762">
        <v>0.4044779</v>
      </c>
      <c r="X3762">
        <v>0.91129680000000002</v>
      </c>
      <c r="Y3762">
        <v>0.175956</v>
      </c>
      <c r="Z3762">
        <v>0.19030059999999999</v>
      </c>
      <c r="AA3762">
        <v>0.96582869999999998</v>
      </c>
      <c r="AB3762">
        <v>27</v>
      </c>
      <c r="AC3762">
        <v>-0.18579999999999999</v>
      </c>
      <c r="AD3762">
        <v>-0.147749199999999</v>
      </c>
      <c r="AE3762">
        <v>-0.42959999999999299</v>
      </c>
      <c r="AF3762">
        <v>0.114591128174285</v>
      </c>
      <c r="AG3762">
        <v>-0.147749199999999</v>
      </c>
      <c r="AH3762">
        <v>0.40992938306424698</v>
      </c>
      <c r="AI3762">
        <v>109.14284893026201</v>
      </c>
      <c r="AJ3762">
        <v>74.382265338141806</v>
      </c>
      <c r="AK3762">
        <v>0.45055859980287799</v>
      </c>
      <c r="AL3762">
        <v>66.141585307084597</v>
      </c>
      <c r="AM3762">
        <v>85.167550995104094</v>
      </c>
      <c r="AN3762">
        <v>0.99999996508544897</v>
      </c>
    </row>
    <row r="3763" spans="1:40" x14ac:dyDescent="0.25">
      <c r="A3763" t="str">
        <f>"20190304164445607"</f>
        <v>20190304164445607</v>
      </c>
      <c r="B3763" t="str">
        <f>"1551689085604313"</f>
        <v>1551689085604313</v>
      </c>
      <c r="C3763" t="s">
        <v>40</v>
      </c>
      <c r="D3763">
        <v>5.6739240000000004</v>
      </c>
      <c r="E3763">
        <v>0.55824229999999997</v>
      </c>
      <c r="F3763" t="s">
        <v>41</v>
      </c>
      <c r="G3763">
        <v>-191.499</v>
      </c>
      <c r="H3763">
        <v>0.95997790000000005</v>
      </c>
      <c r="I3763">
        <v>164.39709999999999</v>
      </c>
      <c r="J3763">
        <v>-191.297</v>
      </c>
      <c r="K3763">
        <v>1.1072420000000001</v>
      </c>
      <c r="L3763">
        <v>164.91589999999999</v>
      </c>
      <c r="M3763">
        <v>-0.13822409999999999</v>
      </c>
      <c r="N3763">
        <v>-1.364157E-2</v>
      </c>
      <c r="O3763">
        <v>-0.9903071</v>
      </c>
      <c r="P3763">
        <v>-0.20001559999999999</v>
      </c>
      <c r="Q3763">
        <v>0.3929088</v>
      </c>
      <c r="R3763">
        <v>-0.89756170000000002</v>
      </c>
      <c r="S3763">
        <v>-1.147858</v>
      </c>
      <c r="T3763">
        <v>-0.74738990000000005</v>
      </c>
      <c r="U3763">
        <v>-3.4148710000000002</v>
      </c>
      <c r="V3763">
        <v>7.792731E-2</v>
      </c>
      <c r="W3763">
        <v>0.40464280000000002</v>
      </c>
      <c r="X3763">
        <v>0.91114850000000003</v>
      </c>
      <c r="Y3763">
        <v>0.17837629999999999</v>
      </c>
      <c r="Z3763">
        <v>0.1906919</v>
      </c>
      <c r="AA3763">
        <v>0.96530749999999999</v>
      </c>
      <c r="AB3763">
        <v>27</v>
      </c>
      <c r="AC3763">
        <v>-0.20200000000002599</v>
      </c>
      <c r="AD3763">
        <v>-0.14726410000000001</v>
      </c>
      <c r="AE3763">
        <v>-0.51879999999999804</v>
      </c>
      <c r="AF3763">
        <v>0.11995074048846401</v>
      </c>
      <c r="AG3763">
        <v>-0.14726410000000001</v>
      </c>
      <c r="AH3763">
        <v>0.50631756617296797</v>
      </c>
      <c r="AI3763">
        <v>105.80253980809999</v>
      </c>
      <c r="AJ3763">
        <v>76.671887564400095</v>
      </c>
      <c r="AK3763">
        <v>0.540770166621513</v>
      </c>
      <c r="AL3763">
        <v>66.131255547403697</v>
      </c>
      <c r="AM3763">
        <v>85.111590583241593</v>
      </c>
      <c r="AN3763">
        <v>1.00000002514396</v>
      </c>
    </row>
    <row r="3764" spans="1:40" x14ac:dyDescent="0.25">
      <c r="A3764" t="str">
        <f>"20190304164445619"</f>
        <v>20190304164445619</v>
      </c>
      <c r="B3764" t="str">
        <f>"1551689085614074"</f>
        <v>1551689085614074</v>
      </c>
      <c r="C3764" t="s">
        <v>40</v>
      </c>
      <c r="D3764">
        <v>5.6762709999999998</v>
      </c>
      <c r="E3764">
        <v>0.55821889999999996</v>
      </c>
      <c r="F3764" t="s">
        <v>41</v>
      </c>
      <c r="G3764">
        <v>-191.5531</v>
      </c>
      <c r="H3764">
        <v>0.9426156</v>
      </c>
      <c r="I3764">
        <v>164.16390000000001</v>
      </c>
      <c r="J3764">
        <v>-191.3227</v>
      </c>
      <c r="K3764">
        <v>1.107189</v>
      </c>
      <c r="L3764">
        <v>164.75540000000001</v>
      </c>
      <c r="M3764">
        <v>-0.141407</v>
      </c>
      <c r="N3764">
        <v>-1.3647090000000001E-2</v>
      </c>
      <c r="O3764">
        <v>-0.98985769999999995</v>
      </c>
      <c r="P3764">
        <v>-0.20365849999999999</v>
      </c>
      <c r="Q3764">
        <v>0.39269369999999998</v>
      </c>
      <c r="R3764">
        <v>-0.89683639999999998</v>
      </c>
      <c r="S3764">
        <v>-1.1614230000000001</v>
      </c>
      <c r="T3764">
        <v>-0.74662879999999998</v>
      </c>
      <c r="U3764">
        <v>-3.4104000000000001</v>
      </c>
      <c r="V3764">
        <v>7.8734799999999994E-2</v>
      </c>
      <c r="W3764">
        <v>0.40441690000000002</v>
      </c>
      <c r="X3764">
        <v>0.91117939999999997</v>
      </c>
      <c r="Y3764">
        <v>0.17905450000000001</v>
      </c>
      <c r="Z3764">
        <v>0.19047069999999999</v>
      </c>
      <c r="AA3764">
        <v>0.96522560000000002</v>
      </c>
      <c r="AB3764">
        <v>27</v>
      </c>
      <c r="AC3764">
        <v>-0.23040000000000299</v>
      </c>
      <c r="AD3764">
        <v>-0.16457340000000001</v>
      </c>
      <c r="AE3764">
        <v>-0.59149999999999603</v>
      </c>
      <c r="AF3764">
        <v>0.13533776813721801</v>
      </c>
      <c r="AG3764">
        <v>-0.16457340000000001</v>
      </c>
      <c r="AH3764">
        <v>0.57920744689984305</v>
      </c>
      <c r="AI3764">
        <v>105.46585281147399</v>
      </c>
      <c r="AJ3764">
        <v>76.848214115120498</v>
      </c>
      <c r="AK3764">
        <v>0.61715636755700598</v>
      </c>
      <c r="AL3764">
        <v>66.145408968128194</v>
      </c>
      <c r="AM3764">
        <v>85.061352355638206</v>
      </c>
      <c r="AN3764">
        <v>1.0000000483605</v>
      </c>
    </row>
    <row r="3765" spans="1:40" x14ac:dyDescent="0.25">
      <c r="A3765" t="str">
        <f>"20190304164445631"</f>
        <v>20190304164445631</v>
      </c>
      <c r="B3765" t="str">
        <f>"1551689085623833"</f>
        <v>1551689085623833</v>
      </c>
      <c r="C3765" t="s">
        <v>40</v>
      </c>
      <c r="D3765">
        <v>5.6636240000000004</v>
      </c>
      <c r="E3765">
        <v>0.5582047</v>
      </c>
      <c r="F3765" t="s">
        <v>41</v>
      </c>
      <c r="G3765">
        <v>-191.60720000000001</v>
      </c>
      <c r="H3765">
        <v>0.92588970000000004</v>
      </c>
      <c r="I3765">
        <v>163.9306</v>
      </c>
      <c r="J3765">
        <v>-191.3475</v>
      </c>
      <c r="K3765">
        <v>1.1071390000000001</v>
      </c>
      <c r="L3765">
        <v>164.60390000000001</v>
      </c>
      <c r="M3765">
        <v>-0.14444489999999999</v>
      </c>
      <c r="N3765">
        <v>-1.365224E-2</v>
      </c>
      <c r="O3765">
        <v>-0.98941869999999998</v>
      </c>
      <c r="P3765">
        <v>-0.20723539999999999</v>
      </c>
      <c r="Q3765">
        <v>0.392399</v>
      </c>
      <c r="R3765">
        <v>-0.89614570000000005</v>
      </c>
      <c r="S3765">
        <v>-1.173935</v>
      </c>
      <c r="T3765">
        <v>-0.7483611</v>
      </c>
      <c r="U3765">
        <v>-3.4061889999999999</v>
      </c>
      <c r="V3765">
        <v>7.9600249999999997E-2</v>
      </c>
      <c r="W3765">
        <v>0.40411069999999999</v>
      </c>
      <c r="X3765">
        <v>0.91124000000000005</v>
      </c>
      <c r="Y3765">
        <v>0.1795436</v>
      </c>
      <c r="Z3765">
        <v>0.1909025</v>
      </c>
      <c r="AA3765">
        <v>0.96504939999999995</v>
      </c>
      <c r="AB3765">
        <v>27</v>
      </c>
      <c r="AC3765">
        <v>-0.25970000000000898</v>
      </c>
      <c r="AD3765">
        <v>-0.181249299999999</v>
      </c>
      <c r="AE3765">
        <v>-0.673300000000011</v>
      </c>
      <c r="AF3765">
        <v>0.15023513058910801</v>
      </c>
      <c r="AG3765">
        <v>-0.181249299999999</v>
      </c>
      <c r="AH3765">
        <v>0.66199404143208695</v>
      </c>
      <c r="AI3765">
        <v>104.949433151143</v>
      </c>
      <c r="AJ3765">
        <v>77.213681449813805</v>
      </c>
      <c r="AK3765">
        <v>0.70260800885358898</v>
      </c>
      <c r="AL3765">
        <v>66.164588913853706</v>
      </c>
      <c r="AM3765">
        <v>85.007670171348906</v>
      </c>
      <c r="AN3765">
        <v>0.99999999762727598</v>
      </c>
    </row>
    <row r="3766" spans="1:40" x14ac:dyDescent="0.25">
      <c r="A3766" t="str">
        <f>"20190304164445651"</f>
        <v>20190304164445651</v>
      </c>
      <c r="B3766" t="str">
        <f>"1551689085644329"</f>
        <v>1551689085644329</v>
      </c>
      <c r="C3766" t="s">
        <v>40</v>
      </c>
      <c r="D3766">
        <v>5.6912529999999997</v>
      </c>
      <c r="E3766">
        <v>0.5581779</v>
      </c>
      <c r="F3766" t="s">
        <v>41</v>
      </c>
      <c r="G3766">
        <v>-191.58779999999999</v>
      </c>
      <c r="H3766">
        <v>0.95509299999999997</v>
      </c>
      <c r="I3766">
        <v>163.91489999999999</v>
      </c>
      <c r="J3766">
        <v>-191.38720000000001</v>
      </c>
      <c r="K3766">
        <v>1.1070719999999901</v>
      </c>
      <c r="L3766">
        <v>164.36760000000001</v>
      </c>
      <c r="M3766">
        <v>-0.1492425</v>
      </c>
      <c r="N3766">
        <v>-1.3659849999999999E-2</v>
      </c>
      <c r="O3766">
        <v>-0.98870639999999999</v>
      </c>
      <c r="P3766">
        <v>-0.21269360000000001</v>
      </c>
      <c r="Q3766">
        <v>0.39195289999999999</v>
      </c>
      <c r="R3766">
        <v>-0.895061199999999</v>
      </c>
      <c r="S3766">
        <v>-1.1858219999999999</v>
      </c>
      <c r="T3766">
        <v>-0.7504033</v>
      </c>
      <c r="U3766">
        <v>-3.4020079999999999</v>
      </c>
      <c r="V3766">
        <v>8.0765790000000004E-2</v>
      </c>
      <c r="W3766">
        <v>0.40365050000000002</v>
      </c>
      <c r="X3766">
        <v>0.91134139999999997</v>
      </c>
      <c r="Y3766">
        <v>0.17811920000000001</v>
      </c>
      <c r="Z3766">
        <v>0.19137219999999999</v>
      </c>
      <c r="AA3766">
        <v>0.96522030000000003</v>
      </c>
      <c r="AB3766">
        <v>27</v>
      </c>
      <c r="AC3766">
        <v>-0.20059999999997999</v>
      </c>
      <c r="AD3766">
        <v>-0.151978999999999</v>
      </c>
      <c r="AE3766">
        <v>-0.45270000000002097</v>
      </c>
      <c r="AF3766">
        <v>0.119524485351671</v>
      </c>
      <c r="AG3766">
        <v>-0.151978999999999</v>
      </c>
      <c r="AH3766">
        <v>0.43645273070793</v>
      </c>
      <c r="AI3766">
        <v>108.56452799384699</v>
      </c>
      <c r="AJ3766">
        <v>74.684791648198001</v>
      </c>
      <c r="AK3766">
        <v>0.477362236862103</v>
      </c>
      <c r="AL3766">
        <v>66.193411692276896</v>
      </c>
      <c r="AM3766">
        <v>84.935508557469504</v>
      </c>
      <c r="AN3766">
        <v>0.99999999316926702</v>
      </c>
    </row>
    <row r="3767" spans="1:40" x14ac:dyDescent="0.25">
      <c r="A3767" t="str">
        <f>"20190304164445663"</f>
        <v>20190304164445663</v>
      </c>
      <c r="B3767" t="str">
        <f>"1551689085654089"</f>
        <v>1551689085654089</v>
      </c>
      <c r="C3767" t="s">
        <v>40</v>
      </c>
      <c r="D3767">
        <v>5.2281909999999998</v>
      </c>
      <c r="E3767">
        <v>0.5581779</v>
      </c>
      <c r="F3767" t="s">
        <v>41</v>
      </c>
      <c r="G3767">
        <v>-191.6335</v>
      </c>
      <c r="H3767">
        <v>0.95313680000000001</v>
      </c>
      <c r="I3767">
        <v>163.67410000000001</v>
      </c>
      <c r="J3767">
        <v>-191.41239999999999</v>
      </c>
      <c r="K3767">
        <v>1.1070439999999999</v>
      </c>
      <c r="L3767">
        <v>164.22200000000001</v>
      </c>
      <c r="M3767">
        <v>-0.15222810000000001</v>
      </c>
      <c r="N3767">
        <v>-1.3664010000000001E-2</v>
      </c>
      <c r="O3767">
        <v>-0.98825110000000005</v>
      </c>
      <c r="P3767">
        <v>-0.2154113</v>
      </c>
      <c r="Q3767">
        <v>0.39181959999999999</v>
      </c>
      <c r="R3767">
        <v>-0.89446949999999903</v>
      </c>
      <c r="S3767">
        <v>-1.2051240000000001</v>
      </c>
      <c r="T3767">
        <v>-0.75341009999999997</v>
      </c>
      <c r="U3767">
        <v>-3.3952789999999999</v>
      </c>
      <c r="V3767">
        <v>8.0799209999999996E-2</v>
      </c>
      <c r="W3767">
        <v>0.40351609999999899</v>
      </c>
      <c r="X3767">
        <v>0.91139789999999998</v>
      </c>
      <c r="Y3767">
        <v>0.18056759999999999</v>
      </c>
      <c r="Z3767">
        <v>0.19216859999999999</v>
      </c>
      <c r="AA3767">
        <v>0.96460690000000004</v>
      </c>
      <c r="AB3767">
        <v>27</v>
      </c>
      <c r="AC3767">
        <v>-0.22110000000000599</v>
      </c>
      <c r="AD3767">
        <v>-0.15390719999999999</v>
      </c>
      <c r="AE3767">
        <v>-0.54789999999999806</v>
      </c>
      <c r="AF3767">
        <v>0.12652364323225801</v>
      </c>
      <c r="AG3767">
        <v>-0.15390719999999999</v>
      </c>
      <c r="AH3767">
        <v>0.53862466389289898</v>
      </c>
      <c r="AI3767">
        <v>105.544951924298</v>
      </c>
      <c r="AJ3767">
        <v>76.780807105904799</v>
      </c>
      <c r="AK3767">
        <v>0.57429277120850297</v>
      </c>
      <c r="AL3767">
        <v>66.201826872446702</v>
      </c>
      <c r="AM3767">
        <v>84.933736287656302</v>
      </c>
      <c r="AN3767">
        <v>0.99999994371012002</v>
      </c>
    </row>
    <row r="3768" spans="1:40" x14ac:dyDescent="0.25">
      <c r="A3768" t="str">
        <f>"20190304164445675"</f>
        <v>20190304164445675</v>
      </c>
      <c r="B3768" t="str">
        <f>"1551689085663850"</f>
        <v>1551689085663850</v>
      </c>
      <c r="C3768" t="s">
        <v>40</v>
      </c>
      <c r="D3768">
        <v>5.7046449999999904</v>
      </c>
      <c r="E3768">
        <v>0.55816969999999899</v>
      </c>
      <c r="F3768" t="s">
        <v>41</v>
      </c>
      <c r="G3768">
        <v>-191.6919</v>
      </c>
      <c r="H3768">
        <v>0.93393899999999996</v>
      </c>
      <c r="I3768">
        <v>163.44329999999999</v>
      </c>
      <c r="J3768">
        <v>-191.43690000000001</v>
      </c>
      <c r="K3768">
        <v>1.1070180000000001</v>
      </c>
      <c r="L3768">
        <v>164.08170000000001</v>
      </c>
      <c r="M3768">
        <v>-0.155112</v>
      </c>
      <c r="N3768">
        <v>-1.366772E-2</v>
      </c>
      <c r="O3768">
        <v>-0.98780250000000003</v>
      </c>
      <c r="P3768">
        <v>-0.21750330000000001</v>
      </c>
      <c r="Q3768">
        <v>0.39154879999999997</v>
      </c>
      <c r="R3768">
        <v>-0.89408199999999904</v>
      </c>
      <c r="S3768">
        <v>-1.216553</v>
      </c>
      <c r="T3768">
        <v>-0.75362669999999998</v>
      </c>
      <c r="U3768">
        <v>-3.3910830000000001</v>
      </c>
      <c r="V3768">
        <v>8.0271129999999996E-2</v>
      </c>
      <c r="W3768">
        <v>0.40325169999999999</v>
      </c>
      <c r="X3768">
        <v>0.91156159999999997</v>
      </c>
      <c r="Y3768">
        <v>0.18095410000000001</v>
      </c>
      <c r="Z3768">
        <v>0.1922085</v>
      </c>
      <c r="AA3768">
        <v>0.96452649999999995</v>
      </c>
      <c r="AB3768">
        <v>27</v>
      </c>
      <c r="AC3768">
        <v>-0.25499999999999501</v>
      </c>
      <c r="AD3768">
        <v>-0.17307900000000001</v>
      </c>
      <c r="AE3768">
        <v>-0.63840000000001795</v>
      </c>
      <c r="AF3768">
        <v>0.143767139069396</v>
      </c>
      <c r="AG3768">
        <v>-0.17307900000000001</v>
      </c>
      <c r="AH3768">
        <v>0.630276579156687</v>
      </c>
      <c r="AI3768">
        <v>104.988348786217</v>
      </c>
      <c r="AJ3768">
        <v>77.150579973261301</v>
      </c>
      <c r="AK3768">
        <v>0.66923381321527298</v>
      </c>
      <c r="AL3768">
        <v>66.218383248692106</v>
      </c>
      <c r="AM3768">
        <v>84.967576510539004</v>
      </c>
      <c r="AN3768">
        <v>0.99999996922946299</v>
      </c>
    </row>
    <row r="3769" spans="1:40" x14ac:dyDescent="0.25">
      <c r="A3769" t="str">
        <f>"20190304164445693"</f>
        <v>20190304164445693</v>
      </c>
      <c r="B3769" t="str">
        <f>"1551689085684344"</f>
        <v>1551689085684344</v>
      </c>
      <c r="C3769" t="s">
        <v>40</v>
      </c>
      <c r="D3769">
        <v>5.6757299999999997</v>
      </c>
      <c r="E3769">
        <v>0.55815409999999999</v>
      </c>
      <c r="F3769" t="s">
        <v>41</v>
      </c>
      <c r="G3769">
        <v>-191.7516</v>
      </c>
      <c r="H3769">
        <v>0.91355719999999996</v>
      </c>
      <c r="I3769">
        <v>163.2133</v>
      </c>
      <c r="J3769">
        <v>-191.47819999999999</v>
      </c>
      <c r="K3769">
        <v>1.1069869999999999</v>
      </c>
      <c r="L3769">
        <v>163.85140000000001</v>
      </c>
      <c r="M3769">
        <v>-0.15988039999999901</v>
      </c>
      <c r="N3769">
        <v>-1.367261E-2</v>
      </c>
      <c r="O3769">
        <v>-0.98704199999999997</v>
      </c>
      <c r="P3769">
        <v>-0.22066040000000001</v>
      </c>
      <c r="Q3769">
        <v>0.39085130000000001</v>
      </c>
      <c r="R3769">
        <v>-0.89361360000000001</v>
      </c>
      <c r="S3769">
        <v>-1.227325</v>
      </c>
      <c r="T3769">
        <v>-0.75446820000000003</v>
      </c>
      <c r="U3769">
        <v>-3.3872379999999902</v>
      </c>
      <c r="V3769">
        <v>7.9051899999999994E-2</v>
      </c>
      <c r="W3769">
        <v>0.40257169999999998</v>
      </c>
      <c r="X3769">
        <v>0.91196860000000002</v>
      </c>
      <c r="Y3769">
        <v>0.1792608</v>
      </c>
      <c r="Z3769">
        <v>0.19234480000000001</v>
      </c>
      <c r="AA3769">
        <v>0.9648156</v>
      </c>
      <c r="AB3769">
        <v>27</v>
      </c>
      <c r="AC3769">
        <v>-0.27340000000000902</v>
      </c>
      <c r="AD3769">
        <v>-0.19342980000000001</v>
      </c>
      <c r="AE3769">
        <v>-0.63810000000000799</v>
      </c>
      <c r="AF3769">
        <v>0.15576036599412099</v>
      </c>
      <c r="AG3769">
        <v>-0.19342980000000001</v>
      </c>
      <c r="AH3769">
        <v>0.62507610665739599</v>
      </c>
      <c r="AI3769">
        <v>106.71333058528</v>
      </c>
      <c r="AJ3769">
        <v>76.007647184121694</v>
      </c>
      <c r="AK3769">
        <v>0.67260428058155497</v>
      </c>
      <c r="AL3769">
        <v>66.260952174209393</v>
      </c>
      <c r="AM3769">
        <v>85.0458307647894</v>
      </c>
      <c r="AN3769">
        <v>0.99999995196022895</v>
      </c>
    </row>
    <row r="3770" spans="1:40" x14ac:dyDescent="0.25">
      <c r="A3770" t="str">
        <f>"20190304164445704"</f>
        <v>20190304164445704</v>
      </c>
      <c r="B3770" t="str">
        <f>"1551689085694105"</f>
        <v>1551689085694105</v>
      </c>
      <c r="C3770" t="s">
        <v>40</v>
      </c>
      <c r="D3770">
        <v>5.6801789999999999</v>
      </c>
      <c r="E3770">
        <v>0.55820740000000002</v>
      </c>
      <c r="F3770" t="s">
        <v>41</v>
      </c>
      <c r="G3770">
        <v>-191.72210000000001</v>
      </c>
      <c r="H3770">
        <v>0.95859939999999999</v>
      </c>
      <c r="I3770">
        <v>163.18870000000001</v>
      </c>
      <c r="J3770">
        <v>-191.5034</v>
      </c>
      <c r="K3770">
        <v>1.1069789999999999</v>
      </c>
      <c r="L3770">
        <v>163.71520000000001</v>
      </c>
      <c r="M3770">
        <v>-0.1627131</v>
      </c>
      <c r="N3770">
        <v>-1.367493E-2</v>
      </c>
      <c r="O3770">
        <v>-0.98657879999999998</v>
      </c>
      <c r="P3770">
        <v>-0.2224341</v>
      </c>
      <c r="Q3770">
        <v>0.39045220000000003</v>
      </c>
      <c r="R3770">
        <v>-0.89334799999999903</v>
      </c>
      <c r="S3770">
        <v>-1.2438959999999999</v>
      </c>
      <c r="T3770">
        <v>-0.75696419999999998</v>
      </c>
      <c r="U3770">
        <v>-3.3810579999999999</v>
      </c>
      <c r="V3770">
        <v>7.82143E-2</v>
      </c>
      <c r="W3770">
        <v>0.40218540000000003</v>
      </c>
      <c r="X3770">
        <v>0.9122112</v>
      </c>
      <c r="Y3770">
        <v>0.18112519999999999</v>
      </c>
      <c r="Z3770">
        <v>0.19300639999999999</v>
      </c>
      <c r="AA3770">
        <v>0.9643351</v>
      </c>
      <c r="AB3770">
        <v>27</v>
      </c>
      <c r="AC3770">
        <v>-0.218700000000012</v>
      </c>
      <c r="AD3770">
        <v>-0.1483796</v>
      </c>
      <c r="AE3770">
        <v>-0.52649999999999797</v>
      </c>
      <c r="AF3770">
        <v>0.121854494455805</v>
      </c>
      <c r="AG3770">
        <v>-0.1483796</v>
      </c>
      <c r="AH3770">
        <v>0.51985761381013895</v>
      </c>
      <c r="AI3770">
        <v>105.53015908019</v>
      </c>
      <c r="AJ3770">
        <v>76.808045092227999</v>
      </c>
      <c r="AK3770">
        <v>0.55418134410282305</v>
      </c>
      <c r="AL3770">
        <v>66.285128404379904</v>
      </c>
      <c r="AM3770">
        <v>85.099363187734795</v>
      </c>
      <c r="AN3770">
        <v>0.99999992305154195</v>
      </c>
    </row>
    <row r="3771" spans="1:40" x14ac:dyDescent="0.25">
      <c r="A3771" t="str">
        <f>"20190304164445717"</f>
        <v>20190304164445717</v>
      </c>
      <c r="B3771" t="str">
        <f>"1551689085713625"</f>
        <v>1551689085713625</v>
      </c>
      <c r="C3771" t="s">
        <v>40</v>
      </c>
      <c r="D3771">
        <v>5.7014509999999996</v>
      </c>
      <c r="E3771">
        <v>0.55815429999999999</v>
      </c>
      <c r="F3771" t="s">
        <v>41</v>
      </c>
      <c r="G3771">
        <v>-191.78380000000001</v>
      </c>
      <c r="H3771">
        <v>0.93759479999999995</v>
      </c>
      <c r="I3771">
        <v>162.96</v>
      </c>
      <c r="J3771">
        <v>-191.53100000000001</v>
      </c>
      <c r="K3771">
        <v>1.106975</v>
      </c>
      <c r="L3771">
        <v>163.5675</v>
      </c>
      <c r="M3771">
        <v>-0.16578599999999999</v>
      </c>
      <c r="N3771">
        <v>-1.367727E-2</v>
      </c>
      <c r="O3771">
        <v>-0.98606680000000002</v>
      </c>
      <c r="P3771">
        <v>-0.22425030000000001</v>
      </c>
      <c r="Q3771">
        <v>0.3904321</v>
      </c>
      <c r="R3771">
        <v>-0.89290249999999904</v>
      </c>
      <c r="S3771">
        <v>-1.2536160000000001</v>
      </c>
      <c r="T3771">
        <v>-0.75733439999999996</v>
      </c>
      <c r="U3771">
        <v>-3.377014</v>
      </c>
      <c r="V3771">
        <v>7.7225489999999994E-2</v>
      </c>
      <c r="W3771">
        <v>0.40217760000000002</v>
      </c>
      <c r="X3771">
        <v>0.91229899999999997</v>
      </c>
      <c r="Y3771">
        <v>0.18087259999999999</v>
      </c>
      <c r="Z3771">
        <v>0.19308529999999999</v>
      </c>
      <c r="AA3771">
        <v>0.96436670000000002</v>
      </c>
      <c r="AB3771">
        <v>27</v>
      </c>
      <c r="AC3771">
        <v>-0.252800000000036</v>
      </c>
      <c r="AD3771">
        <v>-0.16938019999999901</v>
      </c>
      <c r="AE3771">
        <v>-0.60749999999998705</v>
      </c>
      <c r="AF3771">
        <v>0.13934325339383899</v>
      </c>
      <c r="AG3771">
        <v>-0.16938019999999901</v>
      </c>
      <c r="AH3771">
        <v>0.60117071742767203</v>
      </c>
      <c r="AI3771">
        <v>105.348227935168</v>
      </c>
      <c r="AJ3771">
        <v>76.950057609718598</v>
      </c>
      <c r="AK3771">
        <v>0.63993157908554699</v>
      </c>
      <c r="AL3771">
        <v>66.285619266359603</v>
      </c>
      <c r="AM3771">
        <v>85.161486026777496</v>
      </c>
      <c r="AN3771">
        <v>1.0000000318242399</v>
      </c>
    </row>
    <row r="3772" spans="1:40" x14ac:dyDescent="0.25">
      <c r="A3772" t="str">
        <f>"20190304164445729"</f>
        <v>20190304164445729</v>
      </c>
      <c r="B3772" t="str">
        <f>"1551689085724361"</f>
        <v>1551689085724361</v>
      </c>
      <c r="C3772" t="s">
        <v>40</v>
      </c>
      <c r="D3772">
        <v>5.5871969999999997</v>
      </c>
      <c r="E3772">
        <v>0.55817130000000004</v>
      </c>
      <c r="F3772" t="s">
        <v>41</v>
      </c>
      <c r="G3772">
        <v>-191.84460000000001</v>
      </c>
      <c r="H3772">
        <v>0.91884319999999997</v>
      </c>
      <c r="I3772">
        <v>162.7302</v>
      </c>
      <c r="J3772">
        <v>-191.55840000000001</v>
      </c>
      <c r="K3772">
        <v>1.1069739999999999</v>
      </c>
      <c r="L3772">
        <v>163.42320000000001</v>
      </c>
      <c r="M3772">
        <v>-0.168791</v>
      </c>
      <c r="N3772">
        <v>-1.3679220000000001E-2</v>
      </c>
      <c r="O3772">
        <v>-0.98555689999999996</v>
      </c>
      <c r="P3772">
        <v>-0.2262845</v>
      </c>
      <c r="Q3772">
        <v>0.39069609999999999</v>
      </c>
      <c r="R3772">
        <v>-0.89227319999999999</v>
      </c>
      <c r="S3772">
        <v>-1.2632139999999901</v>
      </c>
      <c r="T3772">
        <v>-0.75793489999999997</v>
      </c>
      <c r="U3772">
        <v>-3.373993</v>
      </c>
      <c r="V3772">
        <v>7.6542780000000005E-2</v>
      </c>
      <c r="W3772">
        <v>0.40244950000000002</v>
      </c>
      <c r="X3772">
        <v>0.91223659999999995</v>
      </c>
      <c r="Y3772">
        <v>0.18055979999999999</v>
      </c>
      <c r="Z3772">
        <v>0.19317039999999999</v>
      </c>
      <c r="AA3772">
        <v>0.9644083</v>
      </c>
      <c r="AB3772">
        <v>27</v>
      </c>
      <c r="AC3772">
        <v>-0.286200000000008</v>
      </c>
      <c r="AD3772">
        <v>-0.18813079999999999</v>
      </c>
      <c r="AE3772">
        <v>-0.69300000000001205</v>
      </c>
      <c r="AF3772">
        <v>0.15533018736603499</v>
      </c>
      <c r="AG3772">
        <v>-0.18813079999999999</v>
      </c>
      <c r="AH3772">
        <v>0.68804829389301303</v>
      </c>
      <c r="AI3772">
        <v>104.93398180646</v>
      </c>
      <c r="AJ3772">
        <v>77.278461584945902</v>
      </c>
      <c r="AK3772">
        <v>0.73002131458259001</v>
      </c>
      <c r="AL3772">
        <v>66.2686020200358</v>
      </c>
      <c r="AM3772">
        <v>85.203733855290196</v>
      </c>
      <c r="AN3772">
        <v>1.0000000057999601</v>
      </c>
    </row>
    <row r="3773" spans="1:40" x14ac:dyDescent="0.25">
      <c r="A3773" t="str">
        <f>"20190304164445740"</f>
        <v>20190304164445740</v>
      </c>
      <c r="B3773" t="str">
        <f>"1551689085734121"</f>
        <v>1551689085734121</v>
      </c>
      <c r="C3773" t="s">
        <v>40</v>
      </c>
      <c r="D3773">
        <v>5.5900319999999999</v>
      </c>
      <c r="E3773">
        <v>0.55813849999999998</v>
      </c>
      <c r="F3773" t="s">
        <v>41</v>
      </c>
      <c r="G3773">
        <v>-191.8262</v>
      </c>
      <c r="H3773">
        <v>0.94781590000000004</v>
      </c>
      <c r="I3773">
        <v>162.71430000000001</v>
      </c>
      <c r="J3773">
        <v>-191.58500000000001</v>
      </c>
      <c r="K3773">
        <v>1.106981</v>
      </c>
      <c r="L3773">
        <v>163.28569999999999</v>
      </c>
      <c r="M3773">
        <v>-0.17165629999999901</v>
      </c>
      <c r="N3773">
        <v>-1.368084E-2</v>
      </c>
      <c r="O3773">
        <v>-0.98506210000000005</v>
      </c>
      <c r="P3773">
        <v>-0.22816919999999999</v>
      </c>
      <c r="Q3773">
        <v>0.39046249999999999</v>
      </c>
      <c r="R3773">
        <v>-0.89189599999999902</v>
      </c>
      <c r="S3773">
        <v>-1.2729189999999999</v>
      </c>
      <c r="T3773">
        <v>-0.75652109999999995</v>
      </c>
      <c r="U3773">
        <v>-3.3706209999999999</v>
      </c>
      <c r="V3773">
        <v>7.5791999999999998E-2</v>
      </c>
      <c r="W3773">
        <v>0.40222730000000001</v>
      </c>
      <c r="X3773">
        <v>0.91239729999999997</v>
      </c>
      <c r="Y3773">
        <v>0.1804798</v>
      </c>
      <c r="Z3773">
        <v>0.192748</v>
      </c>
      <c r="AA3773">
        <v>0.96450780000000003</v>
      </c>
      <c r="AB3773">
        <v>27</v>
      </c>
      <c r="AC3773">
        <v>-0.241199999999992</v>
      </c>
      <c r="AD3773">
        <v>-0.1591651</v>
      </c>
      <c r="AE3773">
        <v>-0.57139999999998203</v>
      </c>
      <c r="AF3773">
        <v>0.13090462638282799</v>
      </c>
      <c r="AG3773">
        <v>-0.1591651</v>
      </c>
      <c r="AH3773">
        <v>0.56698457602962304</v>
      </c>
      <c r="AI3773">
        <v>105.29773658414901</v>
      </c>
      <c r="AJ3773">
        <v>76.999431757076707</v>
      </c>
      <c r="AK3773">
        <v>0.60327527690261695</v>
      </c>
      <c r="AL3773">
        <v>66.282508976082795</v>
      </c>
      <c r="AM3773">
        <v>85.2513950890703</v>
      </c>
      <c r="AN3773">
        <v>1.0000000305882799</v>
      </c>
    </row>
    <row r="3774" spans="1:40" x14ac:dyDescent="0.25">
      <c r="A3774" t="str">
        <f>"20190304164445752"</f>
        <v>20190304164445752</v>
      </c>
      <c r="B3774" t="str">
        <f>"1551689085743881"</f>
        <v>1551689085743881</v>
      </c>
      <c r="C3774" t="s">
        <v>40</v>
      </c>
      <c r="D3774">
        <v>5.6978429999999998</v>
      </c>
      <c r="E3774">
        <v>0.55813649999999904</v>
      </c>
      <c r="F3774" t="s">
        <v>41</v>
      </c>
      <c r="G3774">
        <v>-191.88929999999999</v>
      </c>
      <c r="H3774">
        <v>0.92699240000000005</v>
      </c>
      <c r="I3774">
        <v>162.4862</v>
      </c>
      <c r="J3774">
        <v>-191.61359999999999</v>
      </c>
      <c r="K3774">
        <v>1.106986</v>
      </c>
      <c r="L3774">
        <v>163.1396</v>
      </c>
      <c r="M3774">
        <v>-0.1746981</v>
      </c>
      <c r="N3774">
        <v>-1.3682379999999999E-2</v>
      </c>
      <c r="O3774">
        <v>-0.98452689999999998</v>
      </c>
      <c r="P3774">
        <v>-0.2304242</v>
      </c>
      <c r="Q3774">
        <v>0.39047150000000003</v>
      </c>
      <c r="R3774">
        <v>-0.89131170000000004</v>
      </c>
      <c r="S3774">
        <v>-1.280853</v>
      </c>
      <c r="T3774">
        <v>-0.75788469999999997</v>
      </c>
      <c r="U3774">
        <v>-3.3677519999999999</v>
      </c>
      <c r="V3774">
        <v>7.5276590000000004E-2</v>
      </c>
      <c r="W3774">
        <v>0.40224389999999999</v>
      </c>
      <c r="X3774">
        <v>0.91243260000000004</v>
      </c>
      <c r="Y3774">
        <v>0.17968049999999999</v>
      </c>
      <c r="Z3774">
        <v>0.19304060000000001</v>
      </c>
      <c r="AA3774">
        <v>0.96459850000000003</v>
      </c>
      <c r="AB3774">
        <v>27</v>
      </c>
      <c r="AC3774">
        <v>-0.2757</v>
      </c>
      <c r="AD3774">
        <v>-0.179993599999999</v>
      </c>
      <c r="AE3774">
        <v>-0.65340000000000398</v>
      </c>
      <c r="AF3774">
        <v>0.14778151685230201</v>
      </c>
      <c r="AG3774">
        <v>-0.179993599999999</v>
      </c>
      <c r="AH3774">
        <v>0.64966957692661598</v>
      </c>
      <c r="AI3774">
        <v>105.117739965656</v>
      </c>
      <c r="AJ3774">
        <v>77.184887855247297</v>
      </c>
      <c r="AK3774">
        <v>0.69015044153295702</v>
      </c>
      <c r="AL3774">
        <v>66.281468968244496</v>
      </c>
      <c r="AM3774">
        <v>85.283722601456404</v>
      </c>
      <c r="AN3774">
        <v>0.99999998481599905</v>
      </c>
    </row>
    <row r="3775" spans="1:40" x14ac:dyDescent="0.25">
      <c r="A3775" t="str">
        <f>"20190304164445765"</f>
        <v>20190304164445765</v>
      </c>
      <c r="B3775" t="str">
        <f>"1551689085753641"</f>
        <v>1551689085753641</v>
      </c>
      <c r="C3775" t="s">
        <v>40</v>
      </c>
      <c r="D3775">
        <v>5.2339969999999996</v>
      </c>
      <c r="E3775">
        <v>0.55813649999999904</v>
      </c>
      <c r="F3775" t="s">
        <v>41</v>
      </c>
      <c r="G3775">
        <v>-191.87029999999999</v>
      </c>
      <c r="H3775">
        <v>0.95605309999999999</v>
      </c>
      <c r="I3775">
        <v>162.4699</v>
      </c>
      <c r="J3775">
        <v>-191.64320000000001</v>
      </c>
      <c r="K3775">
        <v>1.1069929999999999</v>
      </c>
      <c r="L3775">
        <v>162.99170000000001</v>
      </c>
      <c r="M3775">
        <v>-0.17777660000000001</v>
      </c>
      <c r="N3775">
        <v>-1.368364E-2</v>
      </c>
      <c r="O3775">
        <v>-0.98397579999999996</v>
      </c>
      <c r="P3775">
        <v>-0.2326743</v>
      </c>
      <c r="Q3775">
        <v>0.39057029999999998</v>
      </c>
      <c r="R3775">
        <v>-0.89068400000000003</v>
      </c>
      <c r="S3775">
        <v>-1.289093</v>
      </c>
      <c r="T3775">
        <v>-0.75791009999999903</v>
      </c>
      <c r="U3775">
        <v>-3.3645939999999999</v>
      </c>
      <c r="V3775">
        <v>7.4727970000000005E-2</v>
      </c>
      <c r="W3775">
        <v>0.4023504</v>
      </c>
      <c r="X3775">
        <v>0.91243079999999999</v>
      </c>
      <c r="Y3775">
        <v>0.17897109999999999</v>
      </c>
      <c r="Z3775">
        <v>0.1929902</v>
      </c>
      <c r="AA3775">
        <v>0.9647405</v>
      </c>
      <c r="AB3775">
        <v>27</v>
      </c>
      <c r="AC3775">
        <v>-0.22709999999997799</v>
      </c>
      <c r="AD3775">
        <v>-0.15093989999999999</v>
      </c>
      <c r="AE3775">
        <v>-0.52180000000001303</v>
      </c>
      <c r="AF3775">
        <v>0.122118271194627</v>
      </c>
      <c r="AG3775">
        <v>-0.15093989999999999</v>
      </c>
      <c r="AH3775">
        <v>0.51746009005094595</v>
      </c>
      <c r="AI3775">
        <v>105.84899482866</v>
      </c>
      <c r="AJ3775">
        <v>76.721405984620404</v>
      </c>
      <c r="AK3775">
        <v>0.55268496484625695</v>
      </c>
      <c r="AL3775">
        <v>66.274805196736494</v>
      </c>
      <c r="AM3775">
        <v>85.317932526873193</v>
      </c>
      <c r="AN3775">
        <v>1.0000000393345501</v>
      </c>
    </row>
    <row r="3776" spans="1:40" x14ac:dyDescent="0.25">
      <c r="A3776" t="str">
        <f>"20190304164445779"</f>
        <v>20190304164445779</v>
      </c>
      <c r="B3776" t="str">
        <f>"1551689085774137"</f>
        <v>1551689085774137</v>
      </c>
      <c r="C3776" t="s">
        <v>40</v>
      </c>
      <c r="D3776">
        <v>5.7029880000000004</v>
      </c>
      <c r="E3776">
        <v>0.55809960000000003</v>
      </c>
      <c r="F3776" t="s">
        <v>41</v>
      </c>
      <c r="G3776">
        <v>-191.93299999999999</v>
      </c>
      <c r="H3776">
        <v>0.93778289999999997</v>
      </c>
      <c r="I3776">
        <v>162.24109999999999</v>
      </c>
      <c r="J3776">
        <v>-191.68</v>
      </c>
      <c r="K3776">
        <v>1.1069990000000001</v>
      </c>
      <c r="L3776">
        <v>162.8107</v>
      </c>
      <c r="M3776">
        <v>-0.1815387</v>
      </c>
      <c r="N3776">
        <v>-1.3684979999999999E-2</v>
      </c>
      <c r="O3776">
        <v>-0.98328859999999996</v>
      </c>
      <c r="P3776">
        <v>-0.2352484</v>
      </c>
      <c r="Q3776">
        <v>0.39085219999999998</v>
      </c>
      <c r="R3776">
        <v>-0.889883599999999</v>
      </c>
      <c r="S3776">
        <v>-1.297226</v>
      </c>
      <c r="T3776">
        <v>-0.75760699999999903</v>
      </c>
      <c r="U3776">
        <v>-3.361542</v>
      </c>
      <c r="V3776">
        <v>7.3890510000000006E-2</v>
      </c>
      <c r="W3776">
        <v>0.40264250000000001</v>
      </c>
      <c r="X3776">
        <v>0.91237009999999996</v>
      </c>
      <c r="Y3776">
        <v>0.17754819999999999</v>
      </c>
      <c r="Z3776">
        <v>0.1928223</v>
      </c>
      <c r="AA3776">
        <v>0.96503689999999998</v>
      </c>
      <c r="AB3776">
        <v>27</v>
      </c>
      <c r="AC3776">
        <v>-0.25299999999998501</v>
      </c>
      <c r="AD3776">
        <v>-0.16921610000000001</v>
      </c>
      <c r="AE3776">
        <v>-0.56960000000000799</v>
      </c>
      <c r="AF3776">
        <v>0.13540039894173</v>
      </c>
      <c r="AG3776">
        <v>-0.16921610000000001</v>
      </c>
      <c r="AH3776">
        <v>0.56445917855733196</v>
      </c>
      <c r="AI3776">
        <v>106.252185152533</v>
      </c>
      <c r="AJ3776">
        <v>76.510966500086695</v>
      </c>
      <c r="AK3776">
        <v>0.60463337717199095</v>
      </c>
      <c r="AL3776">
        <v>66.256521681888898</v>
      </c>
      <c r="AM3776">
        <v>85.369867355308102</v>
      </c>
      <c r="AN3776">
        <v>0.99999999482415902</v>
      </c>
    </row>
    <row r="3777" spans="1:40" x14ac:dyDescent="0.25">
      <c r="A3777" t="str">
        <f>"20190304164445795"</f>
        <v>20190304164445795</v>
      </c>
      <c r="B3777" t="str">
        <f>"1551689085783897"</f>
        <v>1551689085783897</v>
      </c>
      <c r="C3777" t="s">
        <v>40</v>
      </c>
      <c r="D3777">
        <v>5.6635339999999896</v>
      </c>
      <c r="E3777">
        <v>0.55807759999999995</v>
      </c>
      <c r="F3777" t="s">
        <v>41</v>
      </c>
      <c r="G3777">
        <v>-191.9923</v>
      </c>
      <c r="H3777">
        <v>0.92618389999999995</v>
      </c>
      <c r="I3777">
        <v>162.00890000000001</v>
      </c>
      <c r="J3777">
        <v>-191.71680000000001</v>
      </c>
      <c r="K3777">
        <v>1.1070040000000001</v>
      </c>
      <c r="L3777">
        <v>162.63229999999999</v>
      </c>
      <c r="M3777">
        <v>-0.1852404</v>
      </c>
      <c r="N3777">
        <v>-1.368604E-2</v>
      </c>
      <c r="O3777">
        <v>-0.98259810000000003</v>
      </c>
      <c r="P3777">
        <v>-0.2369503</v>
      </c>
      <c r="Q3777">
        <v>0.39101200000000003</v>
      </c>
      <c r="R3777">
        <v>-0.88936209999999905</v>
      </c>
      <c r="S3777">
        <v>-1.3071900000000001</v>
      </c>
      <c r="T3777">
        <v>-0.75704839999999995</v>
      </c>
      <c r="U3777">
        <v>-3.3582000000000001</v>
      </c>
      <c r="V3777">
        <v>7.2198120000000005E-2</v>
      </c>
      <c r="W3777">
        <v>0.40282230000000002</v>
      </c>
      <c r="X3777">
        <v>0.91242619999999997</v>
      </c>
      <c r="Y3777">
        <v>0.17667339999999901</v>
      </c>
      <c r="Z3777">
        <v>0.19257369999999999</v>
      </c>
      <c r="AA3777">
        <v>0.96524699999999997</v>
      </c>
      <c r="AB3777">
        <v>27</v>
      </c>
      <c r="AC3777">
        <v>-0.27549999999999297</v>
      </c>
      <c r="AD3777">
        <v>-0.18082010000000001</v>
      </c>
      <c r="AE3777">
        <v>-0.62339999999997497</v>
      </c>
      <c r="AF3777">
        <v>0.145033223949844</v>
      </c>
      <c r="AG3777">
        <v>-0.18082010000000001</v>
      </c>
      <c r="AH3777">
        <v>0.62000800713008597</v>
      </c>
      <c r="AI3777">
        <v>105.853250591989</v>
      </c>
      <c r="AJ3777">
        <v>76.834020570931401</v>
      </c>
      <c r="AK3777">
        <v>0.66192180317520599</v>
      </c>
      <c r="AL3777">
        <v>66.245266242164803</v>
      </c>
      <c r="AM3777">
        <v>85.475747605453293</v>
      </c>
      <c r="AN3777">
        <v>0.99999997217763104</v>
      </c>
    </row>
    <row r="3778" spans="1:40" x14ac:dyDescent="0.25">
      <c r="A3778" t="str">
        <f>"20190304164445809"</f>
        <v>20190304164445809</v>
      </c>
      <c r="B3778" t="str">
        <f>"1551689085803417"</f>
        <v>1551689085803417</v>
      </c>
      <c r="C3778" t="s">
        <v>40</v>
      </c>
      <c r="D3778">
        <v>5.6005820000000002</v>
      </c>
      <c r="E3778">
        <v>0.55806069999999997</v>
      </c>
      <c r="F3778" t="s">
        <v>41</v>
      </c>
      <c r="G3778">
        <v>-192.05240000000001</v>
      </c>
      <c r="H3778">
        <v>0.91420330000000005</v>
      </c>
      <c r="I3778">
        <v>161.7773</v>
      </c>
      <c r="J3778">
        <v>-191.75380000000001</v>
      </c>
      <c r="K3778">
        <v>1.107011</v>
      </c>
      <c r="L3778">
        <v>162.45750000000001</v>
      </c>
      <c r="M3778">
        <v>-0.18886530000000001</v>
      </c>
      <c r="N3778">
        <v>-1.368684E-2</v>
      </c>
      <c r="O3778">
        <v>-0.9819078</v>
      </c>
      <c r="P3778">
        <v>-0.23935090000000001</v>
      </c>
      <c r="Q3778">
        <v>0.39113520000000002</v>
      </c>
      <c r="R3778">
        <v>-0.88866449999999997</v>
      </c>
      <c r="S3778">
        <v>-1.31636</v>
      </c>
      <c r="T3778">
        <v>-0.75639369999999995</v>
      </c>
      <c r="U3778">
        <v>-3.3550260000000001</v>
      </c>
      <c r="V3778">
        <v>7.1294259999999998E-2</v>
      </c>
      <c r="W3778">
        <v>0.40295629999999999</v>
      </c>
      <c r="X3778">
        <v>0.91243819999999998</v>
      </c>
      <c r="Y3778">
        <v>0.1756597</v>
      </c>
      <c r="Z3778">
        <v>0.192301</v>
      </c>
      <c r="AA3778">
        <v>0.96548639999999997</v>
      </c>
      <c r="AB3778">
        <v>27</v>
      </c>
      <c r="AC3778">
        <v>-0.29859999999999298</v>
      </c>
      <c r="AD3778">
        <v>-0.192807699999999</v>
      </c>
      <c r="AE3778">
        <v>-0.68020000000001302</v>
      </c>
      <c r="AF3778">
        <v>0.154349028704059</v>
      </c>
      <c r="AG3778">
        <v>-0.192807699999999</v>
      </c>
      <c r="AH3778">
        <v>0.67863941077891199</v>
      </c>
      <c r="AI3778">
        <v>105.48455463688001</v>
      </c>
      <c r="AJ3778">
        <v>77.1866786791864</v>
      </c>
      <c r="AK3778">
        <v>0.72218410513076603</v>
      </c>
      <c r="AL3778">
        <v>66.236879880656005</v>
      </c>
      <c r="AM3778">
        <v>85.532215207724505</v>
      </c>
      <c r="AN3778">
        <v>1.00000006001893</v>
      </c>
    </row>
    <row r="3779" spans="1:40" x14ac:dyDescent="0.25">
      <c r="A3779" t="str">
        <f>"20190304164445822"</f>
        <v>20190304164445822</v>
      </c>
      <c r="B3779" t="str">
        <f>"1551689085814153"</f>
        <v>1551689085814153</v>
      </c>
      <c r="C3779" t="s">
        <v>40</v>
      </c>
      <c r="D3779">
        <v>5.782362</v>
      </c>
      <c r="E3779">
        <v>0.55801579999999995</v>
      </c>
      <c r="F3779" t="s">
        <v>41</v>
      </c>
      <c r="G3779">
        <v>-192.0309</v>
      </c>
      <c r="H3779">
        <v>0.94911659999999998</v>
      </c>
      <c r="I3779">
        <v>161.7578</v>
      </c>
      <c r="J3779">
        <v>-191.78700000000001</v>
      </c>
      <c r="K3779">
        <v>1.1070150000000001</v>
      </c>
      <c r="L3779">
        <v>162.30289999999999</v>
      </c>
      <c r="M3779">
        <v>-0.19206770000000001</v>
      </c>
      <c r="N3779">
        <v>-1.3687349999999999E-2</v>
      </c>
      <c r="O3779">
        <v>-0.98128629999999994</v>
      </c>
      <c r="P3779">
        <v>-0.24206720000000001</v>
      </c>
      <c r="Q3779">
        <v>0.39075959999999899</v>
      </c>
      <c r="R3779">
        <v>-0.88809389999999999</v>
      </c>
      <c r="S3779">
        <v>-1.326843</v>
      </c>
      <c r="T3779">
        <v>-0.75606110000000004</v>
      </c>
      <c r="U3779">
        <v>-3.3512569999999999</v>
      </c>
      <c r="V3779">
        <v>7.1065160000000002E-2</v>
      </c>
      <c r="W3779">
        <v>0.40258749999999999</v>
      </c>
      <c r="X3779">
        <v>0.91261879999999995</v>
      </c>
      <c r="Y3779">
        <v>0.1754434</v>
      </c>
      <c r="Z3779">
        <v>0.19213640000000001</v>
      </c>
      <c r="AA3779">
        <v>0.96555849999999999</v>
      </c>
      <c r="AB3779">
        <v>27</v>
      </c>
      <c r="AC3779">
        <v>-0.24389999999999601</v>
      </c>
      <c r="AD3779">
        <v>-0.157898399999999</v>
      </c>
      <c r="AE3779">
        <v>-0.54509999999999004</v>
      </c>
      <c r="AF3779">
        <v>0.12585362062615399</v>
      </c>
      <c r="AG3779">
        <v>-0.157898399999999</v>
      </c>
      <c r="AH3779">
        <v>0.54378232403097704</v>
      </c>
      <c r="AI3779">
        <v>105.79582891800599</v>
      </c>
      <c r="AJ3779">
        <v>76.968835571791601</v>
      </c>
      <c r="AK3779">
        <v>0.58006056104152004</v>
      </c>
      <c r="AL3779">
        <v>66.259964761605602</v>
      </c>
      <c r="AM3779">
        <v>85.547392092861102</v>
      </c>
      <c r="AN3779">
        <v>1.00000001311775</v>
      </c>
    </row>
    <row r="3780" spans="1:40" x14ac:dyDescent="0.25">
      <c r="A3780" t="str">
        <f>"20190304164445840"</f>
        <v>20190304164445840</v>
      </c>
      <c r="B3780" t="str">
        <f>"1551689085833673"</f>
        <v>1551689085833673</v>
      </c>
      <c r="C3780" t="s">
        <v>40</v>
      </c>
      <c r="D3780">
        <v>5.8711359999999999</v>
      </c>
      <c r="E3780">
        <v>0.55678229999999995</v>
      </c>
      <c r="F3780" t="s">
        <v>41</v>
      </c>
      <c r="G3780">
        <v>-192.0958</v>
      </c>
      <c r="H3780">
        <v>0.9318033</v>
      </c>
      <c r="I3780">
        <v>161.5299</v>
      </c>
      <c r="J3780">
        <v>-191.8339</v>
      </c>
      <c r="K3780">
        <v>1.1070199999999999</v>
      </c>
      <c r="L3780">
        <v>162.08850000000001</v>
      </c>
      <c r="M3780">
        <v>-0.19650629999999999</v>
      </c>
      <c r="N3780">
        <v>-1.368786E-2</v>
      </c>
      <c r="O3780">
        <v>-0.98040709999999998</v>
      </c>
      <c r="P3780">
        <v>-0.2455647</v>
      </c>
      <c r="Q3780">
        <v>0.38990669999999999</v>
      </c>
      <c r="R3780">
        <v>-0.88750869999999904</v>
      </c>
      <c r="S3780">
        <v>-1.336349</v>
      </c>
      <c r="T3780">
        <v>-0.7584767</v>
      </c>
      <c r="U3780">
        <v>-3.347458</v>
      </c>
      <c r="V3780">
        <v>7.0437840000000002E-2</v>
      </c>
      <c r="W3780">
        <v>0.40174789999999999</v>
      </c>
      <c r="X3780">
        <v>0.91303730000000005</v>
      </c>
      <c r="Y3780">
        <v>0.17369399999999999</v>
      </c>
      <c r="Z3780">
        <v>0.19264899999999999</v>
      </c>
      <c r="AA3780">
        <v>0.96577259999999998</v>
      </c>
      <c r="AB3780">
        <v>27</v>
      </c>
      <c r="AC3780">
        <v>-0.26189999999999702</v>
      </c>
      <c r="AD3780">
        <v>-0.1752167</v>
      </c>
      <c r="AE3780">
        <v>-0.55860000000001198</v>
      </c>
      <c r="AF3780">
        <v>0.136041022981749</v>
      </c>
      <c r="AG3780">
        <v>-0.1752167</v>
      </c>
      <c r="AH3780">
        <v>0.55445470654928297</v>
      </c>
      <c r="AI3780">
        <v>107.061927813404</v>
      </c>
      <c r="AJ3780">
        <v>76.214240871813601</v>
      </c>
      <c r="AK3780">
        <v>0.59718345046347499</v>
      </c>
      <c r="AL3780">
        <v>66.312505982152402</v>
      </c>
      <c r="AM3780">
        <v>85.588555993087098</v>
      </c>
      <c r="AN3780">
        <v>0.99999998782478206</v>
      </c>
    </row>
    <row r="3781" spans="1:40" x14ac:dyDescent="0.25">
      <c r="A3781" t="str">
        <f>"20190304164445853"</f>
        <v>20190304164445853</v>
      </c>
      <c r="B3781" t="str">
        <f>"1551689085844411"</f>
        <v>1551689085844411</v>
      </c>
      <c r="C3781" t="s">
        <v>40</v>
      </c>
      <c r="D3781">
        <v>5.7791829999999997</v>
      </c>
      <c r="E3781">
        <v>0.54905150000000003</v>
      </c>
      <c r="F3781" t="s">
        <v>41</v>
      </c>
      <c r="G3781">
        <v>-192.1576</v>
      </c>
      <c r="H3781">
        <v>0.95018950000000002</v>
      </c>
      <c r="I3781">
        <v>161.285</v>
      </c>
      <c r="J3781">
        <v>-191.8691</v>
      </c>
      <c r="K3781">
        <v>1.1070260000000001</v>
      </c>
      <c r="L3781">
        <v>161.93029999999999</v>
      </c>
      <c r="M3781">
        <v>-0.19977900000000001</v>
      </c>
      <c r="N3781">
        <v>-1.368817E-2</v>
      </c>
      <c r="O3781">
        <v>-0.97974539999999999</v>
      </c>
      <c r="P3781">
        <v>-0.24869720000000001</v>
      </c>
      <c r="Q3781">
        <v>0.3893392</v>
      </c>
      <c r="R3781">
        <v>-0.88688489999999998</v>
      </c>
      <c r="S3781">
        <v>-1.3274079999999999</v>
      </c>
      <c r="T3781">
        <v>-0.64327749999999995</v>
      </c>
      <c r="U3781">
        <v>-3.2955930000000002</v>
      </c>
      <c r="V3781">
        <v>7.0552879999999998E-2</v>
      </c>
      <c r="W3781">
        <v>0.40118419999999999</v>
      </c>
      <c r="X3781">
        <v>0.91327630000000004</v>
      </c>
      <c r="Y3781">
        <v>0.17533019999999999</v>
      </c>
      <c r="Z3781">
        <v>0.16481779999999999</v>
      </c>
      <c r="AA3781">
        <v>0.97061549999999996</v>
      </c>
      <c r="AB3781">
        <v>27</v>
      </c>
      <c r="AC3781">
        <v>-0.28849999999999898</v>
      </c>
      <c r="AD3781">
        <v>-0.15683649999999999</v>
      </c>
      <c r="AE3781">
        <v>-0.64529999999999099</v>
      </c>
      <c r="AF3781">
        <v>0.14653936823592301</v>
      </c>
      <c r="AG3781">
        <v>-0.15683649999999999</v>
      </c>
      <c r="AH3781">
        <v>0.65755869051857896</v>
      </c>
      <c r="AI3781">
        <v>103.10517128189301</v>
      </c>
      <c r="AJ3781">
        <v>77.436720099336</v>
      </c>
      <c r="AK3781">
        <v>0.69170434844067696</v>
      </c>
      <c r="AL3781">
        <v>66.347771461066799</v>
      </c>
      <c r="AM3781">
        <v>85.582531428849705</v>
      </c>
      <c r="AN3781">
        <v>1.0000000356738099</v>
      </c>
    </row>
    <row r="3782" spans="1:40" x14ac:dyDescent="0.25">
      <c r="A3782" t="str">
        <f>"20190304164445867"</f>
        <v>20190304164445867</v>
      </c>
      <c r="B3782" t="str">
        <f>"1551689085863929"</f>
        <v>1551689085863929</v>
      </c>
      <c r="C3782" t="s">
        <v>40</v>
      </c>
      <c r="D3782">
        <v>5.4843900000000003</v>
      </c>
      <c r="E3782">
        <v>0.53988029999999998</v>
      </c>
      <c r="F3782" t="s">
        <v>41</v>
      </c>
      <c r="G3782">
        <v>-192.12739999999999</v>
      </c>
      <c r="H3782">
        <v>0.98416170000000003</v>
      </c>
      <c r="I3782">
        <v>161.26339999999999</v>
      </c>
      <c r="J3782">
        <v>-191.9051</v>
      </c>
      <c r="K3782">
        <v>1.107029</v>
      </c>
      <c r="L3782">
        <v>161.77170000000001</v>
      </c>
      <c r="M3782">
        <v>-0.2030605</v>
      </c>
      <c r="N3782">
        <v>-1.368835E-2</v>
      </c>
      <c r="O3782">
        <v>-0.97907069999999996</v>
      </c>
      <c r="P3782">
        <v>-0.25139889999999998</v>
      </c>
      <c r="Q3782">
        <v>0.38922790000000002</v>
      </c>
      <c r="R3782">
        <v>-0.88617190000000001</v>
      </c>
      <c r="S3782">
        <v>-1.274872</v>
      </c>
      <c r="T3782">
        <v>-0.60626749999999996</v>
      </c>
      <c r="U3782">
        <v>-3.29129</v>
      </c>
      <c r="V3782">
        <v>7.0257570000000005E-2</v>
      </c>
      <c r="W3782">
        <v>0.40107759999999998</v>
      </c>
      <c r="X3782">
        <v>0.91334590000000004</v>
      </c>
      <c r="Y3782">
        <v>0.15962570000000001</v>
      </c>
      <c r="Z3782">
        <v>0.155585</v>
      </c>
      <c r="AA3782">
        <v>0.97483989999999998</v>
      </c>
      <c r="AB3782">
        <v>27</v>
      </c>
      <c r="AC3782">
        <v>-0.22229999999998901</v>
      </c>
      <c r="AD3782">
        <v>-0.1228673</v>
      </c>
      <c r="AE3782">
        <v>-0.50830000000001896</v>
      </c>
      <c r="AF3782">
        <v>0.109091707874058</v>
      </c>
      <c r="AG3782">
        <v>-0.1228673</v>
      </c>
      <c r="AH3782">
        <v>0.51747166501583497</v>
      </c>
      <c r="AI3782">
        <v>103.07954775297701</v>
      </c>
      <c r="AJ3782">
        <v>78.095407070448502</v>
      </c>
      <c r="AK3782">
        <v>0.54293120948277496</v>
      </c>
      <c r="AL3782">
        <v>66.354439501959305</v>
      </c>
      <c r="AM3782">
        <v>85.601282604200193</v>
      </c>
      <c r="AN3782">
        <v>1.00000005020543</v>
      </c>
    </row>
    <row r="3783" spans="1:40" x14ac:dyDescent="0.25">
      <c r="A3783" t="str">
        <f>"20190304164445884"</f>
        <v>20190304164445884</v>
      </c>
      <c r="B3783" t="str">
        <f>"1551689085873689"</f>
        <v>1551689085873689</v>
      </c>
      <c r="C3783" t="s">
        <v>40</v>
      </c>
      <c r="D3783">
        <v>5.5526400000000002</v>
      </c>
      <c r="E3783">
        <v>0.4815315</v>
      </c>
      <c r="F3783" t="s">
        <v>41</v>
      </c>
      <c r="G3783">
        <v>-192.17859999999999</v>
      </c>
      <c r="H3783">
        <v>0.97685849999999996</v>
      </c>
      <c r="I3783">
        <v>161.0291</v>
      </c>
      <c r="J3783">
        <v>-191.952</v>
      </c>
      <c r="K3783">
        <v>1.10703</v>
      </c>
      <c r="L3783">
        <v>161.56829999999999</v>
      </c>
      <c r="M3783">
        <v>-0.2072679</v>
      </c>
      <c r="N3783">
        <v>-1.368843E-2</v>
      </c>
      <c r="O3783">
        <v>-0.97818859999999996</v>
      </c>
      <c r="P3783">
        <v>-0.25477739999999999</v>
      </c>
      <c r="Q3783">
        <v>0.38898310000000003</v>
      </c>
      <c r="R3783">
        <v>-0.88531409999999999</v>
      </c>
      <c r="S3783">
        <v>-1.2123569999999999</v>
      </c>
      <c r="T3783">
        <v>-0.5772465</v>
      </c>
      <c r="U3783">
        <v>-3.2949830000000002</v>
      </c>
      <c r="V3783">
        <v>6.978007E-2</v>
      </c>
      <c r="W3783">
        <v>0.4008408</v>
      </c>
      <c r="X3783">
        <v>0.91348640000000003</v>
      </c>
      <c r="Y3783">
        <v>0.1392224</v>
      </c>
      <c r="Z3783">
        <v>0.14808959999999999</v>
      </c>
      <c r="AA3783">
        <v>0.97912540000000003</v>
      </c>
      <c r="AB3783">
        <v>27</v>
      </c>
      <c r="AC3783">
        <v>-0.22659999999999</v>
      </c>
      <c r="AD3783">
        <v>-0.1301715</v>
      </c>
      <c r="AE3783">
        <v>-0.53919999999999302</v>
      </c>
      <c r="AF3783">
        <v>0.104721734955875</v>
      </c>
      <c r="AG3783">
        <v>-0.1301715</v>
      </c>
      <c r="AH3783">
        <v>0.54734789330857903</v>
      </c>
      <c r="AI3783">
        <v>103.147718269142</v>
      </c>
      <c r="AJ3783">
        <v>79.168738635544898</v>
      </c>
      <c r="AK3783">
        <v>0.57227701115260399</v>
      </c>
      <c r="AL3783">
        <v>66.369248628031499</v>
      </c>
      <c r="AM3783">
        <v>85.631731364849003</v>
      </c>
      <c r="AN3783">
        <v>1.0000000040493999</v>
      </c>
    </row>
    <row r="3784" spans="1:40" x14ac:dyDescent="0.25">
      <c r="A3784" t="str">
        <f>"20190304164445897"</f>
        <v>20190304164445897</v>
      </c>
      <c r="B3784" t="str">
        <f>"1551689085894186"</f>
        <v>1551689085894186</v>
      </c>
      <c r="C3784" t="s">
        <v>40</v>
      </c>
      <c r="D3784">
        <v>5.669778</v>
      </c>
      <c r="E3784">
        <v>0.47798259999999998</v>
      </c>
      <c r="F3784" t="s">
        <v>41</v>
      </c>
      <c r="G3784">
        <v>-192.13630000000001</v>
      </c>
      <c r="H3784">
        <v>0.9994229</v>
      </c>
      <c r="I3784">
        <v>160.75960000000001</v>
      </c>
      <c r="J3784">
        <v>-191.9862</v>
      </c>
      <c r="K3784">
        <v>1.107037</v>
      </c>
      <c r="L3784">
        <v>161.42230000000001</v>
      </c>
      <c r="M3784">
        <v>-0.21028939999999999</v>
      </c>
      <c r="N3784">
        <v>-1.368841E-2</v>
      </c>
      <c r="O3784">
        <v>-0.97754339999999995</v>
      </c>
      <c r="P3784">
        <v>-0.25767849999999998</v>
      </c>
      <c r="Q3784">
        <v>0.38880779999999998</v>
      </c>
      <c r="R3784">
        <v>-0.88455090000000003</v>
      </c>
      <c r="S3784">
        <v>-0.76647949999999998</v>
      </c>
      <c r="T3784">
        <v>-0.44759399999999999</v>
      </c>
      <c r="U3784">
        <v>-3.364716</v>
      </c>
      <c r="V3784">
        <v>6.9929959999999999E-2</v>
      </c>
      <c r="W3784">
        <v>0.40066600000000002</v>
      </c>
      <c r="X3784">
        <v>0.91355160000000002</v>
      </c>
      <c r="Y3784">
        <v>1.062773E-2</v>
      </c>
      <c r="Z3784">
        <v>0.112646</v>
      </c>
      <c r="AA3784">
        <v>0.99357830000000003</v>
      </c>
      <c r="AB3784">
        <v>27</v>
      </c>
      <c r="AC3784">
        <v>-0.150100000000009</v>
      </c>
      <c r="AD3784">
        <v>-0.1076141</v>
      </c>
      <c r="AE3784">
        <v>-0.66270000000000095</v>
      </c>
      <c r="AF3784">
        <v>7.1908031947201202E-3</v>
      </c>
      <c r="AG3784">
        <v>-0.1076141</v>
      </c>
      <c r="AH3784">
        <v>0.66282062797639196</v>
      </c>
      <c r="AI3784">
        <v>99.221414978260697</v>
      </c>
      <c r="AJ3784">
        <v>89.378434384220895</v>
      </c>
      <c r="AK3784">
        <v>0.67153829901235995</v>
      </c>
      <c r="AL3784">
        <v>66.3801796515842</v>
      </c>
      <c r="AM3784">
        <v>85.622695823257303</v>
      </c>
      <c r="AN3784">
        <v>0.99999998436208004</v>
      </c>
    </row>
    <row r="3785" spans="1:40" x14ac:dyDescent="0.25">
      <c r="A3785" t="str">
        <f>"20190304164445909"</f>
        <v>20190304164445909</v>
      </c>
      <c r="B3785" t="str">
        <f>"1551689085903945"</f>
        <v>1551689085903945</v>
      </c>
      <c r="C3785" t="s">
        <v>40</v>
      </c>
      <c r="D3785">
        <v>5.4268559999999999</v>
      </c>
      <c r="E3785">
        <v>0.47650360000000003</v>
      </c>
      <c r="F3785" t="s">
        <v>41</v>
      </c>
      <c r="G3785">
        <v>-192.1857</v>
      </c>
      <c r="H3785">
        <v>0.98991119999999999</v>
      </c>
      <c r="I3785">
        <v>160.5256</v>
      </c>
      <c r="J3785">
        <v>-192.0215</v>
      </c>
      <c r="K3785">
        <v>1.1070439999999999</v>
      </c>
      <c r="L3785">
        <v>161.27359999999999</v>
      </c>
      <c r="M3785">
        <v>-0.2133659</v>
      </c>
      <c r="N3785">
        <v>-1.368831E-2</v>
      </c>
      <c r="O3785">
        <v>-0.97687650000000004</v>
      </c>
      <c r="P3785">
        <v>-0.26091300000000001</v>
      </c>
      <c r="Q3785">
        <v>0.38834819999999998</v>
      </c>
      <c r="R3785">
        <v>-0.88380429999999999</v>
      </c>
      <c r="S3785">
        <v>-0.74877930000000004</v>
      </c>
      <c r="T3785">
        <v>-0.43960739999999998</v>
      </c>
      <c r="U3785">
        <v>-3.366638</v>
      </c>
      <c r="V3785">
        <v>7.0345939999999996E-2</v>
      </c>
      <c r="W3785">
        <v>0.40020509999999998</v>
      </c>
      <c r="X3785">
        <v>0.91372169999999997</v>
      </c>
      <c r="Y3785">
        <v>2.450008E-3</v>
      </c>
      <c r="Z3785">
        <v>0.1103073</v>
      </c>
      <c r="AA3785">
        <v>0.99389450000000001</v>
      </c>
      <c r="AB3785">
        <v>27</v>
      </c>
      <c r="AC3785">
        <v>-0.16419999999999299</v>
      </c>
      <c r="AD3785">
        <v>-0.1171328</v>
      </c>
      <c r="AE3785">
        <v>-0.74799999999999001</v>
      </c>
      <c r="AF3785">
        <v>7.8708993200601797E-4</v>
      </c>
      <c r="AG3785">
        <v>-0.1171328</v>
      </c>
      <c r="AH3785">
        <v>0.74830380101262906</v>
      </c>
      <c r="AI3785">
        <v>98.896374360638205</v>
      </c>
      <c r="AJ3785">
        <v>89.939734484163793</v>
      </c>
      <c r="AK3785">
        <v>0.75741619401511895</v>
      </c>
      <c r="AL3785">
        <v>66.408999335876402</v>
      </c>
      <c r="AM3785">
        <v>85.597575920909506</v>
      </c>
      <c r="AN3785">
        <v>1.00000000919569</v>
      </c>
    </row>
    <row r="3786" spans="1:40" x14ac:dyDescent="0.25">
      <c r="A3786" t="str">
        <f>"20190304164445921"</f>
        <v>20190304164445921</v>
      </c>
      <c r="B3786" t="str">
        <f>"1551689085913705"</f>
        <v>1551689085913705</v>
      </c>
      <c r="C3786" t="s">
        <v>40</v>
      </c>
      <c r="D3786">
        <v>5.4031989999999999</v>
      </c>
      <c r="E3786">
        <v>0.47548479999999999</v>
      </c>
      <c r="F3786" t="s">
        <v>41</v>
      </c>
      <c r="G3786">
        <v>-192.18989999999999</v>
      </c>
      <c r="H3786">
        <v>1.0082</v>
      </c>
      <c r="I3786">
        <v>160.51750000000001</v>
      </c>
      <c r="J3786">
        <v>-192.05789999999999</v>
      </c>
      <c r="K3786">
        <v>1.1070500000000001</v>
      </c>
      <c r="L3786">
        <v>161.12289999999999</v>
      </c>
      <c r="M3786">
        <v>-0.2164856</v>
      </c>
      <c r="N3786">
        <v>-1.368808E-2</v>
      </c>
      <c r="O3786">
        <v>-0.97619</v>
      </c>
      <c r="P3786">
        <v>-0.2636619</v>
      </c>
      <c r="Q3786">
        <v>0.38815100000000002</v>
      </c>
      <c r="R3786">
        <v>-0.88307519999999995</v>
      </c>
      <c r="S3786">
        <v>-0.74903869999999995</v>
      </c>
      <c r="T3786">
        <v>-0.43993589999999999</v>
      </c>
      <c r="U3786">
        <v>-3.3665919999999998</v>
      </c>
      <c r="V3786">
        <v>7.0243630000000001E-2</v>
      </c>
      <c r="W3786">
        <v>0.40001110000000001</v>
      </c>
      <c r="X3786">
        <v>0.91381449999999997</v>
      </c>
      <c r="Y3786">
        <v>-6.658775E-4</v>
      </c>
      <c r="Z3786">
        <v>0.11027430000000001</v>
      </c>
      <c r="AA3786">
        <v>0.99390100000000003</v>
      </c>
      <c r="AB3786">
        <v>27</v>
      </c>
      <c r="AC3786">
        <v>-0.132000000000005</v>
      </c>
      <c r="AD3786">
        <v>-9.8850000000000104E-2</v>
      </c>
      <c r="AE3786">
        <v>-0.60539999999997396</v>
      </c>
      <c r="AF3786">
        <v>-2.1488196423314599E-3</v>
      </c>
      <c r="AG3786">
        <v>-9.8850000000000104E-2</v>
      </c>
      <c r="AH3786">
        <v>0.60424119343190996</v>
      </c>
      <c r="AI3786">
        <v>99.290865308699196</v>
      </c>
      <c r="AJ3786">
        <v>90.203756014596095</v>
      </c>
      <c r="AK3786">
        <v>0.61227719193668595</v>
      </c>
      <c r="AL3786">
        <v>66.421127456527998</v>
      </c>
      <c r="AM3786">
        <v>85.604398297892303</v>
      </c>
      <c r="AN3786">
        <v>0.999999994044518</v>
      </c>
    </row>
    <row r="3787" spans="1:40" x14ac:dyDescent="0.25">
      <c r="A3787" t="str">
        <f>"20190304164445935"</f>
        <v>20190304164445935</v>
      </c>
      <c r="B3787" t="str">
        <f>"1551689085923466"</f>
        <v>1551689085923466</v>
      </c>
      <c r="C3787" t="s">
        <v>40</v>
      </c>
      <c r="D3787">
        <v>5.4350820000000004</v>
      </c>
      <c r="E3787">
        <v>0.47504750000000001</v>
      </c>
      <c r="F3787" t="s">
        <v>41</v>
      </c>
      <c r="G3787">
        <v>-192.24510000000001</v>
      </c>
      <c r="H3787">
        <v>0.99747039999999998</v>
      </c>
      <c r="I3787">
        <v>160.28569999999999</v>
      </c>
      <c r="J3787">
        <v>-192.09440000000001</v>
      </c>
      <c r="K3787">
        <v>1.1070580000000001</v>
      </c>
      <c r="L3787">
        <v>160.97290000000001</v>
      </c>
      <c r="M3787">
        <v>-0.2195907</v>
      </c>
      <c r="N3787">
        <v>-1.368778E-2</v>
      </c>
      <c r="O3787">
        <v>-0.97549609999999998</v>
      </c>
      <c r="P3787">
        <v>-0.26612570000000002</v>
      </c>
      <c r="Q3787">
        <v>0.38796429999999998</v>
      </c>
      <c r="R3787">
        <v>-0.88241759999999902</v>
      </c>
      <c r="S3787">
        <v>-0.75265499999999996</v>
      </c>
      <c r="T3787">
        <v>-0.44053690000000001</v>
      </c>
      <c r="U3787">
        <v>-3.3661349999999999</v>
      </c>
      <c r="V3787">
        <v>6.9859530000000003E-2</v>
      </c>
      <c r="W3787">
        <v>0.39982970000000001</v>
      </c>
      <c r="X3787">
        <v>0.91392329999999999</v>
      </c>
      <c r="Y3787">
        <v>-2.8021220000000002E-3</v>
      </c>
      <c r="Z3787">
        <v>0.110317899999999</v>
      </c>
      <c r="AA3787">
        <v>0.99389240000000001</v>
      </c>
      <c r="AB3787">
        <v>27</v>
      </c>
      <c r="AC3787">
        <v>-0.1507</v>
      </c>
      <c r="AD3787">
        <v>-0.10958759999999999</v>
      </c>
      <c r="AE3787">
        <v>-0.68720000000001802</v>
      </c>
      <c r="AF3787">
        <v>-3.80354341916003E-3</v>
      </c>
      <c r="AG3787">
        <v>-0.10958759999999999</v>
      </c>
      <c r="AH3787">
        <v>0.68685348730077</v>
      </c>
      <c r="AI3787">
        <v>99.065009204489598</v>
      </c>
      <c r="AJ3787">
        <v>90.317279829799503</v>
      </c>
      <c r="AK3787">
        <v>0.69555130798060505</v>
      </c>
      <c r="AL3787">
        <v>66.432466629573796</v>
      </c>
      <c r="AM3787">
        <v>85.628858923666797</v>
      </c>
      <c r="AN3787">
        <v>0.99999997060839996</v>
      </c>
    </row>
    <row r="3788" spans="1:40" x14ac:dyDescent="0.25">
      <c r="A3788" t="str">
        <f>"20190304164445946"</f>
        <v>20190304164445946</v>
      </c>
      <c r="B3788" t="str">
        <f>"1551689085943960"</f>
        <v>1551689085943960</v>
      </c>
      <c r="C3788" t="s">
        <v>40</v>
      </c>
      <c r="D3788">
        <v>5.35745</v>
      </c>
      <c r="E3788">
        <v>0.47398469999999998</v>
      </c>
      <c r="F3788" t="s">
        <v>41</v>
      </c>
      <c r="G3788">
        <v>-192.3021</v>
      </c>
      <c r="H3788">
        <v>0.98666489999999996</v>
      </c>
      <c r="I3788">
        <v>160.05430000000001</v>
      </c>
      <c r="J3788">
        <v>-192.1319</v>
      </c>
      <c r="K3788">
        <v>1.1070719999999901</v>
      </c>
      <c r="L3788">
        <v>160.82239999999999</v>
      </c>
      <c r="M3788">
        <v>-0.22270899999999999</v>
      </c>
      <c r="N3788">
        <v>-1.368723E-2</v>
      </c>
      <c r="O3788">
        <v>-0.97478909999999996</v>
      </c>
      <c r="P3788">
        <v>-0.26795570000000002</v>
      </c>
      <c r="Q3788">
        <v>0.38830930000000002</v>
      </c>
      <c r="R3788">
        <v>-0.88171200000000005</v>
      </c>
      <c r="S3788">
        <v>-0.76023859999999999</v>
      </c>
      <c r="T3788">
        <v>-0.44074760000000002</v>
      </c>
      <c r="U3788">
        <v>-3.3642430000000001</v>
      </c>
      <c r="V3788">
        <v>6.8859649999999994E-2</v>
      </c>
      <c r="W3788">
        <v>0.40018409999999999</v>
      </c>
      <c r="X3788">
        <v>0.91384410000000005</v>
      </c>
      <c r="Y3788">
        <v>-3.7475500000000001E-3</v>
      </c>
      <c r="Z3788">
        <v>0.11028830000000001</v>
      </c>
      <c r="AA3788">
        <v>0.99389260000000001</v>
      </c>
      <c r="AB3788">
        <v>27</v>
      </c>
      <c r="AC3788">
        <v>-0.17019999999999399</v>
      </c>
      <c r="AD3788">
        <v>-0.120407099999999</v>
      </c>
      <c r="AE3788">
        <v>-0.76809999999997502</v>
      </c>
      <c r="AF3788">
        <v>-5.0361945171096198E-3</v>
      </c>
      <c r="AG3788">
        <v>-0.120407099999999</v>
      </c>
      <c r="AH3788">
        <v>0.76870827241578299</v>
      </c>
      <c r="AI3788">
        <v>98.902037964541805</v>
      </c>
      <c r="AJ3788">
        <v>90.375368098223902</v>
      </c>
      <c r="AK3788">
        <v>0.77809744959489602</v>
      </c>
      <c r="AL3788">
        <v>66.410312093712704</v>
      </c>
      <c r="AM3788">
        <v>85.690812507405198</v>
      </c>
      <c r="AN3788">
        <v>1.0000000021978701</v>
      </c>
    </row>
    <row r="3789" spans="1:40" x14ac:dyDescent="0.25">
      <c r="A3789" t="str">
        <f>"20190304164445963"</f>
        <v>20190304164445963</v>
      </c>
      <c r="B3789" t="str">
        <f>"1551689085953721"</f>
        <v>1551689085953721</v>
      </c>
      <c r="C3789" t="s">
        <v>40</v>
      </c>
      <c r="D3789">
        <v>5.4448650000000001</v>
      </c>
      <c r="E3789">
        <v>0.47369080000000002</v>
      </c>
      <c r="F3789" t="s">
        <v>41</v>
      </c>
      <c r="G3789">
        <v>-192.30779999999999</v>
      </c>
      <c r="H3789">
        <v>1.0058229999999999</v>
      </c>
      <c r="I3789">
        <v>160.04640000000001</v>
      </c>
      <c r="J3789">
        <v>-192.1797</v>
      </c>
      <c r="K3789">
        <v>1.107084</v>
      </c>
      <c r="L3789">
        <v>160.63220000000001</v>
      </c>
      <c r="M3789">
        <v>-0.22665150000000001</v>
      </c>
      <c r="N3789">
        <v>-1.3686759999999999E-2</v>
      </c>
      <c r="O3789">
        <v>-0.97387979999999996</v>
      </c>
      <c r="P3789">
        <v>-0.26989360000000001</v>
      </c>
      <c r="Q3789">
        <v>0.38961030000000002</v>
      </c>
      <c r="R3789">
        <v>-0.88054619999999995</v>
      </c>
      <c r="S3789">
        <v>-0.76220699999999997</v>
      </c>
      <c r="T3789">
        <v>-0.4387239</v>
      </c>
      <c r="U3789">
        <v>-3.3640439999999998</v>
      </c>
      <c r="V3789">
        <v>6.7299360000000003E-2</v>
      </c>
      <c r="W3789">
        <v>0.40149509999999999</v>
      </c>
      <c r="X3789">
        <v>0.91338520000000001</v>
      </c>
      <c r="Y3789">
        <v>-7.2079040000000002E-3</v>
      </c>
      <c r="Z3789">
        <v>0.1095632</v>
      </c>
      <c r="AA3789">
        <v>0.99395370000000005</v>
      </c>
      <c r="AB3789">
        <v>27</v>
      </c>
      <c r="AC3789">
        <v>-0.128099999999989</v>
      </c>
      <c r="AD3789">
        <v>-0.101261</v>
      </c>
      <c r="AE3789">
        <v>-0.58580000000000598</v>
      </c>
      <c r="AF3789">
        <v>-7.7968563681589101E-3</v>
      </c>
      <c r="AG3789">
        <v>-0.101261</v>
      </c>
      <c r="AH3789">
        <v>0.58296473980472396</v>
      </c>
      <c r="AI3789">
        <v>99.853096803327404</v>
      </c>
      <c r="AJ3789">
        <v>90.766256171824097</v>
      </c>
      <c r="AK3789">
        <v>0.59174527369959995</v>
      </c>
      <c r="AL3789">
        <v>66.328322813617703</v>
      </c>
      <c r="AM3789">
        <v>85.785990390839899</v>
      </c>
      <c r="AN3789">
        <v>1.00000002137972</v>
      </c>
    </row>
    <row r="3790" spans="1:40" x14ac:dyDescent="0.25">
      <c r="A3790" t="str">
        <f>"20190304164445979"</f>
        <v>20190304164445979</v>
      </c>
      <c r="B3790" t="str">
        <f>"1551689085974217"</f>
        <v>1551689085974217</v>
      </c>
      <c r="C3790" t="s">
        <v>40</v>
      </c>
      <c r="D3790">
        <v>5.3675730000000001</v>
      </c>
      <c r="E3790">
        <v>0.47252880000000003</v>
      </c>
      <c r="F3790" t="s">
        <v>41</v>
      </c>
      <c r="G3790">
        <v>-192.36789999999999</v>
      </c>
      <c r="H3790">
        <v>1.001374</v>
      </c>
      <c r="I3790">
        <v>159.81299999999999</v>
      </c>
      <c r="J3790">
        <v>-192.22450000000001</v>
      </c>
      <c r="K3790">
        <v>1.107089</v>
      </c>
      <c r="L3790">
        <v>160.4572</v>
      </c>
      <c r="M3790">
        <v>-0.23028380000000001</v>
      </c>
      <c r="N3790">
        <v>-1.3686459999999999E-2</v>
      </c>
      <c r="O3790">
        <v>-0.97302730000000004</v>
      </c>
      <c r="P3790">
        <v>-0.27260519999999999</v>
      </c>
      <c r="Q3790">
        <v>0.39066719999999999</v>
      </c>
      <c r="R3790">
        <v>-0.87924169999999902</v>
      </c>
      <c r="S3790">
        <v>-0.77220149999999999</v>
      </c>
      <c r="T3790">
        <v>-0.43386330000000001</v>
      </c>
      <c r="U3790">
        <v>-3.3622589999999901</v>
      </c>
      <c r="V3790">
        <v>6.6817539999999995E-2</v>
      </c>
      <c r="W3790">
        <v>0.4025512</v>
      </c>
      <c r="X3790">
        <v>0.91295559999999998</v>
      </c>
      <c r="Y3790">
        <v>-7.9805459999999998E-3</v>
      </c>
      <c r="Z3790">
        <v>0.1080965</v>
      </c>
      <c r="AA3790">
        <v>0.9941084</v>
      </c>
      <c r="AB3790">
        <v>27</v>
      </c>
      <c r="AC3790">
        <v>-0.14339999999998501</v>
      </c>
      <c r="AD3790">
        <v>-0.105715</v>
      </c>
      <c r="AE3790">
        <v>-0.64420000000001199</v>
      </c>
      <c r="AF3790">
        <v>-8.5969514608739694E-3</v>
      </c>
      <c r="AG3790">
        <v>-0.105715</v>
      </c>
      <c r="AH3790">
        <v>0.64340010991169505</v>
      </c>
      <c r="AI3790">
        <v>99.329896688780394</v>
      </c>
      <c r="AJ3790">
        <v>90.7655263297451</v>
      </c>
      <c r="AK3790">
        <v>0.65208379080743994</v>
      </c>
      <c r="AL3790">
        <v>66.262236255650905</v>
      </c>
      <c r="AM3790">
        <v>85.814090659158495</v>
      </c>
      <c r="AN3790">
        <v>0.99999998992222505</v>
      </c>
    </row>
    <row r="3791" spans="1:40" x14ac:dyDescent="0.25">
      <c r="A3791" t="str">
        <f>"20190304164445996"</f>
        <v>20190304164445996</v>
      </c>
      <c r="B3791" t="str">
        <f>"1551689085993737"</f>
        <v>1551689085993737</v>
      </c>
      <c r="C3791" t="s">
        <v>40</v>
      </c>
      <c r="D3791">
        <v>5.4740659999999997</v>
      </c>
      <c r="E3791">
        <v>0.47206720000000002</v>
      </c>
      <c r="F3791" t="s">
        <v>41</v>
      </c>
      <c r="G3791">
        <v>-192.42660000000001</v>
      </c>
      <c r="H3791">
        <v>0.995645</v>
      </c>
      <c r="I3791">
        <v>159.58000000000001</v>
      </c>
      <c r="J3791">
        <v>-192.2799</v>
      </c>
      <c r="K3791">
        <v>1.107094</v>
      </c>
      <c r="L3791">
        <v>160.2441</v>
      </c>
      <c r="M3791">
        <v>-0.23471790000000001</v>
      </c>
      <c r="N3791">
        <v>-1.3686220000000001E-2</v>
      </c>
      <c r="O3791">
        <v>-0.97196709999999997</v>
      </c>
      <c r="P3791">
        <v>-0.27643849999999998</v>
      </c>
      <c r="Q3791">
        <v>0.39195200000000002</v>
      </c>
      <c r="R3791">
        <v>-0.87747090000000005</v>
      </c>
      <c r="S3791">
        <v>-0.77407840000000006</v>
      </c>
      <c r="T3791">
        <v>-0.42698740000000002</v>
      </c>
      <c r="U3791">
        <v>-3.361755</v>
      </c>
      <c r="V3791">
        <v>6.6785440000000001E-2</v>
      </c>
      <c r="W3791">
        <v>0.40382849999999998</v>
      </c>
      <c r="X3791">
        <v>0.91239369999999997</v>
      </c>
      <c r="Y3791">
        <v>-1.1926549999999999E-2</v>
      </c>
      <c r="Z3791">
        <v>0.1060209</v>
      </c>
      <c r="AA3791">
        <v>0.99429239999999997</v>
      </c>
      <c r="AB3791">
        <v>27</v>
      </c>
      <c r="AC3791">
        <v>-0.14670000000000899</v>
      </c>
      <c r="AD3791">
        <v>-0.11144899999999899</v>
      </c>
      <c r="AE3791">
        <v>-0.66409999999999003</v>
      </c>
      <c r="AF3791">
        <v>-1.29422893546664E-2</v>
      </c>
      <c r="AG3791">
        <v>-0.11144899999999899</v>
      </c>
      <c r="AH3791">
        <v>0.66219815238685398</v>
      </c>
      <c r="AI3791">
        <v>99.551649781325494</v>
      </c>
      <c r="AJ3791">
        <v>91.119671139761607</v>
      </c>
      <c r="AK3791">
        <v>0.67163589501998999</v>
      </c>
      <c r="AL3791">
        <v>66.182264470459103</v>
      </c>
      <c r="AM3791">
        <v>85.813526970139705</v>
      </c>
      <c r="AN3791">
        <v>1.0000000081039599</v>
      </c>
    </row>
    <row r="3792" spans="1:40" x14ac:dyDescent="0.25">
      <c r="A3792" t="str">
        <f>"20190304164446012"</f>
        <v>20190304164446012</v>
      </c>
      <c r="B3792" t="str">
        <f>"1551689086003497"</f>
        <v>1551689086003497</v>
      </c>
      <c r="C3792" t="s">
        <v>40</v>
      </c>
      <c r="D3792">
        <v>5.4611780000000003</v>
      </c>
      <c r="E3792">
        <v>0.47178510000000001</v>
      </c>
      <c r="F3792" t="s">
        <v>41</v>
      </c>
      <c r="G3792">
        <v>-192.48939999999999</v>
      </c>
      <c r="H3792">
        <v>0.99468639999999997</v>
      </c>
      <c r="I3792">
        <v>159.3458</v>
      </c>
      <c r="J3792">
        <v>-192.3289</v>
      </c>
      <c r="K3792">
        <v>1.1070879999999901</v>
      </c>
      <c r="L3792">
        <v>160.059</v>
      </c>
      <c r="M3792">
        <v>-0.23858740000000001</v>
      </c>
      <c r="N3792">
        <v>-1.3686520000000001E-2</v>
      </c>
      <c r="O3792">
        <v>-0.97102460000000002</v>
      </c>
      <c r="P3792">
        <v>-0.27997080000000002</v>
      </c>
      <c r="Q3792">
        <v>0.39288960000000001</v>
      </c>
      <c r="R3792">
        <v>-0.87593049999999995</v>
      </c>
      <c r="S3792">
        <v>-0.78361510000000001</v>
      </c>
      <c r="T3792">
        <v>-0.4203904</v>
      </c>
      <c r="U3792">
        <v>-3.3598180000000002</v>
      </c>
      <c r="V3792">
        <v>6.6943710000000003E-2</v>
      </c>
      <c r="W3792">
        <v>0.4047579</v>
      </c>
      <c r="X3792">
        <v>0.91197019999999995</v>
      </c>
      <c r="Y3792">
        <v>-1.305768E-2</v>
      </c>
      <c r="Z3792">
        <v>0.10407089999999899</v>
      </c>
      <c r="AA3792">
        <v>0.99448419999999904</v>
      </c>
      <c r="AB3792">
        <v>27</v>
      </c>
      <c r="AC3792">
        <v>-0.16049999999998399</v>
      </c>
      <c r="AD3792">
        <v>-0.11240159999999901</v>
      </c>
      <c r="AE3792">
        <v>-0.71319999999999995</v>
      </c>
      <c r="AF3792">
        <v>-1.3981879340719001E-2</v>
      </c>
      <c r="AG3792">
        <v>-0.11240159999999901</v>
      </c>
      <c r="AH3792">
        <v>0.71401636961528803</v>
      </c>
      <c r="AI3792">
        <v>98.944488389248306</v>
      </c>
      <c r="AJ3792">
        <v>91.121823445272994</v>
      </c>
      <c r="AK3792">
        <v>0.72294466504086896</v>
      </c>
      <c r="AL3792">
        <v>66.124044005823094</v>
      </c>
      <c r="AM3792">
        <v>85.801699413280502</v>
      </c>
      <c r="AN3792">
        <v>1.0000000318044999</v>
      </c>
    </row>
    <row r="3793" spans="1:40" x14ac:dyDescent="0.25">
      <c r="A3793" t="str">
        <f>"20190304164446030"</f>
        <v>20190304164446030</v>
      </c>
      <c r="B3793" t="str">
        <f>"1551689086023993"</f>
        <v>1551689086023993</v>
      </c>
      <c r="C3793" t="s">
        <v>40</v>
      </c>
      <c r="D3793">
        <v>5.3960869999999996</v>
      </c>
      <c r="E3793">
        <v>0.4709853</v>
      </c>
      <c r="F3793" t="s">
        <v>41</v>
      </c>
      <c r="G3793">
        <v>-192.5</v>
      </c>
      <c r="H3793">
        <v>1.017531</v>
      </c>
      <c r="I3793">
        <v>159.33750000000001</v>
      </c>
      <c r="J3793">
        <v>-192.3871</v>
      </c>
      <c r="K3793">
        <v>1.1070799999999901</v>
      </c>
      <c r="L3793">
        <v>159.8433</v>
      </c>
      <c r="M3793">
        <v>-0.24312780000000001</v>
      </c>
      <c r="N3793">
        <v>-1.368774E-2</v>
      </c>
      <c r="O3793">
        <v>-0.96989789999999998</v>
      </c>
      <c r="P3793">
        <v>-0.28334819999999999</v>
      </c>
      <c r="Q3793">
        <v>0.39442569999999999</v>
      </c>
      <c r="R3793">
        <v>-0.8741525</v>
      </c>
      <c r="S3793">
        <v>-0.79580689999999998</v>
      </c>
      <c r="T3793">
        <v>-0.41667399999999999</v>
      </c>
      <c r="U3793">
        <v>-3.3574980000000001</v>
      </c>
      <c r="V3793">
        <v>6.6392030000000005E-2</v>
      </c>
      <c r="W3793">
        <v>0.40628950000000003</v>
      </c>
      <c r="X3793">
        <v>0.91132919999999995</v>
      </c>
      <c r="Y3793">
        <v>-1.4133379999999999E-2</v>
      </c>
      <c r="Z3793">
        <v>0.10288750000000001</v>
      </c>
      <c r="AA3793">
        <v>0.99459260000000005</v>
      </c>
      <c r="AB3793">
        <v>27</v>
      </c>
      <c r="AC3793">
        <v>-0.112899999999996</v>
      </c>
      <c r="AD3793">
        <v>-8.9548999999999795E-2</v>
      </c>
      <c r="AE3793">
        <v>-0.50579999999999303</v>
      </c>
      <c r="AF3793">
        <v>-1.3083201219503701E-2</v>
      </c>
      <c r="AG3793">
        <v>-8.9548999999999795E-2</v>
      </c>
      <c r="AH3793">
        <v>0.50305222757198298</v>
      </c>
      <c r="AI3793">
        <v>100.090227705743</v>
      </c>
      <c r="AJ3793">
        <v>91.489792168642694</v>
      </c>
      <c r="AK3793">
        <v>0.51112790690812804</v>
      </c>
      <c r="AL3793">
        <v>66.028040503697795</v>
      </c>
      <c r="AM3793">
        <v>85.833256833857007</v>
      </c>
      <c r="AN3793">
        <v>0.99999998511520505</v>
      </c>
    </row>
    <row r="3794" spans="1:40" x14ac:dyDescent="0.25">
      <c r="A3794" t="str">
        <f>"20190304164446043"</f>
        <v>20190304164446043</v>
      </c>
      <c r="B3794" t="str">
        <f>"1551689086033753"</f>
        <v>1551689086033753</v>
      </c>
      <c r="C3794" t="s">
        <v>40</v>
      </c>
      <c r="D3794">
        <v>5.4648009999999996</v>
      </c>
      <c r="E3794">
        <v>0.47058080000000002</v>
      </c>
      <c r="F3794" t="s">
        <v>41</v>
      </c>
      <c r="G3794">
        <v>-192.5651</v>
      </c>
      <c r="H3794">
        <v>1.016516</v>
      </c>
      <c r="I3794">
        <v>159.1045</v>
      </c>
      <c r="J3794">
        <v>-192.42859999999999</v>
      </c>
      <c r="K3794">
        <v>1.1070610000000001</v>
      </c>
      <c r="L3794">
        <v>159.69229999999999</v>
      </c>
      <c r="M3794">
        <v>-0.2463475</v>
      </c>
      <c r="N3794">
        <v>-1.368921E-2</v>
      </c>
      <c r="O3794">
        <v>-0.96908490000000003</v>
      </c>
      <c r="P3794">
        <v>-0.28615170000000001</v>
      </c>
      <c r="Q3794">
        <v>0.39506360000000001</v>
      </c>
      <c r="R3794">
        <v>-0.87295029999999996</v>
      </c>
      <c r="S3794">
        <v>-0.8078613</v>
      </c>
      <c r="T3794">
        <v>-0.41108080000000002</v>
      </c>
      <c r="U3794">
        <v>-3.3555299999999999</v>
      </c>
      <c r="V3794">
        <v>6.6390420000000006E-2</v>
      </c>
      <c r="W3794">
        <v>0.40692119999999998</v>
      </c>
      <c r="X3794">
        <v>0.91104750000000001</v>
      </c>
      <c r="Y3794">
        <v>-1.390373E-2</v>
      </c>
      <c r="Z3794">
        <v>0.1012337</v>
      </c>
      <c r="AA3794">
        <v>0.99476549999999997</v>
      </c>
      <c r="AB3794">
        <v>27</v>
      </c>
      <c r="AC3794">
        <v>-0.136500000000012</v>
      </c>
      <c r="AD3794">
        <v>-9.0545000000000098E-2</v>
      </c>
      <c r="AE3794">
        <v>-0.587799999999987</v>
      </c>
      <c r="AF3794">
        <v>-1.2248380770177999E-2</v>
      </c>
      <c r="AG3794">
        <v>-9.0545000000000098E-2</v>
      </c>
      <c r="AH3794">
        <v>0.59002699110982704</v>
      </c>
      <c r="AI3794">
        <v>98.722645816811394</v>
      </c>
      <c r="AJ3794">
        <v>91.189233294309304</v>
      </c>
      <c r="AK3794">
        <v>0.59705968721276703</v>
      </c>
      <c r="AL3794">
        <v>65.988425683323499</v>
      </c>
      <c r="AM3794">
        <v>85.832073715936204</v>
      </c>
      <c r="AN3794">
        <v>1.00000004906673</v>
      </c>
    </row>
    <row r="3795" spans="1:40" x14ac:dyDescent="0.25">
      <c r="A3795" t="str">
        <f>"20190304164446056"</f>
        <v>20190304164446056</v>
      </c>
      <c r="B3795" t="str">
        <f>"1551689086043514"</f>
        <v>1551689086043514</v>
      </c>
      <c r="C3795" t="s">
        <v>40</v>
      </c>
      <c r="D3795">
        <v>5.4430209999999999</v>
      </c>
      <c r="E3795">
        <v>0.47013179999999999</v>
      </c>
      <c r="F3795" t="s">
        <v>41</v>
      </c>
      <c r="G3795">
        <v>-192.62809999999999</v>
      </c>
      <c r="H3795">
        <v>1.0073080000000001</v>
      </c>
      <c r="I3795">
        <v>158.875</v>
      </c>
      <c r="J3795">
        <v>-192.4683</v>
      </c>
      <c r="K3795">
        <v>1.107035</v>
      </c>
      <c r="L3795">
        <v>159.54910000000001</v>
      </c>
      <c r="M3795">
        <v>-0.24941959999999999</v>
      </c>
      <c r="N3795">
        <v>-1.369094E-2</v>
      </c>
      <c r="O3795">
        <v>-0.96829889999999996</v>
      </c>
      <c r="P3795">
        <v>-0.2889195</v>
      </c>
      <c r="Q3795">
        <v>0.39587909999999998</v>
      </c>
      <c r="R3795">
        <v>-0.87166829999999995</v>
      </c>
      <c r="S3795">
        <v>-0.81831359999999997</v>
      </c>
      <c r="T3795">
        <v>-0.4091765</v>
      </c>
      <c r="U3795">
        <v>-3.353577</v>
      </c>
      <c r="V3795">
        <v>6.6520259999999998E-2</v>
      </c>
      <c r="W3795">
        <v>0.40772770000000003</v>
      </c>
      <c r="X3795">
        <v>0.91067730000000002</v>
      </c>
      <c r="Y3795">
        <v>-1.3999960000000001E-2</v>
      </c>
      <c r="Z3795">
        <v>0.1006041</v>
      </c>
      <c r="AA3795">
        <v>0.99482800000000005</v>
      </c>
      <c r="AB3795">
        <v>27</v>
      </c>
      <c r="AC3795">
        <v>-0.15979999999998901</v>
      </c>
      <c r="AD3795">
        <v>-9.9726999999999899E-2</v>
      </c>
      <c r="AE3795">
        <v>-0.67410000000000903</v>
      </c>
      <c r="AF3795">
        <v>-1.3128786716786901E-2</v>
      </c>
      <c r="AG3795">
        <v>-9.9726999999999899E-2</v>
      </c>
      <c r="AH3795">
        <v>0.67859056620521796</v>
      </c>
      <c r="AI3795">
        <v>98.358911523005105</v>
      </c>
      <c r="AJ3795">
        <v>91.108371191811599</v>
      </c>
      <c r="AK3795">
        <v>0.68600509918831798</v>
      </c>
      <c r="AL3795">
        <v>65.937827401544695</v>
      </c>
      <c r="AM3795">
        <v>85.822259697149505</v>
      </c>
      <c r="AN3795">
        <v>0.99999998353652297</v>
      </c>
    </row>
    <row r="3796" spans="1:40" x14ac:dyDescent="0.25">
      <c r="A3796" t="str">
        <f>"20190304164446068"</f>
        <v>20190304164446068</v>
      </c>
      <c r="B3796" t="str">
        <f>"1551689086064009"</f>
        <v>1551689086064009</v>
      </c>
      <c r="C3796" t="s">
        <v>40</v>
      </c>
      <c r="D3796">
        <v>5.4366969999999997</v>
      </c>
      <c r="E3796">
        <v>0.469279</v>
      </c>
      <c r="F3796" t="s">
        <v>41</v>
      </c>
      <c r="G3796">
        <v>-192.69159999999999</v>
      </c>
      <c r="H3796">
        <v>0.99737070000000005</v>
      </c>
      <c r="I3796">
        <v>158.64580000000001</v>
      </c>
      <c r="J3796">
        <v>-192.51159999999999</v>
      </c>
      <c r="K3796">
        <v>1.1069899999999999</v>
      </c>
      <c r="L3796">
        <v>159.3955</v>
      </c>
      <c r="M3796">
        <v>-0.25277260000000001</v>
      </c>
      <c r="N3796">
        <v>-1.369424E-2</v>
      </c>
      <c r="O3796">
        <v>-0.96742890000000004</v>
      </c>
      <c r="P3796">
        <v>-0.29245680000000002</v>
      </c>
      <c r="Q3796">
        <v>0.39629439999999999</v>
      </c>
      <c r="R3796">
        <v>-0.87029859999999903</v>
      </c>
      <c r="S3796">
        <v>-0.828125</v>
      </c>
      <c r="T3796">
        <v>-0.40673510000000002</v>
      </c>
      <c r="U3796">
        <v>-3.3519290000000002</v>
      </c>
      <c r="V3796">
        <v>6.7163239999999999E-2</v>
      </c>
      <c r="W3796">
        <v>0.40812999999999999</v>
      </c>
      <c r="X3796">
        <v>0.91044990000000003</v>
      </c>
      <c r="Y3796">
        <v>-1.458578E-2</v>
      </c>
      <c r="Z3796">
        <v>9.980385E-2</v>
      </c>
      <c r="AA3796">
        <v>0.99490020000000001</v>
      </c>
      <c r="AB3796">
        <v>27</v>
      </c>
      <c r="AC3796">
        <v>-0.18000000000000599</v>
      </c>
      <c r="AD3796">
        <v>-0.109619299999999</v>
      </c>
      <c r="AE3796">
        <v>-0.74969999999999004</v>
      </c>
      <c r="AF3796">
        <v>-1.5063360514864E-2</v>
      </c>
      <c r="AG3796">
        <v>-0.109619299999999</v>
      </c>
      <c r="AH3796">
        <v>0.75557921892551105</v>
      </c>
      <c r="AI3796">
        <v>98.253249199191103</v>
      </c>
      <c r="AJ3796">
        <v>91.142107466848998</v>
      </c>
      <c r="AK3796">
        <v>0.76363816813630803</v>
      </c>
      <c r="AL3796">
        <v>65.912581892666694</v>
      </c>
      <c r="AM3796">
        <v>85.780973305527297</v>
      </c>
      <c r="AN3796">
        <v>1.0000000090586501</v>
      </c>
    </row>
    <row r="3797" spans="1:40" x14ac:dyDescent="0.25">
      <c r="A3797" t="str">
        <f>"20190304164446085"</f>
        <v>20190304164446085</v>
      </c>
      <c r="B3797" t="str">
        <f>"1551689086073769"</f>
        <v>1551689086073769</v>
      </c>
      <c r="C3797" t="s">
        <v>40</v>
      </c>
      <c r="D3797">
        <v>5.4643040000000003</v>
      </c>
      <c r="E3797">
        <v>0.4687904</v>
      </c>
      <c r="F3797" t="s">
        <v>41</v>
      </c>
      <c r="G3797">
        <v>-192.70070000000001</v>
      </c>
      <c r="H3797">
        <v>1.015328</v>
      </c>
      <c r="I3797">
        <v>158.63990000000001</v>
      </c>
      <c r="J3797">
        <v>-192.56489999999999</v>
      </c>
      <c r="K3797">
        <v>1.1069260000000001</v>
      </c>
      <c r="L3797">
        <v>159.20949999999999</v>
      </c>
      <c r="M3797">
        <v>-0.25689650000000003</v>
      </c>
      <c r="N3797">
        <v>-1.369949E-2</v>
      </c>
      <c r="O3797">
        <v>-0.96634200000000003</v>
      </c>
      <c r="P3797">
        <v>-0.29734939999999999</v>
      </c>
      <c r="Q3797">
        <v>0.39719589999999999</v>
      </c>
      <c r="R3797">
        <v>-0.86822779999999999</v>
      </c>
      <c r="S3797">
        <v>-0.83778379999999997</v>
      </c>
      <c r="T3797">
        <v>-0.40622940000000002</v>
      </c>
      <c r="U3797">
        <v>-3.3505250000000002</v>
      </c>
      <c r="V3797">
        <v>6.8590470000000001E-2</v>
      </c>
      <c r="W3797">
        <v>0.40900389999999998</v>
      </c>
      <c r="X3797">
        <v>0.90995119999999896</v>
      </c>
      <c r="Y3797">
        <v>-1.6044490000000002E-2</v>
      </c>
      <c r="Z3797">
        <v>9.9488779999999999E-2</v>
      </c>
      <c r="AA3797">
        <v>0.9949093</v>
      </c>
      <c r="AB3797">
        <v>27</v>
      </c>
      <c r="AC3797">
        <v>-0.13580000000001699</v>
      </c>
      <c r="AD3797">
        <v>-9.1597999999999999E-2</v>
      </c>
      <c r="AE3797">
        <v>-0.56959999999997901</v>
      </c>
      <c r="AF3797">
        <v>-1.47397452013518E-2</v>
      </c>
      <c r="AG3797">
        <v>-9.1597999999999999E-2</v>
      </c>
      <c r="AH3797">
        <v>0.57138827701925199</v>
      </c>
      <c r="AI3797">
        <v>99.104493715039496</v>
      </c>
      <c r="AJ3797">
        <v>91.477695586844405</v>
      </c>
      <c r="AK3797">
        <v>0.57887133009644798</v>
      </c>
      <c r="AL3797">
        <v>65.857723670623699</v>
      </c>
      <c r="AM3797">
        <v>85.689300071954804</v>
      </c>
      <c r="AN3797">
        <v>1.00000001458573</v>
      </c>
    </row>
    <row r="3798" spans="1:40" x14ac:dyDescent="0.25">
      <c r="A3798" t="str">
        <f>"20190304164446098"</f>
        <v>20190304164446098</v>
      </c>
      <c r="B3798" t="str">
        <f>"1551689086094265"</f>
        <v>1551689086094265</v>
      </c>
      <c r="C3798" t="s">
        <v>40</v>
      </c>
      <c r="D3798">
        <v>5.4315059999999997</v>
      </c>
      <c r="E3798">
        <v>0.46794730000000001</v>
      </c>
      <c r="F3798" t="s">
        <v>41</v>
      </c>
      <c r="G3798">
        <v>-192.7697</v>
      </c>
      <c r="H3798">
        <v>1.010564</v>
      </c>
      <c r="I3798">
        <v>158.4102</v>
      </c>
      <c r="J3798">
        <v>-192.60839999999999</v>
      </c>
      <c r="K3798">
        <v>1.10687</v>
      </c>
      <c r="L3798">
        <v>159.0598</v>
      </c>
      <c r="M3798">
        <v>-0.26026630000000001</v>
      </c>
      <c r="N3798">
        <v>-1.370439E-2</v>
      </c>
      <c r="O3798">
        <v>-0.96543970000000001</v>
      </c>
      <c r="P3798">
        <v>-0.30102980000000001</v>
      </c>
      <c r="Q3798">
        <v>0.39739829999999998</v>
      </c>
      <c r="R3798">
        <v>-0.86686569999999996</v>
      </c>
      <c r="S3798">
        <v>-0.85699459999999905</v>
      </c>
      <c r="T3798">
        <v>-0.40328910000000001</v>
      </c>
      <c r="U3798">
        <v>-3.346298</v>
      </c>
      <c r="V3798">
        <v>6.9366170000000005E-2</v>
      </c>
      <c r="W3798">
        <v>0.40919149999999999</v>
      </c>
      <c r="X3798">
        <v>0.90980799999999995</v>
      </c>
      <c r="Y3798">
        <v>-1.385024E-2</v>
      </c>
      <c r="Z3798">
        <v>9.8600069999999998E-2</v>
      </c>
      <c r="AA3798">
        <v>0.99503079999999999</v>
      </c>
      <c r="AB3798">
        <v>27</v>
      </c>
      <c r="AC3798">
        <v>-0.16130000000001099</v>
      </c>
      <c r="AD3798">
        <v>-9.6305999999999906E-2</v>
      </c>
      <c r="AE3798">
        <v>-0.64959999999999196</v>
      </c>
      <c r="AF3798">
        <v>-1.3074144489338701E-2</v>
      </c>
      <c r="AG3798">
        <v>-9.6305999999999906E-2</v>
      </c>
      <c r="AH3798">
        <v>0.65562014451681205</v>
      </c>
      <c r="AI3798">
        <v>98.354947556240106</v>
      </c>
      <c r="AJ3798">
        <v>91.142420703231807</v>
      </c>
      <c r="AK3798">
        <v>0.66278469564887599</v>
      </c>
      <c r="AL3798">
        <v>65.845943097377699</v>
      </c>
      <c r="AM3798">
        <v>85.640053102017504</v>
      </c>
      <c r="AN3798">
        <v>0.99999997303835897</v>
      </c>
    </row>
    <row r="3799" spans="1:40" x14ac:dyDescent="0.25">
      <c r="A3799" t="str">
        <f>"20190304164446109"</f>
        <v>20190304164446109</v>
      </c>
      <c r="B3799" t="str">
        <f>"1551689086104025"</f>
        <v>1551689086104025</v>
      </c>
      <c r="C3799" t="s">
        <v>40</v>
      </c>
      <c r="D3799">
        <v>5.4152849999999999</v>
      </c>
      <c r="E3799">
        <v>0.46748050000000002</v>
      </c>
      <c r="F3799" t="s">
        <v>41</v>
      </c>
      <c r="G3799">
        <v>-192.83590000000001</v>
      </c>
      <c r="H3799">
        <v>1.0010969999999999</v>
      </c>
      <c r="I3799">
        <v>158.18190000000001</v>
      </c>
      <c r="J3799">
        <v>-192.6515</v>
      </c>
      <c r="K3799">
        <v>1.10680499999999</v>
      </c>
      <c r="L3799">
        <v>158.91370000000001</v>
      </c>
      <c r="M3799">
        <v>-0.26361770000000001</v>
      </c>
      <c r="N3799">
        <v>-1.3709799999999901E-2</v>
      </c>
      <c r="O3799">
        <v>-0.96452969999999905</v>
      </c>
      <c r="P3799">
        <v>-0.30496980000000001</v>
      </c>
      <c r="Q3799">
        <v>0.39753569999999999</v>
      </c>
      <c r="R3799">
        <v>-0.86542379999999997</v>
      </c>
      <c r="S3799">
        <v>-0.86628719999999904</v>
      </c>
      <c r="T3799">
        <v>-0.40280319999999997</v>
      </c>
      <c r="U3799">
        <v>-3.3445589999999998</v>
      </c>
      <c r="V3799">
        <v>7.0435689999999995E-2</v>
      </c>
      <c r="W3799">
        <v>0.40931020000000001</v>
      </c>
      <c r="X3799">
        <v>0.90967240000000005</v>
      </c>
      <c r="Y3799">
        <v>-1.459979E-2</v>
      </c>
      <c r="Z3799">
        <v>9.8333260000000006E-2</v>
      </c>
      <c r="AA3799">
        <v>0.9950464</v>
      </c>
      <c r="AB3799">
        <v>27</v>
      </c>
      <c r="AC3799">
        <v>-0.18440000000001</v>
      </c>
      <c r="AD3799">
        <v>-0.105707999999999</v>
      </c>
      <c r="AE3799">
        <v>-0.73179999999999201</v>
      </c>
      <c r="AF3799">
        <v>-1.47678303484437E-2</v>
      </c>
      <c r="AG3799">
        <v>-0.105707999999999</v>
      </c>
      <c r="AH3799">
        <v>0.74000612333774096</v>
      </c>
      <c r="AI3799">
        <v>98.1279623195217</v>
      </c>
      <c r="AJ3799">
        <v>91.143263583290803</v>
      </c>
      <c r="AK3799">
        <v>0.74766391691357703</v>
      </c>
      <c r="AL3799">
        <v>65.838488726698003</v>
      </c>
      <c r="AM3799">
        <v>85.5724373366604</v>
      </c>
      <c r="AN3799">
        <v>0.99999995078578696</v>
      </c>
    </row>
    <row r="3800" spans="1:40" x14ac:dyDescent="0.25">
      <c r="A3800" t="str">
        <f>"20190304164446122"</f>
        <v>20190304164446122</v>
      </c>
      <c r="B3800" t="str">
        <f>"1551689086113786"</f>
        <v>1551689086113786</v>
      </c>
      <c r="C3800" t="s">
        <v>40</v>
      </c>
      <c r="D3800">
        <v>5.4752640000000001</v>
      </c>
      <c r="E3800">
        <v>0.46719490000000002</v>
      </c>
      <c r="F3800" t="s">
        <v>41</v>
      </c>
      <c r="G3800">
        <v>-192.84540000000001</v>
      </c>
      <c r="H3800">
        <v>1.017922</v>
      </c>
      <c r="I3800">
        <v>158.17679999999999</v>
      </c>
      <c r="J3800">
        <v>-192.69489999999999</v>
      </c>
      <c r="K3800">
        <v>1.106735</v>
      </c>
      <c r="L3800">
        <v>158.76910000000001</v>
      </c>
      <c r="M3800">
        <v>-0.26700600000000002</v>
      </c>
      <c r="N3800">
        <v>-1.371615E-2</v>
      </c>
      <c r="O3800">
        <v>-0.96359720000000004</v>
      </c>
      <c r="P3800">
        <v>-0.30901139999999999</v>
      </c>
      <c r="Q3800">
        <v>0.39805230000000003</v>
      </c>
      <c r="R3800">
        <v>-0.86375149999999901</v>
      </c>
      <c r="S3800">
        <v>-0.87846369999999896</v>
      </c>
      <c r="T3800">
        <v>-0.40285769999999999</v>
      </c>
      <c r="U3800">
        <v>-3.3419650000000001</v>
      </c>
      <c r="V3800">
        <v>7.1637800000000001E-2</v>
      </c>
      <c r="W3800">
        <v>0.40980309999999998</v>
      </c>
      <c r="X3800">
        <v>0.90935659999999896</v>
      </c>
      <c r="Y3800">
        <v>-1.4530939999999999E-2</v>
      </c>
      <c r="Z3800">
        <v>9.8227320000000007E-2</v>
      </c>
      <c r="AA3800">
        <v>0.99505790000000005</v>
      </c>
      <c r="AB3800">
        <v>27</v>
      </c>
      <c r="AC3800">
        <v>-0.15050000000002201</v>
      </c>
      <c r="AD3800">
        <v>-8.8813000000000003E-2</v>
      </c>
      <c r="AE3800">
        <v>-0.59230000000002203</v>
      </c>
      <c r="AF3800">
        <v>-1.2855989775392001E-2</v>
      </c>
      <c r="AG3800">
        <v>-8.8813000000000003E-2</v>
      </c>
      <c r="AH3800">
        <v>0.59834340188940405</v>
      </c>
      <c r="AI3800">
        <v>98.440933688789201</v>
      </c>
      <c r="AJ3800">
        <v>91.2308661478598</v>
      </c>
      <c r="AK3800">
        <v>0.60503541386160997</v>
      </c>
      <c r="AL3800">
        <v>65.807533304223696</v>
      </c>
      <c r="AM3800">
        <v>85.495623987640897</v>
      </c>
      <c r="AN3800">
        <v>0.99999999056100397</v>
      </c>
    </row>
    <row r="3801" spans="1:40" x14ac:dyDescent="0.25">
      <c r="A3801" t="str">
        <f>"20190304164446151"</f>
        <v>20190304164446151</v>
      </c>
      <c r="B3801" t="str">
        <f>"1551689086144041"</f>
        <v>1551689086144041</v>
      </c>
      <c r="C3801" t="s">
        <v>40</v>
      </c>
      <c r="D3801">
        <v>5.9867169999999996</v>
      </c>
      <c r="E3801">
        <v>0.46950900000000001</v>
      </c>
      <c r="F3801" t="s">
        <v>41</v>
      </c>
      <c r="G3801">
        <v>-192.91380000000001</v>
      </c>
      <c r="H3801">
        <v>1.008203</v>
      </c>
      <c r="I3801">
        <v>157.9495</v>
      </c>
      <c r="J3801">
        <v>-192.79929999999999</v>
      </c>
      <c r="K3801">
        <v>1.1065499999999999</v>
      </c>
      <c r="L3801">
        <v>158.4281</v>
      </c>
      <c r="M3801">
        <v>-0.275225</v>
      </c>
      <c r="N3801">
        <v>-1.3733270000000001E-2</v>
      </c>
      <c r="O3801">
        <v>-0.96128190000000002</v>
      </c>
      <c r="P3801">
        <v>-0.31940610000000003</v>
      </c>
      <c r="Q3801">
        <v>0.3998371</v>
      </c>
      <c r="R3801">
        <v>-0.8591337</v>
      </c>
      <c r="S3801">
        <v>-0.89163210000000004</v>
      </c>
      <c r="T3801">
        <v>-0.4012655</v>
      </c>
      <c r="U3801">
        <v>-3.3391419999999998</v>
      </c>
      <c r="V3801">
        <v>7.5292129999999999E-2</v>
      </c>
      <c r="W3801">
        <v>0.41151700000000002</v>
      </c>
      <c r="X3801">
        <v>0.90828679999999995</v>
      </c>
      <c r="Y3801">
        <v>-1.9174360000000001E-2</v>
      </c>
      <c r="Z3801">
        <v>9.7430779999999995E-2</v>
      </c>
      <c r="AA3801">
        <v>0.99505759999999999</v>
      </c>
      <c r="AB3801">
        <v>27</v>
      </c>
      <c r="AC3801">
        <v>-0.11450000000002</v>
      </c>
      <c r="AD3801">
        <v>-9.8346999999999907E-2</v>
      </c>
      <c r="AE3801">
        <v>-0.47860000000000003</v>
      </c>
      <c r="AF3801">
        <v>-2.0826155736528001E-2</v>
      </c>
      <c r="AG3801">
        <v>-9.8346999999999907E-2</v>
      </c>
      <c r="AH3801">
        <v>0.47274765806928998</v>
      </c>
      <c r="AI3801">
        <v>101.740712154242</v>
      </c>
      <c r="AJ3801">
        <v>92.522444667054401</v>
      </c>
      <c r="AK3801">
        <v>0.48331791750540398</v>
      </c>
      <c r="AL3801">
        <v>65.699834687077001</v>
      </c>
      <c r="AM3801">
        <v>85.2613197217551</v>
      </c>
      <c r="AN3801">
        <v>1.00000002859158</v>
      </c>
    </row>
    <row r="3802" spans="1:40" x14ac:dyDescent="0.25">
      <c r="A3802" t="str">
        <f>"20190304164446164"</f>
        <v>20190304164446164</v>
      </c>
      <c r="B3802" t="str">
        <f>"1551689086153801"</f>
        <v>1551689086153801</v>
      </c>
      <c r="C3802" t="s">
        <v>40</v>
      </c>
      <c r="D3802">
        <v>5.5419700000000001</v>
      </c>
      <c r="E3802">
        <v>0.46950900000000001</v>
      </c>
      <c r="F3802" t="s">
        <v>41</v>
      </c>
      <c r="G3802">
        <v>-193.0018</v>
      </c>
      <c r="H3802">
        <v>1.0206789999999999</v>
      </c>
      <c r="I3802">
        <v>157.71799999999999</v>
      </c>
      <c r="J3802">
        <v>-192.84209999999999</v>
      </c>
      <c r="K3802">
        <v>1.1064719999999999</v>
      </c>
      <c r="L3802">
        <v>158.29230000000001</v>
      </c>
      <c r="M3802">
        <v>-0.27862550000000003</v>
      </c>
      <c r="N3802">
        <v>-1.3741369999999999E-2</v>
      </c>
      <c r="O3802">
        <v>-0.96030159999999998</v>
      </c>
      <c r="P3802">
        <v>-0.32312829999999998</v>
      </c>
      <c r="Q3802">
        <v>0.4000359</v>
      </c>
      <c r="R3802">
        <v>-0.85764789999999902</v>
      </c>
      <c r="S3802">
        <v>-0.94807430000000004</v>
      </c>
      <c r="T3802">
        <v>-0.40202070000000001</v>
      </c>
      <c r="U3802">
        <v>-3.3265229999999999</v>
      </c>
      <c r="V3802">
        <v>7.6125849999999995E-2</v>
      </c>
      <c r="W3802">
        <v>0.41169860000000003</v>
      </c>
      <c r="X3802">
        <v>0.90813489999999997</v>
      </c>
      <c r="Y3802">
        <v>-6.1072100000000001E-3</v>
      </c>
      <c r="Z3802">
        <v>9.7670759999999995E-2</v>
      </c>
      <c r="AA3802">
        <v>0.99519999999999997</v>
      </c>
      <c r="AB3802">
        <v>27</v>
      </c>
      <c r="AC3802">
        <v>-0.159700000000015</v>
      </c>
      <c r="AD3802">
        <v>-8.5792999999999703E-2</v>
      </c>
      <c r="AE3802">
        <v>-0.57430000000002202</v>
      </c>
      <c r="AF3802">
        <v>-6.5200266236092302E-3</v>
      </c>
      <c r="AG3802">
        <v>-8.5792999999999703E-2</v>
      </c>
      <c r="AH3802">
        <v>0.58395743421365898</v>
      </c>
      <c r="AI3802">
        <v>98.357392181181893</v>
      </c>
      <c r="AJ3802">
        <v>90.639694716962893</v>
      </c>
      <c r="AK3802">
        <v>0.59026200501944204</v>
      </c>
      <c r="AL3802">
        <v>65.688415485040807</v>
      </c>
      <c r="AM3802">
        <v>85.2082929597684</v>
      </c>
      <c r="AN3802">
        <v>0.99999993943909404</v>
      </c>
    </row>
    <row r="3803" spans="1:40" x14ac:dyDescent="0.25">
      <c r="A3803" t="str">
        <f>"20190304164446186"</f>
        <v>20190304164446186</v>
      </c>
      <c r="B3803" t="str">
        <f>"1551689086184057"</f>
        <v>1551689086184057</v>
      </c>
      <c r="C3803" t="s">
        <v>40</v>
      </c>
      <c r="D3803">
        <v>5.5800280000000004</v>
      </c>
      <c r="E3803">
        <v>0.55680269999999898</v>
      </c>
      <c r="F3803" t="s">
        <v>41</v>
      </c>
      <c r="G3803">
        <v>-193.0735</v>
      </c>
      <c r="H3803">
        <v>1.009935</v>
      </c>
      <c r="I3803">
        <v>157.49260000000001</v>
      </c>
      <c r="J3803">
        <v>-192.9248</v>
      </c>
      <c r="K3803">
        <v>1.10632</v>
      </c>
      <c r="L3803">
        <v>158.03399999999999</v>
      </c>
      <c r="M3803">
        <v>-0.28523530000000002</v>
      </c>
      <c r="N3803">
        <v>-1.3757220000000001E-2</v>
      </c>
      <c r="O3803">
        <v>-0.95835890000000001</v>
      </c>
      <c r="P3803">
        <v>-0.33001560000000002</v>
      </c>
      <c r="Q3803">
        <v>0.40018150000000002</v>
      </c>
      <c r="R3803">
        <v>-0.85495339999999997</v>
      </c>
      <c r="S3803">
        <v>-0.96165469999999997</v>
      </c>
      <c r="T3803">
        <v>-0.401086</v>
      </c>
      <c r="U3803">
        <v>-3.3226930000000001</v>
      </c>
      <c r="V3803">
        <v>7.7350360000000007E-2</v>
      </c>
      <c r="W3803">
        <v>0.4118156</v>
      </c>
      <c r="X3803">
        <v>0.90797850000000002</v>
      </c>
      <c r="Y3803">
        <v>-8.9228989999999998E-3</v>
      </c>
      <c r="Z3803">
        <v>9.7148200000000004E-2</v>
      </c>
      <c r="AA3803">
        <v>0.9952299</v>
      </c>
      <c r="AB3803">
        <v>27</v>
      </c>
      <c r="AC3803">
        <v>-0.14869999999999001</v>
      </c>
      <c r="AD3803">
        <v>-9.6384999999999901E-2</v>
      </c>
      <c r="AE3803">
        <v>-0.54139999999998101</v>
      </c>
      <c r="AF3803">
        <v>-1.1578322986651301E-2</v>
      </c>
      <c r="AG3803">
        <v>-9.6384999999999901E-2</v>
      </c>
      <c r="AH3803">
        <v>0.54525379070980196</v>
      </c>
      <c r="AI3803">
        <v>100.022451985027</v>
      </c>
      <c r="AJ3803">
        <v>91.216478213862501</v>
      </c>
      <c r="AK3803">
        <v>0.55382833267321296</v>
      </c>
      <c r="AL3803">
        <v>65.681062502853294</v>
      </c>
      <c r="AM3803">
        <v>85.130749719389698</v>
      </c>
      <c r="AN3803">
        <v>1.00000006152886</v>
      </c>
    </row>
    <row r="3804" spans="1:40" x14ac:dyDescent="0.25">
      <c r="A3804" t="str">
        <f>"20190304164446209"</f>
        <v>20190304164446209</v>
      </c>
      <c r="B3804" t="str">
        <f>"1551689086203577"</f>
        <v>1551689086203577</v>
      </c>
      <c r="C3804" t="s">
        <v>40</v>
      </c>
      <c r="D3804">
        <v>5.4897169999999997</v>
      </c>
      <c r="E3804">
        <v>0.55659639999999999</v>
      </c>
      <c r="F3804" t="s">
        <v>41</v>
      </c>
      <c r="G3804">
        <v>-193.2971</v>
      </c>
      <c r="H3804">
        <v>0.96670409999999996</v>
      </c>
      <c r="I3804">
        <v>157.3297</v>
      </c>
      <c r="J3804">
        <v>-193.0086</v>
      </c>
      <c r="K3804">
        <v>1.1061799999999999</v>
      </c>
      <c r="L3804">
        <v>157.779</v>
      </c>
      <c r="M3804">
        <v>-0.29196919999999998</v>
      </c>
      <c r="N3804">
        <v>-1.377393E-2</v>
      </c>
      <c r="O3804">
        <v>-0.95632879999999998</v>
      </c>
      <c r="P3804">
        <v>-0.3364065</v>
      </c>
      <c r="Q3804">
        <v>0.40016790000000002</v>
      </c>
      <c r="R3804">
        <v>-0.85246520000000003</v>
      </c>
      <c r="S3804">
        <v>-1.668579</v>
      </c>
      <c r="T3804">
        <v>-0.62567379999999995</v>
      </c>
      <c r="U3804">
        <v>-3.1577760000000001</v>
      </c>
      <c r="V3804">
        <v>7.7907870000000004E-2</v>
      </c>
      <c r="W3804">
        <v>0.4117847</v>
      </c>
      <c r="X3804">
        <v>0.9079448</v>
      </c>
      <c r="Y3804">
        <v>0.18239030000000001</v>
      </c>
      <c r="Z3804">
        <v>0.15718019999999999</v>
      </c>
      <c r="AA3804">
        <v>0.97058140000000004</v>
      </c>
      <c r="AB3804">
        <v>27</v>
      </c>
      <c r="AC3804">
        <v>-0.28849999999999898</v>
      </c>
      <c r="AD3804">
        <v>-0.13947590000000001</v>
      </c>
      <c r="AE3804">
        <v>-0.44929999999999298</v>
      </c>
      <c r="AF3804">
        <v>0.135487985829536</v>
      </c>
      <c r="AG3804">
        <v>-0.13947590000000001</v>
      </c>
      <c r="AH3804">
        <v>0.48113106613602302</v>
      </c>
      <c r="AI3804">
        <v>105.591165856835</v>
      </c>
      <c r="AJ3804">
        <v>74.272617297500503</v>
      </c>
      <c r="AK3804">
        <v>0.51893894032548804</v>
      </c>
      <c r="AL3804">
        <v>65.683004183158999</v>
      </c>
      <c r="AM3804">
        <v>85.095643556182694</v>
      </c>
      <c r="AN3804">
        <v>1.0000000176045301</v>
      </c>
    </row>
    <row r="3805" spans="1:40" x14ac:dyDescent="0.25">
      <c r="A3805" t="str">
        <f>"20190304164446222"</f>
        <v>20190304164446222</v>
      </c>
      <c r="B3805" t="str">
        <f>"1551689086214313"</f>
        <v>1551689086214313</v>
      </c>
      <c r="C3805" t="s">
        <v>40</v>
      </c>
      <c r="D3805">
        <v>5.486847</v>
      </c>
      <c r="E3805">
        <v>0.55645419999999901</v>
      </c>
      <c r="F3805" t="s">
        <v>41</v>
      </c>
      <c r="G3805">
        <v>-193.37270000000001</v>
      </c>
      <c r="H3805">
        <v>0.96995659999999895</v>
      </c>
      <c r="I3805">
        <v>157.10050000000001</v>
      </c>
      <c r="J3805">
        <v>-193.0592</v>
      </c>
      <c r="K3805">
        <v>1.106098</v>
      </c>
      <c r="L3805">
        <v>157.62860000000001</v>
      </c>
      <c r="M3805">
        <v>-0.29604399999999997</v>
      </c>
      <c r="N3805">
        <v>-1.378416E-2</v>
      </c>
      <c r="O3805">
        <v>-0.95507509999999995</v>
      </c>
      <c r="P3805">
        <v>-0.33975880000000003</v>
      </c>
      <c r="Q3805">
        <v>0.40003</v>
      </c>
      <c r="R3805">
        <v>-0.85119940000000005</v>
      </c>
      <c r="S3805">
        <v>-1.689697</v>
      </c>
      <c r="T3805">
        <v>-0.63217330000000005</v>
      </c>
      <c r="U3805">
        <v>-3.1491389999999999</v>
      </c>
      <c r="V3805">
        <v>7.767106E-2</v>
      </c>
      <c r="W3805">
        <v>0.41164519999999999</v>
      </c>
      <c r="X3805">
        <v>0.90802830000000001</v>
      </c>
      <c r="Y3805">
        <v>0.18423790000000001</v>
      </c>
      <c r="Z3805">
        <v>0.15870619999999999</v>
      </c>
      <c r="AA3805">
        <v>0.96998390000000001</v>
      </c>
      <c r="AB3805">
        <v>27</v>
      </c>
      <c r="AC3805">
        <v>-0.313500000000004</v>
      </c>
      <c r="AD3805">
        <v>-0.1361414</v>
      </c>
      <c r="AE3805">
        <v>-0.52809999999999402</v>
      </c>
      <c r="AF3805">
        <v>0.136386634361881</v>
      </c>
      <c r="AG3805">
        <v>-0.1361414</v>
      </c>
      <c r="AH3805">
        <v>0.56926736267955003</v>
      </c>
      <c r="AI3805">
        <v>103.09255532278</v>
      </c>
      <c r="AJ3805">
        <v>76.526874054621103</v>
      </c>
      <c r="AK3805">
        <v>0.60100010402549198</v>
      </c>
      <c r="AL3805">
        <v>65.6917737843781</v>
      </c>
      <c r="AM3805">
        <v>85.110925984221197</v>
      </c>
      <c r="AN3805">
        <v>0.99999997892272596</v>
      </c>
    </row>
    <row r="3806" spans="1:40" x14ac:dyDescent="0.25">
      <c r="A3806" t="str">
        <f>"20190304164446234"</f>
        <v>20190304164446234</v>
      </c>
      <c r="B3806" t="str">
        <f>"1551689086224074"</f>
        <v>1551689086224074</v>
      </c>
      <c r="C3806" t="s">
        <v>40</v>
      </c>
      <c r="D3806">
        <v>5.4964360000000001</v>
      </c>
      <c r="E3806">
        <v>0.55635570000000001</v>
      </c>
      <c r="F3806" t="s">
        <v>41</v>
      </c>
      <c r="G3806">
        <v>-193.4622</v>
      </c>
      <c r="H3806">
        <v>0.95559479999999997</v>
      </c>
      <c r="I3806">
        <v>156.88399999999999</v>
      </c>
      <c r="J3806">
        <v>-193.1052</v>
      </c>
      <c r="K3806">
        <v>1.1060239999999999</v>
      </c>
      <c r="L3806">
        <v>157.49299999999999</v>
      </c>
      <c r="M3806">
        <v>-0.29975259999999998</v>
      </c>
      <c r="N3806">
        <v>-1.379316E-2</v>
      </c>
      <c r="O3806">
        <v>-0.95391720000000002</v>
      </c>
      <c r="P3806">
        <v>-0.34305409999999997</v>
      </c>
      <c r="Q3806">
        <v>0.40017399999999997</v>
      </c>
      <c r="R3806">
        <v>-0.84980869999999997</v>
      </c>
      <c r="S3806">
        <v>-1.7005159999999999</v>
      </c>
      <c r="T3806">
        <v>-0.63486960000000003</v>
      </c>
      <c r="U3806">
        <v>-3.144028</v>
      </c>
      <c r="V3806">
        <v>7.775746E-2</v>
      </c>
      <c r="W3806">
        <v>0.41178209999999998</v>
      </c>
      <c r="X3806">
        <v>0.90795890000000001</v>
      </c>
      <c r="Y3806">
        <v>0.1836158</v>
      </c>
      <c r="Z3806">
        <v>0.15924269999999999</v>
      </c>
      <c r="AA3806">
        <v>0.97001389999999998</v>
      </c>
      <c r="AB3806">
        <v>27</v>
      </c>
      <c r="AC3806">
        <v>-0.35699999999999898</v>
      </c>
      <c r="AD3806">
        <v>-0.15042919999999901</v>
      </c>
      <c r="AE3806">
        <v>-0.60900000000000798</v>
      </c>
      <c r="AF3806">
        <v>0.15115047121587799</v>
      </c>
      <c r="AG3806">
        <v>-0.15042919999999901</v>
      </c>
      <c r="AH3806">
        <v>0.65812746310409398</v>
      </c>
      <c r="AI3806">
        <v>102.558807564369</v>
      </c>
      <c r="AJ3806">
        <v>77.065331972418406</v>
      </c>
      <c r="AK3806">
        <v>0.69181440202792199</v>
      </c>
      <c r="AL3806">
        <v>65.683168293923401</v>
      </c>
      <c r="AM3806">
        <v>85.105141570925596</v>
      </c>
      <c r="AN3806">
        <v>1.0000000422776301</v>
      </c>
    </row>
    <row r="3807" spans="1:40" x14ac:dyDescent="0.25">
      <c r="A3807" t="str">
        <f>"20190304164446246"</f>
        <v>20190304164446246</v>
      </c>
      <c r="B3807" t="str">
        <f>"1551689086233833"</f>
        <v>1551689086233833</v>
      </c>
      <c r="C3807" t="s">
        <v>40</v>
      </c>
      <c r="D3807">
        <v>5.4794029999999996</v>
      </c>
      <c r="E3807">
        <v>0.55635159999999995</v>
      </c>
      <c r="F3807" t="s">
        <v>41</v>
      </c>
      <c r="G3807">
        <v>-193.55430000000001</v>
      </c>
      <c r="H3807">
        <v>0.93923520000000005</v>
      </c>
      <c r="I3807">
        <v>156.6696</v>
      </c>
      <c r="J3807">
        <v>-193.15260000000001</v>
      </c>
      <c r="K3807">
        <v>1.105955</v>
      </c>
      <c r="L3807">
        <v>157.35640000000001</v>
      </c>
      <c r="M3807">
        <v>-0.30358069999999998</v>
      </c>
      <c r="N3807">
        <v>-1.3802790000000001E-2</v>
      </c>
      <c r="O3807">
        <v>-0.95270569999999999</v>
      </c>
      <c r="P3807">
        <v>-0.34647289999999997</v>
      </c>
      <c r="Q3807">
        <v>0.4000032</v>
      </c>
      <c r="R3807">
        <v>-0.8485009</v>
      </c>
      <c r="S3807">
        <v>-1.7119450000000001</v>
      </c>
      <c r="T3807">
        <v>-0.63570479999999996</v>
      </c>
      <c r="U3807">
        <v>-3.1385040000000002</v>
      </c>
      <c r="V3807">
        <v>7.7812859999999998E-2</v>
      </c>
      <c r="W3807">
        <v>0.41160780000000002</v>
      </c>
      <c r="X3807">
        <v>0.90803310000000004</v>
      </c>
      <c r="Y3807">
        <v>0.18310299999999999</v>
      </c>
      <c r="Z3807">
        <v>0.15928499999999901</v>
      </c>
      <c r="AA3807">
        <v>0.97010390000000002</v>
      </c>
      <c r="AB3807">
        <v>27</v>
      </c>
      <c r="AC3807">
        <v>-0.401700000000005</v>
      </c>
      <c r="AD3807">
        <v>-0.1667198</v>
      </c>
      <c r="AE3807">
        <v>-0.68680000000000496</v>
      </c>
      <c r="AF3807">
        <v>0.16689158941408899</v>
      </c>
      <c r="AG3807">
        <v>-0.1667198</v>
      </c>
      <c r="AH3807">
        <v>0.74368771093775898</v>
      </c>
      <c r="AI3807">
        <v>102.338519369724</v>
      </c>
      <c r="AJ3807">
        <v>77.351749965310802</v>
      </c>
      <c r="AK3807">
        <v>0.78020491265374903</v>
      </c>
      <c r="AL3807">
        <v>65.694124760229997</v>
      </c>
      <c r="AM3807">
        <v>85.102069404347205</v>
      </c>
      <c r="AN3807">
        <v>0.99999996644891398</v>
      </c>
    </row>
    <row r="3808" spans="1:40" x14ac:dyDescent="0.25">
      <c r="A3808" t="str">
        <f>"20190304164446263"</f>
        <v>20190304164446263</v>
      </c>
      <c r="B3808" t="str">
        <f>"1551689086254329"</f>
        <v>1551689086254329</v>
      </c>
      <c r="C3808" t="s">
        <v>40</v>
      </c>
      <c r="D3808">
        <v>5.4594760000000004</v>
      </c>
      <c r="E3808">
        <v>0.55634719999999904</v>
      </c>
      <c r="F3808" t="s">
        <v>41</v>
      </c>
      <c r="G3808">
        <v>-193.5394</v>
      </c>
      <c r="H3808">
        <v>0.96344909999999995</v>
      </c>
      <c r="I3808">
        <v>156.65369999999999</v>
      </c>
      <c r="J3808">
        <v>-193.22049999999999</v>
      </c>
      <c r="K3808">
        <v>1.1058520000000001</v>
      </c>
      <c r="L3808">
        <v>157.16319999999999</v>
      </c>
      <c r="M3808">
        <v>-0.30906040000000001</v>
      </c>
      <c r="N3808">
        <v>-1.381627E-2</v>
      </c>
      <c r="O3808">
        <v>-0.95094199999999995</v>
      </c>
      <c r="P3808">
        <v>-0.35201959999999999</v>
      </c>
      <c r="Q3808">
        <v>0.39990759999999997</v>
      </c>
      <c r="R3808">
        <v>-0.84626000000000001</v>
      </c>
      <c r="S3808">
        <v>-1.7237089999999999</v>
      </c>
      <c r="T3808">
        <v>-0.63495400000000002</v>
      </c>
      <c r="U3808">
        <v>-3.1311040000000001</v>
      </c>
      <c r="V3808">
        <v>7.8616110000000003E-2</v>
      </c>
      <c r="W3808">
        <v>0.41149649999999999</v>
      </c>
      <c r="X3808">
        <v>0.9080144</v>
      </c>
      <c r="Y3808">
        <v>0.18123880000000001</v>
      </c>
      <c r="Z3808">
        <v>0.1588735</v>
      </c>
      <c r="AA3808">
        <v>0.97052130000000003</v>
      </c>
      <c r="AB3808">
        <v>27</v>
      </c>
      <c r="AC3808">
        <v>-0.31890000000001301</v>
      </c>
      <c r="AD3808">
        <v>-0.1424029</v>
      </c>
      <c r="AE3808">
        <v>-0.50950000000000195</v>
      </c>
      <c r="AF3808">
        <v>0.13805425150310199</v>
      </c>
      <c r="AG3808">
        <v>-0.1424029</v>
      </c>
      <c r="AH3808">
        <v>0.552129688767108</v>
      </c>
      <c r="AI3808">
        <v>104.04770892768801</v>
      </c>
      <c r="AJ3808">
        <v>75.961624525262593</v>
      </c>
      <c r="AK3808">
        <v>0.58667261356275602</v>
      </c>
      <c r="AL3808">
        <v>65.701122850806897</v>
      </c>
      <c r="AM3808">
        <v>85.051657191585704</v>
      </c>
      <c r="AN3808">
        <v>1.0000000064355701</v>
      </c>
    </row>
    <row r="3809" spans="1:40" x14ac:dyDescent="0.25">
      <c r="A3809" t="str">
        <f>"20190304164446286"</f>
        <v>20190304164446286</v>
      </c>
      <c r="B3809" t="str">
        <f>"1551689086273849"</f>
        <v>1551689086273849</v>
      </c>
      <c r="C3809" t="s">
        <v>40</v>
      </c>
      <c r="D3809">
        <v>5.4550049999999999</v>
      </c>
      <c r="E3809">
        <v>0.55625669999999905</v>
      </c>
      <c r="F3809" t="s">
        <v>41</v>
      </c>
      <c r="G3809">
        <v>-193.62809999999999</v>
      </c>
      <c r="H3809">
        <v>0.95788879999999998</v>
      </c>
      <c r="I3809">
        <v>156.43350000000001</v>
      </c>
      <c r="J3809">
        <v>-193.3141</v>
      </c>
      <c r="K3809">
        <v>1.105721</v>
      </c>
      <c r="L3809">
        <v>156.9032</v>
      </c>
      <c r="M3809">
        <v>-0.31658570000000003</v>
      </c>
      <c r="N3809">
        <v>-1.3834320000000001E-2</v>
      </c>
      <c r="O3809">
        <v>-0.9484631</v>
      </c>
      <c r="P3809">
        <v>-0.36009760000000002</v>
      </c>
      <c r="Q3809">
        <v>0.39939140000000001</v>
      </c>
      <c r="R3809">
        <v>-0.8430995</v>
      </c>
      <c r="S3809">
        <v>-1.7411650000000001</v>
      </c>
      <c r="T3809">
        <v>-0.63201379999999996</v>
      </c>
      <c r="U3809">
        <v>-3.119415</v>
      </c>
      <c r="V3809">
        <v>8.0153349999999998E-2</v>
      </c>
      <c r="W3809">
        <v>0.41095589999999999</v>
      </c>
      <c r="X3809">
        <v>0.90812479999999995</v>
      </c>
      <c r="Y3809">
        <v>0.17921229999999999</v>
      </c>
      <c r="Z3809">
        <v>0.15784110000000001</v>
      </c>
      <c r="AA3809">
        <v>0.97106599999999998</v>
      </c>
      <c r="AB3809">
        <v>27</v>
      </c>
      <c r="AC3809">
        <v>-0.31399999999999201</v>
      </c>
      <c r="AD3809">
        <v>-0.147832199999999</v>
      </c>
      <c r="AE3809">
        <v>-0.46969999999998802</v>
      </c>
      <c r="AF3809">
        <v>0.13957560410025599</v>
      </c>
      <c r="AG3809">
        <v>-0.147832199999999</v>
      </c>
      <c r="AH3809">
        <v>0.51003463039018104</v>
      </c>
      <c r="AI3809">
        <v>105.619293213674</v>
      </c>
      <c r="AJ3809">
        <v>74.695200950500194</v>
      </c>
      <c r="AK3809">
        <v>0.54906377845751198</v>
      </c>
      <c r="AL3809">
        <v>65.735102430373601</v>
      </c>
      <c r="AM3809">
        <v>84.956003143458702</v>
      </c>
      <c r="AN3809">
        <v>0.99999998181803595</v>
      </c>
    </row>
    <row r="3810" spans="1:40" x14ac:dyDescent="0.25">
      <c r="A3810" t="str">
        <f>"20190304164446300"</f>
        <v>20190304164446300</v>
      </c>
      <c r="B3810" t="str">
        <f>"1551689086293370"</f>
        <v>1551689086293370</v>
      </c>
      <c r="C3810" t="s">
        <v>40</v>
      </c>
      <c r="D3810">
        <v>5.4589160000000003</v>
      </c>
      <c r="E3810">
        <v>0.55613669999999904</v>
      </c>
      <c r="F3810" t="s">
        <v>41</v>
      </c>
      <c r="G3810">
        <v>-193.71090000000001</v>
      </c>
      <c r="H3810">
        <v>0.96373889999999995</v>
      </c>
      <c r="I3810">
        <v>156.2063</v>
      </c>
      <c r="J3810">
        <v>-193.36410000000001</v>
      </c>
      <c r="K3810">
        <v>1.1056509999999999</v>
      </c>
      <c r="L3810">
        <v>156.767</v>
      </c>
      <c r="M3810">
        <v>-0.32059070000000001</v>
      </c>
      <c r="N3810">
        <v>-1.3843579999999999E-2</v>
      </c>
      <c r="O3810">
        <v>-0.94711699999999999</v>
      </c>
      <c r="P3810">
        <v>-0.36453730000000001</v>
      </c>
      <c r="Q3810">
        <v>0.39872010000000002</v>
      </c>
      <c r="R3810">
        <v>-0.84150809999999998</v>
      </c>
      <c r="S3810">
        <v>-1.76709</v>
      </c>
      <c r="T3810">
        <v>-0.63242719999999997</v>
      </c>
      <c r="U3810">
        <v>-3.1031650000000002</v>
      </c>
      <c r="V3810">
        <v>8.1058740000000004E-2</v>
      </c>
      <c r="W3810">
        <v>0.41027239999999998</v>
      </c>
      <c r="X3810">
        <v>0.90835350000000004</v>
      </c>
      <c r="Y3810">
        <v>0.18334339999999999</v>
      </c>
      <c r="Z3810">
        <v>0.1579914</v>
      </c>
      <c r="AA3810">
        <v>0.97026999999999997</v>
      </c>
      <c r="AB3810">
        <v>27</v>
      </c>
      <c r="AC3810">
        <v>-0.346800000000001</v>
      </c>
      <c r="AD3810">
        <v>-0.14191209999999899</v>
      </c>
      <c r="AE3810">
        <v>-0.56069999999999698</v>
      </c>
      <c r="AF3810">
        <v>0.142133634163706</v>
      </c>
      <c r="AG3810">
        <v>-0.14191209999999899</v>
      </c>
      <c r="AH3810">
        <v>0.613848967934157</v>
      </c>
      <c r="AI3810">
        <v>102.69267381853599</v>
      </c>
      <c r="AJ3810">
        <v>76.963191695815595</v>
      </c>
      <c r="AK3810">
        <v>0.64587271928826795</v>
      </c>
      <c r="AL3810">
        <v>65.778052857137098</v>
      </c>
      <c r="AM3810">
        <v>84.900603887947199</v>
      </c>
      <c r="AN3810">
        <v>1.00000002124719</v>
      </c>
    </row>
    <row r="3811" spans="1:40" x14ac:dyDescent="0.25">
      <c r="A3811" t="str">
        <f>"20190304164446310"</f>
        <v>20190304164446310</v>
      </c>
      <c r="B3811" t="str">
        <f>"1551689086304106"</f>
        <v>1551689086304106</v>
      </c>
      <c r="C3811" t="s">
        <v>40</v>
      </c>
      <c r="D3811">
        <v>5.5365729999999997</v>
      </c>
      <c r="E3811">
        <v>0.55604390000000004</v>
      </c>
      <c r="F3811" t="s">
        <v>41</v>
      </c>
      <c r="G3811">
        <v>-193.80850000000001</v>
      </c>
      <c r="H3811">
        <v>0.94718219999999997</v>
      </c>
      <c r="I3811">
        <v>155.995</v>
      </c>
      <c r="J3811">
        <v>-193.4194</v>
      </c>
      <c r="K3811">
        <v>1.1055790000000001</v>
      </c>
      <c r="L3811">
        <v>156.6183</v>
      </c>
      <c r="M3811">
        <v>-0.32501149999999901</v>
      </c>
      <c r="N3811">
        <v>-1.3853600000000001E-2</v>
      </c>
      <c r="O3811">
        <v>-0.94560869999999997</v>
      </c>
      <c r="P3811">
        <v>-0.36963780000000002</v>
      </c>
      <c r="Q3811">
        <v>0.39792739999999999</v>
      </c>
      <c r="R3811">
        <v>-0.83965599999999996</v>
      </c>
      <c r="S3811">
        <v>-1.7805789999999999</v>
      </c>
      <c r="T3811">
        <v>-0.63481299999999996</v>
      </c>
      <c r="U3811">
        <v>-3.0944669999999999</v>
      </c>
      <c r="V3811">
        <v>8.2265900000000003E-2</v>
      </c>
      <c r="W3811">
        <v>0.40946470000000001</v>
      </c>
      <c r="X3811">
        <v>0.90860940000000001</v>
      </c>
      <c r="Y3811">
        <v>0.18306069999999999</v>
      </c>
      <c r="Z3811">
        <v>0.1584767</v>
      </c>
      <c r="AA3811">
        <v>0.9702442</v>
      </c>
      <c r="AB3811">
        <v>27</v>
      </c>
      <c r="AC3811">
        <v>-0.38910000000001299</v>
      </c>
      <c r="AD3811">
        <v>-0.1583968</v>
      </c>
      <c r="AE3811">
        <v>-0.62329999999999997</v>
      </c>
      <c r="AF3811">
        <v>0.158028837801723</v>
      </c>
      <c r="AG3811">
        <v>-0.1583968</v>
      </c>
      <c r="AH3811">
        <v>0.68413629464486203</v>
      </c>
      <c r="AI3811">
        <v>102.71244844374699</v>
      </c>
      <c r="AJ3811">
        <v>76.993358695568901</v>
      </c>
      <c r="AK3811">
        <v>0.71979519967668903</v>
      </c>
      <c r="AL3811">
        <v>65.828788250288099</v>
      </c>
      <c r="AM3811">
        <v>84.826520475350804</v>
      </c>
      <c r="AN3811">
        <v>1.0000000303086201</v>
      </c>
    </row>
    <row r="3812" spans="1:40" x14ac:dyDescent="0.25">
      <c r="A3812" t="str">
        <f>"20190304164446322"</f>
        <v>20190304164446322</v>
      </c>
      <c r="B3812" t="str">
        <f>"1551689086313866"</f>
        <v>1551689086313866</v>
      </c>
      <c r="C3812" t="s">
        <v>40</v>
      </c>
      <c r="D3812">
        <v>5.5261940000000003</v>
      </c>
      <c r="E3812">
        <v>0.55594690000000002</v>
      </c>
      <c r="F3812" t="s">
        <v>41</v>
      </c>
      <c r="G3812">
        <v>-193.7928</v>
      </c>
      <c r="H3812">
        <v>0.97304860000000004</v>
      </c>
      <c r="I3812">
        <v>155.97749999999999</v>
      </c>
      <c r="J3812">
        <v>-193.4657</v>
      </c>
      <c r="K3812">
        <v>1.1055269999999999</v>
      </c>
      <c r="L3812">
        <v>156.49629999999999</v>
      </c>
      <c r="M3812">
        <v>-0.32868839999999999</v>
      </c>
      <c r="N3812">
        <v>-1.38619E-2</v>
      </c>
      <c r="O3812">
        <v>-0.94433659999999997</v>
      </c>
      <c r="P3812">
        <v>-0.37404969999999998</v>
      </c>
      <c r="Q3812">
        <v>0.39721980000000001</v>
      </c>
      <c r="R3812">
        <v>-0.83803499999999997</v>
      </c>
      <c r="S3812">
        <v>-1.7962340000000001</v>
      </c>
      <c r="T3812">
        <v>-0.637298699999999</v>
      </c>
      <c r="U3812">
        <v>-3.0841980000000002</v>
      </c>
      <c r="V3812">
        <v>8.3446320000000004E-2</v>
      </c>
      <c r="W3812">
        <v>0.40874240000000001</v>
      </c>
      <c r="X3812">
        <v>0.90882689999999999</v>
      </c>
      <c r="Y3812">
        <v>0.18426029999999999</v>
      </c>
      <c r="Z3812">
        <v>0.15906979999999901</v>
      </c>
      <c r="AA3812">
        <v>0.96992009999999995</v>
      </c>
      <c r="AB3812">
        <v>27</v>
      </c>
      <c r="AC3812">
        <v>-0.327100000000001</v>
      </c>
      <c r="AD3812">
        <v>-0.1324784</v>
      </c>
      <c r="AE3812">
        <v>-0.51879999999999804</v>
      </c>
      <c r="AF3812">
        <v>0.13221337836502201</v>
      </c>
      <c r="AG3812">
        <v>-0.1324784</v>
      </c>
      <c r="AH3812">
        <v>0.57085784268591899</v>
      </c>
      <c r="AI3812">
        <v>102.739513843021</v>
      </c>
      <c r="AJ3812">
        <v>76.959941203595605</v>
      </c>
      <c r="AK3812">
        <v>0.60075750552221496</v>
      </c>
      <c r="AL3812">
        <v>65.874140853709093</v>
      </c>
      <c r="AM3812">
        <v>84.753947316406396</v>
      </c>
      <c r="AN3812">
        <v>0.99999998602145601</v>
      </c>
    </row>
    <row r="3813" spans="1:40" x14ac:dyDescent="0.25">
      <c r="A3813" t="str">
        <f>"20190304164446342"</f>
        <v>20190304164446342</v>
      </c>
      <c r="B3813" t="str">
        <f>"1551689086333390"</f>
        <v>1551689086333390</v>
      </c>
      <c r="C3813" t="s">
        <v>40</v>
      </c>
      <c r="D3813">
        <v>5.4481479999999998</v>
      </c>
      <c r="E3813">
        <v>0.55576910000000002</v>
      </c>
      <c r="F3813" t="s">
        <v>41</v>
      </c>
      <c r="G3813">
        <v>-193.8937</v>
      </c>
      <c r="H3813">
        <v>0.95433630000000003</v>
      </c>
      <c r="I3813">
        <v>155.7688</v>
      </c>
      <c r="J3813">
        <v>-193.55099999999999</v>
      </c>
      <c r="K3813">
        <v>1.1054389999999901</v>
      </c>
      <c r="L3813">
        <v>156.2747</v>
      </c>
      <c r="M3813">
        <v>-0.33543230000000002</v>
      </c>
      <c r="N3813">
        <v>-1.3876670000000001E-2</v>
      </c>
      <c r="O3813">
        <v>-0.94196219999999997</v>
      </c>
      <c r="P3813">
        <v>-0.38276640000000001</v>
      </c>
      <c r="Q3813">
        <v>0.39634950000000002</v>
      </c>
      <c r="R3813">
        <v>-0.83450429999999998</v>
      </c>
      <c r="S3813">
        <v>-1.8087009999999999</v>
      </c>
      <c r="T3813">
        <v>-0.63884779999999997</v>
      </c>
      <c r="U3813">
        <v>-3.0752869999999999</v>
      </c>
      <c r="V3813">
        <v>8.6373920000000007E-2</v>
      </c>
      <c r="W3813">
        <v>0.40782960000000001</v>
      </c>
      <c r="X3813">
        <v>0.90896339999999998</v>
      </c>
      <c r="Y3813">
        <v>0.1813652</v>
      </c>
      <c r="Z3813">
        <v>0.15917129999999999</v>
      </c>
      <c r="AA3813">
        <v>0.97044900000000001</v>
      </c>
      <c r="AB3813">
        <v>27</v>
      </c>
      <c r="AC3813">
        <v>-0.342700000000007</v>
      </c>
      <c r="AD3813">
        <v>-0.15110269999999901</v>
      </c>
      <c r="AE3813">
        <v>-0.50589999999999602</v>
      </c>
      <c r="AF3813">
        <v>0.14430569989400299</v>
      </c>
      <c r="AG3813">
        <v>-0.15110269999999901</v>
      </c>
      <c r="AH3813">
        <v>0.55745964159751205</v>
      </c>
      <c r="AI3813">
        <v>104.703290178738</v>
      </c>
      <c r="AJ3813">
        <v>75.486818628973893</v>
      </c>
      <c r="AK3813">
        <v>0.59532966747778904</v>
      </c>
      <c r="AL3813">
        <v>65.931432312957696</v>
      </c>
      <c r="AM3813">
        <v>84.571788355051694</v>
      </c>
      <c r="AN3813">
        <v>0.99999994961594196</v>
      </c>
    </row>
    <row r="3814" spans="1:40" x14ac:dyDescent="0.25">
      <c r="A3814" t="str">
        <f>"20190304164446354"</f>
        <v>20190304164446354</v>
      </c>
      <c r="B3814" t="str">
        <f>"1551689086344122"</f>
        <v>1551689086344122</v>
      </c>
      <c r="C3814" t="s">
        <v>40</v>
      </c>
      <c r="D3814">
        <v>5.5218930000000004</v>
      </c>
      <c r="E3814">
        <v>0.55570739999999996</v>
      </c>
      <c r="F3814" t="s">
        <v>41</v>
      </c>
      <c r="G3814">
        <v>-193.9862</v>
      </c>
      <c r="H3814">
        <v>0.95343109999999998</v>
      </c>
      <c r="I3814">
        <v>155.54900000000001</v>
      </c>
      <c r="J3814">
        <v>-193.60159999999999</v>
      </c>
      <c r="K3814">
        <v>1.105391</v>
      </c>
      <c r="L3814">
        <v>156.14490000000001</v>
      </c>
      <c r="M3814">
        <v>-0.3394162</v>
      </c>
      <c r="N3814">
        <v>-1.3885079999999999E-2</v>
      </c>
      <c r="O3814">
        <v>-0.94053390000000003</v>
      </c>
      <c r="P3814">
        <v>-0.38757009999999997</v>
      </c>
      <c r="Q3814">
        <v>0.39622230000000003</v>
      </c>
      <c r="R3814">
        <v>-0.832345</v>
      </c>
      <c r="S3814">
        <v>-1.8338620000000001</v>
      </c>
      <c r="T3814">
        <v>-0.64054319999999998</v>
      </c>
      <c r="U3814">
        <v>-3.0579990000000001</v>
      </c>
      <c r="V3814">
        <v>8.7798979999999999E-2</v>
      </c>
      <c r="W3814">
        <v>0.40767979999999998</v>
      </c>
      <c r="X3814">
        <v>0.90889410000000004</v>
      </c>
      <c r="Y3814">
        <v>0.18543660000000001</v>
      </c>
      <c r="Z3814">
        <v>0.15967819999999999</v>
      </c>
      <c r="AA3814">
        <v>0.96959580000000001</v>
      </c>
      <c r="AB3814">
        <v>26</v>
      </c>
      <c r="AC3814">
        <v>-0.38460000000000599</v>
      </c>
      <c r="AD3814">
        <v>-0.15195990000000001</v>
      </c>
      <c r="AE3814">
        <v>-0.59589999999999999</v>
      </c>
      <c r="AF3814">
        <v>0.15248640771709801</v>
      </c>
      <c r="AG3814">
        <v>-0.15195990000000001</v>
      </c>
      <c r="AH3814">
        <v>0.66073776249906002</v>
      </c>
      <c r="AI3814">
        <v>102.631015206193</v>
      </c>
      <c r="AJ3814">
        <v>77.0046864870002</v>
      </c>
      <c r="AK3814">
        <v>0.69492323787504695</v>
      </c>
      <c r="AL3814">
        <v>65.940832990779299</v>
      </c>
      <c r="AM3814">
        <v>84.482359835863306</v>
      </c>
      <c r="AN3814">
        <v>0.99999998261594503</v>
      </c>
    </row>
    <row r="3815" spans="1:40" x14ac:dyDescent="0.25">
      <c r="A3815" t="str">
        <f>"20190304164446366"</f>
        <v>20190304164446366</v>
      </c>
      <c r="B3815" t="str">
        <f>"1551689086363642"</f>
        <v>1551689086363642</v>
      </c>
      <c r="C3815" t="s">
        <v>40</v>
      </c>
      <c r="D3815">
        <v>5.2972440000000001</v>
      </c>
      <c r="E3815">
        <v>0.55561890000000003</v>
      </c>
      <c r="F3815" t="s">
        <v>41</v>
      </c>
      <c r="G3815">
        <v>-194.08959999999999</v>
      </c>
      <c r="H3815">
        <v>0.93662559999999995</v>
      </c>
      <c r="I3815">
        <v>155.34100000000001</v>
      </c>
      <c r="J3815">
        <v>-193.66040000000001</v>
      </c>
      <c r="K3815">
        <v>1.1053440000000001</v>
      </c>
      <c r="L3815">
        <v>155.9973</v>
      </c>
      <c r="M3815">
        <v>-0.34400609999999998</v>
      </c>
      <c r="N3815">
        <v>-1.389462E-2</v>
      </c>
      <c r="O3815">
        <v>-0.93886460000000005</v>
      </c>
      <c r="P3815">
        <v>-0.3926441</v>
      </c>
      <c r="Q3815">
        <v>0.39577489999999999</v>
      </c>
      <c r="R3815">
        <v>-0.83017659999999904</v>
      </c>
      <c r="S3815">
        <v>-1.8498540000000001</v>
      </c>
      <c r="T3815">
        <v>-0.639683</v>
      </c>
      <c r="U3815">
        <v>-3.0474549999999998</v>
      </c>
      <c r="V3815">
        <v>8.8882009999999997E-2</v>
      </c>
      <c r="W3815">
        <v>0.40721740000000001</v>
      </c>
      <c r="X3815">
        <v>0.90899620000000003</v>
      </c>
      <c r="Y3815">
        <v>0.18586920000000001</v>
      </c>
      <c r="Z3815">
        <v>0.15930939999999999</v>
      </c>
      <c r="AA3815">
        <v>0.96957369999999998</v>
      </c>
      <c r="AB3815">
        <v>26</v>
      </c>
      <c r="AC3815">
        <v>-0.42919999999997999</v>
      </c>
      <c r="AD3815">
        <v>-0.16871839999999999</v>
      </c>
      <c r="AE3815">
        <v>-0.656299999999987</v>
      </c>
      <c r="AF3815">
        <v>0.16936655224559699</v>
      </c>
      <c r="AG3815">
        <v>-0.16871839999999999</v>
      </c>
      <c r="AH3815">
        <v>0.73010134968431895</v>
      </c>
      <c r="AI3815">
        <v>102.68645815818201</v>
      </c>
      <c r="AJ3815">
        <v>76.939711970991297</v>
      </c>
      <c r="AK3815">
        <v>0.76824404216953401</v>
      </c>
      <c r="AL3815">
        <v>65.969845792350895</v>
      </c>
      <c r="AM3815">
        <v>84.415349030594996</v>
      </c>
      <c r="AN3815">
        <v>1.0000000570894101</v>
      </c>
    </row>
    <row r="3816" spans="1:40" x14ac:dyDescent="0.25">
      <c r="A3816" t="str">
        <f>"20190304164446388"</f>
        <v>20190304164446388</v>
      </c>
      <c r="B3816" t="str">
        <f>"1551689086384137"</f>
        <v>1551689086384137</v>
      </c>
      <c r="C3816" t="s">
        <v>40</v>
      </c>
      <c r="D3816">
        <v>5.2755749999999999</v>
      </c>
      <c r="E3816">
        <v>0.5586641</v>
      </c>
      <c r="F3816" t="s">
        <v>41</v>
      </c>
      <c r="G3816">
        <v>-194.07509999999999</v>
      </c>
      <c r="H3816">
        <v>0.96325620000000001</v>
      </c>
      <c r="I3816">
        <v>155.32320000000001</v>
      </c>
      <c r="J3816">
        <v>-193.7516</v>
      </c>
      <c r="K3816">
        <v>1.1052630000000001</v>
      </c>
      <c r="L3816">
        <v>155.7722</v>
      </c>
      <c r="M3816">
        <v>-0.3510606</v>
      </c>
      <c r="N3816">
        <v>-1.3908139999999999E-2</v>
      </c>
      <c r="O3816">
        <v>-0.93624949999999996</v>
      </c>
      <c r="P3816">
        <v>-0.40036919999999998</v>
      </c>
      <c r="Q3816">
        <v>0.39410289999999998</v>
      </c>
      <c r="R3816">
        <v>-0.82727719999999905</v>
      </c>
      <c r="S3816">
        <v>-1.8670040000000001</v>
      </c>
      <c r="T3816">
        <v>-0.63966669999999903</v>
      </c>
      <c r="U3816">
        <v>-3.0355989999999999</v>
      </c>
      <c r="V3816">
        <v>9.0290159999999994E-2</v>
      </c>
      <c r="W3816">
        <v>0.40553260000000002</v>
      </c>
      <c r="X3816">
        <v>0.90961040000000004</v>
      </c>
      <c r="Y3816">
        <v>0.18415909999999999</v>
      </c>
      <c r="Z3816">
        <v>0.15899530000000001</v>
      </c>
      <c r="AA3816">
        <v>0.96995149999999997</v>
      </c>
      <c r="AB3816">
        <v>26</v>
      </c>
      <c r="AC3816">
        <v>-0.32349999999999501</v>
      </c>
      <c r="AD3816">
        <v>-0.14200679999999899</v>
      </c>
      <c r="AE3816">
        <v>-0.44899999999998302</v>
      </c>
      <c r="AF3816">
        <v>0.13629021213943501</v>
      </c>
      <c r="AG3816">
        <v>-0.14200679999999899</v>
      </c>
      <c r="AH3816">
        <v>0.50100589509099502</v>
      </c>
      <c r="AI3816">
        <v>105.29653510588901</v>
      </c>
      <c r="AJ3816">
        <v>74.781904754368995</v>
      </c>
      <c r="AK3816">
        <v>0.53828232377367002</v>
      </c>
      <c r="AL3816">
        <v>66.075494146660105</v>
      </c>
      <c r="AM3816">
        <v>84.331249815302797</v>
      </c>
      <c r="AN3816">
        <v>1.0000000412218699</v>
      </c>
    </row>
    <row r="3817" spans="1:40" x14ac:dyDescent="0.25">
      <c r="A3817" t="str">
        <f>"20190304164446401"</f>
        <v>20190304164446401</v>
      </c>
      <c r="B3817" t="str">
        <f>"1551689086393897"</f>
        <v>1551689086393897</v>
      </c>
      <c r="C3817" t="s">
        <v>40</v>
      </c>
      <c r="D3817">
        <v>5.2819479999999999</v>
      </c>
      <c r="E3817">
        <v>0.55860669999999901</v>
      </c>
      <c r="F3817" t="s">
        <v>41</v>
      </c>
      <c r="G3817">
        <v>-194.1814</v>
      </c>
      <c r="H3817">
        <v>0.97725819999999997</v>
      </c>
      <c r="I3817">
        <v>155.10140000000001</v>
      </c>
      <c r="J3817">
        <v>-193.81710000000001</v>
      </c>
      <c r="K3817">
        <v>1.1052109999999999</v>
      </c>
      <c r="L3817">
        <v>155.61340000000001</v>
      </c>
      <c r="M3817">
        <v>-0.35608079999999998</v>
      </c>
      <c r="N3817">
        <v>-1.391707E-2</v>
      </c>
      <c r="O3817">
        <v>-0.93435170000000001</v>
      </c>
      <c r="P3817">
        <v>-0.40534350000000002</v>
      </c>
      <c r="Q3817">
        <v>0.3930573</v>
      </c>
      <c r="R3817">
        <v>-0.82535000000000003</v>
      </c>
      <c r="S3817">
        <v>-1.905243</v>
      </c>
      <c r="T3817">
        <v>-0.56711590000000001</v>
      </c>
      <c r="U3817">
        <v>-2.974472</v>
      </c>
      <c r="V3817">
        <v>9.0735930000000006E-2</v>
      </c>
      <c r="W3817">
        <v>0.40448669999999998</v>
      </c>
      <c r="X3817">
        <v>0.91003160000000005</v>
      </c>
      <c r="Y3817">
        <v>0.19813620000000001</v>
      </c>
      <c r="Z3817">
        <v>0.14156179999999999</v>
      </c>
      <c r="AA3817">
        <v>0.96989809999999999</v>
      </c>
      <c r="AB3817">
        <v>26</v>
      </c>
      <c r="AC3817">
        <v>-0.36429999999998502</v>
      </c>
      <c r="AD3817">
        <v>-0.12795280000000001</v>
      </c>
      <c r="AE3817">
        <v>-0.51200000000000001</v>
      </c>
      <c r="AF3817">
        <v>0.151792504842335</v>
      </c>
      <c r="AG3817">
        <v>-0.12795280000000001</v>
      </c>
      <c r="AH3817">
        <v>0.58395473809996501</v>
      </c>
      <c r="AI3817">
        <v>101.97315206353601</v>
      </c>
      <c r="AJ3817">
        <v>75.429067314469293</v>
      </c>
      <c r="AK3817">
        <v>0.61677874452963199</v>
      </c>
      <c r="AL3817">
        <v>66.141035034778994</v>
      </c>
      <c r="AM3817">
        <v>84.306065620218604</v>
      </c>
      <c r="AN3817">
        <v>1.0000000062342</v>
      </c>
    </row>
    <row r="3818" spans="1:40" x14ac:dyDescent="0.25">
      <c r="A3818" t="str">
        <f>"20190304164446422"</f>
        <v>20190304164446422</v>
      </c>
      <c r="B3818" t="str">
        <f>"1551689086413418"</f>
        <v>1551689086413418</v>
      </c>
      <c r="C3818" t="s">
        <v>40</v>
      </c>
      <c r="D3818">
        <v>5.2747260000000002</v>
      </c>
      <c r="E3818">
        <v>0.55837819999999905</v>
      </c>
      <c r="F3818" t="s">
        <v>41</v>
      </c>
      <c r="G3818">
        <v>-194.28569999999999</v>
      </c>
      <c r="H3818">
        <v>0.96632240000000003</v>
      </c>
      <c r="I3818">
        <v>154.89189999999999</v>
      </c>
      <c r="J3818">
        <v>-193.91040000000001</v>
      </c>
      <c r="K3818">
        <v>1.1051390000000001</v>
      </c>
      <c r="L3818">
        <v>155.39150000000001</v>
      </c>
      <c r="M3818">
        <v>-0.3631585</v>
      </c>
      <c r="N3818">
        <v>-1.392899E-2</v>
      </c>
      <c r="O3818">
        <v>-0.93162350000000005</v>
      </c>
      <c r="P3818">
        <v>-0.41273189999999998</v>
      </c>
      <c r="Q3818">
        <v>0.39029839999999999</v>
      </c>
      <c r="R3818">
        <v>-0.82299449999999996</v>
      </c>
      <c r="S3818">
        <v>-1.923019</v>
      </c>
      <c r="T3818">
        <v>-0.56988879999999997</v>
      </c>
      <c r="U3818">
        <v>-2.961792</v>
      </c>
      <c r="V3818">
        <v>9.1535809999999995E-2</v>
      </c>
      <c r="W3818">
        <v>0.40173140000000002</v>
      </c>
      <c r="X3818">
        <v>0.91117130000000002</v>
      </c>
      <c r="Y3818">
        <v>0.1966455</v>
      </c>
      <c r="Z3818">
        <v>0.14201340000000001</v>
      </c>
      <c r="AA3818">
        <v>0.97013550000000004</v>
      </c>
      <c r="AB3818">
        <v>26</v>
      </c>
      <c r="AC3818">
        <v>-0.37529999999998098</v>
      </c>
      <c r="AD3818">
        <v>-0.13881659999999901</v>
      </c>
      <c r="AE3818">
        <v>-0.49960000000001498</v>
      </c>
      <c r="AF3818">
        <v>0.16030880876842499</v>
      </c>
      <c r="AG3818">
        <v>-0.13881659999999901</v>
      </c>
      <c r="AH3818">
        <v>0.57348718519782305</v>
      </c>
      <c r="AI3818">
        <v>103.122452858713</v>
      </c>
      <c r="AJ3818">
        <v>74.382548464873807</v>
      </c>
      <c r="AK3818">
        <v>0.61143807060930899</v>
      </c>
      <c r="AL3818">
        <v>66.313539396739102</v>
      </c>
      <c r="AM3818">
        <v>84.263341506877694</v>
      </c>
      <c r="AN3818">
        <v>1.0000000301009999</v>
      </c>
    </row>
    <row r="3819" spans="1:40" x14ac:dyDescent="0.25">
      <c r="A3819" t="str">
        <f>"20190304164446432"</f>
        <v>20190304164446432</v>
      </c>
      <c r="B3819" t="str">
        <f>"1551689086424154"</f>
        <v>1551689086424154</v>
      </c>
      <c r="C3819" t="s">
        <v>40</v>
      </c>
      <c r="D3819">
        <v>5.4837400000000001</v>
      </c>
      <c r="E3819">
        <v>0.55837819999999905</v>
      </c>
      <c r="F3819" t="s">
        <v>41</v>
      </c>
      <c r="G3819">
        <v>-194.38399999999999</v>
      </c>
      <c r="H3819">
        <v>0.96498269999999997</v>
      </c>
      <c r="I3819">
        <v>154.67609999999999</v>
      </c>
      <c r="J3819">
        <v>-193.96420000000001</v>
      </c>
      <c r="K3819">
        <v>1.1051029999999999</v>
      </c>
      <c r="L3819">
        <v>155.26519999999999</v>
      </c>
      <c r="M3819">
        <v>-0.36720619999999998</v>
      </c>
      <c r="N3819">
        <v>-1.393553E-2</v>
      </c>
      <c r="O3819">
        <v>-0.93003530000000001</v>
      </c>
      <c r="P3819">
        <v>-0.41673080000000001</v>
      </c>
      <c r="Q3819">
        <v>0.3887101</v>
      </c>
      <c r="R3819">
        <v>-0.82173009999999902</v>
      </c>
      <c r="S3819">
        <v>-1.94693</v>
      </c>
      <c r="T3819">
        <v>-0.57605220000000001</v>
      </c>
      <c r="U3819">
        <v>-2.9420320000000002</v>
      </c>
      <c r="V3819">
        <v>9.173423E-2</v>
      </c>
      <c r="W3819">
        <v>0.40015000000000001</v>
      </c>
      <c r="X3819">
        <v>0.91184690000000002</v>
      </c>
      <c r="Y3819">
        <v>0.2006956</v>
      </c>
      <c r="Z3819">
        <v>0.1437629</v>
      </c>
      <c r="AA3819">
        <v>0.96904769999999896</v>
      </c>
      <c r="AB3819">
        <v>26</v>
      </c>
      <c r="AC3819">
        <v>-0.419800000000009</v>
      </c>
      <c r="AD3819">
        <v>-0.1401203</v>
      </c>
      <c r="AE3819">
        <v>-0.58910000000000196</v>
      </c>
      <c r="AF3819">
        <v>0.16782746168284901</v>
      </c>
      <c r="AG3819">
        <v>-0.1401203</v>
      </c>
      <c r="AH3819">
        <v>0.676713992877229</v>
      </c>
      <c r="AI3819">
        <v>101.363450844578</v>
      </c>
      <c r="AJ3819">
        <v>76.071467314310397</v>
      </c>
      <c r="AK3819">
        <v>0.71115510510917401</v>
      </c>
      <c r="AL3819">
        <v>66.412443469566597</v>
      </c>
      <c r="AM3819">
        <v>84.255220517040996</v>
      </c>
      <c r="AN3819">
        <v>0.99999998024665104</v>
      </c>
    </row>
    <row r="3820" spans="1:40" x14ac:dyDescent="0.25">
      <c r="A3820" t="str">
        <f>"20190304164446445"</f>
        <v>20190304164446445</v>
      </c>
      <c r="B3820" t="str">
        <f>"1551689086433914"</f>
        <v>1551689086433914</v>
      </c>
      <c r="C3820" t="s">
        <v>40</v>
      </c>
      <c r="D3820">
        <v>5.244211</v>
      </c>
      <c r="E3820">
        <v>0.55486729999999995</v>
      </c>
      <c r="F3820" t="s">
        <v>41</v>
      </c>
      <c r="G3820">
        <v>-194.36869999999999</v>
      </c>
      <c r="H3820">
        <v>0.98501609999999995</v>
      </c>
      <c r="I3820">
        <v>154.66050000000001</v>
      </c>
      <c r="J3820">
        <v>-194.0187</v>
      </c>
      <c r="K3820">
        <v>1.1050770000000001</v>
      </c>
      <c r="L3820">
        <v>155.14009999999999</v>
      </c>
      <c r="M3820">
        <v>-0.37125019999999997</v>
      </c>
      <c r="N3820">
        <v>-1.394169E-2</v>
      </c>
      <c r="O3820">
        <v>-0.92842820000000004</v>
      </c>
      <c r="P3820">
        <v>-0.42085400000000001</v>
      </c>
      <c r="Q3820">
        <v>0.38728319999999999</v>
      </c>
      <c r="R3820">
        <v>-0.82030099999999995</v>
      </c>
      <c r="S3820">
        <v>-1.9604490000000001</v>
      </c>
      <c r="T3820">
        <v>-0.58194449999999998</v>
      </c>
      <c r="U3820">
        <v>-2.9318849999999999</v>
      </c>
      <c r="V3820">
        <v>9.2099159999999999E-2</v>
      </c>
      <c r="W3820">
        <v>0.3987272</v>
      </c>
      <c r="X3820">
        <v>0.9124333</v>
      </c>
      <c r="Y3820">
        <v>0.20093620000000001</v>
      </c>
      <c r="Z3820">
        <v>0.14520449999999999</v>
      </c>
      <c r="AA3820">
        <v>0.9687829</v>
      </c>
      <c r="AB3820">
        <v>26</v>
      </c>
      <c r="AC3820">
        <v>-0.34999999999999398</v>
      </c>
      <c r="AD3820">
        <v>-0.1200609</v>
      </c>
      <c r="AE3820">
        <v>-0.47959999999997599</v>
      </c>
      <c r="AF3820">
        <v>0.14114119508218201</v>
      </c>
      <c r="AG3820">
        <v>-0.1200609</v>
      </c>
      <c r="AH3820">
        <v>0.552668655721966</v>
      </c>
      <c r="AI3820">
        <v>101.886285983392</v>
      </c>
      <c r="AJ3820">
        <v>75.673941354259</v>
      </c>
      <c r="AK3820">
        <v>0.58290488046984301</v>
      </c>
      <c r="AL3820">
        <v>66.501368333299894</v>
      </c>
      <c r="AM3820">
        <v>84.236202507457804</v>
      </c>
      <c r="AN3820">
        <v>1.0000000811207099</v>
      </c>
    </row>
    <row r="3821" spans="1:40" x14ac:dyDescent="0.25">
      <c r="A3821" t="str">
        <f>"20190304164446458"</f>
        <v>20190304164446458</v>
      </c>
      <c r="B3821" t="str">
        <f>"1551689086453434"</f>
        <v>1551689086453434</v>
      </c>
      <c r="C3821" t="s">
        <v>40</v>
      </c>
      <c r="D3821">
        <v>5.2346940000000002</v>
      </c>
      <c r="E3821">
        <v>0.55496230000000002</v>
      </c>
      <c r="F3821" t="s">
        <v>41</v>
      </c>
      <c r="G3821">
        <v>-194.46870000000001</v>
      </c>
      <c r="H3821">
        <v>0.95402100000000001</v>
      </c>
      <c r="I3821">
        <v>154.4605</v>
      </c>
      <c r="J3821">
        <v>-194.0797</v>
      </c>
      <c r="K3821">
        <v>1.1050469999999999</v>
      </c>
      <c r="L3821">
        <v>155.0009</v>
      </c>
      <c r="M3821">
        <v>-0.37575310000000001</v>
      </c>
      <c r="N3821">
        <v>-1.3948179999999999E-2</v>
      </c>
      <c r="O3821">
        <v>-0.92661479999999996</v>
      </c>
      <c r="P3821">
        <v>-0.42509720000000001</v>
      </c>
      <c r="Q3821">
        <v>0.38620019999999999</v>
      </c>
      <c r="R3821">
        <v>-0.81862159999999995</v>
      </c>
      <c r="S3821">
        <v>-1.961212</v>
      </c>
      <c r="T3821">
        <v>-0.65824280000000002</v>
      </c>
      <c r="U3821">
        <v>-2.9617610000000001</v>
      </c>
      <c r="V3821">
        <v>9.2209319999999997E-2</v>
      </c>
      <c r="W3821">
        <v>0.39765020000000001</v>
      </c>
      <c r="X3821">
        <v>0.91289200000000004</v>
      </c>
      <c r="Y3821">
        <v>0.1901031</v>
      </c>
      <c r="Z3821">
        <v>0.16343440000000001</v>
      </c>
      <c r="AA3821">
        <v>0.96806510000000001</v>
      </c>
      <c r="AB3821">
        <v>26</v>
      </c>
      <c r="AC3821">
        <v>-0.38900000000001</v>
      </c>
      <c r="AD3821">
        <v>-0.15102599999999999</v>
      </c>
      <c r="AE3821">
        <v>-0.54040000000000499</v>
      </c>
      <c r="AF3821">
        <v>0.14970950923128201</v>
      </c>
      <c r="AG3821">
        <v>-0.15102599999999999</v>
      </c>
      <c r="AH3821">
        <v>0.61531776890191303</v>
      </c>
      <c r="AI3821">
        <v>103.413713490348</v>
      </c>
      <c r="AJ3821">
        <v>76.325385629237005</v>
      </c>
      <c r="AK3821">
        <v>0.65102822255006698</v>
      </c>
      <c r="AL3821">
        <v>66.568637459389194</v>
      </c>
      <c r="AM3821">
        <v>84.232234933424195</v>
      </c>
      <c r="AN3821">
        <v>1.00000002195945</v>
      </c>
    </row>
    <row r="3822" spans="1:40" x14ac:dyDescent="0.25">
      <c r="A3822" t="str">
        <f>"20190304164446470"</f>
        <v>20190304164446470</v>
      </c>
      <c r="B3822" t="str">
        <f>"1551689086464171"</f>
        <v>1551689086464171</v>
      </c>
      <c r="C3822" t="s">
        <v>40</v>
      </c>
      <c r="D3822">
        <v>5.3676019999999998</v>
      </c>
      <c r="E3822">
        <v>0.55496230000000002</v>
      </c>
      <c r="F3822" t="s">
        <v>41</v>
      </c>
      <c r="G3822">
        <v>-194.5789</v>
      </c>
      <c r="H3822">
        <v>0.93959309999999996</v>
      </c>
      <c r="I3822">
        <v>154.25620000000001</v>
      </c>
      <c r="J3822">
        <v>-194.14400000000001</v>
      </c>
      <c r="K3822">
        <v>1.1050260000000001</v>
      </c>
      <c r="L3822">
        <v>154.85640000000001</v>
      </c>
      <c r="M3822">
        <v>-0.38044470000000002</v>
      </c>
      <c r="N3822">
        <v>-1.39544E-2</v>
      </c>
      <c r="O3822">
        <v>-0.92469869999999998</v>
      </c>
      <c r="P3822">
        <v>-0.4293883</v>
      </c>
      <c r="Q3822">
        <v>0.38498290000000002</v>
      </c>
      <c r="R3822">
        <v>-0.81695430000000002</v>
      </c>
      <c r="S3822">
        <v>-1.975082</v>
      </c>
      <c r="T3822">
        <v>-0.65448319999999904</v>
      </c>
      <c r="U3822">
        <v>-2.947845</v>
      </c>
      <c r="V3822">
        <v>9.2155200000000007E-2</v>
      </c>
      <c r="W3822">
        <v>0.39644279999999998</v>
      </c>
      <c r="X3822">
        <v>0.91342250000000003</v>
      </c>
      <c r="Y3822">
        <v>0.19047140000000001</v>
      </c>
      <c r="Z3822">
        <v>0.16242570000000001</v>
      </c>
      <c r="AA3822">
        <v>0.96816250000000004</v>
      </c>
      <c r="AB3822">
        <v>26</v>
      </c>
      <c r="AC3822">
        <v>-0.43489999999999801</v>
      </c>
      <c r="AD3822">
        <v>-0.16543289999999999</v>
      </c>
      <c r="AE3822">
        <v>-0.60020000000000095</v>
      </c>
      <c r="AF3822">
        <v>0.16557697880007799</v>
      </c>
      <c r="AG3822">
        <v>-0.16543289999999999</v>
      </c>
      <c r="AH3822">
        <v>0.68633857971363099</v>
      </c>
      <c r="AI3822">
        <v>103.187337231938</v>
      </c>
      <c r="AJ3822">
        <v>76.4367406867309</v>
      </c>
      <c r="AK3822">
        <v>0.72515131270259403</v>
      </c>
      <c r="AL3822">
        <v>66.644013480933197</v>
      </c>
      <c r="AM3822">
        <v>84.238922717156697</v>
      </c>
      <c r="AN3822">
        <v>1.0000000690325599</v>
      </c>
    </row>
    <row r="3823" spans="1:40" x14ac:dyDescent="0.25">
      <c r="A3823" t="str">
        <f>"20190304164446488"</f>
        <v>20190304164446488</v>
      </c>
      <c r="B3823" t="str">
        <f>"1551689086483690"</f>
        <v>1551689086483690</v>
      </c>
      <c r="C3823" t="s">
        <v>40</v>
      </c>
      <c r="D3823">
        <v>5.2490540000000001</v>
      </c>
      <c r="E3823">
        <v>0.55422360000000004</v>
      </c>
      <c r="F3823" t="s">
        <v>41</v>
      </c>
      <c r="G3823">
        <v>-194.5635</v>
      </c>
      <c r="H3823">
        <v>0.96595379999999997</v>
      </c>
      <c r="I3823">
        <v>154.23740000000001</v>
      </c>
      <c r="J3823">
        <v>-194.22829999999999</v>
      </c>
      <c r="K3823">
        <v>1.1050089999999999</v>
      </c>
      <c r="L3823">
        <v>154.67009999999999</v>
      </c>
      <c r="M3823">
        <v>-0.38651760000000002</v>
      </c>
      <c r="N3823">
        <v>-1.396148E-2</v>
      </c>
      <c r="O3823">
        <v>-0.92217649999999995</v>
      </c>
      <c r="P3823">
        <v>-0.43476690000000001</v>
      </c>
      <c r="Q3823">
        <v>0.3833413</v>
      </c>
      <c r="R3823">
        <v>-0.81487889999999996</v>
      </c>
      <c r="S3823">
        <v>-1.9894559999999999</v>
      </c>
      <c r="T3823">
        <v>-0.65918920000000003</v>
      </c>
      <c r="U3823">
        <v>-2.9371489999999998</v>
      </c>
      <c r="V3823">
        <v>9.1864080000000001E-2</v>
      </c>
      <c r="W3823">
        <v>0.39481889999999997</v>
      </c>
      <c r="X3823">
        <v>0.91415480000000005</v>
      </c>
      <c r="Y3823">
        <v>0.18879960000000001</v>
      </c>
      <c r="Z3823">
        <v>0.1633098</v>
      </c>
      <c r="AA3823">
        <v>0.96834120000000001</v>
      </c>
      <c r="AB3823">
        <v>26</v>
      </c>
      <c r="AC3823">
        <v>-0.33520000000001399</v>
      </c>
      <c r="AD3823">
        <v>-0.13905519999999899</v>
      </c>
      <c r="AE3823">
        <v>-0.43269999999998199</v>
      </c>
      <c r="AF3823">
        <v>0.13327897313585901</v>
      </c>
      <c r="AG3823">
        <v>-0.13905519999999899</v>
      </c>
      <c r="AH3823">
        <v>0.49658669594580301</v>
      </c>
      <c r="AI3823">
        <v>105.1336380938</v>
      </c>
      <c r="AJ3823">
        <v>74.976430530000201</v>
      </c>
      <c r="AK3823">
        <v>0.53263306310964098</v>
      </c>
      <c r="AL3823">
        <v>66.745319848651405</v>
      </c>
      <c r="AM3823">
        <v>84.261570040700803</v>
      </c>
      <c r="AN3823">
        <v>0.99999998567724802</v>
      </c>
    </row>
    <row r="3824" spans="1:40" x14ac:dyDescent="0.25">
      <c r="A3824" t="str">
        <f>"20190304164446511"</f>
        <v>20190304164446511</v>
      </c>
      <c r="B3824" t="str">
        <f>"1551689086504186"</f>
        <v>1551689086504186</v>
      </c>
      <c r="C3824" t="s">
        <v>40</v>
      </c>
      <c r="D3824">
        <v>5.2722329999999999</v>
      </c>
      <c r="E3824">
        <v>0.55421500000000001</v>
      </c>
      <c r="F3824" t="s">
        <v>41</v>
      </c>
      <c r="G3824">
        <v>-194.6694</v>
      </c>
      <c r="H3824">
        <v>0.96282100000000004</v>
      </c>
      <c r="I3824">
        <v>154.02629999999999</v>
      </c>
      <c r="J3824">
        <v>-194.34450000000001</v>
      </c>
      <c r="K3824">
        <v>1.105002</v>
      </c>
      <c r="L3824">
        <v>154.41820000000001</v>
      </c>
      <c r="M3824">
        <v>-0.39475139999999997</v>
      </c>
      <c r="N3824">
        <v>-1.3969560000000001E-2</v>
      </c>
      <c r="O3824">
        <v>-0.91868190000000005</v>
      </c>
      <c r="P3824">
        <v>-0.44163039999999998</v>
      </c>
      <c r="Q3824">
        <v>0.3819939</v>
      </c>
      <c r="R3824">
        <v>-0.81181499999999995</v>
      </c>
      <c r="S3824">
        <v>-1.999207</v>
      </c>
      <c r="T3824">
        <v>-0.64420140000000004</v>
      </c>
      <c r="U3824">
        <v>-2.9179379999999999</v>
      </c>
      <c r="V3824">
        <v>9.1140840000000001E-2</v>
      </c>
      <c r="W3824">
        <v>0.39349630000000002</v>
      </c>
      <c r="X3824">
        <v>0.91479719999999998</v>
      </c>
      <c r="Y3824">
        <v>0.18555920000000001</v>
      </c>
      <c r="Z3824">
        <v>0.15936539999999999</v>
      </c>
      <c r="AA3824">
        <v>0.96962389999999998</v>
      </c>
      <c r="AB3824">
        <v>26</v>
      </c>
      <c r="AC3824">
        <v>-0.32489999999998498</v>
      </c>
      <c r="AD3824">
        <v>-0.142181</v>
      </c>
      <c r="AE3824">
        <v>-0.39190000000002101</v>
      </c>
      <c r="AF3824">
        <v>0.13338554626201099</v>
      </c>
      <c r="AG3824">
        <v>-0.142181</v>
      </c>
      <c r="AH3824">
        <v>0.45299640398798102</v>
      </c>
      <c r="AI3824">
        <v>106.756351205919</v>
      </c>
      <c r="AJ3824">
        <v>73.592847051248597</v>
      </c>
      <c r="AK3824">
        <v>0.49316618166562998</v>
      </c>
      <c r="AL3824">
        <v>66.827773777535697</v>
      </c>
      <c r="AM3824">
        <v>84.310422292473902</v>
      </c>
      <c r="AN3824">
        <v>0.99999995397871599</v>
      </c>
    </row>
    <row r="3825" spans="1:40" x14ac:dyDescent="0.25">
      <c r="A3825" t="str">
        <f>"20190304164446538"</f>
        <v>20190304164446538</v>
      </c>
      <c r="B3825" t="str">
        <f>"1551689086533465"</f>
        <v>1551689086533465</v>
      </c>
      <c r="C3825" t="s">
        <v>40</v>
      </c>
      <c r="D3825">
        <v>5.4894590000000001</v>
      </c>
      <c r="E3825">
        <v>0.5555599</v>
      </c>
      <c r="F3825" t="s">
        <v>41</v>
      </c>
      <c r="G3825">
        <v>-194.7706</v>
      </c>
      <c r="H3825">
        <v>0.96945630000000005</v>
      </c>
      <c r="I3825">
        <v>153.80879999999999</v>
      </c>
      <c r="J3825">
        <v>-194.48310000000001</v>
      </c>
      <c r="K3825">
        <v>1.1050009999999999</v>
      </c>
      <c r="L3825">
        <v>154.12549999999999</v>
      </c>
      <c r="M3825">
        <v>-0.40434209999999998</v>
      </c>
      <c r="N3825">
        <v>-1.397676E-2</v>
      </c>
      <c r="O3825">
        <v>-0.91450120000000001</v>
      </c>
      <c r="P3825">
        <v>-0.45051950000000002</v>
      </c>
      <c r="Q3825">
        <v>0.38096340000000001</v>
      </c>
      <c r="R3825">
        <v>-0.80740310000000004</v>
      </c>
      <c r="S3825">
        <v>-2.0251619999999999</v>
      </c>
      <c r="T3825">
        <v>-0.64379119999999901</v>
      </c>
      <c r="U3825">
        <v>-2.896652</v>
      </c>
      <c r="V3825">
        <v>9.1404680000000002E-2</v>
      </c>
      <c r="W3825">
        <v>0.39247379999999998</v>
      </c>
      <c r="X3825">
        <v>0.91521010000000003</v>
      </c>
      <c r="Y3825">
        <v>0.18448809999999999</v>
      </c>
      <c r="Z3825">
        <v>0.15883029999999901</v>
      </c>
      <c r="AA3825">
        <v>0.969916</v>
      </c>
      <c r="AB3825">
        <v>26</v>
      </c>
      <c r="AC3825">
        <v>-0.28749999999999398</v>
      </c>
      <c r="AD3825">
        <v>-0.13554469999999999</v>
      </c>
      <c r="AE3825">
        <v>-0.31669999999999698</v>
      </c>
      <c r="AF3825">
        <v>0.12256874417876901</v>
      </c>
      <c r="AG3825">
        <v>-0.13554469999999999</v>
      </c>
      <c r="AH3825">
        <v>0.36886865476616798</v>
      </c>
      <c r="AI3825">
        <v>109.224351832246</v>
      </c>
      <c r="AJ3825">
        <v>71.619235393096304</v>
      </c>
      <c r="AK3825">
        <v>0.411654645566709</v>
      </c>
      <c r="AL3825">
        <v>66.891486028905405</v>
      </c>
      <c r="AM3825">
        <v>84.296617566129797</v>
      </c>
      <c r="AN3825">
        <v>1.00000001317717</v>
      </c>
    </row>
    <row r="3826" spans="1:40" x14ac:dyDescent="0.25">
      <c r="A3826" t="str">
        <f>"20190304164446554"</f>
        <v>20190304164446554</v>
      </c>
      <c r="B3826" t="str">
        <f>"1551689086544202"</f>
        <v>1551689086544202</v>
      </c>
      <c r="C3826" t="s">
        <v>40</v>
      </c>
      <c r="D3826">
        <v>5.6505549999999998</v>
      </c>
      <c r="E3826">
        <v>0.55561430000000001</v>
      </c>
      <c r="F3826" t="s">
        <v>41</v>
      </c>
      <c r="G3826">
        <v>-195.00059999999999</v>
      </c>
      <c r="H3826">
        <v>0.94202209999999997</v>
      </c>
      <c r="I3826">
        <v>153.4068</v>
      </c>
      <c r="J3826">
        <v>-194.56370000000001</v>
      </c>
      <c r="K3826">
        <v>1.1050070000000001</v>
      </c>
      <c r="L3826">
        <v>153.9588</v>
      </c>
      <c r="M3826">
        <v>-0.40980870000000003</v>
      </c>
      <c r="N3826">
        <v>-1.3980070000000001E-2</v>
      </c>
      <c r="O3826">
        <v>-0.9120644</v>
      </c>
      <c r="P3826">
        <v>-0.45652500000000001</v>
      </c>
      <c r="Q3826">
        <v>0.38007600000000002</v>
      </c>
      <c r="R3826">
        <v>-0.8044422</v>
      </c>
      <c r="S3826">
        <v>-2.0657960000000002</v>
      </c>
      <c r="T3826">
        <v>-0.65038719999999905</v>
      </c>
      <c r="U3826">
        <v>-2.869812</v>
      </c>
      <c r="V3826">
        <v>9.2565289999999995E-2</v>
      </c>
      <c r="W3826">
        <v>0.39157720000000001</v>
      </c>
      <c r="X3826">
        <v>0.91547750000000006</v>
      </c>
      <c r="Y3826">
        <v>0.19176860000000001</v>
      </c>
      <c r="Z3826">
        <v>0.16045329999999999</v>
      </c>
      <c r="AA3826">
        <v>0.96823530000000002</v>
      </c>
      <c r="AB3826">
        <v>26</v>
      </c>
      <c r="AC3826">
        <v>-0.43689999999998003</v>
      </c>
      <c r="AD3826">
        <v>-0.16298489999999999</v>
      </c>
      <c r="AE3826">
        <v>-0.55199999999999205</v>
      </c>
      <c r="AF3826">
        <v>0.16351854221539799</v>
      </c>
      <c r="AG3826">
        <v>-0.16298489999999999</v>
      </c>
      <c r="AH3826">
        <v>0.64784619017926603</v>
      </c>
      <c r="AI3826">
        <v>103.708425510257</v>
      </c>
      <c r="AJ3826">
        <v>75.8342288331812</v>
      </c>
      <c r="AK3826">
        <v>0.68775509987643701</v>
      </c>
      <c r="AL3826">
        <v>66.947328045619599</v>
      </c>
      <c r="AM3826">
        <v>84.2263609248281</v>
      </c>
      <c r="AN3826">
        <v>1.0000000447394299</v>
      </c>
    </row>
    <row r="3827" spans="1:40" x14ac:dyDescent="0.25">
      <c r="A3827" t="str">
        <f>"20190304164446566"</f>
        <v>20190304164446566</v>
      </c>
      <c r="B3827" t="str">
        <f>"1551689086563722"</f>
        <v>1551689086563722</v>
      </c>
      <c r="C3827" t="s">
        <v>40</v>
      </c>
      <c r="D3827">
        <v>5.6124419999999997</v>
      </c>
      <c r="E3827">
        <v>0.55587259999999905</v>
      </c>
      <c r="F3827" t="s">
        <v>41</v>
      </c>
      <c r="G3827">
        <v>-195.11439999999999</v>
      </c>
      <c r="H3827">
        <v>0.92933359999999998</v>
      </c>
      <c r="I3827">
        <v>153.2054</v>
      </c>
      <c r="J3827">
        <v>-194.6276</v>
      </c>
      <c r="K3827">
        <v>1.10501</v>
      </c>
      <c r="L3827">
        <v>153.8288</v>
      </c>
      <c r="M3827">
        <v>-0.41407549999999999</v>
      </c>
      <c r="N3827">
        <v>-1.3982039999999999E-2</v>
      </c>
      <c r="O3827">
        <v>-0.91013520000000003</v>
      </c>
      <c r="P3827">
        <v>-0.46057150000000002</v>
      </c>
      <c r="Q3827">
        <v>0.37943339999999998</v>
      </c>
      <c r="R3827">
        <v>-0.80243659999999895</v>
      </c>
      <c r="S3827">
        <v>-2.0894010000000001</v>
      </c>
      <c r="T3827">
        <v>-0.66634729999999998</v>
      </c>
      <c r="U3827">
        <v>-2.8583980000000002</v>
      </c>
      <c r="V3827">
        <v>9.2749750000000006E-2</v>
      </c>
      <c r="W3827">
        <v>0.39093869999999997</v>
      </c>
      <c r="X3827">
        <v>0.91573159999999998</v>
      </c>
      <c r="Y3827">
        <v>0.19382279999999999</v>
      </c>
      <c r="Z3827">
        <v>0.16418540000000001</v>
      </c>
      <c r="AA3827">
        <v>0.96719999999999995</v>
      </c>
      <c r="AB3827">
        <v>26</v>
      </c>
      <c r="AC3827">
        <v>-0.48679999999998802</v>
      </c>
      <c r="AD3827">
        <v>-0.17567640000000001</v>
      </c>
      <c r="AE3827">
        <v>-0.62340000000000295</v>
      </c>
      <c r="AF3827">
        <v>0.17624280498839001</v>
      </c>
      <c r="AG3827">
        <v>-0.17567640000000001</v>
      </c>
      <c r="AH3827">
        <v>0.73287135302927398</v>
      </c>
      <c r="AI3827">
        <v>103.11944943539</v>
      </c>
      <c r="AJ3827">
        <v>76.478124847565397</v>
      </c>
      <c r="AK3827">
        <v>0.77396650051413396</v>
      </c>
      <c r="AL3827">
        <v>66.987078677745401</v>
      </c>
      <c r="AM3827">
        <v>84.216527807710406</v>
      </c>
      <c r="AN3827">
        <v>0.99999997326065504</v>
      </c>
    </row>
    <row r="3828" spans="1:40" x14ac:dyDescent="0.25">
      <c r="A3828" t="str">
        <f>"20190304164446578"</f>
        <v>20190304164446578</v>
      </c>
      <c r="B3828" t="str">
        <f>"1551689086573482"</f>
        <v>1551689086573482</v>
      </c>
      <c r="C3828" t="s">
        <v>40</v>
      </c>
      <c r="D3828">
        <v>5.6088630000000004</v>
      </c>
      <c r="E3828">
        <v>0.55630449999999998</v>
      </c>
      <c r="F3828" t="s">
        <v>41</v>
      </c>
      <c r="G3828">
        <v>-195.10130000000001</v>
      </c>
      <c r="H3828">
        <v>0.95289020000000002</v>
      </c>
      <c r="I3828">
        <v>153.1883</v>
      </c>
      <c r="J3828">
        <v>-194.6876</v>
      </c>
      <c r="K3828">
        <v>1.1050059999999999</v>
      </c>
      <c r="L3828">
        <v>153.70779999999999</v>
      </c>
      <c r="M3828">
        <v>-0.41804350000000001</v>
      </c>
      <c r="N3828">
        <v>-1.398376E-2</v>
      </c>
      <c r="O3828">
        <v>-0.90831949999999995</v>
      </c>
      <c r="P3828">
        <v>-0.46428130000000001</v>
      </c>
      <c r="Q3828">
        <v>0.37860120000000003</v>
      </c>
      <c r="R3828">
        <v>-0.80068989999999995</v>
      </c>
      <c r="S3828">
        <v>-2.1070709999999999</v>
      </c>
      <c r="T3828">
        <v>-0.6765021</v>
      </c>
      <c r="U3828">
        <v>-2.8491209999999998</v>
      </c>
      <c r="V3828">
        <v>9.2810939999999995E-2</v>
      </c>
      <c r="W3828">
        <v>0.39011299999999999</v>
      </c>
      <c r="X3828">
        <v>0.91607749999999999</v>
      </c>
      <c r="Y3828">
        <v>0.19466919999999999</v>
      </c>
      <c r="Z3828">
        <v>0.1664486</v>
      </c>
      <c r="AA3828">
        <v>0.96664300000000003</v>
      </c>
      <c r="AB3828">
        <v>26</v>
      </c>
      <c r="AC3828">
        <v>-0.41370000000000501</v>
      </c>
      <c r="AD3828">
        <v>-0.152115799999999</v>
      </c>
      <c r="AE3828">
        <v>-0.51949999999999297</v>
      </c>
      <c r="AF3828">
        <v>0.15070661293537899</v>
      </c>
      <c r="AG3828">
        <v>-0.152115799999999</v>
      </c>
      <c r="AH3828">
        <v>0.61273163940273201</v>
      </c>
      <c r="AI3828">
        <v>103.553879404428</v>
      </c>
      <c r="AJ3828">
        <v>76.181897472361499</v>
      </c>
      <c r="AK3828">
        <v>0.64906992051492696</v>
      </c>
      <c r="AL3828">
        <v>67.038469340673402</v>
      </c>
      <c r="AM3828">
        <v>84.214908532285406</v>
      </c>
      <c r="AN3828">
        <v>1.0000000046794599</v>
      </c>
    </row>
    <row r="3829" spans="1:40" x14ac:dyDescent="0.25">
      <c r="A3829" t="str">
        <f>"20190304164446592"</f>
        <v>20190304164446592</v>
      </c>
      <c r="B3829" t="str">
        <f>"1551689086584218"</f>
        <v>1551689086584218</v>
      </c>
      <c r="C3829" t="s">
        <v>40</v>
      </c>
      <c r="D3829">
        <v>5.5980530000000002</v>
      </c>
      <c r="E3829">
        <v>0.55660269999999901</v>
      </c>
      <c r="F3829" t="s">
        <v>41</v>
      </c>
      <c r="G3829">
        <v>-195.22200000000001</v>
      </c>
      <c r="H3829">
        <v>0.93288720000000003</v>
      </c>
      <c r="I3829">
        <v>152.994</v>
      </c>
      <c r="J3829">
        <v>-194.76329999999999</v>
      </c>
      <c r="K3829">
        <v>1.105011</v>
      </c>
      <c r="L3829">
        <v>153.55680000000001</v>
      </c>
      <c r="M3829">
        <v>-0.4229947</v>
      </c>
      <c r="N3829">
        <v>-1.3985630000000001E-2</v>
      </c>
      <c r="O3829">
        <v>-0.9060243</v>
      </c>
      <c r="P3829">
        <v>-0.46916540000000001</v>
      </c>
      <c r="Q3829">
        <v>0.37764710000000001</v>
      </c>
      <c r="R3829">
        <v>-0.79828999999999894</v>
      </c>
      <c r="S3829">
        <v>-2.1246489999999998</v>
      </c>
      <c r="T3829">
        <v>-0.6839364</v>
      </c>
      <c r="U3829">
        <v>-2.8382260000000001</v>
      </c>
      <c r="V3829">
        <v>9.3198569999999994E-2</v>
      </c>
      <c r="W3829">
        <v>0.3891618</v>
      </c>
      <c r="X3829">
        <v>0.91644270000000005</v>
      </c>
      <c r="Y3829">
        <v>0.19475129999999999</v>
      </c>
      <c r="Z3829">
        <v>0.16796849999999999</v>
      </c>
      <c r="AA3829">
        <v>0.96636350000000004</v>
      </c>
      <c r="AB3829">
        <v>26</v>
      </c>
      <c r="AC3829">
        <v>-0.45870000000002098</v>
      </c>
      <c r="AD3829">
        <v>-0.17212379999999999</v>
      </c>
      <c r="AE3829">
        <v>-0.56280000000000996</v>
      </c>
      <c r="AF3829">
        <v>0.168101710347688</v>
      </c>
      <c r="AG3829">
        <v>-0.17212379999999999</v>
      </c>
      <c r="AH3829">
        <v>0.66654604972533404</v>
      </c>
      <c r="AI3829">
        <v>104.057391197962</v>
      </c>
      <c r="AJ3829">
        <v>75.845279370920395</v>
      </c>
      <c r="AK3829">
        <v>0.70863842963298695</v>
      </c>
      <c r="AL3829">
        <v>67.097647037994903</v>
      </c>
      <c r="AM3829">
        <v>84.193210763676902</v>
      </c>
      <c r="AN3829">
        <v>1.0000000512062801</v>
      </c>
    </row>
    <row r="3830" spans="1:40" x14ac:dyDescent="0.25">
      <c r="A3830" t="str">
        <f>"20190304164446605"</f>
        <v>20190304164446605</v>
      </c>
      <c r="B3830" t="str">
        <f>"1551689086593978"</f>
        <v>1551689086593978</v>
      </c>
      <c r="C3830" t="s">
        <v>40</v>
      </c>
      <c r="D3830">
        <v>5.544162</v>
      </c>
      <c r="E3830">
        <v>0.55689569999999999</v>
      </c>
      <c r="F3830" t="s">
        <v>41</v>
      </c>
      <c r="G3830">
        <v>-195.20679999999999</v>
      </c>
      <c r="H3830">
        <v>0.96183960000000002</v>
      </c>
      <c r="I3830">
        <v>152.97299999999899</v>
      </c>
      <c r="J3830">
        <v>-194.8349</v>
      </c>
      <c r="K3830">
        <v>1.1050150000000001</v>
      </c>
      <c r="L3830">
        <v>153.41650000000001</v>
      </c>
      <c r="M3830">
        <v>-0.42759720000000001</v>
      </c>
      <c r="N3830">
        <v>-1.398693E-2</v>
      </c>
      <c r="O3830">
        <v>-0.90386129999999998</v>
      </c>
      <c r="P3830">
        <v>-0.47331400000000001</v>
      </c>
      <c r="Q3830">
        <v>0.3769808</v>
      </c>
      <c r="R3830">
        <v>-0.79615319999999901</v>
      </c>
      <c r="S3830">
        <v>-2.1450200000000001</v>
      </c>
      <c r="T3830">
        <v>-0.69209149999999997</v>
      </c>
      <c r="U3830">
        <v>-2.824738</v>
      </c>
      <c r="V3830">
        <v>9.3154929999999997E-2</v>
      </c>
      <c r="W3830">
        <v>0.38850319999999999</v>
      </c>
      <c r="X3830">
        <v>0.9167265</v>
      </c>
      <c r="Y3830">
        <v>0.19618920000000001</v>
      </c>
      <c r="Z3830">
        <v>0.1697533</v>
      </c>
      <c r="AA3830">
        <v>0.96576059999999997</v>
      </c>
      <c r="AB3830">
        <v>26</v>
      </c>
      <c r="AC3830">
        <v>-0.37189999999998202</v>
      </c>
      <c r="AD3830">
        <v>-0.14317539999999901</v>
      </c>
      <c r="AE3830">
        <v>-0.44350000000002798</v>
      </c>
      <c r="AF3830">
        <v>0.138072160668784</v>
      </c>
      <c r="AG3830">
        <v>-0.14317539999999901</v>
      </c>
      <c r="AH3830">
        <v>0.52765283357674597</v>
      </c>
      <c r="AI3830">
        <v>104.70860080314399</v>
      </c>
      <c r="AJ3830">
        <v>75.3360686338508</v>
      </c>
      <c r="AK3830">
        <v>0.56389771191101301</v>
      </c>
      <c r="AL3830">
        <v>67.138604494811403</v>
      </c>
      <c r="AM3830">
        <v>84.197695777942002</v>
      </c>
      <c r="AN3830">
        <v>1.0000000265978899</v>
      </c>
    </row>
    <row r="3831" spans="1:40" x14ac:dyDescent="0.25">
      <c r="A3831" t="str">
        <f>"20190304164446623"</f>
        <v>20190304164446623</v>
      </c>
      <c r="B3831" t="str">
        <f>"1551689086613498"</f>
        <v>1551689086613498</v>
      </c>
      <c r="C3831" t="s">
        <v>40</v>
      </c>
      <c r="D3831">
        <v>5.6154310000000001</v>
      </c>
      <c r="E3831">
        <v>0.55726260000000005</v>
      </c>
      <c r="F3831" t="s">
        <v>41</v>
      </c>
      <c r="G3831">
        <v>-195.327</v>
      </c>
      <c r="H3831">
        <v>0.94618369999999996</v>
      </c>
      <c r="I3831">
        <v>152.77690000000001</v>
      </c>
      <c r="J3831">
        <v>-194.93119999999999</v>
      </c>
      <c r="K3831">
        <v>1.1050249999999999</v>
      </c>
      <c r="L3831">
        <v>153.22999999999999</v>
      </c>
      <c r="M3831">
        <v>-0.43371019999999999</v>
      </c>
      <c r="N3831">
        <v>-1.398833E-2</v>
      </c>
      <c r="O3831">
        <v>-0.90094379999999996</v>
      </c>
      <c r="P3831">
        <v>-0.4788673</v>
      </c>
      <c r="Q3831">
        <v>0.37619049999999998</v>
      </c>
      <c r="R3831">
        <v>-0.79320059999999903</v>
      </c>
      <c r="S3831">
        <v>-2.163513</v>
      </c>
      <c r="T3831">
        <v>-0.69819940000000003</v>
      </c>
      <c r="U3831">
        <v>-2.8125</v>
      </c>
      <c r="V3831">
        <v>9.3168290000000001E-2</v>
      </c>
      <c r="W3831">
        <v>0.38772060000000003</v>
      </c>
      <c r="X3831">
        <v>0.91705639999999999</v>
      </c>
      <c r="Y3831">
        <v>0.19542909999999999</v>
      </c>
      <c r="Z3831">
        <v>0.17080529999999999</v>
      </c>
      <c r="AA3831">
        <v>0.96572919999999995</v>
      </c>
      <c r="AB3831">
        <v>26</v>
      </c>
      <c r="AC3831">
        <v>-0.39580000000000798</v>
      </c>
      <c r="AD3831">
        <v>-0.15884129999999899</v>
      </c>
      <c r="AE3831">
        <v>-0.45309999999997702</v>
      </c>
      <c r="AF3831">
        <v>0.14966275488234501</v>
      </c>
      <c r="AG3831">
        <v>-0.15884129999999899</v>
      </c>
      <c r="AH3831">
        <v>0.542146105446903</v>
      </c>
      <c r="AI3831">
        <v>105.770869972158</v>
      </c>
      <c r="AJ3831">
        <v>74.5675067111451</v>
      </c>
      <c r="AK3831">
        <v>0.584424416358443</v>
      </c>
      <c r="AL3831">
        <v>67.187257789097998</v>
      </c>
      <c r="AM3831">
        <v>84.198942674155106</v>
      </c>
      <c r="AN3831">
        <v>1.00000001735342</v>
      </c>
    </row>
    <row r="3832" spans="1:40" x14ac:dyDescent="0.25">
      <c r="A3832" t="str">
        <f>"20190304164446636"</f>
        <v>20190304164446636</v>
      </c>
      <c r="B3832" t="str">
        <f>"1551689086633994"</f>
        <v>1551689086633994</v>
      </c>
      <c r="C3832" t="s">
        <v>40</v>
      </c>
      <c r="D3832">
        <v>5.6482700000000001</v>
      </c>
      <c r="E3832">
        <v>0.55749859999999996</v>
      </c>
      <c r="F3832" t="s">
        <v>41</v>
      </c>
      <c r="G3832">
        <v>-195.44390000000001</v>
      </c>
      <c r="H3832">
        <v>0.93908000000000003</v>
      </c>
      <c r="I3832">
        <v>152.57550000000001</v>
      </c>
      <c r="J3832">
        <v>-195.0068</v>
      </c>
      <c r="K3832">
        <v>1.1050310000000001</v>
      </c>
      <c r="L3832">
        <v>153.0856</v>
      </c>
      <c r="M3832">
        <v>-0.43844499999999997</v>
      </c>
      <c r="N3832">
        <v>-1.398917E-2</v>
      </c>
      <c r="O3832">
        <v>-0.89864940000000004</v>
      </c>
      <c r="P3832">
        <v>-0.4830081</v>
      </c>
      <c r="Q3832">
        <v>0.37607679999999999</v>
      </c>
      <c r="R3832">
        <v>-0.79074029999999995</v>
      </c>
      <c r="S3832">
        <v>-2.189835</v>
      </c>
      <c r="T3832">
        <v>-0.70862879999999995</v>
      </c>
      <c r="U3832">
        <v>-2.7961879999999999</v>
      </c>
      <c r="V3832">
        <v>9.3103320000000003E-2</v>
      </c>
      <c r="W3832">
        <v>0.38761119999999999</v>
      </c>
      <c r="X3832">
        <v>0.91710930000000002</v>
      </c>
      <c r="Y3832">
        <v>0.1983519</v>
      </c>
      <c r="Z3832">
        <v>0.17310970000000001</v>
      </c>
      <c r="AA3832">
        <v>0.96472250000000004</v>
      </c>
      <c r="AB3832">
        <v>26</v>
      </c>
      <c r="AC3832">
        <v>-0.43710000000001498</v>
      </c>
      <c r="AD3832">
        <v>-0.16595099999999899</v>
      </c>
      <c r="AE3832">
        <v>-0.510099999999994</v>
      </c>
      <c r="AF3832">
        <v>0.15943524038576301</v>
      </c>
      <c r="AG3832">
        <v>-0.16595099999999899</v>
      </c>
      <c r="AH3832">
        <v>0.612715572882094</v>
      </c>
      <c r="AI3832">
        <v>104.687745614741</v>
      </c>
      <c r="AJ3832">
        <v>75.414468489016002</v>
      </c>
      <c r="AK3832">
        <v>0.65450722190828303</v>
      </c>
      <c r="AL3832">
        <v>67.194058953452398</v>
      </c>
      <c r="AM3832">
        <v>84.203292527690095</v>
      </c>
      <c r="AN3832">
        <v>1.0000000693534701</v>
      </c>
    </row>
    <row r="3833" spans="1:40" x14ac:dyDescent="0.25">
      <c r="A3833" t="str">
        <f>"20190304164446648"</f>
        <v>20190304164446648</v>
      </c>
      <c r="B3833" t="str">
        <f>"1551689086643754"</f>
        <v>1551689086643754</v>
      </c>
      <c r="C3833" t="s">
        <v>40</v>
      </c>
      <c r="D3833">
        <v>5.6743389999999998</v>
      </c>
      <c r="E3833">
        <v>0.55759639999999999</v>
      </c>
      <c r="F3833" t="s">
        <v>41</v>
      </c>
      <c r="G3833">
        <v>-195.56559999999999</v>
      </c>
      <c r="H3833">
        <v>0.9236491</v>
      </c>
      <c r="I3833">
        <v>152.38079999999999</v>
      </c>
      <c r="J3833">
        <v>-195.07589999999999</v>
      </c>
      <c r="K3833">
        <v>1.105038</v>
      </c>
      <c r="L3833">
        <v>152.9554</v>
      </c>
      <c r="M3833">
        <v>-0.44271169999999999</v>
      </c>
      <c r="N3833">
        <v>-1.3989710000000001E-2</v>
      </c>
      <c r="O3833">
        <v>-0.89655490000000004</v>
      </c>
      <c r="P3833">
        <v>-0.48689569999999999</v>
      </c>
      <c r="Q3833">
        <v>0.37583610000000001</v>
      </c>
      <c r="R3833">
        <v>-0.78846680000000002</v>
      </c>
      <c r="S3833">
        <v>-2.2086030000000001</v>
      </c>
      <c r="T3833">
        <v>-0.7166228</v>
      </c>
      <c r="U3833">
        <v>-2.78566</v>
      </c>
      <c r="V3833">
        <v>9.3198520000000007E-2</v>
      </c>
      <c r="W3833">
        <v>0.38737290000000002</v>
      </c>
      <c r="X3833">
        <v>0.91720029999999997</v>
      </c>
      <c r="Y3833">
        <v>0.19925329999999999</v>
      </c>
      <c r="Z3833">
        <v>0.17471339999999999</v>
      </c>
      <c r="AA3833">
        <v>0.96424759999999998</v>
      </c>
      <c r="AB3833">
        <v>26</v>
      </c>
      <c r="AC3833">
        <v>-0.48969999999999902</v>
      </c>
      <c r="AD3833">
        <v>-0.18138889999999999</v>
      </c>
      <c r="AE3833">
        <v>-0.574600000000003</v>
      </c>
      <c r="AF3833">
        <v>0.17459997158822699</v>
      </c>
      <c r="AG3833">
        <v>-0.18138889999999999</v>
      </c>
      <c r="AH3833">
        <v>0.69207739961802595</v>
      </c>
      <c r="AI3833">
        <v>104.258779514484</v>
      </c>
      <c r="AJ3833">
        <v>75.840663640502896</v>
      </c>
      <c r="AK3833">
        <v>0.73644973364369404</v>
      </c>
      <c r="AL3833">
        <v>67.208869403389997</v>
      </c>
      <c r="AM3833">
        <v>84.197977480239601</v>
      </c>
      <c r="AN3833">
        <v>1.0000000590523399</v>
      </c>
    </row>
    <row r="3834" spans="1:40" x14ac:dyDescent="0.25">
      <c r="A3834" t="str">
        <f>"20190304164446666"</f>
        <v>20190304164446666</v>
      </c>
      <c r="B3834" t="str">
        <f>"1551689086664250"</f>
        <v>1551689086664250</v>
      </c>
      <c r="C3834" t="s">
        <v>40</v>
      </c>
      <c r="D3834">
        <v>5.6484930000000002</v>
      </c>
      <c r="E3834">
        <v>0.55776689999999995</v>
      </c>
      <c r="F3834" t="s">
        <v>41</v>
      </c>
      <c r="G3834">
        <v>-195.55189999999999</v>
      </c>
      <c r="H3834">
        <v>0.9505863</v>
      </c>
      <c r="I3834">
        <v>152.3612</v>
      </c>
      <c r="J3834">
        <v>-195.17250000000001</v>
      </c>
      <c r="K3834">
        <v>1.1050439999999999</v>
      </c>
      <c r="L3834">
        <v>152.7758</v>
      </c>
      <c r="M3834">
        <v>-0.44859979999999999</v>
      </c>
      <c r="N3834">
        <v>-1.399017E-2</v>
      </c>
      <c r="O3834">
        <v>-0.89362350000000002</v>
      </c>
      <c r="P3834">
        <v>-0.49272359999999998</v>
      </c>
      <c r="Q3834">
        <v>0.37577260000000001</v>
      </c>
      <c r="R3834">
        <v>-0.78486869999999997</v>
      </c>
      <c r="S3834">
        <v>-2.2232059999999998</v>
      </c>
      <c r="T3834">
        <v>-0.72110779999999997</v>
      </c>
      <c r="U3834">
        <v>-2.7756959999999999</v>
      </c>
      <c r="V3834">
        <v>9.3939149999999999E-2</v>
      </c>
      <c r="W3834">
        <v>0.3873008</v>
      </c>
      <c r="X3834">
        <v>0.9171551</v>
      </c>
      <c r="Y3834">
        <v>0.19749810000000001</v>
      </c>
      <c r="Z3834">
        <v>0.17528070000000001</v>
      </c>
      <c r="AA3834">
        <v>0.96450570000000002</v>
      </c>
      <c r="AB3834">
        <v>26</v>
      </c>
      <c r="AC3834">
        <v>-0.37939999999997498</v>
      </c>
      <c r="AD3834">
        <v>-0.1544577</v>
      </c>
      <c r="AE3834">
        <v>-0.41460000000000702</v>
      </c>
      <c r="AF3834">
        <v>0.14231619225558201</v>
      </c>
      <c r="AG3834">
        <v>-0.1544577</v>
      </c>
      <c r="AH3834">
        <v>0.502770468377708</v>
      </c>
      <c r="AI3834">
        <v>106.467619273983</v>
      </c>
      <c r="AJ3834">
        <v>74.195094876911</v>
      </c>
      <c r="AK3834">
        <v>0.54487542020186397</v>
      </c>
      <c r="AL3834">
        <v>67.213348197639206</v>
      </c>
      <c r="AM3834">
        <v>84.151902056501001</v>
      </c>
      <c r="AN3834">
        <v>0.999999975519685</v>
      </c>
    </row>
    <row r="3835" spans="1:40" x14ac:dyDescent="0.25">
      <c r="A3835" t="str">
        <f>"20190304164446678"</f>
        <v>20190304164446678</v>
      </c>
      <c r="B3835" t="str">
        <f>"1551689086674010"</f>
        <v>1551689086674010</v>
      </c>
      <c r="C3835" t="s">
        <v>40</v>
      </c>
      <c r="D3835">
        <v>5.6187870000000002</v>
      </c>
      <c r="E3835">
        <v>0.55795629999999996</v>
      </c>
      <c r="F3835" t="s">
        <v>41</v>
      </c>
      <c r="G3835">
        <v>-195.67140000000001</v>
      </c>
      <c r="H3835">
        <v>0.94318020000000002</v>
      </c>
      <c r="I3835">
        <v>152.16200000000001</v>
      </c>
      <c r="J3835">
        <v>-195.23840000000001</v>
      </c>
      <c r="K3835">
        <v>1.1050500000000001</v>
      </c>
      <c r="L3835">
        <v>152.65479999999999</v>
      </c>
      <c r="M3835">
        <v>-0.45256790000000002</v>
      </c>
      <c r="N3835">
        <v>-1.399038E-2</v>
      </c>
      <c r="O3835">
        <v>-0.89162030000000003</v>
      </c>
      <c r="P3835">
        <v>-0.49621700000000002</v>
      </c>
      <c r="Q3835">
        <v>0.3756758</v>
      </c>
      <c r="R3835">
        <v>-0.78271119999999905</v>
      </c>
      <c r="S3835">
        <v>-2.2441249999999999</v>
      </c>
      <c r="T3835">
        <v>-0.72779869999999902</v>
      </c>
      <c r="U3835">
        <v>-2.761917</v>
      </c>
      <c r="V3835">
        <v>9.3920450000000003E-2</v>
      </c>
      <c r="W3835">
        <v>0.38720670000000001</v>
      </c>
      <c r="X3835">
        <v>0.91719680000000003</v>
      </c>
      <c r="Y3835">
        <v>0.19970930000000001</v>
      </c>
      <c r="Z3835">
        <v>0.17666379999999901</v>
      </c>
      <c r="AA3835">
        <v>0.96379769999999998</v>
      </c>
      <c r="AB3835">
        <v>26</v>
      </c>
      <c r="AC3835">
        <v>-0.432999999999992</v>
      </c>
      <c r="AD3835">
        <v>-0.16186980000000001</v>
      </c>
      <c r="AE3835">
        <v>-0.49279999999998803</v>
      </c>
      <c r="AF3835">
        <v>0.15370363660228001</v>
      </c>
      <c r="AG3835">
        <v>-0.16186980000000001</v>
      </c>
      <c r="AH3835">
        <v>0.59894689164619896</v>
      </c>
      <c r="AI3835">
        <v>104.66944160570699</v>
      </c>
      <c r="AJ3835">
        <v>75.607160710608099</v>
      </c>
      <c r="AK3835">
        <v>0.63919012748121296</v>
      </c>
      <c r="AL3835">
        <v>67.219197200665306</v>
      </c>
      <c r="AM3835">
        <v>84.153322129504105</v>
      </c>
      <c r="AN3835">
        <v>1.00000002469166</v>
      </c>
    </row>
    <row r="3836" spans="1:40" x14ac:dyDescent="0.25">
      <c r="A3836" t="str">
        <f>"20190304164446690"</f>
        <v>20190304164446690</v>
      </c>
      <c r="B3836" t="str">
        <f>"1551689086683770"</f>
        <v>1551689086683770</v>
      </c>
      <c r="C3836" t="s">
        <v>40</v>
      </c>
      <c r="D3836">
        <v>5.621092</v>
      </c>
      <c r="E3836">
        <v>0.55817850000000002</v>
      </c>
      <c r="F3836" t="s">
        <v>41</v>
      </c>
      <c r="G3836">
        <v>-195.79820000000001</v>
      </c>
      <c r="H3836">
        <v>0.92417300000000002</v>
      </c>
      <c r="I3836">
        <v>151.97239999999999</v>
      </c>
      <c r="J3836">
        <v>-195.309</v>
      </c>
      <c r="K3836">
        <v>1.105057</v>
      </c>
      <c r="L3836">
        <v>152.5266</v>
      </c>
      <c r="M3836">
        <v>-0.4567698</v>
      </c>
      <c r="N3836">
        <v>-1.3990509999999999E-2</v>
      </c>
      <c r="O3836">
        <v>-0.88947489999999996</v>
      </c>
      <c r="P3836">
        <v>-0.49974960000000002</v>
      </c>
      <c r="Q3836">
        <v>0.37547229999999998</v>
      </c>
      <c r="R3836">
        <v>-0.78055830000000004</v>
      </c>
      <c r="S3836">
        <v>-2.2576139999999998</v>
      </c>
      <c r="T3836">
        <v>-0.72950360000000003</v>
      </c>
      <c r="U3836">
        <v>-2.7517239999999998</v>
      </c>
      <c r="V3836">
        <v>9.3682340000000003E-2</v>
      </c>
      <c r="W3836">
        <v>0.38700970000000001</v>
      </c>
      <c r="X3836">
        <v>0.91730429999999996</v>
      </c>
      <c r="Y3836">
        <v>0.19963510000000001</v>
      </c>
      <c r="Z3836">
        <v>0.1767503</v>
      </c>
      <c r="AA3836">
        <v>0.96379729999999997</v>
      </c>
      <c r="AB3836">
        <v>26</v>
      </c>
      <c r="AC3836">
        <v>-0.48919999999998198</v>
      </c>
      <c r="AD3836">
        <v>-0.18088399999999999</v>
      </c>
      <c r="AE3836">
        <v>-0.55420000000000802</v>
      </c>
      <c r="AF3836">
        <v>0.17172505293224499</v>
      </c>
      <c r="AG3836">
        <v>-0.18088399999999999</v>
      </c>
      <c r="AH3836">
        <v>0.67599369353378103</v>
      </c>
      <c r="AI3836">
        <v>104.53906007649201</v>
      </c>
      <c r="AJ3836">
        <v>75.746454830519397</v>
      </c>
      <c r="AK3836">
        <v>0.72053867970985896</v>
      </c>
      <c r="AL3836">
        <v>67.231439119870998</v>
      </c>
      <c r="AM3836">
        <v>84.168721252978798</v>
      </c>
      <c r="AN3836">
        <v>1.00000003376022</v>
      </c>
    </row>
    <row r="3837" spans="1:40" x14ac:dyDescent="0.25">
      <c r="A3837" t="str">
        <f>"20190304164446703"</f>
        <v>20190304164446703</v>
      </c>
      <c r="B3837" t="str">
        <f>"1551689086693530"</f>
        <v>1551689086693530</v>
      </c>
      <c r="C3837" t="s">
        <v>40</v>
      </c>
      <c r="D3837">
        <v>5.6834509999999998</v>
      </c>
      <c r="E3837">
        <v>0.55824449999999903</v>
      </c>
      <c r="F3837" t="s">
        <v>41</v>
      </c>
      <c r="G3837">
        <v>-195.7851</v>
      </c>
      <c r="H3837">
        <v>0.95195569999999896</v>
      </c>
      <c r="I3837">
        <v>151.95230000000001</v>
      </c>
      <c r="J3837">
        <v>-195.38</v>
      </c>
      <c r="K3837">
        <v>1.1050660000000001</v>
      </c>
      <c r="L3837">
        <v>152.39930000000001</v>
      </c>
      <c r="M3837">
        <v>-0.46094669999999999</v>
      </c>
      <c r="N3837">
        <v>-1.399045E-2</v>
      </c>
      <c r="O3837">
        <v>-0.88731749999999998</v>
      </c>
      <c r="P3837">
        <v>-0.50307639999999998</v>
      </c>
      <c r="Q3837">
        <v>0.37563429999999998</v>
      </c>
      <c r="R3837">
        <v>-0.77833989999999997</v>
      </c>
      <c r="S3837">
        <v>-2.2719269999999998</v>
      </c>
      <c r="T3837">
        <v>-0.73068369999999905</v>
      </c>
      <c r="U3837">
        <v>-2.7402500000000001</v>
      </c>
      <c r="V3837">
        <v>9.3313569999999998E-2</v>
      </c>
      <c r="W3837">
        <v>0.38717810000000003</v>
      </c>
      <c r="X3837">
        <v>0.91727080000000005</v>
      </c>
      <c r="Y3837">
        <v>0.1999802</v>
      </c>
      <c r="Z3837">
        <v>0.17674300000000001</v>
      </c>
      <c r="AA3837">
        <v>0.96372709999999995</v>
      </c>
      <c r="AB3837">
        <v>26</v>
      </c>
      <c r="AC3837">
        <v>-0.40510000000000401</v>
      </c>
      <c r="AD3837">
        <v>-0.1531103</v>
      </c>
      <c r="AE3837">
        <v>-0.44700000000000201</v>
      </c>
      <c r="AF3837">
        <v>0.14413898529236299</v>
      </c>
      <c r="AG3837">
        <v>-0.1531103</v>
      </c>
      <c r="AH3837">
        <v>0.54810931181945099</v>
      </c>
      <c r="AI3837">
        <v>105.117975812203</v>
      </c>
      <c r="AJ3837">
        <v>75.266243965617704</v>
      </c>
      <c r="AK3837">
        <v>0.58706271279173805</v>
      </c>
      <c r="AL3837">
        <v>67.220974185010704</v>
      </c>
      <c r="AM3837">
        <v>84.191307487563705</v>
      </c>
      <c r="AN3837">
        <v>1.0000000119991901</v>
      </c>
    </row>
    <row r="3838" spans="1:40" x14ac:dyDescent="0.25">
      <c r="A3838" t="str">
        <f>"20190304164446715"</f>
        <v>20190304164446715</v>
      </c>
      <c r="B3838" t="str">
        <f>"1551689086704266"</f>
        <v>1551689086704266</v>
      </c>
      <c r="C3838" t="s">
        <v>40</v>
      </c>
      <c r="D3838">
        <v>5.6340859999999999</v>
      </c>
      <c r="E3838">
        <v>0.55835959999999996</v>
      </c>
      <c r="F3838" t="s">
        <v>41</v>
      </c>
      <c r="G3838">
        <v>-195.9126</v>
      </c>
      <c r="H3838">
        <v>0.93437000000000003</v>
      </c>
      <c r="I3838">
        <v>151.76300000000001</v>
      </c>
      <c r="J3838">
        <v>-195.44749999999999</v>
      </c>
      <c r="K3838">
        <v>1.1050770000000001</v>
      </c>
      <c r="L3838">
        <v>152.27889999999999</v>
      </c>
      <c r="M3838">
        <v>-0.4648912</v>
      </c>
      <c r="N3838">
        <v>-1.399037E-2</v>
      </c>
      <c r="O3838">
        <v>-0.88525739999999997</v>
      </c>
      <c r="P3838">
        <v>-0.5063124</v>
      </c>
      <c r="Q3838">
        <v>0.37591140000000001</v>
      </c>
      <c r="R3838">
        <v>-0.77610500000000004</v>
      </c>
      <c r="S3838">
        <v>-2.2852480000000002</v>
      </c>
      <c r="T3838">
        <v>-0.73227379999999997</v>
      </c>
      <c r="U3838">
        <v>-2.7306819999999998</v>
      </c>
      <c r="V3838">
        <v>9.3108070000000001E-2</v>
      </c>
      <c r="W3838">
        <v>0.38745859999999999</v>
      </c>
      <c r="X3838">
        <v>0.91717320000000002</v>
      </c>
      <c r="Y3838">
        <v>0.20002710000000001</v>
      </c>
      <c r="Z3838">
        <v>0.17678720000000001</v>
      </c>
      <c r="AA3838">
        <v>0.96370919999999904</v>
      </c>
      <c r="AB3838">
        <v>26</v>
      </c>
      <c r="AC3838">
        <v>-0.46510000000000601</v>
      </c>
      <c r="AD3838">
        <v>-0.170707</v>
      </c>
      <c r="AE3838">
        <v>-0.51589999999998704</v>
      </c>
      <c r="AF3838">
        <v>0.162120683525947</v>
      </c>
      <c r="AG3838">
        <v>-0.170707</v>
      </c>
      <c r="AH3838">
        <v>0.63465810168605596</v>
      </c>
      <c r="AI3838">
        <v>104.606760151731</v>
      </c>
      <c r="AJ3838">
        <v>75.670473086196907</v>
      </c>
      <c r="AK3838">
        <v>0.676915727333668</v>
      </c>
      <c r="AL3838">
        <v>67.203541281516095</v>
      </c>
      <c r="AM3838">
        <v>84.203399932100396</v>
      </c>
      <c r="AN3838">
        <v>0.99999997910566196</v>
      </c>
    </row>
    <row r="3839" spans="1:40" x14ac:dyDescent="0.25">
      <c r="A3839" t="str">
        <f>"20190304164446726"</f>
        <v>20190304164446726</v>
      </c>
      <c r="B3839" t="str">
        <f>"1551689086723786"</f>
        <v>1551689086723786</v>
      </c>
      <c r="C3839" t="s">
        <v>40</v>
      </c>
      <c r="D3839">
        <v>5.6190290000000003</v>
      </c>
      <c r="E3839">
        <v>0.55870520000000001</v>
      </c>
      <c r="F3839" t="s">
        <v>41</v>
      </c>
      <c r="G3839">
        <v>-196.0421</v>
      </c>
      <c r="H3839">
        <v>0.91568150000000004</v>
      </c>
      <c r="I3839">
        <v>151.57560000000001</v>
      </c>
      <c r="J3839">
        <v>-195.51560000000001</v>
      </c>
      <c r="K3839">
        <v>1.1050869999999999</v>
      </c>
      <c r="L3839">
        <v>152.15969999999999</v>
      </c>
      <c r="M3839">
        <v>-0.46880670000000002</v>
      </c>
      <c r="N3839">
        <v>-1.399004E-2</v>
      </c>
      <c r="O3839">
        <v>-0.88318999999999903</v>
      </c>
      <c r="P3839">
        <v>-0.50945609999999997</v>
      </c>
      <c r="Q3839">
        <v>0.37637080000000001</v>
      </c>
      <c r="R3839">
        <v>-0.77382169999999995</v>
      </c>
      <c r="S3839">
        <v>-2.2993619999999999</v>
      </c>
      <c r="T3839">
        <v>-0.73226119999999995</v>
      </c>
      <c r="U3839">
        <v>-2.7201080000000002</v>
      </c>
      <c r="V3839">
        <v>9.2869510000000002E-2</v>
      </c>
      <c r="W3839">
        <v>0.3879206</v>
      </c>
      <c r="X3839">
        <v>0.91700210000000004</v>
      </c>
      <c r="Y3839">
        <v>0.20048089999999999</v>
      </c>
      <c r="Z3839">
        <v>0.17646120000000001</v>
      </c>
      <c r="AA3839">
        <v>0.9636747</v>
      </c>
      <c r="AB3839">
        <v>26</v>
      </c>
      <c r="AC3839">
        <v>-0.52649999999999797</v>
      </c>
      <c r="AD3839">
        <v>-0.1894055</v>
      </c>
      <c r="AE3839">
        <v>-0.58409999999997797</v>
      </c>
      <c r="AF3839">
        <v>0.18070483079154501</v>
      </c>
      <c r="AG3839">
        <v>-0.1894055</v>
      </c>
      <c r="AH3839">
        <v>0.72094755846358605</v>
      </c>
      <c r="AI3839">
        <v>104.29664218748999</v>
      </c>
      <c r="AJ3839">
        <v>75.928760814312</v>
      </c>
      <c r="AK3839">
        <v>0.76700329944287504</v>
      </c>
      <c r="AL3839">
        <v>67.174825080102295</v>
      </c>
      <c r="AM3839">
        <v>84.217079634486794</v>
      </c>
      <c r="AN3839">
        <v>0.99999999459820499</v>
      </c>
    </row>
    <row r="3840" spans="1:40" x14ac:dyDescent="0.25">
      <c r="A3840" t="str">
        <f>"20190304164446744"</f>
        <v>20190304164446744</v>
      </c>
      <c r="B3840" t="str">
        <f>"1551689086733549"</f>
        <v>1551689086733549</v>
      </c>
      <c r="C3840" t="s">
        <v>40</v>
      </c>
      <c r="D3840">
        <v>5.5995239999999997</v>
      </c>
      <c r="E3840">
        <v>0.55881459999999905</v>
      </c>
      <c r="F3840" t="s">
        <v>41</v>
      </c>
      <c r="G3840">
        <v>-196.03059999999999</v>
      </c>
      <c r="H3840">
        <v>0.94229249999999998</v>
      </c>
      <c r="I3840">
        <v>151.5566</v>
      </c>
      <c r="J3840">
        <v>-195.6199</v>
      </c>
      <c r="K3840">
        <v>1.1051040000000001</v>
      </c>
      <c r="L3840">
        <v>151.9787</v>
      </c>
      <c r="M3840">
        <v>-0.47474729999999998</v>
      </c>
      <c r="N3840">
        <v>-1.398952E-2</v>
      </c>
      <c r="O3840">
        <v>-0.88001099999999999</v>
      </c>
      <c r="P3840">
        <v>-0.51438890000000004</v>
      </c>
      <c r="Q3840">
        <v>0.37785439999999998</v>
      </c>
      <c r="R3840">
        <v>-0.76982499999999998</v>
      </c>
      <c r="S3840">
        <v>-2.31366</v>
      </c>
      <c r="T3840">
        <v>-0.73126800000000003</v>
      </c>
      <c r="U3840">
        <v>-2.70932</v>
      </c>
      <c r="V3840">
        <v>9.2902849999999995E-2</v>
      </c>
      <c r="W3840">
        <v>0.38939679999999999</v>
      </c>
      <c r="X3840">
        <v>0.91637279999999999</v>
      </c>
      <c r="Y3840">
        <v>0.1988047</v>
      </c>
      <c r="Z3840">
        <v>0.17561650000000001</v>
      </c>
      <c r="AA3840">
        <v>0.96417609999999998</v>
      </c>
      <c r="AB3840">
        <v>26</v>
      </c>
      <c r="AC3840">
        <v>-0.41069999999999102</v>
      </c>
      <c r="AD3840">
        <v>-0.1628115</v>
      </c>
      <c r="AE3840">
        <v>-0.42209999999999998</v>
      </c>
      <c r="AF3840">
        <v>0.14961134003194701</v>
      </c>
      <c r="AG3840">
        <v>-0.1628115</v>
      </c>
      <c r="AH3840">
        <v>0.52626666984792403</v>
      </c>
      <c r="AI3840">
        <v>106.57191083316501</v>
      </c>
      <c r="AJ3840">
        <v>74.130180994550003</v>
      </c>
      <c r="AK3840">
        <v>0.57083075021518304</v>
      </c>
      <c r="AL3840">
        <v>67.083027237320593</v>
      </c>
      <c r="AM3840">
        <v>84.211071909240701</v>
      </c>
      <c r="AN3840">
        <v>0.99999995798410002</v>
      </c>
    </row>
    <row r="3841" spans="1:40" x14ac:dyDescent="0.25">
      <c r="A3841" t="str">
        <f>"20190304164446755"</f>
        <v>20190304164446755</v>
      </c>
      <c r="B3841" t="str">
        <f>"1551689086744282"</f>
        <v>1551689086744282</v>
      </c>
      <c r="C3841" t="s">
        <v>40</v>
      </c>
      <c r="D3841">
        <v>5.6033249999999999</v>
      </c>
      <c r="E3841">
        <v>0.55893549999999903</v>
      </c>
      <c r="F3841" t="s">
        <v>41</v>
      </c>
      <c r="G3841">
        <v>-196.1557</v>
      </c>
      <c r="H3841">
        <v>0.93821049999999995</v>
      </c>
      <c r="I3841">
        <v>151.3603</v>
      </c>
      <c r="J3841">
        <v>-195.68639999999999</v>
      </c>
      <c r="K3841">
        <v>1.105116</v>
      </c>
      <c r="L3841">
        <v>151.8646</v>
      </c>
      <c r="M3841">
        <v>-0.47849199999999997</v>
      </c>
      <c r="N3841">
        <v>-1.398917E-2</v>
      </c>
      <c r="O3841">
        <v>-0.8779806</v>
      </c>
      <c r="P3841">
        <v>-0.51780219999999999</v>
      </c>
      <c r="Q3841">
        <v>0.37853629999999999</v>
      </c>
      <c r="R3841">
        <v>-0.76719729999999997</v>
      </c>
      <c r="S3841">
        <v>-2.333221</v>
      </c>
      <c r="T3841">
        <v>-0.72665559999999996</v>
      </c>
      <c r="U3841">
        <v>-2.694626</v>
      </c>
      <c r="V3841">
        <v>9.3233499999999997E-2</v>
      </c>
      <c r="W3841">
        <v>0.39007039999999998</v>
      </c>
      <c r="X3841">
        <v>0.9160528</v>
      </c>
      <c r="Y3841">
        <v>0.20140150000000001</v>
      </c>
      <c r="Z3841">
        <v>0.17424110000000001</v>
      </c>
      <c r="AA3841">
        <v>0.96388660000000004</v>
      </c>
      <c r="AB3841">
        <v>26</v>
      </c>
      <c r="AC3841">
        <v>-0.46930000000000399</v>
      </c>
      <c r="AD3841">
        <v>-0.16690550000000001</v>
      </c>
      <c r="AE3841">
        <v>-0.50429999999999997</v>
      </c>
      <c r="AF3841">
        <v>0.16128197382510301</v>
      </c>
      <c r="AG3841">
        <v>-0.16690550000000001</v>
      </c>
      <c r="AH3841">
        <v>0.63038272548329</v>
      </c>
      <c r="AI3841">
        <v>104.386562053891</v>
      </c>
      <c r="AJ3841">
        <v>75.648852909968497</v>
      </c>
      <c r="AK3841">
        <v>0.67175270866511005</v>
      </c>
      <c r="AL3841">
        <v>67.041121671590304</v>
      </c>
      <c r="AM3841">
        <v>84.188593763042306</v>
      </c>
      <c r="AN3841">
        <v>1.00000006743312</v>
      </c>
    </row>
    <row r="3842" spans="1:40" x14ac:dyDescent="0.25">
      <c r="A3842" t="str">
        <f>"20190304164446767"</f>
        <v>20190304164446767</v>
      </c>
      <c r="B3842" t="str">
        <f>"1551689086763802"</f>
        <v>1551689086763802</v>
      </c>
      <c r="C3842" t="s">
        <v>40</v>
      </c>
      <c r="D3842">
        <v>5.3928940000000001</v>
      </c>
      <c r="E3842">
        <v>0.55913809999999997</v>
      </c>
      <c r="F3842" t="s">
        <v>41</v>
      </c>
      <c r="G3842">
        <v>-196.2886</v>
      </c>
      <c r="H3842">
        <v>0.91911609999999999</v>
      </c>
      <c r="I3842">
        <v>151.17590000000001</v>
      </c>
      <c r="J3842">
        <v>-195.75960000000001</v>
      </c>
      <c r="K3842">
        <v>1.1051260000000001</v>
      </c>
      <c r="L3842">
        <v>151.7406</v>
      </c>
      <c r="M3842">
        <v>-0.48256579999999899</v>
      </c>
      <c r="N3842">
        <v>-1.398862E-2</v>
      </c>
      <c r="O3842">
        <v>-0.87574799999999997</v>
      </c>
      <c r="P3842">
        <v>-0.52121499999999998</v>
      </c>
      <c r="Q3842">
        <v>0.37885920000000001</v>
      </c>
      <c r="R3842">
        <v>-0.76472280000000004</v>
      </c>
      <c r="S3842">
        <v>-2.3467560000000001</v>
      </c>
      <c r="T3842">
        <v>-0.72479340000000003</v>
      </c>
      <c r="U3842">
        <v>-2.6840670000000002</v>
      </c>
      <c r="V3842">
        <v>9.3132850000000003E-2</v>
      </c>
      <c r="W3842">
        <v>0.39039400000000002</v>
      </c>
      <c r="X3842">
        <v>0.91592510000000005</v>
      </c>
      <c r="Y3842">
        <v>0.2015776</v>
      </c>
      <c r="Z3842">
        <v>0.1734252</v>
      </c>
      <c r="AA3842">
        <v>0.96399699999999999</v>
      </c>
      <c r="AB3842">
        <v>26</v>
      </c>
      <c r="AC3842">
        <v>-0.52899999999999603</v>
      </c>
      <c r="AD3842">
        <v>-0.18600990000000001</v>
      </c>
      <c r="AE3842">
        <v>-0.56469999999998699</v>
      </c>
      <c r="AF3842">
        <v>0.18036158453646101</v>
      </c>
      <c r="AG3842">
        <v>-0.18600990000000001</v>
      </c>
      <c r="AH3842">
        <v>0.70891809747989598</v>
      </c>
      <c r="AI3842">
        <v>104.267073731868</v>
      </c>
      <c r="AJ3842">
        <v>75.725758156577797</v>
      </c>
      <c r="AK3842">
        <v>0.75478132794143005</v>
      </c>
      <c r="AL3842">
        <v>67.020982449998002</v>
      </c>
      <c r="AM3842">
        <v>84.194020742651503</v>
      </c>
      <c r="AN3842">
        <v>0.99999999589756605</v>
      </c>
    </row>
    <row r="3843" spans="1:40" x14ac:dyDescent="0.25">
      <c r="A3843" t="str">
        <f>"20190304164446780"</f>
        <v>20190304164446780</v>
      </c>
      <c r="B3843" t="str">
        <f>"1551689086773562"</f>
        <v>1551689086773562</v>
      </c>
      <c r="C3843" t="s">
        <v>40</v>
      </c>
      <c r="D3843">
        <v>5.4241539999999997</v>
      </c>
      <c r="E3843">
        <v>0.55928710000000004</v>
      </c>
      <c r="F3843" t="s">
        <v>41</v>
      </c>
      <c r="G3843">
        <v>-196.27619999999999</v>
      </c>
      <c r="H3843">
        <v>0.94647199999999998</v>
      </c>
      <c r="I3843">
        <v>151.1557</v>
      </c>
      <c r="J3843">
        <v>-195.83150000000001</v>
      </c>
      <c r="K3843">
        <v>1.1051409999999999</v>
      </c>
      <c r="L3843">
        <v>151.62010000000001</v>
      </c>
      <c r="M3843">
        <v>-0.48652630000000002</v>
      </c>
      <c r="N3843">
        <v>-1.398806E-2</v>
      </c>
      <c r="O3843">
        <v>-0.87355400000000005</v>
      </c>
      <c r="P3843">
        <v>-0.52477369999999901</v>
      </c>
      <c r="Q3843">
        <v>0.3791793</v>
      </c>
      <c r="R3843">
        <v>-0.76212569999999902</v>
      </c>
      <c r="S3843">
        <v>-2.360703</v>
      </c>
      <c r="T3843">
        <v>-0.72494069999999899</v>
      </c>
      <c r="U3843">
        <v>-2.6731259999999999</v>
      </c>
      <c r="V3843">
        <v>9.3330999999999997E-2</v>
      </c>
      <c r="W3843">
        <v>0.3907101</v>
      </c>
      <c r="X3843">
        <v>0.91577019999999998</v>
      </c>
      <c r="Y3843">
        <v>0.2019514</v>
      </c>
      <c r="Z3843">
        <v>0.1731181</v>
      </c>
      <c r="AA3843">
        <v>0.96397390000000005</v>
      </c>
      <c r="AB3843">
        <v>26</v>
      </c>
      <c r="AC3843">
        <v>-0.444699999999983</v>
      </c>
      <c r="AD3843">
        <v>-0.15866899999999901</v>
      </c>
      <c r="AE3843">
        <v>-0.46440000000001103</v>
      </c>
      <c r="AF3843">
        <v>0.15321255216066301</v>
      </c>
      <c r="AG3843">
        <v>-0.15866899999999901</v>
      </c>
      <c r="AH3843">
        <v>0.58638896361772797</v>
      </c>
      <c r="AI3843">
        <v>104.670664262339</v>
      </c>
      <c r="AJ3843">
        <v>75.357033241167798</v>
      </c>
      <c r="AK3843">
        <v>0.626499764048844</v>
      </c>
      <c r="AL3843">
        <v>67.001310310894098</v>
      </c>
      <c r="AM3843">
        <v>84.180775176793802</v>
      </c>
      <c r="AN3843">
        <v>1.00000005850552</v>
      </c>
    </row>
    <row r="3844" spans="1:40" x14ac:dyDescent="0.25">
      <c r="A3844" t="str">
        <f>"20190304164446792"</f>
        <v>20190304164446792</v>
      </c>
      <c r="B3844" t="str">
        <f>"1551689086784298"</f>
        <v>1551689086784298</v>
      </c>
      <c r="C3844" t="s">
        <v>40</v>
      </c>
      <c r="D3844">
        <v>5.016521</v>
      </c>
      <c r="E3844">
        <v>0.55928710000000004</v>
      </c>
      <c r="F3844" t="s">
        <v>41</v>
      </c>
      <c r="G3844">
        <v>-196.40979999999999</v>
      </c>
      <c r="H3844">
        <v>0.92876720000000001</v>
      </c>
      <c r="I3844">
        <v>150.9716</v>
      </c>
      <c r="J3844">
        <v>-195.91130000000001</v>
      </c>
      <c r="K3844">
        <v>1.105146</v>
      </c>
      <c r="L3844">
        <v>151.4872</v>
      </c>
      <c r="M3844">
        <v>-0.4908903</v>
      </c>
      <c r="N3844">
        <v>-1.398741E-2</v>
      </c>
      <c r="O3844">
        <v>-0.87110909999999997</v>
      </c>
      <c r="P3844">
        <v>-0.52906339999999996</v>
      </c>
      <c r="Q3844">
        <v>0.37952150000000001</v>
      </c>
      <c r="R3844">
        <v>-0.75898299999999996</v>
      </c>
      <c r="S3844">
        <v>-2.373596</v>
      </c>
      <c r="T3844">
        <v>-0.72381809999999902</v>
      </c>
      <c r="U3844">
        <v>-2.6620789999999999</v>
      </c>
      <c r="V3844">
        <v>9.3999360000000004E-2</v>
      </c>
      <c r="W3844">
        <v>0.39104090000000002</v>
      </c>
      <c r="X3844">
        <v>0.9155605</v>
      </c>
      <c r="Y3844">
        <v>0.20170959999999999</v>
      </c>
      <c r="Z3844">
        <v>0.17246320000000001</v>
      </c>
      <c r="AA3844">
        <v>0.9641419</v>
      </c>
      <c r="AB3844">
        <v>26</v>
      </c>
      <c r="AC3844">
        <v>-0.49849999999997802</v>
      </c>
      <c r="AD3844">
        <v>-0.1763788</v>
      </c>
      <c r="AE3844">
        <v>-0.51560000000000605</v>
      </c>
      <c r="AF3844">
        <v>0.170830146161149</v>
      </c>
      <c r="AG3844">
        <v>-0.1763788</v>
      </c>
      <c r="AH3844">
        <v>0.65434349339128295</v>
      </c>
      <c r="AI3844">
        <v>104.617633068838</v>
      </c>
      <c r="AJ3844">
        <v>75.368317608173797</v>
      </c>
      <c r="AK3844">
        <v>0.69889757995745505</v>
      </c>
      <c r="AL3844">
        <v>66.980715959936504</v>
      </c>
      <c r="AM3844">
        <v>84.138058739931907</v>
      </c>
      <c r="AN3844">
        <v>0.99999994715673302</v>
      </c>
    </row>
    <row r="3845" spans="1:40" x14ac:dyDescent="0.25">
      <c r="A3845" t="str">
        <f>"20190304164446806"</f>
        <v>20190304164446806</v>
      </c>
      <c r="B3845" t="str">
        <f>"1551689086803818"</f>
        <v>1551689086803818</v>
      </c>
      <c r="C3845" t="s">
        <v>40</v>
      </c>
      <c r="D3845">
        <v>5.4145589999999997</v>
      </c>
      <c r="E3845">
        <v>0.55943920000000003</v>
      </c>
      <c r="F3845" t="s">
        <v>41</v>
      </c>
      <c r="G3845">
        <v>-196.3963</v>
      </c>
      <c r="H3845">
        <v>0.95835610000000004</v>
      </c>
      <c r="I3845">
        <v>150.94929999999999</v>
      </c>
      <c r="J3845">
        <v>-195.9922</v>
      </c>
      <c r="K3845">
        <v>1.105154</v>
      </c>
      <c r="L3845">
        <v>151.35489999999999</v>
      </c>
      <c r="M3845">
        <v>-0.4952433</v>
      </c>
      <c r="N3845">
        <v>-1.3986500000000001E-2</v>
      </c>
      <c r="O3845">
        <v>-0.86864180000000002</v>
      </c>
      <c r="P3845">
        <v>-0.53348439999999997</v>
      </c>
      <c r="Q3845">
        <v>0.3794574</v>
      </c>
      <c r="R3845">
        <v>-0.75591439999999999</v>
      </c>
      <c r="S3845">
        <v>-2.3880309999999998</v>
      </c>
      <c r="T3845">
        <v>-0.72276560000000001</v>
      </c>
      <c r="U3845">
        <v>-2.649429</v>
      </c>
      <c r="V3845">
        <v>9.4741850000000002E-2</v>
      </c>
      <c r="W3845">
        <v>0.39096589999999998</v>
      </c>
      <c r="X3845">
        <v>0.91551610000000005</v>
      </c>
      <c r="Y3845">
        <v>0.20205870000000001</v>
      </c>
      <c r="Z3845">
        <v>0.1718587</v>
      </c>
      <c r="AA3845">
        <v>0.96417679999999995</v>
      </c>
      <c r="AB3845">
        <v>26</v>
      </c>
      <c r="AC3845">
        <v>-0.40409999999999902</v>
      </c>
      <c r="AD3845">
        <v>-0.14679790000000001</v>
      </c>
      <c r="AE3845">
        <v>-0.40559999999999202</v>
      </c>
      <c r="AF3845">
        <v>0.140899615754148</v>
      </c>
      <c r="AG3845">
        <v>-0.14679790000000001</v>
      </c>
      <c r="AH3845">
        <v>0.51842260650746097</v>
      </c>
      <c r="AI3845">
        <v>105.283006635802</v>
      </c>
      <c r="AJ3845">
        <v>74.795130771976901</v>
      </c>
      <c r="AK3845">
        <v>0.55692398413254496</v>
      </c>
      <c r="AL3845">
        <v>66.985387126096995</v>
      </c>
      <c r="AM3845">
        <v>84.091797692070799</v>
      </c>
      <c r="AN3845">
        <v>1.00000004123172</v>
      </c>
    </row>
    <row r="3846" spans="1:40" x14ac:dyDescent="0.25">
      <c r="A3846" t="str">
        <f>"20190304164446820"</f>
        <v>20190304164446820</v>
      </c>
      <c r="B3846" t="str">
        <f>"1551689086813578"</f>
        <v>1551689086813578</v>
      </c>
      <c r="C3846" t="s">
        <v>40</v>
      </c>
      <c r="D3846">
        <v>5.4088839999999996</v>
      </c>
      <c r="E3846">
        <v>0.55950009999999994</v>
      </c>
      <c r="F3846" t="s">
        <v>41</v>
      </c>
      <c r="G3846">
        <v>-196.53</v>
      </c>
      <c r="H3846">
        <v>0.94278119999999999</v>
      </c>
      <c r="I3846">
        <v>150.76480000000001</v>
      </c>
      <c r="J3846">
        <v>-196.07859999999999</v>
      </c>
      <c r="K3846">
        <v>1.105162</v>
      </c>
      <c r="L3846">
        <v>151.21449999999999</v>
      </c>
      <c r="M3846">
        <v>-0.49985570000000001</v>
      </c>
      <c r="N3846">
        <v>-1.39855E-2</v>
      </c>
      <c r="O3846">
        <v>-0.86599570000000003</v>
      </c>
      <c r="P3846">
        <v>-0.53787109999999905</v>
      </c>
      <c r="Q3846">
        <v>0.37959019999999999</v>
      </c>
      <c r="R3846">
        <v>-0.75273250000000003</v>
      </c>
      <c r="S3846">
        <v>-2.4030149999999999</v>
      </c>
      <c r="T3846">
        <v>-0.72543409999999997</v>
      </c>
      <c r="U3846">
        <v>-2.636917</v>
      </c>
      <c r="V3846">
        <v>9.5226909999999998E-2</v>
      </c>
      <c r="W3846">
        <v>0.39109139999999998</v>
      </c>
      <c r="X3846">
        <v>0.91541209999999995</v>
      </c>
      <c r="Y3846">
        <v>0.20206940000000001</v>
      </c>
      <c r="Z3846">
        <v>0.1720922</v>
      </c>
      <c r="AA3846">
        <v>0.96413289999999996</v>
      </c>
      <c r="AB3846">
        <v>26</v>
      </c>
      <c r="AC3846">
        <v>-0.45140000000000602</v>
      </c>
      <c r="AD3846">
        <v>-0.16238079999999999</v>
      </c>
      <c r="AE3846">
        <v>-0.44969999999997801</v>
      </c>
      <c r="AF3846">
        <v>0.15600943549756599</v>
      </c>
      <c r="AG3846">
        <v>-0.16238079999999999</v>
      </c>
      <c r="AH3846">
        <v>0.57761931751274198</v>
      </c>
      <c r="AI3846">
        <v>105.184099782731</v>
      </c>
      <c r="AJ3846">
        <v>74.885597105744296</v>
      </c>
      <c r="AK3846">
        <v>0.61996011495643499</v>
      </c>
      <c r="AL3846">
        <v>66.977572962769202</v>
      </c>
      <c r="AM3846">
        <v>84.061094619430605</v>
      </c>
      <c r="AN3846">
        <v>0.99999998018425795</v>
      </c>
    </row>
    <row r="3847" spans="1:40" x14ac:dyDescent="0.25">
      <c r="A3847" t="str">
        <f>"20190304164446836"</f>
        <v>20190304164446836</v>
      </c>
      <c r="B3847" t="str">
        <f>"1551689086834074"</f>
        <v>1551689086834074</v>
      </c>
      <c r="C3847" t="s">
        <v>40</v>
      </c>
      <c r="D3847">
        <v>5.4120210000000002</v>
      </c>
      <c r="E3847">
        <v>0.55951139999999999</v>
      </c>
      <c r="F3847" t="s">
        <v>41</v>
      </c>
      <c r="G3847">
        <v>-196.66380000000001</v>
      </c>
      <c r="H3847">
        <v>0.92930699999999999</v>
      </c>
      <c r="I3847">
        <v>150.5797</v>
      </c>
      <c r="J3847">
        <v>-196.1782</v>
      </c>
      <c r="K3847">
        <v>1.1051740000000001</v>
      </c>
      <c r="L3847">
        <v>151.0549</v>
      </c>
      <c r="M3847">
        <v>-0.50510559999999904</v>
      </c>
      <c r="N3847">
        <v>-1.398429E-2</v>
      </c>
      <c r="O3847">
        <v>-0.86294439999999994</v>
      </c>
      <c r="P3847">
        <v>-0.54361919999999897</v>
      </c>
      <c r="Q3847">
        <v>0.37964560000000003</v>
      </c>
      <c r="R3847">
        <v>-0.74856389999999995</v>
      </c>
      <c r="S3847">
        <v>-2.4177249999999999</v>
      </c>
      <c r="T3847">
        <v>-0.72630019999999995</v>
      </c>
      <c r="U3847">
        <v>-2.6240999999999999</v>
      </c>
      <c r="V3847">
        <v>9.66915E-2</v>
      </c>
      <c r="W3847">
        <v>0.39112390000000002</v>
      </c>
      <c r="X3847">
        <v>0.91524470000000002</v>
      </c>
      <c r="Y3847">
        <v>0.201408</v>
      </c>
      <c r="Z3847">
        <v>0.1717997</v>
      </c>
      <c r="AA3847">
        <v>0.96432340000000005</v>
      </c>
      <c r="AB3847">
        <v>26</v>
      </c>
      <c r="AC3847">
        <v>-0.48560000000000503</v>
      </c>
      <c r="AD3847">
        <v>-0.175866999999999</v>
      </c>
      <c r="AE3847">
        <v>-0.47520000000000101</v>
      </c>
      <c r="AF3847">
        <v>0.16779467747280999</v>
      </c>
      <c r="AG3847">
        <v>-0.175866999999999</v>
      </c>
      <c r="AH3847">
        <v>0.61425847662329702</v>
      </c>
      <c r="AI3847">
        <v>105.43954668794601</v>
      </c>
      <c r="AJ3847">
        <v>74.721474240164</v>
      </c>
      <c r="AK3847">
        <v>0.660604065670791</v>
      </c>
      <c r="AL3847">
        <v>66.97555031668</v>
      </c>
      <c r="AM3847">
        <v>83.9693273957689</v>
      </c>
      <c r="AN3847">
        <v>1.0000000061007699</v>
      </c>
    </row>
    <row r="3848" spans="1:40" x14ac:dyDescent="0.25">
      <c r="A3848" t="str">
        <f>"20190304164446848"</f>
        <v>20190304164446848</v>
      </c>
      <c r="B3848" t="str">
        <f>"1551689086843834"</f>
        <v>1551689086843834</v>
      </c>
      <c r="C3848" t="s">
        <v>40</v>
      </c>
      <c r="D3848">
        <v>5.3960179999999998</v>
      </c>
      <c r="E3848">
        <v>0.55952979999999997</v>
      </c>
      <c r="F3848" t="s">
        <v>41</v>
      </c>
      <c r="G3848">
        <v>-196.7971</v>
      </c>
      <c r="H3848">
        <v>0.91988110000000001</v>
      </c>
      <c r="I3848">
        <v>150.39269999999999</v>
      </c>
      <c r="J3848">
        <v>-196.261</v>
      </c>
      <c r="K3848">
        <v>1.1051820000000001</v>
      </c>
      <c r="L3848">
        <v>150.92400000000001</v>
      </c>
      <c r="M3848">
        <v>-0.50941059999999905</v>
      </c>
      <c r="N3848">
        <v>-1.398318E-2</v>
      </c>
      <c r="O3848">
        <v>-0.86041009999999996</v>
      </c>
      <c r="P3848">
        <v>-0.54790419999999995</v>
      </c>
      <c r="Q3848">
        <v>0.3797217</v>
      </c>
      <c r="R3848">
        <v>-0.74539429999999995</v>
      </c>
      <c r="S3848">
        <v>-2.4372250000000002</v>
      </c>
      <c r="T3848">
        <v>-0.72958179999999995</v>
      </c>
      <c r="U3848">
        <v>-2.607742</v>
      </c>
      <c r="V3848">
        <v>9.7386310000000004E-2</v>
      </c>
      <c r="W3848">
        <v>0.39118969999999997</v>
      </c>
      <c r="X3848">
        <v>0.91514289999999998</v>
      </c>
      <c r="Y3848">
        <v>0.2032958</v>
      </c>
      <c r="Z3848">
        <v>0.17227339999999999</v>
      </c>
      <c r="AA3848">
        <v>0.96384270000000005</v>
      </c>
      <c r="AB3848">
        <v>26</v>
      </c>
      <c r="AC3848">
        <v>-0.53610000000000402</v>
      </c>
      <c r="AD3848">
        <v>-0.18530089999999899</v>
      </c>
      <c r="AE3848">
        <v>-0.53130000000001498</v>
      </c>
      <c r="AF3848">
        <v>0.17979769603757001</v>
      </c>
      <c r="AG3848">
        <v>-0.18530089999999899</v>
      </c>
      <c r="AH3848">
        <v>0.68878705369224702</v>
      </c>
      <c r="AI3848">
        <v>104.59045745777</v>
      </c>
      <c r="AJ3848">
        <v>75.370238566087494</v>
      </c>
      <c r="AK3848">
        <v>0.735589043131608</v>
      </c>
      <c r="AL3848">
        <v>66.971453743789596</v>
      </c>
      <c r="AM3848">
        <v>83.925644119387499</v>
      </c>
      <c r="AN3848">
        <v>1.00000000109095</v>
      </c>
    </row>
    <row r="3849" spans="1:40" x14ac:dyDescent="0.25">
      <c r="A3849" t="str">
        <f>"20190304164446861"</f>
        <v>20190304164446861</v>
      </c>
      <c r="B3849" t="str">
        <f>"1551689086853594"</f>
        <v>1551689086853594</v>
      </c>
      <c r="C3849" t="s">
        <v>40</v>
      </c>
      <c r="D3849">
        <v>5.3272459999999997</v>
      </c>
      <c r="E3849">
        <v>0.55956039999999996</v>
      </c>
      <c r="F3849" t="s">
        <v>41</v>
      </c>
      <c r="G3849">
        <v>-196.78440000000001</v>
      </c>
      <c r="H3849">
        <v>0.94928610000000002</v>
      </c>
      <c r="I3849">
        <v>150.3706</v>
      </c>
      <c r="J3849">
        <v>-196.33789999999999</v>
      </c>
      <c r="K3849">
        <v>1.105189</v>
      </c>
      <c r="L3849">
        <v>150.8038</v>
      </c>
      <c r="M3849">
        <v>-0.51336490000000001</v>
      </c>
      <c r="N3849">
        <v>-1.3982140000000001E-2</v>
      </c>
      <c r="O3849">
        <v>-0.8580565</v>
      </c>
      <c r="P3849">
        <v>-0.55207359999999905</v>
      </c>
      <c r="Q3849">
        <v>0.37967190000000001</v>
      </c>
      <c r="R3849">
        <v>-0.74233669999999996</v>
      </c>
      <c r="S3849">
        <v>-2.4526370000000002</v>
      </c>
      <c r="T3849">
        <v>-0.73052879999999998</v>
      </c>
      <c r="U3849">
        <v>-2.5940859999999999</v>
      </c>
      <c r="V3849">
        <v>9.8289039999999994E-2</v>
      </c>
      <c r="W3849">
        <v>0.39112649999999999</v>
      </c>
      <c r="X3849">
        <v>0.91507340000000004</v>
      </c>
      <c r="Y3849">
        <v>0.2043393</v>
      </c>
      <c r="Z3849">
        <v>0.1721888</v>
      </c>
      <c r="AA3849">
        <v>0.96363710000000002</v>
      </c>
      <c r="AB3849">
        <v>26</v>
      </c>
      <c r="AC3849">
        <v>-0.446500000000014</v>
      </c>
      <c r="AD3849">
        <v>-0.15590290000000001</v>
      </c>
      <c r="AE3849">
        <v>-0.43319999999999897</v>
      </c>
      <c r="AF3849">
        <v>0.15124957006835901</v>
      </c>
      <c r="AG3849">
        <v>-0.15590290000000001</v>
      </c>
      <c r="AH3849">
        <v>0.56547367111416702</v>
      </c>
      <c r="AI3849">
        <v>104.913965650916</v>
      </c>
      <c r="AJ3849">
        <v>75.025399525761401</v>
      </c>
      <c r="AK3849">
        <v>0.60575788843200995</v>
      </c>
      <c r="AL3849">
        <v>66.975388326247298</v>
      </c>
      <c r="AM3849">
        <v>83.869302141165605</v>
      </c>
      <c r="AN3849">
        <v>1.0000000008869601</v>
      </c>
    </row>
    <row r="3850" spans="1:40" x14ac:dyDescent="0.25">
      <c r="A3850" t="str">
        <f>"20190304164446873"</f>
        <v>20190304164446873</v>
      </c>
      <c r="B3850" t="str">
        <f>"1551689086864330"</f>
        <v>1551689086864330</v>
      </c>
      <c r="C3850" t="s">
        <v>40</v>
      </c>
      <c r="D3850">
        <v>5.3130369999999996</v>
      </c>
      <c r="E3850">
        <v>0.55958109999999905</v>
      </c>
      <c r="F3850" t="s">
        <v>41</v>
      </c>
      <c r="G3850">
        <v>-196.92310000000001</v>
      </c>
      <c r="H3850">
        <v>0.93142239999999998</v>
      </c>
      <c r="I3850">
        <v>150.19149999999999</v>
      </c>
      <c r="J3850">
        <v>-196.4144</v>
      </c>
      <c r="K3850">
        <v>1.1051959999999901</v>
      </c>
      <c r="L3850">
        <v>150.685</v>
      </c>
      <c r="M3850">
        <v>-0.51727250000000002</v>
      </c>
      <c r="N3850">
        <v>-1.398113E-2</v>
      </c>
      <c r="O3850">
        <v>-0.85570679999999999</v>
      </c>
      <c r="P3850">
        <v>-0.55619560000000001</v>
      </c>
      <c r="Q3850">
        <v>0.37943080000000001</v>
      </c>
      <c r="R3850">
        <v>-0.73937759999999997</v>
      </c>
      <c r="S3850">
        <v>-2.4663240000000002</v>
      </c>
      <c r="T3850">
        <v>-0.73208739999999894</v>
      </c>
      <c r="U3850">
        <v>-2.5815429999999999</v>
      </c>
      <c r="V3850">
        <v>9.9138920000000005E-2</v>
      </c>
      <c r="W3850">
        <v>0.39087369999999999</v>
      </c>
      <c r="X3850">
        <v>0.91508970000000001</v>
      </c>
      <c r="Y3850">
        <v>0.2048587</v>
      </c>
      <c r="Z3850">
        <v>0.172235</v>
      </c>
      <c r="AA3850">
        <v>0.9635186</v>
      </c>
      <c r="AB3850">
        <v>26</v>
      </c>
      <c r="AC3850">
        <v>-0.50870000000000404</v>
      </c>
      <c r="AD3850">
        <v>-0.173773599999999</v>
      </c>
      <c r="AE3850">
        <v>-0.49350000000001099</v>
      </c>
      <c r="AF3850">
        <v>0.16983203326159799</v>
      </c>
      <c r="AG3850">
        <v>-0.173773599999999</v>
      </c>
      <c r="AH3850">
        <v>0.64662242761178002</v>
      </c>
      <c r="AI3850">
        <v>104.570182176465</v>
      </c>
      <c r="AJ3850">
        <v>75.283933520151294</v>
      </c>
      <c r="AK3850">
        <v>0.69076822992178799</v>
      </c>
      <c r="AL3850">
        <v>66.991124701742294</v>
      </c>
      <c r="AM3850">
        <v>83.816809758683107</v>
      </c>
      <c r="AN3850">
        <v>0.99999996692827198</v>
      </c>
    </row>
    <row r="3851" spans="1:40" x14ac:dyDescent="0.25">
      <c r="A3851" t="str">
        <f>"20190304164446890"</f>
        <v>20190304164446890</v>
      </c>
      <c r="B3851" t="str">
        <f>"1551689086883850"</f>
        <v>1551689086883850</v>
      </c>
      <c r="C3851" t="s">
        <v>40</v>
      </c>
      <c r="D3851">
        <v>5.2880820000000002</v>
      </c>
      <c r="E3851">
        <v>0.55959239999999999</v>
      </c>
      <c r="F3851" t="s">
        <v>41</v>
      </c>
      <c r="G3851">
        <v>-196.9109</v>
      </c>
      <c r="H3851">
        <v>0.95806069999999999</v>
      </c>
      <c r="I3851">
        <v>150.17070000000001</v>
      </c>
      <c r="J3851">
        <v>-196.52600000000001</v>
      </c>
      <c r="K3851">
        <v>1.1052029999999999</v>
      </c>
      <c r="L3851">
        <v>150.51429999999999</v>
      </c>
      <c r="M3851">
        <v>-0.52289180000000002</v>
      </c>
      <c r="N3851">
        <v>-1.397959E-2</v>
      </c>
      <c r="O3851">
        <v>-0.852284499999999</v>
      </c>
      <c r="P3851">
        <v>-0.56259049999999999</v>
      </c>
      <c r="Q3851">
        <v>0.37883519999999998</v>
      </c>
      <c r="R3851">
        <v>-0.73483080000000001</v>
      </c>
      <c r="S3851">
        <v>-2.4794770000000002</v>
      </c>
      <c r="T3851">
        <v>-0.73441769999999995</v>
      </c>
      <c r="U3851">
        <v>-2.5691989999999998</v>
      </c>
      <c r="V3851">
        <v>0.1008906</v>
      </c>
      <c r="W3851">
        <v>0.3902544</v>
      </c>
      <c r="X3851">
        <v>0.91516260000000005</v>
      </c>
      <c r="Y3851">
        <v>0.2032621</v>
      </c>
      <c r="Z3851">
        <v>0.1721888</v>
      </c>
      <c r="AA3851">
        <v>0.96386490000000002</v>
      </c>
      <c r="AB3851">
        <v>26</v>
      </c>
      <c r="AC3851">
        <v>-0.38490000000001601</v>
      </c>
      <c r="AD3851">
        <v>-0.1471423</v>
      </c>
      <c r="AE3851">
        <v>-0.34359999999997998</v>
      </c>
      <c r="AF3851">
        <v>0.137232048404131</v>
      </c>
      <c r="AG3851">
        <v>-0.1471423</v>
      </c>
      <c r="AH3851">
        <v>0.45698734408400798</v>
      </c>
      <c r="AI3851">
        <v>107.13865550675</v>
      </c>
      <c r="AJ3851">
        <v>73.2851314630784</v>
      </c>
      <c r="AK3851">
        <v>0.499320462440144</v>
      </c>
      <c r="AL3851">
        <v>67.029670095084597</v>
      </c>
      <c r="AM3851">
        <v>83.708925071610807</v>
      </c>
      <c r="AN3851">
        <v>0.99999999716323995</v>
      </c>
    </row>
    <row r="3852" spans="1:40" x14ac:dyDescent="0.25">
      <c r="A3852" t="str">
        <f>"20190304164446904"</f>
        <v>20190304164446904</v>
      </c>
      <c r="B3852" t="str">
        <f>"1551689086893610"</f>
        <v>1551689086893610</v>
      </c>
      <c r="C3852" t="s">
        <v>40</v>
      </c>
      <c r="D3852">
        <v>5.3160819999999998</v>
      </c>
      <c r="E3852">
        <v>0.5596023</v>
      </c>
      <c r="F3852" t="s">
        <v>41</v>
      </c>
      <c r="G3852">
        <v>-197.0461</v>
      </c>
      <c r="H3852">
        <v>0.95142450000000001</v>
      </c>
      <c r="I3852">
        <v>149.98429999999999</v>
      </c>
      <c r="J3852">
        <v>-196.6078</v>
      </c>
      <c r="K3852">
        <v>1.1052090000000001</v>
      </c>
      <c r="L3852">
        <v>150.39080000000001</v>
      </c>
      <c r="M3852">
        <v>-0.52696100000000001</v>
      </c>
      <c r="N3852">
        <v>-1.39783999999999E-2</v>
      </c>
      <c r="O3852">
        <v>-0.84977449999999999</v>
      </c>
      <c r="P3852">
        <v>-0.56686669999999995</v>
      </c>
      <c r="Q3852">
        <v>0.37879119999999999</v>
      </c>
      <c r="R3852">
        <v>-0.73155979999999998</v>
      </c>
      <c r="S3852">
        <v>-2.5007169999999999</v>
      </c>
      <c r="T3852">
        <v>-0.73917319999999997</v>
      </c>
      <c r="U3852">
        <v>-2.5490569999999999</v>
      </c>
      <c r="V3852">
        <v>0.1018387</v>
      </c>
      <c r="W3852">
        <v>0.3901964</v>
      </c>
      <c r="X3852">
        <v>0.91508230000000002</v>
      </c>
      <c r="Y3852">
        <v>0.20632200000000001</v>
      </c>
      <c r="Z3852">
        <v>0.173125</v>
      </c>
      <c r="AA3852">
        <v>0.96304670000000003</v>
      </c>
      <c r="AB3852">
        <v>26</v>
      </c>
      <c r="AC3852">
        <v>-0.43829999999999802</v>
      </c>
      <c r="AD3852">
        <v>-0.15378449999999999</v>
      </c>
      <c r="AE3852">
        <v>-0.40650000000002201</v>
      </c>
      <c r="AF3852">
        <v>0.14843821196429399</v>
      </c>
      <c r="AG3852">
        <v>-0.15378449999999999</v>
      </c>
      <c r="AH3852">
        <v>0.540674370785448</v>
      </c>
      <c r="AI3852">
        <v>105.33799039274599</v>
      </c>
      <c r="AJ3852">
        <v>74.648109770127704</v>
      </c>
      <c r="AK3852">
        <v>0.58138829575048001</v>
      </c>
      <c r="AL3852">
        <v>67.033279068400802</v>
      </c>
      <c r="AM3852">
        <v>83.649733913820398</v>
      </c>
      <c r="AN3852">
        <v>0.99999998358196995</v>
      </c>
    </row>
    <row r="3853" spans="1:40" x14ac:dyDescent="0.25">
      <c r="A3853" t="str">
        <f>"20190304164446916"</f>
        <v>20190304164446916</v>
      </c>
      <c r="B3853" t="str">
        <f>"1551689086904348"</f>
        <v>1551689086904348</v>
      </c>
      <c r="C3853" t="s">
        <v>40</v>
      </c>
      <c r="D3853">
        <v>5.5217839999999896</v>
      </c>
      <c r="E3853">
        <v>0.55959609999999904</v>
      </c>
      <c r="F3853" t="s">
        <v>41</v>
      </c>
      <c r="G3853">
        <v>-197.18709999999999</v>
      </c>
      <c r="H3853">
        <v>0.93458410000000003</v>
      </c>
      <c r="I3853">
        <v>149.80699999999999</v>
      </c>
      <c r="J3853">
        <v>-196.6841</v>
      </c>
      <c r="K3853">
        <v>1.1052169999999999</v>
      </c>
      <c r="L3853">
        <v>150.2764</v>
      </c>
      <c r="M3853">
        <v>-0.53072459999999999</v>
      </c>
      <c r="N3853">
        <v>-1.397731E-2</v>
      </c>
      <c r="O3853">
        <v>-0.84742909999999905</v>
      </c>
      <c r="P3853">
        <v>-0.57072559999999894</v>
      </c>
      <c r="Q3853">
        <v>0.37867030000000002</v>
      </c>
      <c r="R3853">
        <v>-0.72861609999999999</v>
      </c>
      <c r="S3853">
        <v>-2.5149539999999999</v>
      </c>
      <c r="T3853">
        <v>-0.74058219999999997</v>
      </c>
      <c r="U3853">
        <v>-2.5354920000000001</v>
      </c>
      <c r="V3853">
        <v>0.1025807</v>
      </c>
      <c r="W3853">
        <v>0.39006469999999999</v>
      </c>
      <c r="X3853">
        <v>0.91505559999999997</v>
      </c>
      <c r="Y3853">
        <v>0.20725940000000001</v>
      </c>
      <c r="Z3853">
        <v>0.17315249999999999</v>
      </c>
      <c r="AA3853">
        <v>0.96284040000000004</v>
      </c>
      <c r="AB3853">
        <v>26</v>
      </c>
      <c r="AC3853">
        <v>-0.50299999999998501</v>
      </c>
      <c r="AD3853">
        <v>-0.1706329</v>
      </c>
      <c r="AE3853">
        <v>-0.469399999999979</v>
      </c>
      <c r="AF3853">
        <v>0.166886766506294</v>
      </c>
      <c r="AG3853">
        <v>-0.1706329</v>
      </c>
      <c r="AH3853">
        <v>0.62627998870907298</v>
      </c>
      <c r="AI3853">
        <v>104.749456923628</v>
      </c>
      <c r="AJ3853">
        <v>75.078937875027606</v>
      </c>
      <c r="AK3853">
        <v>0.67021892218496304</v>
      </c>
      <c r="AL3853">
        <v>67.0414749748237</v>
      </c>
      <c r="AM3853">
        <v>83.603662664930297</v>
      </c>
      <c r="AN3853">
        <v>1.00000001064496</v>
      </c>
    </row>
    <row r="3854" spans="1:40" x14ac:dyDescent="0.25">
      <c r="A3854" t="str">
        <f>"20190304164446927"</f>
        <v>20190304164446927</v>
      </c>
      <c r="B3854" t="str">
        <f>"1551689086923866"</f>
        <v>1551689086923866</v>
      </c>
      <c r="C3854" t="s">
        <v>40</v>
      </c>
      <c r="D3854">
        <v>5.2902469999999999</v>
      </c>
      <c r="E3854">
        <v>0.55960540000000003</v>
      </c>
      <c r="F3854" t="s">
        <v>41</v>
      </c>
      <c r="G3854">
        <v>-197.3295</v>
      </c>
      <c r="H3854">
        <v>0.91561689999999996</v>
      </c>
      <c r="I3854">
        <v>149.63210000000001</v>
      </c>
      <c r="J3854">
        <v>-196.76179999999999</v>
      </c>
      <c r="K3854">
        <v>1.105224</v>
      </c>
      <c r="L3854">
        <v>150.16139999999999</v>
      </c>
      <c r="M3854">
        <v>-0.534516199999999</v>
      </c>
      <c r="N3854">
        <v>-1.397612E-2</v>
      </c>
      <c r="O3854">
        <v>-0.84504259999999998</v>
      </c>
      <c r="P3854">
        <v>-0.57448429999999995</v>
      </c>
      <c r="Q3854">
        <v>0.37861339999999999</v>
      </c>
      <c r="R3854">
        <v>-0.72568569999999999</v>
      </c>
      <c r="S3854">
        <v>-2.5277099999999999</v>
      </c>
      <c r="T3854">
        <v>-0.74251029999999996</v>
      </c>
      <c r="U3854">
        <v>-2.5233310000000002</v>
      </c>
      <c r="V3854">
        <v>0.1031918</v>
      </c>
      <c r="W3854">
        <v>0.38999919999999999</v>
      </c>
      <c r="X3854">
        <v>0.91501480000000002</v>
      </c>
      <c r="Y3854">
        <v>0.20758879999999999</v>
      </c>
      <c r="Z3854">
        <v>0.17325760000000001</v>
      </c>
      <c r="AA3854">
        <v>0.96275060000000001</v>
      </c>
      <c r="AB3854">
        <v>26</v>
      </c>
      <c r="AC3854">
        <v>-0.56770000000000198</v>
      </c>
      <c r="AD3854">
        <v>-0.1896071</v>
      </c>
      <c r="AE3854">
        <v>-0.52929999999997701</v>
      </c>
      <c r="AF3854">
        <v>0.185746055433506</v>
      </c>
      <c r="AG3854">
        <v>-0.1896071</v>
      </c>
      <c r="AH3854">
        <v>0.70851827353078201</v>
      </c>
      <c r="AI3854">
        <v>104.513174432724</v>
      </c>
      <c r="AJ3854">
        <v>75.309853919833401</v>
      </c>
      <c r="AK3854">
        <v>0.75660464802072003</v>
      </c>
      <c r="AL3854">
        <v>67.045550471650401</v>
      </c>
      <c r="AM3854">
        <v>83.565592132371904</v>
      </c>
      <c r="AN3854">
        <v>1.00000000390346</v>
      </c>
    </row>
    <row r="3855" spans="1:40" x14ac:dyDescent="0.25">
      <c r="A3855" t="str">
        <f>"20190304164446946"</f>
        <v>20190304164446946</v>
      </c>
      <c r="B3855" t="str">
        <f>"1551689086933626"</f>
        <v>1551689086933626</v>
      </c>
      <c r="C3855" t="s">
        <v>40</v>
      </c>
      <c r="D3855">
        <v>5.2919239999999999</v>
      </c>
      <c r="E3855">
        <v>0.55963059999999998</v>
      </c>
      <c r="F3855" t="s">
        <v>41</v>
      </c>
      <c r="G3855">
        <v>-197.31809999999999</v>
      </c>
      <c r="H3855">
        <v>0.94219410000000003</v>
      </c>
      <c r="I3855">
        <v>149.61160000000001</v>
      </c>
      <c r="J3855">
        <v>-196.88050000000001</v>
      </c>
      <c r="K3855">
        <v>1.1052310000000001</v>
      </c>
      <c r="L3855">
        <v>149.98750000000001</v>
      </c>
      <c r="M3855">
        <v>-0.54024419999999995</v>
      </c>
      <c r="N3855">
        <v>-1.3974260000000001E-2</v>
      </c>
      <c r="O3855">
        <v>-0.84139229999999998</v>
      </c>
      <c r="P3855">
        <v>-0.58059469999999902</v>
      </c>
      <c r="Q3855">
        <v>0.37823699999999999</v>
      </c>
      <c r="R3855">
        <v>-0.72100410000000004</v>
      </c>
      <c r="S3855">
        <v>-2.5407099999999998</v>
      </c>
      <c r="T3855">
        <v>-0.74464730000000001</v>
      </c>
      <c r="U3855">
        <v>-2.511215</v>
      </c>
      <c r="V3855">
        <v>0.1045941</v>
      </c>
      <c r="W3855">
        <v>0.38960270000000002</v>
      </c>
      <c r="X3855">
        <v>0.91502450000000002</v>
      </c>
      <c r="Y3855">
        <v>0.20572299999999999</v>
      </c>
      <c r="Z3855">
        <v>0.17306849999999999</v>
      </c>
      <c r="AA3855">
        <v>0.96318499999999996</v>
      </c>
      <c r="AB3855">
        <v>26</v>
      </c>
      <c r="AC3855">
        <v>-0.43759999999997401</v>
      </c>
      <c r="AD3855">
        <v>-0.16303689999999901</v>
      </c>
      <c r="AE3855">
        <v>-0.37590000000000101</v>
      </c>
      <c r="AF3855">
        <v>0.15291772043105401</v>
      </c>
      <c r="AG3855">
        <v>-0.16303689999999901</v>
      </c>
      <c r="AH3855">
        <v>0.51186074069676801</v>
      </c>
      <c r="AI3855">
        <v>106.971659548907</v>
      </c>
      <c r="AJ3855">
        <v>73.366553973002098</v>
      </c>
      <c r="AK3855">
        <v>0.55853941476863</v>
      </c>
      <c r="AL3855">
        <v>67.070219808369899</v>
      </c>
      <c r="AM3855">
        <v>83.478970011154004</v>
      </c>
      <c r="AN3855">
        <v>1.0000000126011701</v>
      </c>
    </row>
    <row r="3856" spans="1:40" x14ac:dyDescent="0.25">
      <c r="A3856" t="str">
        <f>"20190304164446957"</f>
        <v>20190304164446957</v>
      </c>
      <c r="B3856" t="str">
        <f>"1551689086954122"</f>
        <v>1551689086954122</v>
      </c>
      <c r="C3856" t="s">
        <v>40</v>
      </c>
      <c r="D3856">
        <v>5.3126319999999998</v>
      </c>
      <c r="E3856">
        <v>0.55968530000000005</v>
      </c>
      <c r="F3856" t="s">
        <v>41</v>
      </c>
      <c r="G3856">
        <v>-197.4562</v>
      </c>
      <c r="H3856">
        <v>0.93720939999999997</v>
      </c>
      <c r="I3856">
        <v>149.42750000000001</v>
      </c>
      <c r="J3856">
        <v>-196.9555</v>
      </c>
      <c r="K3856">
        <v>1.1052390000000001</v>
      </c>
      <c r="L3856">
        <v>149.87880000000001</v>
      </c>
      <c r="M3856">
        <v>-0.54382569999999997</v>
      </c>
      <c r="N3856">
        <v>-1.3973080000000001E-2</v>
      </c>
      <c r="O3856">
        <v>-0.83908199999999999</v>
      </c>
      <c r="P3856">
        <v>-0.58407369999999903</v>
      </c>
      <c r="Q3856">
        <v>0.37797219999999998</v>
      </c>
      <c r="R3856">
        <v>-0.71832839999999998</v>
      </c>
      <c r="S3856">
        <v>-2.5598909999999999</v>
      </c>
      <c r="T3856">
        <v>-0.74715790000000004</v>
      </c>
      <c r="U3856">
        <v>-2.4914550000000002</v>
      </c>
      <c r="V3856">
        <v>0.1050355</v>
      </c>
      <c r="W3856">
        <v>0.38933309999999999</v>
      </c>
      <c r="X3856">
        <v>0.91508869999999998</v>
      </c>
      <c r="Y3856">
        <v>0.20888570000000001</v>
      </c>
      <c r="Z3856">
        <v>0.17352000000000001</v>
      </c>
      <c r="AA3856">
        <v>0.96242280000000002</v>
      </c>
      <c r="AB3856">
        <v>26</v>
      </c>
      <c r="AC3856">
        <v>-0.50069999999999404</v>
      </c>
      <c r="AD3856">
        <v>-0.168029599999999</v>
      </c>
      <c r="AE3856">
        <v>-0.45130000000000298</v>
      </c>
      <c r="AF3856">
        <v>0.16449538042331199</v>
      </c>
      <c r="AG3856">
        <v>-0.168029599999999</v>
      </c>
      <c r="AH3856">
        <v>0.61294717703541701</v>
      </c>
      <c r="AI3856">
        <v>104.829660043499</v>
      </c>
      <c r="AJ3856">
        <v>74.977616264956197</v>
      </c>
      <c r="AK3856">
        <v>0.65650355558249396</v>
      </c>
      <c r="AL3856">
        <v>67.086991277910499</v>
      </c>
      <c r="AM3856">
        <v>83.452144403170607</v>
      </c>
      <c r="AN3856">
        <v>1.0000000239417699</v>
      </c>
    </row>
    <row r="3857" spans="1:40" x14ac:dyDescent="0.25">
      <c r="A3857" t="str">
        <f>"20190304164446969"</f>
        <v>20190304164446969</v>
      </c>
      <c r="B3857" t="str">
        <f>"1551689086963882"</f>
        <v>1551689086963882</v>
      </c>
      <c r="C3857" t="s">
        <v>40</v>
      </c>
      <c r="D3857">
        <v>5.3017450000000004</v>
      </c>
      <c r="E3857">
        <v>0.55971409999999999</v>
      </c>
      <c r="F3857" t="s">
        <v>41</v>
      </c>
      <c r="G3857">
        <v>-197.60159999999999</v>
      </c>
      <c r="H3857">
        <v>0.91708659999999997</v>
      </c>
      <c r="I3857">
        <v>149.2561</v>
      </c>
      <c r="J3857">
        <v>-197.04179999999999</v>
      </c>
      <c r="K3857">
        <v>1.105246</v>
      </c>
      <c r="L3857">
        <v>149.7551</v>
      </c>
      <c r="M3857">
        <v>-0.54790469999999902</v>
      </c>
      <c r="N3857">
        <v>-1.397172E-2</v>
      </c>
      <c r="O3857">
        <v>-0.8364241</v>
      </c>
      <c r="P3857">
        <v>-0.58783299999999905</v>
      </c>
      <c r="Q3857">
        <v>0.37786550000000002</v>
      </c>
      <c r="R3857">
        <v>-0.71531109999999998</v>
      </c>
      <c r="S3857">
        <v>-2.5720670000000001</v>
      </c>
      <c r="T3857">
        <v>-0.74900669999999903</v>
      </c>
      <c r="U3857">
        <v>-2.4791259999999999</v>
      </c>
      <c r="V3857">
        <v>0.1053427</v>
      </c>
      <c r="W3857">
        <v>0.38922240000000002</v>
      </c>
      <c r="X3857">
        <v>0.91510049999999998</v>
      </c>
      <c r="Y3857">
        <v>0.20876339999999999</v>
      </c>
      <c r="Z3857">
        <v>0.17353869999999999</v>
      </c>
      <c r="AA3857">
        <v>0.96244589999999997</v>
      </c>
      <c r="AB3857">
        <v>26</v>
      </c>
      <c r="AC3857">
        <v>-0.55979999999999497</v>
      </c>
      <c r="AD3857">
        <v>-0.1881594</v>
      </c>
      <c r="AE3857">
        <v>-0.498999999999995</v>
      </c>
      <c r="AF3857">
        <v>0.183304974216254</v>
      </c>
      <c r="AG3857">
        <v>-0.1881594</v>
      </c>
      <c r="AH3857">
        <v>0.681274311335615</v>
      </c>
      <c r="AI3857">
        <v>104.933319750043</v>
      </c>
      <c r="AJ3857">
        <v>74.940532721602693</v>
      </c>
      <c r="AK3857">
        <v>0.73016392725647405</v>
      </c>
      <c r="AL3857">
        <v>67.093877532686406</v>
      </c>
      <c r="AM3857">
        <v>83.433244691475906</v>
      </c>
      <c r="AN3857">
        <v>1.0000000431026399</v>
      </c>
    </row>
    <row r="3858" spans="1:40" x14ac:dyDescent="0.25">
      <c r="A3858" t="str">
        <f>"20190304164446981"</f>
        <v>20190304164446981</v>
      </c>
      <c r="B3858" t="str">
        <f>"1551689086973642"</f>
        <v>1551689086973642</v>
      </c>
      <c r="C3858" t="s">
        <v>40</v>
      </c>
      <c r="D3858">
        <v>5.3095759999999999</v>
      </c>
      <c r="E3858">
        <v>0.55975090000000005</v>
      </c>
      <c r="F3858" t="s">
        <v>41</v>
      </c>
      <c r="G3858">
        <v>-197.58930000000001</v>
      </c>
      <c r="H3858">
        <v>0.94647680000000001</v>
      </c>
      <c r="I3858">
        <v>149.23310000000001</v>
      </c>
      <c r="J3858">
        <v>-197.11590000000001</v>
      </c>
      <c r="K3858">
        <v>1.1052500000000001</v>
      </c>
      <c r="L3858">
        <v>149.65010000000001</v>
      </c>
      <c r="M3858">
        <v>-0.5513709</v>
      </c>
      <c r="N3858">
        <v>-1.397055E-2</v>
      </c>
      <c r="O3858">
        <v>-0.83414330000000003</v>
      </c>
      <c r="P3858">
        <v>-0.5908428</v>
      </c>
      <c r="Q3858">
        <v>0.3779015</v>
      </c>
      <c r="R3858">
        <v>-0.712808199999999</v>
      </c>
      <c r="S3858">
        <v>-2.5852810000000002</v>
      </c>
      <c r="T3858">
        <v>-0.74974680000000005</v>
      </c>
      <c r="U3858">
        <v>-2.4654850000000001</v>
      </c>
      <c r="V3858">
        <v>0.1054084</v>
      </c>
      <c r="W3858">
        <v>0.38925749999999998</v>
      </c>
      <c r="X3858">
        <v>0.91507799999999995</v>
      </c>
      <c r="Y3858">
        <v>0.20981649999999999</v>
      </c>
      <c r="Z3858">
        <v>0.17342689999999999</v>
      </c>
      <c r="AA3858">
        <v>0.96223709999999996</v>
      </c>
      <c r="AB3858">
        <v>26</v>
      </c>
      <c r="AC3858">
        <v>-0.47339999999999799</v>
      </c>
      <c r="AD3858">
        <v>-0.1587732</v>
      </c>
      <c r="AE3858">
        <v>-0.41700000000000098</v>
      </c>
      <c r="AF3858">
        <v>0.15515068894673001</v>
      </c>
      <c r="AG3858">
        <v>-0.1587732</v>
      </c>
      <c r="AH3858">
        <v>0.572645050023182</v>
      </c>
      <c r="AI3858">
        <v>104.98210238258</v>
      </c>
      <c r="AJ3858">
        <v>74.840402342390703</v>
      </c>
      <c r="AK3858">
        <v>0.61416855881340704</v>
      </c>
      <c r="AL3858">
        <v>67.091694173901402</v>
      </c>
      <c r="AM3858">
        <v>83.429024799742393</v>
      </c>
      <c r="AN3858">
        <v>1.0000000390904</v>
      </c>
    </row>
    <row r="3859" spans="1:40" x14ac:dyDescent="0.25">
      <c r="A3859" t="str">
        <f>"20190304164446992"</f>
        <v>20190304164446992</v>
      </c>
      <c r="B3859" t="str">
        <f>"1551689086984378"</f>
        <v>1551689086984378</v>
      </c>
      <c r="C3859" t="s">
        <v>40</v>
      </c>
      <c r="D3859">
        <v>5.3109970000000004</v>
      </c>
      <c r="E3859">
        <v>0.55978490000000003</v>
      </c>
      <c r="F3859" t="s">
        <v>41</v>
      </c>
      <c r="G3859">
        <v>-197.7363</v>
      </c>
      <c r="H3859">
        <v>0.92595930000000004</v>
      </c>
      <c r="I3859">
        <v>149.06360000000001</v>
      </c>
      <c r="J3859">
        <v>-197.19829999999999</v>
      </c>
      <c r="K3859">
        <v>1.105256</v>
      </c>
      <c r="L3859">
        <v>149.53399999999999</v>
      </c>
      <c r="M3859">
        <v>-0.55519830000000003</v>
      </c>
      <c r="N3859">
        <v>-1.3969290000000001E-2</v>
      </c>
      <c r="O3859">
        <v>-0.83160069999999997</v>
      </c>
      <c r="P3859">
        <v>-0.5944682</v>
      </c>
      <c r="Q3859">
        <v>0.37760050000000001</v>
      </c>
      <c r="R3859">
        <v>-0.70994740000000001</v>
      </c>
      <c r="S3859">
        <v>-2.5956269999999999</v>
      </c>
      <c r="T3859">
        <v>-0.74990809999999997</v>
      </c>
      <c r="U3859">
        <v>-2.4547880000000002</v>
      </c>
      <c r="V3859">
        <v>0.105770699999999</v>
      </c>
      <c r="W3859">
        <v>0.38895269999999998</v>
      </c>
      <c r="X3859">
        <v>0.91516569999999997</v>
      </c>
      <c r="Y3859">
        <v>0.20936540000000001</v>
      </c>
      <c r="Z3859">
        <v>0.1730391</v>
      </c>
      <c r="AA3859">
        <v>0.96240510000000001</v>
      </c>
      <c r="AB3859">
        <v>26</v>
      </c>
      <c r="AC3859">
        <v>-0.53800000000001003</v>
      </c>
      <c r="AD3859">
        <v>-0.179296699999999</v>
      </c>
      <c r="AE3859">
        <v>-0.470399999999983</v>
      </c>
      <c r="AF3859">
        <v>0.175224550149127</v>
      </c>
      <c r="AG3859">
        <v>-0.179296699999999</v>
      </c>
      <c r="AH3859">
        <v>0.64909185077660903</v>
      </c>
      <c r="AI3859">
        <v>104.932168618624</v>
      </c>
      <c r="AJ3859">
        <v>74.892913628349504</v>
      </c>
      <c r="AK3859">
        <v>0.69582410158779195</v>
      </c>
      <c r="AL3859">
        <v>67.110649795561599</v>
      </c>
      <c r="AM3859">
        <v>83.407264454038398</v>
      </c>
      <c r="AN3859">
        <v>0.99999995113613305</v>
      </c>
    </row>
    <row r="3860" spans="1:40" x14ac:dyDescent="0.25">
      <c r="A3860" t="str">
        <f>"20190304164447006"</f>
        <v>20190304164447006</v>
      </c>
      <c r="B3860" t="str">
        <f>"1551689087004478"</f>
        <v>1551689087004478</v>
      </c>
      <c r="C3860" t="s">
        <v>40</v>
      </c>
      <c r="D3860">
        <v>5.2866359999999997</v>
      </c>
      <c r="E3860">
        <v>0.55985810000000003</v>
      </c>
      <c r="F3860" t="s">
        <v>41</v>
      </c>
      <c r="G3860">
        <v>-197.72450000000001</v>
      </c>
      <c r="H3860">
        <v>0.95360120000000004</v>
      </c>
      <c r="I3860">
        <v>149.04150000000001</v>
      </c>
      <c r="J3860">
        <v>-197.28870000000001</v>
      </c>
      <c r="K3860">
        <v>1.1052649999999999</v>
      </c>
      <c r="L3860">
        <v>149.4084</v>
      </c>
      <c r="M3860">
        <v>-0.55934680000000003</v>
      </c>
      <c r="N3860">
        <v>-1.396793E-2</v>
      </c>
      <c r="O3860">
        <v>-0.82881640000000001</v>
      </c>
      <c r="P3860">
        <v>-0.59844519999999901</v>
      </c>
      <c r="Q3860">
        <v>0.37723479999999998</v>
      </c>
      <c r="R3860">
        <v>-0.70679380000000003</v>
      </c>
      <c r="S3860">
        <v>-2.6076809999999999</v>
      </c>
      <c r="T3860">
        <v>-0.75128969999999995</v>
      </c>
      <c r="U3860">
        <v>-2.4417420000000001</v>
      </c>
      <c r="V3860">
        <v>0.1062186</v>
      </c>
      <c r="W3860">
        <v>0.38858280000000001</v>
      </c>
      <c r="X3860">
        <v>0.91527099999999995</v>
      </c>
      <c r="Y3860">
        <v>0.20925170000000001</v>
      </c>
      <c r="Z3860">
        <v>0.17293729999999999</v>
      </c>
      <c r="AA3860">
        <v>0.96244810000000003</v>
      </c>
      <c r="AB3860">
        <v>26</v>
      </c>
      <c r="AC3860">
        <v>-0.43580000000000002</v>
      </c>
      <c r="AD3860">
        <v>-0.15166379999999999</v>
      </c>
      <c r="AE3860">
        <v>-0.36689999999998602</v>
      </c>
      <c r="AF3860">
        <v>0.14566487311423401</v>
      </c>
      <c r="AG3860">
        <v>-0.15166379999999999</v>
      </c>
      <c r="AH3860">
        <v>0.51164594093427196</v>
      </c>
      <c r="AI3860">
        <v>105.912559901294</v>
      </c>
      <c r="AJ3860">
        <v>74.108422020959594</v>
      </c>
      <c r="AK3860">
        <v>0.55317423327948201</v>
      </c>
      <c r="AL3860">
        <v>67.133654059955504</v>
      </c>
      <c r="AM3860">
        <v>83.380348863185802</v>
      </c>
      <c r="AN3860">
        <v>0.999999993441399</v>
      </c>
    </row>
    <row r="3861" spans="1:40" x14ac:dyDescent="0.25">
      <c r="A3861" t="str">
        <f>"20190304164447021"</f>
        <v>20190304164447021</v>
      </c>
      <c r="B3861" t="str">
        <f>"1551689087014237"</f>
        <v>1551689087014237</v>
      </c>
      <c r="C3861" t="s">
        <v>40</v>
      </c>
      <c r="D3861">
        <v>5.2832140000000001</v>
      </c>
      <c r="E3861">
        <v>0.55991780000000002</v>
      </c>
      <c r="F3861" t="s">
        <v>41</v>
      </c>
      <c r="G3861">
        <v>-197.87039999999999</v>
      </c>
      <c r="H3861">
        <v>0.937971</v>
      </c>
      <c r="I3861">
        <v>148.86940000000001</v>
      </c>
      <c r="J3861">
        <v>-197.38499999999999</v>
      </c>
      <c r="K3861">
        <v>1.10527</v>
      </c>
      <c r="L3861">
        <v>149.2758</v>
      </c>
      <c r="M3861">
        <v>-0.56372449999999996</v>
      </c>
      <c r="N3861">
        <v>-1.396647E-2</v>
      </c>
      <c r="O3861">
        <v>-0.82584489999999999</v>
      </c>
      <c r="P3861">
        <v>-0.60272099999999995</v>
      </c>
      <c r="Q3861">
        <v>0.37684600000000001</v>
      </c>
      <c r="R3861">
        <v>-0.70335939999999997</v>
      </c>
      <c r="S3861">
        <v>-2.6196899999999999</v>
      </c>
      <c r="T3861">
        <v>-0.75312380000000001</v>
      </c>
      <c r="U3861">
        <v>-2.4283600000000001</v>
      </c>
      <c r="V3861">
        <v>0.10680099999999999</v>
      </c>
      <c r="W3861">
        <v>0.3881868</v>
      </c>
      <c r="X3861">
        <v>0.91537120000000005</v>
      </c>
      <c r="Y3861">
        <v>0.20889530000000001</v>
      </c>
      <c r="Z3861">
        <v>0.172903</v>
      </c>
      <c r="AA3861">
        <v>0.96253169999999999</v>
      </c>
      <c r="AB3861">
        <v>26</v>
      </c>
      <c r="AC3861">
        <v>-0.485399999999998</v>
      </c>
      <c r="AD3861">
        <v>-0.167299</v>
      </c>
      <c r="AE3861">
        <v>-0.40639999999998999</v>
      </c>
      <c r="AF3861">
        <v>0.16057042389651</v>
      </c>
      <c r="AG3861">
        <v>-0.167299</v>
      </c>
      <c r="AH3861">
        <v>0.56953955094465403</v>
      </c>
      <c r="AI3861">
        <v>105.78682060204299</v>
      </c>
      <c r="AJ3861">
        <v>74.255250529303197</v>
      </c>
      <c r="AK3861">
        <v>0.61493667683879705</v>
      </c>
      <c r="AL3861">
        <v>67.158274784077093</v>
      </c>
      <c r="AM3861">
        <v>83.345099872453801</v>
      </c>
      <c r="AN3861">
        <v>0.99999993954233801</v>
      </c>
    </row>
    <row r="3862" spans="1:40" x14ac:dyDescent="0.25">
      <c r="A3862" t="str">
        <f>"20190304164447041"</f>
        <v>20190304164447041</v>
      </c>
      <c r="B3862" t="str">
        <f>"1551689087033758"</f>
        <v>1551689087033758</v>
      </c>
      <c r="C3862" t="s">
        <v>40</v>
      </c>
      <c r="D3862">
        <v>5.2886419999999896</v>
      </c>
      <c r="E3862">
        <v>0.56002569999999996</v>
      </c>
      <c r="F3862" t="s">
        <v>41</v>
      </c>
      <c r="G3862">
        <v>-198.01689999999999</v>
      </c>
      <c r="H3862">
        <v>0.92408659999999998</v>
      </c>
      <c r="I3862">
        <v>148.697</v>
      </c>
      <c r="J3862">
        <v>-197.53039999999999</v>
      </c>
      <c r="K3862">
        <v>1.1052850000000001</v>
      </c>
      <c r="L3862">
        <v>149.07830000000001</v>
      </c>
      <c r="M3862">
        <v>-0.5702467</v>
      </c>
      <c r="N3862">
        <v>-1.3964259999999999E-2</v>
      </c>
      <c r="O3862">
        <v>-0.8213549</v>
      </c>
      <c r="P3862">
        <v>-0.60882819999999904</v>
      </c>
      <c r="Q3862">
        <v>0.37588120000000003</v>
      </c>
      <c r="R3862">
        <v>-0.69859989999999905</v>
      </c>
      <c r="S3862">
        <v>-2.6330870000000002</v>
      </c>
      <c r="T3862">
        <v>-0.75451420000000002</v>
      </c>
      <c r="U3862">
        <v>-2.4131320000000001</v>
      </c>
      <c r="V3862">
        <v>0.1072139</v>
      </c>
      <c r="W3862">
        <v>0.3872217</v>
      </c>
      <c r="X3862">
        <v>0.91573170000000004</v>
      </c>
      <c r="Y3862">
        <v>0.20664489999999999</v>
      </c>
      <c r="Z3862">
        <v>0.17240429999999901</v>
      </c>
      <c r="AA3862">
        <v>0.96310680000000004</v>
      </c>
      <c r="AB3862">
        <v>26</v>
      </c>
      <c r="AC3862">
        <v>-0.48650000000000598</v>
      </c>
      <c r="AD3862">
        <v>-0.18119840000000001</v>
      </c>
      <c r="AE3862">
        <v>-0.38130000000001002</v>
      </c>
      <c r="AF3862">
        <v>0.16775594786124801</v>
      </c>
      <c r="AG3862">
        <v>-0.18119840000000001</v>
      </c>
      <c r="AH3862">
        <v>0.54392379434437899</v>
      </c>
      <c r="AI3862">
        <v>107.658120823497</v>
      </c>
      <c r="AJ3862">
        <v>72.859290026421803</v>
      </c>
      <c r="AK3862">
        <v>0.59735082845792697</v>
      </c>
      <c r="AL3862">
        <v>67.218264592918601</v>
      </c>
      <c r="AM3862">
        <v>83.322209814623903</v>
      </c>
      <c r="AN3862">
        <v>1.00000000584449</v>
      </c>
    </row>
    <row r="3863" spans="1:40" x14ac:dyDescent="0.25">
      <c r="A3863" t="str">
        <f>"20190304164447058"</f>
        <v>20190304164447058</v>
      </c>
      <c r="B3863" t="str">
        <f>"1551689087054254"</f>
        <v>1551689087054254</v>
      </c>
      <c r="C3863" t="s">
        <v>40</v>
      </c>
      <c r="D3863">
        <v>5.2812859999999997</v>
      </c>
      <c r="E3863">
        <v>0.56013040000000003</v>
      </c>
      <c r="F3863" t="s">
        <v>41</v>
      </c>
      <c r="G3863">
        <v>-198.15770000000001</v>
      </c>
      <c r="H3863">
        <v>0.92607360000000005</v>
      </c>
      <c r="I3863">
        <v>148.51320000000001</v>
      </c>
      <c r="J3863">
        <v>-197.64349999999999</v>
      </c>
      <c r="K3863">
        <v>1.1052999999999999</v>
      </c>
      <c r="L3863">
        <v>148.92679999999999</v>
      </c>
      <c r="M3863">
        <v>-0.57525190000000004</v>
      </c>
      <c r="N3863">
        <v>-1.396263E-2</v>
      </c>
      <c r="O3863">
        <v>-0.81785730000000001</v>
      </c>
      <c r="P3863">
        <v>-0.61381200000000002</v>
      </c>
      <c r="Q3863">
        <v>0.37479390000000001</v>
      </c>
      <c r="R3863">
        <v>-0.69481289999999996</v>
      </c>
      <c r="S3863">
        <v>-2.6524809999999999</v>
      </c>
      <c r="T3863">
        <v>-0.75773269999999904</v>
      </c>
      <c r="U3863">
        <v>-2.390396</v>
      </c>
      <c r="V3863">
        <v>0.1078194</v>
      </c>
      <c r="W3863">
        <v>0.38613199999999998</v>
      </c>
      <c r="X3863">
        <v>0.91612059999999995</v>
      </c>
      <c r="Y3863">
        <v>0.2086266</v>
      </c>
      <c r="Z3863">
        <v>0.1727861</v>
      </c>
      <c r="AA3863">
        <v>0.96261099999999999</v>
      </c>
      <c r="AB3863">
        <v>26</v>
      </c>
      <c r="AC3863">
        <v>-0.51420000000001598</v>
      </c>
      <c r="AD3863">
        <v>-0.17922639999999901</v>
      </c>
      <c r="AE3863">
        <v>-0.41359999999997399</v>
      </c>
      <c r="AF3863">
        <v>0.170089221458356</v>
      </c>
      <c r="AG3863">
        <v>-0.17922639999999901</v>
      </c>
      <c r="AH3863">
        <v>0.59055953692642504</v>
      </c>
      <c r="AI3863">
        <v>106.258322354111</v>
      </c>
      <c r="AJ3863">
        <v>73.932876054971103</v>
      </c>
      <c r="AK3863">
        <v>0.64016639428200495</v>
      </c>
      <c r="AL3863">
        <v>67.285964578464004</v>
      </c>
      <c r="AM3863">
        <v>83.287664480979799</v>
      </c>
      <c r="AN3863">
        <v>0.99999994909235801</v>
      </c>
    </row>
    <row r="3864" spans="1:40" x14ac:dyDescent="0.25">
      <c r="A3864" t="str">
        <f>"20190304164447081"</f>
        <v>20190304164447081</v>
      </c>
      <c r="B3864" t="str">
        <f>"1551689087073774"</f>
        <v>1551689087073774</v>
      </c>
      <c r="C3864" t="s">
        <v>40</v>
      </c>
      <c r="D3864">
        <v>5.2931319999999999</v>
      </c>
      <c r="E3864">
        <v>0.56027059999999995</v>
      </c>
      <c r="F3864" t="s">
        <v>41</v>
      </c>
      <c r="G3864">
        <v>-198.30439999999999</v>
      </c>
      <c r="H3864">
        <v>0.91675620000000002</v>
      </c>
      <c r="I3864">
        <v>148.33959999999999</v>
      </c>
      <c r="J3864">
        <v>-197.80850000000001</v>
      </c>
      <c r="K3864">
        <v>1.1053139999999999</v>
      </c>
      <c r="L3864">
        <v>148.70949999999999</v>
      </c>
      <c r="M3864">
        <v>-0.58244319999999905</v>
      </c>
      <c r="N3864">
        <v>-1.39602999999999E-2</v>
      </c>
      <c r="O3864">
        <v>-0.81275180000000002</v>
      </c>
      <c r="P3864">
        <v>-0.62081059999999999</v>
      </c>
      <c r="Q3864">
        <v>0.37428410000000001</v>
      </c>
      <c r="R3864">
        <v>-0.68884400000000001</v>
      </c>
      <c r="S3864">
        <v>-2.6682739999999998</v>
      </c>
      <c r="T3864">
        <v>-0.76109389999999999</v>
      </c>
      <c r="U3864">
        <v>-2.3710330000000002</v>
      </c>
      <c r="V3864">
        <v>0.10883710000000001</v>
      </c>
      <c r="W3864">
        <v>0.38560889999999998</v>
      </c>
      <c r="X3864">
        <v>0.91622060000000005</v>
      </c>
      <c r="Y3864">
        <v>0.2066887</v>
      </c>
      <c r="Z3864">
        <v>0.17268620000000001</v>
      </c>
      <c r="AA3864">
        <v>0.96304679999999998</v>
      </c>
      <c r="AB3864">
        <v>26</v>
      </c>
      <c r="AC3864">
        <v>-0.49589999999997703</v>
      </c>
      <c r="AD3864">
        <v>-0.188557799999999</v>
      </c>
      <c r="AE3864">
        <v>-0.36990000000000101</v>
      </c>
      <c r="AF3864">
        <v>0.17166928145197899</v>
      </c>
      <c r="AG3864">
        <v>-0.188557799999999</v>
      </c>
      <c r="AH3864">
        <v>0.53941960201495598</v>
      </c>
      <c r="AI3864">
        <v>108.42267456511399</v>
      </c>
      <c r="AJ3864">
        <v>72.346425569819601</v>
      </c>
      <c r="AK3864">
        <v>0.59665559007944602</v>
      </c>
      <c r="AL3864">
        <v>67.318452394558307</v>
      </c>
      <c r="AM3864">
        <v>83.225626027105704</v>
      </c>
      <c r="AN3864">
        <v>0.99999996297998905</v>
      </c>
    </row>
    <row r="3865" spans="1:40" x14ac:dyDescent="0.25">
      <c r="A3865" t="str">
        <f>"20190304164447094"</f>
        <v>20190304164447094</v>
      </c>
      <c r="B3865" t="str">
        <f>"1551689087083534"</f>
        <v>1551689087083534</v>
      </c>
      <c r="C3865" t="s">
        <v>40</v>
      </c>
      <c r="D3865">
        <v>5.0384529999999996</v>
      </c>
      <c r="E3865">
        <v>0.56027059999999995</v>
      </c>
      <c r="F3865" t="s">
        <v>41</v>
      </c>
      <c r="G3865">
        <v>-198.44659999999999</v>
      </c>
      <c r="H3865">
        <v>0.9247997</v>
      </c>
      <c r="I3865">
        <v>148.15430000000001</v>
      </c>
      <c r="J3865">
        <v>-197.89940000000001</v>
      </c>
      <c r="K3865">
        <v>1.1053200000000001</v>
      </c>
      <c r="L3865">
        <v>148.59110000000001</v>
      </c>
      <c r="M3865">
        <v>-0.58636069999999996</v>
      </c>
      <c r="N3865">
        <v>-1.395917E-2</v>
      </c>
      <c r="O3865">
        <v>-0.80992989999999998</v>
      </c>
      <c r="P3865">
        <v>-0.62450139999999998</v>
      </c>
      <c r="Q3865">
        <v>0.37452829999999998</v>
      </c>
      <c r="R3865">
        <v>-0.68536609999999998</v>
      </c>
      <c r="S3865">
        <v>-2.692291</v>
      </c>
      <c r="T3865">
        <v>-0.76158049999999999</v>
      </c>
      <c r="U3865">
        <v>-2.3425449999999999</v>
      </c>
      <c r="V3865">
        <v>0.1094149</v>
      </c>
      <c r="W3865">
        <v>0.38584289999999999</v>
      </c>
      <c r="X3865">
        <v>0.91605329999999996</v>
      </c>
      <c r="Y3865">
        <v>0.2119733</v>
      </c>
      <c r="Z3865">
        <v>0.17274909999999999</v>
      </c>
      <c r="AA3865">
        <v>0.96188620000000002</v>
      </c>
      <c r="AB3865">
        <v>26</v>
      </c>
      <c r="AC3865">
        <v>-0.54719999999997504</v>
      </c>
      <c r="AD3865">
        <v>-0.18052029999999999</v>
      </c>
      <c r="AE3865">
        <v>-0.43680000000000502</v>
      </c>
      <c r="AF3865">
        <v>0.175427906622976</v>
      </c>
      <c r="AG3865">
        <v>-0.18052029999999999</v>
      </c>
      <c r="AH3865">
        <v>0.63264450731351796</v>
      </c>
      <c r="AI3865">
        <v>105.37448569003</v>
      </c>
      <c r="AJ3865">
        <v>74.501677166539807</v>
      </c>
      <c r="AK3865">
        <v>0.68088295746638705</v>
      </c>
      <c r="AL3865">
        <v>67.303921651037797</v>
      </c>
      <c r="AM3865">
        <v>83.188766721338396</v>
      </c>
      <c r="AN3865">
        <v>1.0000000061316501</v>
      </c>
    </row>
    <row r="3866" spans="1:40" x14ac:dyDescent="0.25">
      <c r="A3866" t="str">
        <f>"20190304164447107"</f>
        <v>20190304164447107</v>
      </c>
      <c r="B3866" t="str">
        <f>"1551689087104132"</f>
        <v>1551689087104132</v>
      </c>
      <c r="C3866" t="s">
        <v>40</v>
      </c>
      <c r="D3866">
        <v>5.302956</v>
      </c>
      <c r="E3866">
        <v>0.56036439999999998</v>
      </c>
      <c r="F3866" t="s">
        <v>41</v>
      </c>
      <c r="G3866">
        <v>-198.59909999999999</v>
      </c>
      <c r="H3866">
        <v>0.90862540000000003</v>
      </c>
      <c r="I3866">
        <v>147.98929999999999</v>
      </c>
      <c r="J3866">
        <v>-197.99180000000001</v>
      </c>
      <c r="K3866">
        <v>1.105324</v>
      </c>
      <c r="L3866">
        <v>148.4725</v>
      </c>
      <c r="M3866">
        <v>-0.59030249999999995</v>
      </c>
      <c r="N3866">
        <v>-1.395831E-2</v>
      </c>
      <c r="O3866">
        <v>-0.80706160000000005</v>
      </c>
      <c r="P3866">
        <v>-0.62809349999999997</v>
      </c>
      <c r="Q3866">
        <v>0.37482739999999998</v>
      </c>
      <c r="R3866">
        <v>-0.68191159999999995</v>
      </c>
      <c r="S3866">
        <v>-2.7057500000000001</v>
      </c>
      <c r="T3866">
        <v>-0.76048780000000005</v>
      </c>
      <c r="U3866">
        <v>-2.3273160000000002</v>
      </c>
      <c r="V3866">
        <v>0.1098638</v>
      </c>
      <c r="W3866">
        <v>0.3861328</v>
      </c>
      <c r="X3866">
        <v>0.91587739999999995</v>
      </c>
      <c r="Y3866">
        <v>0.21276320000000001</v>
      </c>
      <c r="Z3866">
        <v>0.17208229999999999</v>
      </c>
      <c r="AA3866">
        <v>0.96183129999999994</v>
      </c>
      <c r="AB3866">
        <v>26</v>
      </c>
      <c r="AC3866">
        <v>-0.60729999999997997</v>
      </c>
      <c r="AD3866">
        <v>-0.196698599999999</v>
      </c>
      <c r="AE3866">
        <v>-0.48320000000001001</v>
      </c>
      <c r="AF3866">
        <v>0.192545510140717</v>
      </c>
      <c r="AG3866">
        <v>-0.196698599999999</v>
      </c>
      <c r="AH3866">
        <v>0.70335356551476402</v>
      </c>
      <c r="AI3866">
        <v>105.09535483343799</v>
      </c>
      <c r="AJ3866">
        <v>74.690166993958101</v>
      </c>
      <c r="AK3866">
        <v>0.75529487674658602</v>
      </c>
      <c r="AL3866">
        <v>67.285916176336499</v>
      </c>
      <c r="AM3866">
        <v>83.159785178414793</v>
      </c>
      <c r="AN3866">
        <v>1.0000000028085101</v>
      </c>
    </row>
    <row r="3867" spans="1:40" x14ac:dyDescent="0.25">
      <c r="A3867" t="str">
        <f>"20190304164447126"</f>
        <v>20190304164447126</v>
      </c>
      <c r="B3867" t="str">
        <f>"1551689087113891"</f>
        <v>1551689087113891</v>
      </c>
      <c r="C3867" t="s">
        <v>40</v>
      </c>
      <c r="D3867">
        <v>5.2941830000000003</v>
      </c>
      <c r="E3867">
        <v>0.56045349999999905</v>
      </c>
      <c r="F3867" t="s">
        <v>41</v>
      </c>
      <c r="G3867">
        <v>-198.5883</v>
      </c>
      <c r="H3867">
        <v>0.93902609999999997</v>
      </c>
      <c r="I3867">
        <v>147.96559999999999</v>
      </c>
      <c r="J3867">
        <v>-198.12540000000001</v>
      </c>
      <c r="K3867">
        <v>1.1053230000000001</v>
      </c>
      <c r="L3867">
        <v>148.30279999999999</v>
      </c>
      <c r="M3867">
        <v>-0.59595640000000005</v>
      </c>
      <c r="N3867">
        <v>-1.3957779999999999E-2</v>
      </c>
      <c r="O3867">
        <v>-0.80289569999999999</v>
      </c>
      <c r="P3867">
        <v>-0.63361299999999998</v>
      </c>
      <c r="Q3867">
        <v>0.37579479999999998</v>
      </c>
      <c r="R3867">
        <v>-0.67624930000000005</v>
      </c>
      <c r="S3867">
        <v>-2.7194210000000001</v>
      </c>
      <c r="T3867">
        <v>-0.75805259999999997</v>
      </c>
      <c r="U3867">
        <v>-2.3112490000000001</v>
      </c>
      <c r="V3867">
        <v>0.1112177</v>
      </c>
      <c r="W3867">
        <v>0.3870709</v>
      </c>
      <c r="X3867">
        <v>0.91531790000000002</v>
      </c>
      <c r="Y3867">
        <v>0.21175169999999999</v>
      </c>
      <c r="Z3867">
        <v>0.17078670000000001</v>
      </c>
      <c r="AA3867">
        <v>0.96228530000000001</v>
      </c>
      <c r="AB3867">
        <v>26</v>
      </c>
      <c r="AC3867">
        <v>-0.46289999999998999</v>
      </c>
      <c r="AD3867">
        <v>-0.166296899999999</v>
      </c>
      <c r="AE3867">
        <v>-0.337199999999995</v>
      </c>
      <c r="AF3867">
        <v>0.157445059532651</v>
      </c>
      <c r="AG3867">
        <v>-0.166296899999999</v>
      </c>
      <c r="AH3867">
        <v>0.50414894134353305</v>
      </c>
      <c r="AI3867">
        <v>107.477111105682</v>
      </c>
      <c r="AJ3867">
        <v>72.6564834252585</v>
      </c>
      <c r="AK3867">
        <v>0.55372354183171102</v>
      </c>
      <c r="AL3867">
        <v>67.227636820661104</v>
      </c>
      <c r="AM3867">
        <v>83.072112437328698</v>
      </c>
      <c r="AN3867">
        <v>1.00000005824025</v>
      </c>
    </row>
    <row r="3868" spans="1:40" x14ac:dyDescent="0.25">
      <c r="A3868" t="str">
        <f>"20190304164447139"</f>
        <v>20190304164447139</v>
      </c>
      <c r="B3868" t="str">
        <f>"1551689087134387"</f>
        <v>1551689087134387</v>
      </c>
      <c r="C3868" t="s">
        <v>40</v>
      </c>
      <c r="D3868">
        <v>5.3303919999999998</v>
      </c>
      <c r="E3868">
        <v>0.56061530000000004</v>
      </c>
      <c r="F3868" t="s">
        <v>41</v>
      </c>
      <c r="G3868">
        <v>-198.7381</v>
      </c>
      <c r="H3868">
        <v>0.93697549999999996</v>
      </c>
      <c r="I3868">
        <v>147.79169999999999</v>
      </c>
      <c r="J3868">
        <v>-198.21940000000001</v>
      </c>
      <c r="K3868">
        <v>1.105313</v>
      </c>
      <c r="L3868">
        <v>148.1848</v>
      </c>
      <c r="M3868">
        <v>-0.5999061</v>
      </c>
      <c r="N3868">
        <v>-1.395827E-2</v>
      </c>
      <c r="O3868">
        <v>-0.79994860000000001</v>
      </c>
      <c r="P3868">
        <v>-0.63736059999999894</v>
      </c>
      <c r="Q3868">
        <v>0.37657960000000001</v>
      </c>
      <c r="R3868">
        <v>-0.67227930000000002</v>
      </c>
      <c r="S3868">
        <v>-2.7408139999999999</v>
      </c>
      <c r="T3868">
        <v>-0.75306609999999996</v>
      </c>
      <c r="U3868">
        <v>-2.2867280000000001</v>
      </c>
      <c r="V3868">
        <v>0.1120815</v>
      </c>
      <c r="W3868">
        <v>0.38783529999999999</v>
      </c>
      <c r="X3868">
        <v>0.91488879999999995</v>
      </c>
      <c r="Y3868">
        <v>0.21589910000000001</v>
      </c>
      <c r="Z3868">
        <v>0.16942689999999999</v>
      </c>
      <c r="AA3868">
        <v>0.96160389999999996</v>
      </c>
      <c r="AB3868">
        <v>26</v>
      </c>
      <c r="AC3868">
        <v>-0.51869999999999505</v>
      </c>
      <c r="AD3868">
        <v>-0.1683375</v>
      </c>
      <c r="AE3868">
        <v>-0.393100000000003</v>
      </c>
      <c r="AF3868">
        <v>0.16789542806663599</v>
      </c>
      <c r="AG3868">
        <v>-0.1683375</v>
      </c>
      <c r="AH3868">
        <v>0.58645777626041096</v>
      </c>
      <c r="AI3868">
        <v>105.427114864088</v>
      </c>
      <c r="AJ3868">
        <v>74.024253898678495</v>
      </c>
      <c r="AK3868">
        <v>0.63281838785565903</v>
      </c>
      <c r="AL3868">
        <v>67.180127652784407</v>
      </c>
      <c r="AM3868">
        <v>83.015592262510097</v>
      </c>
      <c r="AN3868">
        <v>0.999999999466889</v>
      </c>
    </row>
    <row r="3869" spans="1:40" x14ac:dyDescent="0.25">
      <c r="A3869" t="str">
        <f>"20190304164447151"</f>
        <v>20190304164447151</v>
      </c>
      <c r="B3869" t="str">
        <f>"1551689087144147"</f>
        <v>1551689087144147</v>
      </c>
      <c r="C3869" t="s">
        <v>40</v>
      </c>
      <c r="D3869">
        <v>5.3853</v>
      </c>
      <c r="E3869">
        <v>0.56069530000000001</v>
      </c>
      <c r="F3869" t="s">
        <v>41</v>
      </c>
      <c r="G3869">
        <v>-198.89420000000001</v>
      </c>
      <c r="H3869">
        <v>0.92215250000000004</v>
      </c>
      <c r="I3869">
        <v>147.62960000000001</v>
      </c>
      <c r="J3869">
        <v>-198.31569999999999</v>
      </c>
      <c r="K3869">
        <v>1.105297</v>
      </c>
      <c r="L3869">
        <v>148.0652</v>
      </c>
      <c r="M3869">
        <v>-0.60393399999999997</v>
      </c>
      <c r="N3869">
        <v>-1.3959630000000001E-2</v>
      </c>
      <c r="O3869">
        <v>-0.79691210000000001</v>
      </c>
      <c r="P3869">
        <v>-0.6410053</v>
      </c>
      <c r="Q3869">
        <v>0.37684010000000001</v>
      </c>
      <c r="R3869">
        <v>-0.66865839999999999</v>
      </c>
      <c r="S3869">
        <v>-2.7559049999999998</v>
      </c>
      <c r="T3869">
        <v>-0.74781850000000005</v>
      </c>
      <c r="U3869">
        <v>-2.2686000000000002</v>
      </c>
      <c r="V3869">
        <v>0.1125525</v>
      </c>
      <c r="W3869">
        <v>0.38808219999999999</v>
      </c>
      <c r="X3869">
        <v>0.91472629999999999</v>
      </c>
      <c r="Y3869">
        <v>0.2175552</v>
      </c>
      <c r="Z3869">
        <v>0.1678492</v>
      </c>
      <c r="AA3869">
        <v>0.96150729999999995</v>
      </c>
      <c r="AB3869">
        <v>25</v>
      </c>
      <c r="AC3869">
        <v>-0.578500000000019</v>
      </c>
      <c r="AD3869">
        <v>-0.18314449999999999</v>
      </c>
      <c r="AE3869">
        <v>-0.43559999999999299</v>
      </c>
      <c r="AF3869">
        <v>0.186058730598648</v>
      </c>
      <c r="AG3869">
        <v>-0.18314449999999999</v>
      </c>
      <c r="AH3869">
        <v>0.65470295335737705</v>
      </c>
      <c r="AI3869">
        <v>105.060531328921</v>
      </c>
      <c r="AJ3869">
        <v>74.135485782143505</v>
      </c>
      <c r="AK3869">
        <v>0.70483736865116797</v>
      </c>
      <c r="AL3869">
        <v>67.164779956827303</v>
      </c>
      <c r="AM3869">
        <v>82.985299877719896</v>
      </c>
      <c r="AN3869">
        <v>1.00000003156238</v>
      </c>
    </row>
    <row r="3870" spans="1:40" x14ac:dyDescent="0.25">
      <c r="A3870" t="str">
        <f>"20190304164447170"</f>
        <v>20190304164447170</v>
      </c>
      <c r="B3870" t="str">
        <f>"1551689087163667"</f>
        <v>1551689087163667</v>
      </c>
      <c r="C3870" t="s">
        <v>40</v>
      </c>
      <c r="D3870">
        <v>5.5464529999999996</v>
      </c>
      <c r="E3870">
        <v>0.56077270000000001</v>
      </c>
      <c r="F3870" t="s">
        <v>41</v>
      </c>
      <c r="G3870">
        <v>-198.8826</v>
      </c>
      <c r="H3870">
        <v>0.95258430000000005</v>
      </c>
      <c r="I3870">
        <v>147.6046</v>
      </c>
      <c r="J3870">
        <v>-198.44730000000001</v>
      </c>
      <c r="K3870">
        <v>1.105256</v>
      </c>
      <c r="L3870">
        <v>147.90389999999999</v>
      </c>
      <c r="M3870">
        <v>-0.6094233</v>
      </c>
      <c r="N3870">
        <v>-1.396391E-2</v>
      </c>
      <c r="O3870">
        <v>-0.79272219999999904</v>
      </c>
      <c r="P3870">
        <v>-0.64563979999999999</v>
      </c>
      <c r="Q3870">
        <v>0.3785906</v>
      </c>
      <c r="R3870">
        <v>-0.66318849999999996</v>
      </c>
      <c r="S3870">
        <v>-2.7699889999999998</v>
      </c>
      <c r="T3870">
        <v>-0.74581239999999904</v>
      </c>
      <c r="U3870">
        <v>-2.2515109999999998</v>
      </c>
      <c r="V3870">
        <v>0.1132715</v>
      </c>
      <c r="W3870">
        <v>0.38980389999999998</v>
      </c>
      <c r="X3870">
        <v>0.91390510000000003</v>
      </c>
      <c r="Y3870">
        <v>0.2169257</v>
      </c>
      <c r="Z3870">
        <v>0.16667760000000001</v>
      </c>
      <c r="AA3870">
        <v>0.96185330000000002</v>
      </c>
      <c r="AB3870">
        <v>25</v>
      </c>
      <c r="AC3870">
        <v>-0.43529999999998298</v>
      </c>
      <c r="AD3870">
        <v>-0.15267169999999899</v>
      </c>
      <c r="AE3870">
        <v>-0.29929999999998802</v>
      </c>
      <c r="AF3870">
        <v>0.15014663404803699</v>
      </c>
      <c r="AG3870">
        <v>-0.15267169999999899</v>
      </c>
      <c r="AH3870">
        <v>0.463850216343551</v>
      </c>
      <c r="AI3870">
        <v>107.387593174263</v>
      </c>
      <c r="AJ3870">
        <v>72.063420757404103</v>
      </c>
      <c r="AK3870">
        <v>0.51089106754650204</v>
      </c>
      <c r="AL3870">
        <v>67.057702506373801</v>
      </c>
      <c r="AM3870">
        <v>82.934660814314498</v>
      </c>
      <c r="AN3870">
        <v>1.00000002248673</v>
      </c>
    </row>
    <row r="3871" spans="1:40" x14ac:dyDescent="0.25">
      <c r="A3871" t="str">
        <f>"20190304164447183"</f>
        <v>20190304164447183</v>
      </c>
      <c r="B3871" t="str">
        <f>"1551689087174403"</f>
        <v>1551689087174403</v>
      </c>
      <c r="C3871" t="s">
        <v>40</v>
      </c>
      <c r="D3871">
        <v>5.566446</v>
      </c>
      <c r="E3871">
        <v>0.56081159999999997</v>
      </c>
      <c r="F3871" t="s">
        <v>41</v>
      </c>
      <c r="G3871">
        <v>-199.03569999999999</v>
      </c>
      <c r="H3871">
        <v>0.9495635</v>
      </c>
      <c r="I3871">
        <v>147.43450000000001</v>
      </c>
      <c r="J3871">
        <v>-198.54320000000001</v>
      </c>
      <c r="K3871">
        <v>1.105213</v>
      </c>
      <c r="L3871">
        <v>147.78819999999999</v>
      </c>
      <c r="M3871">
        <v>-0.61341619999999997</v>
      </c>
      <c r="N3871">
        <v>-1.3968639999999999E-2</v>
      </c>
      <c r="O3871">
        <v>-0.78963640000000002</v>
      </c>
      <c r="P3871">
        <v>-0.64880839999999995</v>
      </c>
      <c r="Q3871">
        <v>0.37931300000000001</v>
      </c>
      <c r="R3871">
        <v>-0.65967419999999899</v>
      </c>
      <c r="S3871">
        <v>-2.7916110000000001</v>
      </c>
      <c r="T3871">
        <v>-0.73855230000000005</v>
      </c>
      <c r="U3871">
        <v>-2.227509</v>
      </c>
      <c r="V3871">
        <v>0.113342</v>
      </c>
      <c r="W3871">
        <v>0.39051340000000001</v>
      </c>
      <c r="X3871">
        <v>0.9135934</v>
      </c>
      <c r="Y3871">
        <v>0.22097890000000001</v>
      </c>
      <c r="Z3871">
        <v>0.16472429999999999</v>
      </c>
      <c r="AA3871">
        <v>0.96126699999999998</v>
      </c>
      <c r="AB3871">
        <v>25</v>
      </c>
      <c r="AC3871">
        <v>-0.49249999999997801</v>
      </c>
      <c r="AD3871">
        <v>-0.1556495</v>
      </c>
      <c r="AE3871">
        <v>-0.35369999999997498</v>
      </c>
      <c r="AF3871">
        <v>0.16131744413141999</v>
      </c>
      <c r="AG3871">
        <v>-0.1556495</v>
      </c>
      <c r="AH3871">
        <v>0.54551228744722402</v>
      </c>
      <c r="AI3871">
        <v>105.302412542417</v>
      </c>
      <c r="AJ3871">
        <v>73.5261378622519</v>
      </c>
      <c r="AK3871">
        <v>0.58977431309548101</v>
      </c>
      <c r="AL3871">
        <v>67.013551887100903</v>
      </c>
      <c r="AM3871">
        <v>82.927920224083095</v>
      </c>
      <c r="AN3871">
        <v>1.00000001253356</v>
      </c>
    </row>
    <row r="3872" spans="1:40" x14ac:dyDescent="0.25">
      <c r="A3872" t="str">
        <f>"20190304164447195"</f>
        <v>20190304164447195</v>
      </c>
      <c r="B3872" t="str">
        <f>"1551689087193923"</f>
        <v>1551689087193923</v>
      </c>
      <c r="C3872" t="s">
        <v>40</v>
      </c>
      <c r="D3872">
        <v>5.6011249999999997</v>
      </c>
      <c r="E3872">
        <v>0.56093389999999999</v>
      </c>
      <c r="F3872" t="s">
        <v>41</v>
      </c>
      <c r="G3872">
        <v>-199.1936</v>
      </c>
      <c r="H3872">
        <v>0.93457069999999998</v>
      </c>
      <c r="I3872">
        <v>147.27510000000001</v>
      </c>
      <c r="J3872">
        <v>-198.63390000000001</v>
      </c>
      <c r="K3872">
        <v>1.1051679999999999</v>
      </c>
      <c r="L3872">
        <v>147.67939999999999</v>
      </c>
      <c r="M3872">
        <v>-0.61718989999999996</v>
      </c>
      <c r="N3872">
        <v>-1.3973660000000001E-2</v>
      </c>
      <c r="O3872">
        <v>-0.78669009999999995</v>
      </c>
      <c r="P3872">
        <v>-0.65179699999999996</v>
      </c>
      <c r="Q3872">
        <v>0.3800502</v>
      </c>
      <c r="R3872">
        <v>-0.6562945</v>
      </c>
      <c r="S3872">
        <v>-2.804459</v>
      </c>
      <c r="T3872">
        <v>-0.73551929999999999</v>
      </c>
      <c r="U3872">
        <v>-2.2123719999999998</v>
      </c>
      <c r="V3872">
        <v>0.11343449999999999</v>
      </c>
      <c r="W3872">
        <v>0.39123720000000001</v>
      </c>
      <c r="X3872">
        <v>0.91327219999999998</v>
      </c>
      <c r="Y3872">
        <v>0.22180429999999901</v>
      </c>
      <c r="Z3872">
        <v>0.1635952</v>
      </c>
      <c r="AA3872">
        <v>0.9612697</v>
      </c>
      <c r="AB3872">
        <v>25</v>
      </c>
      <c r="AC3872">
        <v>-0.55969999999999198</v>
      </c>
      <c r="AD3872">
        <v>-0.17059729999999901</v>
      </c>
      <c r="AE3872">
        <v>-0.40429999999997701</v>
      </c>
      <c r="AF3872">
        <v>0.179821295181707</v>
      </c>
      <c r="AG3872">
        <v>-0.17059729999999901</v>
      </c>
      <c r="AH3872">
        <v>0.62538562944810805</v>
      </c>
      <c r="AI3872">
        <v>104.690346407489</v>
      </c>
      <c r="AJ3872">
        <v>73.958116604478207</v>
      </c>
      <c r="AK3872">
        <v>0.672715632706958</v>
      </c>
      <c r="AL3872">
        <v>66.968497008226294</v>
      </c>
      <c r="AM3872">
        <v>82.919743097438598</v>
      </c>
      <c r="AN3872">
        <v>1.0000000218734599</v>
      </c>
    </row>
    <row r="3873" spans="1:40" x14ac:dyDescent="0.25">
      <c r="A3873" t="str">
        <f>"20190304164447210"</f>
        <v>20190304164447210</v>
      </c>
      <c r="B3873" t="str">
        <f>"1551689087203683"</f>
        <v>1551689087203683</v>
      </c>
      <c r="C3873" t="s">
        <v>40</v>
      </c>
      <c r="D3873">
        <v>5.6288600000000004</v>
      </c>
      <c r="E3873">
        <v>0.56098219999999899</v>
      </c>
      <c r="F3873" t="s">
        <v>41</v>
      </c>
      <c r="G3873">
        <v>-199.35339999999999</v>
      </c>
      <c r="H3873">
        <v>0.91822000000000004</v>
      </c>
      <c r="I3873">
        <v>147.1183</v>
      </c>
      <c r="J3873">
        <v>-198.7441</v>
      </c>
      <c r="K3873">
        <v>1.1050979999999999</v>
      </c>
      <c r="L3873">
        <v>147.54900000000001</v>
      </c>
      <c r="M3873">
        <v>-0.62178610000000001</v>
      </c>
      <c r="N3873">
        <v>-1.398191E-2</v>
      </c>
      <c r="O3873">
        <v>-0.78306239999999905</v>
      </c>
      <c r="P3873">
        <v>-0.65519969999999905</v>
      </c>
      <c r="Q3873">
        <v>0.38088240000000001</v>
      </c>
      <c r="R3873">
        <v>-0.65241269999999996</v>
      </c>
      <c r="S3873">
        <v>-2.817307</v>
      </c>
      <c r="T3873">
        <v>-0.73189890000000002</v>
      </c>
      <c r="U3873">
        <v>-2.1969599999999998</v>
      </c>
      <c r="V3873">
        <v>0.1132114</v>
      </c>
      <c r="W3873">
        <v>0.39205709999999999</v>
      </c>
      <c r="X3873">
        <v>0.91294819999999999</v>
      </c>
      <c r="Y3873">
        <v>0.2216872</v>
      </c>
      <c r="Z3873">
        <v>0.16216429999999901</v>
      </c>
      <c r="AA3873">
        <v>0.96153909999999998</v>
      </c>
      <c r="AB3873">
        <v>25</v>
      </c>
      <c r="AC3873">
        <v>-0.60929999999998996</v>
      </c>
      <c r="AD3873">
        <v>-0.18687799999999899</v>
      </c>
      <c r="AE3873">
        <v>-0.43070000000000103</v>
      </c>
      <c r="AF3873">
        <v>0.19698099679261699</v>
      </c>
      <c r="AG3873">
        <v>-0.18687799999999899</v>
      </c>
      <c r="AH3873">
        <v>0.67391621721577</v>
      </c>
      <c r="AI3873">
        <v>104.904558156051</v>
      </c>
      <c r="AJ3873">
        <v>73.706727781877703</v>
      </c>
      <c r="AK3873">
        <v>0.72655899127863399</v>
      </c>
      <c r="AL3873">
        <v>66.917441213187701</v>
      </c>
      <c r="AM3873">
        <v>82.931044958861605</v>
      </c>
      <c r="AN3873">
        <v>1.0000000033167999</v>
      </c>
    </row>
    <row r="3874" spans="1:40" x14ac:dyDescent="0.25">
      <c r="A3874" t="str">
        <f>"20190304164447226"</f>
        <v>20190304164447226</v>
      </c>
      <c r="B3874" t="str">
        <f>"1551689087214420"</f>
        <v>1551689087214420</v>
      </c>
      <c r="C3874" t="s">
        <v>40</v>
      </c>
      <c r="D3874">
        <v>5.5662890000000003</v>
      </c>
      <c r="E3874">
        <v>0.56102730000000001</v>
      </c>
      <c r="F3874" t="s">
        <v>41</v>
      </c>
      <c r="G3874">
        <v>-199.34030000000001</v>
      </c>
      <c r="H3874">
        <v>0.95169769999999998</v>
      </c>
      <c r="I3874">
        <v>147.09</v>
      </c>
      <c r="J3874">
        <v>-198.8613</v>
      </c>
      <c r="K3874">
        <v>1.1050249999999999</v>
      </c>
      <c r="L3874">
        <v>147.41239999999999</v>
      </c>
      <c r="M3874">
        <v>-0.62668089999999999</v>
      </c>
      <c r="N3874">
        <v>-1.3992299999999999E-2</v>
      </c>
      <c r="O3874">
        <v>-0.77915049999999997</v>
      </c>
      <c r="P3874">
        <v>-0.65887359999999995</v>
      </c>
      <c r="Q3874">
        <v>0.38247179999999997</v>
      </c>
      <c r="R3874">
        <v>-0.64776659999999997</v>
      </c>
      <c r="S3874">
        <v>-2.831207</v>
      </c>
      <c r="T3874">
        <v>-0.728303699999999</v>
      </c>
      <c r="U3874">
        <v>-2.1802060000000001</v>
      </c>
      <c r="V3874">
        <v>0.1133306</v>
      </c>
      <c r="W3874">
        <v>0.39362390000000003</v>
      </c>
      <c r="X3874">
        <v>0.91225900000000004</v>
      </c>
      <c r="Y3874">
        <v>0.2216313</v>
      </c>
      <c r="Z3874">
        <v>0.1606966</v>
      </c>
      <c r="AA3874">
        <v>0.96179840000000005</v>
      </c>
      <c r="AB3874">
        <v>25</v>
      </c>
      <c r="AC3874">
        <v>-0.47900000000001303</v>
      </c>
      <c r="AD3874">
        <v>-0.1533273</v>
      </c>
      <c r="AE3874">
        <v>-0.32239999999998697</v>
      </c>
      <c r="AF3874">
        <v>0.15991138269873101</v>
      </c>
      <c r="AG3874">
        <v>-0.1533273</v>
      </c>
      <c r="AH3874">
        <v>0.51510814165556396</v>
      </c>
      <c r="AI3874">
        <v>105.869228153569</v>
      </c>
      <c r="AJ3874">
        <v>72.753443934729404</v>
      </c>
      <c r="AK3874">
        <v>0.560729265191107</v>
      </c>
      <c r="AL3874">
        <v>66.819823183640295</v>
      </c>
      <c r="AM3874">
        <v>82.918385679186002</v>
      </c>
      <c r="AN3874">
        <v>1.00000004131428</v>
      </c>
    </row>
    <row r="3875" spans="1:40" x14ac:dyDescent="0.25">
      <c r="A3875" t="str">
        <f>"20190304164447248"</f>
        <v>20190304164447248</v>
      </c>
      <c r="B3875" t="str">
        <f>"1551689087243700"</f>
        <v>1551689087243700</v>
      </c>
      <c r="C3875" t="s">
        <v>40</v>
      </c>
      <c r="D3875">
        <v>5.6026249999999997</v>
      </c>
      <c r="E3875">
        <v>0.56104849999999995</v>
      </c>
      <c r="F3875" t="s">
        <v>41</v>
      </c>
      <c r="G3875">
        <v>-199.49850000000001</v>
      </c>
      <c r="H3875">
        <v>0.94323420000000002</v>
      </c>
      <c r="I3875">
        <v>146.92830000000001</v>
      </c>
      <c r="J3875">
        <v>-199.02969999999999</v>
      </c>
      <c r="K3875">
        <v>1.1049020000000001</v>
      </c>
      <c r="L3875">
        <v>147.21889999999999</v>
      </c>
      <c r="M3875">
        <v>-0.63373849999999998</v>
      </c>
      <c r="N3875">
        <v>-1.4009010000000001E-2</v>
      </c>
      <c r="O3875">
        <v>-0.77342080000000002</v>
      </c>
      <c r="P3875">
        <v>-0.66434099999999996</v>
      </c>
      <c r="Q3875">
        <v>0.38430619999999999</v>
      </c>
      <c r="R3875">
        <v>-0.64106160000000001</v>
      </c>
      <c r="S3875">
        <v>-2.845993</v>
      </c>
      <c r="T3875">
        <v>-0.72216749999999996</v>
      </c>
      <c r="U3875">
        <v>-2.1629179999999999</v>
      </c>
      <c r="V3875">
        <v>0.1136107</v>
      </c>
      <c r="W3875">
        <v>0.39542519999999998</v>
      </c>
      <c r="X3875">
        <v>0.91144480000000005</v>
      </c>
      <c r="Y3875">
        <v>0.21922759999999999</v>
      </c>
      <c r="Z3875">
        <v>0.158185299999999</v>
      </c>
      <c r="AA3875">
        <v>0.96276519999999999</v>
      </c>
      <c r="AB3875">
        <v>25</v>
      </c>
      <c r="AC3875">
        <v>-0.46880000000001498</v>
      </c>
      <c r="AD3875">
        <v>-0.1616678</v>
      </c>
      <c r="AE3875">
        <v>-0.29059999999998298</v>
      </c>
      <c r="AF3875">
        <v>0.164315926541863</v>
      </c>
      <c r="AG3875">
        <v>-0.1616678</v>
      </c>
      <c r="AH3875">
        <v>0.48061307873360398</v>
      </c>
      <c r="AI3875">
        <v>107.655761339531</v>
      </c>
      <c r="AJ3875">
        <v>71.125048600718301</v>
      </c>
      <c r="AK3875">
        <v>0.53303389453386996</v>
      </c>
      <c r="AL3875">
        <v>66.707505942750501</v>
      </c>
      <c r="AM3875">
        <v>82.894784867128706</v>
      </c>
      <c r="AN3875">
        <v>1.0000000516982801</v>
      </c>
    </row>
    <row r="3876" spans="1:40" x14ac:dyDescent="0.25">
      <c r="A3876" t="str">
        <f>"20190304164447271"</f>
        <v>20190304164447271</v>
      </c>
      <c r="B3876" t="str">
        <f>"1551689087264195"</f>
        <v>1551689087264195</v>
      </c>
      <c r="C3876" t="s">
        <v>40</v>
      </c>
      <c r="D3876">
        <v>5.61538</v>
      </c>
      <c r="E3876">
        <v>0.56105649999999996</v>
      </c>
      <c r="F3876" t="s">
        <v>41</v>
      </c>
      <c r="G3876">
        <v>-199.65129999999999</v>
      </c>
      <c r="H3876">
        <v>0.94950369999999995</v>
      </c>
      <c r="I3876">
        <v>146.75479999999999</v>
      </c>
      <c r="J3876">
        <v>-199.2054</v>
      </c>
      <c r="K3876">
        <v>1.104773</v>
      </c>
      <c r="L3876">
        <v>147.02109999999999</v>
      </c>
      <c r="M3876">
        <v>-0.64113520000000002</v>
      </c>
      <c r="N3876">
        <v>-1.402905E-2</v>
      </c>
      <c r="O3876">
        <v>-0.76729979999999998</v>
      </c>
      <c r="P3876">
        <v>-0.67017530000000003</v>
      </c>
      <c r="Q3876">
        <v>0.38569750000000003</v>
      </c>
      <c r="R3876">
        <v>-0.63411580000000001</v>
      </c>
      <c r="S3876">
        <v>-2.8659520000000001</v>
      </c>
      <c r="T3876">
        <v>-0.71672559999999996</v>
      </c>
      <c r="U3876">
        <v>-2.1393740000000001</v>
      </c>
      <c r="V3876">
        <v>0.11388810000000001</v>
      </c>
      <c r="W3876">
        <v>0.39678550000000001</v>
      </c>
      <c r="X3876">
        <v>0.91081869999999998</v>
      </c>
      <c r="Y3876">
        <v>0.2184692</v>
      </c>
      <c r="Z3876">
        <v>0.15587239999999999</v>
      </c>
      <c r="AA3876">
        <v>0.96331460000000002</v>
      </c>
      <c r="AB3876">
        <v>25</v>
      </c>
      <c r="AC3876">
        <v>-0.44589999999999402</v>
      </c>
      <c r="AD3876">
        <v>-0.155269299999999</v>
      </c>
      <c r="AE3876">
        <v>-0.26630000000000098</v>
      </c>
      <c r="AF3876">
        <v>0.157357520031084</v>
      </c>
      <c r="AG3876">
        <v>-0.155269299999999</v>
      </c>
      <c r="AH3876">
        <v>0.45003951999060599</v>
      </c>
      <c r="AI3876">
        <v>108.039303964726</v>
      </c>
      <c r="AJ3876">
        <v>70.727684439774507</v>
      </c>
      <c r="AK3876">
        <v>0.50140354424973699</v>
      </c>
      <c r="AL3876">
        <v>66.622621471655293</v>
      </c>
      <c r="AM3876">
        <v>82.872768603397603</v>
      </c>
      <c r="AN3876">
        <v>0.99999996830077398</v>
      </c>
    </row>
    <row r="3877" spans="1:40" x14ac:dyDescent="0.25">
      <c r="A3877" t="str">
        <f>"20190304164447283"</f>
        <v>20190304164447283</v>
      </c>
      <c r="B3877" t="str">
        <f>"1551689087273955"</f>
        <v>1551689087273955</v>
      </c>
      <c r="C3877" t="s">
        <v>40</v>
      </c>
      <c r="D3877">
        <v>5.585134</v>
      </c>
      <c r="E3877">
        <v>0.5610385</v>
      </c>
      <c r="F3877" t="s">
        <v>41</v>
      </c>
      <c r="G3877">
        <v>-199.80510000000001</v>
      </c>
      <c r="H3877">
        <v>0.9566017</v>
      </c>
      <c r="I3877">
        <v>146.58179999999999</v>
      </c>
      <c r="J3877">
        <v>-199.30090000000001</v>
      </c>
      <c r="K3877">
        <v>1.1047020000000001</v>
      </c>
      <c r="L3877">
        <v>146.91579999999999</v>
      </c>
      <c r="M3877">
        <v>-0.64517469999999999</v>
      </c>
      <c r="N3877">
        <v>-1.404145E-2</v>
      </c>
      <c r="O3877">
        <v>-0.76390609999999903</v>
      </c>
      <c r="P3877">
        <v>-0.67325310000000005</v>
      </c>
      <c r="Q3877">
        <v>0.38594149999999999</v>
      </c>
      <c r="R3877">
        <v>-0.63069750000000002</v>
      </c>
      <c r="S3877">
        <v>-2.8858640000000002</v>
      </c>
      <c r="T3877">
        <v>-0.71280310000000002</v>
      </c>
      <c r="U3877">
        <v>-2.1146240000000001</v>
      </c>
      <c r="V3877">
        <v>0.1136868</v>
      </c>
      <c r="W3877">
        <v>0.39702320000000002</v>
      </c>
      <c r="X3877">
        <v>0.91074029999999995</v>
      </c>
      <c r="Y3877">
        <v>0.22203100000000001</v>
      </c>
      <c r="Z3877">
        <v>0.154661299999999</v>
      </c>
      <c r="AA3877">
        <v>0.96269519999999997</v>
      </c>
      <c r="AB3877">
        <v>25</v>
      </c>
      <c r="AC3877">
        <v>-0.50419999999999698</v>
      </c>
      <c r="AD3877">
        <v>-0.14810029999999999</v>
      </c>
      <c r="AE3877">
        <v>-0.33400000000000302</v>
      </c>
      <c r="AF3877">
        <v>0.16008999494203599</v>
      </c>
      <c r="AG3877">
        <v>-0.14810029999999999</v>
      </c>
      <c r="AH3877">
        <v>0.54765846214915304</v>
      </c>
      <c r="AI3877">
        <v>104.550714939542</v>
      </c>
      <c r="AJ3877">
        <v>73.705450026946394</v>
      </c>
      <c r="AK3877">
        <v>0.58948477207151495</v>
      </c>
      <c r="AL3877">
        <v>66.607784304237498</v>
      </c>
      <c r="AM3877">
        <v>82.884630756653493</v>
      </c>
      <c r="AN3877">
        <v>1.00000000193828</v>
      </c>
    </row>
    <row r="3878" spans="1:40" x14ac:dyDescent="0.25">
      <c r="A3878" t="str">
        <f>"20190304164447295"</f>
        <v>20190304164447295</v>
      </c>
      <c r="B3878" t="str">
        <f>"1551689087283715"</f>
        <v>1551689087283715</v>
      </c>
      <c r="C3878" t="s">
        <v>40</v>
      </c>
      <c r="D3878">
        <v>5.6293989999999896</v>
      </c>
      <c r="E3878">
        <v>0.56103369999999997</v>
      </c>
      <c r="F3878" t="s">
        <v>41</v>
      </c>
      <c r="G3878">
        <v>-199.9691</v>
      </c>
      <c r="H3878">
        <v>0.94027139999999998</v>
      </c>
      <c r="I3878">
        <v>146.43090000000001</v>
      </c>
      <c r="J3878">
        <v>-199.39250000000001</v>
      </c>
      <c r="K3878">
        <v>1.104633</v>
      </c>
      <c r="L3878">
        <v>146.8152</v>
      </c>
      <c r="M3878">
        <v>-0.64905139999999995</v>
      </c>
      <c r="N3878">
        <v>-1.4053309999999999E-2</v>
      </c>
      <c r="O3878">
        <v>-0.76061480000000004</v>
      </c>
      <c r="P3878">
        <v>-0.67620839999999904</v>
      </c>
      <c r="Q3878">
        <v>0.38613950000000002</v>
      </c>
      <c r="R3878">
        <v>-0.62740640000000003</v>
      </c>
      <c r="S3878">
        <v>-2.8961640000000002</v>
      </c>
      <c r="T3878">
        <v>-0.7126595</v>
      </c>
      <c r="U3878">
        <v>-2.1011510000000002</v>
      </c>
      <c r="V3878">
        <v>0.1134848</v>
      </c>
      <c r="W3878">
        <v>0.39721489999999998</v>
      </c>
      <c r="X3878">
        <v>0.91068190000000004</v>
      </c>
      <c r="Y3878">
        <v>0.22169259999999999</v>
      </c>
      <c r="Z3878">
        <v>0.15407879999999999</v>
      </c>
      <c r="AA3878">
        <v>0.96286660000000002</v>
      </c>
      <c r="AB3878">
        <v>25</v>
      </c>
      <c r="AC3878">
        <v>-0.57659999999998401</v>
      </c>
      <c r="AD3878">
        <v>-0.1643616</v>
      </c>
      <c r="AE3878">
        <v>-0.38429999999999598</v>
      </c>
      <c r="AF3878">
        <v>0.179083027799262</v>
      </c>
      <c r="AG3878">
        <v>-0.1643616</v>
      </c>
      <c r="AH3878">
        <v>0.63110544500689603</v>
      </c>
      <c r="AI3878">
        <v>104.06551218035101</v>
      </c>
      <c r="AJ3878">
        <v>74.1581331001221</v>
      </c>
      <c r="AK3878">
        <v>0.67629841720771799</v>
      </c>
      <c r="AL3878">
        <v>66.595816508125694</v>
      </c>
      <c r="AM3878">
        <v>82.896693343321303</v>
      </c>
      <c r="AN3878">
        <v>0.99999999980033005</v>
      </c>
    </row>
    <row r="3879" spans="1:40" x14ac:dyDescent="0.25">
      <c r="A3879" t="str">
        <f>"20190304164447314"</f>
        <v>20190304164447314</v>
      </c>
      <c r="B3879" t="str">
        <f>"1551689087304212"</f>
        <v>1551689087304212</v>
      </c>
      <c r="C3879" t="s">
        <v>40</v>
      </c>
      <c r="D3879">
        <v>5.6553579999999997</v>
      </c>
      <c r="E3879">
        <v>0.56103219999999898</v>
      </c>
      <c r="F3879" t="s">
        <v>41</v>
      </c>
      <c r="G3879">
        <v>-200.1343</v>
      </c>
      <c r="H3879">
        <v>0.92272019999999999</v>
      </c>
      <c r="I3879">
        <v>146.2824</v>
      </c>
      <c r="J3879">
        <v>-199.53960000000001</v>
      </c>
      <c r="K3879">
        <v>1.1045149999999999</v>
      </c>
      <c r="L3879">
        <v>146.6566</v>
      </c>
      <c r="M3879">
        <v>-0.65530080000000002</v>
      </c>
      <c r="N3879">
        <v>-1.4073759999999999E-2</v>
      </c>
      <c r="O3879">
        <v>-0.75523699999999905</v>
      </c>
      <c r="P3879">
        <v>-0.68115669999999995</v>
      </c>
      <c r="Q3879">
        <v>0.38655440000000002</v>
      </c>
      <c r="R3879">
        <v>-0.62177309999999997</v>
      </c>
      <c r="S3879">
        <v>-2.9061889999999999</v>
      </c>
      <c r="T3879">
        <v>-0.71244099999999999</v>
      </c>
      <c r="U3879">
        <v>-2.0878450000000002</v>
      </c>
      <c r="V3879">
        <v>0.1134782</v>
      </c>
      <c r="W3879">
        <v>0.39761570000000002</v>
      </c>
      <c r="X3879">
        <v>0.91050779999999998</v>
      </c>
      <c r="Y3879">
        <v>0.21825849999999999</v>
      </c>
      <c r="Z3879">
        <v>0.15293289999999901</v>
      </c>
      <c r="AA3879">
        <v>0.9638333</v>
      </c>
      <c r="AB3879">
        <v>25</v>
      </c>
      <c r="AC3879">
        <v>-0.59469999999998802</v>
      </c>
      <c r="AD3879">
        <v>-0.18179480000000001</v>
      </c>
      <c r="AE3879">
        <v>-0.37420000000000098</v>
      </c>
      <c r="AF3879">
        <v>0.19114991687351601</v>
      </c>
      <c r="AG3879">
        <v>-0.18179480000000001</v>
      </c>
      <c r="AH3879">
        <v>0.63019637038610798</v>
      </c>
      <c r="AI3879">
        <v>105.432374327491</v>
      </c>
      <c r="AJ3879">
        <v>73.126503793712004</v>
      </c>
      <c r="AK3879">
        <v>0.68318014116016101</v>
      </c>
      <c r="AL3879">
        <v>66.570791263388898</v>
      </c>
      <c r="AM3879">
        <v>82.895757951826695</v>
      </c>
      <c r="AN3879">
        <v>1.0000000003112799</v>
      </c>
    </row>
    <row r="3880" spans="1:40" x14ac:dyDescent="0.25">
      <c r="A3880" t="str">
        <f>"20190304164447327"</f>
        <v>20190304164447327</v>
      </c>
      <c r="B3880" t="str">
        <f>"1551689087323731"</f>
        <v>1551689087323731</v>
      </c>
      <c r="C3880" t="s">
        <v>40</v>
      </c>
      <c r="D3880">
        <v>5.659694</v>
      </c>
      <c r="E3880">
        <v>0.56093219999999899</v>
      </c>
      <c r="F3880" t="s">
        <v>41</v>
      </c>
      <c r="G3880">
        <v>-200.2955</v>
      </c>
      <c r="H3880">
        <v>0.92053720000000006</v>
      </c>
      <c r="I3880">
        <v>146.1225</v>
      </c>
      <c r="J3880">
        <v>-199.6455</v>
      </c>
      <c r="K3880">
        <v>1.104433</v>
      </c>
      <c r="L3880">
        <v>146.54429999999999</v>
      </c>
      <c r="M3880">
        <v>-0.6598155</v>
      </c>
      <c r="N3880">
        <v>-1.4088109999999999E-2</v>
      </c>
      <c r="O3880">
        <v>-0.75129569999999901</v>
      </c>
      <c r="P3880">
        <v>-0.68525839999999905</v>
      </c>
      <c r="Q3880">
        <v>0.38627139999999999</v>
      </c>
      <c r="R3880">
        <v>-0.61742659999999905</v>
      </c>
      <c r="S3880">
        <v>-2.9229889999999998</v>
      </c>
      <c r="T3880">
        <v>-0.71145839999999905</v>
      </c>
      <c r="U3880">
        <v>-2.0650789999999999</v>
      </c>
      <c r="V3880">
        <v>0.11401070000000001</v>
      </c>
      <c r="W3880">
        <v>0.39731640000000001</v>
      </c>
      <c r="X3880">
        <v>0.91057189999999999</v>
      </c>
      <c r="Y3880">
        <v>0.2201034</v>
      </c>
      <c r="Z3880">
        <v>0.15221489999999999</v>
      </c>
      <c r="AA3880">
        <v>0.96352740000000003</v>
      </c>
      <c r="AB3880">
        <v>25</v>
      </c>
      <c r="AC3880">
        <v>-0.65000000000000502</v>
      </c>
      <c r="AD3880">
        <v>-0.1838958</v>
      </c>
      <c r="AE3880">
        <v>-0.42179999999999002</v>
      </c>
      <c r="AF3880">
        <v>0.19885271291169099</v>
      </c>
      <c r="AG3880">
        <v>-0.1838958</v>
      </c>
      <c r="AH3880">
        <v>0.70608136499104401</v>
      </c>
      <c r="AI3880">
        <v>104.07363298553</v>
      </c>
      <c r="AJ3880">
        <v>74.271261582289895</v>
      </c>
      <c r="AK3880">
        <v>0.75624794920554705</v>
      </c>
      <c r="AL3880">
        <v>66.589478812860193</v>
      </c>
      <c r="AM3880">
        <v>82.863261327209401</v>
      </c>
      <c r="AN3880">
        <v>0.99999997324652901</v>
      </c>
    </row>
    <row r="3881" spans="1:40" x14ac:dyDescent="0.25">
      <c r="A3881" t="str">
        <f>"20190304164447340"</f>
        <v>20190304164447340</v>
      </c>
      <c r="B3881" t="str">
        <f>"1551689087334469"</f>
        <v>1551689087334469</v>
      </c>
      <c r="C3881" t="s">
        <v>40</v>
      </c>
      <c r="D3881">
        <v>5.6741089999999996</v>
      </c>
      <c r="E3881">
        <v>0.56089100000000003</v>
      </c>
      <c r="F3881" t="s">
        <v>41</v>
      </c>
      <c r="G3881">
        <v>-200.2852</v>
      </c>
      <c r="H3881">
        <v>0.94856850000000004</v>
      </c>
      <c r="I3881">
        <v>146.0977</v>
      </c>
      <c r="J3881">
        <v>-199.744</v>
      </c>
      <c r="K3881">
        <v>1.104355</v>
      </c>
      <c r="L3881">
        <v>146.44110000000001</v>
      </c>
      <c r="M3881">
        <v>-0.66400579999999998</v>
      </c>
      <c r="N3881">
        <v>-1.409902E-2</v>
      </c>
      <c r="O3881">
        <v>-0.74759439999999999</v>
      </c>
      <c r="P3881">
        <v>-0.68915309999999996</v>
      </c>
      <c r="Q3881">
        <v>0.38596279999999999</v>
      </c>
      <c r="R3881">
        <v>-0.6132706</v>
      </c>
      <c r="S3881">
        <v>-2.9348909999999999</v>
      </c>
      <c r="T3881">
        <v>-0.71524619999999905</v>
      </c>
      <c r="U3881">
        <v>-2.049042</v>
      </c>
      <c r="V3881">
        <v>0.1146235</v>
      </c>
      <c r="W3881">
        <v>0.3969895</v>
      </c>
      <c r="X3881">
        <v>0.91063760000000005</v>
      </c>
      <c r="Y3881">
        <v>0.2199411</v>
      </c>
      <c r="Z3881">
        <v>0.15243989999999999</v>
      </c>
      <c r="AA3881">
        <v>0.96352890000000002</v>
      </c>
      <c r="AB3881">
        <v>25</v>
      </c>
      <c r="AC3881">
        <v>-0.54119999999997404</v>
      </c>
      <c r="AD3881">
        <v>-0.15578649999999999</v>
      </c>
      <c r="AE3881">
        <v>-0.34340000000000198</v>
      </c>
      <c r="AF3881">
        <v>0.16674549731887001</v>
      </c>
      <c r="AG3881">
        <v>-0.15578649999999999</v>
      </c>
      <c r="AH3881">
        <v>0.58177643577814797</v>
      </c>
      <c r="AI3881">
        <v>104.43528788661899</v>
      </c>
      <c r="AJ3881">
        <v>74.006935592352704</v>
      </c>
      <c r="AK3881">
        <v>0.62492984861110101</v>
      </c>
      <c r="AL3881">
        <v>66.609888619665</v>
      </c>
      <c r="AM3881">
        <v>82.8258127611915</v>
      </c>
      <c r="AN3881">
        <v>1.00000002419812</v>
      </c>
    </row>
    <row r="3882" spans="1:40" x14ac:dyDescent="0.25">
      <c r="A3882" t="str">
        <f>"20190304164447352"</f>
        <v>20190304164447352</v>
      </c>
      <c r="B3882" t="str">
        <f>"1551689087344227"</f>
        <v>1551689087344227</v>
      </c>
      <c r="C3882" t="s">
        <v>40</v>
      </c>
      <c r="D3882">
        <v>5.4336460000000004</v>
      </c>
      <c r="E3882">
        <v>0.56089160000000005</v>
      </c>
      <c r="F3882" t="s">
        <v>41</v>
      </c>
      <c r="G3882">
        <v>-200.4529</v>
      </c>
      <c r="H3882">
        <v>0.93157909999999999</v>
      </c>
      <c r="I3882">
        <v>145.9522</v>
      </c>
      <c r="J3882">
        <v>-199.84370000000001</v>
      </c>
      <c r="K3882">
        <v>1.1042829999999999</v>
      </c>
      <c r="L3882">
        <v>146.33750000000001</v>
      </c>
      <c r="M3882">
        <v>-0.66824079999999997</v>
      </c>
      <c r="N3882">
        <v>-1.410784E-2</v>
      </c>
      <c r="O3882">
        <v>-0.74381129999999995</v>
      </c>
      <c r="P3882">
        <v>-0.69324049999999904</v>
      </c>
      <c r="Q3882">
        <v>0.38487850000000001</v>
      </c>
      <c r="R3882">
        <v>-0.6093326</v>
      </c>
      <c r="S3882">
        <v>-2.9463810000000001</v>
      </c>
      <c r="T3882">
        <v>-0.71776039999999997</v>
      </c>
      <c r="U3882">
        <v>-2.0325929999999999</v>
      </c>
      <c r="V3882">
        <v>0.1151401</v>
      </c>
      <c r="W3882">
        <v>0.39589150000000001</v>
      </c>
      <c r="X3882">
        <v>0.91105029999999998</v>
      </c>
      <c r="Y3882">
        <v>0.21976490000000001</v>
      </c>
      <c r="Z3882">
        <v>0.15238560000000001</v>
      </c>
      <c r="AA3882">
        <v>0.96357769999999998</v>
      </c>
      <c r="AB3882">
        <v>25</v>
      </c>
      <c r="AC3882">
        <v>-0.60919999999998697</v>
      </c>
      <c r="AD3882">
        <v>-0.17270389999999999</v>
      </c>
      <c r="AE3882">
        <v>-0.38529999999999998</v>
      </c>
      <c r="AF3882">
        <v>0.18505312092166701</v>
      </c>
      <c r="AG3882">
        <v>-0.17270389999999999</v>
      </c>
      <c r="AH3882">
        <v>0.65608889899129696</v>
      </c>
      <c r="AI3882">
        <v>104.21663024416</v>
      </c>
      <c r="AJ3882">
        <v>74.248631720341606</v>
      </c>
      <c r="AK3882">
        <v>0.70322396007081001</v>
      </c>
      <c r="AL3882">
        <v>66.678413410853906</v>
      </c>
      <c r="AM3882">
        <v>82.797048420533898</v>
      </c>
      <c r="AN3882">
        <v>0.99999998576517402</v>
      </c>
    </row>
    <row r="3883" spans="1:40" x14ac:dyDescent="0.25">
      <c r="A3883" t="str">
        <f>"20190304164447371"</f>
        <v>20190304164447371</v>
      </c>
      <c r="B3883" t="str">
        <f>"1551689087363747"</f>
        <v>1551689087363747</v>
      </c>
      <c r="C3883" t="s">
        <v>40</v>
      </c>
      <c r="D3883">
        <v>5.4469390000000004</v>
      </c>
      <c r="E3883">
        <v>0.56093029999999999</v>
      </c>
      <c r="F3883" t="s">
        <v>41</v>
      </c>
      <c r="G3883">
        <v>-200.4435</v>
      </c>
      <c r="H3883">
        <v>0.95764280000000002</v>
      </c>
      <c r="I3883">
        <v>145.929</v>
      </c>
      <c r="J3883">
        <v>-199.99250000000001</v>
      </c>
      <c r="K3883">
        <v>1.1041700000000001</v>
      </c>
      <c r="L3883">
        <v>146.1857</v>
      </c>
      <c r="M3883">
        <v>-0.67456159999999998</v>
      </c>
      <c r="N3883">
        <v>-1.410964E-2</v>
      </c>
      <c r="O3883">
        <v>-0.73808399999999996</v>
      </c>
      <c r="P3883">
        <v>-0.69909429999999995</v>
      </c>
      <c r="Q3883">
        <v>0.38346950000000002</v>
      </c>
      <c r="R3883">
        <v>-0.60350530000000002</v>
      </c>
      <c r="S3883">
        <v>-2.9575960000000001</v>
      </c>
      <c r="T3883">
        <v>-0.72253889999999998</v>
      </c>
      <c r="U3883">
        <v>-2.014923</v>
      </c>
      <c r="V3883">
        <v>0.1156411</v>
      </c>
      <c r="W3883">
        <v>0.394457</v>
      </c>
      <c r="X3883">
        <v>0.91160890000000006</v>
      </c>
      <c r="Y3883">
        <v>0.21700349999999999</v>
      </c>
      <c r="Z3883">
        <v>0.152360299999999</v>
      </c>
      <c r="AA3883">
        <v>0.96420740000000005</v>
      </c>
      <c r="AB3883">
        <v>25</v>
      </c>
      <c r="AC3883">
        <v>-0.45099999999999302</v>
      </c>
      <c r="AD3883">
        <v>-0.1465272</v>
      </c>
      <c r="AE3883">
        <v>-0.25669999999999499</v>
      </c>
      <c r="AF3883">
        <v>0.14793716486275299</v>
      </c>
      <c r="AG3883">
        <v>-0.1465272</v>
      </c>
      <c r="AH3883">
        <v>0.45728445787081801</v>
      </c>
      <c r="AI3883">
        <v>106.954992638912</v>
      </c>
      <c r="AJ3883">
        <v>72.072965717322106</v>
      </c>
      <c r="AK3883">
        <v>0.50245865551075697</v>
      </c>
      <c r="AL3883">
        <v>66.767886849933006</v>
      </c>
      <c r="AM3883">
        <v>82.770423880101106</v>
      </c>
      <c r="AN3883">
        <v>0.99999998770871001</v>
      </c>
    </row>
    <row r="3884" spans="1:40" x14ac:dyDescent="0.25">
      <c r="A3884" t="str">
        <f>"20190304164447394"</f>
        <v>20190304164447394</v>
      </c>
      <c r="B3884" t="str">
        <f>"1551689087384243"</f>
        <v>1551689087384243</v>
      </c>
      <c r="C3884" t="s">
        <v>40</v>
      </c>
      <c r="D3884">
        <v>5.4506259999999997</v>
      </c>
      <c r="E3884">
        <v>0.56095399999999995</v>
      </c>
      <c r="F3884" t="s">
        <v>41</v>
      </c>
      <c r="G3884">
        <v>-200.6086</v>
      </c>
      <c r="H3884">
        <v>0.95335170000000002</v>
      </c>
      <c r="I3884">
        <v>145.77420000000001</v>
      </c>
      <c r="J3884">
        <v>-200.1704</v>
      </c>
      <c r="K3884">
        <v>1.104026</v>
      </c>
      <c r="L3884">
        <v>146.0076</v>
      </c>
      <c r="M3884">
        <v>-0.68211290000000002</v>
      </c>
      <c r="N3884">
        <v>-1.4088079999999999E-2</v>
      </c>
      <c r="O3884">
        <v>-0.73111130000000002</v>
      </c>
      <c r="P3884">
        <v>-0.7062292</v>
      </c>
      <c r="Q3884">
        <v>0.38178580000000001</v>
      </c>
      <c r="R3884">
        <v>-0.59622189999999997</v>
      </c>
      <c r="S3884">
        <v>-2.9752809999999998</v>
      </c>
      <c r="T3884">
        <v>-0.72813490000000003</v>
      </c>
      <c r="U3884">
        <v>-1.987061</v>
      </c>
      <c r="V3884">
        <v>0.116478399999999</v>
      </c>
      <c r="W3884">
        <v>0.39271630000000002</v>
      </c>
      <c r="X3884">
        <v>0.9122536</v>
      </c>
      <c r="Y3884">
        <v>0.21575549999999999</v>
      </c>
      <c r="Z3884">
        <v>0.15243010000000001</v>
      </c>
      <c r="AA3884">
        <v>0.96447629999999995</v>
      </c>
      <c r="AB3884">
        <v>25</v>
      </c>
      <c r="AC3884">
        <v>-0.43819999999999398</v>
      </c>
      <c r="AD3884">
        <v>-0.15067429999999901</v>
      </c>
      <c r="AE3884">
        <v>-0.23339999999998801</v>
      </c>
      <c r="AF3884">
        <v>0.147590382004856</v>
      </c>
      <c r="AG3884">
        <v>-0.15067429999999901</v>
      </c>
      <c r="AH3884">
        <v>0.42998699939495999</v>
      </c>
      <c r="AI3884">
        <v>108.337013756123</v>
      </c>
      <c r="AJ3884">
        <v>71.055533153901706</v>
      </c>
      <c r="AK3884">
        <v>0.478930564058623</v>
      </c>
      <c r="AL3884">
        <v>66.8763778222187</v>
      </c>
      <c r="AM3884">
        <v>82.723728546154604</v>
      </c>
      <c r="AN3884">
        <v>0.99999997033260402</v>
      </c>
    </row>
    <row r="3885" spans="1:40" x14ac:dyDescent="0.25">
      <c r="A3885" t="str">
        <f>"20190304164447406"</f>
        <v>20190304164447406</v>
      </c>
      <c r="B3885" t="str">
        <f>"1551689087403763"</f>
        <v>1551689087403763</v>
      </c>
      <c r="C3885" t="s">
        <v>40</v>
      </c>
      <c r="D3885">
        <v>5.4709899999999996</v>
      </c>
      <c r="E3885">
        <v>0.56095759999999995</v>
      </c>
      <c r="F3885" t="s">
        <v>41</v>
      </c>
      <c r="G3885">
        <v>-200.77279999999999</v>
      </c>
      <c r="H3885">
        <v>0.95613300000000001</v>
      </c>
      <c r="I3885">
        <v>145.61500000000001</v>
      </c>
      <c r="J3885">
        <v>-200.27510000000001</v>
      </c>
      <c r="K3885">
        <v>1.103942</v>
      </c>
      <c r="L3885">
        <v>145.9051</v>
      </c>
      <c r="M3885">
        <v>-0.68654630000000005</v>
      </c>
      <c r="N3885">
        <v>-1.4064709999999999E-2</v>
      </c>
      <c r="O3885">
        <v>-0.72695030000000005</v>
      </c>
      <c r="P3885">
        <v>-0.71080509999999997</v>
      </c>
      <c r="Q3885">
        <v>0.38072869999999998</v>
      </c>
      <c r="R3885">
        <v>-0.59144090000000005</v>
      </c>
      <c r="S3885">
        <v>-2.9960939999999998</v>
      </c>
      <c r="T3885">
        <v>-0.73503419999999997</v>
      </c>
      <c r="U3885">
        <v>-1.9534609999999999</v>
      </c>
      <c r="V3885">
        <v>0.1175523</v>
      </c>
      <c r="W3885">
        <v>0.39160529999999999</v>
      </c>
      <c r="X3885">
        <v>0.9125934</v>
      </c>
      <c r="Y3885">
        <v>0.22019730000000001</v>
      </c>
      <c r="Z3885">
        <v>0.15365980000000001</v>
      </c>
      <c r="AA3885">
        <v>0.96327660000000004</v>
      </c>
      <c r="AB3885">
        <v>25</v>
      </c>
      <c r="AC3885">
        <v>-0.49769999999997999</v>
      </c>
      <c r="AD3885">
        <v>-0.147808999999999</v>
      </c>
      <c r="AE3885">
        <v>-0.29009999999999497</v>
      </c>
      <c r="AF3885">
        <v>0.15260567673661801</v>
      </c>
      <c r="AG3885">
        <v>-0.147808999999999</v>
      </c>
      <c r="AH3885">
        <v>0.51850245027073105</v>
      </c>
      <c r="AI3885">
        <v>105.294742670441</v>
      </c>
      <c r="AJ3885">
        <v>73.599785750288504</v>
      </c>
      <c r="AK3885">
        <v>0.56033988256235501</v>
      </c>
      <c r="AL3885">
        <v>66.945576816440706</v>
      </c>
      <c r="AM3885">
        <v>82.660076233499595</v>
      </c>
      <c r="AN3885">
        <v>0.99999998397346901</v>
      </c>
    </row>
    <row r="3886" spans="1:40" x14ac:dyDescent="0.25">
      <c r="A3886" t="str">
        <f>"20190304164447422"</f>
        <v>20190304164447422</v>
      </c>
      <c r="B3886" t="str">
        <f>"1551689087413524"</f>
        <v>1551689087413524</v>
      </c>
      <c r="C3886" t="s">
        <v>40</v>
      </c>
      <c r="D3886">
        <v>5.4801080000000004</v>
      </c>
      <c r="E3886">
        <v>0.56096990000000002</v>
      </c>
      <c r="F3886" t="s">
        <v>41</v>
      </c>
      <c r="G3886">
        <v>-200.94499999999999</v>
      </c>
      <c r="H3886">
        <v>0.93916379999999999</v>
      </c>
      <c r="I3886">
        <v>145.4751</v>
      </c>
      <c r="J3886">
        <v>-200.40280000000001</v>
      </c>
      <c r="K3886">
        <v>1.1038410000000001</v>
      </c>
      <c r="L3886">
        <v>145.78139999999999</v>
      </c>
      <c r="M3886">
        <v>-0.69193890000000002</v>
      </c>
      <c r="N3886">
        <v>-1.4029990000000001E-2</v>
      </c>
      <c r="O3886">
        <v>-0.72181980000000001</v>
      </c>
      <c r="P3886">
        <v>-0.71602200000000005</v>
      </c>
      <c r="Q3886">
        <v>0.37951000000000001</v>
      </c>
      <c r="R3886">
        <v>-0.58590509999999996</v>
      </c>
      <c r="S3886">
        <v>-3.0093839999999998</v>
      </c>
      <c r="T3886">
        <v>-0.73978690000000003</v>
      </c>
      <c r="U3886">
        <v>-1.931854</v>
      </c>
      <c r="V3886">
        <v>0.11836869999999999</v>
      </c>
      <c r="W3886">
        <v>0.3903237</v>
      </c>
      <c r="X3886">
        <v>0.91303679999999998</v>
      </c>
      <c r="Y3886">
        <v>0.21966079999999999</v>
      </c>
      <c r="Z3886">
        <v>0.15385679999999999</v>
      </c>
      <c r="AA3886">
        <v>0.96336759999999999</v>
      </c>
      <c r="AB3886">
        <v>25</v>
      </c>
      <c r="AC3886">
        <v>-0.54219999999997903</v>
      </c>
      <c r="AD3886">
        <v>-0.164677199999999</v>
      </c>
      <c r="AE3886">
        <v>-0.30629999999999302</v>
      </c>
      <c r="AF3886">
        <v>0.167719007412266</v>
      </c>
      <c r="AG3886">
        <v>-0.164677199999999</v>
      </c>
      <c r="AH3886">
        <v>0.55734654100271297</v>
      </c>
      <c r="AI3886">
        <v>105.79798337568801</v>
      </c>
      <c r="AJ3886">
        <v>73.2521927617925</v>
      </c>
      <c r="AK3886">
        <v>0.60488297414862402</v>
      </c>
      <c r="AL3886">
        <v>67.025356790632102</v>
      </c>
      <c r="AM3886">
        <v>82.6132114588831</v>
      </c>
      <c r="AN3886">
        <v>0.99999996903780897</v>
      </c>
    </row>
    <row r="3887" spans="1:40" x14ac:dyDescent="0.25">
      <c r="A3887" t="str">
        <f>"20190304164447439"</f>
        <v>20190304164447439</v>
      </c>
      <c r="B3887" t="str">
        <f>"1551689087434019"</f>
        <v>1551689087434019</v>
      </c>
      <c r="C3887" t="s">
        <v>40</v>
      </c>
      <c r="D3887">
        <v>5.4559240000000004</v>
      </c>
      <c r="E3887">
        <v>0.56102540000000001</v>
      </c>
      <c r="F3887" t="s">
        <v>41</v>
      </c>
      <c r="G3887">
        <v>-201.1164</v>
      </c>
      <c r="H3887">
        <v>0.92806739999999999</v>
      </c>
      <c r="I3887">
        <v>145.33150000000001</v>
      </c>
      <c r="J3887">
        <v>-200.54329999999999</v>
      </c>
      <c r="K3887">
        <v>1.103731</v>
      </c>
      <c r="L3887">
        <v>145.64750000000001</v>
      </c>
      <c r="M3887">
        <v>-0.69784000000000002</v>
      </c>
      <c r="N3887">
        <v>-1.3982929999999999E-2</v>
      </c>
      <c r="O3887">
        <v>-0.71611729999999996</v>
      </c>
      <c r="P3887">
        <v>-0.72272650000000005</v>
      </c>
      <c r="Q3887">
        <v>0.37677149999999998</v>
      </c>
      <c r="R3887">
        <v>-0.57940459999999905</v>
      </c>
      <c r="S3887">
        <v>-3.0242610000000001</v>
      </c>
      <c r="T3887">
        <v>-0.74472179999999999</v>
      </c>
      <c r="U3887">
        <v>-1.9068149999999999</v>
      </c>
      <c r="V3887">
        <v>0.1201981</v>
      </c>
      <c r="W3887">
        <v>0.38749860000000003</v>
      </c>
      <c r="X3887">
        <v>0.9140007</v>
      </c>
      <c r="Y3887">
        <v>0.2193872</v>
      </c>
      <c r="Z3887">
        <v>0.154026</v>
      </c>
      <c r="AA3887">
        <v>0.96340289999999995</v>
      </c>
      <c r="AB3887">
        <v>25</v>
      </c>
      <c r="AC3887">
        <v>-0.57310000000001005</v>
      </c>
      <c r="AD3887">
        <v>-0.175663599999999</v>
      </c>
      <c r="AE3887">
        <v>-0.316000000000002</v>
      </c>
      <c r="AF3887">
        <v>0.177145157991598</v>
      </c>
      <c r="AG3887">
        <v>-0.175663599999999</v>
      </c>
      <c r="AH3887">
        <v>0.58419672608783502</v>
      </c>
      <c r="AI3887">
        <v>106.053398280004</v>
      </c>
      <c r="AJ3887">
        <v>73.131195548254595</v>
      </c>
      <c r="AK3887">
        <v>0.63523532815530104</v>
      </c>
      <c r="AL3887">
        <v>67.201056075796799</v>
      </c>
      <c r="AM3887">
        <v>82.5081569384961</v>
      </c>
      <c r="AN3887">
        <v>1.0000000139230301</v>
      </c>
    </row>
    <row r="3888" spans="1:40" x14ac:dyDescent="0.25">
      <c r="A3888" t="str">
        <f>"20190304164447462"</f>
        <v>20190304164447462</v>
      </c>
      <c r="B3888" t="str">
        <f>"1551689087453539"</f>
        <v>1551689087453539</v>
      </c>
      <c r="C3888" t="s">
        <v>40</v>
      </c>
      <c r="D3888">
        <v>5.3956770000000001</v>
      </c>
      <c r="E3888">
        <v>0.56110349999999998</v>
      </c>
      <c r="F3888" t="s">
        <v>41</v>
      </c>
      <c r="G3888">
        <v>-201.2885</v>
      </c>
      <c r="H3888">
        <v>0.91858169999999995</v>
      </c>
      <c r="I3888">
        <v>145.18790000000001</v>
      </c>
      <c r="J3888">
        <v>-200.73249999999999</v>
      </c>
      <c r="K3888">
        <v>1.1035980000000001</v>
      </c>
      <c r="L3888">
        <v>145.4708</v>
      </c>
      <c r="M3888">
        <v>-0.70574749999999997</v>
      </c>
      <c r="N3888">
        <v>-1.3905499999999999E-2</v>
      </c>
      <c r="O3888">
        <v>-0.70832720000000005</v>
      </c>
      <c r="P3888">
        <v>-0.73143910000000001</v>
      </c>
      <c r="Q3888">
        <v>0.37468800000000002</v>
      </c>
      <c r="R3888">
        <v>-0.56974250000000004</v>
      </c>
      <c r="S3888">
        <v>-3.040985</v>
      </c>
      <c r="T3888">
        <v>-0.75531590000000004</v>
      </c>
      <c r="U3888">
        <v>-1.875702</v>
      </c>
      <c r="V3888">
        <v>0.12303699999999999</v>
      </c>
      <c r="W3888">
        <v>0.38527050000000002</v>
      </c>
      <c r="X3888">
        <v>0.91456470000000001</v>
      </c>
      <c r="Y3888">
        <v>0.21776219999999999</v>
      </c>
      <c r="Z3888">
        <v>0.15499299999999999</v>
      </c>
      <c r="AA3888">
        <v>0.96361649999999999</v>
      </c>
      <c r="AB3888">
        <v>25</v>
      </c>
      <c r="AC3888">
        <v>-0.55600000000001104</v>
      </c>
      <c r="AD3888">
        <v>-0.185016299999999</v>
      </c>
      <c r="AE3888">
        <v>-0.282899999999983</v>
      </c>
      <c r="AF3888">
        <v>0.17849259354872701</v>
      </c>
      <c r="AG3888">
        <v>-0.185016299999999</v>
      </c>
      <c r="AH3888">
        <v>0.54490873796380801</v>
      </c>
      <c r="AI3888">
        <v>107.88315289431399</v>
      </c>
      <c r="AJ3888">
        <v>71.863056677707803</v>
      </c>
      <c r="AK3888">
        <v>0.602508232248117</v>
      </c>
      <c r="AL3888">
        <v>67.339466364520703</v>
      </c>
      <c r="AM3888">
        <v>82.337963303831799</v>
      </c>
      <c r="AN3888">
        <v>1.00000002601266</v>
      </c>
    </row>
    <row r="3889" spans="1:40" x14ac:dyDescent="0.25">
      <c r="A3889" t="str">
        <f>"20190304164447484"</f>
        <v>20190304164447484</v>
      </c>
      <c r="B3889" t="str">
        <f>"1551689087474036"</f>
        <v>1551689087474036</v>
      </c>
      <c r="C3889" t="s">
        <v>40</v>
      </c>
      <c r="D3889">
        <v>5.6718529999999996</v>
      </c>
      <c r="E3889">
        <v>0.56116899999999903</v>
      </c>
      <c r="F3889" t="s">
        <v>41</v>
      </c>
      <c r="G3889">
        <v>-201.4597</v>
      </c>
      <c r="H3889">
        <v>0.92245449999999996</v>
      </c>
      <c r="I3889">
        <v>145.036</v>
      </c>
      <c r="J3889">
        <v>-200.928</v>
      </c>
      <c r="K3889">
        <v>1.1034710000000001</v>
      </c>
      <c r="L3889">
        <v>145.29259999999999</v>
      </c>
      <c r="M3889">
        <v>-0.71384419999999904</v>
      </c>
      <c r="N3889">
        <v>-1.3815289999999999E-2</v>
      </c>
      <c r="O3889">
        <v>-0.70016849999999997</v>
      </c>
      <c r="P3889">
        <v>-0.7401605</v>
      </c>
      <c r="Q3889">
        <v>0.37305379999999999</v>
      </c>
      <c r="R3889">
        <v>-0.55945829999999996</v>
      </c>
      <c r="S3889">
        <v>-3.0646819999999999</v>
      </c>
      <c r="T3889">
        <v>-0.76321719999999904</v>
      </c>
      <c r="U3889">
        <v>-1.8330230000000001</v>
      </c>
      <c r="V3889">
        <v>0.12596269999999901</v>
      </c>
      <c r="W3889">
        <v>0.3834767</v>
      </c>
      <c r="X3889">
        <v>0.91492019999999996</v>
      </c>
      <c r="Y3889">
        <v>0.21947240000000001</v>
      </c>
      <c r="Z3889">
        <v>0.1555551</v>
      </c>
      <c r="AA3889">
        <v>0.96313780000000004</v>
      </c>
      <c r="AB3889">
        <v>25</v>
      </c>
      <c r="AC3889">
        <v>-0.53169999999999995</v>
      </c>
      <c r="AD3889">
        <v>-0.181016499999999</v>
      </c>
      <c r="AE3889">
        <v>-0.256599999999991</v>
      </c>
      <c r="AF3889">
        <v>0.17287339289671999</v>
      </c>
      <c r="AG3889">
        <v>-0.181016499999999</v>
      </c>
      <c r="AH3889">
        <v>0.51120883435456299</v>
      </c>
      <c r="AI3889">
        <v>108.543232530457</v>
      </c>
      <c r="AJ3889">
        <v>71.316216657851399</v>
      </c>
      <c r="AK3889">
        <v>0.56919825681920799</v>
      </c>
      <c r="AL3889">
        <v>67.450795004454605</v>
      </c>
      <c r="AM3889">
        <v>82.161017775504405</v>
      </c>
      <c r="AN3889">
        <v>0.99999997680110897</v>
      </c>
    </row>
    <row r="3890" spans="1:40" x14ac:dyDescent="0.25">
      <c r="A3890" t="str">
        <f>"20190304164447500"</f>
        <v>20190304164447500</v>
      </c>
      <c r="B3890" t="str">
        <f>"1551689087493555"</f>
        <v>1551689087493555</v>
      </c>
      <c r="C3890" t="s">
        <v>40</v>
      </c>
      <c r="D3890">
        <v>5.6893940000000001</v>
      </c>
      <c r="E3890">
        <v>0.56119160000000001</v>
      </c>
      <c r="F3890" t="s">
        <v>41</v>
      </c>
      <c r="G3890">
        <v>-201.6326</v>
      </c>
      <c r="H3890">
        <v>0.92803469999999999</v>
      </c>
      <c r="I3890">
        <v>144.88480000000001</v>
      </c>
      <c r="J3890">
        <v>-201.06139999999999</v>
      </c>
      <c r="K3890">
        <v>1.1033930000000001</v>
      </c>
      <c r="L3890">
        <v>145.17339999999999</v>
      </c>
      <c r="M3890">
        <v>-0.71932719999999895</v>
      </c>
      <c r="N3890">
        <v>-1.3748979999999999E-2</v>
      </c>
      <c r="O3890">
        <v>-0.69453540000000002</v>
      </c>
      <c r="P3890">
        <v>-0.74552099999999999</v>
      </c>
      <c r="Q3890">
        <v>0.37253829999999999</v>
      </c>
      <c r="R3890">
        <v>-0.55264250000000004</v>
      </c>
      <c r="S3890">
        <v>-3.0892789999999999</v>
      </c>
      <c r="T3890">
        <v>-0.76918520000000001</v>
      </c>
      <c r="U3890">
        <v>-1.7881469999999999</v>
      </c>
      <c r="V3890">
        <v>0.12739809999999999</v>
      </c>
      <c r="W3890">
        <v>0.38285659999999999</v>
      </c>
      <c r="X3890">
        <v>0.91498120000000005</v>
      </c>
      <c r="Y3890">
        <v>0.22534290000000001</v>
      </c>
      <c r="Z3890">
        <v>0.15644439999999901</v>
      </c>
      <c r="AA3890">
        <v>0.96163699999999996</v>
      </c>
      <c r="AB3890">
        <v>25</v>
      </c>
      <c r="AC3890">
        <v>-0.57120000000000404</v>
      </c>
      <c r="AD3890">
        <v>-0.17535829999999999</v>
      </c>
      <c r="AE3890">
        <v>-0.28859999999997399</v>
      </c>
      <c r="AF3890">
        <v>0.17592952290744299</v>
      </c>
      <c r="AG3890">
        <v>-0.17535829999999999</v>
      </c>
      <c r="AH3890">
        <v>0.56868256178085397</v>
      </c>
      <c r="AI3890">
        <v>106.414140896384</v>
      </c>
      <c r="AJ3890">
        <v>72.809850815227193</v>
      </c>
      <c r="AK3890">
        <v>0.620565537621101</v>
      </c>
      <c r="AL3890">
        <v>67.489260906188093</v>
      </c>
      <c r="AM3890">
        <v>82.073340259963999</v>
      </c>
      <c r="AN3890">
        <v>1.0000000242003</v>
      </c>
    </row>
    <row r="3891" spans="1:40" x14ac:dyDescent="0.25">
      <c r="A3891" t="str">
        <f>"20190304164447516"</f>
        <v>20190304164447516</v>
      </c>
      <c r="B3891" t="str">
        <f>"1551689087514051"</f>
        <v>1551689087514051</v>
      </c>
      <c r="C3891" t="s">
        <v>40</v>
      </c>
      <c r="D3891">
        <v>5.3673729999999997</v>
      </c>
      <c r="E3891">
        <v>0.56124580000000002</v>
      </c>
      <c r="F3891" t="s">
        <v>41</v>
      </c>
      <c r="G3891">
        <v>-201.81110000000001</v>
      </c>
      <c r="H3891">
        <v>0.91724059999999996</v>
      </c>
      <c r="I3891">
        <v>144.74930000000001</v>
      </c>
      <c r="J3891">
        <v>-201.20070000000001</v>
      </c>
      <c r="K3891">
        <v>1.10331</v>
      </c>
      <c r="L3891">
        <v>145.05090000000001</v>
      </c>
      <c r="M3891">
        <v>-0.72501590000000005</v>
      </c>
      <c r="N3891">
        <v>-1.367442E-2</v>
      </c>
      <c r="O3891">
        <v>-0.68859649999999994</v>
      </c>
      <c r="P3891">
        <v>-0.75134100000000004</v>
      </c>
      <c r="Q3891">
        <v>0.37206030000000001</v>
      </c>
      <c r="R3891">
        <v>-0.54503020000000002</v>
      </c>
      <c r="S3891">
        <v>-3.106293</v>
      </c>
      <c r="T3891">
        <v>-0.77078659999999999</v>
      </c>
      <c r="U3891">
        <v>-1.75765999999999</v>
      </c>
      <c r="V3891">
        <v>0.1294023</v>
      </c>
      <c r="W3891">
        <v>0.38225340000000002</v>
      </c>
      <c r="X3891">
        <v>0.91495210000000005</v>
      </c>
      <c r="Y3891">
        <v>0.22674330000000001</v>
      </c>
      <c r="Z3891">
        <v>0.15593959999999901</v>
      </c>
      <c r="AA3891">
        <v>0.96138979999999996</v>
      </c>
      <c r="AB3891">
        <v>25</v>
      </c>
      <c r="AC3891">
        <v>-0.61039999999999806</v>
      </c>
      <c r="AD3891">
        <v>-0.1860694</v>
      </c>
      <c r="AE3891">
        <v>-0.30160000000000697</v>
      </c>
      <c r="AF3891">
        <v>0.18765752195014601</v>
      </c>
      <c r="AG3891">
        <v>-0.1860694</v>
      </c>
      <c r="AH3891">
        <v>0.60509744367023399</v>
      </c>
      <c r="AI3891">
        <v>106.36768867653799</v>
      </c>
      <c r="AJ3891">
        <v>72.769885109415895</v>
      </c>
      <c r="AK3891">
        <v>0.66028787925955601</v>
      </c>
      <c r="AL3891">
        <v>67.526666088630506</v>
      </c>
      <c r="AM3891">
        <v>81.950009144626506</v>
      </c>
      <c r="AN3891">
        <v>0.99999998117562905</v>
      </c>
    </row>
    <row r="3892" spans="1:40" x14ac:dyDescent="0.25">
      <c r="A3892" t="str">
        <f>"20190304164447539"</f>
        <v>20190304164447539</v>
      </c>
      <c r="B3892" t="str">
        <f>"1551689087533571"</f>
        <v>1551689087533571</v>
      </c>
      <c r="C3892" t="s">
        <v>40</v>
      </c>
      <c r="D3892">
        <v>5.3657550000000001</v>
      </c>
      <c r="E3892">
        <v>0.56608179999999997</v>
      </c>
      <c r="F3892" t="s">
        <v>41</v>
      </c>
      <c r="G3892">
        <v>-201.99180000000001</v>
      </c>
      <c r="H3892">
        <v>0.90816030000000003</v>
      </c>
      <c r="I3892">
        <v>144.6155</v>
      </c>
      <c r="J3892">
        <v>-201.39760000000001</v>
      </c>
      <c r="K3892">
        <v>1.1031899999999999</v>
      </c>
      <c r="L3892">
        <v>144.88159999999999</v>
      </c>
      <c r="M3892">
        <v>-0.73299209999999904</v>
      </c>
      <c r="N3892">
        <v>-1.356663E-2</v>
      </c>
      <c r="O3892">
        <v>-0.68010219999999999</v>
      </c>
      <c r="P3892">
        <v>-0.75896790000000003</v>
      </c>
      <c r="Q3892">
        <v>0.37213010000000002</v>
      </c>
      <c r="R3892">
        <v>-0.53430999999999995</v>
      </c>
      <c r="S3892">
        <v>-3.126328</v>
      </c>
      <c r="T3892">
        <v>-0.77103480000000002</v>
      </c>
      <c r="U3892">
        <v>-1.72087099999999</v>
      </c>
      <c r="V3892">
        <v>0.1318057</v>
      </c>
      <c r="W3892">
        <v>0.38214540000000002</v>
      </c>
      <c r="X3892">
        <v>0.91465410000000003</v>
      </c>
      <c r="Y3892">
        <v>0.22680600000000001</v>
      </c>
      <c r="Z3892">
        <v>0.15461559999999999</v>
      </c>
      <c r="AA3892">
        <v>0.96158880000000002</v>
      </c>
      <c r="AB3892">
        <v>25</v>
      </c>
      <c r="AC3892">
        <v>-0.59419999999999995</v>
      </c>
      <c r="AD3892">
        <v>-0.195029699999999</v>
      </c>
      <c r="AE3892">
        <v>-0.26609999999999401</v>
      </c>
      <c r="AF3892">
        <v>0.19186955393097699</v>
      </c>
      <c r="AG3892">
        <v>-0.195029699999999</v>
      </c>
      <c r="AH3892">
        <v>0.56580400250268703</v>
      </c>
      <c r="AI3892">
        <v>108.07855331364701</v>
      </c>
      <c r="AJ3892">
        <v>71.267710343795301</v>
      </c>
      <c r="AK3892">
        <v>0.62847806553277796</v>
      </c>
      <c r="AL3892">
        <v>67.533362532803295</v>
      </c>
      <c r="AM3892">
        <v>81.799875378981497</v>
      </c>
      <c r="AN3892">
        <v>0.99999998597022999</v>
      </c>
    </row>
    <row r="3893" spans="1:40" x14ac:dyDescent="0.25">
      <c r="A3893" t="str">
        <f>"20190304164447552"</f>
        <v>20190304164447552</v>
      </c>
      <c r="B3893" t="str">
        <f>"1551689087544307"</f>
        <v>1551689087544307</v>
      </c>
      <c r="C3893" t="s">
        <v>40</v>
      </c>
      <c r="D3893">
        <v>5.3805430000000003</v>
      </c>
      <c r="E3893">
        <v>0.5661948</v>
      </c>
      <c r="F3893" t="s">
        <v>41</v>
      </c>
      <c r="G3893">
        <v>-202.18379999999999</v>
      </c>
      <c r="H3893">
        <v>0.92671590000000004</v>
      </c>
      <c r="I3893">
        <v>144.4761</v>
      </c>
      <c r="J3893">
        <v>-201.51329999999999</v>
      </c>
      <c r="K3893">
        <v>1.103119</v>
      </c>
      <c r="L3893">
        <v>144.78380000000001</v>
      </c>
      <c r="M3893">
        <v>-0.73764229999999997</v>
      </c>
      <c r="N3893">
        <v>-1.350493E-2</v>
      </c>
      <c r="O3893">
        <v>-0.67505689999999996</v>
      </c>
      <c r="P3893">
        <v>-0.76329899999999995</v>
      </c>
      <c r="Q3893">
        <v>0.3720811</v>
      </c>
      <c r="R3893">
        <v>-0.52813869999999996</v>
      </c>
      <c r="S3893">
        <v>-3.154236</v>
      </c>
      <c r="T3893">
        <v>-0.70786930000000003</v>
      </c>
      <c r="U3893">
        <v>-1.627243</v>
      </c>
      <c r="V3893">
        <v>0.13301930000000001</v>
      </c>
      <c r="W3893">
        <v>0.3819979</v>
      </c>
      <c r="X3893">
        <v>0.91454009999999997</v>
      </c>
      <c r="Y3893">
        <v>0.24811739999999999</v>
      </c>
      <c r="Z3893">
        <v>0.14341279999999901</v>
      </c>
      <c r="AA3893">
        <v>0.95805560000000001</v>
      </c>
      <c r="AB3893">
        <v>25</v>
      </c>
      <c r="AC3893">
        <v>-0.67050000000000398</v>
      </c>
      <c r="AD3893">
        <v>-0.17640310000000001</v>
      </c>
      <c r="AE3893">
        <v>-0.30770000000001102</v>
      </c>
      <c r="AF3893">
        <v>0.21346837106868799</v>
      </c>
      <c r="AG3893">
        <v>-0.17640310000000001</v>
      </c>
      <c r="AH3893">
        <v>0.66438137462796498</v>
      </c>
      <c r="AI3893">
        <v>104.18642758071501</v>
      </c>
      <c r="AJ3893">
        <v>72.187582107524307</v>
      </c>
      <c r="AK3893">
        <v>0.71978428024573704</v>
      </c>
      <c r="AL3893">
        <v>67.542509265422893</v>
      </c>
      <c r="AM3893">
        <v>81.724396419014397</v>
      </c>
      <c r="AN3893">
        <v>1.0000000621424501</v>
      </c>
    </row>
    <row r="3894" spans="1:40" x14ac:dyDescent="0.25">
      <c r="A3894" t="str">
        <f>"20190304164447564"</f>
        <v>20190304164447564</v>
      </c>
      <c r="B3894" t="str">
        <f>"1551689087554067"</f>
        <v>1551689087554067</v>
      </c>
      <c r="C3894" t="s">
        <v>40</v>
      </c>
      <c r="D3894">
        <v>5.3706579999999997</v>
      </c>
      <c r="E3894">
        <v>0.56628669999999903</v>
      </c>
      <c r="F3894" t="s">
        <v>41</v>
      </c>
      <c r="G3894">
        <v>-202.1754</v>
      </c>
      <c r="H3894">
        <v>0.95577599999999996</v>
      </c>
      <c r="I3894">
        <v>144.44909999999999</v>
      </c>
      <c r="J3894">
        <v>-201.62350000000001</v>
      </c>
      <c r="K3894">
        <v>1.103054</v>
      </c>
      <c r="L3894">
        <v>144.69239999999999</v>
      </c>
      <c r="M3894">
        <v>-0.74204150000000002</v>
      </c>
      <c r="N3894">
        <v>-1.3448170000000001E-2</v>
      </c>
      <c r="O3894">
        <v>-0.67021909999999996</v>
      </c>
      <c r="P3894">
        <v>-0.76745909999999995</v>
      </c>
      <c r="Q3894">
        <v>0.37216460000000001</v>
      </c>
      <c r="R3894">
        <v>-0.52201560000000002</v>
      </c>
      <c r="S3894">
        <v>-3.166077</v>
      </c>
      <c r="T3894">
        <v>-0.70446569999999997</v>
      </c>
      <c r="U3894">
        <v>-1.60083</v>
      </c>
      <c r="V3894">
        <v>0.13438710000000001</v>
      </c>
      <c r="W3894">
        <v>0.38198330000000003</v>
      </c>
      <c r="X3894">
        <v>0.9143462</v>
      </c>
      <c r="Y3894">
        <v>0.2497586</v>
      </c>
      <c r="Z3894">
        <v>0.14217379999999999</v>
      </c>
      <c r="AA3894">
        <v>0.95781380000000005</v>
      </c>
      <c r="AB3894">
        <v>25</v>
      </c>
      <c r="AC3894">
        <v>-0.55189999999998895</v>
      </c>
      <c r="AD3894">
        <v>-0.14727799999999899</v>
      </c>
      <c r="AE3894">
        <v>-0.24330000000000401</v>
      </c>
      <c r="AF3894">
        <v>0.17871641465018201</v>
      </c>
      <c r="AG3894">
        <v>-0.14727799999999899</v>
      </c>
      <c r="AH3894">
        <v>0.54042599131115299</v>
      </c>
      <c r="AI3894">
        <v>104.506635655021</v>
      </c>
      <c r="AJ3894">
        <v>71.701184441857606</v>
      </c>
      <c r="AK3894">
        <v>0.58795460558963097</v>
      </c>
      <c r="AL3894">
        <v>67.543414227655603</v>
      </c>
      <c r="AM3894">
        <v>81.638749537057095</v>
      </c>
      <c r="AN3894">
        <v>1.0000000537898599</v>
      </c>
    </row>
    <row r="3895" spans="1:40" x14ac:dyDescent="0.25">
      <c r="A3895" t="str">
        <f>"20190304164447584"</f>
        <v>20190304164447584</v>
      </c>
      <c r="B3895" t="str">
        <f>"1551689087573595"</f>
        <v>1551689087573595</v>
      </c>
      <c r="C3895" t="s">
        <v>40</v>
      </c>
      <c r="D3895">
        <v>5.7043799999999996</v>
      </c>
      <c r="E3895">
        <v>0.56546350000000001</v>
      </c>
      <c r="F3895" t="s">
        <v>41</v>
      </c>
      <c r="G3895">
        <v>-202.36189999999999</v>
      </c>
      <c r="H3895">
        <v>0.93983749999999999</v>
      </c>
      <c r="I3895">
        <v>144.32640000000001</v>
      </c>
      <c r="J3895">
        <v>-201.79509999999999</v>
      </c>
      <c r="K3895">
        <v>1.102943</v>
      </c>
      <c r="L3895">
        <v>144.5521</v>
      </c>
      <c r="M3895">
        <v>-0.7488397</v>
      </c>
      <c r="N3895">
        <v>-1.335857E-2</v>
      </c>
      <c r="O3895">
        <v>-0.66261680000000001</v>
      </c>
      <c r="P3895">
        <v>-0.77340369999999903</v>
      </c>
      <c r="Q3895">
        <v>0.37185649999999998</v>
      </c>
      <c r="R3895">
        <v>-0.51339069999999998</v>
      </c>
      <c r="S3895">
        <v>-3.178131</v>
      </c>
      <c r="T3895">
        <v>-0.70237419999999995</v>
      </c>
      <c r="U3895">
        <v>-1.575226</v>
      </c>
      <c r="V3895">
        <v>0.13547779999999901</v>
      </c>
      <c r="W3895">
        <v>0.38154349999999998</v>
      </c>
      <c r="X3895">
        <v>0.91436879999999998</v>
      </c>
      <c r="Y3895">
        <v>0.24773790000000001</v>
      </c>
      <c r="Z3895">
        <v>0.14046020000000001</v>
      </c>
      <c r="AA3895">
        <v>0.95859099999999997</v>
      </c>
      <c r="AB3895">
        <v>25</v>
      </c>
      <c r="AC3895">
        <v>-0.56679999999999997</v>
      </c>
      <c r="AD3895">
        <v>-0.16310549999999999</v>
      </c>
      <c r="AE3895">
        <v>-0.22569999999998899</v>
      </c>
      <c r="AF3895">
        <v>0.192796253289821</v>
      </c>
      <c r="AG3895">
        <v>-0.16310549999999999</v>
      </c>
      <c r="AH3895">
        <v>0.53575282767808696</v>
      </c>
      <c r="AI3895">
        <v>105.98478906752899</v>
      </c>
      <c r="AJ3895">
        <v>70.208202275854802</v>
      </c>
      <c r="AK3895">
        <v>0.59228784537411205</v>
      </c>
      <c r="AL3895">
        <v>67.570676335769406</v>
      </c>
      <c r="AM3895">
        <v>81.572064916238304</v>
      </c>
      <c r="AN3895">
        <v>0.99999998954926494</v>
      </c>
    </row>
    <row r="3896" spans="1:40" x14ac:dyDescent="0.25">
      <c r="A3896" t="str">
        <f>"20190304164447597"</f>
        <v>20190304164447597</v>
      </c>
      <c r="B3896" t="str">
        <f>"1551689087594084"</f>
        <v>1551689087594084</v>
      </c>
      <c r="C3896" t="s">
        <v>40</v>
      </c>
      <c r="D3896">
        <v>5.6976630000000004</v>
      </c>
      <c r="E3896">
        <v>0.56807680000000005</v>
      </c>
      <c r="F3896" t="s">
        <v>41</v>
      </c>
      <c r="G3896">
        <v>-202.54079999999999</v>
      </c>
      <c r="H3896">
        <v>0.93275110000000006</v>
      </c>
      <c r="I3896">
        <v>144.1908</v>
      </c>
      <c r="J3896">
        <v>-201.90530000000001</v>
      </c>
      <c r="K3896">
        <v>1.1028720000000001</v>
      </c>
      <c r="L3896">
        <v>144.46340000000001</v>
      </c>
      <c r="M3896">
        <v>-0.75317309999999904</v>
      </c>
      <c r="N3896">
        <v>-1.330069E-2</v>
      </c>
      <c r="O3896">
        <v>-0.65768800000000005</v>
      </c>
      <c r="P3896">
        <v>-0.77678259999999999</v>
      </c>
      <c r="Q3896">
        <v>0.37161309999999997</v>
      </c>
      <c r="R3896">
        <v>-0.50844120000000004</v>
      </c>
      <c r="S3896">
        <v>-3.2007289999999999</v>
      </c>
      <c r="T3896">
        <v>-0.73052169999999905</v>
      </c>
      <c r="U3896">
        <v>-1.5508879999999901</v>
      </c>
      <c r="V3896">
        <v>0.13544129999999999</v>
      </c>
      <c r="W3896">
        <v>0.38123099999999999</v>
      </c>
      <c r="X3896">
        <v>0.9145046</v>
      </c>
      <c r="Y3896">
        <v>0.24896840000000001</v>
      </c>
      <c r="Z3896">
        <v>0.14516770000000001</v>
      </c>
      <c r="AA3896">
        <v>0.95757040000000004</v>
      </c>
      <c r="AB3896">
        <v>25</v>
      </c>
      <c r="AC3896">
        <v>-0.63549999999997897</v>
      </c>
      <c r="AD3896">
        <v>-0.17012089999999899</v>
      </c>
      <c r="AE3896">
        <v>-0.272600000000011</v>
      </c>
      <c r="AF3896">
        <v>0.20052767276565001</v>
      </c>
      <c r="AG3896">
        <v>-0.17012089999999899</v>
      </c>
      <c r="AH3896">
        <v>0.620433886717767</v>
      </c>
      <c r="AI3896">
        <v>104.622916834584</v>
      </c>
      <c r="AJ3896">
        <v>72.088879745346603</v>
      </c>
      <c r="AK3896">
        <v>0.67386250522590496</v>
      </c>
      <c r="AL3896">
        <v>67.590046505826606</v>
      </c>
      <c r="AM3896">
        <v>81.575536168468005</v>
      </c>
      <c r="AN3896">
        <v>1.0000000422639199</v>
      </c>
    </row>
    <row r="3897" spans="1:40" x14ac:dyDescent="0.25">
      <c r="A3897" t="str">
        <f>"20190304164447617"</f>
        <v>20190304164447617</v>
      </c>
      <c r="B3897" t="str">
        <f>"1551689087613604"</f>
        <v>1551689087613604</v>
      </c>
      <c r="C3897" t="s">
        <v>40</v>
      </c>
      <c r="D3897">
        <v>5.6794969999999996</v>
      </c>
      <c r="E3897">
        <v>0.56919259999999905</v>
      </c>
      <c r="F3897" t="s">
        <v>41</v>
      </c>
      <c r="G3897">
        <v>-202.7373</v>
      </c>
      <c r="H3897">
        <v>0.92100070000000001</v>
      </c>
      <c r="I3897">
        <v>144.0737</v>
      </c>
      <c r="J3897">
        <v>-202.09540000000001</v>
      </c>
      <c r="K3897">
        <v>1.102751</v>
      </c>
      <c r="L3897">
        <v>144.31379999999999</v>
      </c>
      <c r="M3897">
        <v>-0.76058729999999997</v>
      </c>
      <c r="N3897">
        <v>-1.3208259999999999E-2</v>
      </c>
      <c r="O3897">
        <v>-0.64910140000000005</v>
      </c>
      <c r="P3897">
        <v>-0.78218669999999901</v>
      </c>
      <c r="Q3897">
        <v>0.37121959999999998</v>
      </c>
      <c r="R3897">
        <v>-0.50037989999999999</v>
      </c>
      <c r="S3897">
        <v>-3.2130890000000001</v>
      </c>
      <c r="T3897">
        <v>-0.70241799999999999</v>
      </c>
      <c r="U3897">
        <v>-1.5048979999999901</v>
      </c>
      <c r="V3897">
        <v>0.13472809999999999</v>
      </c>
      <c r="W3897">
        <v>0.38073800000000002</v>
      </c>
      <c r="X3897">
        <v>0.91481520000000005</v>
      </c>
      <c r="Y3897">
        <v>0.25175639999999999</v>
      </c>
      <c r="Z3897">
        <v>0.13872010000000001</v>
      </c>
      <c r="AA3897">
        <v>0.95779720000000002</v>
      </c>
      <c r="AB3897">
        <v>25</v>
      </c>
      <c r="AC3897">
        <v>-0.64189999999999203</v>
      </c>
      <c r="AD3897">
        <v>-0.1817503</v>
      </c>
      <c r="AE3897">
        <v>-0.24009999999998399</v>
      </c>
      <c r="AF3897">
        <v>0.2186815569069</v>
      </c>
      <c r="AG3897">
        <v>-0.1817503</v>
      </c>
      <c r="AH3897">
        <v>0.60180128461332905</v>
      </c>
      <c r="AI3897">
        <v>105.846645445462</v>
      </c>
      <c r="AJ3897">
        <v>70.029951237473796</v>
      </c>
      <c r="AK3897">
        <v>0.66559716123460799</v>
      </c>
      <c r="AL3897">
        <v>67.6205956762808</v>
      </c>
      <c r="AM3897">
        <v>81.622070664808206</v>
      </c>
      <c r="AN3897">
        <v>0.99999996786232404</v>
      </c>
    </row>
    <row r="3898" spans="1:40" x14ac:dyDescent="0.25">
      <c r="A3898" t="str">
        <f>"20190304164447641"</f>
        <v>20190304164447641</v>
      </c>
      <c r="B3898" t="str">
        <f>"1551689087634100"</f>
        <v>1551689087634100</v>
      </c>
      <c r="C3898" t="s">
        <v>40</v>
      </c>
      <c r="D3898">
        <v>5.6883150000000002</v>
      </c>
      <c r="E3898">
        <v>0.56991009999999998</v>
      </c>
      <c r="F3898" t="s">
        <v>41</v>
      </c>
      <c r="G3898">
        <v>-202.92509999999999</v>
      </c>
      <c r="H3898">
        <v>0.92540100000000003</v>
      </c>
      <c r="I3898">
        <v>143.94</v>
      </c>
      <c r="J3898">
        <v>-202.31909999999999</v>
      </c>
      <c r="K3898">
        <v>1.102619</v>
      </c>
      <c r="L3898">
        <v>144.14240000000001</v>
      </c>
      <c r="M3898">
        <v>-0.76919819999999905</v>
      </c>
      <c r="N3898">
        <v>-1.311316E-2</v>
      </c>
      <c r="O3898">
        <v>-0.63887579999999999</v>
      </c>
      <c r="P3898">
        <v>-0.78848589999999996</v>
      </c>
      <c r="Q3898">
        <v>0.3709442</v>
      </c>
      <c r="R3898">
        <v>-0.49060209999999999</v>
      </c>
      <c r="S3898">
        <v>-3.2315369999999999</v>
      </c>
      <c r="T3898">
        <v>-0.69037689999999996</v>
      </c>
      <c r="U3898">
        <v>-1.4561459999999999</v>
      </c>
      <c r="V3898">
        <v>0.1340662</v>
      </c>
      <c r="W3898">
        <v>0.38035570000000002</v>
      </c>
      <c r="X3898">
        <v>0.91507150000000004</v>
      </c>
      <c r="Y3898">
        <v>0.25343739999999998</v>
      </c>
      <c r="Z3898">
        <v>0.13501969999999999</v>
      </c>
      <c r="AA3898">
        <v>0.95788260000000003</v>
      </c>
      <c r="AB3898">
        <v>25</v>
      </c>
      <c r="AC3898">
        <v>-0.60599999999999399</v>
      </c>
      <c r="AD3898">
        <v>-0.17721799999999999</v>
      </c>
      <c r="AE3898">
        <v>-0.20240000000001099</v>
      </c>
      <c r="AF3898">
        <v>0.214954727140581</v>
      </c>
      <c r="AG3898">
        <v>-0.17721799999999999</v>
      </c>
      <c r="AH3898">
        <v>0.55295081858607198</v>
      </c>
      <c r="AI3898">
        <v>106.631821221566</v>
      </c>
      <c r="AJ3898">
        <v>68.756848572252807</v>
      </c>
      <c r="AK3898">
        <v>0.61916585986235395</v>
      </c>
      <c r="AL3898">
        <v>67.644283372606793</v>
      </c>
      <c r="AM3898">
        <v>81.664952656333497</v>
      </c>
      <c r="AN3898">
        <v>1.0000000273085801</v>
      </c>
    </row>
    <row r="3899" spans="1:40" x14ac:dyDescent="0.25">
      <c r="A3899" t="str">
        <f>"20190304164447662"</f>
        <v>20190304164447662</v>
      </c>
      <c r="B3899" t="str">
        <f>"1551689087653619"</f>
        <v>1551689087653619</v>
      </c>
      <c r="C3899" t="s">
        <v>40</v>
      </c>
      <c r="D3899">
        <v>5.6802739999999998</v>
      </c>
      <c r="E3899">
        <v>0.57019280000000006</v>
      </c>
      <c r="F3899" t="s">
        <v>41</v>
      </c>
      <c r="G3899">
        <v>-203.1095</v>
      </c>
      <c r="H3899">
        <v>0.93672250000000001</v>
      </c>
      <c r="I3899">
        <v>143.80099999999999</v>
      </c>
      <c r="J3899">
        <v>-202.50960000000001</v>
      </c>
      <c r="K3899">
        <v>1.1025180000000001</v>
      </c>
      <c r="L3899">
        <v>144.00020000000001</v>
      </c>
      <c r="M3899">
        <v>-0.77642739999999999</v>
      </c>
      <c r="N3899">
        <v>-1.3037119999999999E-2</v>
      </c>
      <c r="O3899">
        <v>-0.63007209999999902</v>
      </c>
      <c r="P3899">
        <v>-0.79398190000000002</v>
      </c>
      <c r="Q3899">
        <v>0.37069370000000001</v>
      </c>
      <c r="R3899">
        <v>-0.4818499</v>
      </c>
      <c r="S3899">
        <v>-3.251862</v>
      </c>
      <c r="T3899">
        <v>-0.68245840000000002</v>
      </c>
      <c r="U3899">
        <v>-1.404617</v>
      </c>
      <c r="V3899">
        <v>0.13391249999999999</v>
      </c>
      <c r="W3899">
        <v>0.3800135</v>
      </c>
      <c r="X3899">
        <v>0.9152361</v>
      </c>
      <c r="Y3899">
        <v>0.2577373</v>
      </c>
      <c r="Z3899">
        <v>0.13255430000000001</v>
      </c>
      <c r="AA3899">
        <v>0.95707940000000002</v>
      </c>
      <c r="AB3899">
        <v>25</v>
      </c>
      <c r="AC3899">
        <v>-0.599899999999991</v>
      </c>
      <c r="AD3899">
        <v>-0.16579550000000001</v>
      </c>
      <c r="AE3899">
        <v>-0.19919999999999</v>
      </c>
      <c r="AF3899">
        <v>0.20895930829248099</v>
      </c>
      <c r="AG3899">
        <v>-0.16579550000000001</v>
      </c>
      <c r="AH3899">
        <v>0.553276169085961</v>
      </c>
      <c r="AI3899">
        <v>105.660004246035</v>
      </c>
      <c r="AJ3899">
        <v>69.309636455986507</v>
      </c>
      <c r="AK3899">
        <v>0.614220367311895</v>
      </c>
      <c r="AL3899">
        <v>67.665480372394001</v>
      </c>
      <c r="AM3899">
        <v>81.675850673001193</v>
      </c>
      <c r="AN3899">
        <v>0.99999996829085402</v>
      </c>
    </row>
    <row r="3900" spans="1:40" x14ac:dyDescent="0.25">
      <c r="A3900" t="str">
        <f>"20190304164447683"</f>
        <v>20190304164447683</v>
      </c>
      <c r="B3900" t="str">
        <f>"1551689087674115"</f>
        <v>1551689087674115</v>
      </c>
      <c r="C3900" t="s">
        <v>40</v>
      </c>
      <c r="D3900">
        <v>5.1379409999999996</v>
      </c>
      <c r="E3900">
        <v>0.56986789999999998</v>
      </c>
      <c r="F3900" t="s">
        <v>41</v>
      </c>
      <c r="G3900">
        <v>-203.29759999999999</v>
      </c>
      <c r="H3900">
        <v>0.93828730000000005</v>
      </c>
      <c r="I3900">
        <v>143.6711</v>
      </c>
      <c r="J3900">
        <v>-202.7106</v>
      </c>
      <c r="K3900">
        <v>1.1024240000000001</v>
      </c>
      <c r="L3900">
        <v>143.85380000000001</v>
      </c>
      <c r="M3900">
        <v>-0.78395249999999905</v>
      </c>
      <c r="N3900">
        <v>-1.2961810000000001E-2</v>
      </c>
      <c r="O3900">
        <v>-0.62068579999999995</v>
      </c>
      <c r="P3900">
        <v>-0.79991049999999997</v>
      </c>
      <c r="Q3900">
        <v>0.37037300000000001</v>
      </c>
      <c r="R3900">
        <v>-0.47219460000000002</v>
      </c>
      <c r="S3900">
        <v>-3.267487</v>
      </c>
      <c r="T3900">
        <v>-0.6803477</v>
      </c>
      <c r="U3900">
        <v>-1.3653409999999999</v>
      </c>
      <c r="V3900">
        <v>0.134154299999999</v>
      </c>
      <c r="W3900">
        <v>0.37959359999999998</v>
      </c>
      <c r="X3900">
        <v>0.91537500000000005</v>
      </c>
      <c r="Y3900">
        <v>0.2577448</v>
      </c>
      <c r="Z3900">
        <v>0.13076269999999901</v>
      </c>
      <c r="AA3900">
        <v>0.9573237</v>
      </c>
      <c r="AB3900">
        <v>25</v>
      </c>
      <c r="AC3900">
        <v>-0.58699999999998898</v>
      </c>
      <c r="AD3900">
        <v>-0.1641367</v>
      </c>
      <c r="AE3900">
        <v>-0.18270000000001099</v>
      </c>
      <c r="AF3900">
        <v>0.20641904336603201</v>
      </c>
      <c r="AG3900">
        <v>-0.1641367</v>
      </c>
      <c r="AH3900">
        <v>0.53545897876632398</v>
      </c>
      <c r="AI3900">
        <v>105.961478993588</v>
      </c>
      <c r="AJ3900">
        <v>68.918385481757795</v>
      </c>
      <c r="AK3900">
        <v>0.59688021888190601</v>
      </c>
      <c r="AL3900">
        <v>67.691489216725699</v>
      </c>
      <c r="AM3900">
        <v>81.662278865703598</v>
      </c>
      <c r="AN3900">
        <v>1.0000000339972199</v>
      </c>
    </row>
    <row r="3901" spans="1:40" x14ac:dyDescent="0.25">
      <c r="A3901" t="str">
        <f>"20190304164447706"</f>
        <v>20190304164447706</v>
      </c>
      <c r="B3901" t="str">
        <f>"1551689087704371"</f>
        <v>1551689087704371</v>
      </c>
      <c r="C3901" t="s">
        <v>40</v>
      </c>
      <c r="D3901">
        <v>5.1325050000000001</v>
      </c>
      <c r="E3901">
        <v>0.56987699999999997</v>
      </c>
      <c r="F3901" t="s">
        <v>41</v>
      </c>
      <c r="G3901">
        <v>-203.48419999999999</v>
      </c>
      <c r="H3901">
        <v>0.94090039999999997</v>
      </c>
      <c r="I3901">
        <v>143.54060000000001</v>
      </c>
      <c r="J3901">
        <v>-202.91650000000001</v>
      </c>
      <c r="K3901">
        <v>1.1023229999999999</v>
      </c>
      <c r="L3901">
        <v>143.70779999999999</v>
      </c>
      <c r="M3901">
        <v>-0.79153439999999997</v>
      </c>
      <c r="N3901">
        <v>-1.2887799999999901E-2</v>
      </c>
      <c r="O3901">
        <v>-0.6109888</v>
      </c>
      <c r="P3901">
        <v>-0.80563899999999999</v>
      </c>
      <c r="Q3901">
        <v>0.37001230000000002</v>
      </c>
      <c r="R3901">
        <v>-0.46264119999999997</v>
      </c>
      <c r="S3901">
        <v>-3.2833100000000002</v>
      </c>
      <c r="T3901">
        <v>-0.6856873</v>
      </c>
      <c r="U3901">
        <v>-1.3291470000000001</v>
      </c>
      <c r="V3901">
        <v>0.1339436</v>
      </c>
      <c r="W3901">
        <v>0.37914750000000003</v>
      </c>
      <c r="X3901">
        <v>0.91559069999999998</v>
      </c>
      <c r="Y3901">
        <v>0.25648929999999998</v>
      </c>
      <c r="Z3901">
        <v>0.1302006</v>
      </c>
      <c r="AA3901">
        <v>0.95773739999999996</v>
      </c>
      <c r="AB3901">
        <v>25</v>
      </c>
      <c r="AC3901">
        <v>-0.567699999999973</v>
      </c>
      <c r="AD3901">
        <v>-0.161422599999999</v>
      </c>
      <c r="AE3901">
        <v>-0.167199999999979</v>
      </c>
      <c r="AF3901">
        <v>0.19967600527663901</v>
      </c>
      <c r="AG3901">
        <v>-0.161422599999999</v>
      </c>
      <c r="AH3901">
        <v>0.51336370692732303</v>
      </c>
      <c r="AI3901">
        <v>106.333424328392</v>
      </c>
      <c r="AJ3901">
        <v>68.746143728257806</v>
      </c>
      <c r="AK3901">
        <v>0.57399482442279803</v>
      </c>
      <c r="AL3901">
        <v>67.719113681651194</v>
      </c>
      <c r="AM3901">
        <v>81.677123987603693</v>
      </c>
      <c r="AN3901">
        <v>1.0000000223318399</v>
      </c>
    </row>
    <row r="3902" spans="1:40" x14ac:dyDescent="0.25">
      <c r="A3902" t="str">
        <f>"20190304164447728"</f>
        <v>20190304164447728</v>
      </c>
      <c r="B3902" t="str">
        <f>"1551689087723891"</f>
        <v>1551689087723891</v>
      </c>
      <c r="C3902" t="s">
        <v>40</v>
      </c>
      <c r="D3902">
        <v>5.7015399999999996</v>
      </c>
      <c r="E3902">
        <v>0.57001469999999999</v>
      </c>
      <c r="F3902" t="s">
        <v>41</v>
      </c>
      <c r="G3902">
        <v>-203.6738</v>
      </c>
      <c r="H3902">
        <v>0.94446960000000002</v>
      </c>
      <c r="I3902">
        <v>143.41210000000001</v>
      </c>
      <c r="J3902">
        <v>-203.12970000000001</v>
      </c>
      <c r="K3902">
        <v>1.102233</v>
      </c>
      <c r="L3902">
        <v>143.5607</v>
      </c>
      <c r="M3902">
        <v>-0.79924719999999905</v>
      </c>
      <c r="N3902">
        <v>-1.280852E-2</v>
      </c>
      <c r="O3902">
        <v>-0.60086629999999996</v>
      </c>
      <c r="P3902">
        <v>-0.81127700000000003</v>
      </c>
      <c r="Q3902">
        <v>0.3690851</v>
      </c>
      <c r="R3902">
        <v>-0.45343840000000002</v>
      </c>
      <c r="S3902">
        <v>-3.2989350000000002</v>
      </c>
      <c r="T3902">
        <v>-0.6868727</v>
      </c>
      <c r="U3902">
        <v>-1.2891539999999999</v>
      </c>
      <c r="V3902">
        <v>0.13300989999999999</v>
      </c>
      <c r="W3902">
        <v>0.3781505</v>
      </c>
      <c r="X3902">
        <v>0.91613889999999998</v>
      </c>
      <c r="Y3902">
        <v>0.2559128</v>
      </c>
      <c r="Z3902">
        <v>0.12884010000000001</v>
      </c>
      <c r="AA3902">
        <v>0.95807560000000003</v>
      </c>
      <c r="AB3902">
        <v>25</v>
      </c>
      <c r="AC3902">
        <v>-0.54409999999998604</v>
      </c>
      <c r="AD3902">
        <v>-0.1577634</v>
      </c>
      <c r="AE3902">
        <v>-0.14859999999998699</v>
      </c>
      <c r="AF3902">
        <v>0.19307466376667101</v>
      </c>
      <c r="AG3902">
        <v>-0.1577634</v>
      </c>
      <c r="AH3902">
        <v>0.48616584881377101</v>
      </c>
      <c r="AI3902">
        <v>106.782911711388</v>
      </c>
      <c r="AJ3902">
        <v>68.340119785577599</v>
      </c>
      <c r="AK3902">
        <v>0.54637381774842297</v>
      </c>
      <c r="AL3902">
        <v>67.780831710187101</v>
      </c>
      <c r="AM3902">
        <v>81.739214824399696</v>
      </c>
      <c r="AN3902">
        <v>0.99999995912073403</v>
      </c>
    </row>
    <row r="3903" spans="1:40" x14ac:dyDescent="0.25">
      <c r="A3903" t="str">
        <f>"20190304164447741"</f>
        <v>20190304164447741</v>
      </c>
      <c r="B3903" t="str">
        <f>"1551689087733652"</f>
        <v>1551689087733652</v>
      </c>
      <c r="C3903" t="s">
        <v>40</v>
      </c>
      <c r="D3903">
        <v>5.6774740000000001</v>
      </c>
      <c r="E3903">
        <v>0.5699651</v>
      </c>
      <c r="F3903" t="s">
        <v>41</v>
      </c>
      <c r="G3903">
        <v>-203.86510000000001</v>
      </c>
      <c r="H3903">
        <v>0.94953100000000001</v>
      </c>
      <c r="I3903">
        <v>143.28399999999999</v>
      </c>
      <c r="J3903">
        <v>-203.2543</v>
      </c>
      <c r="K3903">
        <v>1.1021939999999999</v>
      </c>
      <c r="L3903">
        <v>143.47659999999999</v>
      </c>
      <c r="M3903">
        <v>-0.80368619999999902</v>
      </c>
      <c r="N3903">
        <v>-1.276205E-2</v>
      </c>
      <c r="O3903">
        <v>-0.59491660000000002</v>
      </c>
      <c r="P3903">
        <v>-0.81443859999999901</v>
      </c>
      <c r="Q3903">
        <v>0.36902370000000001</v>
      </c>
      <c r="R3903">
        <v>-0.44778489999999999</v>
      </c>
      <c r="S3903">
        <v>-3.3139500000000002</v>
      </c>
      <c r="T3903">
        <v>-0.68787310000000002</v>
      </c>
      <c r="U3903">
        <v>-1.2468109999999999</v>
      </c>
      <c r="V3903">
        <v>0.13262739999999901</v>
      </c>
      <c r="W3903">
        <v>0.37804460000000001</v>
      </c>
      <c r="X3903">
        <v>0.91623810000000006</v>
      </c>
      <c r="Y3903">
        <v>0.26085249999999999</v>
      </c>
      <c r="Z3903">
        <v>0.1285895</v>
      </c>
      <c r="AA3903">
        <v>0.95677619999999997</v>
      </c>
      <c r="AB3903">
        <v>25</v>
      </c>
      <c r="AC3903">
        <v>-0.610800000000011</v>
      </c>
      <c r="AD3903">
        <v>-0.15266299999999999</v>
      </c>
      <c r="AE3903">
        <v>-0.192599999999998</v>
      </c>
      <c r="AF3903">
        <v>0.197386542208592</v>
      </c>
      <c r="AG3903">
        <v>-0.15266299999999999</v>
      </c>
      <c r="AH3903">
        <v>0.57296575120624105</v>
      </c>
      <c r="AI3903">
        <v>104.139406354675</v>
      </c>
      <c r="AJ3903">
        <v>70.991184570157301</v>
      </c>
      <c r="AK3903">
        <v>0.624945750181083</v>
      </c>
      <c r="AL3903">
        <v>67.787386865292902</v>
      </c>
      <c r="AM3903">
        <v>81.763523733406203</v>
      </c>
      <c r="AN3903">
        <v>1.0000000013557599</v>
      </c>
    </row>
    <row r="3904" spans="1:40" x14ac:dyDescent="0.25">
      <c r="A3904" t="str">
        <f>"20190304164447762"</f>
        <v>20190304164447762</v>
      </c>
      <c r="B3904" t="str">
        <f>"1551689087754147"</f>
        <v>1551689087754147</v>
      </c>
      <c r="C3904" t="s">
        <v>40</v>
      </c>
      <c r="D3904">
        <v>5.5889419999999896</v>
      </c>
      <c r="E3904">
        <v>0.57020939999999998</v>
      </c>
      <c r="F3904" t="s">
        <v>41</v>
      </c>
      <c r="G3904">
        <v>-204.06460000000001</v>
      </c>
      <c r="H3904">
        <v>0.93427629999999995</v>
      </c>
      <c r="I3904">
        <v>143.17859999999999</v>
      </c>
      <c r="J3904">
        <v>-203.45949999999999</v>
      </c>
      <c r="K3904">
        <v>1.1021319999999999</v>
      </c>
      <c r="L3904">
        <v>143.34110000000001</v>
      </c>
      <c r="M3904">
        <v>-0.81087180000000003</v>
      </c>
      <c r="N3904">
        <v>-1.2688E-2</v>
      </c>
      <c r="O3904">
        <v>-0.58508629999999995</v>
      </c>
      <c r="P3904">
        <v>-0.81918999999999997</v>
      </c>
      <c r="Q3904">
        <v>0.36886269999999999</v>
      </c>
      <c r="R3904">
        <v>-0.43916739999999999</v>
      </c>
      <c r="S3904">
        <v>-3.3230590000000002</v>
      </c>
      <c r="T3904">
        <v>-0.688227699999999</v>
      </c>
      <c r="U3904">
        <v>-1.2227629999999901</v>
      </c>
      <c r="V3904">
        <v>0.13121629999999901</v>
      </c>
      <c r="W3904">
        <v>0.37783270000000002</v>
      </c>
      <c r="X3904">
        <v>0.91652860000000003</v>
      </c>
      <c r="Y3904">
        <v>0.25625330000000002</v>
      </c>
      <c r="Z3904">
        <v>0.1267258</v>
      </c>
      <c r="AA3904">
        <v>0.95826659999999997</v>
      </c>
      <c r="AB3904">
        <v>25</v>
      </c>
      <c r="AC3904">
        <v>-0.60510000000002095</v>
      </c>
      <c r="AD3904">
        <v>-0.167855699999999</v>
      </c>
      <c r="AE3904">
        <v>-0.16250000000002199</v>
      </c>
      <c r="AF3904">
        <v>0.207400704296964</v>
      </c>
      <c r="AG3904">
        <v>-0.167855699999999</v>
      </c>
      <c r="AH3904">
        <v>0.54655319959964799</v>
      </c>
      <c r="AI3904">
        <v>106.020798048822</v>
      </c>
      <c r="AJ3904">
        <v>69.219733938970705</v>
      </c>
      <c r="AK3904">
        <v>0.60820308134535095</v>
      </c>
      <c r="AL3904">
        <v>67.800499749336296</v>
      </c>
      <c r="AM3904">
        <v>81.852521409758594</v>
      </c>
      <c r="AN3904">
        <v>0.99999997059646895</v>
      </c>
    </row>
    <row r="3905" spans="1:40" x14ac:dyDescent="0.25">
      <c r="A3905" t="str">
        <f>"20190304164447784"</f>
        <v>20190304164447784</v>
      </c>
      <c r="B3905" t="str">
        <f>"1551689087773667"</f>
        <v>1551689087773667</v>
      </c>
      <c r="C3905" t="s">
        <v>40</v>
      </c>
      <c r="D3905">
        <v>5.6473630000000004</v>
      </c>
      <c r="E3905">
        <v>0.57018080000000004</v>
      </c>
      <c r="F3905" t="s">
        <v>41</v>
      </c>
      <c r="G3905">
        <v>-204.25980000000001</v>
      </c>
      <c r="H3905">
        <v>0.93779420000000002</v>
      </c>
      <c r="I3905">
        <v>143.05760000000001</v>
      </c>
      <c r="J3905">
        <v>-203.66820000000001</v>
      </c>
      <c r="K3905">
        <v>1.1020760000000001</v>
      </c>
      <c r="L3905">
        <v>143.20689999999999</v>
      </c>
      <c r="M3905">
        <v>-0.81802969999999997</v>
      </c>
      <c r="N3905">
        <v>-1.2614119999999999E-2</v>
      </c>
      <c r="O3905">
        <v>-0.57503780000000004</v>
      </c>
      <c r="P3905">
        <v>-0.82434459999999998</v>
      </c>
      <c r="Q3905">
        <v>0.36868479999999998</v>
      </c>
      <c r="R3905">
        <v>-0.42956709999999898</v>
      </c>
      <c r="S3905">
        <v>-3.3366850000000001</v>
      </c>
      <c r="T3905">
        <v>-0.68492410000000004</v>
      </c>
      <c r="U3905">
        <v>-1.182404</v>
      </c>
      <c r="V3905">
        <v>0.1306947</v>
      </c>
      <c r="W3905">
        <v>0.37758589999999997</v>
      </c>
      <c r="X3905">
        <v>0.91670479999999999</v>
      </c>
      <c r="Y3905">
        <v>0.25613219999999998</v>
      </c>
      <c r="Z3905">
        <v>0.1245661</v>
      </c>
      <c r="AA3905">
        <v>0.95858209999999999</v>
      </c>
      <c r="AB3905">
        <v>25</v>
      </c>
      <c r="AC3905">
        <v>-0.59159999999999902</v>
      </c>
      <c r="AD3905">
        <v>-0.16428180000000001</v>
      </c>
      <c r="AE3905">
        <v>-0.149299999999982</v>
      </c>
      <c r="AF3905">
        <v>0.203336949936752</v>
      </c>
      <c r="AG3905">
        <v>-0.16428180000000001</v>
      </c>
      <c r="AH3905">
        <v>0.53132630734956499</v>
      </c>
      <c r="AI3905">
        <v>106.107031937667</v>
      </c>
      <c r="AJ3905">
        <v>69.058304652581498</v>
      </c>
      <c r="AK3905">
        <v>0.59215037777793</v>
      </c>
      <c r="AL3905">
        <v>67.815771222688497</v>
      </c>
      <c r="AM3905">
        <v>81.886015404621105</v>
      </c>
      <c r="AN3905">
        <v>0.99999995341496895</v>
      </c>
    </row>
    <row r="3906" spans="1:40" x14ac:dyDescent="0.25">
      <c r="A3906" t="str">
        <f>"20190304164447798"</f>
        <v>20190304164447798</v>
      </c>
      <c r="B3906" t="str">
        <f>"1551689087794164"</f>
        <v>1551689087794164</v>
      </c>
      <c r="C3906" t="s">
        <v>40</v>
      </c>
      <c r="D3906">
        <v>5.6040080000000003</v>
      </c>
      <c r="E3906">
        <v>0.57026109999999997</v>
      </c>
      <c r="F3906" t="s">
        <v>41</v>
      </c>
      <c r="G3906">
        <v>-204.45529999999999</v>
      </c>
      <c r="H3906">
        <v>0.94077540000000004</v>
      </c>
      <c r="I3906">
        <v>142.93799999999999</v>
      </c>
      <c r="J3906">
        <v>-203.7936</v>
      </c>
      <c r="K3906">
        <v>1.102047</v>
      </c>
      <c r="L3906">
        <v>143.12790000000001</v>
      </c>
      <c r="M3906">
        <v>-0.82225289999999995</v>
      </c>
      <c r="N3906">
        <v>-1.256992E-2</v>
      </c>
      <c r="O3906">
        <v>-0.56898329999999997</v>
      </c>
      <c r="P3906">
        <v>-0.82740820000000004</v>
      </c>
      <c r="Q3906">
        <v>0.36827080000000001</v>
      </c>
      <c r="R3906">
        <v>-0.42399510000000001</v>
      </c>
      <c r="S3906">
        <v>-3.34964</v>
      </c>
      <c r="T3906">
        <v>-0.68595059999999997</v>
      </c>
      <c r="U3906">
        <v>-1.1445160000000001</v>
      </c>
      <c r="V3906">
        <v>0.13022500000000001</v>
      </c>
      <c r="W3906">
        <v>0.37713770000000002</v>
      </c>
      <c r="X3906">
        <v>0.9169562</v>
      </c>
      <c r="Y3906">
        <v>0.25983260000000002</v>
      </c>
      <c r="Z3906">
        <v>0.1241511</v>
      </c>
      <c r="AA3906">
        <v>0.95763960000000004</v>
      </c>
      <c r="AB3906">
        <v>25</v>
      </c>
      <c r="AC3906">
        <v>-0.66169999999999596</v>
      </c>
      <c r="AD3906">
        <v>-0.16127159999999899</v>
      </c>
      <c r="AE3906">
        <v>-0.189900000000022</v>
      </c>
      <c r="AF3906">
        <v>0.20890307200792799</v>
      </c>
      <c r="AG3906">
        <v>-0.16127159999999899</v>
      </c>
      <c r="AH3906">
        <v>0.61825584021052404</v>
      </c>
      <c r="AI3906">
        <v>103.88101701942399</v>
      </c>
      <c r="AJ3906">
        <v>71.330352844175806</v>
      </c>
      <c r="AK3906">
        <v>0.67222712412943497</v>
      </c>
      <c r="AL3906">
        <v>67.843503279457494</v>
      </c>
      <c r="AM3906">
        <v>81.916977172644195</v>
      </c>
      <c r="AN3906">
        <v>1.00000003405236</v>
      </c>
    </row>
    <row r="3907" spans="1:40" x14ac:dyDescent="0.25">
      <c r="A3907" t="str">
        <f>"20190304164447809"</f>
        <v>20190304164447809</v>
      </c>
      <c r="B3907" t="str">
        <f>"1551689087803924"</f>
        <v>1551689087803924</v>
      </c>
      <c r="C3907" t="s">
        <v>40</v>
      </c>
      <c r="D3907">
        <v>5.5885740000000004</v>
      </c>
      <c r="E3907">
        <v>0.57033409999999995</v>
      </c>
      <c r="F3907" t="s">
        <v>41</v>
      </c>
      <c r="G3907">
        <v>-204.65989999999999</v>
      </c>
      <c r="H3907">
        <v>0.92498539999999996</v>
      </c>
      <c r="I3907">
        <v>142.8389</v>
      </c>
      <c r="J3907">
        <v>-203.9237</v>
      </c>
      <c r="K3907">
        <v>1.1020160000000001</v>
      </c>
      <c r="L3907">
        <v>143.04750000000001</v>
      </c>
      <c r="M3907">
        <v>-0.82656830000000003</v>
      </c>
      <c r="N3907">
        <v>-1.25258E-2</v>
      </c>
      <c r="O3907">
        <v>-0.56269709999999995</v>
      </c>
      <c r="P3907">
        <v>-0.83040079999999905</v>
      </c>
      <c r="Q3907">
        <v>0.36809180000000002</v>
      </c>
      <c r="R3907">
        <v>-0.41826229999999998</v>
      </c>
      <c r="S3907">
        <v>-3.3571170000000001</v>
      </c>
      <c r="T3907">
        <v>-0.6861718</v>
      </c>
      <c r="U3907">
        <v>-1.120239</v>
      </c>
      <c r="V3907">
        <v>0.12962989999999999</v>
      </c>
      <c r="W3907">
        <v>0.37692700000000001</v>
      </c>
      <c r="X3907">
        <v>0.91712709999999997</v>
      </c>
      <c r="Y3907">
        <v>0.25943119999999997</v>
      </c>
      <c r="Z3907">
        <v>0.1231981</v>
      </c>
      <c r="AA3907">
        <v>0.95787140000000004</v>
      </c>
      <c r="AB3907">
        <v>25</v>
      </c>
      <c r="AC3907">
        <v>-0.73619999999999597</v>
      </c>
      <c r="AD3907">
        <v>-0.17703059999999901</v>
      </c>
      <c r="AE3907">
        <v>-0.20860000000001799</v>
      </c>
      <c r="AF3907">
        <v>0.22956659174778199</v>
      </c>
      <c r="AG3907">
        <v>-0.17703059999999901</v>
      </c>
      <c r="AH3907">
        <v>0.68907172168526498</v>
      </c>
      <c r="AI3907">
        <v>103.69823078193799</v>
      </c>
      <c r="AJ3907">
        <v>71.574329795334705</v>
      </c>
      <c r="AK3907">
        <v>0.74756972317593795</v>
      </c>
      <c r="AL3907">
        <v>67.856536529117506</v>
      </c>
      <c r="AM3907">
        <v>81.954909761475193</v>
      </c>
      <c r="AN3907">
        <v>0.99999999592870903</v>
      </c>
    </row>
    <row r="3908" spans="1:40" x14ac:dyDescent="0.25">
      <c r="A3908" t="str">
        <f>"20190304164447832"</f>
        <v>20190304164447832</v>
      </c>
      <c r="B3908" t="str">
        <f>"1551689087824419"</f>
        <v>1551689087824419</v>
      </c>
      <c r="C3908" t="s">
        <v>40</v>
      </c>
      <c r="D3908">
        <v>5.5360469999999999</v>
      </c>
      <c r="E3908">
        <v>0.57048759999999998</v>
      </c>
      <c r="F3908" t="s">
        <v>41</v>
      </c>
      <c r="G3908">
        <v>-204.6515</v>
      </c>
      <c r="H3908">
        <v>0.95370829999999995</v>
      </c>
      <c r="I3908">
        <v>142.81049999999999</v>
      </c>
      <c r="J3908">
        <v>-204.137</v>
      </c>
      <c r="K3908">
        <v>1.1019699999999999</v>
      </c>
      <c r="L3908">
        <v>142.91839999999999</v>
      </c>
      <c r="M3908">
        <v>-0.83351030000000004</v>
      </c>
      <c r="N3908">
        <v>-1.2454750000000001E-2</v>
      </c>
      <c r="O3908">
        <v>-0.55236359999999995</v>
      </c>
      <c r="P3908">
        <v>-0.834491599999999</v>
      </c>
      <c r="Q3908">
        <v>0.36723329999999998</v>
      </c>
      <c r="R3908">
        <v>-0.41080859999999902</v>
      </c>
      <c r="S3908">
        <v>-3.3647309999999999</v>
      </c>
      <c r="T3908">
        <v>-0.68562919999999905</v>
      </c>
      <c r="U3908">
        <v>-1.0957030000000001</v>
      </c>
      <c r="V3908">
        <v>0.12662180000000001</v>
      </c>
      <c r="W3908">
        <v>0.3760696</v>
      </c>
      <c r="X3908">
        <v>0.91789900000000002</v>
      </c>
      <c r="Y3908">
        <v>0.25461460000000002</v>
      </c>
      <c r="Z3908">
        <v>0.121059</v>
      </c>
      <c r="AA3908">
        <v>0.95943529999999999</v>
      </c>
      <c r="AB3908">
        <v>25</v>
      </c>
      <c r="AC3908">
        <v>-0.51449999999999796</v>
      </c>
      <c r="AD3908">
        <v>-0.1482617</v>
      </c>
      <c r="AE3908">
        <v>-0.1079</v>
      </c>
      <c r="AF3908">
        <v>0.17995635488011</v>
      </c>
      <c r="AG3908">
        <v>-0.1482617</v>
      </c>
      <c r="AH3908">
        <v>0.45248738002097499</v>
      </c>
      <c r="AI3908">
        <v>106.933626290367</v>
      </c>
      <c r="AJ3908">
        <v>68.312052033147907</v>
      </c>
      <c r="AK3908">
        <v>0.509029125322778</v>
      </c>
      <c r="AL3908">
        <v>67.909563901427305</v>
      </c>
      <c r="AM3908">
        <v>82.145765337479105</v>
      </c>
      <c r="AN3908">
        <v>0.9999999992402</v>
      </c>
    </row>
    <row r="3909" spans="1:40" x14ac:dyDescent="0.25">
      <c r="A3909" t="str">
        <f>"20190304164447853"</f>
        <v>20190304164447853</v>
      </c>
      <c r="B3909" t="str">
        <f>"1551689087843939"</f>
        <v>1551689087843939</v>
      </c>
      <c r="C3909" t="s">
        <v>40</v>
      </c>
      <c r="D3909">
        <v>5.6323339999999904</v>
      </c>
      <c r="E3909">
        <v>0.57046619999999904</v>
      </c>
      <c r="F3909" t="s">
        <v>41</v>
      </c>
      <c r="G3909">
        <v>-204.85079999999999</v>
      </c>
      <c r="H3909">
        <v>0.9569145</v>
      </c>
      <c r="I3909">
        <v>142.69450000000001</v>
      </c>
      <c r="J3909">
        <v>-204.35079999999999</v>
      </c>
      <c r="K3909">
        <v>1.1019369999999999</v>
      </c>
      <c r="L3909">
        <v>142.7927</v>
      </c>
      <c r="M3909">
        <v>-0.84028829999999999</v>
      </c>
      <c r="N3909">
        <v>-1.2387270000000001E-2</v>
      </c>
      <c r="O3909">
        <v>-0.54199849999999905</v>
      </c>
      <c r="P3909">
        <v>-0.83858440000000001</v>
      </c>
      <c r="Q3909">
        <v>0.36725150000000001</v>
      </c>
      <c r="R3909">
        <v>-0.40237149999999999</v>
      </c>
      <c r="S3909">
        <v>-3.3751220000000002</v>
      </c>
      <c r="T3909">
        <v>-0.68548679999999995</v>
      </c>
      <c r="U3909">
        <v>-1.059402</v>
      </c>
      <c r="V3909">
        <v>0.12451280000000001</v>
      </c>
      <c r="W3909">
        <v>0.37606830000000002</v>
      </c>
      <c r="X3909">
        <v>0.918188</v>
      </c>
      <c r="Y3909">
        <v>0.25305830000000001</v>
      </c>
      <c r="Z3909">
        <v>0.11929430000000001</v>
      </c>
      <c r="AA3909">
        <v>0.96006789999999997</v>
      </c>
      <c r="AB3909">
        <v>25</v>
      </c>
      <c r="AC3909">
        <v>-0.5</v>
      </c>
      <c r="AD3909">
        <v>-0.1450225</v>
      </c>
      <c r="AE3909">
        <v>-9.8199999999991405E-2</v>
      </c>
      <c r="AF3909">
        <v>0.174372890065842</v>
      </c>
      <c r="AG3909">
        <v>-0.1450225</v>
      </c>
      <c r="AH3909">
        <v>0.43793150143378501</v>
      </c>
      <c r="AI3909">
        <v>107.101119174373</v>
      </c>
      <c r="AJ3909">
        <v>68.288844097964201</v>
      </c>
      <c r="AK3909">
        <v>0.49317484753808499</v>
      </c>
      <c r="AL3909">
        <v>67.909644385644299</v>
      </c>
      <c r="AM3909">
        <v>82.277394043659797</v>
      </c>
      <c r="AN3909">
        <v>1.0000000034863601</v>
      </c>
    </row>
    <row r="3910" spans="1:40" x14ac:dyDescent="0.25">
      <c r="A3910" t="str">
        <f>"20190304164447874"</f>
        <v>20190304164447874</v>
      </c>
      <c r="B3910" t="str">
        <f>"1551689087864435"</f>
        <v>1551689087864435</v>
      </c>
      <c r="C3910" t="s">
        <v>40</v>
      </c>
      <c r="D3910">
        <v>5.5958110000000003</v>
      </c>
      <c r="E3910">
        <v>0.57054300000000002</v>
      </c>
      <c r="F3910" t="s">
        <v>41</v>
      </c>
      <c r="G3910">
        <v>-205.05160000000001</v>
      </c>
      <c r="H3910">
        <v>0.96005669999999999</v>
      </c>
      <c r="I3910">
        <v>142.5805</v>
      </c>
      <c r="J3910">
        <v>-204.56120000000001</v>
      </c>
      <c r="K3910">
        <v>1.1019099999999999</v>
      </c>
      <c r="L3910">
        <v>142.67240000000001</v>
      </c>
      <c r="M3910">
        <v>-0.84679099999999996</v>
      </c>
      <c r="N3910">
        <v>-1.232217E-2</v>
      </c>
      <c r="O3910">
        <v>-0.53178309999999995</v>
      </c>
      <c r="P3910">
        <v>-0.84290279999999995</v>
      </c>
      <c r="Q3910">
        <v>0.36695610000000001</v>
      </c>
      <c r="R3910">
        <v>-0.39352090000000001</v>
      </c>
      <c r="S3910">
        <v>-3.3855439999999999</v>
      </c>
      <c r="T3910">
        <v>-0.68501020000000001</v>
      </c>
      <c r="U3910">
        <v>-1.0251619999999999</v>
      </c>
      <c r="V3910">
        <v>0.12312770000000001</v>
      </c>
      <c r="W3910">
        <v>0.37574220000000003</v>
      </c>
      <c r="X3910">
        <v>0.9185082</v>
      </c>
      <c r="Y3910">
        <v>0.25126470000000001</v>
      </c>
      <c r="Z3910">
        <v>0.1174283</v>
      </c>
      <c r="AA3910">
        <v>0.96076879999999998</v>
      </c>
      <c r="AB3910">
        <v>25</v>
      </c>
      <c r="AC3910">
        <v>-0.49039999999999401</v>
      </c>
      <c r="AD3910">
        <v>-0.14185329999999999</v>
      </c>
      <c r="AE3910">
        <v>-9.1900000000009599E-2</v>
      </c>
      <c r="AF3910">
        <v>0.16929557235975101</v>
      </c>
      <c r="AG3910">
        <v>-0.14185329999999999</v>
      </c>
      <c r="AH3910">
        <v>0.42945805599551701</v>
      </c>
      <c r="AI3910">
        <v>107.08182406262701</v>
      </c>
      <c r="AJ3910">
        <v>68.485270838089093</v>
      </c>
      <c r="AK3910">
        <v>0.48292605169006397</v>
      </c>
      <c r="AL3910">
        <v>67.929806606057497</v>
      </c>
      <c r="AM3910">
        <v>82.364913000866395</v>
      </c>
      <c r="AN3910">
        <v>0.99999997241768401</v>
      </c>
    </row>
    <row r="3911" spans="1:40" x14ac:dyDescent="0.25">
      <c r="A3911" t="str">
        <f>"20190304164447895"</f>
        <v>20190304164447895</v>
      </c>
      <c r="B3911" t="str">
        <f>"1551689087883956"</f>
        <v>1551689087883956</v>
      </c>
      <c r="C3911" t="s">
        <v>40</v>
      </c>
      <c r="D3911">
        <v>5.4160810000000001</v>
      </c>
      <c r="E3911">
        <v>0.57059069999999901</v>
      </c>
      <c r="F3911" t="s">
        <v>41</v>
      </c>
      <c r="G3911">
        <v>-205.46889999999999</v>
      </c>
      <c r="H3911">
        <v>0.91913880000000003</v>
      </c>
      <c r="I3911">
        <v>142.4091</v>
      </c>
      <c r="J3911">
        <v>-204.77809999999999</v>
      </c>
      <c r="K3911">
        <v>1.101885</v>
      </c>
      <c r="L3911">
        <v>142.55199999999999</v>
      </c>
      <c r="M3911">
        <v>-0.85331460000000003</v>
      </c>
      <c r="N3911">
        <v>-1.225941E-2</v>
      </c>
      <c r="O3911">
        <v>-0.52125219999999906</v>
      </c>
      <c r="P3911">
        <v>-0.84689029999999998</v>
      </c>
      <c r="Q3911">
        <v>0.36737730000000002</v>
      </c>
      <c r="R3911">
        <v>-0.38446170000000002</v>
      </c>
      <c r="S3911">
        <v>-3.396515</v>
      </c>
      <c r="T3911">
        <v>-0.68350730000000004</v>
      </c>
      <c r="U3911">
        <v>-0.98567199999999999</v>
      </c>
      <c r="V3911">
        <v>0.12151380000000001</v>
      </c>
      <c r="W3911">
        <v>0.3761372</v>
      </c>
      <c r="X3911">
        <v>0.91856150000000003</v>
      </c>
      <c r="Y3911">
        <v>0.25063429999999998</v>
      </c>
      <c r="Z3911">
        <v>0.11545279999999999</v>
      </c>
      <c r="AA3911">
        <v>0.96117280000000005</v>
      </c>
      <c r="AB3911">
        <v>25</v>
      </c>
      <c r="AC3911">
        <v>-0.69079999999999497</v>
      </c>
      <c r="AD3911">
        <v>-0.1827462</v>
      </c>
      <c r="AE3911">
        <v>-0.14290000000002501</v>
      </c>
      <c r="AF3911">
        <v>0.22318225553290899</v>
      </c>
      <c r="AG3911">
        <v>-0.1827462</v>
      </c>
      <c r="AH3911">
        <v>0.622246894488372</v>
      </c>
      <c r="AI3911">
        <v>105.453131311511</v>
      </c>
      <c r="AJ3911">
        <v>70.268534251784999</v>
      </c>
      <c r="AK3911">
        <v>0.68585544431725598</v>
      </c>
      <c r="AL3911">
        <v>67.905384114755904</v>
      </c>
      <c r="AM3911">
        <v>82.464264637394507</v>
      </c>
      <c r="AN3911">
        <v>1.00000001304826</v>
      </c>
    </row>
    <row r="3912" spans="1:40" x14ac:dyDescent="0.25">
      <c r="A3912" t="str">
        <f>"20190304164447920"</f>
        <v>20190304164447920</v>
      </c>
      <c r="B3912" t="str">
        <f>"1551689087914212"</f>
        <v>1551689087914212</v>
      </c>
      <c r="C3912" t="s">
        <v>40</v>
      </c>
      <c r="D3912">
        <v>5.4301490000000001</v>
      </c>
      <c r="E3912">
        <v>0.57075980000000004</v>
      </c>
      <c r="F3912" t="s">
        <v>41</v>
      </c>
      <c r="G3912">
        <v>-205.6739</v>
      </c>
      <c r="H3912">
        <v>0.9230874</v>
      </c>
      <c r="I3912">
        <v>142.30340000000001</v>
      </c>
      <c r="J3912">
        <v>-205.0189</v>
      </c>
      <c r="K3912">
        <v>1.1018730000000001</v>
      </c>
      <c r="L3912">
        <v>142.42250000000001</v>
      </c>
      <c r="M3912">
        <v>-0.86034719999999998</v>
      </c>
      <c r="N3912">
        <v>-1.2196500000000001E-2</v>
      </c>
      <c r="O3912">
        <v>-0.50956270000000004</v>
      </c>
      <c r="P3912">
        <v>-0.85153690000000004</v>
      </c>
      <c r="Q3912">
        <v>0.36725920000000001</v>
      </c>
      <c r="R3912">
        <v>-0.37417349999999999</v>
      </c>
      <c r="S3912">
        <v>-3.4077449999999998</v>
      </c>
      <c r="T3912">
        <v>-0.6797512</v>
      </c>
      <c r="U3912">
        <v>-0.9461212</v>
      </c>
      <c r="V3912">
        <v>0.1201392</v>
      </c>
      <c r="W3912">
        <v>0.37598969999999998</v>
      </c>
      <c r="X3912">
        <v>0.91880269999999997</v>
      </c>
      <c r="Y3912">
        <v>0.24895139999999999</v>
      </c>
      <c r="Z3912">
        <v>0.1127865</v>
      </c>
      <c r="AA3912">
        <v>0.96192639999999996</v>
      </c>
      <c r="AB3912">
        <v>25</v>
      </c>
      <c r="AC3912">
        <v>-0.65500000000000103</v>
      </c>
      <c r="AD3912">
        <v>-0.17878559999999899</v>
      </c>
      <c r="AE3912">
        <v>-0.119100000000003</v>
      </c>
      <c r="AF3912">
        <v>0.21575327276946399</v>
      </c>
      <c r="AG3912">
        <v>-0.17878559999999899</v>
      </c>
      <c r="AH3912">
        <v>0.58226943199650405</v>
      </c>
      <c r="AI3912">
        <v>106.062147416797</v>
      </c>
      <c r="AJ3912">
        <v>69.668389864256696</v>
      </c>
      <c r="AK3912">
        <v>0.64618221649595597</v>
      </c>
      <c r="AL3912">
        <v>67.914505418658607</v>
      </c>
      <c r="AM3912">
        <v>82.550481897910004</v>
      </c>
      <c r="AN3912">
        <v>1.0000000417049999</v>
      </c>
    </row>
    <row r="3913" spans="1:40" x14ac:dyDescent="0.25">
      <c r="A3913" t="str">
        <f>"20190304164447941"</f>
        <v>20190304164447941</v>
      </c>
      <c r="B3913" t="str">
        <f>"1551689087933731"</f>
        <v>1551689087933731</v>
      </c>
      <c r="C3913" t="s">
        <v>40</v>
      </c>
      <c r="D3913">
        <v>5.4610890000000003</v>
      </c>
      <c r="E3913">
        <v>0.57074069999999899</v>
      </c>
      <c r="F3913" t="s">
        <v>41</v>
      </c>
      <c r="G3913">
        <v>-205.87899999999999</v>
      </c>
      <c r="H3913">
        <v>0.93158859999999999</v>
      </c>
      <c r="I3913">
        <v>142.19569999999999</v>
      </c>
      <c r="J3913">
        <v>-205.2525</v>
      </c>
      <c r="K3913">
        <v>1.10185</v>
      </c>
      <c r="L3913">
        <v>142.30080000000001</v>
      </c>
      <c r="M3913">
        <v>-0.86697029999999997</v>
      </c>
      <c r="N3913">
        <v>-1.213526E-2</v>
      </c>
      <c r="O3913">
        <v>-0.4982124</v>
      </c>
      <c r="P3913">
        <v>-0.85583999999999905</v>
      </c>
      <c r="Q3913">
        <v>0.36758930000000001</v>
      </c>
      <c r="R3913">
        <v>-0.36389090000000002</v>
      </c>
      <c r="S3913">
        <v>-3.418533</v>
      </c>
      <c r="T3913">
        <v>-0.67648819999999998</v>
      </c>
      <c r="U3913">
        <v>-0.9017944</v>
      </c>
      <c r="V3913">
        <v>0.11907379999999999</v>
      </c>
      <c r="W3913">
        <v>0.37628250000000002</v>
      </c>
      <c r="X3913">
        <v>0.91882149999999996</v>
      </c>
      <c r="Y3913">
        <v>0.248919</v>
      </c>
      <c r="Z3913">
        <v>0.1104593</v>
      </c>
      <c r="AA3913">
        <v>0.96220479999999997</v>
      </c>
      <c r="AB3913">
        <v>25</v>
      </c>
      <c r="AC3913">
        <v>-0.62650000000002104</v>
      </c>
      <c r="AD3913">
        <v>-0.17026140000000001</v>
      </c>
      <c r="AE3913">
        <v>-0.105100000000021</v>
      </c>
      <c r="AF3913">
        <v>0.20621429360539201</v>
      </c>
      <c r="AG3913">
        <v>-0.17026140000000001</v>
      </c>
      <c r="AH3913">
        <v>0.55564773222113595</v>
      </c>
      <c r="AI3913">
        <v>106.027986843135</v>
      </c>
      <c r="AJ3913">
        <v>69.638893686864705</v>
      </c>
      <c r="AK3913">
        <v>0.61665037220423502</v>
      </c>
      <c r="AL3913">
        <v>67.896399081895893</v>
      </c>
      <c r="AM3913">
        <v>82.615961694816505</v>
      </c>
      <c r="AN3913">
        <v>1.0000000192574601</v>
      </c>
    </row>
    <row r="3914" spans="1:40" x14ac:dyDescent="0.25">
      <c r="A3914" t="str">
        <f>"20190304164447963"</f>
        <v>20190304164447963</v>
      </c>
      <c r="B3914" t="str">
        <f>"1551689087954227"</f>
        <v>1551689087954227</v>
      </c>
      <c r="C3914" t="s">
        <v>40</v>
      </c>
      <c r="D3914">
        <v>5.4434839999999998</v>
      </c>
      <c r="E3914">
        <v>0.57072500000000004</v>
      </c>
      <c r="F3914" t="s">
        <v>41</v>
      </c>
      <c r="G3914">
        <v>-206.0866</v>
      </c>
      <c r="H3914">
        <v>0.93746969999999996</v>
      </c>
      <c r="I3914">
        <v>142.09100000000001</v>
      </c>
      <c r="J3914">
        <v>-205.48009999999999</v>
      </c>
      <c r="K3914">
        <v>1.101826</v>
      </c>
      <c r="L3914">
        <v>142.1859</v>
      </c>
      <c r="M3914">
        <v>-0.87323269999999997</v>
      </c>
      <c r="N3914">
        <v>-1.207547E-2</v>
      </c>
      <c r="O3914">
        <v>-0.48715399999999998</v>
      </c>
      <c r="P3914">
        <v>-0.85987309999999995</v>
      </c>
      <c r="Q3914">
        <v>0.36773749999999999</v>
      </c>
      <c r="R3914">
        <v>-0.35410079999999999</v>
      </c>
      <c r="S3914">
        <v>-3.4284059999999998</v>
      </c>
      <c r="T3914">
        <v>-0.67497659999999904</v>
      </c>
      <c r="U3914">
        <v>-0.86270139999999995</v>
      </c>
      <c r="V3914">
        <v>0.11786050000000001</v>
      </c>
      <c r="W3914">
        <v>0.37639919999999999</v>
      </c>
      <c r="X3914">
        <v>0.91893009999999997</v>
      </c>
      <c r="Y3914">
        <v>0.2478291</v>
      </c>
      <c r="Z3914">
        <v>0.1083474</v>
      </c>
      <c r="AA3914">
        <v>0.96272610000000003</v>
      </c>
      <c r="AB3914">
        <v>25</v>
      </c>
      <c r="AC3914">
        <v>-0.60650000000001103</v>
      </c>
      <c r="AD3914">
        <v>-0.16435629999999901</v>
      </c>
      <c r="AE3914">
        <v>-9.4899999999995502E-2</v>
      </c>
      <c r="AF3914">
        <v>0.19838415462234801</v>
      </c>
      <c r="AG3914">
        <v>-0.16435629999999901</v>
      </c>
      <c r="AH3914">
        <v>0.53736913557420396</v>
      </c>
      <c r="AI3914">
        <v>106.009522191199</v>
      </c>
      <c r="AJ3914">
        <v>69.737029734770502</v>
      </c>
      <c r="AK3914">
        <v>0.59593192062741596</v>
      </c>
      <c r="AL3914">
        <v>67.889181444241999</v>
      </c>
      <c r="AM3914">
        <v>82.691237861141403</v>
      </c>
      <c r="AN3914">
        <v>0.99999999195344902</v>
      </c>
    </row>
    <row r="3915" spans="1:40" x14ac:dyDescent="0.25">
      <c r="A3915" t="str">
        <f>"20190304164447985"</f>
        <v>20190304164447985</v>
      </c>
      <c r="B3915" t="str">
        <f>"1551689087973747"</f>
        <v>1551689087973747</v>
      </c>
      <c r="C3915" t="s">
        <v>40</v>
      </c>
      <c r="D3915">
        <v>5.3296869999999998</v>
      </c>
      <c r="E3915">
        <v>0.57063869999999906</v>
      </c>
      <c r="F3915" t="s">
        <v>41</v>
      </c>
      <c r="G3915">
        <v>-206.2962</v>
      </c>
      <c r="H3915">
        <v>0.94202140000000001</v>
      </c>
      <c r="I3915">
        <v>141.99019999999999</v>
      </c>
      <c r="J3915">
        <v>-205.7046</v>
      </c>
      <c r="K3915">
        <v>1.1017999999999999</v>
      </c>
      <c r="L3915">
        <v>142.07599999999999</v>
      </c>
      <c r="M3915">
        <v>-0.87923220000000002</v>
      </c>
      <c r="N3915">
        <v>-1.201905E-2</v>
      </c>
      <c r="O3915">
        <v>-0.47624179999999999</v>
      </c>
      <c r="P3915">
        <v>-0.8632763</v>
      </c>
      <c r="Q3915">
        <v>0.3684943</v>
      </c>
      <c r="R3915">
        <v>-0.34491430000000001</v>
      </c>
      <c r="S3915">
        <v>-3.4376069999999999</v>
      </c>
      <c r="T3915">
        <v>-0.67336030000000002</v>
      </c>
      <c r="U3915">
        <v>-0.82382199999999906</v>
      </c>
      <c r="V3915">
        <v>0.1160804</v>
      </c>
      <c r="W3915">
        <v>0.37713760000000002</v>
      </c>
      <c r="X3915">
        <v>0.9188539</v>
      </c>
      <c r="Y3915">
        <v>0.2468873</v>
      </c>
      <c r="Z3915">
        <v>0.1062598</v>
      </c>
      <c r="AA3915">
        <v>0.96320070000000002</v>
      </c>
      <c r="AB3915">
        <v>25</v>
      </c>
      <c r="AC3915">
        <v>-0.59159999999999902</v>
      </c>
      <c r="AD3915">
        <v>-0.15977859999999899</v>
      </c>
      <c r="AE3915">
        <v>-8.5800000000006094E-2</v>
      </c>
      <c r="AF3915">
        <v>0.19256463601882501</v>
      </c>
      <c r="AG3915">
        <v>-0.15977859999999899</v>
      </c>
      <c r="AH3915">
        <v>0.52364659592004204</v>
      </c>
      <c r="AI3915">
        <v>105.980496740473</v>
      </c>
      <c r="AJ3915">
        <v>69.809618169405894</v>
      </c>
      <c r="AK3915">
        <v>0.58035859387250499</v>
      </c>
      <c r="AL3915">
        <v>67.843507716461403</v>
      </c>
      <c r="AM3915">
        <v>82.799867554499301</v>
      </c>
      <c r="AN3915">
        <v>0.99999995907156403</v>
      </c>
    </row>
    <row r="3916" spans="1:40" x14ac:dyDescent="0.25">
      <c r="A3916" t="str">
        <f>"20190304164448007"</f>
        <v>20190304164448007</v>
      </c>
      <c r="B3916" t="str">
        <f>"1551689088004003"</f>
        <v>1551689088004003</v>
      </c>
      <c r="C3916" t="s">
        <v>40</v>
      </c>
      <c r="D3916">
        <v>5.3793030000000002</v>
      </c>
      <c r="E3916">
        <v>0.57058450000000005</v>
      </c>
      <c r="F3916" t="s">
        <v>41</v>
      </c>
      <c r="G3916">
        <v>-206.50739999999999</v>
      </c>
      <c r="H3916">
        <v>0.94573030000000002</v>
      </c>
      <c r="I3916">
        <v>141.8929</v>
      </c>
      <c r="J3916">
        <v>-205.94049999999999</v>
      </c>
      <c r="K3916">
        <v>1.1017760000000001</v>
      </c>
      <c r="L3916">
        <v>141.96420000000001</v>
      </c>
      <c r="M3916">
        <v>-0.88535059999999999</v>
      </c>
      <c r="N3916">
        <v>-1.196214E-2</v>
      </c>
      <c r="O3916">
        <v>-0.46477000000000002</v>
      </c>
      <c r="P3916">
        <v>-0.86704899999999996</v>
      </c>
      <c r="Q3916">
        <v>0.36894660000000001</v>
      </c>
      <c r="R3916">
        <v>-0.33482000000000001</v>
      </c>
      <c r="S3916">
        <v>-3.4468380000000001</v>
      </c>
      <c r="T3916">
        <v>-0.6695873</v>
      </c>
      <c r="U3916">
        <v>-0.78613279999999996</v>
      </c>
      <c r="V3916">
        <v>0.1147806</v>
      </c>
      <c r="W3916">
        <v>0.3775616</v>
      </c>
      <c r="X3916">
        <v>0.91884310000000002</v>
      </c>
      <c r="Y3916">
        <v>0.24520069999999999</v>
      </c>
      <c r="Z3916">
        <v>0.1036501</v>
      </c>
      <c r="AA3916">
        <v>0.96391559999999998</v>
      </c>
      <c r="AB3916">
        <v>26</v>
      </c>
      <c r="AC3916">
        <v>-0.56690000000000396</v>
      </c>
      <c r="AD3916">
        <v>-0.15604570000000001</v>
      </c>
      <c r="AE3916">
        <v>-7.1300000000007899E-2</v>
      </c>
      <c r="AF3916">
        <v>0.18645916272089799</v>
      </c>
      <c r="AG3916">
        <v>-0.15604570000000001</v>
      </c>
      <c r="AH3916">
        <v>0.49794077354917898</v>
      </c>
      <c r="AI3916">
        <v>106.355949777134</v>
      </c>
      <c r="AJ3916">
        <v>69.471058525404302</v>
      </c>
      <c r="AK3916">
        <v>0.55413201839798298</v>
      </c>
      <c r="AL3916">
        <v>67.817275781758497</v>
      </c>
      <c r="AM3916">
        <v>82.879575433052196</v>
      </c>
      <c r="AN3916">
        <v>0.99999999517426497</v>
      </c>
    </row>
    <row r="3917" spans="1:40" x14ac:dyDescent="0.25">
      <c r="A3917" t="str">
        <f>"20190304164448032"</f>
        <v>20190304164448032</v>
      </c>
      <c r="B3917" t="str">
        <f>"1551689088024499"</f>
        <v>1551689088024499</v>
      </c>
      <c r="C3917" t="s">
        <v>40</v>
      </c>
      <c r="D3917">
        <v>5.1117569999999999</v>
      </c>
      <c r="E3917">
        <v>0.57056490000000004</v>
      </c>
      <c r="F3917" t="s">
        <v>41</v>
      </c>
      <c r="G3917">
        <v>-206.71979999999999</v>
      </c>
      <c r="H3917">
        <v>0.9514089</v>
      </c>
      <c r="I3917">
        <v>141.79580000000001</v>
      </c>
      <c r="J3917">
        <v>-206.1969</v>
      </c>
      <c r="K3917">
        <v>1.1017539999999999</v>
      </c>
      <c r="L3917">
        <v>141.8467</v>
      </c>
      <c r="M3917">
        <v>-0.89179129999999995</v>
      </c>
      <c r="N3917">
        <v>-1.190137E-2</v>
      </c>
      <c r="O3917">
        <v>-0.45229069999999999</v>
      </c>
      <c r="P3917">
        <v>-0.87128809999999901</v>
      </c>
      <c r="Q3917">
        <v>0.36926690000000001</v>
      </c>
      <c r="R3917">
        <v>-0.32326310000000003</v>
      </c>
      <c r="S3917">
        <v>-3.4553219999999998</v>
      </c>
      <c r="T3917">
        <v>-0.66641329999999999</v>
      </c>
      <c r="U3917">
        <v>-0.74649049999999995</v>
      </c>
      <c r="V3917">
        <v>0.11404880000000001</v>
      </c>
      <c r="W3917">
        <v>0.37783709999999998</v>
      </c>
      <c r="X3917">
        <v>0.918821</v>
      </c>
      <c r="Y3917">
        <v>0.242976</v>
      </c>
      <c r="Z3917">
        <v>0.1009579</v>
      </c>
      <c r="AA3917">
        <v>0.96476430000000002</v>
      </c>
      <c r="AB3917">
        <v>26</v>
      </c>
      <c r="AC3917">
        <v>-0.52289999999999204</v>
      </c>
      <c r="AD3917">
        <v>-0.15034510000000001</v>
      </c>
      <c r="AE3917">
        <v>-5.0899999999984402E-2</v>
      </c>
      <c r="AF3917">
        <v>0.176657196796352</v>
      </c>
      <c r="AG3917">
        <v>-0.15034510000000001</v>
      </c>
      <c r="AH3917">
        <v>0.45233121425314698</v>
      </c>
      <c r="AI3917">
        <v>107.202749502454</v>
      </c>
      <c r="AJ3917">
        <v>68.666952503937793</v>
      </c>
      <c r="AK3917">
        <v>0.508345297668506</v>
      </c>
      <c r="AL3917">
        <v>67.800228537037</v>
      </c>
      <c r="AM3917">
        <v>82.9243426682402</v>
      </c>
      <c r="AN3917">
        <v>1.0000000164794201</v>
      </c>
    </row>
    <row r="3918" spans="1:40" x14ac:dyDescent="0.25">
      <c r="A3918" t="str">
        <f>"20190304164448055"</f>
        <v>20190304164448055</v>
      </c>
      <c r="B3918" t="str">
        <f>"1551689088044019"</f>
        <v>1551689088044019</v>
      </c>
      <c r="C3918" t="s">
        <v>40</v>
      </c>
      <c r="D3918">
        <v>5.380109</v>
      </c>
      <c r="E3918">
        <v>0.5708105</v>
      </c>
      <c r="F3918" t="s">
        <v>41</v>
      </c>
      <c r="G3918">
        <v>-206.93350000000001</v>
      </c>
      <c r="H3918">
        <v>0.9602387</v>
      </c>
      <c r="I3918">
        <v>141.69749999999999</v>
      </c>
      <c r="J3918">
        <v>-206.4479</v>
      </c>
      <c r="K3918">
        <v>1.101737</v>
      </c>
      <c r="L3918">
        <v>141.73589999999999</v>
      </c>
      <c r="M3918">
        <v>-0.89788449999999997</v>
      </c>
      <c r="N3918">
        <v>-1.1844500000000001E-2</v>
      </c>
      <c r="O3918">
        <v>-0.44007200000000002</v>
      </c>
      <c r="P3918">
        <v>-0.87507029999999997</v>
      </c>
      <c r="Q3918">
        <v>0.36988700000000002</v>
      </c>
      <c r="R3918">
        <v>-0.31214760000000003</v>
      </c>
      <c r="S3918">
        <v>-3.4646150000000002</v>
      </c>
      <c r="T3918">
        <v>-0.66509960000000001</v>
      </c>
      <c r="U3918">
        <v>-0.70191959999999998</v>
      </c>
      <c r="V3918">
        <v>0.1131059</v>
      </c>
      <c r="W3918">
        <v>0.37841940000000002</v>
      </c>
      <c r="X3918">
        <v>0.91869789999999996</v>
      </c>
      <c r="Y3918">
        <v>0.24240100000000001</v>
      </c>
      <c r="Z3918">
        <v>9.8745810000000003E-2</v>
      </c>
      <c r="AA3918">
        <v>0.96513780000000005</v>
      </c>
      <c r="AB3918">
        <v>26</v>
      </c>
      <c r="AC3918">
        <v>-0.48560000000000503</v>
      </c>
      <c r="AD3918">
        <v>-0.14149829999999999</v>
      </c>
      <c r="AE3918">
        <v>-3.8399999999995701E-2</v>
      </c>
      <c r="AF3918">
        <v>0.16528597525304101</v>
      </c>
      <c r="AG3918">
        <v>-0.14149829999999999</v>
      </c>
      <c r="AH3918">
        <v>0.41769798277672499</v>
      </c>
      <c r="AI3918">
        <v>107.484038272406</v>
      </c>
      <c r="AJ3918">
        <v>68.410952475161395</v>
      </c>
      <c r="AK3918">
        <v>0.47097009176165799</v>
      </c>
      <c r="AL3918">
        <v>67.764189244980898</v>
      </c>
      <c r="AM3918">
        <v>82.981324104444695</v>
      </c>
      <c r="AN3918">
        <v>1.0000000091877801</v>
      </c>
    </row>
    <row r="3919" spans="1:40" x14ac:dyDescent="0.25">
      <c r="A3919" t="str">
        <f>"20190304164448075"</f>
        <v>20190304164448075</v>
      </c>
      <c r="B3919" t="str">
        <f>"1551689088063539"</f>
        <v>1551689088063539</v>
      </c>
      <c r="C3919" t="s">
        <v>40</v>
      </c>
      <c r="D3919">
        <v>5.338419</v>
      </c>
      <c r="E3919">
        <v>0.57106840000000003</v>
      </c>
      <c r="F3919" t="s">
        <v>41</v>
      </c>
      <c r="G3919">
        <v>-207.36779999999999</v>
      </c>
      <c r="H3919">
        <v>0.92747009999999996</v>
      </c>
      <c r="I3919">
        <v>141.56219999999999</v>
      </c>
      <c r="J3919">
        <v>-206.65979999999999</v>
      </c>
      <c r="K3919">
        <v>1.1017239999999999</v>
      </c>
      <c r="L3919">
        <v>141.6456</v>
      </c>
      <c r="M3919">
        <v>-0.90287099999999998</v>
      </c>
      <c r="N3919">
        <v>-1.179671E-2</v>
      </c>
      <c r="O3919">
        <v>-0.42975010000000002</v>
      </c>
      <c r="P3919">
        <v>-0.87784300000000004</v>
      </c>
      <c r="Q3919">
        <v>0.37087949999999997</v>
      </c>
      <c r="R3919">
        <v>-0.30305219999999999</v>
      </c>
      <c r="S3919">
        <v>-3.4722439999999999</v>
      </c>
      <c r="T3919">
        <v>-0.65742109999999998</v>
      </c>
      <c r="U3919">
        <v>-0.65585329999999997</v>
      </c>
      <c r="V3919">
        <v>0.11195380000000001</v>
      </c>
      <c r="W3919">
        <v>0.37938670000000002</v>
      </c>
      <c r="X3919">
        <v>0.91844000000000003</v>
      </c>
      <c r="Y3919">
        <v>0.24439179999999999</v>
      </c>
      <c r="Z3919">
        <v>9.6167249999999996E-2</v>
      </c>
      <c r="AA3919">
        <v>0.96489610000000003</v>
      </c>
      <c r="AB3919">
        <v>26</v>
      </c>
      <c r="AC3919">
        <v>-0.70799999999999796</v>
      </c>
      <c r="AD3919">
        <v>-0.17425389999999899</v>
      </c>
      <c r="AE3919">
        <v>-8.3400000000011604E-2</v>
      </c>
      <c r="AF3919">
        <v>0.2160700577029</v>
      </c>
      <c r="AG3919">
        <v>-0.17425389999999899</v>
      </c>
      <c r="AH3919">
        <v>0.63705856250289306</v>
      </c>
      <c r="AI3919">
        <v>104.522428259522</v>
      </c>
      <c r="AJ3919">
        <v>71.264693603903098</v>
      </c>
      <c r="AK3919">
        <v>0.694905967422354</v>
      </c>
      <c r="AL3919">
        <v>67.704300850087193</v>
      </c>
      <c r="AM3919">
        <v>83.050182301059706</v>
      </c>
      <c r="AN3919">
        <v>0.99999997753566405</v>
      </c>
    </row>
    <row r="3920" spans="1:40" x14ac:dyDescent="0.25">
      <c r="A3920" t="str">
        <f>"20190304164448097"</f>
        <v>20190304164448097</v>
      </c>
      <c r="B3920" t="str">
        <f>"1551689088093795"</f>
        <v>1551689088093795</v>
      </c>
      <c r="C3920" t="s">
        <v>40</v>
      </c>
      <c r="D3920">
        <v>5.0706569999999997</v>
      </c>
      <c r="E3920">
        <v>0.57128990000000002</v>
      </c>
      <c r="F3920" t="s">
        <v>41</v>
      </c>
      <c r="G3920">
        <v>-207.58699999999999</v>
      </c>
      <c r="H3920">
        <v>0.92902039999999997</v>
      </c>
      <c r="I3920">
        <v>141.4812</v>
      </c>
      <c r="J3920">
        <v>-206.9033</v>
      </c>
      <c r="K3920">
        <v>1.1017049999999999</v>
      </c>
      <c r="L3920">
        <v>141.5455</v>
      </c>
      <c r="M3920">
        <v>-0.90841899999999998</v>
      </c>
      <c r="N3920">
        <v>-1.174332E-2</v>
      </c>
      <c r="O3920">
        <v>-0.41789589999999999</v>
      </c>
      <c r="P3920">
        <v>-0.88109519999999997</v>
      </c>
      <c r="Q3920">
        <v>0.37159789999999998</v>
      </c>
      <c r="R3920">
        <v>-0.29255160000000002</v>
      </c>
      <c r="S3920">
        <v>-3.4783780000000002</v>
      </c>
      <c r="T3920">
        <v>-0.64795590000000003</v>
      </c>
      <c r="U3920">
        <v>-0.61653139999999995</v>
      </c>
      <c r="V3920">
        <v>0.1107939</v>
      </c>
      <c r="W3920">
        <v>0.3800752</v>
      </c>
      <c r="X3920">
        <v>0.918296</v>
      </c>
      <c r="Y3920">
        <v>0.2430602</v>
      </c>
      <c r="Z3920">
        <v>9.2799930000000003E-2</v>
      </c>
      <c r="AA3920">
        <v>0.96556200000000003</v>
      </c>
      <c r="AB3920">
        <v>26</v>
      </c>
      <c r="AC3920">
        <v>-0.68370000000001596</v>
      </c>
      <c r="AD3920">
        <v>-0.17268459999999899</v>
      </c>
      <c r="AE3920">
        <v>-6.4300000000002897E-2</v>
      </c>
      <c r="AF3920">
        <v>0.213800284671295</v>
      </c>
      <c r="AG3920">
        <v>-0.17268459999999899</v>
      </c>
      <c r="AH3920">
        <v>0.60946262020549102</v>
      </c>
      <c r="AI3920">
        <v>104.96877242178699</v>
      </c>
      <c r="AJ3920">
        <v>70.669062804284593</v>
      </c>
      <c r="AK3920">
        <v>0.668562052640164</v>
      </c>
      <c r="AL3920">
        <v>67.661659081292697</v>
      </c>
      <c r="AM3920">
        <v>83.120424349083095</v>
      </c>
      <c r="AN3920">
        <v>0.99999999477412405</v>
      </c>
    </row>
    <row r="3921" spans="1:40" x14ac:dyDescent="0.25">
      <c r="A3921" t="str">
        <f>"20190304164448120"</f>
        <v>20190304164448120</v>
      </c>
      <c r="B3921" t="str">
        <f>"1551689088114291"</f>
        <v>1551689088114291</v>
      </c>
      <c r="C3921" t="s">
        <v>40</v>
      </c>
      <c r="D3921">
        <v>5.3542569999999996</v>
      </c>
      <c r="E3921">
        <v>0.57140230000000003</v>
      </c>
      <c r="F3921" t="s">
        <v>41</v>
      </c>
      <c r="G3921">
        <v>-207.80629999999999</v>
      </c>
      <c r="H3921">
        <v>0.93570439999999999</v>
      </c>
      <c r="I3921">
        <v>141.3972</v>
      </c>
      <c r="J3921">
        <v>-207.16149999999999</v>
      </c>
      <c r="K3921">
        <v>1.1016820000000001</v>
      </c>
      <c r="L3921">
        <v>141.44329999999999</v>
      </c>
      <c r="M3921">
        <v>-0.91410119999999895</v>
      </c>
      <c r="N3921">
        <v>-1.1681199999999999E-2</v>
      </c>
      <c r="O3921">
        <v>-0.4053176</v>
      </c>
      <c r="P3921">
        <v>-0.88469109999999995</v>
      </c>
      <c r="Q3921">
        <v>0.3718707</v>
      </c>
      <c r="R3921">
        <v>-0.28112939999999997</v>
      </c>
      <c r="S3921">
        <v>-3.4848180000000002</v>
      </c>
      <c r="T3921">
        <v>-0.6402196</v>
      </c>
      <c r="U3921">
        <v>-0.57235719999999901</v>
      </c>
      <c r="V3921">
        <v>0.1099682</v>
      </c>
      <c r="W3921">
        <v>0.380305</v>
      </c>
      <c r="X3921">
        <v>0.91830009999999995</v>
      </c>
      <c r="Y3921">
        <v>0.24230209999999999</v>
      </c>
      <c r="Z3921">
        <v>8.9673030000000001E-2</v>
      </c>
      <c r="AA3921">
        <v>0.96604780000000001</v>
      </c>
      <c r="AB3921">
        <v>26</v>
      </c>
      <c r="AC3921">
        <v>-0.64480000000000304</v>
      </c>
      <c r="AD3921">
        <v>-0.1659776</v>
      </c>
      <c r="AE3921">
        <v>-4.6099999999995499E-2</v>
      </c>
      <c r="AF3921">
        <v>0.205665675053222</v>
      </c>
      <c r="AG3921">
        <v>-0.1659776</v>
      </c>
      <c r="AH3921">
        <v>0.57052840140539696</v>
      </c>
      <c r="AI3921">
        <v>105.305912883437</v>
      </c>
      <c r="AJ3921">
        <v>70.176638793953998</v>
      </c>
      <c r="AK3921">
        <v>0.62876831218426998</v>
      </c>
      <c r="AL3921">
        <v>67.647423330773293</v>
      </c>
      <c r="AM3921">
        <v>83.171239167007201</v>
      </c>
      <c r="AN3921">
        <v>0.999999985848124</v>
      </c>
    </row>
    <row r="3922" spans="1:40" x14ac:dyDescent="0.25">
      <c r="A3922" t="str">
        <f>"20190304164448142"</f>
        <v>20190304164448142</v>
      </c>
      <c r="B3922" t="str">
        <f>"1551689088133811"</f>
        <v>1551689088133811</v>
      </c>
      <c r="C3922" t="s">
        <v>40</v>
      </c>
      <c r="D3922">
        <v>5.3513270000000004</v>
      </c>
      <c r="E3922">
        <v>0.57226279999999996</v>
      </c>
      <c r="F3922" t="s">
        <v>41</v>
      </c>
      <c r="G3922">
        <v>-208.02680000000001</v>
      </c>
      <c r="H3922">
        <v>0.94407730000000001</v>
      </c>
      <c r="I3922">
        <v>141.3125</v>
      </c>
      <c r="J3922">
        <v>-207.4068</v>
      </c>
      <c r="K3922">
        <v>1.101648</v>
      </c>
      <c r="L3922">
        <v>141.34989999999999</v>
      </c>
      <c r="M3922">
        <v>-0.91930520000000004</v>
      </c>
      <c r="N3922">
        <v>-1.162182E-2</v>
      </c>
      <c r="O3922">
        <v>-0.3933738</v>
      </c>
      <c r="P3922">
        <v>-0.88811329999999999</v>
      </c>
      <c r="Q3922">
        <v>0.37193349999999997</v>
      </c>
      <c r="R3922">
        <v>-0.27003820000000001</v>
      </c>
      <c r="S3922">
        <v>-3.490631</v>
      </c>
      <c r="T3922">
        <v>-0.63571940000000005</v>
      </c>
      <c r="U3922">
        <v>-0.52743530000000005</v>
      </c>
      <c r="V3922">
        <v>0.1094955</v>
      </c>
      <c r="W3922">
        <v>0.38031999999999999</v>
      </c>
      <c r="X3922">
        <v>0.91835040000000001</v>
      </c>
      <c r="Y3922">
        <v>0.24235190000000001</v>
      </c>
      <c r="Z3922">
        <v>8.7216730000000006E-2</v>
      </c>
      <c r="AA3922">
        <v>0.96626020000000001</v>
      </c>
      <c r="AB3922">
        <v>26</v>
      </c>
      <c r="AC3922">
        <v>-0.62000000000000399</v>
      </c>
      <c r="AD3922">
        <v>-0.15757069999999901</v>
      </c>
      <c r="AE3922">
        <v>-3.7399999999991003E-2</v>
      </c>
      <c r="AF3922">
        <v>0.19685505063623701</v>
      </c>
      <c r="AG3922">
        <v>-0.15757069999999901</v>
      </c>
      <c r="AH3922">
        <v>0.54936580313195804</v>
      </c>
      <c r="AI3922">
        <v>105.11018147724501</v>
      </c>
      <c r="AJ3922">
        <v>70.285800575010995</v>
      </c>
      <c r="AK3922">
        <v>0.60446937235091303</v>
      </c>
      <c r="AL3922">
        <v>67.646494684752696</v>
      </c>
      <c r="AM3922">
        <v>83.200686223805306</v>
      </c>
      <c r="AN3922">
        <v>1.0000000120501999</v>
      </c>
    </row>
    <row r="3923" spans="1:40" x14ac:dyDescent="0.25">
      <c r="A3923" t="str">
        <f>"20190304164448164"</f>
        <v>20190304164448164</v>
      </c>
      <c r="B3923" t="str">
        <f>"1551689088154308"</f>
        <v>1551689088154308</v>
      </c>
      <c r="C3923" t="s">
        <v>40</v>
      </c>
      <c r="D3923">
        <v>5.3955010000000003</v>
      </c>
      <c r="E3923">
        <v>0.57230419999999904</v>
      </c>
      <c r="F3923" t="s">
        <v>41</v>
      </c>
      <c r="G3923">
        <v>-208.2499</v>
      </c>
      <c r="H3923">
        <v>0.9511889</v>
      </c>
      <c r="I3923">
        <v>141.2346</v>
      </c>
      <c r="J3923">
        <v>-207.6403</v>
      </c>
      <c r="K3923">
        <v>1.1016220000000001</v>
      </c>
      <c r="L3923">
        <v>141.26429999999999</v>
      </c>
      <c r="M3923">
        <v>-0.92408500000000005</v>
      </c>
      <c r="N3923">
        <v>-1.1563550000000001E-2</v>
      </c>
      <c r="O3923">
        <v>-0.38201239999999997</v>
      </c>
      <c r="P3923">
        <v>-0.89126179999999999</v>
      </c>
      <c r="Q3923">
        <v>0.37147930000000001</v>
      </c>
      <c r="R3923">
        <v>-0.26010729999999999</v>
      </c>
      <c r="S3923">
        <v>-3.4935610000000001</v>
      </c>
      <c r="T3923">
        <v>-0.62318289999999998</v>
      </c>
      <c r="U3923">
        <v>-0.47805789999999998</v>
      </c>
      <c r="V3923">
        <v>0.1084928</v>
      </c>
      <c r="W3923">
        <v>0.37983529999999999</v>
      </c>
      <c r="X3923">
        <v>0.91866990000000004</v>
      </c>
      <c r="Y3923">
        <v>0.24436869999999999</v>
      </c>
      <c r="Z3923">
        <v>8.4016530000000006E-2</v>
      </c>
      <c r="AA3923">
        <v>0.9660358</v>
      </c>
      <c r="AB3923">
        <v>26</v>
      </c>
      <c r="AC3923">
        <v>-0.60960000000000003</v>
      </c>
      <c r="AD3923">
        <v>-0.15043309999999899</v>
      </c>
      <c r="AE3923">
        <v>-2.9699999999991102E-2</v>
      </c>
      <c r="AF3923">
        <v>0.193676713967361</v>
      </c>
      <c r="AG3923">
        <v>-0.15043309999999899</v>
      </c>
      <c r="AH3923">
        <v>0.54179094182299703</v>
      </c>
      <c r="AI3923">
        <v>104.65230449078</v>
      </c>
      <c r="AJ3923">
        <v>70.329300369921498</v>
      </c>
      <c r="AK3923">
        <v>0.59470850990233404</v>
      </c>
      <c r="AL3923">
        <v>67.6765180164127</v>
      </c>
      <c r="AM3923">
        <v>83.264697315723296</v>
      </c>
      <c r="AN3923">
        <v>0.999999963971969</v>
      </c>
    </row>
    <row r="3924" spans="1:40" x14ac:dyDescent="0.25">
      <c r="A3924" t="str">
        <f>"20190304164448186"</f>
        <v>20190304164448186</v>
      </c>
      <c r="B3924" t="str">
        <f>"1551689088173827"</f>
        <v>1551689088173827</v>
      </c>
      <c r="C3924" t="s">
        <v>40</v>
      </c>
      <c r="D3924">
        <v>5.3561009999999998</v>
      </c>
      <c r="E3924">
        <v>0.57231299999999996</v>
      </c>
      <c r="F3924" t="s">
        <v>41</v>
      </c>
      <c r="G3924">
        <v>-208.47229999999999</v>
      </c>
      <c r="H3924">
        <v>0.95364640000000001</v>
      </c>
      <c r="I3924">
        <v>141.15960000000001</v>
      </c>
      <c r="J3924">
        <v>-207.88470000000001</v>
      </c>
      <c r="K3924">
        <v>1.101602</v>
      </c>
      <c r="L3924">
        <v>141.178</v>
      </c>
      <c r="M3924">
        <v>-0.92890519999999999</v>
      </c>
      <c r="N3924">
        <v>-1.149795E-2</v>
      </c>
      <c r="O3924">
        <v>-0.3701392</v>
      </c>
      <c r="P3924">
        <v>-0.89457240000000005</v>
      </c>
      <c r="Q3924">
        <v>0.37051099999999998</v>
      </c>
      <c r="R3924">
        <v>-0.2499237</v>
      </c>
      <c r="S3924">
        <v>-3.4969019999999902</v>
      </c>
      <c r="T3924">
        <v>-0.62205279999999996</v>
      </c>
      <c r="U3924">
        <v>-0.4398956</v>
      </c>
      <c r="V3924">
        <v>0.1073231</v>
      </c>
      <c r="W3924">
        <v>0.37883689999999998</v>
      </c>
      <c r="X3924">
        <v>0.91921940000000002</v>
      </c>
      <c r="Y3924">
        <v>0.2426468</v>
      </c>
      <c r="Z3924">
        <v>8.1935339999999995E-2</v>
      </c>
      <c r="AA3924">
        <v>0.96664839999999996</v>
      </c>
      <c r="AB3924">
        <v>26</v>
      </c>
      <c r="AC3924">
        <v>-0.58759999999998003</v>
      </c>
      <c r="AD3924">
        <v>-0.14795559999999899</v>
      </c>
      <c r="AE3924">
        <v>-1.8399999999985501E-2</v>
      </c>
      <c r="AF3924">
        <v>0.188477155833881</v>
      </c>
      <c r="AG3924">
        <v>-0.14795559999999899</v>
      </c>
      <c r="AH3924">
        <v>0.519751067928508</v>
      </c>
      <c r="AI3924">
        <v>104.982075139949</v>
      </c>
      <c r="AJ3924">
        <v>70.067853204088394</v>
      </c>
      <c r="AK3924">
        <v>0.57232479454887597</v>
      </c>
      <c r="AL3924">
        <v>67.738343250816897</v>
      </c>
      <c r="AM3924">
        <v>83.340604041840706</v>
      </c>
      <c r="AN3924">
        <v>0.99999997496578896</v>
      </c>
    </row>
    <row r="3925" spans="1:40" x14ac:dyDescent="0.25">
      <c r="A3925" t="str">
        <f>"20190304164448209"</f>
        <v>20190304164448209</v>
      </c>
      <c r="B3925" t="str">
        <f>"1551689088204084"</f>
        <v>1551689088204084</v>
      </c>
      <c r="C3925" t="s">
        <v>40</v>
      </c>
      <c r="D3925">
        <v>5.3119059999999996</v>
      </c>
      <c r="E3925">
        <v>0.57231309999999902</v>
      </c>
      <c r="F3925" t="s">
        <v>41</v>
      </c>
      <c r="G3925">
        <v>-208.69560000000001</v>
      </c>
      <c r="H3925">
        <v>0.95705910000000005</v>
      </c>
      <c r="I3925">
        <v>141.08539999999999</v>
      </c>
      <c r="J3925">
        <v>-208.1448</v>
      </c>
      <c r="K3925">
        <v>1.101593</v>
      </c>
      <c r="L3925">
        <v>141.09</v>
      </c>
      <c r="M3925">
        <v>-0.93382659999999995</v>
      </c>
      <c r="N3925">
        <v>-1.1426540000000001E-2</v>
      </c>
      <c r="O3925">
        <v>-0.35754380000000002</v>
      </c>
      <c r="P3925">
        <v>-0.89765329999999999</v>
      </c>
      <c r="Q3925">
        <v>0.36993229999999999</v>
      </c>
      <c r="R3925">
        <v>-0.23951790000000001</v>
      </c>
      <c r="S3925">
        <v>-3.4996489999999998</v>
      </c>
      <c r="T3925">
        <v>-0.62296090000000004</v>
      </c>
      <c r="U3925">
        <v>-0.40058899999999997</v>
      </c>
      <c r="V3925">
        <v>0.105624499999999</v>
      </c>
      <c r="W3925">
        <v>0.37823669999999998</v>
      </c>
      <c r="X3925">
        <v>0.91966329999999996</v>
      </c>
      <c r="Y3925">
        <v>0.24049860000000001</v>
      </c>
      <c r="Z3925">
        <v>7.9976779999999997E-2</v>
      </c>
      <c r="AA3925">
        <v>0.96734909999999996</v>
      </c>
      <c r="AB3925">
        <v>26</v>
      </c>
      <c r="AC3925">
        <v>-0.55080000000000895</v>
      </c>
      <c r="AD3925">
        <v>-0.14453389999999999</v>
      </c>
      <c r="AE3925">
        <v>-4.6000000000105904E-3</v>
      </c>
      <c r="AF3925">
        <v>0.180241923473028</v>
      </c>
      <c r="AG3925">
        <v>-0.14453389999999999</v>
      </c>
      <c r="AH3925">
        <v>0.48278868760853499</v>
      </c>
      <c r="AI3925">
        <v>105.666944005313</v>
      </c>
      <c r="AJ3925">
        <v>69.527635753793007</v>
      </c>
      <c r="AK3925">
        <v>0.53522155796383797</v>
      </c>
      <c r="AL3925">
        <v>67.775498933402702</v>
      </c>
      <c r="AM3925">
        <v>83.448213991063596</v>
      </c>
      <c r="AN3925">
        <v>1.0000000607970101</v>
      </c>
    </row>
    <row r="3926" spans="1:40" x14ac:dyDescent="0.25">
      <c r="A3926" t="str">
        <f>"20190304164448233"</f>
        <v>20190304164448233</v>
      </c>
      <c r="B3926" t="str">
        <f>"1551689088223603"</f>
        <v>1551689088223603</v>
      </c>
      <c r="C3926" t="s">
        <v>40</v>
      </c>
      <c r="D3926">
        <v>5.2938960000000002</v>
      </c>
      <c r="E3926">
        <v>0.57230289999999995</v>
      </c>
      <c r="F3926" t="s">
        <v>41</v>
      </c>
      <c r="G3926">
        <v>-208.92070000000001</v>
      </c>
      <c r="H3926">
        <v>0.96420530000000004</v>
      </c>
      <c r="I3926">
        <v>141.01060000000001</v>
      </c>
      <c r="J3926">
        <v>-208.40819999999999</v>
      </c>
      <c r="K3926">
        <v>1.101604</v>
      </c>
      <c r="L3926">
        <v>141.00460000000001</v>
      </c>
      <c r="M3926">
        <v>-0.93859519999999996</v>
      </c>
      <c r="N3926">
        <v>-1.1348860000000001E-2</v>
      </c>
      <c r="O3926">
        <v>-0.34483390000000003</v>
      </c>
      <c r="P3926">
        <v>-0.90048790000000001</v>
      </c>
      <c r="Q3926">
        <v>0.36971100000000001</v>
      </c>
      <c r="R3926">
        <v>-0.22898850000000001</v>
      </c>
      <c r="S3926">
        <v>-3.5018919999999998</v>
      </c>
      <c r="T3926">
        <v>-0.62003249999999999</v>
      </c>
      <c r="U3926">
        <v>-0.35850520000000002</v>
      </c>
      <c r="V3926">
        <v>0.10391060000000001</v>
      </c>
      <c r="W3926">
        <v>0.37798850000000001</v>
      </c>
      <c r="X3926">
        <v>0.91996049999999996</v>
      </c>
      <c r="Y3926">
        <v>0.23915020000000001</v>
      </c>
      <c r="Z3926">
        <v>7.7577350000000003E-2</v>
      </c>
      <c r="AA3926">
        <v>0.96787860000000003</v>
      </c>
      <c r="AB3926">
        <v>26</v>
      </c>
      <c r="AC3926">
        <v>-0.51250000000001705</v>
      </c>
      <c r="AD3926">
        <v>-0.13739869999999901</v>
      </c>
      <c r="AE3926">
        <v>6.0000000000002196E-3</v>
      </c>
      <c r="AF3926">
        <v>0.17014331001633301</v>
      </c>
      <c r="AG3926">
        <v>-0.13739869999999901</v>
      </c>
      <c r="AH3926">
        <v>0.44687698844891999</v>
      </c>
      <c r="AI3926">
        <v>106.031581729385</v>
      </c>
      <c r="AJ3926">
        <v>69.156240151896498</v>
      </c>
      <c r="AK3926">
        <v>0.49752004131510102</v>
      </c>
      <c r="AL3926">
        <v>67.790859220324606</v>
      </c>
      <c r="AM3926">
        <v>83.555688402782806</v>
      </c>
      <c r="AN3926">
        <v>1.00000002024242</v>
      </c>
    </row>
    <row r="3927" spans="1:40" x14ac:dyDescent="0.25">
      <c r="A3927" t="str">
        <f>"20190304164448255"</f>
        <v>20190304164448255</v>
      </c>
      <c r="B3927" t="str">
        <f>"1551689088244100"</f>
        <v>1551689088244100</v>
      </c>
      <c r="C3927" t="s">
        <v>40</v>
      </c>
      <c r="D3927">
        <v>5.2876659999999998</v>
      </c>
      <c r="E3927">
        <v>0.57228769999999995</v>
      </c>
      <c r="F3927" t="s">
        <v>41</v>
      </c>
      <c r="G3927">
        <v>-209.14709999999999</v>
      </c>
      <c r="H3927">
        <v>0.97143360000000001</v>
      </c>
      <c r="I3927">
        <v>140.93819999999999</v>
      </c>
      <c r="J3927">
        <v>-208.66229999999999</v>
      </c>
      <c r="K3927">
        <v>1.1016090000000001</v>
      </c>
      <c r="L3927">
        <v>140.92599999999999</v>
      </c>
      <c r="M3927">
        <v>-0.94298409999999999</v>
      </c>
      <c r="N3927">
        <v>-1.126543E-2</v>
      </c>
      <c r="O3927">
        <v>-0.33264739999999998</v>
      </c>
      <c r="P3927">
        <v>-0.90257569999999998</v>
      </c>
      <c r="Q3927">
        <v>0.37029279999999998</v>
      </c>
      <c r="R3927">
        <v>-0.21963820000000001</v>
      </c>
      <c r="S3927">
        <v>-3.5044559999999998</v>
      </c>
      <c r="T3927">
        <v>-0.61665109999999901</v>
      </c>
      <c r="U3927">
        <v>-0.31562810000000002</v>
      </c>
      <c r="V3927">
        <v>0.1014298</v>
      </c>
      <c r="W3927">
        <v>0.37855440000000001</v>
      </c>
      <c r="X3927">
        <v>0.92000470000000001</v>
      </c>
      <c r="Y3927">
        <v>0.2386392</v>
      </c>
      <c r="Z3927">
        <v>7.5273610000000005E-2</v>
      </c>
      <c r="AA3927">
        <v>0.96818660000000001</v>
      </c>
      <c r="AB3927">
        <v>26</v>
      </c>
      <c r="AC3927">
        <v>-0.484800000000007</v>
      </c>
      <c r="AD3927">
        <v>-0.1301754</v>
      </c>
      <c r="AE3927">
        <v>1.2199999999978599E-2</v>
      </c>
      <c r="AF3927">
        <v>0.16116988731159099</v>
      </c>
      <c r="AG3927">
        <v>-0.1301754</v>
      </c>
      <c r="AH3927">
        <v>0.42267379076380002</v>
      </c>
      <c r="AI3927">
        <v>106.054229516389</v>
      </c>
      <c r="AJ3927">
        <v>69.127633727249005</v>
      </c>
      <c r="AK3927">
        <v>0.47071700706457498</v>
      </c>
      <c r="AL3927">
        <v>67.755833432500296</v>
      </c>
      <c r="AM3927">
        <v>83.708593387155304</v>
      </c>
      <c r="AN3927">
        <v>1.00000004305474</v>
      </c>
    </row>
    <row r="3928" spans="1:40" x14ac:dyDescent="0.25">
      <c r="A3928" t="str">
        <f>"20190304164448276"</f>
        <v>20190304164448276</v>
      </c>
      <c r="B3928" t="str">
        <f>"1551689088263620"</f>
        <v>1551689088263620</v>
      </c>
      <c r="C3928" t="s">
        <v>40</v>
      </c>
      <c r="D3928">
        <v>5.3011109999999997</v>
      </c>
      <c r="E3928">
        <v>0.57226960000000004</v>
      </c>
      <c r="F3928" t="s">
        <v>41</v>
      </c>
      <c r="G3928">
        <v>-209.6</v>
      </c>
      <c r="H3928">
        <v>0.93831799999999999</v>
      </c>
      <c r="I3928">
        <v>140.85159999999999</v>
      </c>
      <c r="J3928">
        <v>-208.90029999999999</v>
      </c>
      <c r="K3928">
        <v>1.1016319999999999</v>
      </c>
      <c r="L3928">
        <v>140.85560000000001</v>
      </c>
      <c r="M3928">
        <v>-0.94691259999999999</v>
      </c>
      <c r="N3928">
        <v>-1.118429E-2</v>
      </c>
      <c r="O3928">
        <v>-0.32129730000000001</v>
      </c>
      <c r="P3928">
        <v>-0.90417210000000003</v>
      </c>
      <c r="Q3928">
        <v>0.37106549999999999</v>
      </c>
      <c r="R3928">
        <v>-0.21162159999999999</v>
      </c>
      <c r="S3928">
        <v>-3.5065309999999998</v>
      </c>
      <c r="T3928">
        <v>-0.61048199999999997</v>
      </c>
      <c r="U3928">
        <v>-0.27841189999999999</v>
      </c>
      <c r="V3928">
        <v>9.8414199999999993E-2</v>
      </c>
      <c r="W3928">
        <v>0.37932490000000002</v>
      </c>
      <c r="X3928">
        <v>0.92001489999999997</v>
      </c>
      <c r="Y3928">
        <v>0.23755850000000001</v>
      </c>
      <c r="Z3928">
        <v>7.2711650000000003E-2</v>
      </c>
      <c r="AA3928">
        <v>0.96864799999999995</v>
      </c>
      <c r="AB3928">
        <v>26</v>
      </c>
      <c r="AC3928">
        <v>-0.69970000000000698</v>
      </c>
      <c r="AD3928">
        <v>-0.16331399999999899</v>
      </c>
      <c r="AE3928">
        <v>-4.0000000000190898E-3</v>
      </c>
      <c r="AF3928">
        <v>0.20961856101938001</v>
      </c>
      <c r="AG3928">
        <v>-0.16331399999999899</v>
      </c>
      <c r="AH3928">
        <v>0.62958379036193601</v>
      </c>
      <c r="AI3928">
        <v>103.826651942357</v>
      </c>
      <c r="AJ3928">
        <v>71.584932072828295</v>
      </c>
      <c r="AK3928">
        <v>0.68336458263970401</v>
      </c>
      <c r="AL3928">
        <v>67.708130087851103</v>
      </c>
      <c r="AM3928">
        <v>83.8942755013165</v>
      </c>
      <c r="AN3928">
        <v>1.0000000753718199</v>
      </c>
    </row>
    <row r="3929" spans="1:40" x14ac:dyDescent="0.25">
      <c r="A3929" t="str">
        <f>"20190304164448298"</f>
        <v>20190304164448298</v>
      </c>
      <c r="B3929" t="str">
        <f>"1551689088293875"</f>
        <v>1551689088293875</v>
      </c>
      <c r="C3929" t="s">
        <v>40</v>
      </c>
      <c r="D3929">
        <v>5.2830519999999996</v>
      </c>
      <c r="E3929">
        <v>0.57222810000000002</v>
      </c>
      <c r="F3929" t="s">
        <v>41</v>
      </c>
      <c r="G3929">
        <v>-209.82900000000001</v>
      </c>
      <c r="H3929">
        <v>0.94182560000000004</v>
      </c>
      <c r="I3929">
        <v>140.7903</v>
      </c>
      <c r="J3929">
        <v>-209.15129999999999</v>
      </c>
      <c r="K3929">
        <v>1.1016520000000001</v>
      </c>
      <c r="L3929">
        <v>140.78460000000001</v>
      </c>
      <c r="M3929">
        <v>-0.95086899999999996</v>
      </c>
      <c r="N3929">
        <v>-1.110303E-2</v>
      </c>
      <c r="O3929">
        <v>-0.30939440000000001</v>
      </c>
      <c r="P3929">
        <v>-0.90534760000000003</v>
      </c>
      <c r="Q3929">
        <v>0.37303730000000002</v>
      </c>
      <c r="R3929">
        <v>-0.2029504</v>
      </c>
      <c r="S3929">
        <v>-3.5079039999999999</v>
      </c>
      <c r="T3929">
        <v>-0.6035507</v>
      </c>
      <c r="U3929">
        <v>-0.24671940000000001</v>
      </c>
      <c r="V3929">
        <v>9.5439010000000005E-2</v>
      </c>
      <c r="W3929">
        <v>0.3812873</v>
      </c>
      <c r="X3929">
        <v>0.91951689999999997</v>
      </c>
      <c r="Y3929">
        <v>0.234485</v>
      </c>
      <c r="Z3929">
        <v>6.9824929999999993E-2</v>
      </c>
      <c r="AA3929">
        <v>0.96960880000000005</v>
      </c>
      <c r="AB3929">
        <v>26</v>
      </c>
      <c r="AC3929">
        <v>-0.67770000000001496</v>
      </c>
      <c r="AD3929">
        <v>-0.15982640000000001</v>
      </c>
      <c r="AE3929">
        <v>5.6999999999902597E-3</v>
      </c>
      <c r="AF3929">
        <v>0.203776765572939</v>
      </c>
      <c r="AG3929">
        <v>-0.15982640000000001</v>
      </c>
      <c r="AH3929">
        <v>0.60882047563116504</v>
      </c>
      <c r="AI3929">
        <v>103.979269492244</v>
      </c>
      <c r="AJ3929">
        <v>71.494221023781407</v>
      </c>
      <c r="AK3929">
        <v>0.66161304391017495</v>
      </c>
      <c r="AL3929">
        <v>67.586555482410603</v>
      </c>
      <c r="AM3929">
        <v>84.074342596304504</v>
      </c>
      <c r="AN3929">
        <v>0.99999996957833903</v>
      </c>
    </row>
    <row r="3930" spans="1:40" x14ac:dyDescent="0.25">
      <c r="A3930" t="str">
        <f>"20190304164448322"</f>
        <v>20190304164448322</v>
      </c>
      <c r="B3930" t="str">
        <f>"1551689088314396"</f>
        <v>1551689088314396</v>
      </c>
      <c r="C3930" t="s">
        <v>40</v>
      </c>
      <c r="D3930">
        <v>5.2628389999999996</v>
      </c>
      <c r="E3930">
        <v>0.57217189999999996</v>
      </c>
      <c r="F3930" t="s">
        <v>41</v>
      </c>
      <c r="G3930">
        <v>-210.06010000000001</v>
      </c>
      <c r="H3930">
        <v>0.94864820000000005</v>
      </c>
      <c r="I3930">
        <v>140.7295</v>
      </c>
      <c r="J3930">
        <v>-209.4306</v>
      </c>
      <c r="K3930">
        <v>1.101667</v>
      </c>
      <c r="L3930">
        <v>140.70949999999999</v>
      </c>
      <c r="M3930">
        <v>-0.95505490000000004</v>
      </c>
      <c r="N3930">
        <v>-1.101512E-2</v>
      </c>
      <c r="O3930">
        <v>-0.29622419999999999</v>
      </c>
      <c r="P3930">
        <v>-0.90659730000000005</v>
      </c>
      <c r="Q3930">
        <v>0.37548999999999999</v>
      </c>
      <c r="R3930">
        <v>-0.1925849</v>
      </c>
      <c r="S3930">
        <v>-3.5089869999999999</v>
      </c>
      <c r="T3930">
        <v>-0.59030539999999998</v>
      </c>
      <c r="U3930">
        <v>-0.2134857</v>
      </c>
      <c r="V3930">
        <v>9.2964119999999997E-2</v>
      </c>
      <c r="W3930">
        <v>0.3837101</v>
      </c>
      <c r="X3930">
        <v>0.91876239999999998</v>
      </c>
      <c r="Y3930">
        <v>0.23075999999999999</v>
      </c>
      <c r="Z3930">
        <v>6.6014320000000001E-2</v>
      </c>
      <c r="AA3930">
        <v>0.97076870000000004</v>
      </c>
      <c r="AB3930">
        <v>26</v>
      </c>
      <c r="AC3930">
        <v>-0.62950000000000705</v>
      </c>
      <c r="AD3930">
        <v>-0.15301879999999901</v>
      </c>
      <c r="AE3930">
        <v>2.0000000000010201E-2</v>
      </c>
      <c r="AF3930">
        <v>0.194127688479898</v>
      </c>
      <c r="AG3930">
        <v>-0.15301879999999901</v>
      </c>
      <c r="AH3930">
        <v>0.56213674892916499</v>
      </c>
      <c r="AI3930">
        <v>104.429146010732</v>
      </c>
      <c r="AJ3930">
        <v>70.948215085791603</v>
      </c>
      <c r="AK3930">
        <v>0.61408308646683996</v>
      </c>
      <c r="AL3930">
        <v>67.4363163701654</v>
      </c>
      <c r="AM3930">
        <v>84.222244196447704</v>
      </c>
      <c r="AN3930">
        <v>1.00000005805157</v>
      </c>
    </row>
    <row r="3931" spans="1:40" x14ac:dyDescent="0.25">
      <c r="A3931" t="str">
        <f>"20190304164448343"</f>
        <v>20190304164448343</v>
      </c>
      <c r="B3931" t="str">
        <f>"1551689088333915"</f>
        <v>1551689088333915</v>
      </c>
      <c r="C3931" t="s">
        <v>40</v>
      </c>
      <c r="D3931">
        <v>5.2482800000000003</v>
      </c>
      <c r="E3931">
        <v>0.57210229999999995</v>
      </c>
      <c r="F3931" t="s">
        <v>41</v>
      </c>
      <c r="G3931">
        <v>-210.2927</v>
      </c>
      <c r="H3931">
        <v>0.95978149999999995</v>
      </c>
      <c r="I3931">
        <v>140.66659999999999</v>
      </c>
      <c r="J3931">
        <v>-209.6754</v>
      </c>
      <c r="K3931">
        <v>1.1016779999999999</v>
      </c>
      <c r="L3931">
        <v>140.64689999999999</v>
      </c>
      <c r="M3931">
        <v>-0.95854220000000001</v>
      </c>
      <c r="N3931">
        <v>-1.094028E-2</v>
      </c>
      <c r="O3931">
        <v>-0.28474070000000001</v>
      </c>
      <c r="P3931">
        <v>-0.90806779999999998</v>
      </c>
      <c r="Q3931">
        <v>0.37683650000000002</v>
      </c>
      <c r="R3931">
        <v>-0.1827773</v>
      </c>
      <c r="S3931">
        <v>-3.5110779999999999</v>
      </c>
      <c r="T3931">
        <v>-0.57740780000000003</v>
      </c>
      <c r="U3931">
        <v>-0.1749725</v>
      </c>
      <c r="V3931">
        <v>9.1713509999999998E-2</v>
      </c>
      <c r="W3931">
        <v>0.38501400000000002</v>
      </c>
      <c r="X3931">
        <v>0.9183424</v>
      </c>
      <c r="Y3931">
        <v>0.23018540000000001</v>
      </c>
      <c r="Z3931">
        <v>6.2836119999999995E-2</v>
      </c>
      <c r="AA3931">
        <v>0.97111599999999998</v>
      </c>
      <c r="AB3931">
        <v>26</v>
      </c>
      <c r="AC3931">
        <v>-0.61729999999999996</v>
      </c>
      <c r="AD3931">
        <v>-0.14189650000000001</v>
      </c>
      <c r="AE3931">
        <v>1.97000000000002E-2</v>
      </c>
      <c r="AF3931">
        <v>0.184905175925205</v>
      </c>
      <c r="AG3931">
        <v>-0.14189650000000001</v>
      </c>
      <c r="AH3931">
        <v>0.55674603750390295</v>
      </c>
      <c r="AI3931">
        <v>103.597358505469</v>
      </c>
      <c r="AJ3931">
        <v>71.627763093703507</v>
      </c>
      <c r="AK3931">
        <v>0.60356498496224797</v>
      </c>
      <c r="AL3931">
        <v>67.3553895427101</v>
      </c>
      <c r="AM3931">
        <v>84.296864778260698</v>
      </c>
      <c r="AN3931">
        <v>0.99999995587513901</v>
      </c>
    </row>
    <row r="3932" spans="1:40" x14ac:dyDescent="0.25">
      <c r="A3932" t="str">
        <f>"20190304164448366"</f>
        <v>20190304164448366</v>
      </c>
      <c r="B3932" t="str">
        <f>"1551689088354411"</f>
        <v>1551689088354411</v>
      </c>
      <c r="C3932" t="s">
        <v>40</v>
      </c>
      <c r="D3932">
        <v>5.2290099999999997</v>
      </c>
      <c r="E3932">
        <v>0.57198950000000004</v>
      </c>
      <c r="F3932" t="s">
        <v>41</v>
      </c>
      <c r="G3932">
        <v>-210.5258</v>
      </c>
      <c r="H3932">
        <v>0.96388390000000002</v>
      </c>
      <c r="I3932">
        <v>140.61359999999999</v>
      </c>
      <c r="J3932">
        <v>-209.9348</v>
      </c>
      <c r="K3932">
        <v>1.1016919999999999</v>
      </c>
      <c r="L3932">
        <v>140.5838</v>
      </c>
      <c r="M3932">
        <v>-0.96205569999999896</v>
      </c>
      <c r="N3932">
        <v>-1.086256E-2</v>
      </c>
      <c r="O3932">
        <v>-0.27263720000000002</v>
      </c>
      <c r="P3932">
        <v>-0.90928730000000002</v>
      </c>
      <c r="Q3932">
        <v>0.37809890000000002</v>
      </c>
      <c r="R3932">
        <v>-0.17389170000000001</v>
      </c>
      <c r="S3932">
        <v>-3.5120089999999902</v>
      </c>
      <c r="T3932">
        <v>-0.56861669999999997</v>
      </c>
      <c r="U3932">
        <v>-0.13755800000000001</v>
      </c>
      <c r="V3932">
        <v>8.8973629999999998E-2</v>
      </c>
      <c r="W3932">
        <v>0.38626440000000001</v>
      </c>
      <c r="X3932">
        <v>0.91808690000000004</v>
      </c>
      <c r="Y3932">
        <v>0.2286195</v>
      </c>
      <c r="Z3932">
        <v>6.0012330000000003E-2</v>
      </c>
      <c r="AA3932">
        <v>0.97166439999999998</v>
      </c>
      <c r="AB3932">
        <v>26</v>
      </c>
      <c r="AC3932">
        <v>-0.59100000000000796</v>
      </c>
      <c r="AD3932">
        <v>-0.13780809999999999</v>
      </c>
      <c r="AE3932">
        <v>2.97999999999944E-2</v>
      </c>
      <c r="AF3932">
        <v>0.180044488710352</v>
      </c>
      <c r="AG3932">
        <v>-0.13780809999999999</v>
      </c>
      <c r="AH3932">
        <v>0.53164983567494395</v>
      </c>
      <c r="AI3932">
        <v>103.793976956051</v>
      </c>
      <c r="AJ3932">
        <v>71.291206578158196</v>
      </c>
      <c r="AK3932">
        <v>0.57797806023566101</v>
      </c>
      <c r="AL3932">
        <v>67.277742378571205</v>
      </c>
      <c r="AM3932">
        <v>84.464637956160402</v>
      </c>
      <c r="AN3932">
        <v>1.0000000247471701</v>
      </c>
    </row>
    <row r="3933" spans="1:40" x14ac:dyDescent="0.25">
      <c r="A3933" t="str">
        <f>"20190304164448387"</f>
        <v>20190304164448387</v>
      </c>
      <c r="B3933" t="str">
        <f>"1551689088383691"</f>
        <v>1551689088383691</v>
      </c>
      <c r="C3933" t="s">
        <v>40</v>
      </c>
      <c r="D3933">
        <v>5.2109459999999999</v>
      </c>
      <c r="E3933">
        <v>0.57177040000000001</v>
      </c>
      <c r="F3933" t="s">
        <v>41</v>
      </c>
      <c r="G3933">
        <v>-210.75960000000001</v>
      </c>
      <c r="H3933">
        <v>0.96992469999999997</v>
      </c>
      <c r="I3933">
        <v>140.55959999999999</v>
      </c>
      <c r="J3933">
        <v>-210.19159999999999</v>
      </c>
      <c r="K3933">
        <v>1.101702</v>
      </c>
      <c r="L3933">
        <v>140.52459999999999</v>
      </c>
      <c r="M3933">
        <v>-0.96535420000000005</v>
      </c>
      <c r="N3933">
        <v>-1.0787140000000001E-2</v>
      </c>
      <c r="O3933">
        <v>-0.2607197</v>
      </c>
      <c r="P3933">
        <v>-0.91038730000000001</v>
      </c>
      <c r="Q3933">
        <v>0.37908429999999999</v>
      </c>
      <c r="R3933">
        <v>-0.16580039999999999</v>
      </c>
      <c r="S3933">
        <v>-3.5128020000000002</v>
      </c>
      <c r="T3933">
        <v>-0.56093539999999997</v>
      </c>
      <c r="U3933">
        <v>-0.1031189</v>
      </c>
      <c r="V3933">
        <v>8.5666569999999997E-2</v>
      </c>
      <c r="W3933">
        <v>0.38725369999999998</v>
      </c>
      <c r="X3933">
        <v>0.91798469999999999</v>
      </c>
      <c r="Y3933">
        <v>0.22643679999999999</v>
      </c>
      <c r="Z3933">
        <v>5.7324819999999999E-2</v>
      </c>
      <c r="AA3933">
        <v>0.97233749999999997</v>
      </c>
      <c r="AB3933">
        <v>26</v>
      </c>
      <c r="AC3933">
        <v>-0.56800000000001205</v>
      </c>
      <c r="AD3933">
        <v>-0.13177730000000001</v>
      </c>
      <c r="AE3933">
        <v>3.4999999999996499E-2</v>
      </c>
      <c r="AF3933">
        <v>0.17263010388382</v>
      </c>
      <c r="AG3933">
        <v>-0.13177730000000001</v>
      </c>
      <c r="AH3933">
        <v>0.51178476171374299</v>
      </c>
      <c r="AI3933">
        <v>103.711146404979</v>
      </c>
      <c r="AJ3933">
        <v>71.360236217864895</v>
      </c>
      <c r="AK3933">
        <v>0.55595867821684497</v>
      </c>
      <c r="AL3933">
        <v>67.216277024277005</v>
      </c>
      <c r="AM3933">
        <v>84.668583751834205</v>
      </c>
      <c r="AN3933">
        <v>1.0000000494066701</v>
      </c>
    </row>
    <row r="3934" spans="1:40" x14ac:dyDescent="0.25">
      <c r="A3934" t="str">
        <f>"20190304164448411"</f>
        <v>20190304164448411</v>
      </c>
      <c r="B3934" t="str">
        <f>"1551689088404187"</f>
        <v>1551689088404187</v>
      </c>
      <c r="C3934" t="s">
        <v>40</v>
      </c>
      <c r="D3934">
        <v>5.2420090000000004</v>
      </c>
      <c r="E3934">
        <v>0.57158109999999995</v>
      </c>
      <c r="F3934" t="s">
        <v>41</v>
      </c>
      <c r="G3934">
        <v>-210.99430000000001</v>
      </c>
      <c r="H3934">
        <v>0.97526100000000004</v>
      </c>
      <c r="I3934">
        <v>140.50829999999999</v>
      </c>
      <c r="J3934">
        <v>-210.47540000000001</v>
      </c>
      <c r="K3934">
        <v>1.1017220000000001</v>
      </c>
      <c r="L3934">
        <v>140.46279999999999</v>
      </c>
      <c r="M3934">
        <v>-0.96879749999999998</v>
      </c>
      <c r="N3934">
        <v>-1.070601E-2</v>
      </c>
      <c r="O3934">
        <v>-0.24762210000000001</v>
      </c>
      <c r="P3934">
        <v>-0.91165580000000002</v>
      </c>
      <c r="Q3934">
        <v>0.37967620000000002</v>
      </c>
      <c r="R3934">
        <v>-0.15725629999999999</v>
      </c>
      <c r="S3934">
        <v>-3.5126339999999998</v>
      </c>
      <c r="T3934">
        <v>-0.5531819</v>
      </c>
      <c r="U3934">
        <v>-7.1640010000000004E-2</v>
      </c>
      <c r="V3934">
        <v>8.1755010000000003E-2</v>
      </c>
      <c r="W3934">
        <v>0.38785989999999998</v>
      </c>
      <c r="X3934">
        <v>0.91808540000000005</v>
      </c>
      <c r="Y3934">
        <v>0.2223108</v>
      </c>
      <c r="Z3934">
        <v>5.4356759999999997E-2</v>
      </c>
      <c r="AA3934">
        <v>0.97345939999999997</v>
      </c>
      <c r="AB3934">
        <v>26</v>
      </c>
      <c r="AC3934">
        <v>-0.51890000000000203</v>
      </c>
      <c r="AD3934">
        <v>-0.12646099999999899</v>
      </c>
      <c r="AE3934">
        <v>4.5500000000004003E-2</v>
      </c>
      <c r="AF3934">
        <v>0.16297531973596699</v>
      </c>
      <c r="AG3934">
        <v>-0.12646099999999899</v>
      </c>
      <c r="AH3934">
        <v>0.46411488399848999</v>
      </c>
      <c r="AI3934">
        <v>104.41781873636199</v>
      </c>
      <c r="AJ3934">
        <v>70.651123912952102</v>
      </c>
      <c r="AK3934">
        <v>0.50789365512179097</v>
      </c>
      <c r="AL3934">
        <v>67.178598314820306</v>
      </c>
      <c r="AM3934">
        <v>84.911264288736405</v>
      </c>
      <c r="AN3934">
        <v>0.999999992690635</v>
      </c>
    </row>
    <row r="3935" spans="1:40" x14ac:dyDescent="0.25">
      <c r="A3935" t="str">
        <f>"20190304164448435"</f>
        <v>20190304164448435</v>
      </c>
      <c r="B3935" t="str">
        <f>"1551689088423707"</f>
        <v>1551689088423707</v>
      </c>
      <c r="C3935" t="s">
        <v>40</v>
      </c>
      <c r="D3935">
        <v>5.2331190000000003</v>
      </c>
      <c r="E3935">
        <v>0.57135809999999998</v>
      </c>
      <c r="F3935" t="s">
        <v>41</v>
      </c>
      <c r="G3935">
        <v>-211.23009999999999</v>
      </c>
      <c r="H3935">
        <v>0.98392749999999995</v>
      </c>
      <c r="I3935">
        <v>140.45439999999999</v>
      </c>
      <c r="J3935">
        <v>-210.74600000000001</v>
      </c>
      <c r="K3935">
        <v>1.1017380000000001</v>
      </c>
      <c r="L3935">
        <v>140.4076</v>
      </c>
      <c r="M3935">
        <v>-0.97188459999999999</v>
      </c>
      <c r="N3935">
        <v>-1.0629120000000001E-2</v>
      </c>
      <c r="O3935">
        <v>-0.23521800000000001</v>
      </c>
      <c r="P3935">
        <v>-0.91267969999999998</v>
      </c>
      <c r="Q3935">
        <v>0.38034430000000002</v>
      </c>
      <c r="R3935">
        <v>-0.14951300000000001</v>
      </c>
      <c r="S3935">
        <v>-3.512283</v>
      </c>
      <c r="T3935">
        <v>-0.54823980000000005</v>
      </c>
      <c r="U3935">
        <v>-3.9093019999999999E-2</v>
      </c>
      <c r="V3935">
        <v>7.7716859999999999E-2</v>
      </c>
      <c r="W3935">
        <v>0.38854939999999999</v>
      </c>
      <c r="X3935">
        <v>0.91814459999999998</v>
      </c>
      <c r="Y3935">
        <v>0.219137</v>
      </c>
      <c r="Z3935">
        <v>5.188736E-2</v>
      </c>
      <c r="AA3935">
        <v>0.9743134</v>
      </c>
      <c r="AB3935">
        <v>26</v>
      </c>
      <c r="AC3935">
        <v>-0.48410000000001202</v>
      </c>
      <c r="AD3935">
        <v>-0.117810499999999</v>
      </c>
      <c r="AE3935">
        <v>4.6799999999990398E-2</v>
      </c>
      <c r="AF3935">
        <v>0.150529791442021</v>
      </c>
      <c r="AG3935">
        <v>-0.117810499999999</v>
      </c>
      <c r="AH3935">
        <v>0.43403950898209298</v>
      </c>
      <c r="AI3935">
        <v>104.38318578896499</v>
      </c>
      <c r="AJ3935">
        <v>70.872877933862696</v>
      </c>
      <c r="AK3935">
        <v>0.47426662056194202</v>
      </c>
      <c r="AL3935">
        <v>67.135731737995698</v>
      </c>
      <c r="AM3935">
        <v>85.161700164289897</v>
      </c>
      <c r="AN3935">
        <v>1.00000002653888</v>
      </c>
    </row>
    <row r="3936" spans="1:40" x14ac:dyDescent="0.25">
      <c r="A3936" t="str">
        <f>"20190304164448456"</f>
        <v>20190304164448456</v>
      </c>
      <c r="B3936" t="str">
        <f>"1551689088444203"</f>
        <v>1551689088444203</v>
      </c>
      <c r="C3936" t="s">
        <v>40</v>
      </c>
      <c r="D3936">
        <v>5.1538519999999997</v>
      </c>
      <c r="E3936">
        <v>0.55987240000000005</v>
      </c>
      <c r="F3936" t="s">
        <v>41</v>
      </c>
      <c r="G3936">
        <v>-211.69659999999999</v>
      </c>
      <c r="H3936">
        <v>0.95452429999999999</v>
      </c>
      <c r="I3936">
        <v>140.4049</v>
      </c>
      <c r="J3936">
        <v>-211.0017</v>
      </c>
      <c r="K3936">
        <v>1.1017570000000001</v>
      </c>
      <c r="L3936">
        <v>140.3588</v>
      </c>
      <c r="M3936">
        <v>-0.9746281</v>
      </c>
      <c r="N3936">
        <v>-1.055382E-2</v>
      </c>
      <c r="O3936">
        <v>-0.2235811</v>
      </c>
      <c r="P3936">
        <v>-0.91372609999999999</v>
      </c>
      <c r="Q3936">
        <v>0.38020939999999998</v>
      </c>
      <c r="R3936">
        <v>-0.14333570000000001</v>
      </c>
      <c r="S3936">
        <v>-3.511841</v>
      </c>
      <c r="T3936">
        <v>-0.54349429999999999</v>
      </c>
      <c r="U3936">
        <v>-1.0208129999999999E-2</v>
      </c>
      <c r="V3936">
        <v>7.2908329999999993E-2</v>
      </c>
      <c r="W3936">
        <v>0.38845750000000001</v>
      </c>
      <c r="X3936">
        <v>0.9185778</v>
      </c>
      <c r="Y3936">
        <v>0.2157405</v>
      </c>
      <c r="Z3936">
        <v>4.9551089999999999E-2</v>
      </c>
      <c r="AA3936">
        <v>0.97519270000000002</v>
      </c>
      <c r="AB3936">
        <v>26</v>
      </c>
      <c r="AC3936">
        <v>-0.69489999999998897</v>
      </c>
      <c r="AD3936">
        <v>-0.14723269999999899</v>
      </c>
      <c r="AE3936">
        <v>4.6099999999995499E-2</v>
      </c>
      <c r="AF3936">
        <v>0.19173833323530001</v>
      </c>
      <c r="AG3936">
        <v>-0.14723269999999899</v>
      </c>
      <c r="AH3936">
        <v>0.63846321325243605</v>
      </c>
      <c r="AI3936">
        <v>102.454430156576</v>
      </c>
      <c r="AJ3936">
        <v>73.284343025024299</v>
      </c>
      <c r="AK3936">
        <v>0.68269783290835695</v>
      </c>
      <c r="AL3936">
        <v>67.141445802293006</v>
      </c>
      <c r="AM3936">
        <v>85.461897117428293</v>
      </c>
      <c r="AN3936">
        <v>1.00000001427123</v>
      </c>
    </row>
    <row r="3937" spans="1:40" x14ac:dyDescent="0.25">
      <c r="A3937" t="str">
        <f>"20190304164448480"</f>
        <v>20190304164448480</v>
      </c>
      <c r="B3937" t="str">
        <f>"1551689088474459"</f>
        <v>1551689088474459</v>
      </c>
      <c r="C3937" t="s">
        <v>40</v>
      </c>
      <c r="D3937">
        <v>5.1518959999999998</v>
      </c>
      <c r="E3937">
        <v>0.55819149999999995</v>
      </c>
      <c r="F3937" t="s">
        <v>41</v>
      </c>
      <c r="G3937">
        <v>-211.94139999999999</v>
      </c>
      <c r="H3937">
        <v>0.98617600000000005</v>
      </c>
      <c r="I3937">
        <v>140.34030000000001</v>
      </c>
      <c r="J3937">
        <v>-211.27160000000001</v>
      </c>
      <c r="K3937">
        <v>1.1017809999999999</v>
      </c>
      <c r="L3937">
        <v>140.31059999999999</v>
      </c>
      <c r="M3937">
        <v>-0.97734730000000003</v>
      </c>
      <c r="N3937">
        <v>-1.0478609999999999E-2</v>
      </c>
      <c r="O3937">
        <v>-0.21138199999999999</v>
      </c>
      <c r="P3937">
        <v>-0.91464809999999996</v>
      </c>
      <c r="Q3937">
        <v>0.38058570000000003</v>
      </c>
      <c r="R3937">
        <v>-0.13628379999999901</v>
      </c>
      <c r="S3937">
        <v>-3.448868</v>
      </c>
      <c r="T3937">
        <v>-0.42380089999999998</v>
      </c>
      <c r="U3937">
        <v>-6.8359379999999997E-2</v>
      </c>
      <c r="V3937">
        <v>6.8437269999999994E-2</v>
      </c>
      <c r="W3937">
        <v>0.3888662</v>
      </c>
      <c r="X3937">
        <v>0.91874889999999998</v>
      </c>
      <c r="Y3937">
        <v>0.18913179999999999</v>
      </c>
      <c r="Z3937">
        <v>3.606289E-2</v>
      </c>
      <c r="AA3937">
        <v>0.98128930000000003</v>
      </c>
      <c r="AB3937">
        <v>26</v>
      </c>
      <c r="AC3937">
        <v>-0.66979999999997997</v>
      </c>
      <c r="AD3937">
        <v>-0.115604999999999</v>
      </c>
      <c r="AE3937">
        <v>2.97000000000196E-2</v>
      </c>
      <c r="AF3937">
        <v>0.165694002110816</v>
      </c>
      <c r="AG3937">
        <v>-0.115604999999999</v>
      </c>
      <c r="AH3937">
        <v>0.62966424392770504</v>
      </c>
      <c r="AI3937">
        <v>100.06812977017501</v>
      </c>
      <c r="AJ3937">
        <v>75.257042632715795</v>
      </c>
      <c r="AK3937">
        <v>0.66128365959060798</v>
      </c>
      <c r="AL3937">
        <v>67.116032048677297</v>
      </c>
      <c r="AM3937">
        <v>85.739925984696498</v>
      </c>
      <c r="AN3937">
        <v>1.0000000613393401</v>
      </c>
    </row>
    <row r="3938" spans="1:40" x14ac:dyDescent="0.25">
      <c r="A3938" t="str">
        <f>"20190304164448502"</f>
        <v>20190304164448502</v>
      </c>
      <c r="B3938" t="str">
        <f>"1551689088493979"</f>
        <v>1551689088493979</v>
      </c>
      <c r="C3938" t="s">
        <v>40</v>
      </c>
      <c r="D3938">
        <v>5.1503449999999997</v>
      </c>
      <c r="E3938">
        <v>0.5574365</v>
      </c>
      <c r="F3938" t="s">
        <v>41</v>
      </c>
      <c r="G3938">
        <v>-212.17930000000001</v>
      </c>
      <c r="H3938">
        <v>0.99036480000000005</v>
      </c>
      <c r="I3938">
        <v>140.2962</v>
      </c>
      <c r="J3938">
        <v>-211.55170000000001</v>
      </c>
      <c r="K3938">
        <v>1.1018110000000001</v>
      </c>
      <c r="L3938">
        <v>140.26400000000001</v>
      </c>
      <c r="M3938">
        <v>-0.97998289999999999</v>
      </c>
      <c r="N3938">
        <v>-1.0407720000000001E-2</v>
      </c>
      <c r="O3938">
        <v>-0.19880990000000001</v>
      </c>
      <c r="P3938">
        <v>-0.91553879999999999</v>
      </c>
      <c r="Q3938">
        <v>0.3810306</v>
      </c>
      <c r="R3938">
        <v>-0.128859</v>
      </c>
      <c r="S3938">
        <v>-3.4478909999999998</v>
      </c>
      <c r="T3938">
        <v>-0.42320999999999998</v>
      </c>
      <c r="U3938">
        <v>-5.476379E-2</v>
      </c>
      <c r="V3938">
        <v>6.4009499999999997E-2</v>
      </c>
      <c r="W3938">
        <v>0.38934580000000002</v>
      </c>
      <c r="X3938">
        <v>0.91886480000000004</v>
      </c>
      <c r="Y3938">
        <v>0.1805301</v>
      </c>
      <c r="Z3938">
        <v>3.4085089999999998E-2</v>
      </c>
      <c r="AA3938">
        <v>0.98297869999999998</v>
      </c>
      <c r="AB3938">
        <v>27</v>
      </c>
      <c r="AC3938">
        <v>-0.62760000000000005</v>
      </c>
      <c r="AD3938">
        <v>-0.111446199999999</v>
      </c>
      <c r="AE3938">
        <v>3.2199999999988897E-2</v>
      </c>
      <c r="AF3938">
        <v>0.151570091417214</v>
      </c>
      <c r="AG3938">
        <v>-0.111446199999999</v>
      </c>
      <c r="AH3938">
        <v>0.59010946022926103</v>
      </c>
      <c r="AI3938">
        <v>100.36590960754999</v>
      </c>
      <c r="AJ3938">
        <v>75.594923367819106</v>
      </c>
      <c r="AK3938">
        <v>0.61937300809668105</v>
      </c>
      <c r="AL3938">
        <v>67.086199359701496</v>
      </c>
      <c r="AM3938">
        <v>86.015127581227503</v>
      </c>
      <c r="AN3938">
        <v>0.99999994437346296</v>
      </c>
    </row>
    <row r="3939" spans="1:40" x14ac:dyDescent="0.25">
      <c r="A3939" t="str">
        <f>"20190304164448524"</f>
        <v>20190304164448524</v>
      </c>
      <c r="B3939" t="str">
        <f>"1551689088514476"</f>
        <v>1551689088514476</v>
      </c>
      <c r="C3939" t="s">
        <v>40</v>
      </c>
      <c r="D3939">
        <v>5.140428</v>
      </c>
      <c r="E3939">
        <v>0.55683850000000001</v>
      </c>
      <c r="F3939" t="s">
        <v>41</v>
      </c>
      <c r="G3939">
        <v>-212.41890000000001</v>
      </c>
      <c r="H3939">
        <v>0.9955311</v>
      </c>
      <c r="I3939">
        <v>140.25579999999999</v>
      </c>
      <c r="J3939">
        <v>-211.8141</v>
      </c>
      <c r="K3939">
        <v>1.1018479999999999</v>
      </c>
      <c r="L3939">
        <v>140.2236</v>
      </c>
      <c r="M3939">
        <v>-0.9822803</v>
      </c>
      <c r="N3939">
        <v>-1.034538E-2</v>
      </c>
      <c r="O3939">
        <v>-0.1871321</v>
      </c>
      <c r="P3939">
        <v>-0.91653530000000005</v>
      </c>
      <c r="Q3939">
        <v>0.38086910000000002</v>
      </c>
      <c r="R3939">
        <v>-0.122074</v>
      </c>
      <c r="S3939">
        <v>-3.4478610000000001</v>
      </c>
      <c r="T3939">
        <v>-0.42232360000000002</v>
      </c>
      <c r="U3939">
        <v>-3.3004760000000001E-2</v>
      </c>
      <c r="V3939">
        <v>5.9833890000000001E-2</v>
      </c>
      <c r="W3939">
        <v>0.38922370000000001</v>
      </c>
      <c r="X3939">
        <v>0.91919790000000001</v>
      </c>
      <c r="Y3939">
        <v>0.175152799999999</v>
      </c>
      <c r="Z3939">
        <v>3.2386699999999997E-2</v>
      </c>
      <c r="AA3939">
        <v>0.98400840000000001</v>
      </c>
      <c r="AB3939">
        <v>27</v>
      </c>
      <c r="AC3939">
        <v>-0.604800000000011</v>
      </c>
      <c r="AD3939">
        <v>-0.10631689999999901</v>
      </c>
      <c r="AE3939">
        <v>3.2199999999988897E-2</v>
      </c>
      <c r="AF3939">
        <v>0.140485703734995</v>
      </c>
      <c r="AG3939">
        <v>-0.10631689999999901</v>
      </c>
      <c r="AH3939">
        <v>0.57050911595657305</v>
      </c>
      <c r="AI3939">
        <v>100.256634655479</v>
      </c>
      <c r="AJ3939">
        <v>76.166359775568395</v>
      </c>
      <c r="AK3939">
        <v>0.597093097907753</v>
      </c>
      <c r="AL3939">
        <v>67.093795173091706</v>
      </c>
      <c r="AM3939">
        <v>86.275666384085795</v>
      </c>
      <c r="AN3939">
        <v>0.99999998119931499</v>
      </c>
    </row>
    <row r="3940" spans="1:40" x14ac:dyDescent="0.25">
      <c r="A3940" t="str">
        <f>"20190304164448544"</f>
        <v>20190304164448544</v>
      </c>
      <c r="B3940" t="str">
        <f>"1551689088533995"</f>
        <v>1551689088533995</v>
      </c>
      <c r="C3940" t="s">
        <v>40</v>
      </c>
      <c r="D3940">
        <v>5.1370779999999998</v>
      </c>
      <c r="E3940">
        <v>0.55620269999999905</v>
      </c>
      <c r="F3940" t="s">
        <v>41</v>
      </c>
      <c r="G3940">
        <v>-212.65860000000001</v>
      </c>
      <c r="H3940">
        <v>0.99793220000000005</v>
      </c>
      <c r="I3940">
        <v>140.22030000000001</v>
      </c>
      <c r="J3940">
        <v>-212.0616</v>
      </c>
      <c r="K3940">
        <v>1.101885</v>
      </c>
      <c r="L3940">
        <v>140.18819999999999</v>
      </c>
      <c r="M3940">
        <v>-0.98429610000000001</v>
      </c>
      <c r="N3940">
        <v>-1.02887E-2</v>
      </c>
      <c r="O3940">
        <v>-0.17622560000000001</v>
      </c>
      <c r="P3940">
        <v>-0.91712090000000002</v>
      </c>
      <c r="Q3940">
        <v>0.3812373</v>
      </c>
      <c r="R3940">
        <v>-0.1163955</v>
      </c>
      <c r="S3940">
        <v>-3.4476779999999998</v>
      </c>
      <c r="T3940">
        <v>-0.42422840000000001</v>
      </c>
      <c r="U3940">
        <v>-1.344299E-2</v>
      </c>
      <c r="V3940">
        <v>5.5248480000000003E-2</v>
      </c>
      <c r="W3940">
        <v>0.3896423</v>
      </c>
      <c r="X3940">
        <v>0.9193076</v>
      </c>
      <c r="Y3940">
        <v>0.16990189999999999</v>
      </c>
      <c r="Z3940">
        <v>3.099232E-2</v>
      </c>
      <c r="AA3940">
        <v>0.98497349999999995</v>
      </c>
      <c r="AB3940">
        <v>27</v>
      </c>
      <c r="AC3940">
        <v>-0.59700000000000797</v>
      </c>
      <c r="AD3940">
        <v>-0.103952799999999</v>
      </c>
      <c r="AE3940">
        <v>3.2100000000013999E-2</v>
      </c>
      <c r="AF3940">
        <v>0.13279512960322901</v>
      </c>
      <c r="AG3940">
        <v>-0.103952799999999</v>
      </c>
      <c r="AH3940">
        <v>0.56491991712648504</v>
      </c>
      <c r="AI3940">
        <v>100.155724066866</v>
      </c>
      <c r="AJ3940">
        <v>76.771705278869803</v>
      </c>
      <c r="AK3940">
        <v>0.58955512366561003</v>
      </c>
      <c r="AL3940">
        <v>67.067755659744805</v>
      </c>
      <c r="AM3940">
        <v>86.560779057231599</v>
      </c>
      <c r="AN3940">
        <v>0.99999998995467998</v>
      </c>
    </row>
    <row r="3941" spans="1:40" x14ac:dyDescent="0.25">
      <c r="A3941" t="str">
        <f>"20190304164448567"</f>
        <v>20190304164448567</v>
      </c>
      <c r="B3941" t="str">
        <f>"1551689088564251"</f>
        <v>1551689088564251</v>
      </c>
      <c r="C3941" t="s">
        <v>40</v>
      </c>
      <c r="D3941">
        <v>5.2455720000000001</v>
      </c>
      <c r="E3941">
        <v>0.5553051</v>
      </c>
      <c r="F3941" t="s">
        <v>41</v>
      </c>
      <c r="G3941">
        <v>-212.899</v>
      </c>
      <c r="H3941">
        <v>0.99898290000000001</v>
      </c>
      <c r="I3941">
        <v>140.18879999999999</v>
      </c>
      <c r="J3941">
        <v>-212.33099999999999</v>
      </c>
      <c r="K3941">
        <v>1.101942</v>
      </c>
      <c r="L3941">
        <v>140.15280000000001</v>
      </c>
      <c r="M3941">
        <v>-0.98632600000000004</v>
      </c>
      <c r="N3941">
        <v>-1.0229149999999999E-2</v>
      </c>
      <c r="O3941">
        <v>-0.16448869999999999</v>
      </c>
      <c r="P3941">
        <v>-0.91778859999999995</v>
      </c>
      <c r="Q3941">
        <v>0.38134780000000001</v>
      </c>
      <c r="R3941">
        <v>-0.110627</v>
      </c>
      <c r="S3941">
        <v>-3.4472499999999999</v>
      </c>
      <c r="T3941">
        <v>-0.42317260000000001</v>
      </c>
      <c r="U3941">
        <v>1.876831E-3</v>
      </c>
      <c r="V3941">
        <v>4.9987379999999998E-2</v>
      </c>
      <c r="W3941">
        <v>0.38981739999999998</v>
      </c>
      <c r="X3941">
        <v>0.91953439999999997</v>
      </c>
      <c r="Y3941">
        <v>0.1626822</v>
      </c>
      <c r="Z3941">
        <v>2.9148210000000001E-2</v>
      </c>
      <c r="AA3941">
        <v>0.98624789999999996</v>
      </c>
      <c r="AB3941">
        <v>27</v>
      </c>
      <c r="AC3941">
        <v>-0.56800000000001205</v>
      </c>
      <c r="AD3941">
        <v>-0.102959099999999</v>
      </c>
      <c r="AE3941">
        <v>3.5999999999972901E-2</v>
      </c>
      <c r="AF3941">
        <v>0.124857964107129</v>
      </c>
      <c r="AG3941">
        <v>-0.102959099999999</v>
      </c>
      <c r="AH3941">
        <v>0.53677411628237703</v>
      </c>
      <c r="AI3941">
        <v>100.58219278253701</v>
      </c>
      <c r="AJ3941">
        <v>76.905395688786996</v>
      </c>
      <c r="AK3941">
        <v>0.56063940227610998</v>
      </c>
      <c r="AL3941">
        <v>67.056860282072506</v>
      </c>
      <c r="AM3941">
        <v>86.888371318615299</v>
      </c>
      <c r="AN3941">
        <v>0.99999992814268901</v>
      </c>
    </row>
    <row r="3942" spans="1:40" x14ac:dyDescent="0.25">
      <c r="A3942" t="str">
        <f>"20190304164448590"</f>
        <v>20190304164448590</v>
      </c>
      <c r="B3942" t="str">
        <f>"1551689088583772"</f>
        <v>1551689088583772</v>
      </c>
      <c r="C3942" t="s">
        <v>40</v>
      </c>
      <c r="D3942">
        <v>5.1239049999999997</v>
      </c>
      <c r="E3942">
        <v>0.55079820000000002</v>
      </c>
      <c r="F3942" t="s">
        <v>41</v>
      </c>
      <c r="G3942">
        <v>-213.14590000000001</v>
      </c>
      <c r="H3942">
        <v>1.0124839999999999</v>
      </c>
      <c r="I3942">
        <v>140.1574</v>
      </c>
      <c r="J3942">
        <v>-212.6129</v>
      </c>
      <c r="K3942">
        <v>1.102012</v>
      </c>
      <c r="L3942">
        <v>140.1189</v>
      </c>
      <c r="M3942">
        <v>-0.98826950000000002</v>
      </c>
      <c r="N3942">
        <v>-1.0169249999999999E-2</v>
      </c>
      <c r="O3942">
        <v>-0.15238080000000001</v>
      </c>
      <c r="P3942">
        <v>-0.91850920000000003</v>
      </c>
      <c r="Q3942">
        <v>0.3814205</v>
      </c>
      <c r="R3942">
        <v>-0.1042085</v>
      </c>
      <c r="S3942">
        <v>-3.4274900000000001</v>
      </c>
      <c r="T3942">
        <v>-0.3764749</v>
      </c>
      <c r="U3942">
        <v>1.9668580000000001E-2</v>
      </c>
      <c r="V3942">
        <v>4.5031769999999999E-2</v>
      </c>
      <c r="W3942">
        <v>0.38994790000000001</v>
      </c>
      <c r="X3942">
        <v>0.91973519999999997</v>
      </c>
      <c r="Y3942">
        <v>0.156281</v>
      </c>
      <c r="Z3942">
        <v>2.444443E-2</v>
      </c>
      <c r="AA3942">
        <v>0.98741009999999996</v>
      </c>
      <c r="AB3942">
        <v>27</v>
      </c>
      <c r="AC3942">
        <v>-0.53300000000001502</v>
      </c>
      <c r="AD3942">
        <v>-8.9527999999999996E-2</v>
      </c>
      <c r="AE3942">
        <v>3.8499999999999E-2</v>
      </c>
      <c r="AF3942">
        <v>0.11601720442513901</v>
      </c>
      <c r="AG3942">
        <v>-8.9527999999999996E-2</v>
      </c>
      <c r="AH3942">
        <v>0.506686527608466</v>
      </c>
      <c r="AI3942">
        <v>99.772499199451701</v>
      </c>
      <c r="AJ3942">
        <v>77.103169827911103</v>
      </c>
      <c r="AK3942">
        <v>0.52745283368899398</v>
      </c>
      <c r="AL3942">
        <v>67.0487431393733</v>
      </c>
      <c r="AM3942">
        <v>87.196941477758202</v>
      </c>
      <c r="AN3942">
        <v>1.0000000315713899</v>
      </c>
    </row>
    <row r="3943" spans="1:40" x14ac:dyDescent="0.25">
      <c r="A3943" t="str">
        <f>"20190304164448612"</f>
        <v>20190304164448612</v>
      </c>
      <c r="B3943" t="str">
        <f>"1551689088604267"</f>
        <v>1551689088604267</v>
      </c>
      <c r="C3943" t="s">
        <v>40</v>
      </c>
      <c r="D3943">
        <v>5.1489770000000004</v>
      </c>
      <c r="E3943">
        <v>0.550589</v>
      </c>
      <c r="F3943" t="s">
        <v>41</v>
      </c>
      <c r="G3943">
        <v>-213.38200000000001</v>
      </c>
      <c r="H3943">
        <v>1.005315</v>
      </c>
      <c r="I3943">
        <v>140.11969999999999</v>
      </c>
      <c r="J3943">
        <v>-212.88079999999999</v>
      </c>
      <c r="K3943">
        <v>1.1021049999999999</v>
      </c>
      <c r="L3943">
        <v>140.08969999999999</v>
      </c>
      <c r="M3943">
        <v>-0.98995010000000006</v>
      </c>
      <c r="N3943">
        <v>-1.0114069999999999E-2</v>
      </c>
      <c r="O3943">
        <v>-0.1410556</v>
      </c>
      <c r="P3943">
        <v>-0.91909490000000005</v>
      </c>
      <c r="Q3943">
        <v>0.38146580000000002</v>
      </c>
      <c r="R3943">
        <v>-9.8735110000000001E-2</v>
      </c>
      <c r="S3943">
        <v>-3.4464260000000002</v>
      </c>
      <c r="T3943">
        <v>-0.43307010000000001</v>
      </c>
      <c r="U3943">
        <v>3.5705569999999998E-3</v>
      </c>
      <c r="V3943">
        <v>3.986017E-2</v>
      </c>
      <c r="W3943">
        <v>0.39005899999999999</v>
      </c>
      <c r="X3943">
        <v>0.91992669999999999</v>
      </c>
      <c r="Y3943">
        <v>0.13996649999999999</v>
      </c>
      <c r="Z3943">
        <v>2.565632E-2</v>
      </c>
      <c r="AA3943">
        <v>0.98982380000000003</v>
      </c>
      <c r="AB3943">
        <v>27</v>
      </c>
      <c r="AC3943">
        <v>-0.50120000000001097</v>
      </c>
      <c r="AD3943">
        <v>-9.6789999999999904E-2</v>
      </c>
      <c r="AE3943">
        <v>3.0000000000001099E-2</v>
      </c>
      <c r="AF3943">
        <v>9.6803399447934799E-2</v>
      </c>
      <c r="AG3943">
        <v>-9.6789999999999904E-2</v>
      </c>
      <c r="AH3943">
        <v>0.47432993715704003</v>
      </c>
      <c r="AI3943">
        <v>101.306354363211</v>
      </c>
      <c r="AJ3943">
        <v>78.465220307800706</v>
      </c>
      <c r="AK3943">
        <v>0.49368825338271699</v>
      </c>
      <c r="AL3943">
        <v>67.041829275848102</v>
      </c>
      <c r="AM3943">
        <v>87.518941611505596</v>
      </c>
      <c r="AN3943">
        <v>0.99999999500315895</v>
      </c>
    </row>
    <row r="3944" spans="1:40" x14ac:dyDescent="0.25">
      <c r="A3944" t="str">
        <f>"20190304164448634"</f>
        <v>20190304164448634</v>
      </c>
      <c r="B3944" t="str">
        <f>"1551689088623787"</f>
        <v>1551689088623787</v>
      </c>
      <c r="C3944" t="s">
        <v>40</v>
      </c>
      <c r="D3944">
        <v>5.1327439999999998</v>
      </c>
      <c r="E3944">
        <v>0.55015080000000005</v>
      </c>
      <c r="F3944" t="s">
        <v>41</v>
      </c>
      <c r="G3944">
        <v>-213.6258</v>
      </c>
      <c r="H3944">
        <v>1.0086469999999901</v>
      </c>
      <c r="I3944">
        <v>140.0943</v>
      </c>
      <c r="J3944">
        <v>-213.14769999999999</v>
      </c>
      <c r="K3944">
        <v>1.1022179999999999</v>
      </c>
      <c r="L3944">
        <v>140.0635</v>
      </c>
      <c r="M3944">
        <v>-0.99146469999999998</v>
      </c>
      <c r="N3944">
        <v>-1.0060349999999999E-2</v>
      </c>
      <c r="O3944">
        <v>-0.12998599999999999</v>
      </c>
      <c r="P3944">
        <v>-0.91944780000000004</v>
      </c>
      <c r="Q3944">
        <v>0.38193319999999997</v>
      </c>
      <c r="R3944">
        <v>-9.3502749999999996E-2</v>
      </c>
      <c r="S3944">
        <v>-3.4456790000000002</v>
      </c>
      <c r="T3944">
        <v>-0.43201859999999997</v>
      </c>
      <c r="U3944">
        <v>2.1163939999999999E-2</v>
      </c>
      <c r="V3944">
        <v>3.46664E-2</v>
      </c>
      <c r="W3944">
        <v>0.3905903</v>
      </c>
      <c r="X3944">
        <v>0.9199117</v>
      </c>
      <c r="Y3944">
        <v>0.13408879999999901</v>
      </c>
      <c r="Z3944">
        <v>2.3945640000000001E-2</v>
      </c>
      <c r="AA3944">
        <v>0.99068000000000001</v>
      </c>
      <c r="AB3944">
        <v>27</v>
      </c>
      <c r="AC3944">
        <v>-0.47810000000001202</v>
      </c>
      <c r="AD3944">
        <v>-9.3571000000000001E-2</v>
      </c>
      <c r="AE3944">
        <v>3.07999999999992E-2</v>
      </c>
      <c r="AF3944">
        <v>8.9282373274888499E-2</v>
      </c>
      <c r="AG3944">
        <v>-9.3571000000000001E-2</v>
      </c>
      <c r="AH3944">
        <v>0.45276833594904198</v>
      </c>
      <c r="AI3944">
        <v>101.461886488372</v>
      </c>
      <c r="AJ3944">
        <v>78.844839643886303</v>
      </c>
      <c r="AK3944">
        <v>0.47087794624155099</v>
      </c>
      <c r="AL3944">
        <v>67.008766367361801</v>
      </c>
      <c r="AM3944">
        <v>87.841859193001397</v>
      </c>
      <c r="AN3944">
        <v>1.0000000387699599</v>
      </c>
    </row>
    <row r="3945" spans="1:40" x14ac:dyDescent="0.25">
      <c r="A3945" t="str">
        <f>"20190304164448657"</f>
        <v>20190304164448657</v>
      </c>
      <c r="B3945" t="str">
        <f>"1551689088654043"</f>
        <v>1551689088654043</v>
      </c>
      <c r="C3945" t="s">
        <v>40</v>
      </c>
      <c r="D3945">
        <v>5.1489479999999999</v>
      </c>
      <c r="E3945">
        <v>0.54946139999999999</v>
      </c>
      <c r="F3945" t="s">
        <v>41</v>
      </c>
      <c r="G3945">
        <v>-214.10310000000001</v>
      </c>
      <c r="H3945">
        <v>0.98307679999999997</v>
      </c>
      <c r="I3945">
        <v>140.0735</v>
      </c>
      <c r="J3945">
        <v>-213.43860000000001</v>
      </c>
      <c r="K3945">
        <v>1.102366</v>
      </c>
      <c r="L3945">
        <v>140.03829999999999</v>
      </c>
      <c r="M3945">
        <v>-0.99293929999999997</v>
      </c>
      <c r="N3945">
        <v>-1.0002799999999999E-2</v>
      </c>
      <c r="O3945">
        <v>-0.1182018</v>
      </c>
      <c r="P3945">
        <v>-0.92003210000000002</v>
      </c>
      <c r="Q3945">
        <v>0.38191979999999998</v>
      </c>
      <c r="R3945">
        <v>-8.7625309999999998E-2</v>
      </c>
      <c r="S3945">
        <v>-3.4449010000000002</v>
      </c>
      <c r="T3945">
        <v>-0.4294965</v>
      </c>
      <c r="U3945">
        <v>3.6041259999999999E-2</v>
      </c>
      <c r="V3945">
        <v>2.9458450000000001E-2</v>
      </c>
      <c r="W3945">
        <v>0.39063759999999997</v>
      </c>
      <c r="X3945">
        <v>0.92007309999999998</v>
      </c>
      <c r="Y3945">
        <v>0.1267577</v>
      </c>
      <c r="Z3945">
        <v>2.1983780000000001E-2</v>
      </c>
      <c r="AA3945">
        <v>0.99168999999999996</v>
      </c>
      <c r="AB3945">
        <v>27</v>
      </c>
      <c r="AC3945">
        <v>-0.66450000000000298</v>
      </c>
      <c r="AD3945">
        <v>-0.119289199999999</v>
      </c>
      <c r="AE3945">
        <v>3.5200000000003201E-2</v>
      </c>
      <c r="AF3945">
        <v>0.109968259353652</v>
      </c>
      <c r="AG3945">
        <v>-0.119289199999999</v>
      </c>
      <c r="AH3945">
        <v>0.63526516074793205</v>
      </c>
      <c r="AI3945">
        <v>100.482704405273</v>
      </c>
      <c r="AJ3945">
        <v>80.179077596768806</v>
      </c>
      <c r="AK3945">
        <v>0.65565597363404504</v>
      </c>
      <c r="AL3945">
        <v>67.0058219858755</v>
      </c>
      <c r="AM3945">
        <v>88.166158251887694</v>
      </c>
      <c r="AN3945">
        <v>1.0000000220768801</v>
      </c>
    </row>
    <row r="3946" spans="1:40" x14ac:dyDescent="0.25">
      <c r="A3946" t="str">
        <f>"20190304164448679"</f>
        <v>20190304164448679</v>
      </c>
      <c r="B3946" t="str">
        <f>"1551689088673563"</f>
        <v>1551689088673563</v>
      </c>
      <c r="C3946" t="s">
        <v>40</v>
      </c>
      <c r="D3946">
        <v>5.1457980000000001</v>
      </c>
      <c r="E3946">
        <v>0.54914869999999905</v>
      </c>
      <c r="F3946" t="s">
        <v>41</v>
      </c>
      <c r="G3946">
        <v>-214.34970000000001</v>
      </c>
      <c r="H3946">
        <v>0.98881759999999996</v>
      </c>
      <c r="I3946">
        <v>140.0523</v>
      </c>
      <c r="J3946">
        <v>-213.69470000000001</v>
      </c>
      <c r="K3946">
        <v>1.102492</v>
      </c>
      <c r="L3946">
        <v>140.01859999999999</v>
      </c>
      <c r="M3946">
        <v>-0.99409899999999995</v>
      </c>
      <c r="N3946">
        <v>-9.9554989999999996E-3</v>
      </c>
      <c r="O3946">
        <v>-0.1080185</v>
      </c>
      <c r="P3946">
        <v>-0.9203692</v>
      </c>
      <c r="Q3946">
        <v>0.38220470000000001</v>
      </c>
      <c r="R3946">
        <v>-8.270653E-2</v>
      </c>
      <c r="S3946">
        <v>-3.4436490000000002</v>
      </c>
      <c r="T3946">
        <v>-0.4285504</v>
      </c>
      <c r="U3946">
        <v>5.2322390000000003E-2</v>
      </c>
      <c r="V3946">
        <v>2.480359E-2</v>
      </c>
      <c r="W3946">
        <v>0.39097599999999999</v>
      </c>
      <c r="X3946">
        <v>0.92006659999999996</v>
      </c>
      <c r="Y3946">
        <v>0.1213997</v>
      </c>
      <c r="Z3946">
        <v>2.043153E-2</v>
      </c>
      <c r="AA3946">
        <v>0.99239339999999998</v>
      </c>
      <c r="AB3946">
        <v>27</v>
      </c>
      <c r="AC3946">
        <v>-0.65500000000000103</v>
      </c>
      <c r="AD3946">
        <v>-0.11367439999999999</v>
      </c>
      <c r="AE3946">
        <v>3.3700000000010201E-2</v>
      </c>
      <c r="AF3946">
        <v>0.10121787635179599</v>
      </c>
      <c r="AG3946">
        <v>-0.11367439999999999</v>
      </c>
      <c r="AH3946">
        <v>0.62864254259366403</v>
      </c>
      <c r="AI3946">
        <v>100.122143989406</v>
      </c>
      <c r="AJ3946">
        <v>80.853295222738595</v>
      </c>
      <c r="AK3946">
        <v>0.64680628790013694</v>
      </c>
      <c r="AL3946">
        <v>66.984757378922595</v>
      </c>
      <c r="AM3946">
        <v>88.455767334634004</v>
      </c>
      <c r="AN3946">
        <v>0.99999999954422403</v>
      </c>
    </row>
    <row r="3947" spans="1:40" x14ac:dyDescent="0.25">
      <c r="A3947" t="str">
        <f>"20190304164448701"</f>
        <v>20190304164448701</v>
      </c>
      <c r="B3947" t="str">
        <f>"1551689088694059"</f>
        <v>1551689088694059</v>
      </c>
      <c r="C3947" t="s">
        <v>40</v>
      </c>
      <c r="D3947">
        <v>5.0865080000000003</v>
      </c>
      <c r="E3947">
        <v>0.548745699999999</v>
      </c>
      <c r="F3947" t="s">
        <v>41</v>
      </c>
      <c r="G3947">
        <v>-214.59530000000001</v>
      </c>
      <c r="H3947">
        <v>0.99044120000000002</v>
      </c>
      <c r="I3947">
        <v>140.0359</v>
      </c>
      <c r="J3947">
        <v>-213.9778</v>
      </c>
      <c r="K3947">
        <v>1.1026229999999999</v>
      </c>
      <c r="L3947">
        <v>139.99969999999999</v>
      </c>
      <c r="M3947">
        <v>-0.9952356</v>
      </c>
      <c r="N3947">
        <v>-9.9069880000000003E-3</v>
      </c>
      <c r="O3947">
        <v>-9.6994399999999995E-2</v>
      </c>
      <c r="P3947">
        <v>-0.92095800000000005</v>
      </c>
      <c r="Q3947">
        <v>0.38202900000000001</v>
      </c>
      <c r="R3947">
        <v>-7.6748700000000003E-2</v>
      </c>
      <c r="S3947">
        <v>-3.4432830000000001</v>
      </c>
      <c r="T3947">
        <v>-0.42816890000000002</v>
      </c>
      <c r="U3947">
        <v>6.588745E-2</v>
      </c>
      <c r="V3947">
        <v>2.042064E-2</v>
      </c>
      <c r="W3947">
        <v>0.39084600000000003</v>
      </c>
      <c r="X3947">
        <v>0.92022950000000003</v>
      </c>
      <c r="Y3947">
        <v>0.11443970000000001</v>
      </c>
      <c r="Z3947">
        <v>1.8700540000000002E-2</v>
      </c>
      <c r="AA3947">
        <v>0.99325419999999998</v>
      </c>
      <c r="AB3947">
        <v>27</v>
      </c>
      <c r="AC3947">
        <v>-0.61750000000000604</v>
      </c>
      <c r="AD3947">
        <v>-0.112181799999999</v>
      </c>
      <c r="AE3947">
        <v>3.6200000000007997E-2</v>
      </c>
      <c r="AF3947">
        <v>9.2871613089616306E-2</v>
      </c>
      <c r="AG3947">
        <v>-0.112181799999999</v>
      </c>
      <c r="AH3947">
        <v>0.59161771681877395</v>
      </c>
      <c r="AI3947">
        <v>100.60995256654</v>
      </c>
      <c r="AJ3947">
        <v>81.0785669576141</v>
      </c>
      <c r="AK3947">
        <v>0.60927942327225004</v>
      </c>
      <c r="AL3947">
        <v>66.992848923558597</v>
      </c>
      <c r="AM3947">
        <v>88.728768755580504</v>
      </c>
      <c r="AN3947">
        <v>0.99999996546212899</v>
      </c>
    </row>
    <row r="3948" spans="1:40" x14ac:dyDescent="0.25">
      <c r="A3948" t="str">
        <f>"20190304164448723"</f>
        <v>20190304164448723</v>
      </c>
      <c r="B3948" t="str">
        <f>"1551689088714154"</f>
        <v>1551689088714154</v>
      </c>
      <c r="C3948" t="s">
        <v>40</v>
      </c>
      <c r="D3948">
        <v>5.0712419999999998</v>
      </c>
      <c r="E3948">
        <v>0.54516869999999995</v>
      </c>
      <c r="F3948" t="s">
        <v>41</v>
      </c>
      <c r="G3948">
        <v>-214.8426</v>
      </c>
      <c r="H3948">
        <v>0.99463630000000003</v>
      </c>
      <c r="I3948">
        <v>140.0204</v>
      </c>
      <c r="J3948">
        <v>-214.2525</v>
      </c>
      <c r="K3948">
        <v>1.1027629999999999</v>
      </c>
      <c r="L3948">
        <v>139.98410000000001</v>
      </c>
      <c r="M3948">
        <v>-0.99619820000000003</v>
      </c>
      <c r="N3948">
        <v>-9.8626129999999992E-3</v>
      </c>
      <c r="O3948">
        <v>-8.6555610000000005E-2</v>
      </c>
      <c r="P3948">
        <v>-0.9213557</v>
      </c>
      <c r="Q3948">
        <v>0.38200410000000001</v>
      </c>
      <c r="R3948">
        <v>-7.1948070000000003E-2</v>
      </c>
      <c r="S3948">
        <v>-3.442383</v>
      </c>
      <c r="T3948">
        <v>-0.4293575</v>
      </c>
      <c r="U3948">
        <v>8.1603999999999996E-2</v>
      </c>
      <c r="V3948">
        <v>1.541784E-2</v>
      </c>
      <c r="W3948">
        <v>0.39087949999999999</v>
      </c>
      <c r="X3948">
        <v>0.92031280000000004</v>
      </c>
      <c r="Y3948">
        <v>0.1086691</v>
      </c>
      <c r="Z3948">
        <v>1.7182220000000002E-2</v>
      </c>
      <c r="AA3948">
        <v>0.99392939999999996</v>
      </c>
      <c r="AB3948">
        <v>27</v>
      </c>
      <c r="AC3948">
        <v>-0.59010000000000595</v>
      </c>
      <c r="AD3948">
        <v>-0.10812669999999899</v>
      </c>
      <c r="AE3948">
        <v>3.6299999999982901E-2</v>
      </c>
      <c r="AF3948">
        <v>8.4419028398739701E-2</v>
      </c>
      <c r="AG3948">
        <v>-0.10812669999999899</v>
      </c>
      <c r="AH3948">
        <v>0.56581738651091096</v>
      </c>
      <c r="AI3948">
        <v>100.702997913178</v>
      </c>
      <c r="AJ3948">
        <v>81.514159330143798</v>
      </c>
      <c r="AK3948">
        <v>0.58220895775203896</v>
      </c>
      <c r="AL3948">
        <v>66.990766209355101</v>
      </c>
      <c r="AM3948">
        <v>89.040223570641899</v>
      </c>
      <c r="AN3948">
        <v>1.00000007157717</v>
      </c>
    </row>
    <row r="3949" spans="1:40" x14ac:dyDescent="0.25">
      <c r="A3949" t="str">
        <f>"20190304164448746"</f>
        <v>20190304164448746</v>
      </c>
      <c r="B3949" t="str">
        <f>"1551689088733674"</f>
        <v>1551689088733674</v>
      </c>
      <c r="C3949" t="s">
        <v>40</v>
      </c>
      <c r="D3949">
        <v>5.0656160000000003</v>
      </c>
      <c r="E3949">
        <v>0.54492940000000001</v>
      </c>
      <c r="F3949" t="s">
        <v>41</v>
      </c>
      <c r="G3949">
        <v>-215.09010000000001</v>
      </c>
      <c r="H3949">
        <v>0.99876900000000002</v>
      </c>
      <c r="I3949">
        <v>140.00110000000001</v>
      </c>
      <c r="J3949">
        <v>-214.51669999999999</v>
      </c>
      <c r="K3949">
        <v>1.1029089999999999</v>
      </c>
      <c r="L3949">
        <v>139.97149999999999</v>
      </c>
      <c r="M3949">
        <v>-0.99699930000000003</v>
      </c>
      <c r="N3949">
        <v>-9.8253939999999994E-3</v>
      </c>
      <c r="O3949">
        <v>-7.6784099999999994E-2</v>
      </c>
      <c r="P3949">
        <v>-0.92156749999999998</v>
      </c>
      <c r="Q3949">
        <v>0.38235619999999998</v>
      </c>
      <c r="R3949">
        <v>-6.72093E-2</v>
      </c>
      <c r="S3949">
        <v>-3.438507</v>
      </c>
      <c r="T3949">
        <v>-0.42689250000000001</v>
      </c>
      <c r="U3949">
        <v>6.9900509999999999E-2</v>
      </c>
      <c r="V3949">
        <v>1.095879E-2</v>
      </c>
      <c r="W3949">
        <v>0.3912815</v>
      </c>
      <c r="X3949">
        <v>0.92020579999999996</v>
      </c>
      <c r="Y3949">
        <v>9.5743900000000007E-2</v>
      </c>
      <c r="Z3949">
        <v>1.51304E-2</v>
      </c>
      <c r="AA3949">
        <v>0.99529100000000004</v>
      </c>
      <c r="AB3949">
        <v>27</v>
      </c>
      <c r="AC3949">
        <v>-0.57340000000002</v>
      </c>
      <c r="AD3949">
        <v>-0.104139999999999</v>
      </c>
      <c r="AE3949">
        <v>2.96000000000162E-2</v>
      </c>
      <c r="AF3949">
        <v>7.1200412845282807E-2</v>
      </c>
      <c r="AG3949">
        <v>-0.104139999999999</v>
      </c>
      <c r="AH3949">
        <v>0.551297730111309</v>
      </c>
      <c r="AI3949">
        <v>100.61100775580201</v>
      </c>
      <c r="AJ3949">
        <v>82.640953310430106</v>
      </c>
      <c r="AK3949">
        <v>0.56554736814454398</v>
      </c>
      <c r="AL3949">
        <v>66.965738663886199</v>
      </c>
      <c r="AM3949">
        <v>89.317693135261493</v>
      </c>
      <c r="AN3949">
        <v>1.0000000108370699</v>
      </c>
    </row>
    <row r="3950" spans="1:40" x14ac:dyDescent="0.25">
      <c r="A3950" t="str">
        <f>"20190304164448768"</f>
        <v>20190304164448768</v>
      </c>
      <c r="B3950" t="str">
        <f>"1551689088763931"</f>
        <v>1551689088763931</v>
      </c>
      <c r="C3950" t="s">
        <v>40</v>
      </c>
      <c r="D3950">
        <v>5.0687689999999996</v>
      </c>
      <c r="E3950">
        <v>0.54453649999999998</v>
      </c>
      <c r="F3950" t="s">
        <v>41</v>
      </c>
      <c r="G3950">
        <v>-215.3381</v>
      </c>
      <c r="H3950">
        <v>1.001436</v>
      </c>
      <c r="I3950">
        <v>139.99160000000001</v>
      </c>
      <c r="J3950">
        <v>-214.8</v>
      </c>
      <c r="K3950">
        <v>1.1031029999999999</v>
      </c>
      <c r="L3950">
        <v>139.9605</v>
      </c>
      <c r="M3950">
        <v>-0.99773009999999995</v>
      </c>
      <c r="N3950">
        <v>-9.7889169999999994E-3</v>
      </c>
      <c r="O3950">
        <v>-6.6625050000000005E-2</v>
      </c>
      <c r="P3950">
        <v>-0.92194419999999999</v>
      </c>
      <c r="Q3950">
        <v>0.38235039999999998</v>
      </c>
      <c r="R3950">
        <v>-6.1864250000000003E-2</v>
      </c>
      <c r="S3950">
        <v>-3.4375</v>
      </c>
      <c r="T3950">
        <v>-0.42442540000000001</v>
      </c>
      <c r="U3950">
        <v>8.3648680000000003E-2</v>
      </c>
      <c r="V3950">
        <v>6.7204109999999999E-3</v>
      </c>
      <c r="W3950">
        <v>0.39131959999999999</v>
      </c>
      <c r="X3950">
        <v>0.92023029999999995</v>
      </c>
      <c r="Y3950">
        <v>8.9717660000000005E-2</v>
      </c>
      <c r="Z3950">
        <v>1.349876E-2</v>
      </c>
      <c r="AA3950">
        <v>0.99587579999999998</v>
      </c>
      <c r="AB3950">
        <v>27</v>
      </c>
      <c r="AC3950">
        <v>-0.53809999999998503</v>
      </c>
      <c r="AD3950">
        <v>-0.10166699999999999</v>
      </c>
      <c r="AE3950">
        <v>3.11000000000092E-2</v>
      </c>
      <c r="AF3950">
        <v>6.4585695476450697E-2</v>
      </c>
      <c r="AG3950">
        <v>-0.10166699999999999</v>
      </c>
      <c r="AH3950">
        <v>0.51645743266458299</v>
      </c>
      <c r="AI3950">
        <v>101.05259371431001</v>
      </c>
      <c r="AJ3950">
        <v>82.871868734929393</v>
      </c>
      <c r="AK3950">
        <v>0.53031667021098805</v>
      </c>
      <c r="AL3950">
        <v>66.963366264604005</v>
      </c>
      <c r="AM3950">
        <v>89.5815782834364</v>
      </c>
      <c r="AN3950">
        <v>0.99999999915312898</v>
      </c>
    </row>
    <row r="3951" spans="1:40" x14ac:dyDescent="0.25">
      <c r="A3951" t="str">
        <f>"20190304164448791"</f>
        <v>20190304164448791</v>
      </c>
      <c r="B3951" t="str">
        <f>"1551689088784426"</f>
        <v>1551689088784426</v>
      </c>
      <c r="C3951" t="s">
        <v>40</v>
      </c>
      <c r="D3951">
        <v>5.0335779999999897</v>
      </c>
      <c r="E3951">
        <v>0.54408339999999999</v>
      </c>
      <c r="F3951" t="s">
        <v>41</v>
      </c>
      <c r="G3951">
        <v>-215.58760000000001</v>
      </c>
      <c r="H3951">
        <v>1.006289</v>
      </c>
      <c r="I3951">
        <v>139.98320000000001</v>
      </c>
      <c r="J3951">
        <v>-215.0796</v>
      </c>
      <c r="K3951">
        <v>1.103332</v>
      </c>
      <c r="L3951">
        <v>139.9522</v>
      </c>
      <c r="M3951">
        <v>-0.99832989999999999</v>
      </c>
      <c r="N3951">
        <v>-9.7558360000000004E-3</v>
      </c>
      <c r="O3951">
        <v>-5.6940459999999998E-2</v>
      </c>
      <c r="P3951">
        <v>-0.92234519999999998</v>
      </c>
      <c r="Q3951">
        <v>0.38203939999999997</v>
      </c>
      <c r="R3951">
        <v>-5.766524E-2</v>
      </c>
      <c r="S3951">
        <v>-3.4357760000000002</v>
      </c>
      <c r="T3951">
        <v>-0.4223268</v>
      </c>
      <c r="U3951">
        <v>9.8785399999999995E-2</v>
      </c>
      <c r="V3951">
        <v>1.7510449999999999E-3</v>
      </c>
      <c r="W3951">
        <v>0.39106550000000001</v>
      </c>
      <c r="X3951">
        <v>0.92036119999999999</v>
      </c>
      <c r="Y3951">
        <v>8.4563340000000001E-2</v>
      </c>
      <c r="Z3951">
        <v>1.2007449999999999E-2</v>
      </c>
      <c r="AA3951">
        <v>0.99634579999999995</v>
      </c>
      <c r="AB3951">
        <v>27</v>
      </c>
      <c r="AC3951">
        <v>-0.508000000000009</v>
      </c>
      <c r="AD3951">
        <v>-9.7043000000000004E-2</v>
      </c>
      <c r="AE3951">
        <v>3.1000000000005901E-2</v>
      </c>
      <c r="AF3951">
        <v>5.7776265216673499E-2</v>
      </c>
      <c r="AG3951">
        <v>-9.7043000000000004E-2</v>
      </c>
      <c r="AH3951">
        <v>0.48767996413710202</v>
      </c>
      <c r="AI3951">
        <v>101.17804634815499</v>
      </c>
      <c r="AJ3951">
        <v>83.243565297629999</v>
      </c>
      <c r="AK3951">
        <v>0.50058684370661699</v>
      </c>
      <c r="AL3951">
        <v>66.979186183829199</v>
      </c>
      <c r="AM3951">
        <v>89.890991311688893</v>
      </c>
      <c r="AN3951">
        <v>1.00000001495714</v>
      </c>
    </row>
    <row r="3952" spans="1:40" x14ac:dyDescent="0.25">
      <c r="A3952" t="str">
        <f>"20190304164448814"</f>
        <v>20190304164448814</v>
      </c>
      <c r="B3952" t="str">
        <f>"1551689088803946"</f>
        <v>1551689088803946</v>
      </c>
      <c r="C3952" t="s">
        <v>40</v>
      </c>
      <c r="D3952">
        <v>5.0830229999999998</v>
      </c>
      <c r="E3952">
        <v>0.54376190000000002</v>
      </c>
      <c r="F3952" t="s">
        <v>41</v>
      </c>
      <c r="G3952">
        <v>-215.83699999999999</v>
      </c>
      <c r="H3952">
        <v>1.009844</v>
      </c>
      <c r="I3952">
        <v>139.97669999999999</v>
      </c>
      <c r="J3952">
        <v>-215.36369999999999</v>
      </c>
      <c r="K3952">
        <v>1.103593</v>
      </c>
      <c r="L3952">
        <v>139.946</v>
      </c>
      <c r="M3952">
        <v>-0.9988245</v>
      </c>
      <c r="N3952">
        <v>-9.7245130000000006E-3</v>
      </c>
      <c r="O3952">
        <v>-4.7488740000000002E-2</v>
      </c>
      <c r="P3952">
        <v>-0.9228944</v>
      </c>
      <c r="Q3952">
        <v>0.38128000000000001</v>
      </c>
      <c r="R3952">
        <v>-5.3774570000000001E-2</v>
      </c>
      <c r="S3952">
        <v>-3.434952</v>
      </c>
      <c r="T3952">
        <v>-0.42358570000000001</v>
      </c>
      <c r="U3952">
        <v>0.1108246</v>
      </c>
      <c r="V3952">
        <v>-3.3393469999999999E-3</v>
      </c>
      <c r="W3952">
        <v>0.3903624</v>
      </c>
      <c r="X3952">
        <v>0.92065529999999995</v>
      </c>
      <c r="Y3952">
        <v>7.8728779999999998E-2</v>
      </c>
      <c r="Z3952">
        <v>1.0591049999999999E-2</v>
      </c>
      <c r="AA3952">
        <v>0.99683980000000005</v>
      </c>
      <c r="AB3952">
        <v>27</v>
      </c>
      <c r="AC3952">
        <v>-0.47330000000002298</v>
      </c>
      <c r="AD3952">
        <v>-9.3748999999999999E-2</v>
      </c>
      <c r="AE3952">
        <v>3.0699999999995901E-2</v>
      </c>
      <c r="AF3952">
        <v>5.1144650638247399E-2</v>
      </c>
      <c r="AG3952">
        <v>-9.3748999999999999E-2</v>
      </c>
      <c r="AH3952">
        <v>0.45358662288291501</v>
      </c>
      <c r="AI3952">
        <v>101.60614542526299</v>
      </c>
      <c r="AJ3952">
        <v>83.5667246171313</v>
      </c>
      <c r="AK3952">
        <v>0.46598870667456699</v>
      </c>
      <c r="AL3952">
        <v>67.022950787749906</v>
      </c>
      <c r="AM3952">
        <v>90.2078189854318</v>
      </c>
      <c r="AN3952">
        <v>1.00000006799511</v>
      </c>
    </row>
    <row r="3953" spans="1:40" x14ac:dyDescent="0.25">
      <c r="A3953" t="str">
        <f>"20190304164448835"</f>
        <v>20190304164448835</v>
      </c>
      <c r="B3953" t="str">
        <f>"1551689088823786"</f>
        <v>1551689088823786</v>
      </c>
      <c r="C3953" t="s">
        <v>40</v>
      </c>
      <c r="D3953">
        <v>5.0305210000000002</v>
      </c>
      <c r="E3953">
        <v>0.54345569999999999</v>
      </c>
      <c r="F3953" t="s">
        <v>41</v>
      </c>
      <c r="G3953">
        <v>-216.08690000000001</v>
      </c>
      <c r="H3953">
        <v>1.0136670000000001</v>
      </c>
      <c r="I3953">
        <v>139.97210000000001</v>
      </c>
      <c r="J3953">
        <v>-215.62899999999999</v>
      </c>
      <c r="K3953">
        <v>1.103858</v>
      </c>
      <c r="L3953">
        <v>139.94239999999999</v>
      </c>
      <c r="M3953">
        <v>-0.99918910000000005</v>
      </c>
      <c r="N3953">
        <v>-9.6935110000000001E-3</v>
      </c>
      <c r="O3953">
        <v>-3.9082499999999999E-2</v>
      </c>
      <c r="P3953">
        <v>-0.92340370000000005</v>
      </c>
      <c r="Q3953">
        <v>0.38064989999999999</v>
      </c>
      <c r="R3953">
        <v>-4.9310229999999997E-2</v>
      </c>
      <c r="S3953">
        <v>-3.4341279999999998</v>
      </c>
      <c r="T3953">
        <v>-0.42675109999999999</v>
      </c>
      <c r="U3953">
        <v>0.12335210000000001</v>
      </c>
      <c r="V3953">
        <v>-6.8993519999999897E-3</v>
      </c>
      <c r="W3953">
        <v>0.38975690000000002</v>
      </c>
      <c r="X3953">
        <v>0.92089189999999999</v>
      </c>
      <c r="Y3953">
        <v>7.4058979999999996E-2</v>
      </c>
      <c r="Z3953">
        <v>9.4020890000000006E-3</v>
      </c>
      <c r="AA3953">
        <v>0.99720949999999997</v>
      </c>
      <c r="AB3953">
        <v>27</v>
      </c>
      <c r="AC3953">
        <v>-0.45789999999999498</v>
      </c>
      <c r="AD3953">
        <v>-9.0190999999999896E-2</v>
      </c>
      <c r="AE3953">
        <v>2.97000000000196E-2</v>
      </c>
      <c r="AF3953">
        <v>4.5804444787150497E-2</v>
      </c>
      <c r="AG3953">
        <v>-9.0190999999999896E-2</v>
      </c>
      <c r="AH3953">
        <v>0.43941333132565602</v>
      </c>
      <c r="AI3953">
        <v>101.538220818441</v>
      </c>
      <c r="AJ3953">
        <v>84.048980501071497</v>
      </c>
      <c r="AK3953">
        <v>0.45090635323753198</v>
      </c>
      <c r="AL3953">
        <v>67.060625337926396</v>
      </c>
      <c r="AM3953">
        <v>90.4292538082032</v>
      </c>
      <c r="AN3953">
        <v>0.99999996682061898</v>
      </c>
    </row>
    <row r="3954" spans="1:40" x14ac:dyDescent="0.25">
      <c r="A3954" t="str">
        <f>"20190304164448859"</f>
        <v>20190304164448859</v>
      </c>
      <c r="B3954" t="str">
        <f>"1551689088854041"</f>
        <v>1551689088854041</v>
      </c>
      <c r="C3954" t="s">
        <v>40</v>
      </c>
      <c r="D3954">
        <v>4.9955939999999996</v>
      </c>
      <c r="E3954">
        <v>0.5430642</v>
      </c>
      <c r="F3954" t="s">
        <v>41</v>
      </c>
      <c r="G3954">
        <v>-216.5711</v>
      </c>
      <c r="H3954">
        <v>0.98615370000000002</v>
      </c>
      <c r="I3954">
        <v>139.97919999999999</v>
      </c>
      <c r="J3954">
        <v>-215.92060000000001</v>
      </c>
      <c r="K3954">
        <v>1.1041620000000001</v>
      </c>
      <c r="L3954">
        <v>139.94049999999999</v>
      </c>
      <c r="M3954">
        <v>-0.99949350000000003</v>
      </c>
      <c r="N3954">
        <v>-9.6638220000000007E-3</v>
      </c>
      <c r="O3954">
        <v>-3.032263E-2</v>
      </c>
      <c r="P3954">
        <v>-0.92393800000000004</v>
      </c>
      <c r="Q3954">
        <v>0.3796834</v>
      </c>
      <c r="R3954">
        <v>-4.6679709999999999E-2</v>
      </c>
      <c r="S3954">
        <v>-3.4326479999999999</v>
      </c>
      <c r="T3954">
        <v>-0.4285313</v>
      </c>
      <c r="U3954">
        <v>0.13374330000000001</v>
      </c>
      <c r="V3954">
        <v>-1.266611E-2</v>
      </c>
      <c r="W3954">
        <v>0.38884459999999998</v>
      </c>
      <c r="X3954">
        <v>0.92121620000000004</v>
      </c>
      <c r="Y3954">
        <v>6.8443619999999997E-2</v>
      </c>
      <c r="Z3954">
        <v>8.0640260000000002E-3</v>
      </c>
      <c r="AA3954">
        <v>0.99762240000000002</v>
      </c>
      <c r="AB3954">
        <v>27</v>
      </c>
      <c r="AC3954">
        <v>-0.65049999999999297</v>
      </c>
      <c r="AD3954">
        <v>-0.1180083</v>
      </c>
      <c r="AE3954">
        <v>3.8700000000005702E-2</v>
      </c>
      <c r="AF3954">
        <v>5.6553374911506298E-2</v>
      </c>
      <c r="AG3954">
        <v>-0.1180083</v>
      </c>
      <c r="AH3954">
        <v>0.62841885935113695</v>
      </c>
      <c r="AI3954">
        <v>100.593651238858</v>
      </c>
      <c r="AJ3954">
        <v>84.857626371263393</v>
      </c>
      <c r="AK3954">
        <v>0.64189913995187398</v>
      </c>
      <c r="AL3954">
        <v>67.117371944788104</v>
      </c>
      <c r="AM3954">
        <v>90.787729221780694</v>
      </c>
      <c r="AN3954">
        <v>0.99999992021706197</v>
      </c>
    </row>
    <row r="3955" spans="1:40" x14ac:dyDescent="0.25">
      <c r="A3955" t="str">
        <f>"20190304164448892"</f>
        <v>20190304164448892</v>
      </c>
      <c r="B3955" t="str">
        <f>"1551689088884299"</f>
        <v>1551689088884299</v>
      </c>
      <c r="C3955" t="s">
        <v>40</v>
      </c>
      <c r="D3955">
        <v>4.9958660000000004</v>
      </c>
      <c r="E3955">
        <v>0.53857440000000001</v>
      </c>
      <c r="F3955" t="s">
        <v>41</v>
      </c>
      <c r="G3955">
        <v>-216.82230000000001</v>
      </c>
      <c r="H3955">
        <v>0.99055899999999997</v>
      </c>
      <c r="I3955">
        <v>139.97649999999999</v>
      </c>
      <c r="J3955">
        <v>-216.33779999999999</v>
      </c>
      <c r="K3955">
        <v>1.1045510000000001</v>
      </c>
      <c r="L3955">
        <v>139.94130000000001</v>
      </c>
      <c r="M3955">
        <v>-0.99978299999999998</v>
      </c>
      <c r="N3955">
        <v>-9.6279580000000007E-3</v>
      </c>
      <c r="O3955">
        <v>-1.8472829999999999E-2</v>
      </c>
      <c r="P3955">
        <v>-0.92524340000000005</v>
      </c>
      <c r="Q3955">
        <v>0.37693070000000001</v>
      </c>
      <c r="R3955">
        <v>-4.2986650000000001E-2</v>
      </c>
      <c r="S3955">
        <v>-3.4312900000000002</v>
      </c>
      <c r="T3955">
        <v>-0.43179079999999898</v>
      </c>
      <c r="U3955">
        <v>0.13621520000000001</v>
      </c>
      <c r="V3955">
        <v>-2.0328039999999999E-2</v>
      </c>
      <c r="W3955">
        <v>0.38616060000000002</v>
      </c>
      <c r="X3955">
        <v>0.92220760000000002</v>
      </c>
      <c r="Y3955">
        <v>5.7507160000000002E-2</v>
      </c>
      <c r="Z3955">
        <v>6.0183869999999896E-3</v>
      </c>
      <c r="AA3955">
        <v>0.99832699999999996</v>
      </c>
      <c r="AB3955">
        <v>28</v>
      </c>
      <c r="AC3955">
        <v>-0.48450000000002502</v>
      </c>
      <c r="AD3955">
        <v>-0.113992</v>
      </c>
      <c r="AE3955">
        <v>3.51999999999748E-2</v>
      </c>
      <c r="AF3955">
        <v>4.1840548419462498E-2</v>
      </c>
      <c r="AG3955">
        <v>-0.113992</v>
      </c>
      <c r="AH3955">
        <v>0.45851875529039199</v>
      </c>
      <c r="AI3955">
        <v>103.905701942205</v>
      </c>
      <c r="AJ3955">
        <v>84.786110904466099</v>
      </c>
      <c r="AK3955">
        <v>0.47432505363842198</v>
      </c>
      <c r="AL3955">
        <v>67.284190502459396</v>
      </c>
      <c r="AM3955">
        <v>91.262755060980297</v>
      </c>
      <c r="AN3955">
        <v>1.00000004785017</v>
      </c>
    </row>
    <row r="3956" spans="1:40" x14ac:dyDescent="0.25">
      <c r="A3956" t="str">
        <f>"20190304164448914"</f>
        <v>20190304164448914</v>
      </c>
      <c r="B3956" t="str">
        <f>"1551689088903818"</f>
        <v>1551689088903818</v>
      </c>
      <c r="C3956" t="s">
        <v>40</v>
      </c>
      <c r="D3956">
        <v>4.9844970000000002</v>
      </c>
      <c r="E3956">
        <v>0.53847460000000003</v>
      </c>
      <c r="F3956" t="s">
        <v>41</v>
      </c>
      <c r="G3956">
        <v>-217.0822</v>
      </c>
      <c r="H3956">
        <v>1.0120260000000001</v>
      </c>
      <c r="I3956">
        <v>139.96700000000001</v>
      </c>
      <c r="J3956">
        <v>-216.62190000000001</v>
      </c>
      <c r="K3956">
        <v>1.1048039999999999</v>
      </c>
      <c r="L3956">
        <v>139.9442</v>
      </c>
      <c r="M3956">
        <v>-0.99989430000000001</v>
      </c>
      <c r="N3956">
        <v>-9.6033330000000004E-3</v>
      </c>
      <c r="O3956">
        <v>-1.092072E-2</v>
      </c>
      <c r="P3956">
        <v>-0.92605440000000006</v>
      </c>
      <c r="Q3956">
        <v>0.37535259999999998</v>
      </c>
      <c r="R3956">
        <v>-3.9163860000000002E-2</v>
      </c>
      <c r="S3956">
        <v>-3.4211429999999998</v>
      </c>
      <c r="T3956">
        <v>-0.42532209999999998</v>
      </c>
      <c r="U3956">
        <v>0.11816409999999999</v>
      </c>
      <c r="V3956">
        <v>-2.375536E-2</v>
      </c>
      <c r="W3956">
        <v>0.38459539999999998</v>
      </c>
      <c r="X3956">
        <v>0.92277949999999997</v>
      </c>
      <c r="Y3956">
        <v>4.4987020000000003E-2</v>
      </c>
      <c r="Z3956">
        <v>4.2495079999999999E-3</v>
      </c>
      <c r="AA3956">
        <v>0.99897860000000005</v>
      </c>
      <c r="AB3956">
        <v>28</v>
      </c>
      <c r="AC3956">
        <v>-0.460299999999989</v>
      </c>
      <c r="AD3956">
        <v>-9.2777999999999999E-2</v>
      </c>
      <c r="AE3956">
        <v>2.28000000000179E-2</v>
      </c>
      <c r="AF3956">
        <v>2.6741911370247201E-2</v>
      </c>
      <c r="AG3956">
        <v>-9.2777999999999999E-2</v>
      </c>
      <c r="AH3956">
        <v>0.44210632761583102</v>
      </c>
      <c r="AI3956">
        <v>101.83078208186301</v>
      </c>
      <c r="AJ3956">
        <v>86.5385383218035</v>
      </c>
      <c r="AK3956">
        <v>0.45252722793848599</v>
      </c>
      <c r="AL3956">
        <v>67.381374836953995</v>
      </c>
      <c r="AM3956">
        <v>91.474654907415399</v>
      </c>
      <c r="AN3956">
        <v>0.99999997222506898</v>
      </c>
    </row>
    <row r="3957" spans="1:40" x14ac:dyDescent="0.25">
      <c r="A3957" t="str">
        <f>"20190304164448935"</f>
        <v>20190304164448935</v>
      </c>
      <c r="B3957" t="str">
        <f>"1551689088924314"</f>
        <v>1551689088924314</v>
      </c>
      <c r="C3957" t="s">
        <v>40</v>
      </c>
      <c r="D3957">
        <v>5.0541559999999999</v>
      </c>
      <c r="E3957">
        <v>0.53786499999999904</v>
      </c>
      <c r="F3957" t="s">
        <v>41</v>
      </c>
      <c r="G3957">
        <v>-217.5694</v>
      </c>
      <c r="H3957">
        <v>0.98522580000000004</v>
      </c>
      <c r="I3957">
        <v>139.97999999999999</v>
      </c>
      <c r="J3957">
        <v>-216.87739999999999</v>
      </c>
      <c r="K3957">
        <v>1.1050739999999999</v>
      </c>
      <c r="L3957">
        <v>139.94820000000001</v>
      </c>
      <c r="M3957">
        <v>-0.99994369999999999</v>
      </c>
      <c r="N3957">
        <v>-9.5765710000000007E-3</v>
      </c>
      <c r="O3957">
        <v>-4.5813260000000001E-3</v>
      </c>
      <c r="P3957">
        <v>-0.92644110000000002</v>
      </c>
      <c r="Q3957">
        <v>0.37479630000000003</v>
      </c>
      <c r="R3957">
        <v>-3.51413E-2</v>
      </c>
      <c r="S3957">
        <v>-3.4199069999999998</v>
      </c>
      <c r="T3957">
        <v>-0.43146509999999999</v>
      </c>
      <c r="U3957">
        <v>0.12883</v>
      </c>
      <c r="V3957">
        <v>-2.5864350000000001E-2</v>
      </c>
      <c r="W3957">
        <v>0.38402449999999999</v>
      </c>
      <c r="X3957">
        <v>0.92296060000000002</v>
      </c>
      <c r="Y3957">
        <v>4.1834290000000003E-2</v>
      </c>
      <c r="Z3957">
        <v>3.3606899999999999E-3</v>
      </c>
      <c r="AA3957">
        <v>0.99911890000000003</v>
      </c>
      <c r="AB3957">
        <v>28</v>
      </c>
      <c r="AC3957">
        <v>-0.69200000000000705</v>
      </c>
      <c r="AD3957">
        <v>-0.119848199999999</v>
      </c>
      <c r="AE3957">
        <v>3.1799999999975598E-2</v>
      </c>
      <c r="AF3957">
        <v>3.3953786768988803E-2</v>
      </c>
      <c r="AG3957">
        <v>-0.119848199999999</v>
      </c>
      <c r="AH3957">
        <v>0.67174055462807203</v>
      </c>
      <c r="AI3957">
        <v>100.103321343868</v>
      </c>
      <c r="AJ3957">
        <v>87.106391106643798</v>
      </c>
      <c r="AK3957">
        <v>0.68319237657575205</v>
      </c>
      <c r="AL3957">
        <v>67.416807225445595</v>
      </c>
      <c r="AM3957">
        <v>91.6051935041218</v>
      </c>
      <c r="AN3957">
        <v>1.00000002517676</v>
      </c>
    </row>
    <row r="3958" spans="1:40" x14ac:dyDescent="0.25">
      <c r="A3958" t="str">
        <f>"20190304164448958"</f>
        <v>20190304164448958</v>
      </c>
      <c r="B3958" t="str">
        <f>"1551689088953594"</f>
        <v>1551689088953594</v>
      </c>
      <c r="C3958" t="s">
        <v>40</v>
      </c>
      <c r="D3958">
        <v>4.9930260000000004</v>
      </c>
      <c r="E3958">
        <v>0.52792109999999903</v>
      </c>
      <c r="F3958" t="s">
        <v>41</v>
      </c>
      <c r="G3958">
        <v>-217.8203</v>
      </c>
      <c r="H3958">
        <v>0.9858884</v>
      </c>
      <c r="I3958">
        <v>139.9855</v>
      </c>
      <c r="J3958">
        <v>-217.1678</v>
      </c>
      <c r="K3958">
        <v>1.1053759999999999</v>
      </c>
      <c r="L3958">
        <v>139.95439999999999</v>
      </c>
      <c r="M3958">
        <v>-0.99995210000000001</v>
      </c>
      <c r="N3958">
        <v>-9.5440209999999998E-3</v>
      </c>
      <c r="O3958">
        <v>2.1875359999999999E-3</v>
      </c>
      <c r="P3958">
        <v>-0.92699500000000001</v>
      </c>
      <c r="Q3958">
        <v>0.37363610000000003</v>
      </c>
      <c r="R3958">
        <v>-3.2812149999999998E-2</v>
      </c>
      <c r="S3958">
        <v>-3.418015</v>
      </c>
      <c r="T3958">
        <v>-0.43187130000000001</v>
      </c>
      <c r="U3958">
        <v>0.134567299999999</v>
      </c>
      <c r="V3958">
        <v>-3.0117479999999999E-2</v>
      </c>
      <c r="W3958">
        <v>0.3828667</v>
      </c>
      <c r="X3958">
        <v>0.92331249999999998</v>
      </c>
      <c r="Y3958">
        <v>3.6853480000000001E-2</v>
      </c>
      <c r="Z3958">
        <v>2.240424E-3</v>
      </c>
      <c r="AA3958">
        <v>0.99931820000000005</v>
      </c>
      <c r="AB3958">
        <v>28</v>
      </c>
      <c r="AC3958">
        <v>-0.65250000000000297</v>
      </c>
      <c r="AD3958">
        <v>-0.119487599999999</v>
      </c>
      <c r="AE3958">
        <v>3.11000000000092E-2</v>
      </c>
      <c r="AF3958">
        <v>2.87118539870557E-2</v>
      </c>
      <c r="AG3958">
        <v>-0.119487599999999</v>
      </c>
      <c r="AH3958">
        <v>0.63143980115600096</v>
      </c>
      <c r="AI3958">
        <v>100.704597560067</v>
      </c>
      <c r="AJ3958">
        <v>87.396528225321205</v>
      </c>
      <c r="AK3958">
        <v>0.643286778658682</v>
      </c>
      <c r="AL3958">
        <v>67.488633264456695</v>
      </c>
      <c r="AM3958">
        <v>91.868265481208596</v>
      </c>
      <c r="AN3958">
        <v>0.99999997261334395</v>
      </c>
    </row>
    <row r="3959" spans="1:40" x14ac:dyDescent="0.25">
      <c r="A3959" t="str">
        <f>"20190304164448981"</f>
        <v>20190304164448981</v>
      </c>
      <c r="B3959" t="str">
        <f>"1551689088974090"</f>
        <v>1551689088974090</v>
      </c>
      <c r="C3959" t="s">
        <v>40</v>
      </c>
      <c r="D3959">
        <v>4.9736050000000001</v>
      </c>
      <c r="E3959">
        <v>0.5259625</v>
      </c>
      <c r="F3959" t="s">
        <v>41</v>
      </c>
      <c r="G3959">
        <v>-218.0746</v>
      </c>
      <c r="H3959">
        <v>0.99175009999999997</v>
      </c>
      <c r="I3959">
        <v>139.9718</v>
      </c>
      <c r="J3959">
        <v>-217.46090000000001</v>
      </c>
      <c r="K3959">
        <v>1.105701</v>
      </c>
      <c r="L3959">
        <v>139.96209999999999</v>
      </c>
      <c r="M3959">
        <v>-0.99991810000000003</v>
      </c>
      <c r="N3959">
        <v>-9.5131539999999994E-3</v>
      </c>
      <c r="O3959">
        <v>8.5708620000000003E-3</v>
      </c>
      <c r="P3959">
        <v>-0.92783470000000001</v>
      </c>
      <c r="Q3959">
        <v>0.37171409999999999</v>
      </c>
      <c r="R3959">
        <v>-3.0843679999999998E-2</v>
      </c>
      <c r="S3959">
        <v>-3.4108580000000002</v>
      </c>
      <c r="T3959">
        <v>-0.42740299999999998</v>
      </c>
      <c r="U3959">
        <v>6.5414429999999996E-2</v>
      </c>
      <c r="V3959">
        <v>-3.4400149999999997E-2</v>
      </c>
      <c r="W3959">
        <v>0.380944</v>
      </c>
      <c r="X3959">
        <v>0.9239579</v>
      </c>
      <c r="Y3959">
        <v>1.057262E-2</v>
      </c>
      <c r="Z3959">
        <v>-2.7815849999999998E-4</v>
      </c>
      <c r="AA3959">
        <v>0.9999441</v>
      </c>
      <c r="AB3959">
        <v>28</v>
      </c>
      <c r="AC3959">
        <v>-0.61369999999999403</v>
      </c>
      <c r="AD3959">
        <v>-0.11395089999999999</v>
      </c>
      <c r="AE3959">
        <v>9.7000000000093695E-3</v>
      </c>
      <c r="AF3959">
        <v>4.2915474646209404E-3</v>
      </c>
      <c r="AG3959">
        <v>-0.11395089999999999</v>
      </c>
      <c r="AH3959">
        <v>0.59331043446306497</v>
      </c>
      <c r="AI3959">
        <v>100.871535080252</v>
      </c>
      <c r="AJ3959">
        <v>89.585574001544103</v>
      </c>
      <c r="AK3959">
        <v>0.60416926157592798</v>
      </c>
      <c r="AL3959">
        <v>67.607830397337395</v>
      </c>
      <c r="AM3959">
        <v>92.132211284383601</v>
      </c>
      <c r="AN3959">
        <v>0.99999995121421503</v>
      </c>
    </row>
    <row r="3960" spans="1:40" x14ac:dyDescent="0.25">
      <c r="A3960" t="str">
        <f>"20190304164449003"</f>
        <v>20190304164449003</v>
      </c>
      <c r="B3960" t="str">
        <f>"1551689088993610"</f>
        <v>1551689088993610</v>
      </c>
      <c r="C3960" t="s">
        <v>40</v>
      </c>
      <c r="D3960">
        <v>4.9785719999999998</v>
      </c>
      <c r="E3960">
        <v>0.52482659999999903</v>
      </c>
      <c r="F3960" t="s">
        <v>41</v>
      </c>
      <c r="G3960">
        <v>-218.3287</v>
      </c>
      <c r="H3960">
        <v>0.99731179999999997</v>
      </c>
      <c r="I3960">
        <v>139.97730000000001</v>
      </c>
      <c r="J3960">
        <v>-217.74039999999999</v>
      </c>
      <c r="K3960">
        <v>1.106026</v>
      </c>
      <c r="L3960">
        <v>139.97069999999999</v>
      </c>
      <c r="M3960">
        <v>-0.99985429999999997</v>
      </c>
      <c r="N3960">
        <v>-9.4835609999999997E-3</v>
      </c>
      <c r="O3960">
        <v>1.419548E-2</v>
      </c>
      <c r="P3960">
        <v>-0.92834890000000003</v>
      </c>
      <c r="Q3960">
        <v>0.37055559999999998</v>
      </c>
      <c r="R3960">
        <v>-2.9271729999999999E-2</v>
      </c>
      <c r="S3960">
        <v>-3.4056700000000002</v>
      </c>
      <c r="T3960">
        <v>-0.4252573</v>
      </c>
      <c r="U3960">
        <v>5.8914179999999997E-2</v>
      </c>
      <c r="V3960">
        <v>-3.8366499999999998E-2</v>
      </c>
      <c r="W3960">
        <v>0.37977270000000002</v>
      </c>
      <c r="X3960">
        <v>0.92428390000000005</v>
      </c>
      <c r="Y3960">
        <v>3.1681320000000002E-3</v>
      </c>
      <c r="Z3960">
        <v>-1.4192199999999999E-3</v>
      </c>
      <c r="AA3960">
        <v>0.99999400000000005</v>
      </c>
      <c r="AB3960">
        <v>28</v>
      </c>
      <c r="AC3960">
        <v>-0.58830000000000304</v>
      </c>
      <c r="AD3960">
        <v>-0.108714199999999</v>
      </c>
      <c r="AE3960">
        <v>6.6000000000201401E-3</v>
      </c>
      <c r="AF3960">
        <v>-1.69438730771698E-3</v>
      </c>
      <c r="AG3960">
        <v>-0.108714199999999</v>
      </c>
      <c r="AH3960">
        <v>0.56890931255741395</v>
      </c>
      <c r="AI3960">
        <v>100.81831279642</v>
      </c>
      <c r="AJ3960">
        <v>90.170643989128195</v>
      </c>
      <c r="AK3960">
        <v>0.57920588234628401</v>
      </c>
      <c r="AL3960">
        <v>67.680396346550594</v>
      </c>
      <c r="AM3960">
        <v>92.376950720995495</v>
      </c>
      <c r="AN3960">
        <v>1.0000000098933699</v>
      </c>
    </row>
    <row r="3961" spans="1:40" x14ac:dyDescent="0.25">
      <c r="A3961" t="str">
        <f>"20190304164449025"</f>
        <v>20190304164449025</v>
      </c>
      <c r="B3961" t="str">
        <f>"1551689089013639"</f>
        <v>1551689089013639</v>
      </c>
      <c r="C3961" t="s">
        <v>40</v>
      </c>
      <c r="D3961">
        <v>5.0296909999999997</v>
      </c>
      <c r="E3961">
        <v>0.52419229999999895</v>
      </c>
      <c r="F3961" t="s">
        <v>41</v>
      </c>
      <c r="G3961">
        <v>-218.58199999999999</v>
      </c>
      <c r="H3961">
        <v>1.000961</v>
      </c>
      <c r="I3961">
        <v>139.98500000000001</v>
      </c>
      <c r="J3961">
        <v>-218.01089999999999</v>
      </c>
      <c r="K3961">
        <v>1.1063559999999999</v>
      </c>
      <c r="L3961">
        <v>139.97999999999999</v>
      </c>
      <c r="M3961">
        <v>-0.99977150000000004</v>
      </c>
      <c r="N3961">
        <v>-9.4536140000000008E-3</v>
      </c>
      <c r="O3961">
        <v>1.9175560000000001E-2</v>
      </c>
      <c r="P3961">
        <v>-0.92869590000000002</v>
      </c>
      <c r="Q3961">
        <v>0.36978610000000001</v>
      </c>
      <c r="R3961">
        <v>-2.7972159999999999E-2</v>
      </c>
      <c r="S3961">
        <v>-3.4028629999999902</v>
      </c>
      <c r="T3961">
        <v>-0.42465629999999999</v>
      </c>
      <c r="U3961">
        <v>5.7449340000000002E-2</v>
      </c>
      <c r="V3961">
        <v>-4.200864E-2</v>
      </c>
      <c r="W3961">
        <v>0.37897900000000001</v>
      </c>
      <c r="X3961">
        <v>0.92445129999999998</v>
      </c>
      <c r="Y3961">
        <v>-2.1516E-3</v>
      </c>
      <c r="Z3961">
        <v>-2.346674E-3</v>
      </c>
      <c r="AA3961">
        <v>0.99999490000000002</v>
      </c>
      <c r="AB3961">
        <v>28</v>
      </c>
      <c r="AC3961">
        <v>-0.57110000000000105</v>
      </c>
      <c r="AD3961">
        <v>-0.105394999999999</v>
      </c>
      <c r="AE3961">
        <v>5.0000000000238699E-3</v>
      </c>
      <c r="AF3961">
        <v>-5.75653108848627E-3</v>
      </c>
      <c r="AG3961">
        <v>-0.105394999999999</v>
      </c>
      <c r="AH3961">
        <v>0.55228280867805202</v>
      </c>
      <c r="AI3961">
        <v>100.803573063012</v>
      </c>
      <c r="AJ3961">
        <v>90.597181348571894</v>
      </c>
      <c r="AK3961">
        <v>0.56227888492854705</v>
      </c>
      <c r="AL3961">
        <v>67.729546267001595</v>
      </c>
      <c r="AM3961">
        <v>92.601827813411703</v>
      </c>
      <c r="AN3961">
        <v>1.0000000071736601</v>
      </c>
    </row>
    <row r="3962" spans="1:40" x14ac:dyDescent="0.25">
      <c r="A3962" t="str">
        <f>"20190304164449048"</f>
        <v>20190304164449048</v>
      </c>
      <c r="B3962" t="str">
        <f>"1551689089043895"</f>
        <v>1551689089043895</v>
      </c>
      <c r="C3962" t="s">
        <v>40</v>
      </c>
      <c r="D3962">
        <v>5.0101760000000004</v>
      </c>
      <c r="E3962">
        <v>0.52392150000000004</v>
      </c>
      <c r="F3962" t="s">
        <v>41</v>
      </c>
      <c r="G3962">
        <v>-218.83529999999999</v>
      </c>
      <c r="H3962">
        <v>1.003973</v>
      </c>
      <c r="I3962">
        <v>139.994</v>
      </c>
      <c r="J3962">
        <v>-218.29910000000001</v>
      </c>
      <c r="K3962">
        <v>1.106733</v>
      </c>
      <c r="L3962">
        <v>139.99080000000001</v>
      </c>
      <c r="M3962">
        <v>-0.99966820000000001</v>
      </c>
      <c r="N3962">
        <v>-9.421525E-3</v>
      </c>
      <c r="O3962">
        <v>2.3972299999999998E-2</v>
      </c>
      <c r="P3962">
        <v>-0.92853059999999998</v>
      </c>
      <c r="Q3962">
        <v>0.37021530000000002</v>
      </c>
      <c r="R3962">
        <v>-2.777868E-2</v>
      </c>
      <c r="S3962">
        <v>-3.4001160000000001</v>
      </c>
      <c r="T3962">
        <v>-0.42211720000000003</v>
      </c>
      <c r="U3962">
        <v>5.6869509999999998E-2</v>
      </c>
      <c r="V3962">
        <v>-4.6600679999999998E-2</v>
      </c>
      <c r="W3962">
        <v>0.37937520000000002</v>
      </c>
      <c r="X3962">
        <v>0.92406860000000002</v>
      </c>
      <c r="Y3962">
        <v>-7.0362109999999997E-3</v>
      </c>
      <c r="Z3962">
        <v>-3.2074400000000002E-3</v>
      </c>
      <c r="AA3962">
        <v>0.99997009999999997</v>
      </c>
      <c r="AB3962">
        <v>28</v>
      </c>
      <c r="AC3962">
        <v>-0.53619999999997903</v>
      </c>
      <c r="AD3962">
        <v>-0.102759999999999</v>
      </c>
      <c r="AE3962">
        <v>3.19999999999254E-3</v>
      </c>
      <c r="AF3962">
        <v>-9.3133899505338496E-3</v>
      </c>
      <c r="AG3962">
        <v>-0.102759999999999</v>
      </c>
      <c r="AH3962">
        <v>0.51713024482209502</v>
      </c>
      <c r="AI3962">
        <v>101.23718201929699</v>
      </c>
      <c r="AJ3962">
        <v>91.031771513001999</v>
      </c>
      <c r="AK3962">
        <v>0.52732347467387697</v>
      </c>
      <c r="AL3962">
        <v>67.705012852039502</v>
      </c>
      <c r="AM3962">
        <v>92.886974289775196</v>
      </c>
      <c r="AN3962">
        <v>0.99999997162873</v>
      </c>
    </row>
    <row r="3963" spans="1:40" x14ac:dyDescent="0.25">
      <c r="A3963" t="str">
        <f>"20190304164449073"</f>
        <v>20190304164449073</v>
      </c>
      <c r="B3963" t="str">
        <f>"1551689089064392"</f>
        <v>1551689089064392</v>
      </c>
      <c r="C3963" t="s">
        <v>40</v>
      </c>
      <c r="D3963">
        <v>5.0004330000000001</v>
      </c>
      <c r="E3963">
        <v>0.52095270000000005</v>
      </c>
      <c r="F3963" t="s">
        <v>41</v>
      </c>
      <c r="G3963">
        <v>-219.09</v>
      </c>
      <c r="H3963">
        <v>1.0093399999999999</v>
      </c>
      <c r="I3963">
        <v>140.00409999999999</v>
      </c>
      <c r="J3963">
        <v>-218.60820000000001</v>
      </c>
      <c r="K3963">
        <v>1.10714</v>
      </c>
      <c r="L3963">
        <v>140.0034</v>
      </c>
      <c r="M3963">
        <v>-0.9995482</v>
      </c>
      <c r="N3963">
        <v>-9.3883869999999998E-3</v>
      </c>
      <c r="O3963">
        <v>2.855328E-2</v>
      </c>
      <c r="P3963">
        <v>-0.92811759999999999</v>
      </c>
      <c r="Q3963">
        <v>0.37122490000000002</v>
      </c>
      <c r="R3963">
        <v>-2.8108640000000001E-2</v>
      </c>
      <c r="S3963">
        <v>-3.3994450000000001</v>
      </c>
      <c r="T3963">
        <v>-0.41851820000000001</v>
      </c>
      <c r="U3963">
        <v>5.6091309999999998E-2</v>
      </c>
      <c r="V3963">
        <v>-5.1534150000000001E-2</v>
      </c>
      <c r="W3963">
        <v>0.38033899999999998</v>
      </c>
      <c r="X3963">
        <v>0.92341019999999896</v>
      </c>
      <c r="Y3963">
        <v>-1.1779919999999999E-2</v>
      </c>
      <c r="Z3963">
        <v>-4.0119969999999998E-3</v>
      </c>
      <c r="AA3963">
        <v>0.99992259999999999</v>
      </c>
      <c r="AB3963">
        <v>28</v>
      </c>
      <c r="AC3963">
        <v>-0.48179999999999201</v>
      </c>
      <c r="AD3963">
        <v>-9.7800000000000095E-2</v>
      </c>
      <c r="AE3963">
        <v>6.9999999999481501E-4</v>
      </c>
      <c r="AF3963">
        <v>-1.25411132365543E-2</v>
      </c>
      <c r="AG3963">
        <v>-9.7800000000000095E-2</v>
      </c>
      <c r="AH3963">
        <v>0.46256387770858398</v>
      </c>
      <c r="AI3963">
        <v>101.933983446863</v>
      </c>
      <c r="AJ3963">
        <v>91.553032800101306</v>
      </c>
      <c r="AK3963">
        <v>0.47295608726605298</v>
      </c>
      <c r="AL3963">
        <v>67.645316394307997</v>
      </c>
      <c r="AM3963">
        <v>93.194278706696394</v>
      </c>
      <c r="AN3963">
        <v>0.99999996050063</v>
      </c>
    </row>
    <row r="3964" spans="1:40" x14ac:dyDescent="0.25">
      <c r="A3964" t="str">
        <f>"20190304164449094"</f>
        <v>20190304164449094</v>
      </c>
      <c r="B3964" t="str">
        <f>"1551689089083910"</f>
        <v>1551689089083910</v>
      </c>
      <c r="C3964" t="s">
        <v>40</v>
      </c>
      <c r="D3964">
        <v>5.0386989999999896</v>
      </c>
      <c r="E3964">
        <v>0.5185341</v>
      </c>
      <c r="F3964" t="s">
        <v>41</v>
      </c>
      <c r="G3964">
        <v>-219.3486</v>
      </c>
      <c r="H3964">
        <v>1.02203</v>
      </c>
      <c r="I3964">
        <v>140.01079999999999</v>
      </c>
      <c r="J3964">
        <v>-218.881</v>
      </c>
      <c r="K3964">
        <v>1.1074949999999999</v>
      </c>
      <c r="L3964">
        <v>140.01519999999999</v>
      </c>
      <c r="M3964">
        <v>-0.99944120000000003</v>
      </c>
      <c r="N3964">
        <v>-9.3601910000000003E-3</v>
      </c>
      <c r="O3964">
        <v>3.2086990000000003E-2</v>
      </c>
      <c r="P3964">
        <v>-0.92764939999999996</v>
      </c>
      <c r="Q3964">
        <v>0.37227670000000002</v>
      </c>
      <c r="R3964">
        <v>-2.9611620000000002E-2</v>
      </c>
      <c r="S3964">
        <v>-3.3890839999999902</v>
      </c>
      <c r="T3964">
        <v>-0.38942719999999997</v>
      </c>
      <c r="U3964">
        <v>3.2867430000000003E-2</v>
      </c>
      <c r="V3964">
        <v>-5.6616430000000002E-2</v>
      </c>
      <c r="W3964">
        <v>0.38134829999999997</v>
      </c>
      <c r="X3964">
        <v>0.92269610000000002</v>
      </c>
      <c r="Y3964">
        <v>-2.2059240000000001E-2</v>
      </c>
      <c r="Z3964">
        <v>-4.7415180000000001E-3</v>
      </c>
      <c r="AA3964">
        <v>0.99974540000000001</v>
      </c>
      <c r="AB3964">
        <v>28</v>
      </c>
      <c r="AC3964">
        <v>-0.46760000000003199</v>
      </c>
      <c r="AD3964">
        <v>-8.5465000000000096E-2</v>
      </c>
      <c r="AE3964">
        <v>-4.4000000000039502E-3</v>
      </c>
      <c r="AF3964">
        <v>-1.8775118174241202E-2</v>
      </c>
      <c r="AG3964">
        <v>-8.5465000000000096E-2</v>
      </c>
      <c r="AH3964">
        <v>0.45211585986704</v>
      </c>
      <c r="AI3964">
        <v>100.69550003264401</v>
      </c>
      <c r="AJ3964">
        <v>92.377968555322198</v>
      </c>
      <c r="AK3964">
        <v>0.46050572421064401</v>
      </c>
      <c r="AL3964">
        <v>67.582775965551903</v>
      </c>
      <c r="AM3964">
        <v>93.511254209369696</v>
      </c>
      <c r="AN3964">
        <v>1.00000001950702</v>
      </c>
    </row>
    <row r="3965" spans="1:40" x14ac:dyDescent="0.25">
      <c r="A3965" t="str">
        <f>"20190304164449116"</f>
        <v>20190304164449116</v>
      </c>
      <c r="B3965" t="str">
        <f>"1551689089104407"</f>
        <v>1551689089104407</v>
      </c>
      <c r="C3965" t="s">
        <v>40</v>
      </c>
      <c r="D3965">
        <v>5.0110999999999999</v>
      </c>
      <c r="E3965">
        <v>0.51788809999999996</v>
      </c>
      <c r="F3965" t="s">
        <v>41</v>
      </c>
      <c r="G3965">
        <v>-219.8612</v>
      </c>
      <c r="H3965">
        <v>1.02536</v>
      </c>
      <c r="I3965">
        <v>140.01910000000001</v>
      </c>
      <c r="J3965">
        <v>-219.1508</v>
      </c>
      <c r="K3965">
        <v>1.107842</v>
      </c>
      <c r="L3965">
        <v>140.0273</v>
      </c>
      <c r="M3965">
        <v>-0.99933970000000005</v>
      </c>
      <c r="N3965">
        <v>-9.3279939999999992E-3</v>
      </c>
      <c r="O3965">
        <v>3.5114439999999997E-2</v>
      </c>
      <c r="P3965">
        <v>-0.9272745</v>
      </c>
      <c r="Q3965">
        <v>0.37296689999999999</v>
      </c>
      <c r="R3965">
        <v>-3.2521990000000001E-2</v>
      </c>
      <c r="S3965">
        <v>-3.346924</v>
      </c>
      <c r="T3965">
        <v>-0.28043079999999998</v>
      </c>
      <c r="U3965">
        <v>1.300049E-2</v>
      </c>
      <c r="V3965">
        <v>-6.2625689999999998E-2</v>
      </c>
      <c r="W3965">
        <v>0.38199250000000001</v>
      </c>
      <c r="X3965">
        <v>0.92204109999999995</v>
      </c>
      <c r="Y3965">
        <v>-3.1015890000000001E-2</v>
      </c>
      <c r="Z3965">
        <v>-4.0514349999999999E-3</v>
      </c>
      <c r="AA3965">
        <v>0.99951069999999997</v>
      </c>
      <c r="AB3965">
        <v>28</v>
      </c>
      <c r="AC3965">
        <v>-0.71039999999999204</v>
      </c>
      <c r="AD3965">
        <v>-8.2481999999999903E-2</v>
      </c>
      <c r="AE3965">
        <v>-8.1999999999879895E-3</v>
      </c>
      <c r="AF3965">
        <v>-3.2700559987199E-2</v>
      </c>
      <c r="AG3965">
        <v>-8.2481999999999903E-2</v>
      </c>
      <c r="AH3965">
        <v>0.70023549817183595</v>
      </c>
      <c r="AI3965">
        <v>96.710769799446695</v>
      </c>
      <c r="AJ3965">
        <v>92.673734556850704</v>
      </c>
      <c r="AK3965">
        <v>0.705834513074726</v>
      </c>
      <c r="AL3965">
        <v>67.542843020058598</v>
      </c>
      <c r="AM3965">
        <v>93.885602544955603</v>
      </c>
      <c r="AN3965">
        <v>1.0000000185967099</v>
      </c>
    </row>
    <row r="3966" spans="1:40" x14ac:dyDescent="0.25">
      <c r="A3966" t="str">
        <f>"20190304164449136"</f>
        <v>20190304164449136</v>
      </c>
      <c r="B3966" t="str">
        <f>"1551689089133687"</f>
        <v>1551689089133687</v>
      </c>
      <c r="C3966" t="s">
        <v>40</v>
      </c>
      <c r="D3966">
        <v>5.0597180000000002</v>
      </c>
      <c r="E3966">
        <v>0.51716300000000004</v>
      </c>
      <c r="F3966" t="s">
        <v>42</v>
      </c>
      <c r="G3966">
        <v>-232.8167</v>
      </c>
      <c r="H3966" s="1">
        <v>-3.1749829999999998E-6</v>
      </c>
      <c r="I3966">
        <v>140.03370000000001</v>
      </c>
      <c r="J3966">
        <v>-219.41679999999999</v>
      </c>
      <c r="K3966">
        <v>1.1081319999999999</v>
      </c>
      <c r="L3966">
        <v>140.03970000000001</v>
      </c>
      <c r="M3966">
        <v>-0.99924360000000001</v>
      </c>
      <c r="N3966">
        <v>-9.2964429999999997E-3</v>
      </c>
      <c r="O3966">
        <v>3.7760410000000001E-2</v>
      </c>
      <c r="P3966">
        <v>-0.92673190000000005</v>
      </c>
      <c r="Q3966">
        <v>0.37421840000000001</v>
      </c>
      <c r="R3966">
        <v>-3.3594640000000002E-2</v>
      </c>
      <c r="S3966">
        <v>-3.3443909999999999</v>
      </c>
      <c r="T3966">
        <v>-0.271119</v>
      </c>
      <c r="U3966">
        <v>1.5716549999999999E-3</v>
      </c>
      <c r="V3966">
        <v>-6.6387070000000006E-2</v>
      </c>
      <c r="W3966">
        <v>0.38318340000000001</v>
      </c>
      <c r="X3966">
        <v>0.92128350000000003</v>
      </c>
      <c r="Y3966">
        <v>-3.7059830000000002E-2</v>
      </c>
      <c r="Z3966">
        <v>-4.3772309999999997E-3</v>
      </c>
      <c r="AA3966">
        <v>0.99930350000000001</v>
      </c>
      <c r="AB3966">
        <v>28</v>
      </c>
      <c r="AC3966">
        <v>-13.399900000000001</v>
      </c>
      <c r="AD3966">
        <v>-1.108135174983</v>
      </c>
      <c r="AE3966">
        <v>-6.0000000000002196E-3</v>
      </c>
      <c r="AF3966">
        <v>-0.508525569582163</v>
      </c>
      <c r="AG3966">
        <v>-1.108135174983</v>
      </c>
      <c r="AH3966">
        <v>13.299165251040399</v>
      </c>
      <c r="AI3966">
        <v>94.759629234270804</v>
      </c>
      <c r="AJ3966">
        <v>92.189775126426198</v>
      </c>
      <c r="AK3966">
        <v>13.354937596089099</v>
      </c>
      <c r="AL3966">
        <v>67.4689908533813</v>
      </c>
      <c r="AM3966">
        <v>94.121571408543403</v>
      </c>
      <c r="AN3966">
        <v>1.0000000242354901</v>
      </c>
    </row>
    <row r="3967" spans="1:40" x14ac:dyDescent="0.25">
      <c r="A3967" t="str">
        <f>"20190304164449160"</f>
        <v>20190304164449160</v>
      </c>
      <c r="B3967" t="str">
        <f>"1551689089154183"</f>
        <v>1551689089154183</v>
      </c>
      <c r="C3967" t="s">
        <v>40</v>
      </c>
      <c r="D3967">
        <v>5.0548710000000003</v>
      </c>
      <c r="E3967">
        <v>0.51680990000000004</v>
      </c>
      <c r="F3967" t="s">
        <v>42</v>
      </c>
      <c r="G3967">
        <v>-233.34229999999999</v>
      </c>
      <c r="H3967" s="1">
        <v>-2.9404120000000002E-6</v>
      </c>
      <c r="I3967">
        <v>139.99950000000001</v>
      </c>
      <c r="J3967">
        <v>-219.71600000000001</v>
      </c>
      <c r="K3967">
        <v>1.108417</v>
      </c>
      <c r="L3967">
        <v>140.054</v>
      </c>
      <c r="M3967">
        <v>-0.9991428</v>
      </c>
      <c r="N3967">
        <v>-9.2641600000000005E-3</v>
      </c>
      <c r="O3967">
        <v>4.034981E-2</v>
      </c>
      <c r="P3967">
        <v>-0.92581159999999996</v>
      </c>
      <c r="Q3967">
        <v>0.37660529999999998</v>
      </c>
      <c r="R3967">
        <v>-3.2272389999999998E-2</v>
      </c>
      <c r="S3967">
        <v>-3.3442989999999999</v>
      </c>
      <c r="T3967">
        <v>-0.266127</v>
      </c>
      <c r="U3967">
        <v>-9.6282959999999997E-3</v>
      </c>
      <c r="V3967">
        <v>-6.7673990000000003E-2</v>
      </c>
      <c r="W3967">
        <v>0.38549109999999998</v>
      </c>
      <c r="X3967">
        <v>0.92022649999999995</v>
      </c>
      <c r="Y3967">
        <v>-4.2976779999999999E-2</v>
      </c>
      <c r="Z3967">
        <v>-4.7385370000000001E-3</v>
      </c>
      <c r="AA3967">
        <v>0.99906490000000003</v>
      </c>
      <c r="AB3967">
        <v>28</v>
      </c>
      <c r="AC3967">
        <v>-13.626300000000001</v>
      </c>
      <c r="AD3967">
        <v>-1.1084199404119901</v>
      </c>
      <c r="AE3967">
        <v>-5.4499999999990202E-2</v>
      </c>
      <c r="AF3967">
        <v>-0.60032553641934205</v>
      </c>
      <c r="AG3967">
        <v>-1.1084199404119901</v>
      </c>
      <c r="AH3967">
        <v>13.5235208522987</v>
      </c>
      <c r="AI3967">
        <v>94.681035317585895</v>
      </c>
      <c r="AJ3967">
        <v>92.541760624772394</v>
      </c>
      <c r="AK3967">
        <v>13.582142752766901</v>
      </c>
      <c r="AL3967">
        <v>67.3257678896844</v>
      </c>
      <c r="AM3967">
        <v>94.205993419386203</v>
      </c>
      <c r="AN3967">
        <v>0.99999998420198899</v>
      </c>
    </row>
    <row r="3968" spans="1:40" x14ac:dyDescent="0.25">
      <c r="A3968" t="str">
        <f>"20190304164449182"</f>
        <v>20190304164449182</v>
      </c>
      <c r="B3968" t="str">
        <f>"1551689089173703"</f>
        <v>1551689089173703</v>
      </c>
      <c r="C3968" t="s">
        <v>40</v>
      </c>
      <c r="D3968">
        <v>5.0838919999999996</v>
      </c>
      <c r="E3968">
        <v>0.51815029999999995</v>
      </c>
      <c r="F3968" t="s">
        <v>42</v>
      </c>
      <c r="G3968">
        <v>-233.82050000000001</v>
      </c>
      <c r="H3968" s="1">
        <v>-2.7337490000000001E-6</v>
      </c>
      <c r="I3968">
        <v>139.99379999999999</v>
      </c>
      <c r="J3968">
        <v>-220.006</v>
      </c>
      <c r="K3968">
        <v>1.1086800000000001</v>
      </c>
      <c r="L3968">
        <v>140.06829999999999</v>
      </c>
      <c r="M3968">
        <v>-0.99905409999999994</v>
      </c>
      <c r="N3968">
        <v>-9.2349609999999999E-3</v>
      </c>
      <c r="O3968">
        <v>4.2495640000000001E-2</v>
      </c>
      <c r="P3968">
        <v>-0.92556229999999995</v>
      </c>
      <c r="Q3968">
        <v>0.37703419999999999</v>
      </c>
      <c r="R3968">
        <v>-3.4350400000000003E-2</v>
      </c>
      <c r="S3968">
        <v>-3.3469090000000001</v>
      </c>
      <c r="T3968">
        <v>-0.26302160000000002</v>
      </c>
      <c r="U3968">
        <v>-1.426697E-2</v>
      </c>
      <c r="V3968">
        <v>-7.1959090000000003E-2</v>
      </c>
      <c r="W3968">
        <v>0.3858645</v>
      </c>
      <c r="X3968">
        <v>0.91974480000000003</v>
      </c>
      <c r="Y3968">
        <v>-4.6493680000000003E-2</v>
      </c>
      <c r="Z3968">
        <v>-4.9808710000000004E-3</v>
      </c>
      <c r="AA3968">
        <v>0.99890619999999997</v>
      </c>
      <c r="AB3968">
        <v>28</v>
      </c>
      <c r="AC3968">
        <v>-13.814500000000001</v>
      </c>
      <c r="AD3968">
        <v>-1.1086827337489999</v>
      </c>
      <c r="AE3968">
        <v>-7.4500000000000399E-2</v>
      </c>
      <c r="AF3968">
        <v>-0.65728034158858895</v>
      </c>
      <c r="AG3968">
        <v>-1.1086827337489999</v>
      </c>
      <c r="AH3968">
        <v>13.710548352463601</v>
      </c>
      <c r="AI3968">
        <v>94.617797015748295</v>
      </c>
      <c r="AJ3968">
        <v>92.744644373281503</v>
      </c>
      <c r="AK3968">
        <v>13.7709960052567</v>
      </c>
      <c r="AL3968">
        <v>67.302580272708596</v>
      </c>
      <c r="AM3968">
        <v>94.473600115835097</v>
      </c>
      <c r="AN3968">
        <v>1.00000001006045</v>
      </c>
    </row>
    <row r="3969" spans="1:40" x14ac:dyDescent="0.25">
      <c r="A3969" t="str">
        <f>"20190304164449203"</f>
        <v>20190304164449203</v>
      </c>
      <c r="B3969" t="str">
        <f>"1551689089194199"</f>
        <v>1551689089194199</v>
      </c>
      <c r="C3969" t="s">
        <v>40</v>
      </c>
      <c r="D3969">
        <v>5.0042090000000004</v>
      </c>
      <c r="E3969">
        <v>0.51737250000000001</v>
      </c>
      <c r="F3969" t="s">
        <v>41</v>
      </c>
      <c r="G3969">
        <v>-220.8648</v>
      </c>
      <c r="H3969">
        <v>1.009476</v>
      </c>
      <c r="I3969">
        <v>140.0651</v>
      </c>
      <c r="J3969">
        <v>-220.27799999999999</v>
      </c>
      <c r="K3969">
        <v>1.108914</v>
      </c>
      <c r="L3969">
        <v>140.08199999999999</v>
      </c>
      <c r="M3969">
        <v>-0.99898089999999995</v>
      </c>
      <c r="N3969">
        <v>-9.2091369999999992E-3</v>
      </c>
      <c r="O3969">
        <v>4.4187079999999997E-2</v>
      </c>
      <c r="P3969">
        <v>-0.9254677</v>
      </c>
      <c r="Q3969">
        <v>0.37690420000000002</v>
      </c>
      <c r="R3969">
        <v>-3.8118590000000001E-2</v>
      </c>
      <c r="S3969">
        <v>-3.4007719999999999</v>
      </c>
      <c r="T3969">
        <v>-0.39281369999999999</v>
      </c>
      <c r="U3969">
        <v>-1.339722E-2</v>
      </c>
      <c r="V3969">
        <v>-7.7510200000000001E-2</v>
      </c>
      <c r="W3969">
        <v>0.38568459999999899</v>
      </c>
      <c r="X3969">
        <v>0.91936910000000005</v>
      </c>
      <c r="Y3969">
        <v>-4.7534100000000003E-2</v>
      </c>
      <c r="Z3969">
        <v>-7.6358989999999998E-3</v>
      </c>
      <c r="AA3969">
        <v>0.99884050000000002</v>
      </c>
      <c r="AB3969">
        <v>28</v>
      </c>
      <c r="AC3969">
        <v>-0.58680000000000998</v>
      </c>
      <c r="AD3969">
        <v>-9.9437999999999901E-2</v>
      </c>
      <c r="AE3969">
        <v>-1.6899999999992501E-2</v>
      </c>
      <c r="AF3969">
        <v>-4.1619413902847499E-2</v>
      </c>
      <c r="AG3969">
        <v>-9.9437999999999901E-2</v>
      </c>
      <c r="AH3969">
        <v>0.56914983114567697</v>
      </c>
      <c r="AI3969">
        <v>99.884431794592203</v>
      </c>
      <c r="AJ3969">
        <v>94.182343130993601</v>
      </c>
      <c r="AK3969">
        <v>0.57926817774737904</v>
      </c>
      <c r="AL3969">
        <v>67.313752163881801</v>
      </c>
      <c r="AM3969">
        <v>94.819098205046899</v>
      </c>
      <c r="AN3969">
        <v>0.99999999190800404</v>
      </c>
    </row>
    <row r="3970" spans="1:40" x14ac:dyDescent="0.25">
      <c r="A3970" t="str">
        <f>"20190304164449226"</f>
        <v>20190304164449226</v>
      </c>
      <c r="B3970" t="str">
        <f>"1551689089213722"</f>
        <v>1551689089213722</v>
      </c>
      <c r="C3970" t="s">
        <v>40</v>
      </c>
      <c r="D3970">
        <v>4.985271</v>
      </c>
      <c r="E3970">
        <v>0.51694830000000003</v>
      </c>
      <c r="F3970" t="s">
        <v>41</v>
      </c>
      <c r="G3970">
        <v>-221.1232</v>
      </c>
      <c r="H3970">
        <v>1.0132730000000001</v>
      </c>
      <c r="I3970">
        <v>140.0761</v>
      </c>
      <c r="J3970">
        <v>-220.55189999999999</v>
      </c>
      <c r="K3970">
        <v>1.1091660000000001</v>
      </c>
      <c r="L3970">
        <v>140.0958</v>
      </c>
      <c r="M3970">
        <v>-0.998919</v>
      </c>
      <c r="N3970">
        <v>-9.182104E-3</v>
      </c>
      <c r="O3970">
        <v>4.5570430000000002E-2</v>
      </c>
      <c r="P3970">
        <v>-0.92492260000000004</v>
      </c>
      <c r="Q3970">
        <v>0.37810389999999999</v>
      </c>
      <c r="R3970">
        <v>-3.9447940000000001E-2</v>
      </c>
      <c r="S3970">
        <v>-3.3972020000000001</v>
      </c>
      <c r="T3970">
        <v>-0.38444830000000002</v>
      </c>
      <c r="U3970">
        <v>-2.3895260000000001E-2</v>
      </c>
      <c r="V3970">
        <v>-8.0331819999999998E-2</v>
      </c>
      <c r="W3970">
        <v>0.3868124</v>
      </c>
      <c r="X3970">
        <v>0.91865280000000005</v>
      </c>
      <c r="Y3970">
        <v>-5.1993150000000002E-2</v>
      </c>
      <c r="Z3970">
        <v>-7.8941930000000007E-3</v>
      </c>
      <c r="AA3970">
        <v>0.99861619999999995</v>
      </c>
      <c r="AB3970">
        <v>28</v>
      </c>
      <c r="AC3970">
        <v>-0.57130000000000702</v>
      </c>
      <c r="AD3970">
        <v>-9.58930000000002E-2</v>
      </c>
      <c r="AE3970">
        <v>-1.97000000000002E-2</v>
      </c>
      <c r="AF3970">
        <v>-4.44637889270856E-2</v>
      </c>
      <c r="AG3970">
        <v>-9.58930000000002E-2</v>
      </c>
      <c r="AH3970">
        <v>0.55421292971762603</v>
      </c>
      <c r="AI3970">
        <v>99.785611079017997</v>
      </c>
      <c r="AJ3970">
        <v>94.586941860108695</v>
      </c>
      <c r="AK3970">
        <v>0.56420250570247099</v>
      </c>
      <c r="AL3970">
        <v>67.2436975640518</v>
      </c>
      <c r="AM3970">
        <v>94.997531240895199</v>
      </c>
      <c r="AN3970">
        <v>1.00000000052305</v>
      </c>
    </row>
    <row r="3971" spans="1:40" x14ac:dyDescent="0.25">
      <c r="A3971" t="str">
        <f>"20190304164449247"</f>
        <v>20190304164449247</v>
      </c>
      <c r="B3971" t="str">
        <f>"1551689089243975"</f>
        <v>1551689089243975</v>
      </c>
      <c r="C3971" t="s">
        <v>40</v>
      </c>
      <c r="D3971">
        <v>5.0499090000000004</v>
      </c>
      <c r="E3971">
        <v>0.51707760000000003</v>
      </c>
      <c r="F3971" t="s">
        <v>41</v>
      </c>
      <c r="G3971">
        <v>-221.3836</v>
      </c>
      <c r="H3971">
        <v>1.016383</v>
      </c>
      <c r="I3971">
        <v>140.08860000000001</v>
      </c>
      <c r="J3971">
        <v>-220.8366</v>
      </c>
      <c r="K3971">
        <v>1.1094489999999999</v>
      </c>
      <c r="L3971">
        <v>140.11019999999999</v>
      </c>
      <c r="M3971">
        <v>-0.99886870000000005</v>
      </c>
      <c r="N3971">
        <v>-9.1527569999999992E-3</v>
      </c>
      <c r="O3971">
        <v>4.666534E-2</v>
      </c>
      <c r="P3971">
        <v>-0.9238828</v>
      </c>
      <c r="Q3971">
        <v>0.38078329999999999</v>
      </c>
      <c r="R3971">
        <v>-3.8012110000000002E-2</v>
      </c>
      <c r="S3971">
        <v>-3.3971710000000002</v>
      </c>
      <c r="T3971">
        <v>-0.37903999999999999</v>
      </c>
      <c r="U3971">
        <v>-3.0548100000000002E-2</v>
      </c>
      <c r="V3971">
        <v>-8.0123219999999995E-2</v>
      </c>
      <c r="W3971">
        <v>0.3893972</v>
      </c>
      <c r="X3971">
        <v>0.91757840000000002</v>
      </c>
      <c r="Y3971">
        <v>-5.503392E-2</v>
      </c>
      <c r="Z3971">
        <v>-8.0767010000000004E-3</v>
      </c>
      <c r="AA3971">
        <v>0.9984518</v>
      </c>
      <c r="AB3971">
        <v>28</v>
      </c>
      <c r="AC3971">
        <v>-0.54699999999999704</v>
      </c>
      <c r="AD3971">
        <v>-9.3065999999999802E-2</v>
      </c>
      <c r="AE3971">
        <v>-2.1599999999978001E-2</v>
      </c>
      <c r="AF3971">
        <v>-4.5780323751888397E-2</v>
      </c>
      <c r="AG3971">
        <v>-9.3065999999999802E-2</v>
      </c>
      <c r="AH3971">
        <v>0.53007567508806097</v>
      </c>
      <c r="AI3971">
        <v>99.921798187159993</v>
      </c>
      <c r="AJ3971">
        <v>94.936137933934006</v>
      </c>
      <c r="AK3971">
        <v>0.54012715143648404</v>
      </c>
      <c r="AL3971">
        <v>67.0830037348899</v>
      </c>
      <c r="AM3971">
        <v>94.990426544859702</v>
      </c>
      <c r="AN3971">
        <v>1.00000001494878</v>
      </c>
    </row>
    <row r="3972" spans="1:40" x14ac:dyDescent="0.25">
      <c r="A3972" t="str">
        <f>"20190304164449274"</f>
        <v>20190304164449274</v>
      </c>
      <c r="B3972" t="str">
        <f>"1551689089264472"</f>
        <v>1551689089264472</v>
      </c>
      <c r="C3972" t="s">
        <v>40</v>
      </c>
      <c r="D3972">
        <v>5.1045780000000001</v>
      </c>
      <c r="E3972">
        <v>0.51713569999999998</v>
      </c>
      <c r="F3972" t="s">
        <v>42</v>
      </c>
      <c r="G3972">
        <v>-230.90289999999999</v>
      </c>
      <c r="H3972" s="1">
        <v>-3.9910060000000002E-6</v>
      </c>
      <c r="I3972">
        <v>140.01490000000001</v>
      </c>
      <c r="J3972">
        <v>-221.15860000000001</v>
      </c>
      <c r="K3972">
        <v>1.1097809999999999</v>
      </c>
      <c r="L3972">
        <v>140.12639999999999</v>
      </c>
      <c r="M3972">
        <v>-0.99883010000000005</v>
      </c>
      <c r="N3972">
        <v>-9.1229420000000002E-3</v>
      </c>
      <c r="O3972">
        <v>4.7488000000000002E-2</v>
      </c>
      <c r="P3972">
        <v>-0.92373439999999996</v>
      </c>
      <c r="Q3972">
        <v>0.38109890000000002</v>
      </c>
      <c r="R3972">
        <v>-3.8446460000000002E-2</v>
      </c>
      <c r="S3972">
        <v>-3.4003450000000002</v>
      </c>
      <c r="T3972">
        <v>-0.37477090000000002</v>
      </c>
      <c r="U3972">
        <v>-3.2196040000000002E-2</v>
      </c>
      <c r="V3972">
        <v>-8.1623370000000001E-2</v>
      </c>
      <c r="W3972">
        <v>0.38962029999999997</v>
      </c>
      <c r="X3972">
        <v>0.91735140000000004</v>
      </c>
      <c r="Y3972">
        <v>-5.6333910000000001E-2</v>
      </c>
      <c r="Z3972">
        <v>-8.1375030000000008E-3</v>
      </c>
      <c r="AA3972">
        <v>0.99837880000000001</v>
      </c>
      <c r="AB3972">
        <v>28</v>
      </c>
      <c r="AC3972">
        <v>-9.7442999999999795</v>
      </c>
      <c r="AD3972">
        <v>-1.10978499100599</v>
      </c>
      <c r="AE3972">
        <v>-0.11149999999997801</v>
      </c>
      <c r="AF3972">
        <v>-0.56678000291391295</v>
      </c>
      <c r="AG3972">
        <v>-1.10978499100599</v>
      </c>
      <c r="AH3972">
        <v>9.6034595052307203</v>
      </c>
      <c r="AI3972">
        <v>96.580565522683102</v>
      </c>
      <c r="AJ3972">
        <v>93.377582472509502</v>
      </c>
      <c r="AK3972">
        <v>9.6839711258642005</v>
      </c>
      <c r="AL3972">
        <v>67.069123893970598</v>
      </c>
      <c r="AM3972">
        <v>95.084628691547096</v>
      </c>
      <c r="AN3972">
        <v>0.99999997189210299</v>
      </c>
    </row>
    <row r="3973" spans="1:40" x14ac:dyDescent="0.25">
      <c r="A3973" t="str">
        <f>"20190304164449295"</f>
        <v>20190304164449295</v>
      </c>
      <c r="B3973" t="str">
        <f>"1551689089283991"</f>
        <v>1551689089283991</v>
      </c>
      <c r="C3973" t="s">
        <v>40</v>
      </c>
      <c r="D3973">
        <v>5.0502849999999997</v>
      </c>
      <c r="E3973">
        <v>0.51715159999999905</v>
      </c>
      <c r="F3973" t="s">
        <v>42</v>
      </c>
      <c r="G3973">
        <v>-231.14060000000001</v>
      </c>
      <c r="H3973" s="1">
        <v>-3.8912449999999999E-6</v>
      </c>
      <c r="I3973">
        <v>140.0232</v>
      </c>
      <c r="J3973">
        <v>-221.4391</v>
      </c>
      <c r="K3973">
        <v>1.110055</v>
      </c>
      <c r="L3973">
        <v>140.1403</v>
      </c>
      <c r="M3973">
        <v>-0.99881509999999996</v>
      </c>
      <c r="N3973">
        <v>-9.1002110000000004E-3</v>
      </c>
      <c r="O3973">
        <v>4.7808080000000003E-2</v>
      </c>
      <c r="P3973">
        <v>-0.92453390000000002</v>
      </c>
      <c r="Q3973">
        <v>0.37891010000000003</v>
      </c>
      <c r="R3973">
        <v>-4.0798649999999999E-2</v>
      </c>
      <c r="S3973">
        <v>-3.4022670000000002</v>
      </c>
      <c r="T3973">
        <v>-0.37826100000000001</v>
      </c>
      <c r="U3973">
        <v>-3.5171510000000003E-2</v>
      </c>
      <c r="V3973">
        <v>-8.4571019999999997E-2</v>
      </c>
      <c r="W3973">
        <v>0.38736409999999999</v>
      </c>
      <c r="X3973">
        <v>0.91803970000000001</v>
      </c>
      <c r="Y3973">
        <v>-5.7501190000000001E-2</v>
      </c>
      <c r="Z3973">
        <v>-8.3127510000000002E-3</v>
      </c>
      <c r="AA3973">
        <v>0.99831080000000005</v>
      </c>
      <c r="AB3973">
        <v>29</v>
      </c>
      <c r="AC3973">
        <v>-9.70150000000001</v>
      </c>
      <c r="AD3973">
        <v>-1.110058891245</v>
      </c>
      <c r="AE3973">
        <v>-0.117099999999993</v>
      </c>
      <c r="AF3973">
        <v>-0.57329080424253898</v>
      </c>
      <c r="AG3973">
        <v>-1.110058891245</v>
      </c>
      <c r="AH3973">
        <v>9.5596679228972796</v>
      </c>
      <c r="AI3973">
        <v>96.6116914393576</v>
      </c>
      <c r="AJ3973">
        <v>93.431902834618199</v>
      </c>
      <c r="AK3973">
        <v>9.6409617717493497</v>
      </c>
      <c r="AL3973">
        <v>67.209416017509398</v>
      </c>
      <c r="AM3973">
        <v>95.263307093064398</v>
      </c>
      <c r="AN3973">
        <v>1.00000004708436</v>
      </c>
    </row>
    <row r="3974" spans="1:40" x14ac:dyDescent="0.25">
      <c r="A3974" t="str">
        <f>"20190304164449316"</f>
        <v>20190304164449316</v>
      </c>
      <c r="B3974" t="str">
        <f>"1551689089304486"</f>
        <v>1551689089304486</v>
      </c>
      <c r="C3974" t="s">
        <v>40</v>
      </c>
      <c r="D3974">
        <v>5.0406940000000002</v>
      </c>
      <c r="E3974">
        <v>0.5172002</v>
      </c>
      <c r="F3974" t="s">
        <v>41</v>
      </c>
      <c r="G3974">
        <v>-222.39490000000001</v>
      </c>
      <c r="H3974">
        <v>1.0010349999999999</v>
      </c>
      <c r="I3974">
        <v>140.1301</v>
      </c>
      <c r="J3974">
        <v>-221.70050000000001</v>
      </c>
      <c r="K3974">
        <v>1.110301</v>
      </c>
      <c r="L3974">
        <v>140.15299999999999</v>
      </c>
      <c r="M3974">
        <v>-0.99881609999999998</v>
      </c>
      <c r="N3974">
        <v>-9.0811520000000003E-3</v>
      </c>
      <c r="O3974">
        <v>4.779328E-2</v>
      </c>
      <c r="P3974">
        <v>-0.9250486</v>
      </c>
      <c r="Q3974">
        <v>0.377446</v>
      </c>
      <c r="R3974">
        <v>-4.265832E-2</v>
      </c>
      <c r="S3974">
        <v>-3.4023439999999998</v>
      </c>
      <c r="T3974">
        <v>-0.38811230000000002</v>
      </c>
      <c r="U3974">
        <v>-3.6697390000000003E-2</v>
      </c>
      <c r="V3974">
        <v>-8.6674420000000002E-2</v>
      </c>
      <c r="W3974">
        <v>0.38583590000000001</v>
      </c>
      <c r="X3974">
        <v>0.9184869</v>
      </c>
      <c r="Y3974">
        <v>-5.7897480000000001E-2</v>
      </c>
      <c r="Z3974">
        <v>-8.5553620000000004E-3</v>
      </c>
      <c r="AA3974">
        <v>0.99828589999999995</v>
      </c>
      <c r="AB3974">
        <v>29</v>
      </c>
      <c r="AC3974">
        <v>-0.69440000000000102</v>
      </c>
      <c r="AD3974">
        <v>-0.109265999999999</v>
      </c>
      <c r="AE3974">
        <v>-2.2899999999992801E-2</v>
      </c>
      <c r="AF3974">
        <v>-5.4709705796971403E-2</v>
      </c>
      <c r="AG3974">
        <v>-0.109265999999999</v>
      </c>
      <c r="AH3974">
        <v>0.67579733194398295</v>
      </c>
      <c r="AI3974">
        <v>99.154920250936897</v>
      </c>
      <c r="AJ3974">
        <v>94.628331498190093</v>
      </c>
      <c r="AK3974">
        <v>0.68675632106810403</v>
      </c>
      <c r="AL3974">
        <v>67.304356025471094</v>
      </c>
      <c r="AM3974">
        <v>95.390839735224006</v>
      </c>
      <c r="AN3974">
        <v>0.99999999114137805</v>
      </c>
    </row>
    <row r="3975" spans="1:40" x14ac:dyDescent="0.25">
      <c r="A3975" t="str">
        <f>"20190304164449337"</f>
        <v>20190304164449337</v>
      </c>
      <c r="B3975" t="str">
        <f>"1551689089333768"</f>
        <v>1551689089333768</v>
      </c>
      <c r="C3975" t="s">
        <v>40</v>
      </c>
      <c r="D3975">
        <v>5.058014</v>
      </c>
      <c r="E3975">
        <v>0.5173082</v>
      </c>
      <c r="F3975" t="s">
        <v>41</v>
      </c>
      <c r="G3975">
        <v>-222.6507</v>
      </c>
      <c r="H3975">
        <v>0.99988149999999998</v>
      </c>
      <c r="I3975">
        <v>140.1422</v>
      </c>
      <c r="J3975">
        <v>-221.98240000000001</v>
      </c>
      <c r="K3975">
        <v>1.1105290000000001</v>
      </c>
      <c r="L3975">
        <v>140.16640000000001</v>
      </c>
      <c r="M3975">
        <v>-0.99883029999999995</v>
      </c>
      <c r="N3975">
        <v>-9.0627510000000008E-3</v>
      </c>
      <c r="O3975">
        <v>4.7496330000000003E-2</v>
      </c>
      <c r="P3975">
        <v>-0.92495340000000004</v>
      </c>
      <c r="Q3975">
        <v>0.37761060000000002</v>
      </c>
      <c r="R3975">
        <v>-4.3262019999999998E-2</v>
      </c>
      <c r="S3975">
        <v>-3.4026489999999998</v>
      </c>
      <c r="T3975">
        <v>-0.39544990000000002</v>
      </c>
      <c r="U3975">
        <v>-3.8711549999999997E-2</v>
      </c>
      <c r="V3975">
        <v>-8.7217130000000004E-2</v>
      </c>
      <c r="W3975">
        <v>0.385934</v>
      </c>
      <c r="X3975">
        <v>0.9183943</v>
      </c>
      <c r="Y3975">
        <v>-5.8164710000000001E-2</v>
      </c>
      <c r="Z3975">
        <v>-8.7038469999999903E-3</v>
      </c>
      <c r="AA3975">
        <v>0.99826910000000002</v>
      </c>
      <c r="AB3975">
        <v>29</v>
      </c>
      <c r="AC3975">
        <v>-0.66829999999998702</v>
      </c>
      <c r="AD3975">
        <v>-0.1106475</v>
      </c>
      <c r="AE3975">
        <v>-2.42000000000075E-2</v>
      </c>
      <c r="AF3975">
        <v>-5.44258214405468E-2</v>
      </c>
      <c r="AG3975">
        <v>-0.1106475</v>
      </c>
      <c r="AH3975">
        <v>0.64863905285774504</v>
      </c>
      <c r="AI3975">
        <v>99.647306877251594</v>
      </c>
      <c r="AJ3975">
        <v>94.796322873437802</v>
      </c>
      <c r="AK3975">
        <v>0.66025575361970201</v>
      </c>
      <c r="AL3975">
        <v>67.298263275708393</v>
      </c>
      <c r="AM3975">
        <v>95.424937314923</v>
      </c>
      <c r="AN3975">
        <v>0.99999998519696298</v>
      </c>
    </row>
    <row r="3976" spans="1:40" x14ac:dyDescent="0.25">
      <c r="A3976" t="str">
        <f>"20190304164449361"</f>
        <v>20190304164449361</v>
      </c>
      <c r="B3976" t="str">
        <f>"1551689089354263"</f>
        <v>1551689089354263</v>
      </c>
      <c r="C3976" t="s">
        <v>40</v>
      </c>
      <c r="D3976">
        <v>5.0524420000000001</v>
      </c>
      <c r="E3976">
        <v>0.5173565</v>
      </c>
      <c r="F3976" t="s">
        <v>41</v>
      </c>
      <c r="G3976">
        <v>-222.9091</v>
      </c>
      <c r="H3976">
        <v>1.0024690000000001</v>
      </c>
      <c r="I3976">
        <v>140.1551</v>
      </c>
      <c r="J3976">
        <v>-222.28630000000001</v>
      </c>
      <c r="K3976">
        <v>1.110744</v>
      </c>
      <c r="L3976">
        <v>140.18039999999999</v>
      </c>
      <c r="M3976">
        <v>-0.99885959999999996</v>
      </c>
      <c r="N3976">
        <v>-9.0452529999999996E-3</v>
      </c>
      <c r="O3976">
        <v>4.6880430000000001E-2</v>
      </c>
      <c r="P3976">
        <v>-0.92492929999999995</v>
      </c>
      <c r="Q3976">
        <v>0.37753639999999999</v>
      </c>
      <c r="R3976">
        <v>-4.4412479999999997E-2</v>
      </c>
      <c r="S3976">
        <v>-3.4035030000000002</v>
      </c>
      <c r="T3976">
        <v>-0.39704529999999999</v>
      </c>
      <c r="U3976">
        <v>-4.2465210000000003E-2</v>
      </c>
      <c r="V3976">
        <v>-8.8004730000000003E-2</v>
      </c>
      <c r="W3976">
        <v>0.38579590000000002</v>
      </c>
      <c r="X3976">
        <v>0.9183772</v>
      </c>
      <c r="Y3976">
        <v>-5.8641850000000002E-2</v>
      </c>
      <c r="Z3976">
        <v>-8.7013890000000003E-3</v>
      </c>
      <c r="AA3976">
        <v>0.99824120000000005</v>
      </c>
      <c r="AB3976">
        <v>29</v>
      </c>
      <c r="AC3976">
        <v>-0.62279999999998303</v>
      </c>
      <c r="AD3976">
        <v>-0.108274999999999</v>
      </c>
      <c r="AE3976">
        <v>-2.5299999999987201E-2</v>
      </c>
      <c r="AF3976">
        <v>-5.2875017291793398E-2</v>
      </c>
      <c r="AG3976">
        <v>-0.108274999999999</v>
      </c>
      <c r="AH3976">
        <v>0.60274150787513003</v>
      </c>
      <c r="AI3976">
        <v>100.14570705492901</v>
      </c>
      <c r="AJ3976">
        <v>95.013392526869197</v>
      </c>
      <c r="AK3976">
        <v>0.61466785209102404</v>
      </c>
      <c r="AL3976">
        <v>67.306840288953396</v>
      </c>
      <c r="AM3976">
        <v>95.4737314169965</v>
      </c>
      <c r="AN3976">
        <v>0.999999995219511</v>
      </c>
    </row>
    <row r="3977" spans="1:40" x14ac:dyDescent="0.25">
      <c r="A3977" t="str">
        <f>"20190304164449383"</f>
        <v>20190304164449383</v>
      </c>
      <c r="B3977" t="str">
        <f>"1551689089373783"</f>
        <v>1551689089373783</v>
      </c>
      <c r="C3977" t="s">
        <v>40</v>
      </c>
      <c r="D3977">
        <v>5.0765190000000002</v>
      </c>
      <c r="E3977">
        <v>0.5174588</v>
      </c>
      <c r="F3977" t="s">
        <v>41</v>
      </c>
      <c r="G3977">
        <v>-223.16929999999999</v>
      </c>
      <c r="H3977">
        <v>1.007274</v>
      </c>
      <c r="I3977">
        <v>140.16820000000001</v>
      </c>
      <c r="J3977">
        <v>-222.57169999999999</v>
      </c>
      <c r="K3977">
        <v>1.1109359999999999</v>
      </c>
      <c r="L3977">
        <v>140.19319999999999</v>
      </c>
      <c r="M3977">
        <v>-0.99889839999999996</v>
      </c>
      <c r="N3977">
        <v>-9.0311699999999998E-3</v>
      </c>
      <c r="O3977">
        <v>4.6047299999999999E-2</v>
      </c>
      <c r="P3977">
        <v>-0.92521390000000003</v>
      </c>
      <c r="Q3977">
        <v>0.37671719999999997</v>
      </c>
      <c r="R3977">
        <v>-4.5424899999999997E-2</v>
      </c>
      <c r="S3977">
        <v>-3.404083</v>
      </c>
      <c r="T3977">
        <v>-0.39903810000000001</v>
      </c>
      <c r="U3977">
        <v>-4.79126E-2</v>
      </c>
      <c r="V3977">
        <v>-8.8440260000000007E-2</v>
      </c>
      <c r="W3977">
        <v>0.38492470000000001</v>
      </c>
      <c r="X3977">
        <v>0.91870090000000004</v>
      </c>
      <c r="Y3977">
        <v>-5.9396699999999997E-2</v>
      </c>
      <c r="Z3977">
        <v>-8.7020320000000002E-3</v>
      </c>
      <c r="AA3977">
        <v>0.99819650000000004</v>
      </c>
      <c r="AB3977">
        <v>29</v>
      </c>
      <c r="AC3977">
        <v>-0.59759999999999902</v>
      </c>
      <c r="AD3977">
        <v>-0.103662</v>
      </c>
      <c r="AE3977">
        <v>-2.49999999999772E-2</v>
      </c>
      <c r="AF3977">
        <v>-5.0961724535867003E-2</v>
      </c>
      <c r="AG3977">
        <v>-0.103662</v>
      </c>
      <c r="AH3977">
        <v>0.57844013262057303</v>
      </c>
      <c r="AI3977">
        <v>100.121708955076</v>
      </c>
      <c r="AJ3977">
        <v>95.034872001059398</v>
      </c>
      <c r="AK3977">
        <v>0.58986091126449103</v>
      </c>
      <c r="AL3977">
        <v>67.360934945382496</v>
      </c>
      <c r="AM3977">
        <v>95.498728588113707</v>
      </c>
      <c r="AN3977">
        <v>1.0000000239598801</v>
      </c>
    </row>
    <row r="3978" spans="1:40" x14ac:dyDescent="0.25">
      <c r="A3978" t="str">
        <f>"20190304164449405"</f>
        <v>20190304164449405</v>
      </c>
      <c r="B3978" t="str">
        <f>"1551689089394279"</f>
        <v>1551689089394279</v>
      </c>
      <c r="C3978" t="s">
        <v>40</v>
      </c>
      <c r="D3978">
        <v>5.0913040000000001</v>
      </c>
      <c r="E3978">
        <v>0.51753470000000001</v>
      </c>
      <c r="F3978" t="s">
        <v>41</v>
      </c>
      <c r="G3978">
        <v>-223.428</v>
      </c>
      <c r="H3978">
        <v>1.009547</v>
      </c>
      <c r="I3978">
        <v>140.1807</v>
      </c>
      <c r="J3978">
        <v>-222.85470000000001</v>
      </c>
      <c r="K3978">
        <v>1.111116</v>
      </c>
      <c r="L3978">
        <v>140.20529999999999</v>
      </c>
      <c r="M3978">
        <v>-0.99894640000000001</v>
      </c>
      <c r="N3978">
        <v>-9.0196440000000003E-3</v>
      </c>
      <c r="O3978">
        <v>4.4997080000000002E-2</v>
      </c>
      <c r="P3978">
        <v>-0.92562580000000005</v>
      </c>
      <c r="Q3978">
        <v>0.3754286</v>
      </c>
      <c r="R3978">
        <v>-4.7646059999999997E-2</v>
      </c>
      <c r="S3978">
        <v>-3.4042050000000001</v>
      </c>
      <c r="T3978">
        <v>-0.40320709999999998</v>
      </c>
      <c r="U3978">
        <v>-5.0018310000000003E-2</v>
      </c>
      <c r="V3978">
        <v>-8.9878630000000001E-2</v>
      </c>
      <c r="W3978">
        <v>0.38358769999999998</v>
      </c>
      <c r="X3978">
        <v>0.91912039999999995</v>
      </c>
      <c r="Y3978">
        <v>-5.8958709999999998E-2</v>
      </c>
      <c r="Z3978">
        <v>-8.6514699999999996E-3</v>
      </c>
      <c r="AA3978">
        <v>0.99822290000000002</v>
      </c>
      <c r="AB3978">
        <v>29</v>
      </c>
      <c r="AC3978">
        <v>-0.57329999999998904</v>
      </c>
      <c r="AD3978">
        <v>-0.10156900000000001</v>
      </c>
      <c r="AE3978">
        <v>-2.4599999999992399E-2</v>
      </c>
      <c r="AF3978">
        <v>-4.8842717009469898E-2</v>
      </c>
      <c r="AG3978">
        <v>-0.10156900000000001</v>
      </c>
      <c r="AH3978">
        <v>0.55424774556285406</v>
      </c>
      <c r="AI3978">
        <v>100.345326426284</v>
      </c>
      <c r="AJ3978">
        <v>95.036142940824604</v>
      </c>
      <c r="AK3978">
        <v>0.56559034311714795</v>
      </c>
      <c r="AL3978">
        <v>67.4439091172313</v>
      </c>
      <c r="AM3978">
        <v>95.585062928093393</v>
      </c>
      <c r="AN3978">
        <v>1.0000000007090599</v>
      </c>
    </row>
    <row r="3979" spans="1:40" x14ac:dyDescent="0.25">
      <c r="A3979" t="str">
        <f>"20190304164449426"</f>
        <v>20190304164449426</v>
      </c>
      <c r="B3979" t="str">
        <f>"1551689089413799"</f>
        <v>1551689089413799</v>
      </c>
      <c r="C3979" t="s">
        <v>40</v>
      </c>
      <c r="D3979">
        <v>5.0640530000000004</v>
      </c>
      <c r="E3979">
        <v>0.5175305</v>
      </c>
      <c r="F3979" t="s">
        <v>41</v>
      </c>
      <c r="G3979">
        <v>-223.68709999999999</v>
      </c>
      <c r="H3979">
        <v>1.0112779999999999</v>
      </c>
      <c r="I3979">
        <v>140.1917</v>
      </c>
      <c r="J3979">
        <v>-223.12289999999999</v>
      </c>
      <c r="K3979">
        <v>1.1112799999999901</v>
      </c>
      <c r="L3979">
        <v>140.21639999999999</v>
      </c>
      <c r="M3979">
        <v>-0.99899870000000002</v>
      </c>
      <c r="N3979">
        <v>-9.0107239999999995E-3</v>
      </c>
      <c r="O3979">
        <v>4.3823099999999997E-2</v>
      </c>
      <c r="P3979">
        <v>-0.92577390000000004</v>
      </c>
      <c r="Q3979">
        <v>0.37482739999999998</v>
      </c>
      <c r="R3979">
        <v>-4.9472210000000003E-2</v>
      </c>
      <c r="S3979">
        <v>-3.4037929999999998</v>
      </c>
      <c r="T3979">
        <v>-0.40839340000000002</v>
      </c>
      <c r="U3979">
        <v>-5.6365970000000001E-2</v>
      </c>
      <c r="V3979">
        <v>-9.0778830000000005E-2</v>
      </c>
      <c r="W3979">
        <v>0.38294240000000002</v>
      </c>
      <c r="X3979">
        <v>0.91930100000000003</v>
      </c>
      <c r="Y3979">
        <v>-5.9631759999999999E-2</v>
      </c>
      <c r="Z3979">
        <v>-8.6784879999999998E-3</v>
      </c>
      <c r="AA3979">
        <v>0.99818269999999998</v>
      </c>
      <c r="AB3979">
        <v>29</v>
      </c>
      <c r="AC3979">
        <v>-0.56419999999999904</v>
      </c>
      <c r="AD3979">
        <v>-0.10000199999999899</v>
      </c>
      <c r="AE3979">
        <v>-2.4699999999995701E-2</v>
      </c>
      <c r="AF3979">
        <v>-4.7900306526424699E-2</v>
      </c>
      <c r="AG3979">
        <v>-0.10000199999999899</v>
      </c>
      <c r="AH3979">
        <v>0.54547168787845102</v>
      </c>
      <c r="AI3979">
        <v>100.349778397151</v>
      </c>
      <c r="AJ3979">
        <v>95.018524944642607</v>
      </c>
      <c r="AK3979">
        <v>0.55662752505269797</v>
      </c>
      <c r="AL3979">
        <v>67.483938874504503</v>
      </c>
      <c r="AM3979">
        <v>95.639541458626894</v>
      </c>
      <c r="AN3979">
        <v>1.0000000031474601</v>
      </c>
    </row>
    <row r="3980" spans="1:40" x14ac:dyDescent="0.25">
      <c r="A3980" t="str">
        <f>"20190304164449449"</f>
        <v>20190304164449449</v>
      </c>
      <c r="B3980" t="str">
        <f>"1551689089444056"</f>
        <v>1551689089444056</v>
      </c>
      <c r="C3980" t="s">
        <v>40</v>
      </c>
      <c r="D3980">
        <v>5.0770400000000002</v>
      </c>
      <c r="E3980">
        <v>0.51744349999999995</v>
      </c>
      <c r="F3980" t="s">
        <v>41</v>
      </c>
      <c r="G3980">
        <v>-223.946</v>
      </c>
      <c r="H3980">
        <v>1.0117830000000001</v>
      </c>
      <c r="I3980">
        <v>140.2013</v>
      </c>
      <c r="J3980">
        <v>-223.4248</v>
      </c>
      <c r="K3980">
        <v>1.1114489999999999</v>
      </c>
      <c r="L3980">
        <v>140.22819999999999</v>
      </c>
      <c r="M3980">
        <v>-0.99906289999999998</v>
      </c>
      <c r="N3980">
        <v>-8.9980609999999999E-3</v>
      </c>
      <c r="O3980">
        <v>4.233659E-2</v>
      </c>
      <c r="P3980">
        <v>-0.92558410000000002</v>
      </c>
      <c r="Q3980">
        <v>0.37502960000000002</v>
      </c>
      <c r="R3980">
        <v>-5.1448099999999997E-2</v>
      </c>
      <c r="S3980">
        <v>-3.4038390000000001</v>
      </c>
      <c r="T3980">
        <v>-0.4115895</v>
      </c>
      <c r="U3980">
        <v>-6.2576290000000007E-2</v>
      </c>
      <c r="V3980">
        <v>-9.1524339999999996E-2</v>
      </c>
      <c r="W3980">
        <v>0.38309399999999999</v>
      </c>
      <c r="X3980">
        <v>0.91916390000000003</v>
      </c>
      <c r="Y3980">
        <v>-5.9962130000000002E-2</v>
      </c>
      <c r="Z3980">
        <v>-8.6026399999999999E-3</v>
      </c>
      <c r="AA3980">
        <v>0.99816360000000004</v>
      </c>
      <c r="AB3980">
        <v>29</v>
      </c>
      <c r="AC3980">
        <v>-0.521199999999993</v>
      </c>
      <c r="AD3980">
        <v>-9.9665999999999796E-2</v>
      </c>
      <c r="AE3980">
        <v>-2.6899999999983399E-2</v>
      </c>
      <c r="AF3980">
        <v>-4.7220495046226899E-2</v>
      </c>
      <c r="AG3980">
        <v>-9.9665999999999796E-2</v>
      </c>
      <c r="AH3980">
        <v>0.50131118329135405</v>
      </c>
      <c r="AI3980">
        <v>101.196094530708</v>
      </c>
      <c r="AJ3980">
        <v>95.381040491529305</v>
      </c>
      <c r="AK3980">
        <v>0.51329912254102705</v>
      </c>
      <c r="AL3980">
        <v>67.474535598961694</v>
      </c>
      <c r="AM3980">
        <v>95.686395772657505</v>
      </c>
      <c r="AN3980">
        <v>0.99999999635582204</v>
      </c>
    </row>
    <row r="3981" spans="1:40" x14ac:dyDescent="0.25">
      <c r="A3981" t="str">
        <f>"20190304164449474"</f>
        <v>20190304164449474</v>
      </c>
      <c r="B3981" t="str">
        <f>"1551689089464552"</f>
        <v>1551689089464552</v>
      </c>
      <c r="C3981" t="s">
        <v>40</v>
      </c>
      <c r="D3981">
        <v>5.0668439999999997</v>
      </c>
      <c r="E3981">
        <v>0.51741800000000004</v>
      </c>
      <c r="F3981" t="s">
        <v>41</v>
      </c>
      <c r="G3981">
        <v>-224.21279999999999</v>
      </c>
      <c r="H3981">
        <v>1.0163500000000001</v>
      </c>
      <c r="I3981">
        <v>140.21190000000001</v>
      </c>
      <c r="J3981">
        <v>-223.73599999999999</v>
      </c>
      <c r="K3981">
        <v>1.11158</v>
      </c>
      <c r="L3981">
        <v>140.2398</v>
      </c>
      <c r="M3981">
        <v>-0.99913220000000003</v>
      </c>
      <c r="N3981">
        <v>-8.9818929999999995E-3</v>
      </c>
      <c r="O3981">
        <v>4.0670579999999998E-2</v>
      </c>
      <c r="P3981">
        <v>-0.92519750000000001</v>
      </c>
      <c r="Q3981">
        <v>0.37577240000000001</v>
      </c>
      <c r="R3981">
        <v>-5.2958360000000003E-2</v>
      </c>
      <c r="S3981">
        <v>-3.4037169999999999</v>
      </c>
      <c r="T3981">
        <v>-0.41080689999999997</v>
      </c>
      <c r="U3981">
        <v>-7.1044919999999998E-2</v>
      </c>
      <c r="V3981">
        <v>-9.1601740000000001E-2</v>
      </c>
      <c r="W3981">
        <v>0.38379029999999997</v>
      </c>
      <c r="X3981">
        <v>0.91886570000000001</v>
      </c>
      <c r="Y3981">
        <v>-6.0787519999999998E-2</v>
      </c>
      <c r="Z3981">
        <v>-8.4545920000000004E-3</v>
      </c>
      <c r="AA3981">
        <v>0.99811490000000003</v>
      </c>
      <c r="AB3981">
        <v>29</v>
      </c>
      <c r="AC3981">
        <v>-0.476799999999997</v>
      </c>
      <c r="AD3981">
        <v>-9.5229999999999898E-2</v>
      </c>
      <c r="AE3981">
        <v>-2.7899999999988202E-2</v>
      </c>
      <c r="AF3981">
        <v>-4.5462089023411999E-2</v>
      </c>
      <c r="AG3981">
        <v>-9.5229999999999898E-2</v>
      </c>
      <c r="AH3981">
        <v>0.45709879977104101</v>
      </c>
      <c r="AI3981">
        <v>101.712241421107</v>
      </c>
      <c r="AJ3981">
        <v>95.679839259047796</v>
      </c>
      <c r="AK3981">
        <v>0.46912137788689501</v>
      </c>
      <c r="AL3981">
        <v>67.431339449494203</v>
      </c>
      <c r="AM3981">
        <v>95.693007898958896</v>
      </c>
      <c r="AN3981">
        <v>1.0000000238908</v>
      </c>
    </row>
    <row r="3982" spans="1:40" x14ac:dyDescent="0.25">
      <c r="A3982" t="str">
        <f>"20190304164449496"</f>
        <v>20190304164449496</v>
      </c>
      <c r="B3982" t="str">
        <f>"1551689089484071"</f>
        <v>1551689089484071</v>
      </c>
      <c r="C3982" t="s">
        <v>40</v>
      </c>
      <c r="D3982">
        <v>5.0493569999999997</v>
      </c>
      <c r="E3982">
        <v>0.51740129999999995</v>
      </c>
      <c r="F3982" t="s">
        <v>42</v>
      </c>
      <c r="G3982">
        <v>-233.0087</v>
      </c>
      <c r="H3982" s="1">
        <v>-3.0901630000000001E-6</v>
      </c>
      <c r="I3982">
        <v>140.02449999999999</v>
      </c>
      <c r="J3982">
        <v>-224.03120000000001</v>
      </c>
      <c r="K3982">
        <v>1.1116549999999901</v>
      </c>
      <c r="L3982">
        <v>140.25020000000001</v>
      </c>
      <c r="M3982">
        <v>-0.99919899999999995</v>
      </c>
      <c r="N3982">
        <v>-8.9680939999999994E-3</v>
      </c>
      <c r="O3982">
        <v>3.9000960000000001E-2</v>
      </c>
      <c r="P3982">
        <v>-0.92488930000000003</v>
      </c>
      <c r="Q3982">
        <v>0.37634339999999999</v>
      </c>
      <c r="R3982">
        <v>-5.4270390000000002E-2</v>
      </c>
      <c r="S3982">
        <v>-3.4037630000000001</v>
      </c>
      <c r="T3982">
        <v>-0.40803020000000001</v>
      </c>
      <c r="U3982">
        <v>-7.9010010000000006E-2</v>
      </c>
      <c r="V3982">
        <v>-9.1433139999999996E-2</v>
      </c>
      <c r="W3982">
        <v>0.38433050000000002</v>
      </c>
      <c r="X3982">
        <v>0.91865669999999999</v>
      </c>
      <c r="Y3982">
        <v>-6.1468740000000001E-2</v>
      </c>
      <c r="Z3982">
        <v>-8.2564449999999994E-3</v>
      </c>
      <c r="AA3982">
        <v>0.99807489999999999</v>
      </c>
      <c r="AB3982">
        <v>29</v>
      </c>
      <c r="AC3982">
        <v>-8.9774999999999903</v>
      </c>
      <c r="AD3982">
        <v>-1.11165809016299</v>
      </c>
      <c r="AE3982">
        <v>-0.225700000000017</v>
      </c>
      <c r="AF3982">
        <v>-0.56698525799253197</v>
      </c>
      <c r="AG3982">
        <v>-1.11165809016299</v>
      </c>
      <c r="AH3982">
        <v>8.8266119023620409</v>
      </c>
      <c r="AI3982">
        <v>97.163650221647401</v>
      </c>
      <c r="AJ3982">
        <v>93.675395655063596</v>
      </c>
      <c r="AK3982">
        <v>8.9143891359489693</v>
      </c>
      <c r="AL3982">
        <v>67.397817836434996</v>
      </c>
      <c r="AM3982">
        <v>95.683882487204798</v>
      </c>
      <c r="AN3982">
        <v>1.00000004238769</v>
      </c>
    </row>
    <row r="3983" spans="1:40" x14ac:dyDescent="0.25">
      <c r="A3983" t="str">
        <f>"20190304164449520"</f>
        <v>20190304164449520</v>
      </c>
      <c r="B3983" t="str">
        <f>"1551689089514328"</f>
        <v>1551689089514328</v>
      </c>
      <c r="C3983" t="s">
        <v>40</v>
      </c>
      <c r="D3983">
        <v>5.0834590000000004</v>
      </c>
      <c r="E3983">
        <v>0.51734840000000004</v>
      </c>
      <c r="F3983" t="s">
        <v>41</v>
      </c>
      <c r="G3983">
        <v>-224.97829999999999</v>
      </c>
      <c r="H3983">
        <v>0.99872859999999997</v>
      </c>
      <c r="I3983">
        <v>140.22569999999999</v>
      </c>
      <c r="J3983">
        <v>-224.333</v>
      </c>
      <c r="K3983">
        <v>1.1116900000000001</v>
      </c>
      <c r="L3983">
        <v>140.2602</v>
      </c>
      <c r="M3983">
        <v>-0.99926579999999998</v>
      </c>
      <c r="N3983">
        <v>-8.9554270000000002E-3</v>
      </c>
      <c r="O3983">
        <v>3.7250980000000003E-2</v>
      </c>
      <c r="P3983">
        <v>-0.92491190000000001</v>
      </c>
      <c r="Q3983">
        <v>0.37611309999999998</v>
      </c>
      <c r="R3983">
        <v>-5.547233E-2</v>
      </c>
      <c r="S3983">
        <v>-3.4035799999999998</v>
      </c>
      <c r="T3983">
        <v>-0.40584239999999999</v>
      </c>
      <c r="U3983">
        <v>-8.8333129999999996E-2</v>
      </c>
      <c r="V3983">
        <v>-9.1060059999999998E-2</v>
      </c>
      <c r="W3983">
        <v>0.38408120000000001</v>
      </c>
      <c r="X3983">
        <v>0.918798</v>
      </c>
      <c r="Y3983">
        <v>-6.246488E-2</v>
      </c>
      <c r="Z3983">
        <v>-8.0838739999999996E-3</v>
      </c>
      <c r="AA3983">
        <v>0.99801450000000003</v>
      </c>
      <c r="AB3983">
        <v>29</v>
      </c>
      <c r="AC3983">
        <v>-0.64529999999999099</v>
      </c>
      <c r="AD3983">
        <v>-0.1129614</v>
      </c>
      <c r="AE3983">
        <v>-3.4500000000008399E-2</v>
      </c>
      <c r="AF3983">
        <v>-5.6780099202054297E-2</v>
      </c>
      <c r="AG3983">
        <v>-0.1129614</v>
      </c>
      <c r="AH3983">
        <v>0.62448508045915496</v>
      </c>
      <c r="AI3983">
        <v>100.211974846552</v>
      </c>
      <c r="AJ3983">
        <v>95.195223149636803</v>
      </c>
      <c r="AK3983">
        <v>0.63715451287064795</v>
      </c>
      <c r="AL3983">
        <v>67.413288929580801</v>
      </c>
      <c r="AM3983">
        <v>95.659976231250994</v>
      </c>
      <c r="AN3983">
        <v>1.0000000337623201</v>
      </c>
    </row>
    <row r="3984" spans="1:40" x14ac:dyDescent="0.25">
      <c r="A3984" t="str">
        <f>"20190304164449540"</f>
        <v>20190304164449540</v>
      </c>
      <c r="B3984" t="str">
        <f>"1551689089533850"</f>
        <v>1551689089533850</v>
      </c>
      <c r="C3984" t="s">
        <v>40</v>
      </c>
      <c r="D3984">
        <v>5.103389</v>
      </c>
      <c r="E3984">
        <v>0.51732840000000002</v>
      </c>
      <c r="F3984" t="s">
        <v>41</v>
      </c>
      <c r="G3984">
        <v>-225.24170000000001</v>
      </c>
      <c r="H3984">
        <v>1.0030429999999999</v>
      </c>
      <c r="I3984">
        <v>140.23480000000001</v>
      </c>
      <c r="J3984">
        <v>-224.60740000000001</v>
      </c>
      <c r="K3984">
        <v>1.1116999999999999</v>
      </c>
      <c r="L3984">
        <v>140.2688</v>
      </c>
      <c r="M3984">
        <v>-0.9993244</v>
      </c>
      <c r="N3984">
        <v>-8.9431210000000001E-3</v>
      </c>
      <c r="O3984">
        <v>3.5649090000000001E-2</v>
      </c>
      <c r="P3984">
        <v>-0.92490519999999998</v>
      </c>
      <c r="Q3984">
        <v>0.37591599999999997</v>
      </c>
      <c r="R3984">
        <v>-5.6903210000000003E-2</v>
      </c>
      <c r="S3984">
        <v>-3.4033359999999999</v>
      </c>
      <c r="T3984">
        <v>-0.40689370000000002</v>
      </c>
      <c r="U3984">
        <v>-9.5077510000000004E-2</v>
      </c>
      <c r="V3984">
        <v>-9.103021E-2</v>
      </c>
      <c r="W3984">
        <v>0.38386910000000002</v>
      </c>
      <c r="X3984">
        <v>0.91888959999999997</v>
      </c>
      <c r="Y3984">
        <v>-6.2846369999999999E-2</v>
      </c>
      <c r="Z3984">
        <v>-7.9532649999999993E-3</v>
      </c>
      <c r="AA3984">
        <v>0.99799150000000003</v>
      </c>
      <c r="AB3984">
        <v>29</v>
      </c>
      <c r="AC3984">
        <v>-0.63429999999999598</v>
      </c>
      <c r="AD3984">
        <v>-0.108656999999999</v>
      </c>
      <c r="AE3984">
        <v>-3.3999999999991801E-2</v>
      </c>
      <c r="AF3984">
        <v>-5.4982693355444603E-2</v>
      </c>
      <c r="AG3984">
        <v>-0.108656999999999</v>
      </c>
      <c r="AH3984">
        <v>0.61469836191835603</v>
      </c>
      <c r="AI3984">
        <v>99.985265999105394</v>
      </c>
      <c r="AJ3984">
        <v>95.111311663405004</v>
      </c>
      <c r="AK3984">
        <v>0.62664464919340801</v>
      </c>
      <c r="AL3984">
        <v>67.426450440053202</v>
      </c>
      <c r="AM3984">
        <v>95.657572525590894</v>
      </c>
      <c r="AN3984">
        <v>1.0000000410278</v>
      </c>
    </row>
    <row r="3985" spans="1:40" x14ac:dyDescent="0.25">
      <c r="A3985" t="str">
        <f>"20190304164449562"</f>
        <v>20190304164449562</v>
      </c>
      <c r="B3985" t="str">
        <f>"1551689089554344"</f>
        <v>1551689089554344</v>
      </c>
      <c r="C3985" t="s">
        <v>40</v>
      </c>
      <c r="D3985">
        <v>5.2051769999999999</v>
      </c>
      <c r="E3985">
        <v>0.51733720000000005</v>
      </c>
      <c r="F3985" t="s">
        <v>41</v>
      </c>
      <c r="G3985">
        <v>-225.50380000000001</v>
      </c>
      <c r="H3985">
        <v>1.0041500000000001</v>
      </c>
      <c r="I3985">
        <v>140.24199999999999</v>
      </c>
      <c r="J3985">
        <v>-224.89429999999999</v>
      </c>
      <c r="K3985">
        <v>1.111707</v>
      </c>
      <c r="L3985">
        <v>140.2774</v>
      </c>
      <c r="M3985">
        <v>-0.99938260000000001</v>
      </c>
      <c r="N3985">
        <v>-8.9264759999999992E-3</v>
      </c>
      <c r="O3985">
        <v>3.3981200000000003E-2</v>
      </c>
      <c r="P3985">
        <v>-0.92486040000000003</v>
      </c>
      <c r="Q3985">
        <v>0.37590630000000003</v>
      </c>
      <c r="R3985">
        <v>-5.7686540000000001E-2</v>
      </c>
      <c r="S3985">
        <v>-3.4032900000000001</v>
      </c>
      <c r="T3985">
        <v>-0.40842349999999999</v>
      </c>
      <c r="U3985">
        <v>-0.1022797</v>
      </c>
      <c r="V3985">
        <v>-9.0282799999999996E-2</v>
      </c>
      <c r="W3985">
        <v>0.38384439999999997</v>
      </c>
      <c r="X3985">
        <v>0.91897359999999995</v>
      </c>
      <c r="Y3985">
        <v>-6.3292929999999997E-2</v>
      </c>
      <c r="Z3985">
        <v>-7.8272669999999902E-3</v>
      </c>
      <c r="AA3985">
        <v>0.99796430000000003</v>
      </c>
      <c r="AB3985">
        <v>29</v>
      </c>
      <c r="AC3985">
        <v>-0.60950000000002502</v>
      </c>
      <c r="AD3985">
        <v>-0.107556999999999</v>
      </c>
      <c r="AE3985">
        <v>-3.5399999999981398E-2</v>
      </c>
      <c r="AF3985">
        <v>-5.4403448832315099E-2</v>
      </c>
      <c r="AG3985">
        <v>-0.107556999999999</v>
      </c>
      <c r="AH3985">
        <v>0.58964470407168501</v>
      </c>
      <c r="AI3985">
        <v>100.294872825035</v>
      </c>
      <c r="AJ3985">
        <v>95.271458983518698</v>
      </c>
      <c r="AK3985">
        <v>0.60183811821255995</v>
      </c>
      <c r="AL3985">
        <v>67.427981898154499</v>
      </c>
      <c r="AM3985">
        <v>95.610908662257899</v>
      </c>
      <c r="AN3985">
        <v>0.99999999244207904</v>
      </c>
    </row>
    <row r="3986" spans="1:40" x14ac:dyDescent="0.25">
      <c r="A3986" t="str">
        <f>"20190304164449584"</f>
        <v>20190304164449584</v>
      </c>
      <c r="B3986" t="str">
        <f>"1551689089573863"</f>
        <v>1551689089573863</v>
      </c>
      <c r="C3986" t="s">
        <v>40</v>
      </c>
      <c r="D3986">
        <v>5.1014309999999998</v>
      </c>
      <c r="E3986">
        <v>0.51736340000000003</v>
      </c>
      <c r="F3986" t="s">
        <v>41</v>
      </c>
      <c r="G3986">
        <v>-225.76730000000001</v>
      </c>
      <c r="H3986">
        <v>1.0069220000000001</v>
      </c>
      <c r="I3986">
        <v>140.25</v>
      </c>
      <c r="J3986">
        <v>-225.1848</v>
      </c>
      <c r="K3986">
        <v>1.1117060000000001</v>
      </c>
      <c r="L3986">
        <v>140.28559999999999</v>
      </c>
      <c r="M3986">
        <v>-0.99943820000000005</v>
      </c>
      <c r="N3986">
        <v>-8.9100800000000008E-3</v>
      </c>
      <c r="O3986">
        <v>3.2310150000000003E-2</v>
      </c>
      <c r="P3986">
        <v>-0.92494540000000003</v>
      </c>
      <c r="Q3986">
        <v>0.37568089999999998</v>
      </c>
      <c r="R3986">
        <v>-5.7793909999999997E-2</v>
      </c>
      <c r="S3986">
        <v>-3.4031069999999999</v>
      </c>
      <c r="T3986">
        <v>-0.4085242</v>
      </c>
      <c r="U3986">
        <v>-0.10688780000000001</v>
      </c>
      <c r="V3986">
        <v>-8.8856130000000005E-2</v>
      </c>
      <c r="W3986">
        <v>0.38360880000000003</v>
      </c>
      <c r="X3986">
        <v>0.919211</v>
      </c>
      <c r="Y3986">
        <v>-6.2988219999999998E-2</v>
      </c>
      <c r="Z3986">
        <v>-7.6249709999999899E-3</v>
      </c>
      <c r="AA3986">
        <v>0.99798509999999996</v>
      </c>
      <c r="AB3986">
        <v>29</v>
      </c>
      <c r="AC3986">
        <v>-0.58250000000001001</v>
      </c>
      <c r="AD3986">
        <v>-0.104784</v>
      </c>
      <c r="AE3986">
        <v>-3.5599999999988002E-2</v>
      </c>
      <c r="AF3986">
        <v>-5.2703715579503603E-2</v>
      </c>
      <c r="AG3986">
        <v>-0.104784</v>
      </c>
      <c r="AH3986">
        <v>0.56289838816141502</v>
      </c>
      <c r="AI3986">
        <v>100.500064725315</v>
      </c>
      <c r="AJ3986">
        <v>95.348962909976706</v>
      </c>
      <c r="AK3986">
        <v>0.57498866396356396</v>
      </c>
      <c r="AL3986">
        <v>67.442599845414193</v>
      </c>
      <c r="AM3986">
        <v>95.521378777186897</v>
      </c>
      <c r="AN3986">
        <v>0.99999999289850805</v>
      </c>
    </row>
    <row r="3987" spans="1:40" x14ac:dyDescent="0.25">
      <c r="A3987" t="str">
        <f>"20190304164449606"</f>
        <v>20190304164449606</v>
      </c>
      <c r="B3987" t="str">
        <f>"1551689089594359"</f>
        <v>1551689089594359</v>
      </c>
      <c r="C3987" t="s">
        <v>40</v>
      </c>
      <c r="D3987">
        <v>5.1030680000000004</v>
      </c>
      <c r="E3987">
        <v>0.51740529999999996</v>
      </c>
      <c r="F3987" t="s">
        <v>41</v>
      </c>
      <c r="G3987">
        <v>-226.03110000000001</v>
      </c>
      <c r="H3987">
        <v>1.0098419999999999</v>
      </c>
      <c r="I3987">
        <v>140.25819999999999</v>
      </c>
      <c r="J3987">
        <v>-225.46019999999999</v>
      </c>
      <c r="K3987">
        <v>1.111702</v>
      </c>
      <c r="L3987">
        <v>140.2929</v>
      </c>
      <c r="M3987">
        <v>-0.99948780000000004</v>
      </c>
      <c r="N3987">
        <v>-8.8933169999999995E-3</v>
      </c>
      <c r="O3987">
        <v>3.0741230000000001E-2</v>
      </c>
      <c r="P3987">
        <v>-0.92513900000000004</v>
      </c>
      <c r="Q3987">
        <v>0.37516739999999998</v>
      </c>
      <c r="R3987">
        <v>-5.8028629999999998E-2</v>
      </c>
      <c r="S3987">
        <v>-3.4028930000000002</v>
      </c>
      <c r="T3987">
        <v>-0.4096475</v>
      </c>
      <c r="U3987">
        <v>-0.11079410000000001</v>
      </c>
      <c r="V3987">
        <v>-8.7651549999999995E-2</v>
      </c>
      <c r="W3987">
        <v>0.38308599999999998</v>
      </c>
      <c r="X3987">
        <v>0.91954460000000005</v>
      </c>
      <c r="Y3987">
        <v>-6.2577140000000003E-2</v>
      </c>
      <c r="Z3987">
        <v>-7.4454919999999997E-3</v>
      </c>
      <c r="AA3987">
        <v>0.99801240000000002</v>
      </c>
      <c r="AB3987">
        <v>29</v>
      </c>
      <c r="AC3987">
        <v>-0.57090000000002294</v>
      </c>
      <c r="AD3987">
        <v>-0.10186000000000001</v>
      </c>
      <c r="AE3987">
        <v>-3.4700000000014997E-2</v>
      </c>
      <c r="AF3987">
        <v>-5.0628694255648997E-2</v>
      </c>
      <c r="AG3987">
        <v>-0.10186000000000001</v>
      </c>
      <c r="AH3987">
        <v>0.55205414877362802</v>
      </c>
      <c r="AI3987">
        <v>100.411388653188</v>
      </c>
      <c r="AJ3987">
        <v>95.239918452652205</v>
      </c>
      <c r="AK3987">
        <v>0.56365105114796599</v>
      </c>
      <c r="AL3987">
        <v>67.475031302204499</v>
      </c>
      <c r="AM3987">
        <v>95.445017110016494</v>
      </c>
      <c r="AN3987">
        <v>0.99999997450128097</v>
      </c>
    </row>
    <row r="3988" spans="1:40" x14ac:dyDescent="0.25">
      <c r="A3988" t="str">
        <f>"20190304164449628"</f>
        <v>20190304164449628</v>
      </c>
      <c r="B3988" t="str">
        <f>"1551689089624615"</f>
        <v>1551689089624615</v>
      </c>
      <c r="C3988" t="s">
        <v>40</v>
      </c>
      <c r="D3988">
        <v>5.1105419999999997</v>
      </c>
      <c r="E3988">
        <v>0.51746899999999996</v>
      </c>
      <c r="F3988" t="s">
        <v>41</v>
      </c>
      <c r="G3988">
        <v>-226.2944</v>
      </c>
      <c r="H3988">
        <v>1.010707</v>
      </c>
      <c r="I3988">
        <v>140.26499999999999</v>
      </c>
      <c r="J3988">
        <v>-225.75810000000001</v>
      </c>
      <c r="K3988">
        <v>1.1116969999999999</v>
      </c>
      <c r="L3988">
        <v>140.3004</v>
      </c>
      <c r="M3988">
        <v>-0.99953860000000005</v>
      </c>
      <c r="N3988">
        <v>-8.8723969999999902E-3</v>
      </c>
      <c r="O3988">
        <v>2.9053949999999999E-2</v>
      </c>
      <c r="P3988">
        <v>-0.92519249999999997</v>
      </c>
      <c r="Q3988">
        <v>0.37505300000000003</v>
      </c>
      <c r="R3988">
        <v>-5.7918200000000003E-2</v>
      </c>
      <c r="S3988">
        <v>-3.402679</v>
      </c>
      <c r="T3988">
        <v>-0.41197260000000002</v>
      </c>
      <c r="U3988">
        <v>-0.113967899999999</v>
      </c>
      <c r="V3988">
        <v>-8.5990159999999996E-2</v>
      </c>
      <c r="W3988">
        <v>0.38295790000000002</v>
      </c>
      <c r="X3988">
        <v>0.91975490000000004</v>
      </c>
      <c r="Y3988">
        <v>-6.1832989999999997E-2</v>
      </c>
      <c r="Z3988">
        <v>-7.2510509999999997E-3</v>
      </c>
      <c r="AA3988">
        <v>0.99806019999999895</v>
      </c>
      <c r="AB3988">
        <v>29</v>
      </c>
      <c r="AC3988">
        <v>-0.53629999999998201</v>
      </c>
      <c r="AD3988">
        <v>-0.100989999999999</v>
      </c>
      <c r="AE3988">
        <v>-3.5400000000009799E-2</v>
      </c>
      <c r="AF3988">
        <v>-4.9229195179206597E-2</v>
      </c>
      <c r="AG3988">
        <v>-0.100989999999999</v>
      </c>
      <c r="AH3988">
        <v>0.51679874439316897</v>
      </c>
      <c r="AI3988">
        <v>101.00848203147901</v>
      </c>
      <c r="AJ3988">
        <v>95.441460081408906</v>
      </c>
      <c r="AK3988">
        <v>0.52886996129894503</v>
      </c>
      <c r="AL3988">
        <v>67.482979054345094</v>
      </c>
      <c r="AM3988">
        <v>95.341198027923497</v>
      </c>
      <c r="AN3988">
        <v>1.0000000684316199</v>
      </c>
    </row>
    <row r="3989" spans="1:40" x14ac:dyDescent="0.25">
      <c r="A3989" t="str">
        <f>"20190304164449650"</f>
        <v>20190304164449650</v>
      </c>
      <c r="B3989" t="str">
        <f>"1551689089644135"</f>
        <v>1551689089644135</v>
      </c>
      <c r="C3989" t="s">
        <v>40</v>
      </c>
      <c r="D3989">
        <v>5.1008940000000003</v>
      </c>
      <c r="E3989">
        <v>0.5175244</v>
      </c>
      <c r="F3989" t="s">
        <v>41</v>
      </c>
      <c r="G3989">
        <v>-226.5598</v>
      </c>
      <c r="H3989">
        <v>1.0143610000000001</v>
      </c>
      <c r="I3989">
        <v>140.27330000000001</v>
      </c>
      <c r="J3989">
        <v>-226.06370000000001</v>
      </c>
      <c r="K3989">
        <v>1.111707</v>
      </c>
      <c r="L3989">
        <v>140.3075</v>
      </c>
      <c r="M3989">
        <v>-0.99958760000000002</v>
      </c>
      <c r="N3989">
        <v>-8.8522919999999995E-3</v>
      </c>
      <c r="O3989">
        <v>2.7320759999999999E-2</v>
      </c>
      <c r="P3989">
        <v>-0.92481959999999996</v>
      </c>
      <c r="Q3989">
        <v>0.37604959999999998</v>
      </c>
      <c r="R3989">
        <v>-5.7406789999999999E-2</v>
      </c>
      <c r="S3989">
        <v>-3.4028779999999998</v>
      </c>
      <c r="T3989">
        <v>-0.4133192</v>
      </c>
      <c r="U3989">
        <v>-0.1156311</v>
      </c>
      <c r="V3989">
        <v>-8.3881129999999998E-2</v>
      </c>
      <c r="W3989">
        <v>0.38393860000000002</v>
      </c>
      <c r="X3989">
        <v>0.91954069999999999</v>
      </c>
      <c r="Y3989">
        <v>-6.0604100000000001E-2</v>
      </c>
      <c r="Z3989">
        <v>-6.9998389999999999E-3</v>
      </c>
      <c r="AA3989">
        <v>0.99813739999999995</v>
      </c>
      <c r="AB3989">
        <v>29</v>
      </c>
      <c r="AC3989">
        <v>-0.496099999999984</v>
      </c>
      <c r="AD3989">
        <v>-9.7345999999999905E-2</v>
      </c>
      <c r="AE3989">
        <v>-3.4199999999998398E-2</v>
      </c>
      <c r="AF3989">
        <v>-4.59795999622215E-2</v>
      </c>
      <c r="AG3989">
        <v>-9.7345999999999905E-2</v>
      </c>
      <c r="AH3989">
        <v>0.47671222576212902</v>
      </c>
      <c r="AI3989">
        <v>101.489397488688</v>
      </c>
      <c r="AJ3989">
        <v>95.509221049187701</v>
      </c>
      <c r="AK3989">
        <v>0.48871762145411601</v>
      </c>
      <c r="AL3989">
        <v>67.422136850372596</v>
      </c>
      <c r="AM3989">
        <v>95.212134942851804</v>
      </c>
      <c r="AN3989">
        <v>0.99999999574826304</v>
      </c>
    </row>
    <row r="3990" spans="1:40" x14ac:dyDescent="0.25">
      <c r="A3990" t="str">
        <f>"20190304164449675"</f>
        <v>20190304164449675</v>
      </c>
      <c r="B3990" t="str">
        <f>"1551689089663655"</f>
        <v>1551689089663655</v>
      </c>
      <c r="C3990" t="s">
        <v>40</v>
      </c>
      <c r="D3990">
        <v>5.1115830000000004</v>
      </c>
      <c r="E3990">
        <v>0.5175767</v>
      </c>
      <c r="F3990" t="s">
        <v>41</v>
      </c>
      <c r="G3990">
        <v>-226.83500000000001</v>
      </c>
      <c r="H3990">
        <v>1.0188469999999901</v>
      </c>
      <c r="I3990">
        <v>140.28129999999999</v>
      </c>
      <c r="J3990">
        <v>-226.3723</v>
      </c>
      <c r="K3990">
        <v>1.1117220000000001</v>
      </c>
      <c r="L3990">
        <v>140.3141</v>
      </c>
      <c r="M3990">
        <v>-0.99963460000000004</v>
      </c>
      <c r="N3990">
        <v>-8.8288689999999996E-3</v>
      </c>
      <c r="O3990">
        <v>2.5549100000000002E-2</v>
      </c>
      <c r="P3990">
        <v>-0.92458549999999995</v>
      </c>
      <c r="Q3990">
        <v>0.37665490000000001</v>
      </c>
      <c r="R3990">
        <v>-5.7208490000000001E-2</v>
      </c>
      <c r="S3990">
        <v>-3.4032589999999998</v>
      </c>
      <c r="T3990">
        <v>-0.4097826</v>
      </c>
      <c r="U3990">
        <v>-0.11628719999999999</v>
      </c>
      <c r="V3990">
        <v>-8.2060279999999999E-2</v>
      </c>
      <c r="W3990">
        <v>0.38452370000000002</v>
      </c>
      <c r="X3990">
        <v>0.91946050000000001</v>
      </c>
      <c r="Y3990">
        <v>-5.9057520000000002E-2</v>
      </c>
      <c r="Z3990">
        <v>-6.6432150000000001E-3</v>
      </c>
      <c r="AA3990">
        <v>0.99823249999999997</v>
      </c>
      <c r="AB3990">
        <v>30</v>
      </c>
      <c r="AC3990">
        <v>-0.46270000000001199</v>
      </c>
      <c r="AD3990">
        <v>-9.2874999999999999E-2</v>
      </c>
      <c r="AE3990">
        <v>-3.2800000000008801E-2</v>
      </c>
      <c r="AF3990">
        <v>-4.2891844026302299E-2</v>
      </c>
      <c r="AG3990">
        <v>-9.2874999999999999E-2</v>
      </c>
      <c r="AH3990">
        <v>0.44391494238933898</v>
      </c>
      <c r="AI3990">
        <v>101.763613329227</v>
      </c>
      <c r="AJ3990">
        <v>95.518887389706904</v>
      </c>
      <c r="AK3990">
        <v>0.45555016407143001</v>
      </c>
      <c r="AL3990">
        <v>67.385825556790607</v>
      </c>
      <c r="AM3990">
        <v>95.100038114329905</v>
      </c>
      <c r="AN3990">
        <v>0.999999988237809</v>
      </c>
    </row>
    <row r="3991" spans="1:40" x14ac:dyDescent="0.25">
      <c r="A3991" t="str">
        <f>"20190304164449697"</f>
        <v>20190304164449697</v>
      </c>
      <c r="B3991" t="str">
        <f>"1551689089693911"</f>
        <v>1551689089693911</v>
      </c>
      <c r="C3991" t="s">
        <v>40</v>
      </c>
      <c r="D3991">
        <v>5.0350219999999997</v>
      </c>
      <c r="E3991">
        <v>0.51761380000000001</v>
      </c>
      <c r="F3991" t="s">
        <v>41</v>
      </c>
      <c r="G3991">
        <v>-227.3417</v>
      </c>
      <c r="H3991">
        <v>0.99563190000000001</v>
      </c>
      <c r="I3991">
        <v>140.28039999999999</v>
      </c>
      <c r="J3991">
        <v>-226.6729</v>
      </c>
      <c r="K3991">
        <v>1.1117319999999999</v>
      </c>
      <c r="L3991">
        <v>140.32</v>
      </c>
      <c r="M3991">
        <v>-0.99967810000000001</v>
      </c>
      <c r="N3991">
        <v>-8.80524699999999E-3</v>
      </c>
      <c r="O3991">
        <v>2.3795480000000001E-2</v>
      </c>
      <c r="P3991">
        <v>-0.9247358</v>
      </c>
      <c r="Q3991">
        <v>0.37622470000000002</v>
      </c>
      <c r="R3991">
        <v>-5.7608529999999998E-2</v>
      </c>
      <c r="S3991">
        <v>-3.4034420000000001</v>
      </c>
      <c r="T3991">
        <v>-0.4077095</v>
      </c>
      <c r="U3991">
        <v>-0.1187134</v>
      </c>
      <c r="V3991">
        <v>-8.0865229999999996E-2</v>
      </c>
      <c r="W3991">
        <v>0.38407380000000002</v>
      </c>
      <c r="X3991">
        <v>0.91975439999999997</v>
      </c>
      <c r="Y3991">
        <v>-5.8040120000000001E-2</v>
      </c>
      <c r="Z3991">
        <v>-6.3504240000000003E-3</v>
      </c>
      <c r="AA3991">
        <v>0.99829409999999996</v>
      </c>
      <c r="AB3991">
        <v>30</v>
      </c>
      <c r="AC3991">
        <v>-0.66880000000000395</v>
      </c>
      <c r="AD3991">
        <v>-0.1161001</v>
      </c>
      <c r="AE3991">
        <v>-3.9600000000007102E-2</v>
      </c>
      <c r="AF3991">
        <v>-5.3885643609822398E-2</v>
      </c>
      <c r="AG3991">
        <v>-0.1161001</v>
      </c>
      <c r="AH3991">
        <v>0.64820285995895999</v>
      </c>
      <c r="AI3991">
        <v>100.12043040155601</v>
      </c>
      <c r="AJ3991">
        <v>94.7521190919432</v>
      </c>
      <c r="AK3991">
        <v>0.66071918654314099</v>
      </c>
      <c r="AL3991">
        <v>67.413747639580095</v>
      </c>
      <c r="AM3991">
        <v>95.024551268678806</v>
      </c>
      <c r="AN3991">
        <v>1.00000001279437</v>
      </c>
    </row>
    <row r="3992" spans="1:40" x14ac:dyDescent="0.25">
      <c r="A3992" t="str">
        <f>"20190304164449718"</f>
        <v>20190304164449718</v>
      </c>
      <c r="B3992" t="str">
        <f>"1551689089714407"</f>
        <v>1551689089714407</v>
      </c>
      <c r="C3992" t="s">
        <v>40</v>
      </c>
      <c r="D3992">
        <v>5.1113119999999999</v>
      </c>
      <c r="E3992">
        <v>0.51763720000000002</v>
      </c>
      <c r="F3992" t="s">
        <v>41</v>
      </c>
      <c r="G3992">
        <v>-227.6088</v>
      </c>
      <c r="H3992">
        <v>0.99905489999999997</v>
      </c>
      <c r="I3992">
        <v>140.2867</v>
      </c>
      <c r="J3992">
        <v>-226.95490000000001</v>
      </c>
      <c r="K3992">
        <v>1.111747</v>
      </c>
      <c r="L3992">
        <v>140.32499999999999</v>
      </c>
      <c r="M3992">
        <v>-0.99971650000000001</v>
      </c>
      <c r="N3992">
        <v>-8.7841759999999994E-3</v>
      </c>
      <c r="O3992">
        <v>2.213027E-2</v>
      </c>
      <c r="P3992">
        <v>-0.92491440000000003</v>
      </c>
      <c r="Q3992">
        <v>0.37572729999999999</v>
      </c>
      <c r="R3992">
        <v>-5.7988379999999999E-2</v>
      </c>
      <c r="S3992">
        <v>-3.4033809999999902</v>
      </c>
      <c r="T3992">
        <v>-0.40992390000000001</v>
      </c>
      <c r="U3992">
        <v>-0.121459999999999</v>
      </c>
      <c r="V3992">
        <v>-7.9728859999999999E-2</v>
      </c>
      <c r="W3992">
        <v>0.38355909999999999</v>
      </c>
      <c r="X3992">
        <v>0.92006829999999995</v>
      </c>
      <c r="Y3992">
        <v>-5.7193040000000001E-2</v>
      </c>
      <c r="Z3992">
        <v>-6.1445930000000003E-3</v>
      </c>
      <c r="AA3992">
        <v>0.99834420000000001</v>
      </c>
      <c r="AB3992">
        <v>30</v>
      </c>
      <c r="AC3992">
        <v>-0.65389999999999204</v>
      </c>
      <c r="AD3992">
        <v>-0.112692099999999</v>
      </c>
      <c r="AE3992">
        <v>-3.8299999999992403E-2</v>
      </c>
      <c r="AF3992">
        <v>-5.1245350698045498E-2</v>
      </c>
      <c r="AG3992">
        <v>-0.112692099999999</v>
      </c>
      <c r="AH3992">
        <v>0.63412282652937901</v>
      </c>
      <c r="AI3992">
        <v>100.04494334236099</v>
      </c>
      <c r="AJ3992">
        <v>94.620201950569694</v>
      </c>
      <c r="AK3992">
        <v>0.64609392080113603</v>
      </c>
      <c r="AL3992">
        <v>67.445682898042506</v>
      </c>
      <c r="AM3992">
        <v>94.952615115400405</v>
      </c>
      <c r="AN3992">
        <v>0.99999997548729902</v>
      </c>
    </row>
    <row r="3993" spans="1:40" x14ac:dyDescent="0.25">
      <c r="A3993" t="str">
        <f>"20190304164449740"</f>
        <v>20190304164449740</v>
      </c>
      <c r="B3993" t="str">
        <f>"1551689089733927"</f>
        <v>1551689089733927</v>
      </c>
      <c r="C3993" t="s">
        <v>40</v>
      </c>
      <c r="D3993">
        <v>5.1044839999999896</v>
      </c>
      <c r="E3993">
        <v>0.51768179999999997</v>
      </c>
      <c r="F3993" t="s">
        <v>41</v>
      </c>
      <c r="G3993">
        <v>-227.87530000000001</v>
      </c>
      <c r="H3993">
        <v>1.0002770000000001</v>
      </c>
      <c r="I3993">
        <v>140.2912</v>
      </c>
      <c r="J3993">
        <v>-227.24850000000001</v>
      </c>
      <c r="K3993">
        <v>1.111758</v>
      </c>
      <c r="L3993">
        <v>140.3297</v>
      </c>
      <c r="M3993">
        <v>-0.99975409999999998</v>
      </c>
      <c r="N3993">
        <v>-8.7587610000000003E-3</v>
      </c>
      <c r="O3993">
        <v>2.0378650000000002E-2</v>
      </c>
      <c r="P3993">
        <v>-0.92495099999999997</v>
      </c>
      <c r="Q3993">
        <v>0.37566739999999998</v>
      </c>
      <c r="R3993">
        <v>-5.7795260000000001E-2</v>
      </c>
      <c r="S3993">
        <v>-3.4031829999999998</v>
      </c>
      <c r="T3993">
        <v>-0.4121901</v>
      </c>
      <c r="U3993">
        <v>-0.12474059999999999</v>
      </c>
      <c r="V3993">
        <v>-7.793535E-2</v>
      </c>
      <c r="W3993">
        <v>0.38348019999999999</v>
      </c>
      <c r="X3993">
        <v>0.92025489999999999</v>
      </c>
      <c r="Y3993">
        <v>-5.6417769999999999E-2</v>
      </c>
      <c r="Z3993">
        <v>-5.9319019999999898E-3</v>
      </c>
      <c r="AA3993">
        <v>0.99838959999999999</v>
      </c>
      <c r="AB3993">
        <v>30</v>
      </c>
      <c r="AC3993">
        <v>-0.62680000000000202</v>
      </c>
      <c r="AD3993">
        <v>-0.111480999999999</v>
      </c>
      <c r="AE3993">
        <v>-3.8499999999999E-2</v>
      </c>
      <c r="AF3993">
        <v>-4.9699580517138298E-2</v>
      </c>
      <c r="AG3993">
        <v>-0.111480999999999</v>
      </c>
      <c r="AH3993">
        <v>0.60676346246541502</v>
      </c>
      <c r="AI3993">
        <v>100.37688331476301</v>
      </c>
      <c r="AJ3993">
        <v>94.682604733551898</v>
      </c>
      <c r="AK3993">
        <v>0.61891837995619303</v>
      </c>
      <c r="AL3993">
        <v>67.450579177002894</v>
      </c>
      <c r="AM3993">
        <v>94.840764039925403</v>
      </c>
      <c r="AN3993">
        <v>1.0000000317728299</v>
      </c>
    </row>
    <row r="3994" spans="1:40" x14ac:dyDescent="0.25">
      <c r="A3994" t="str">
        <f>"20190304164449763"</f>
        <v>20190304164449763</v>
      </c>
      <c r="B3994" t="str">
        <f>"1551689089754424"</f>
        <v>1551689089754424</v>
      </c>
      <c r="C3994" t="s">
        <v>40</v>
      </c>
      <c r="D3994">
        <v>5.1012449999999996</v>
      </c>
      <c r="E3994">
        <v>0.51770450000000001</v>
      </c>
      <c r="F3994" t="s">
        <v>41</v>
      </c>
      <c r="G3994">
        <v>-228.14320000000001</v>
      </c>
      <c r="H3994">
        <v>1.0032319999999999</v>
      </c>
      <c r="I3994">
        <v>140.29669999999999</v>
      </c>
      <c r="J3994">
        <v>-227.55459999999999</v>
      </c>
      <c r="K3994">
        <v>1.1117619999999999</v>
      </c>
      <c r="L3994">
        <v>140.33410000000001</v>
      </c>
      <c r="M3994">
        <v>-0.99979010000000001</v>
      </c>
      <c r="N3994">
        <v>-8.7328349999999996E-3</v>
      </c>
      <c r="O3994">
        <v>1.8538639999999999E-2</v>
      </c>
      <c r="P3994">
        <v>-0.92507989999999996</v>
      </c>
      <c r="Q3994">
        <v>0.37540469999999998</v>
      </c>
      <c r="R3994">
        <v>-5.7433720000000001E-2</v>
      </c>
      <c r="S3994">
        <v>-3.4032439999999999</v>
      </c>
      <c r="T3994">
        <v>-0.41290559999999998</v>
      </c>
      <c r="U3994">
        <v>-0.12593080000000001</v>
      </c>
      <c r="V3994">
        <v>-7.5887979999999994E-2</v>
      </c>
      <c r="W3994">
        <v>0.3832006</v>
      </c>
      <c r="X3994">
        <v>0.92054239999999998</v>
      </c>
      <c r="Y3994">
        <v>-5.494955E-2</v>
      </c>
      <c r="Z3994">
        <v>-5.64016E-3</v>
      </c>
      <c r="AA3994">
        <v>0.99847319999999995</v>
      </c>
      <c r="AB3994">
        <v>30</v>
      </c>
      <c r="AC3994">
        <v>-0.588600000000013</v>
      </c>
      <c r="AD3994">
        <v>-0.10853</v>
      </c>
      <c r="AE3994">
        <v>-3.7400000000019397E-2</v>
      </c>
      <c r="AF3994">
        <v>-4.6723685680844E-2</v>
      </c>
      <c r="AG3994">
        <v>-0.10853</v>
      </c>
      <c r="AH3994">
        <v>0.56855326711951704</v>
      </c>
      <c r="AI3994">
        <v>100.771607087398</v>
      </c>
      <c r="AJ3994">
        <v>94.698007871322702</v>
      </c>
      <c r="AK3994">
        <v>0.58070188673352796</v>
      </c>
      <c r="AL3994">
        <v>67.467923297052707</v>
      </c>
      <c r="AM3994">
        <v>94.712711787075307</v>
      </c>
      <c r="AN3994">
        <v>0.99999999777329995</v>
      </c>
    </row>
    <row r="3995" spans="1:40" x14ac:dyDescent="0.25">
      <c r="A3995" t="str">
        <f>"20190304164449785"</f>
        <v>20190304164449785</v>
      </c>
      <c r="B3995" t="str">
        <f>"1551689089773944"</f>
        <v>1551689089773944</v>
      </c>
      <c r="C3995" t="s">
        <v>40</v>
      </c>
      <c r="D3995">
        <v>5.0813750000000004</v>
      </c>
      <c r="E3995">
        <v>0.51771809999999996</v>
      </c>
      <c r="F3995" t="s">
        <v>41</v>
      </c>
      <c r="G3995">
        <v>-228.41239999999999</v>
      </c>
      <c r="H3995">
        <v>1.0073810000000001</v>
      </c>
      <c r="I3995">
        <v>140.30189999999999</v>
      </c>
      <c r="J3995">
        <v>-227.84710000000001</v>
      </c>
      <c r="K3995">
        <v>1.111764</v>
      </c>
      <c r="L3995">
        <v>140.33770000000001</v>
      </c>
      <c r="M3995">
        <v>-0.99982130000000002</v>
      </c>
      <c r="N3995">
        <v>-8.7075219999999901E-3</v>
      </c>
      <c r="O3995">
        <v>1.67788E-2</v>
      </c>
      <c r="P3995">
        <v>-0.92517700000000003</v>
      </c>
      <c r="Q3995">
        <v>0.37524000000000002</v>
      </c>
      <c r="R3995">
        <v>-5.6942399999999997E-2</v>
      </c>
      <c r="S3995">
        <v>-3.4030610000000001</v>
      </c>
      <c r="T3995">
        <v>-0.41409439999999997</v>
      </c>
      <c r="U3995">
        <v>-0.12783810000000001</v>
      </c>
      <c r="V3995">
        <v>-7.3776679999999997E-2</v>
      </c>
      <c r="W3995">
        <v>0.38302079999999999</v>
      </c>
      <c r="X3995">
        <v>0.92078879999999996</v>
      </c>
      <c r="Y3995">
        <v>-5.3770230000000002E-2</v>
      </c>
      <c r="Z3995">
        <v>-5.381434E-3</v>
      </c>
      <c r="AA3995">
        <v>0.99853890000000001</v>
      </c>
      <c r="AB3995">
        <v>30</v>
      </c>
      <c r="AC3995">
        <v>-0.56529999999997904</v>
      </c>
      <c r="AD3995">
        <v>-0.104383</v>
      </c>
      <c r="AE3995">
        <v>-3.5800000000023098E-2</v>
      </c>
      <c r="AF3995">
        <v>-4.3793174105763E-2</v>
      </c>
      <c r="AG3995">
        <v>-0.104383</v>
      </c>
      <c r="AH3995">
        <v>0.54607518506493502</v>
      </c>
      <c r="AI3995">
        <v>100.78780340765</v>
      </c>
      <c r="AJ3995">
        <v>94.585093047056802</v>
      </c>
      <c r="AK3995">
        <v>0.55768428391963898</v>
      </c>
      <c r="AL3995">
        <v>67.479075413372001</v>
      </c>
      <c r="AM3995">
        <v>94.580943477535499</v>
      </c>
      <c r="AN3995">
        <v>0.99999997297495002</v>
      </c>
    </row>
    <row r="3996" spans="1:40" x14ac:dyDescent="0.25">
      <c r="A3996" t="str">
        <f>"20190304164449807"</f>
        <v>20190304164449807</v>
      </c>
      <c r="B3996" t="str">
        <f>"1551689089794439"</f>
        <v>1551689089794439</v>
      </c>
      <c r="C3996" t="s">
        <v>40</v>
      </c>
      <c r="D3996">
        <v>5.1177720000000004</v>
      </c>
      <c r="E3996">
        <v>0.51772829999999903</v>
      </c>
      <c r="F3996" t="s">
        <v>41</v>
      </c>
      <c r="G3996">
        <v>-228.6816</v>
      </c>
      <c r="H3996">
        <v>1.01000499999999</v>
      </c>
      <c r="I3996">
        <v>140.3056</v>
      </c>
      <c r="J3996">
        <v>-228.12909999999999</v>
      </c>
      <c r="K3996">
        <v>1.111753</v>
      </c>
      <c r="L3996">
        <v>140.3408</v>
      </c>
      <c r="M3996">
        <v>-0.99984810000000002</v>
      </c>
      <c r="N3996">
        <v>-8.6809160000000003E-3</v>
      </c>
      <c r="O3996">
        <v>1.5115699999999999E-2</v>
      </c>
      <c r="P3996">
        <v>-0.92525369999999996</v>
      </c>
      <c r="Q3996">
        <v>0.37511929999999999</v>
      </c>
      <c r="R3996">
        <v>-5.6493450000000001E-2</v>
      </c>
      <c r="S3996">
        <v>-3.4028930000000002</v>
      </c>
      <c r="T3996">
        <v>-0.4150298</v>
      </c>
      <c r="U3996">
        <v>-0.13092039999999999</v>
      </c>
      <c r="V3996">
        <v>-7.1780899999999995E-2</v>
      </c>
      <c r="W3996">
        <v>0.38288610000000001</v>
      </c>
      <c r="X3996">
        <v>0.9210026</v>
      </c>
      <c r="Y3996">
        <v>-5.3028430000000001E-2</v>
      </c>
      <c r="Z3996">
        <v>-5.1572809999999997E-3</v>
      </c>
      <c r="AA3996">
        <v>0.99857969999999896</v>
      </c>
      <c r="AB3996">
        <v>30</v>
      </c>
      <c r="AC3996">
        <v>-0.55250000000000898</v>
      </c>
      <c r="AD3996">
        <v>-0.10174800000000001</v>
      </c>
      <c r="AE3996">
        <v>-3.5200000000003201E-2</v>
      </c>
      <c r="AF3996">
        <v>-4.2124843420643002E-2</v>
      </c>
      <c r="AG3996">
        <v>-0.10174800000000001</v>
      </c>
      <c r="AH3996">
        <v>0.53387190305960197</v>
      </c>
      <c r="AI3996">
        <v>100.75766391320199</v>
      </c>
      <c r="AJ3996">
        <v>94.511541921335294</v>
      </c>
      <c r="AK3996">
        <v>0.54511133432877201</v>
      </c>
      <c r="AL3996">
        <v>67.487431312459606</v>
      </c>
      <c r="AM3996">
        <v>94.456497187925606</v>
      </c>
      <c r="AN3996">
        <v>1.00000002619238</v>
      </c>
    </row>
    <row r="3997" spans="1:40" x14ac:dyDescent="0.25">
      <c r="A3997" t="str">
        <f>"20190304164449829"</f>
        <v>20190304164449829</v>
      </c>
      <c r="B3997" t="str">
        <f>"1551689089824696"</f>
        <v>1551689089824696</v>
      </c>
      <c r="C3997" t="s">
        <v>40</v>
      </c>
      <c r="D3997">
        <v>5.090535</v>
      </c>
      <c r="E3997">
        <v>0.51774439999999999</v>
      </c>
      <c r="F3997" t="s">
        <v>41</v>
      </c>
      <c r="G3997">
        <v>-228.9504</v>
      </c>
      <c r="H3997">
        <v>1.011258</v>
      </c>
      <c r="I3997">
        <v>140.30840000000001</v>
      </c>
      <c r="J3997">
        <v>-228.44110000000001</v>
      </c>
      <c r="K3997">
        <v>1.111699</v>
      </c>
      <c r="L3997">
        <v>140.34370000000001</v>
      </c>
      <c r="M3997">
        <v>-0.99987329999999996</v>
      </c>
      <c r="N3997">
        <v>-8.6525439999999999E-3</v>
      </c>
      <c r="O3997">
        <v>1.336089E-2</v>
      </c>
      <c r="P3997">
        <v>-0.92543379999999997</v>
      </c>
      <c r="Q3997">
        <v>0.37464360000000002</v>
      </c>
      <c r="R3997">
        <v>-5.6697980000000002E-2</v>
      </c>
      <c r="S3997">
        <v>-3.4029850000000001</v>
      </c>
      <c r="T3997">
        <v>-0.41633520000000002</v>
      </c>
      <c r="U3997">
        <v>-0.1337585</v>
      </c>
      <c r="V3997">
        <v>-7.0323200000000002E-2</v>
      </c>
      <c r="W3997">
        <v>0.38239879999999998</v>
      </c>
      <c r="X3997">
        <v>0.92131739999999995</v>
      </c>
      <c r="Y3997">
        <v>-5.2121809999999998E-2</v>
      </c>
      <c r="Z3997">
        <v>-4.9146679999999996E-3</v>
      </c>
      <c r="AA3997">
        <v>0.99862859999999998</v>
      </c>
      <c r="AB3997">
        <v>30</v>
      </c>
      <c r="AC3997">
        <v>-0.50929999999999598</v>
      </c>
      <c r="AD3997">
        <v>-0.100441</v>
      </c>
      <c r="AE3997">
        <v>-3.53000000000065E-2</v>
      </c>
      <c r="AF3997">
        <v>-4.0532884650101797E-2</v>
      </c>
      <c r="AG3997">
        <v>-0.100441</v>
      </c>
      <c r="AH3997">
        <v>0.489823127607944</v>
      </c>
      <c r="AI3997">
        <v>101.549775679916</v>
      </c>
      <c r="AJ3997">
        <v>94.730450475390199</v>
      </c>
      <c r="AK3997">
        <v>0.50165526565430096</v>
      </c>
      <c r="AL3997">
        <v>67.517650141222305</v>
      </c>
      <c r="AM3997">
        <v>94.364863730356802</v>
      </c>
      <c r="AN3997">
        <v>0.99999997312121902</v>
      </c>
    </row>
    <row r="3998" spans="1:40" x14ac:dyDescent="0.25">
      <c r="A3998" t="str">
        <f>"20190304164449853"</f>
        <v>20190304164449853</v>
      </c>
      <c r="B3998" t="str">
        <f>"1551689089844216"</f>
        <v>1551689089844216</v>
      </c>
      <c r="C3998" t="s">
        <v>40</v>
      </c>
      <c r="D3998">
        <v>5.0712279999999996</v>
      </c>
      <c r="E3998">
        <v>0.51776899999999904</v>
      </c>
      <c r="F3998" t="s">
        <v>41</v>
      </c>
      <c r="G3998">
        <v>-229.22210000000001</v>
      </c>
      <c r="H3998">
        <v>1.015655</v>
      </c>
      <c r="I3998">
        <v>140.31200000000001</v>
      </c>
      <c r="J3998">
        <v>-228.77209999999999</v>
      </c>
      <c r="K3998">
        <v>1.11159599999999</v>
      </c>
      <c r="L3998">
        <v>140.34630000000001</v>
      </c>
      <c r="M3998">
        <v>-0.99989499999999998</v>
      </c>
      <c r="N3998">
        <v>-8.6248850000000005E-3</v>
      </c>
      <c r="O3998">
        <v>1.164838E-2</v>
      </c>
      <c r="P3998">
        <v>-0.92548079999999999</v>
      </c>
      <c r="Q3998">
        <v>0.37436649999999999</v>
      </c>
      <c r="R3998">
        <v>-5.774833E-2</v>
      </c>
      <c r="S3998">
        <v>-3.4026640000000001</v>
      </c>
      <c r="T3998">
        <v>-0.4184986</v>
      </c>
      <c r="U3998">
        <v>-0.13844300000000001</v>
      </c>
      <c r="V3998">
        <v>-6.970556E-2</v>
      </c>
      <c r="W3998">
        <v>0.38211499999999998</v>
      </c>
      <c r="X3998">
        <v>0.92148209999999997</v>
      </c>
      <c r="Y3998">
        <v>-5.1796410000000001E-2</v>
      </c>
      <c r="Z3998">
        <v>-4.7230459999999998E-3</v>
      </c>
      <c r="AA3998">
        <v>0.99864649999999999</v>
      </c>
      <c r="AB3998">
        <v>30</v>
      </c>
      <c r="AC3998">
        <v>-0.450000000000017</v>
      </c>
      <c r="AD3998">
        <v>-9.5940999999999804E-2</v>
      </c>
      <c r="AE3998">
        <v>-3.4300000000001697E-2</v>
      </c>
      <c r="AF3998">
        <v>-3.7830001395541997E-2</v>
      </c>
      <c r="AG3998">
        <v>-9.5940999999999804E-2</v>
      </c>
      <c r="AH3998">
        <v>0.43013115675681401</v>
      </c>
      <c r="AI3998">
        <v>102.527205313679</v>
      </c>
      <c r="AJ3998">
        <v>95.026226321614999</v>
      </c>
      <c r="AK3998">
        <v>0.44232182457973002</v>
      </c>
      <c r="AL3998">
        <v>67.535247687301293</v>
      </c>
      <c r="AM3998">
        <v>94.325903498005502</v>
      </c>
      <c r="AN3998">
        <v>0.99999999947016105</v>
      </c>
    </row>
    <row r="3999" spans="1:40" x14ac:dyDescent="0.25">
      <c r="A3999" t="str">
        <f>"20190304164449874"</f>
        <v>20190304164449874</v>
      </c>
      <c r="B3999" t="str">
        <f>"1551689089863735"</f>
        <v>1551689089863735</v>
      </c>
      <c r="C3999" t="s">
        <v>40</v>
      </c>
      <c r="D3999">
        <v>5.0991339999999896</v>
      </c>
      <c r="E3999">
        <v>0.51778519999999995</v>
      </c>
      <c r="F3999" t="s">
        <v>41</v>
      </c>
      <c r="G3999">
        <v>-229.749</v>
      </c>
      <c r="H3999">
        <v>0.99118779999999995</v>
      </c>
      <c r="I3999">
        <v>140.30529999999999</v>
      </c>
      <c r="J3999">
        <v>-229.04470000000001</v>
      </c>
      <c r="K3999">
        <v>1.1114850000000001</v>
      </c>
      <c r="L3999">
        <v>140.34819999999999</v>
      </c>
      <c r="M3999">
        <v>-0.99990889999999999</v>
      </c>
      <c r="N3999">
        <v>-8.6038209999999993E-3</v>
      </c>
      <c r="O3999">
        <v>1.041247E-2</v>
      </c>
      <c r="P3999">
        <v>-0.92544839999999995</v>
      </c>
      <c r="Q3999">
        <v>0.3742933</v>
      </c>
      <c r="R3999">
        <v>-5.8737200000000003E-2</v>
      </c>
      <c r="S3999">
        <v>-3.4023129999999999</v>
      </c>
      <c r="T3999">
        <v>-0.41947220000000002</v>
      </c>
      <c r="U3999">
        <v>-0.14337159999999999</v>
      </c>
      <c r="V3999">
        <v>-6.9445950000000006E-2</v>
      </c>
      <c r="W3999">
        <v>0.3820424</v>
      </c>
      <c r="X3999">
        <v>0.92153180000000001</v>
      </c>
      <c r="Y3999">
        <v>-5.2014459999999998E-2</v>
      </c>
      <c r="Z3999">
        <v>-4.6068869999999996E-3</v>
      </c>
      <c r="AA3999">
        <v>0.99863570000000002</v>
      </c>
      <c r="AB3999">
        <v>30</v>
      </c>
      <c r="AC3999">
        <v>-0.70430000000001702</v>
      </c>
      <c r="AD3999">
        <v>-0.12029720000000001</v>
      </c>
      <c r="AE3999">
        <v>-4.2900000000002998E-2</v>
      </c>
      <c r="AF3999">
        <v>-4.8812652073024397E-2</v>
      </c>
      <c r="AG3999">
        <v>-0.12029720000000001</v>
      </c>
      <c r="AH3999">
        <v>0.68393573498202798</v>
      </c>
      <c r="AI3999">
        <v>99.950891679612496</v>
      </c>
      <c r="AJ3999">
        <v>94.082291130204496</v>
      </c>
      <c r="AK3999">
        <v>0.69614810271640404</v>
      </c>
      <c r="AL3999">
        <v>67.539748805188907</v>
      </c>
      <c r="AM3999">
        <v>94.3096214443609</v>
      </c>
      <c r="AN3999">
        <v>0.99999999689020103</v>
      </c>
    </row>
    <row r="4000" spans="1:40" x14ac:dyDescent="0.25">
      <c r="A4000" t="str">
        <f>"20190304164449897"</f>
        <v>20190304164449897</v>
      </c>
      <c r="B4000" t="str">
        <f>"1551689089893991"</f>
        <v>1551689089893991</v>
      </c>
      <c r="C4000" t="s">
        <v>40</v>
      </c>
      <c r="D4000">
        <v>5.1092449999999996</v>
      </c>
      <c r="E4000">
        <v>0.51782299999999903</v>
      </c>
      <c r="F4000" t="s">
        <v>41</v>
      </c>
      <c r="G4000">
        <v>-230.0197</v>
      </c>
      <c r="H4000">
        <v>0.99122189999999999</v>
      </c>
      <c r="I4000">
        <v>140.30609999999999</v>
      </c>
      <c r="J4000">
        <v>-229.35910000000001</v>
      </c>
      <c r="K4000">
        <v>1.111348</v>
      </c>
      <c r="L4000">
        <v>140.3502</v>
      </c>
      <c r="M4000">
        <v>-0.99992110000000001</v>
      </c>
      <c r="N4000">
        <v>-8.5825050000000007E-3</v>
      </c>
      <c r="O4000">
        <v>9.1695879999999994E-3</v>
      </c>
      <c r="P4000">
        <v>-0.92561389999999999</v>
      </c>
      <c r="Q4000">
        <v>0.37373600000000001</v>
      </c>
      <c r="R4000">
        <v>-5.9670649999999999E-2</v>
      </c>
      <c r="S4000">
        <v>-3.402069</v>
      </c>
      <c r="T4000">
        <v>-0.41969499999999998</v>
      </c>
      <c r="U4000">
        <v>-0.147171</v>
      </c>
      <c r="V4000">
        <v>-6.9101770000000007E-2</v>
      </c>
      <c r="W4000">
        <v>0.38149100000000002</v>
      </c>
      <c r="X4000">
        <v>0.92178610000000005</v>
      </c>
      <c r="Y4000">
        <v>-5.1898020000000003E-2</v>
      </c>
      <c r="Z4000">
        <v>-4.4594140000000001E-3</v>
      </c>
      <c r="AA4000">
        <v>0.99864240000000004</v>
      </c>
      <c r="AB4000">
        <v>30</v>
      </c>
      <c r="AC4000">
        <v>-0.66059999999998797</v>
      </c>
      <c r="AD4000">
        <v>-0.120126099999999</v>
      </c>
      <c r="AE4000">
        <v>-4.4100000000014399E-2</v>
      </c>
      <c r="AF4000">
        <v>-4.8557269226791197E-2</v>
      </c>
      <c r="AG4000">
        <v>-0.120126099999999</v>
      </c>
      <c r="AH4000">
        <v>0.63912743523531101</v>
      </c>
      <c r="AI4000">
        <v>100.614849626077</v>
      </c>
      <c r="AJ4000">
        <v>94.344661173274005</v>
      </c>
      <c r="AK4000">
        <v>0.65212879614876595</v>
      </c>
      <c r="AL4000">
        <v>67.573931364076003</v>
      </c>
      <c r="AM4000">
        <v>94.287163824926196</v>
      </c>
      <c r="AN4000">
        <v>1.0000000259256701</v>
      </c>
    </row>
    <row r="4001" spans="1:40" x14ac:dyDescent="0.25">
      <c r="A4001" t="str">
        <f>"20190304164449920"</f>
        <v>20190304164449920</v>
      </c>
      <c r="B4001" t="str">
        <f>"1551689089914488"</f>
        <v>1551689089914488</v>
      </c>
      <c r="C4001" t="s">
        <v>40</v>
      </c>
      <c r="D4001">
        <v>5.1236059999999997</v>
      </c>
      <c r="E4001">
        <v>0.51784659999999905</v>
      </c>
      <c r="F4001" t="s">
        <v>41</v>
      </c>
      <c r="G4001">
        <v>-230.2929</v>
      </c>
      <c r="H4001">
        <v>0.99558599999999997</v>
      </c>
      <c r="I4001">
        <v>140.30860000000001</v>
      </c>
      <c r="J4001">
        <v>-229.6645</v>
      </c>
      <c r="K4001">
        <v>1.1112089999999999</v>
      </c>
      <c r="L4001">
        <v>140.3519</v>
      </c>
      <c r="M4001">
        <v>-0.99992999999999999</v>
      </c>
      <c r="N4001">
        <v>-8.5644290000000001E-3</v>
      </c>
      <c r="O4001">
        <v>8.1717170000000002E-3</v>
      </c>
      <c r="P4001">
        <v>-0.92547310000000005</v>
      </c>
      <c r="Q4001">
        <v>0.37408599999999997</v>
      </c>
      <c r="R4001">
        <v>-5.9661150000000003E-2</v>
      </c>
      <c r="S4001">
        <v>-3.4015499999999999</v>
      </c>
      <c r="T4001">
        <v>-0.4217553</v>
      </c>
      <c r="U4001">
        <v>-0.15242</v>
      </c>
      <c r="V4001">
        <v>-6.8036780000000005E-2</v>
      </c>
      <c r="W4001">
        <v>0.38184980000000002</v>
      </c>
      <c r="X4001">
        <v>0.92171670000000006</v>
      </c>
      <c r="Y4001">
        <v>-5.244352E-2</v>
      </c>
      <c r="Z4001">
        <v>-4.4019879999999999E-3</v>
      </c>
      <c r="AA4001">
        <v>0.99861420000000001</v>
      </c>
      <c r="AB4001">
        <v>30</v>
      </c>
      <c r="AC4001">
        <v>-0.62839999999999896</v>
      </c>
      <c r="AD4001">
        <v>-0.115623</v>
      </c>
      <c r="AE4001">
        <v>-4.3299999999987897E-2</v>
      </c>
      <c r="AF4001">
        <v>-4.68550903368131E-2</v>
      </c>
      <c r="AG4001">
        <v>-0.115623</v>
      </c>
      <c r="AH4001">
        <v>0.60755394299930698</v>
      </c>
      <c r="AI4001">
        <v>100.74389801231401</v>
      </c>
      <c r="AJ4001">
        <v>94.409971387552801</v>
      </c>
      <c r="AK4001">
        <v>0.62023049850315803</v>
      </c>
      <c r="AL4001">
        <v>67.551688702442206</v>
      </c>
      <c r="AM4001">
        <v>94.221647855049795</v>
      </c>
      <c r="AN4001">
        <v>0.99999997412584896</v>
      </c>
    </row>
    <row r="4002" spans="1:40" x14ac:dyDescent="0.25">
      <c r="A4002" t="str">
        <f>"20190304164449952"</f>
        <v>20190304164449952</v>
      </c>
      <c r="B4002" t="str">
        <f>"1551689089943767"</f>
        <v>1551689089943767</v>
      </c>
      <c r="C4002" t="s">
        <v>40</v>
      </c>
      <c r="D4002">
        <v>5.1808230000000002</v>
      </c>
      <c r="E4002">
        <v>0.5463015</v>
      </c>
      <c r="F4002" t="s">
        <v>41</v>
      </c>
      <c r="G4002">
        <v>-230.5668</v>
      </c>
      <c r="H4002">
        <v>0.99960369999999998</v>
      </c>
      <c r="I4002">
        <v>140.31020000000001</v>
      </c>
      <c r="J4002">
        <v>-230.11689999999999</v>
      </c>
      <c r="K4002">
        <v>1.1109549999999999</v>
      </c>
      <c r="L4002">
        <v>140.35429999999999</v>
      </c>
      <c r="M4002">
        <v>-0.99993840000000001</v>
      </c>
      <c r="N4002">
        <v>-8.5364020000000002E-3</v>
      </c>
      <c r="O4002">
        <v>7.1100579999999998E-3</v>
      </c>
      <c r="P4002">
        <v>-0.92464800000000003</v>
      </c>
      <c r="Q4002">
        <v>0.37589230000000001</v>
      </c>
      <c r="R4002">
        <v>-6.1083409999999998E-2</v>
      </c>
      <c r="S4002">
        <v>-3.401535</v>
      </c>
      <c r="T4002">
        <v>-0.42078700000000002</v>
      </c>
      <c r="U4002">
        <v>-0.15731809999999999</v>
      </c>
      <c r="V4002">
        <v>-6.8256869999999997E-2</v>
      </c>
      <c r="W4002">
        <v>0.38366169999999999</v>
      </c>
      <c r="X4002">
        <v>0.92094770000000004</v>
      </c>
      <c r="Y4002">
        <v>-5.2824629999999997E-2</v>
      </c>
      <c r="Z4002">
        <v>-4.2950480000000001E-3</v>
      </c>
      <c r="AA4002">
        <v>0.9985946</v>
      </c>
      <c r="AB4002">
        <v>30</v>
      </c>
      <c r="AC4002">
        <v>-0.44990000000001301</v>
      </c>
      <c r="AD4002">
        <v>-0.111351299999999</v>
      </c>
      <c r="AE4002">
        <v>-4.4099999999985998E-2</v>
      </c>
      <c r="AF4002">
        <v>-4.4592209642872901E-2</v>
      </c>
      <c r="AG4002">
        <v>-0.111351299999999</v>
      </c>
      <c r="AH4002">
        <v>0.42385773609829802</v>
      </c>
      <c r="AI4002">
        <v>104.64220489655099</v>
      </c>
      <c r="AJ4002">
        <v>96.005744548451005</v>
      </c>
      <c r="AK4002">
        <v>0.440503073341036</v>
      </c>
      <c r="AL4002">
        <v>67.439317539789698</v>
      </c>
      <c r="AM4002">
        <v>94.238778309378702</v>
      </c>
      <c r="AN4002">
        <v>0.99999998324218797</v>
      </c>
    </row>
    <row r="4003" spans="1:40" x14ac:dyDescent="0.25">
      <c r="A4003" t="str">
        <f>"20190304164449996"</f>
        <v>20190304164449996</v>
      </c>
      <c r="B4003" t="str">
        <f>"1551689089983783"</f>
        <v>1551689089983783</v>
      </c>
      <c r="C4003" t="s">
        <v>40</v>
      </c>
      <c r="D4003">
        <v>5.1512989999999999</v>
      </c>
      <c r="E4003">
        <v>0.55253569999999996</v>
      </c>
      <c r="F4003" t="s">
        <v>41</v>
      </c>
      <c r="G4003">
        <v>-230.84960000000001</v>
      </c>
      <c r="H4003">
        <v>1.0250809999999999</v>
      </c>
      <c r="I4003">
        <v>140.36750000000001</v>
      </c>
      <c r="J4003">
        <v>-230.6951</v>
      </c>
      <c r="K4003">
        <v>1.110606</v>
      </c>
      <c r="L4003">
        <v>140.35740000000001</v>
      </c>
      <c r="M4003">
        <v>-0.99994289999999997</v>
      </c>
      <c r="N4003">
        <v>-8.5000079999999999E-3</v>
      </c>
      <c r="O4003">
        <v>6.5017919999999898E-3</v>
      </c>
      <c r="P4003">
        <v>-0.92458019999999996</v>
      </c>
      <c r="Q4003">
        <v>0.37579489999999999</v>
      </c>
      <c r="R4003">
        <v>-6.2690140000000005E-2</v>
      </c>
      <c r="S4003">
        <v>-3.411041</v>
      </c>
      <c r="T4003">
        <v>-0.3998332</v>
      </c>
      <c r="U4003">
        <v>6.0913090000000003E-2</v>
      </c>
      <c r="V4003">
        <v>-6.9003659999999994E-2</v>
      </c>
      <c r="W4003">
        <v>0.38358239999999999</v>
      </c>
      <c r="X4003">
        <v>0.92092510000000005</v>
      </c>
      <c r="Y4003">
        <v>1.130863E-2</v>
      </c>
      <c r="Z4003" s="1">
        <v>4.3535260000000002E-6</v>
      </c>
      <c r="AA4003">
        <v>0.99993600000000005</v>
      </c>
      <c r="AB4003">
        <v>30</v>
      </c>
      <c r="AC4003">
        <v>-0.15450000000001199</v>
      </c>
      <c r="AD4003">
        <v>-8.5525000000000004E-2</v>
      </c>
      <c r="AE4003">
        <v>1.00999999999942E-2</v>
      </c>
      <c r="AF4003">
        <v>6.9688546914124299E-3</v>
      </c>
      <c r="AG4003">
        <v>-8.5525000000000004E-2</v>
      </c>
      <c r="AH4003">
        <v>0.118427319226905</v>
      </c>
      <c r="AI4003">
        <v>125.788805860224</v>
      </c>
      <c r="AJ4003">
        <v>86.632313844021397</v>
      </c>
      <c r="AK4003">
        <v>0.14624677945165601</v>
      </c>
      <c r="AL4003">
        <v>67.444237950602201</v>
      </c>
      <c r="AM4003">
        <v>94.285087223279604</v>
      </c>
      <c r="AN4003">
        <v>1.00000000124658</v>
      </c>
    </row>
    <row r="4004" spans="1:40" x14ac:dyDescent="0.25">
      <c r="A4004" t="str">
        <f>"20190304164450019"</f>
        <v>20190304164450019</v>
      </c>
      <c r="B4004" t="str">
        <f>"1551689090014040"</f>
        <v>1551689090014040</v>
      </c>
      <c r="C4004" t="s">
        <v>40</v>
      </c>
      <c r="D4004">
        <v>5.149159</v>
      </c>
      <c r="E4004">
        <v>0.55428290000000002</v>
      </c>
      <c r="F4004" t="s">
        <v>41</v>
      </c>
      <c r="G4004">
        <v>-231.65459999999999</v>
      </c>
      <c r="H4004">
        <v>0.99132629999999999</v>
      </c>
      <c r="I4004">
        <v>140.38640000000001</v>
      </c>
      <c r="J4004">
        <v>-231.0215</v>
      </c>
      <c r="K4004">
        <v>1.1104449999999999</v>
      </c>
      <c r="L4004">
        <v>140.35939999999999</v>
      </c>
      <c r="M4004">
        <v>-0.99994360000000004</v>
      </c>
      <c r="N4004">
        <v>-8.4827819999999995E-3</v>
      </c>
      <c r="O4004">
        <v>6.399638E-3</v>
      </c>
      <c r="P4004">
        <v>-0.92519300000000004</v>
      </c>
      <c r="Q4004">
        <v>0.37413639999999998</v>
      </c>
      <c r="R4004">
        <v>-6.3561400000000004E-2</v>
      </c>
      <c r="S4004">
        <v>-3.424744</v>
      </c>
      <c r="T4004">
        <v>-0.42572739999999998</v>
      </c>
      <c r="U4004">
        <v>0.1030426</v>
      </c>
      <c r="V4004">
        <v>-6.9659780000000004E-2</v>
      </c>
      <c r="W4004">
        <v>0.38193490000000002</v>
      </c>
      <c r="X4004">
        <v>0.92156020000000005</v>
      </c>
      <c r="Y4004">
        <v>2.3525850000000001E-2</v>
      </c>
      <c r="Z4004">
        <v>8.1832360000000002E-4</v>
      </c>
      <c r="AA4004">
        <v>0.99972289999999997</v>
      </c>
      <c r="AB4004">
        <v>31</v>
      </c>
      <c r="AC4004">
        <v>-0.63309999999998401</v>
      </c>
      <c r="AD4004">
        <v>-0.11911869999999999</v>
      </c>
      <c r="AE4004">
        <v>2.7000000000015199E-2</v>
      </c>
      <c r="AF4004">
        <v>2.2164471243283398E-2</v>
      </c>
      <c r="AG4004">
        <v>-0.11911869999999999</v>
      </c>
      <c r="AH4004">
        <v>0.61164626538145805</v>
      </c>
      <c r="AI4004">
        <v>101.013410524035</v>
      </c>
      <c r="AJ4004">
        <v>87.924657931754993</v>
      </c>
      <c r="AK4004">
        <v>0.62353162103478699</v>
      </c>
      <c r="AL4004">
        <v>67.546413046656099</v>
      </c>
      <c r="AM4004">
        <v>94.322708199508696</v>
      </c>
      <c r="AN4004">
        <v>0.99999997750584901</v>
      </c>
    </row>
    <row r="4005" spans="1:40" x14ac:dyDescent="0.25">
      <c r="A4005" t="str">
        <f>"20190304164450042"</f>
        <v>20190304164450042</v>
      </c>
      <c r="B4005" t="str">
        <f>"1551689090034536"</f>
        <v>1551689090034536</v>
      </c>
      <c r="C4005" t="s">
        <v>40</v>
      </c>
      <c r="D4005">
        <v>5.1576180000000003</v>
      </c>
      <c r="E4005">
        <v>0.55504730000000002</v>
      </c>
      <c r="F4005" t="s">
        <v>41</v>
      </c>
      <c r="G4005">
        <v>-231.93109999999999</v>
      </c>
      <c r="H4005">
        <v>0.99459390000000003</v>
      </c>
      <c r="I4005">
        <v>140.39070000000001</v>
      </c>
      <c r="J4005">
        <v>-231.33930000000001</v>
      </c>
      <c r="K4005">
        <v>1.1103400000000001</v>
      </c>
      <c r="L4005">
        <v>140.3613</v>
      </c>
      <c r="M4005">
        <v>-0.99994380000000005</v>
      </c>
      <c r="N4005">
        <v>-8.4674150000000007E-3</v>
      </c>
      <c r="O4005">
        <v>6.3942579999999999E-3</v>
      </c>
      <c r="P4005">
        <v>-0.9261684</v>
      </c>
      <c r="Q4005">
        <v>0.37168259999999997</v>
      </c>
      <c r="R4005">
        <v>-6.3754499999999895E-2</v>
      </c>
      <c r="S4005">
        <v>-3.4271699999999998</v>
      </c>
      <c r="T4005">
        <v>-0.43659189999999998</v>
      </c>
      <c r="U4005">
        <v>0.11732480000000001</v>
      </c>
      <c r="V4005">
        <v>-6.9772600000000004E-2</v>
      </c>
      <c r="W4005">
        <v>0.37948989999999999</v>
      </c>
      <c r="X4005">
        <v>0.92256119999999997</v>
      </c>
      <c r="Y4005">
        <v>2.7629250000000001E-2</v>
      </c>
      <c r="Z4005">
        <v>1.1126790000000001E-3</v>
      </c>
      <c r="AA4005">
        <v>0.9996176</v>
      </c>
      <c r="AB4005">
        <v>31</v>
      </c>
      <c r="AC4005">
        <v>-0.59179999999997701</v>
      </c>
      <c r="AD4005">
        <v>-0.11574609999999901</v>
      </c>
      <c r="AE4005">
        <v>2.9400000000009599E-2</v>
      </c>
      <c r="AF4005">
        <v>2.4673630816001099E-2</v>
      </c>
      <c r="AG4005">
        <v>-0.11574609999999901</v>
      </c>
      <c r="AH4005">
        <v>0.57021721489895005</v>
      </c>
      <c r="AI4005">
        <v>101.463898732008</v>
      </c>
      <c r="AJ4005">
        <v>87.522323850306805</v>
      </c>
      <c r="AK4005">
        <v>0.58236897229331297</v>
      </c>
      <c r="AL4005">
        <v>67.697910146621098</v>
      </c>
      <c r="AM4005">
        <v>94.325002626644405</v>
      </c>
      <c r="AN4005">
        <v>0.99999998382910404</v>
      </c>
    </row>
    <row r="4006" spans="1:40" x14ac:dyDescent="0.25">
      <c r="A4006" t="str">
        <f>"20190304164450063"</f>
        <v>20190304164450063</v>
      </c>
      <c r="B4006" t="str">
        <f>"1551689090054055"</f>
        <v>1551689090054055</v>
      </c>
      <c r="C4006" t="s">
        <v>40</v>
      </c>
      <c r="D4006">
        <v>5.145594</v>
      </c>
      <c r="E4006">
        <v>0.55545529999999999</v>
      </c>
      <c r="F4006" t="s">
        <v>41</v>
      </c>
      <c r="G4006">
        <v>-232.2081</v>
      </c>
      <c r="H4006">
        <v>0.9974691</v>
      </c>
      <c r="I4006">
        <v>140.3929</v>
      </c>
      <c r="J4006">
        <v>-231.63630000000001</v>
      </c>
      <c r="K4006">
        <v>1.110282</v>
      </c>
      <c r="L4006">
        <v>140.36320000000001</v>
      </c>
      <c r="M4006">
        <v>-0.99994349999999999</v>
      </c>
      <c r="N4006">
        <v>-8.4546340000000008E-3</v>
      </c>
      <c r="O4006">
        <v>6.4403699999999999E-3</v>
      </c>
      <c r="P4006">
        <v>-0.92734320000000003</v>
      </c>
      <c r="Q4006">
        <v>0.36891230000000003</v>
      </c>
      <c r="R4006">
        <v>-6.2753890000000007E-2</v>
      </c>
      <c r="S4006">
        <v>-3.426361</v>
      </c>
      <c r="T4006">
        <v>-0.44511070000000003</v>
      </c>
      <c r="U4006">
        <v>0.1247101</v>
      </c>
      <c r="V4006">
        <v>-6.8776790000000004E-2</v>
      </c>
      <c r="W4006">
        <v>0.37672689999999998</v>
      </c>
      <c r="X4006">
        <v>0.92376760000000002</v>
      </c>
      <c r="Y4006">
        <v>2.9717540000000001E-2</v>
      </c>
      <c r="Z4006">
        <v>1.2691639999999999E-3</v>
      </c>
      <c r="AA4006">
        <v>0.99955760000000005</v>
      </c>
      <c r="AB4006">
        <v>31</v>
      </c>
      <c r="AC4006">
        <v>-0.57179999999999598</v>
      </c>
      <c r="AD4006">
        <v>-0.11281289999999999</v>
      </c>
      <c r="AE4006">
        <v>2.9699999999991102E-2</v>
      </c>
      <c r="AF4006">
        <v>2.5044416448403099E-2</v>
      </c>
      <c r="AG4006">
        <v>-0.11281289999999999</v>
      </c>
      <c r="AH4006">
        <v>0.55060477216038795</v>
      </c>
      <c r="AI4006">
        <v>101.567389687275</v>
      </c>
      <c r="AJ4006">
        <v>87.395680033105293</v>
      </c>
      <c r="AK4006">
        <v>0.56260073615970696</v>
      </c>
      <c r="AL4006">
        <v>67.868913718199494</v>
      </c>
      <c r="AM4006">
        <v>94.257957021589604</v>
      </c>
      <c r="AN4006">
        <v>0.99999999141803697</v>
      </c>
    </row>
    <row r="4007" spans="1:40" x14ac:dyDescent="0.25">
      <c r="A4007" t="str">
        <f>"20190304164450086"</f>
        <v>20190304164450086</v>
      </c>
      <c r="B4007" t="str">
        <f>"1551689090074552"</f>
        <v>1551689090074552</v>
      </c>
      <c r="C4007" t="s">
        <v>40</v>
      </c>
      <c r="D4007">
        <v>5.1458029999999999</v>
      </c>
      <c r="E4007">
        <v>0.55570509999999995</v>
      </c>
      <c r="F4007" t="s">
        <v>41</v>
      </c>
      <c r="G4007">
        <v>-232.48410000000001</v>
      </c>
      <c r="H4007">
        <v>0.99721649999999995</v>
      </c>
      <c r="I4007">
        <v>140.39619999999999</v>
      </c>
      <c r="J4007">
        <v>-231.94499999999999</v>
      </c>
      <c r="K4007">
        <v>1.110252</v>
      </c>
      <c r="L4007">
        <v>140.36519999999999</v>
      </c>
      <c r="M4007">
        <v>-0.99994329999999998</v>
      </c>
      <c r="N4007">
        <v>-8.4431599999999999E-3</v>
      </c>
      <c r="O4007">
        <v>6.5071269999999997E-3</v>
      </c>
      <c r="P4007">
        <v>-0.92876020000000004</v>
      </c>
      <c r="Q4007">
        <v>0.36557149999999999</v>
      </c>
      <c r="R4007">
        <v>-6.1338249999999997E-2</v>
      </c>
      <c r="S4007">
        <v>-3.4258269999999902</v>
      </c>
      <c r="T4007">
        <v>-0.45695019999999997</v>
      </c>
      <c r="U4007">
        <v>0.1328888</v>
      </c>
      <c r="V4007">
        <v>-6.7404839999999994E-2</v>
      </c>
      <c r="W4007">
        <v>0.37339230000000001</v>
      </c>
      <c r="X4007">
        <v>0.92522150000000003</v>
      </c>
      <c r="Y4007">
        <v>3.20072E-2</v>
      </c>
      <c r="Z4007">
        <v>1.4511599999999999E-3</v>
      </c>
      <c r="AA4007">
        <v>0.9994866</v>
      </c>
      <c r="AB4007">
        <v>31</v>
      </c>
      <c r="AC4007">
        <v>-0.53910000000001901</v>
      </c>
      <c r="AD4007">
        <v>-0.113035499999999</v>
      </c>
      <c r="AE4007">
        <v>3.1000000000005901E-2</v>
      </c>
      <c r="AF4007">
        <v>2.6337171816252999E-2</v>
      </c>
      <c r="AG4007">
        <v>-0.113035499999999</v>
      </c>
      <c r="AH4007">
        <v>0.51665142980471701</v>
      </c>
      <c r="AI4007">
        <v>102.325478130438</v>
      </c>
      <c r="AJ4007">
        <v>87.081777727703496</v>
      </c>
      <c r="AK4007">
        <v>0.52952749767956997</v>
      </c>
      <c r="AL4007">
        <v>68.075018567428799</v>
      </c>
      <c r="AM4007">
        <v>94.166788137808894</v>
      </c>
      <c r="AN4007">
        <v>1.00000002310848</v>
      </c>
    </row>
    <row r="4008" spans="1:40" x14ac:dyDescent="0.25">
      <c r="A4008" t="str">
        <f>"20190304164450108"</f>
        <v>20190304164450108</v>
      </c>
      <c r="B4008" t="str">
        <f>"1551689090103834"</f>
        <v>1551689090103834</v>
      </c>
      <c r="C4008" t="s">
        <v>40</v>
      </c>
      <c r="D4008">
        <v>5.1527260000000004</v>
      </c>
      <c r="E4008">
        <v>0.55619259999999904</v>
      </c>
      <c r="F4008" t="s">
        <v>41</v>
      </c>
      <c r="G4008">
        <v>-232.7611</v>
      </c>
      <c r="H4008">
        <v>0.99782190000000004</v>
      </c>
      <c r="I4008">
        <v>140.399</v>
      </c>
      <c r="J4008">
        <v>-232.25409999999999</v>
      </c>
      <c r="K4008">
        <v>1.1102399999999999</v>
      </c>
      <c r="L4008">
        <v>140.36709999999999</v>
      </c>
      <c r="M4008">
        <v>-0.99994300000000003</v>
      </c>
      <c r="N4008">
        <v>-8.433411E-3</v>
      </c>
      <c r="O4008">
        <v>6.5666509999999997E-3</v>
      </c>
      <c r="P4008">
        <v>-0.92976930000000002</v>
      </c>
      <c r="Q4008">
        <v>0.36319570000000001</v>
      </c>
      <c r="R4008">
        <v>-6.0149939999999999E-2</v>
      </c>
      <c r="S4008">
        <v>-3.425262</v>
      </c>
      <c r="T4008">
        <v>-0.47198509999999999</v>
      </c>
      <c r="U4008">
        <v>0.1419067</v>
      </c>
      <c r="V4008">
        <v>-6.6262539999999995E-2</v>
      </c>
      <c r="W4008">
        <v>0.37101919999999999</v>
      </c>
      <c r="X4008">
        <v>0.92625809999999997</v>
      </c>
      <c r="Y4008">
        <v>3.4540420000000002E-2</v>
      </c>
      <c r="Z4008">
        <v>1.6689319999999999E-3</v>
      </c>
      <c r="AA4008">
        <v>0.99940189999999995</v>
      </c>
      <c r="AB4008">
        <v>31</v>
      </c>
      <c r="AC4008">
        <v>-0.507000000000005</v>
      </c>
      <c r="AD4008">
        <v>-0.11241809999999899</v>
      </c>
      <c r="AE4008">
        <v>3.1900000000007298E-2</v>
      </c>
      <c r="AF4008">
        <v>2.7236117033938301E-2</v>
      </c>
      <c r="AG4008">
        <v>-0.11241809999999899</v>
      </c>
      <c r="AH4008">
        <v>0.48352000129061101</v>
      </c>
      <c r="AI4008">
        <v>103.068695091744</v>
      </c>
      <c r="AJ4008">
        <v>86.776002615042302</v>
      </c>
      <c r="AK4008">
        <v>0.49716317937551302</v>
      </c>
      <c r="AL4008">
        <v>68.221512723175707</v>
      </c>
      <c r="AM4008">
        <v>94.091847810228799</v>
      </c>
      <c r="AN4008">
        <v>1.0000000193957499</v>
      </c>
    </row>
    <row r="4009" spans="1:40" x14ac:dyDescent="0.25">
      <c r="A4009" t="str">
        <f>"20190304164450131"</f>
        <v>20190304164450131</v>
      </c>
      <c r="B4009" t="str">
        <f>"1551689090124328"</f>
        <v>1551689090124328</v>
      </c>
      <c r="C4009" t="s">
        <v>40</v>
      </c>
      <c r="D4009">
        <v>5.1623549999999998</v>
      </c>
      <c r="E4009">
        <v>0.55637409999999998</v>
      </c>
      <c r="F4009" t="s">
        <v>41</v>
      </c>
      <c r="G4009">
        <v>-233.0395</v>
      </c>
      <c r="H4009">
        <v>1.0003409999999999</v>
      </c>
      <c r="I4009">
        <v>140.40209999999999</v>
      </c>
      <c r="J4009">
        <v>-232.57550000000001</v>
      </c>
      <c r="K4009">
        <v>1.1102259999999999</v>
      </c>
      <c r="L4009">
        <v>140.36920000000001</v>
      </c>
      <c r="M4009">
        <v>-0.99994260000000001</v>
      </c>
      <c r="N4009">
        <v>-8.4249100000000007E-3</v>
      </c>
      <c r="O4009">
        <v>6.6103119999999897E-3</v>
      </c>
      <c r="P4009">
        <v>-0.92990839999999997</v>
      </c>
      <c r="Q4009">
        <v>0.36300949999999998</v>
      </c>
      <c r="R4009">
        <v>-5.9116090000000003E-2</v>
      </c>
      <c r="S4009">
        <v>-3.4235229999999999</v>
      </c>
      <c r="T4009">
        <v>-0.4790605</v>
      </c>
      <c r="U4009">
        <v>0.15148929999999999</v>
      </c>
      <c r="V4009">
        <v>-6.5259960000000006E-2</v>
      </c>
      <c r="W4009">
        <v>0.37082789999999999</v>
      </c>
      <c r="X4009">
        <v>0.92640579999999995</v>
      </c>
      <c r="Y4009">
        <v>3.7273489999999999E-2</v>
      </c>
      <c r="Z4009">
        <v>1.8872680000000001E-3</v>
      </c>
      <c r="AA4009">
        <v>0.99930330000000001</v>
      </c>
      <c r="AB4009">
        <v>31</v>
      </c>
      <c r="AC4009">
        <v>-0.46399999999999803</v>
      </c>
      <c r="AD4009">
        <v>-0.109885</v>
      </c>
      <c r="AE4009">
        <v>3.2899999999983699E-2</v>
      </c>
      <c r="AF4009">
        <v>2.8255240696355599E-2</v>
      </c>
      <c r="AG4009">
        <v>-0.109885</v>
      </c>
      <c r="AH4009">
        <v>0.43967202807864803</v>
      </c>
      <c r="AI4009">
        <v>104.004446653766</v>
      </c>
      <c r="AJ4009">
        <v>86.322979858150305</v>
      </c>
      <c r="AK4009">
        <v>0.45407550487402498</v>
      </c>
      <c r="AL4009">
        <v>68.233313779098694</v>
      </c>
      <c r="AM4009">
        <v>94.029501581226299</v>
      </c>
      <c r="AN4009">
        <v>0.99999995003562403</v>
      </c>
    </row>
    <row r="4010" spans="1:40" x14ac:dyDescent="0.25">
      <c r="A4010" t="str">
        <f>"20190304164450153"</f>
        <v>20190304164450153</v>
      </c>
      <c r="B4010" t="str">
        <f>"1551689090143847"</f>
        <v>1551689090143847</v>
      </c>
      <c r="C4010" t="s">
        <v>40</v>
      </c>
      <c r="D4010">
        <v>5.1646720000000004</v>
      </c>
      <c r="E4010">
        <v>0.53765200000000002</v>
      </c>
      <c r="F4010" t="s">
        <v>41</v>
      </c>
      <c r="G4010">
        <v>-233.32</v>
      </c>
      <c r="H4010">
        <v>1.0057910000000001</v>
      </c>
      <c r="I4010">
        <v>140.40299999999999</v>
      </c>
      <c r="J4010">
        <v>-232.8836</v>
      </c>
      <c r="K4010">
        <v>1.110209</v>
      </c>
      <c r="L4010">
        <v>140.37129999999999</v>
      </c>
      <c r="M4010">
        <v>-0.99994260000000001</v>
      </c>
      <c r="N4010">
        <v>-8.4181969999999901E-3</v>
      </c>
      <c r="O4010">
        <v>6.632771E-3</v>
      </c>
      <c r="P4010">
        <v>-0.92970759999999997</v>
      </c>
      <c r="Q4010">
        <v>0.36352839999999997</v>
      </c>
      <c r="R4010">
        <v>-5.908132E-2</v>
      </c>
      <c r="S4010">
        <v>-3.4234469999999999</v>
      </c>
      <c r="T4010">
        <v>-0.48019479999999998</v>
      </c>
      <c r="U4010">
        <v>0.15524289999999999</v>
      </c>
      <c r="V4010">
        <v>-6.523851E-2</v>
      </c>
      <c r="W4010">
        <v>0.37134020000000001</v>
      </c>
      <c r="X4010">
        <v>0.92620210000000003</v>
      </c>
      <c r="Y4010">
        <v>3.8333270000000003E-2</v>
      </c>
      <c r="Z4010">
        <v>1.9664930000000001E-3</v>
      </c>
      <c r="AA4010">
        <v>0.99926300000000001</v>
      </c>
      <c r="AB4010">
        <v>31</v>
      </c>
      <c r="AC4010">
        <v>-0.43639999999999102</v>
      </c>
      <c r="AD4010">
        <v>-0.104418</v>
      </c>
      <c r="AE4010">
        <v>3.17000000000007E-2</v>
      </c>
      <c r="AF4010">
        <v>2.72526153728859E-2</v>
      </c>
      <c r="AG4010">
        <v>-0.104418</v>
      </c>
      <c r="AH4010">
        <v>0.41307588694585401</v>
      </c>
      <c r="AI4010">
        <v>104.156611204391</v>
      </c>
      <c r="AJ4010">
        <v>86.225390351418994</v>
      </c>
      <c r="AK4010">
        <v>0.42693970551445098</v>
      </c>
      <c r="AL4010">
        <v>68.201704629880595</v>
      </c>
      <c r="AM4010">
        <v>94.029064505554103</v>
      </c>
      <c r="AN4010">
        <v>0.99999996868373398</v>
      </c>
    </row>
    <row r="4011" spans="1:40" x14ac:dyDescent="0.25">
      <c r="A4011" t="str">
        <f>"20190304164450176"</f>
        <v>20190304164450176</v>
      </c>
      <c r="B4011" t="str">
        <f>"1551689090164344"</f>
        <v>1551689090164344</v>
      </c>
      <c r="C4011" t="s">
        <v>40</v>
      </c>
      <c r="D4011">
        <v>5.1239759999999999</v>
      </c>
      <c r="E4011">
        <v>0.5299469</v>
      </c>
      <c r="F4011" t="s">
        <v>41</v>
      </c>
      <c r="G4011">
        <v>-233.61060000000001</v>
      </c>
      <c r="H4011">
        <v>1.0294810000000001</v>
      </c>
      <c r="I4011">
        <v>140.374</v>
      </c>
      <c r="J4011">
        <v>-233.1814</v>
      </c>
      <c r="K4011">
        <v>1.110196</v>
      </c>
      <c r="L4011">
        <v>140.3732</v>
      </c>
      <c r="M4011">
        <v>-0.99994260000000001</v>
      </c>
      <c r="N4011">
        <v>-8.4129210000000003E-3</v>
      </c>
      <c r="O4011">
        <v>6.6405960000000003E-3</v>
      </c>
      <c r="P4011">
        <v>-0.92908190000000002</v>
      </c>
      <c r="Q4011">
        <v>0.36494939999999998</v>
      </c>
      <c r="R4011">
        <v>-6.01591E-2</v>
      </c>
      <c r="S4011">
        <v>-3.3741300000000001</v>
      </c>
      <c r="T4011">
        <v>-0.37469350000000001</v>
      </c>
      <c r="U4011">
        <v>1.222229E-2</v>
      </c>
      <c r="V4011">
        <v>-6.6314070000000003E-2</v>
      </c>
      <c r="W4011">
        <v>0.37275170000000002</v>
      </c>
      <c r="X4011">
        <v>0.92555860000000001</v>
      </c>
      <c r="Y4011">
        <v>-2.9640619999999999E-3</v>
      </c>
      <c r="Z4011">
        <v>-8.5603559999999999E-4</v>
      </c>
      <c r="AA4011">
        <v>0.99999519999999997</v>
      </c>
      <c r="AB4011">
        <v>31</v>
      </c>
      <c r="AC4011">
        <v>-0.42920000000000802</v>
      </c>
      <c r="AD4011">
        <v>-8.0714999999999995E-2</v>
      </c>
      <c r="AE4011">
        <v>7.9999999999813499E-4</v>
      </c>
      <c r="AF4011">
        <v>-1.98022915424229E-3</v>
      </c>
      <c r="AG4011">
        <v>-8.0714999999999995E-2</v>
      </c>
      <c r="AH4011">
        <v>0.41453533700826301</v>
      </c>
      <c r="AI4011">
        <v>101.01818818901999</v>
      </c>
      <c r="AJ4011">
        <v>90.273699006724001</v>
      </c>
      <c r="AK4011">
        <v>0.42232496748482401</v>
      </c>
      <c r="AL4011">
        <v>68.114579074980796</v>
      </c>
      <c r="AM4011">
        <v>94.098103382631905</v>
      </c>
      <c r="AN4011">
        <v>1.0000000538834</v>
      </c>
    </row>
    <row r="4012" spans="1:40" x14ac:dyDescent="0.25">
      <c r="A4012" t="str">
        <f>"20190304164450197"</f>
        <v>20190304164450197</v>
      </c>
      <c r="B4012" t="str">
        <f>"1551689090193624"</f>
        <v>1551689090193624</v>
      </c>
      <c r="C4012" t="s">
        <v>40</v>
      </c>
      <c r="D4012">
        <v>5.1379299999999999</v>
      </c>
      <c r="E4012">
        <v>0.52667350000000002</v>
      </c>
      <c r="F4012" t="s">
        <v>41</v>
      </c>
      <c r="G4012">
        <v>-234.15520000000001</v>
      </c>
      <c r="H4012">
        <v>0.99941049999999998</v>
      </c>
      <c r="I4012">
        <v>140.35749999999999</v>
      </c>
      <c r="J4012">
        <v>-233.49029999999999</v>
      </c>
      <c r="K4012">
        <v>1.110182</v>
      </c>
      <c r="L4012">
        <v>140.37530000000001</v>
      </c>
      <c r="M4012">
        <v>-0.99994269999999996</v>
      </c>
      <c r="N4012">
        <v>-8.4085519999999997E-3</v>
      </c>
      <c r="O4012">
        <v>6.6411250000000003E-3</v>
      </c>
      <c r="P4012">
        <v>-0.92899100000000001</v>
      </c>
      <c r="Q4012">
        <v>0.36495939999999999</v>
      </c>
      <c r="R4012">
        <v>-6.1485829999999998E-2</v>
      </c>
      <c r="S4012">
        <v>-3.376328</v>
      </c>
      <c r="T4012">
        <v>-0.38421169999999999</v>
      </c>
      <c r="U4012">
        <v>-5.5313109999999999E-2</v>
      </c>
      <c r="V4012">
        <v>-6.7637859999999994E-2</v>
      </c>
      <c r="W4012">
        <v>0.37275740000000002</v>
      </c>
      <c r="X4012">
        <v>0.92546050000000002</v>
      </c>
      <c r="Y4012">
        <v>-2.282555E-2</v>
      </c>
      <c r="Z4012">
        <v>-2.0883500000000001E-3</v>
      </c>
      <c r="AA4012">
        <v>0.99973730000000005</v>
      </c>
      <c r="AB4012">
        <v>31</v>
      </c>
      <c r="AC4012">
        <v>-0.66490000000001703</v>
      </c>
      <c r="AD4012">
        <v>-0.11077149999999999</v>
      </c>
      <c r="AE4012">
        <v>-1.7800000000022399E-2</v>
      </c>
      <c r="AF4012">
        <v>-2.1615923791690299E-2</v>
      </c>
      <c r="AG4012">
        <v>-0.11077149999999999</v>
      </c>
      <c r="AH4012">
        <v>0.64682719846463299</v>
      </c>
      <c r="AI4012">
        <v>99.7125219780267</v>
      </c>
      <c r="AJ4012">
        <v>91.914020417003002</v>
      </c>
      <c r="AK4012">
        <v>0.65659957207359199</v>
      </c>
      <c r="AL4012">
        <v>68.114226993363005</v>
      </c>
      <c r="AM4012">
        <v>94.180065866346794</v>
      </c>
      <c r="AN4012">
        <v>1.0000000482101901</v>
      </c>
    </row>
    <row r="4013" spans="1:40" x14ac:dyDescent="0.25">
      <c r="A4013" t="str">
        <f>"20190304164450220"</f>
        <v>20190304164450220</v>
      </c>
      <c r="B4013" t="str">
        <f>"1551689090214121"</f>
        <v>1551689090214121</v>
      </c>
      <c r="C4013" t="s">
        <v>40</v>
      </c>
      <c r="D4013">
        <v>5.1155369999999998</v>
      </c>
      <c r="E4013">
        <v>0.52586440000000001</v>
      </c>
      <c r="F4013" t="s">
        <v>41</v>
      </c>
      <c r="G4013">
        <v>-234.43620000000001</v>
      </c>
      <c r="H4013">
        <v>1.000872</v>
      </c>
      <c r="I4013">
        <v>140.35140000000001</v>
      </c>
      <c r="J4013">
        <v>-233.81309999999999</v>
      </c>
      <c r="K4013">
        <v>1.1101840000000001</v>
      </c>
      <c r="L4013">
        <v>140.3775</v>
      </c>
      <c r="M4013">
        <v>-0.99994280000000002</v>
      </c>
      <c r="N4013">
        <v>-8.4050489999999995E-3</v>
      </c>
      <c r="O4013">
        <v>6.6381139999999996E-3</v>
      </c>
      <c r="P4013">
        <v>-0.92907609999999996</v>
      </c>
      <c r="Q4013">
        <v>0.36478670000000002</v>
      </c>
      <c r="R4013">
        <v>-6.1224500000000001E-2</v>
      </c>
      <c r="S4013">
        <v>-3.3769840000000002</v>
      </c>
      <c r="T4013">
        <v>-0.39029429999999998</v>
      </c>
      <c r="U4013">
        <v>-8.5769650000000003E-2</v>
      </c>
      <c r="V4013">
        <v>-6.7372890000000005E-2</v>
      </c>
      <c r="W4013">
        <v>0.37258269999999999</v>
      </c>
      <c r="X4013">
        <v>0.92555019999999999</v>
      </c>
      <c r="Y4013">
        <v>-3.1761020000000001E-2</v>
      </c>
      <c r="Z4013">
        <v>-2.6719130000000002E-3</v>
      </c>
      <c r="AA4013">
        <v>0.99949189999999999</v>
      </c>
      <c r="AB4013">
        <v>31</v>
      </c>
      <c r="AC4013">
        <v>-0.62310000000002197</v>
      </c>
      <c r="AD4013">
        <v>-0.10931200000000001</v>
      </c>
      <c r="AE4013">
        <v>-2.6099999999985302E-2</v>
      </c>
      <c r="AF4013">
        <v>-2.9334543903965699E-2</v>
      </c>
      <c r="AG4013">
        <v>-0.10931200000000001</v>
      </c>
      <c r="AH4013">
        <v>0.60434589454139098</v>
      </c>
      <c r="AI4013">
        <v>100.24081137848501</v>
      </c>
      <c r="AJ4013">
        <v>92.778917594929297</v>
      </c>
      <c r="AK4013">
        <v>0.61485249374064299</v>
      </c>
      <c r="AL4013">
        <v>68.125014175606907</v>
      </c>
      <c r="AM4013">
        <v>94.1633461324856</v>
      </c>
      <c r="AN4013">
        <v>1.00000007368313</v>
      </c>
    </row>
    <row r="4014" spans="1:40" x14ac:dyDescent="0.25">
      <c r="A4014" t="str">
        <f>"20190304164450243"</f>
        <v>20190304164450243</v>
      </c>
      <c r="B4014" t="str">
        <f>"1551689090233643"</f>
        <v>1551689090233643</v>
      </c>
      <c r="C4014" t="s">
        <v>40</v>
      </c>
      <c r="D4014">
        <v>5.1133009999999999</v>
      </c>
      <c r="E4014">
        <v>0.52547060000000001</v>
      </c>
      <c r="F4014" t="s">
        <v>41</v>
      </c>
      <c r="G4014">
        <v>-234.71860000000001</v>
      </c>
      <c r="H4014">
        <v>1.004707</v>
      </c>
      <c r="I4014">
        <v>140.3526</v>
      </c>
      <c r="J4014">
        <v>-234.1319</v>
      </c>
      <c r="K4014">
        <v>1.1101829999999999</v>
      </c>
      <c r="L4014">
        <v>140.37960000000001</v>
      </c>
      <c r="M4014">
        <v>-0.99994280000000002</v>
      </c>
      <c r="N4014">
        <v>-8.4024870000000002E-3</v>
      </c>
      <c r="O4014">
        <v>6.6349640000000001E-3</v>
      </c>
      <c r="P4014">
        <v>-0.9294384</v>
      </c>
      <c r="Q4014">
        <v>0.36405539999999997</v>
      </c>
      <c r="R4014">
        <v>-6.0070650000000003E-2</v>
      </c>
      <c r="S4014">
        <v>-3.377335</v>
      </c>
      <c r="T4014">
        <v>-0.39347140000000003</v>
      </c>
      <c r="U4014">
        <v>-9.3399049999999997E-2</v>
      </c>
      <c r="V4014">
        <v>-6.6218899999999997E-2</v>
      </c>
      <c r="W4014">
        <v>0.37185200000000002</v>
      </c>
      <c r="X4014">
        <v>0.92592719999999995</v>
      </c>
      <c r="Y4014">
        <v>-3.3991109999999998E-2</v>
      </c>
      <c r="Z4014">
        <v>-2.831039E-3</v>
      </c>
      <c r="AA4014">
        <v>0.99941809999999998</v>
      </c>
      <c r="AB4014">
        <v>31</v>
      </c>
      <c r="AC4014">
        <v>-0.58670000000000699</v>
      </c>
      <c r="AD4014">
        <v>-0.105475999999999</v>
      </c>
      <c r="AE4014">
        <v>-2.7000000000015199E-2</v>
      </c>
      <c r="AF4014">
        <v>-2.9927068895488799E-2</v>
      </c>
      <c r="AG4014">
        <v>-0.105475999999999</v>
      </c>
      <c r="AH4014">
        <v>0.568182912857921</v>
      </c>
      <c r="AI4014">
        <v>100.502292470949</v>
      </c>
      <c r="AJ4014">
        <v>93.015070761479507</v>
      </c>
      <c r="AK4014">
        <v>0.57866453018341002</v>
      </c>
      <c r="AL4014">
        <v>68.170120028619905</v>
      </c>
      <c r="AM4014">
        <v>94.090618485448204</v>
      </c>
      <c r="AN4014">
        <v>1.00000001616052</v>
      </c>
    </row>
    <row r="4015" spans="1:40" x14ac:dyDescent="0.25">
      <c r="A4015" t="str">
        <f>"20190304164450264"</f>
        <v>20190304164450264</v>
      </c>
      <c r="B4015" t="str">
        <f>"1551689090254136"</f>
        <v>1551689090254136</v>
      </c>
      <c r="C4015" t="s">
        <v>40</v>
      </c>
      <c r="D4015">
        <v>5.0832139999999999</v>
      </c>
      <c r="E4015">
        <v>0.525038</v>
      </c>
      <c r="F4015" t="s">
        <v>41</v>
      </c>
      <c r="G4015">
        <v>-235.00110000000001</v>
      </c>
      <c r="H4015">
        <v>1.0077989999999999</v>
      </c>
      <c r="I4015">
        <v>140.3546</v>
      </c>
      <c r="J4015">
        <v>-234.43770000000001</v>
      </c>
      <c r="K4015">
        <v>1.110182</v>
      </c>
      <c r="L4015">
        <v>140.38159999999999</v>
      </c>
      <c r="M4015">
        <v>-0.99994280000000002</v>
      </c>
      <c r="N4015">
        <v>-8.4007660000000005E-3</v>
      </c>
      <c r="O4015">
        <v>6.6325749999999999E-3</v>
      </c>
      <c r="P4015">
        <v>-0.92979000000000001</v>
      </c>
      <c r="Q4015">
        <v>0.36342629999999998</v>
      </c>
      <c r="R4015">
        <v>-5.8413649999999998E-2</v>
      </c>
      <c r="S4015">
        <v>-3.377319</v>
      </c>
      <c r="T4015">
        <v>-0.39784659999999999</v>
      </c>
      <c r="U4015">
        <v>-9.7167970000000006E-2</v>
      </c>
      <c r="V4015">
        <v>-6.456336E-2</v>
      </c>
      <c r="W4015">
        <v>0.37122379999999999</v>
      </c>
      <c r="X4015">
        <v>0.92629609999999996</v>
      </c>
      <c r="Y4015">
        <v>-3.5088889999999998E-2</v>
      </c>
      <c r="Z4015">
        <v>-2.930097E-3</v>
      </c>
      <c r="AA4015">
        <v>0.99937989999999999</v>
      </c>
      <c r="AB4015">
        <v>31</v>
      </c>
      <c r="AC4015">
        <v>-0.56340000000000101</v>
      </c>
      <c r="AD4015">
        <v>-0.102383</v>
      </c>
      <c r="AE4015">
        <v>-2.6999999999986798E-2</v>
      </c>
      <c r="AF4015">
        <v>-2.97559391842999E-2</v>
      </c>
      <c r="AG4015">
        <v>-0.102383</v>
      </c>
      <c r="AH4015">
        <v>0.54524396010229503</v>
      </c>
      <c r="AI4015">
        <v>100.619415149614</v>
      </c>
      <c r="AJ4015">
        <v>93.123739696049697</v>
      </c>
      <c r="AK4015">
        <v>0.55557058114498203</v>
      </c>
      <c r="AL4015">
        <v>68.208888013528295</v>
      </c>
      <c r="AM4015">
        <v>93.987099785605196</v>
      </c>
      <c r="AN4015">
        <v>1.0000000010080601</v>
      </c>
    </row>
    <row r="4016" spans="1:40" x14ac:dyDescent="0.25">
      <c r="A4016" t="str">
        <f>"20190304164450287"</f>
        <v>20190304164450287</v>
      </c>
      <c r="B4016" t="str">
        <f>"1551689090284392"</f>
        <v>1551689090284392</v>
      </c>
      <c r="C4016" t="s">
        <v>40</v>
      </c>
      <c r="D4016">
        <v>5.0809360000000003</v>
      </c>
      <c r="E4016">
        <v>0.52470019999999995</v>
      </c>
      <c r="F4016" t="s">
        <v>41</v>
      </c>
      <c r="G4016">
        <v>-235.28380000000001</v>
      </c>
      <c r="H4016">
        <v>1.010195</v>
      </c>
      <c r="I4016">
        <v>140.35759999999999</v>
      </c>
      <c r="J4016">
        <v>-234.75479999999999</v>
      </c>
      <c r="K4016">
        <v>1.1101780000000001</v>
      </c>
      <c r="L4016">
        <v>140.3837</v>
      </c>
      <c r="M4016">
        <v>-0.99994280000000002</v>
      </c>
      <c r="N4016">
        <v>-8.39966199999999E-3</v>
      </c>
      <c r="O4016">
        <v>6.6310759999999996E-3</v>
      </c>
      <c r="P4016">
        <v>-0.92992039999999998</v>
      </c>
      <c r="Q4016">
        <v>0.3631665</v>
      </c>
      <c r="R4016">
        <v>-5.7953030000000003E-2</v>
      </c>
      <c r="S4016">
        <v>-3.3764500000000002</v>
      </c>
      <c r="T4016">
        <v>-0.39907150000000002</v>
      </c>
      <c r="U4016">
        <v>-9.6420290000000006E-2</v>
      </c>
      <c r="V4016">
        <v>-6.4103199999999999E-2</v>
      </c>
      <c r="W4016">
        <v>0.37096430000000002</v>
      </c>
      <c r="X4016">
        <v>0.92643200000000003</v>
      </c>
      <c r="Y4016">
        <v>-3.4873340000000003E-2</v>
      </c>
      <c r="Z4016">
        <v>-2.9257369999999999E-3</v>
      </c>
      <c r="AA4016">
        <v>0.99938740000000004</v>
      </c>
      <c r="AB4016">
        <v>31</v>
      </c>
      <c r="AC4016">
        <v>-0.52900000000002401</v>
      </c>
      <c r="AD4016">
        <v>-9.9982999999999905E-2</v>
      </c>
      <c r="AE4016">
        <v>-2.6100000000013699E-2</v>
      </c>
      <c r="AF4016">
        <v>-2.8588614098024E-2</v>
      </c>
      <c r="AG4016">
        <v>-9.9982999999999905E-2</v>
      </c>
      <c r="AH4016">
        <v>0.51061903394818298</v>
      </c>
      <c r="AI4016">
        <v>101.061873964821</v>
      </c>
      <c r="AJ4016">
        <v>93.204538989900101</v>
      </c>
      <c r="AK4016">
        <v>0.52110047685184602</v>
      </c>
      <c r="AL4016">
        <v>68.224899348395496</v>
      </c>
      <c r="AM4016">
        <v>93.958194483249002</v>
      </c>
      <c r="AN4016">
        <v>0.99999999137436502</v>
      </c>
    </row>
    <row r="4017" spans="1:40" x14ac:dyDescent="0.25">
      <c r="A4017" t="str">
        <f>"20190304164450310"</f>
        <v>20190304164450310</v>
      </c>
      <c r="B4017" t="str">
        <f>"1551689090303912"</f>
        <v>1551689090303912</v>
      </c>
      <c r="C4017" t="s">
        <v>40</v>
      </c>
      <c r="D4017">
        <v>5.1211739999999999</v>
      </c>
      <c r="E4017">
        <v>0.52468459999999995</v>
      </c>
      <c r="F4017" t="s">
        <v>41</v>
      </c>
      <c r="G4017">
        <v>-235.56790000000001</v>
      </c>
      <c r="H4017">
        <v>1.0141450000000001</v>
      </c>
      <c r="I4017">
        <v>140.3605</v>
      </c>
      <c r="J4017">
        <v>-235.07560000000001</v>
      </c>
      <c r="K4017">
        <v>1.1101799999999999</v>
      </c>
      <c r="L4017">
        <v>140.38579999999999</v>
      </c>
      <c r="M4017">
        <v>-0.99994280000000002</v>
      </c>
      <c r="N4017">
        <v>-8.399175E-3</v>
      </c>
      <c r="O4017">
        <v>6.6298750000000004E-3</v>
      </c>
      <c r="P4017">
        <v>-0.92982140000000002</v>
      </c>
      <c r="Q4017">
        <v>0.36342059999999998</v>
      </c>
      <c r="R4017">
        <v>-5.7949840000000002E-2</v>
      </c>
      <c r="S4017">
        <v>-3.3757630000000001</v>
      </c>
      <c r="T4017">
        <v>-0.39876590000000001</v>
      </c>
      <c r="U4017">
        <v>-9.6954349999999995E-2</v>
      </c>
      <c r="V4017">
        <v>-6.4099349999999999E-2</v>
      </c>
      <c r="W4017">
        <v>0.3712162</v>
      </c>
      <c r="X4017">
        <v>0.92633129999999997</v>
      </c>
      <c r="Y4017">
        <v>-3.5035040000000003E-2</v>
      </c>
      <c r="Z4017">
        <v>-2.9342090000000001E-3</v>
      </c>
      <c r="AA4017">
        <v>0.99938179999999999</v>
      </c>
      <c r="AB4017">
        <v>32</v>
      </c>
      <c r="AC4017">
        <v>-0.49230000000000002</v>
      </c>
      <c r="AD4017">
        <v>-9.6034999999999801E-2</v>
      </c>
      <c r="AE4017">
        <v>-2.5299999999987201E-2</v>
      </c>
      <c r="AF4017">
        <v>-2.7518999005364801E-2</v>
      </c>
      <c r="AG4017">
        <v>-9.6034999999999801E-2</v>
      </c>
      <c r="AH4017">
        <v>0.47412658798320101</v>
      </c>
      <c r="AI4017">
        <v>101.431693114857</v>
      </c>
      <c r="AJ4017">
        <v>93.321803816838099</v>
      </c>
      <c r="AK4017">
        <v>0.48453693147566101</v>
      </c>
      <c r="AL4017">
        <v>68.209355472281899</v>
      </c>
      <c r="AM4017">
        <v>93.958386407569705</v>
      </c>
      <c r="AN4017">
        <v>0.99999993558627398</v>
      </c>
    </row>
    <row r="4018" spans="1:40" x14ac:dyDescent="0.25">
      <c r="A4018" t="str">
        <f>"20190304164450333"</f>
        <v>20190304164450333</v>
      </c>
      <c r="B4018" t="str">
        <f>"1551689090324407"</f>
        <v>1551689090324407</v>
      </c>
      <c r="C4018" t="s">
        <v>40</v>
      </c>
      <c r="D4018">
        <v>5.0989849999999999</v>
      </c>
      <c r="E4018">
        <v>0.52461040000000003</v>
      </c>
      <c r="F4018" t="s">
        <v>41</v>
      </c>
      <c r="G4018">
        <v>-235.8527</v>
      </c>
      <c r="H4018">
        <v>1.0185930000000001</v>
      </c>
      <c r="I4018">
        <v>140.3638</v>
      </c>
      <c r="J4018">
        <v>-235.40430000000001</v>
      </c>
      <c r="K4018">
        <v>1.1101780000000001</v>
      </c>
      <c r="L4018">
        <v>140.38800000000001</v>
      </c>
      <c r="M4018">
        <v>-0.99994280000000002</v>
      </c>
      <c r="N4018">
        <v>-8.3941529999999997E-3</v>
      </c>
      <c r="O4018">
        <v>6.6267180000000002E-3</v>
      </c>
      <c r="P4018">
        <v>-0.92947040000000003</v>
      </c>
      <c r="Q4018">
        <v>0.36420580000000002</v>
      </c>
      <c r="R4018">
        <v>-5.8646490000000003E-2</v>
      </c>
      <c r="S4018">
        <v>-3.3759160000000001</v>
      </c>
      <c r="T4018">
        <v>-0.39791320000000002</v>
      </c>
      <c r="U4018">
        <v>-9.6725459999999999E-2</v>
      </c>
      <c r="V4018">
        <v>-6.4791840000000003E-2</v>
      </c>
      <c r="W4018">
        <v>0.37199359999999998</v>
      </c>
      <c r="X4018">
        <v>0.92597130000000005</v>
      </c>
      <c r="Y4018">
        <v>-3.4964719999999998E-2</v>
      </c>
      <c r="Z4018">
        <v>-2.9232189999999999E-3</v>
      </c>
      <c r="AA4018">
        <v>0.9993843</v>
      </c>
      <c r="AB4018">
        <v>32</v>
      </c>
      <c r="AC4018">
        <v>-0.44839999999999203</v>
      </c>
      <c r="AD4018">
        <v>-9.1585E-2</v>
      </c>
      <c r="AE4018">
        <v>-2.42000000000075E-2</v>
      </c>
      <c r="AF4018">
        <v>-2.6085916931990499E-2</v>
      </c>
      <c r="AG4018">
        <v>-9.1585E-2</v>
      </c>
      <c r="AH4018">
        <v>0.43032967387897397</v>
      </c>
      <c r="AI4018">
        <v>101.993349840907</v>
      </c>
      <c r="AJ4018">
        <v>93.468936402790305</v>
      </c>
      <c r="AK4018">
        <v>0.44074019048410701</v>
      </c>
      <c r="AL4018">
        <v>68.1613803919807</v>
      </c>
      <c r="AM4018">
        <v>94.002562697727498</v>
      </c>
      <c r="AN4018">
        <v>1.0000000346976099</v>
      </c>
    </row>
    <row r="4019" spans="1:40" x14ac:dyDescent="0.25">
      <c r="A4019" t="str">
        <f>"20190304164450354"</f>
        <v>20190304164450354</v>
      </c>
      <c r="B4019" t="str">
        <f>"1551689090343928"</f>
        <v>1551689090343928</v>
      </c>
      <c r="C4019" t="s">
        <v>40</v>
      </c>
      <c r="D4019">
        <v>5.0623839999999998</v>
      </c>
      <c r="E4019">
        <v>0.52427040000000003</v>
      </c>
      <c r="F4019" t="s">
        <v>41</v>
      </c>
      <c r="G4019">
        <v>-236.13990000000001</v>
      </c>
      <c r="H4019">
        <v>1.024192</v>
      </c>
      <c r="I4019">
        <v>140.36689999999999</v>
      </c>
      <c r="J4019">
        <v>-235.70830000000001</v>
      </c>
      <c r="K4019">
        <v>1.1101730000000001</v>
      </c>
      <c r="L4019">
        <v>140.38999999999999</v>
      </c>
      <c r="M4019">
        <v>-0.99994309999999997</v>
      </c>
      <c r="N4019">
        <v>-8.3761229999999992E-3</v>
      </c>
      <c r="O4019">
        <v>6.6183530000000004E-3</v>
      </c>
      <c r="P4019">
        <v>-0.92930349999999995</v>
      </c>
      <c r="Q4019">
        <v>0.36451070000000002</v>
      </c>
      <c r="R4019">
        <v>-5.939005E-2</v>
      </c>
      <c r="S4019">
        <v>-3.3762050000000001</v>
      </c>
      <c r="T4019">
        <v>-0.39477669999999998</v>
      </c>
      <c r="U4019">
        <v>-9.7228999999999996E-2</v>
      </c>
      <c r="V4019">
        <v>-6.5529909999999997E-2</v>
      </c>
      <c r="W4019">
        <v>0.3722799</v>
      </c>
      <c r="X4019">
        <v>0.92580430000000002</v>
      </c>
      <c r="Y4019">
        <v>-3.510651E-2</v>
      </c>
      <c r="Z4019">
        <v>-2.9085510000000001E-3</v>
      </c>
      <c r="AA4019">
        <v>0.99937929999999997</v>
      </c>
      <c r="AB4019">
        <v>32</v>
      </c>
      <c r="AC4019">
        <v>-0.43160000000000298</v>
      </c>
      <c r="AD4019">
        <v>-8.5980999999999794E-2</v>
      </c>
      <c r="AE4019">
        <v>-2.3099999999999399E-2</v>
      </c>
      <c r="AF4019">
        <v>-2.4968014029487499E-2</v>
      </c>
      <c r="AG4019">
        <v>-8.5980999999999794E-2</v>
      </c>
      <c r="AH4019">
        <v>0.41501426588915202</v>
      </c>
      <c r="AI4019">
        <v>101.68417922896199</v>
      </c>
      <c r="AJ4019">
        <v>93.442868682322199</v>
      </c>
      <c r="AK4019">
        <v>0.42456209790452099</v>
      </c>
      <c r="AL4019">
        <v>68.143707585569899</v>
      </c>
      <c r="AM4019">
        <v>94.048734545254405</v>
      </c>
      <c r="AN4019">
        <v>1.00000004747355</v>
      </c>
    </row>
    <row r="4020" spans="1:40" x14ac:dyDescent="0.25">
      <c r="A4020" t="str">
        <f>"20190304164450376"</f>
        <v>20190304164450376</v>
      </c>
      <c r="B4020" t="str">
        <f>"1551689090364424"</f>
        <v>1551689090364424</v>
      </c>
      <c r="C4020" t="s">
        <v>40</v>
      </c>
      <c r="D4020">
        <v>5.1021900000000002</v>
      </c>
      <c r="E4020">
        <v>0.52412950000000003</v>
      </c>
      <c r="F4020" t="s">
        <v>41</v>
      </c>
      <c r="G4020">
        <v>-236.69370000000001</v>
      </c>
      <c r="H4020">
        <v>0.99524500000000005</v>
      </c>
      <c r="I4020">
        <v>140.3605</v>
      </c>
      <c r="J4020">
        <v>-236.0187</v>
      </c>
      <c r="K4020">
        <v>1.110168</v>
      </c>
      <c r="L4020">
        <v>140.392</v>
      </c>
      <c r="M4020">
        <v>-0.99994349999999999</v>
      </c>
      <c r="N4020">
        <v>-8.3487830000000002E-3</v>
      </c>
      <c r="O4020">
        <v>6.6026169999999999E-3</v>
      </c>
      <c r="P4020">
        <v>-0.92946740000000005</v>
      </c>
      <c r="Q4020">
        <v>0.36385640000000002</v>
      </c>
      <c r="R4020">
        <v>-6.081951E-2</v>
      </c>
      <c r="S4020">
        <v>-3.3762210000000001</v>
      </c>
      <c r="T4020">
        <v>-0.39380470000000001</v>
      </c>
      <c r="U4020">
        <v>-0.10112</v>
      </c>
      <c r="V4020">
        <v>-6.69511E-2</v>
      </c>
      <c r="W4020">
        <v>0.37160100000000001</v>
      </c>
      <c r="X4020">
        <v>0.92597529999999995</v>
      </c>
      <c r="Y4020">
        <v>-3.6234759999999998E-2</v>
      </c>
      <c r="Z4020">
        <v>-2.9698960000000001E-3</v>
      </c>
      <c r="AA4020">
        <v>0.99933890000000003</v>
      </c>
      <c r="AB4020">
        <v>32</v>
      </c>
      <c r="AC4020">
        <v>-0.67500000000001104</v>
      </c>
      <c r="AD4020">
        <v>-0.114923</v>
      </c>
      <c r="AE4020">
        <v>-3.1499999999993998E-2</v>
      </c>
      <c r="AF4020">
        <v>-3.4945464313532099E-2</v>
      </c>
      <c r="AG4020">
        <v>-0.114923</v>
      </c>
      <c r="AH4020">
        <v>0.65580854796478905</v>
      </c>
      <c r="AI4020">
        <v>99.925710960902904</v>
      </c>
      <c r="AJ4020">
        <v>93.050182558297706</v>
      </c>
      <c r="AK4020">
        <v>0.66671833107300504</v>
      </c>
      <c r="AL4020">
        <v>68.185611075934702</v>
      </c>
      <c r="AM4020">
        <v>94.135479368110097</v>
      </c>
      <c r="AN4020">
        <v>1.0000000046011499</v>
      </c>
    </row>
    <row r="4021" spans="1:40" x14ac:dyDescent="0.25">
      <c r="A4021" t="str">
        <f>"20190304164450399"</f>
        <v>20190304164450399</v>
      </c>
      <c r="B4021" t="str">
        <f>"1551689090393704"</f>
        <v>1551689090393704</v>
      </c>
      <c r="C4021" t="s">
        <v>40</v>
      </c>
      <c r="D4021">
        <v>5.0754869999999999</v>
      </c>
      <c r="E4021">
        <v>0.52386009999999905</v>
      </c>
      <c r="F4021" t="s">
        <v>41</v>
      </c>
      <c r="G4021">
        <v>-236.97989999999999</v>
      </c>
      <c r="H4021">
        <v>0.99758279999999999</v>
      </c>
      <c r="I4021">
        <v>140.3622</v>
      </c>
      <c r="J4021">
        <v>-236.3432</v>
      </c>
      <c r="K4021">
        <v>1.1101650000000001</v>
      </c>
      <c r="L4021">
        <v>140.39410000000001</v>
      </c>
      <c r="M4021">
        <v>-0.99994380000000005</v>
      </c>
      <c r="N4021">
        <v>-8.3190390000000003E-3</v>
      </c>
      <c r="O4021">
        <v>6.580509E-3</v>
      </c>
      <c r="P4021">
        <v>-0.92936220000000003</v>
      </c>
      <c r="Q4021">
        <v>0.3637956</v>
      </c>
      <c r="R4021">
        <v>-6.2759960000000004E-2</v>
      </c>
      <c r="S4021">
        <v>-3.3755649999999999</v>
      </c>
      <c r="T4021">
        <v>-0.39539400000000002</v>
      </c>
      <c r="U4021">
        <v>-0.1051178</v>
      </c>
      <c r="V4021">
        <v>-6.8875640000000002E-2</v>
      </c>
      <c r="W4021">
        <v>0.37151070000000003</v>
      </c>
      <c r="X4021">
        <v>0.92587039999999998</v>
      </c>
      <c r="Y4021">
        <v>-3.7390130000000001E-2</v>
      </c>
      <c r="Z4021">
        <v>-3.0514299999999999E-3</v>
      </c>
      <c r="AA4021">
        <v>0.99929610000000002</v>
      </c>
      <c r="AB4021">
        <v>32</v>
      </c>
      <c r="AC4021">
        <v>-0.63669999999999005</v>
      </c>
      <c r="AD4021">
        <v>-0.11258219999999899</v>
      </c>
      <c r="AE4021">
        <v>-3.1900000000007298E-2</v>
      </c>
      <c r="AF4021">
        <v>-3.4997770153503097E-2</v>
      </c>
      <c r="AG4021">
        <v>-0.11258219999999899</v>
      </c>
      <c r="AH4021">
        <v>0.61722651848822796</v>
      </c>
      <c r="AI4021">
        <v>100.320898799265</v>
      </c>
      <c r="AJ4021">
        <v>93.245291012846593</v>
      </c>
      <c r="AK4021">
        <v>0.62838536806457901</v>
      </c>
      <c r="AL4021">
        <v>68.191184321251896</v>
      </c>
      <c r="AM4021">
        <v>94.254405496896894</v>
      </c>
      <c r="AN4021">
        <v>1.0000000257980199</v>
      </c>
    </row>
    <row r="4022" spans="1:40" x14ac:dyDescent="0.25">
      <c r="A4022" t="str">
        <f>"20190304164450421"</f>
        <v>20190304164450421</v>
      </c>
      <c r="B4022" t="str">
        <f>"1551689090414201"</f>
        <v>1551689090414201</v>
      </c>
      <c r="C4022" t="s">
        <v>40</v>
      </c>
      <c r="D4022">
        <v>5.083164</v>
      </c>
      <c r="E4022">
        <v>0.52373649999999905</v>
      </c>
      <c r="F4022" t="s">
        <v>41</v>
      </c>
      <c r="G4022">
        <v>-237.26779999999999</v>
      </c>
      <c r="H4022">
        <v>1.00204</v>
      </c>
      <c r="I4022">
        <v>140.3638</v>
      </c>
      <c r="J4022">
        <v>-236.66200000000001</v>
      </c>
      <c r="K4022">
        <v>1.110161</v>
      </c>
      <c r="L4022">
        <v>140.39619999999999</v>
      </c>
      <c r="M4022">
        <v>-0.99994430000000001</v>
      </c>
      <c r="N4022">
        <v>-8.2842760000000001E-3</v>
      </c>
      <c r="O4022">
        <v>6.5536650000000002E-3</v>
      </c>
      <c r="P4022">
        <v>-0.9290214</v>
      </c>
      <c r="Q4022">
        <v>0.36439169999999999</v>
      </c>
      <c r="R4022">
        <v>-6.4329010000000006E-2</v>
      </c>
      <c r="S4022">
        <v>-3.3750460000000002</v>
      </c>
      <c r="T4022">
        <v>-0.39472629999999997</v>
      </c>
      <c r="U4022">
        <v>-0.1112518</v>
      </c>
      <c r="V4022">
        <v>-7.0421830000000005E-2</v>
      </c>
      <c r="W4022">
        <v>0.37207099999999999</v>
      </c>
      <c r="X4022">
        <v>0.92552900000000005</v>
      </c>
      <c r="Y4022">
        <v>-3.917052E-2</v>
      </c>
      <c r="Z4022">
        <v>-3.154656E-3</v>
      </c>
      <c r="AA4022">
        <v>0.99922759999999999</v>
      </c>
      <c r="AB4022">
        <v>32</v>
      </c>
      <c r="AC4022">
        <v>-0.60579999999998702</v>
      </c>
      <c r="AD4022">
        <v>-0.108120999999999</v>
      </c>
      <c r="AE4022">
        <v>-3.2399999999995502E-2</v>
      </c>
      <c r="AF4022">
        <v>-3.52500054962121E-2</v>
      </c>
      <c r="AG4022">
        <v>-0.108120999999999</v>
      </c>
      <c r="AH4022">
        <v>0.58693194287551997</v>
      </c>
      <c r="AI4022">
        <v>100.41929831529001</v>
      </c>
      <c r="AJ4022">
        <v>93.4369461447925</v>
      </c>
      <c r="AK4022">
        <v>0.597847655424118</v>
      </c>
      <c r="AL4022">
        <v>68.156601882292605</v>
      </c>
      <c r="AM4022">
        <v>94.351148439302506</v>
      </c>
      <c r="AN4022">
        <v>0.99999999651127403</v>
      </c>
    </row>
    <row r="4023" spans="1:40" x14ac:dyDescent="0.25">
      <c r="A4023" t="str">
        <f>"20190304164450443"</f>
        <v>20190304164450443</v>
      </c>
      <c r="B4023" t="str">
        <f>"1551689090433720"</f>
        <v>1551689090433720</v>
      </c>
      <c r="C4023" t="s">
        <v>40</v>
      </c>
      <c r="D4023">
        <v>5.1847570000000003</v>
      </c>
      <c r="E4023">
        <v>0.52379179999999903</v>
      </c>
      <c r="F4023" t="s">
        <v>41</v>
      </c>
      <c r="G4023">
        <v>-237.55619999999999</v>
      </c>
      <c r="H4023">
        <v>1.0063629999999999</v>
      </c>
      <c r="I4023">
        <v>140.3655</v>
      </c>
      <c r="J4023">
        <v>-236.9828</v>
      </c>
      <c r="K4023">
        <v>1.11016</v>
      </c>
      <c r="L4023">
        <v>140.39830000000001</v>
      </c>
      <c r="M4023">
        <v>-0.99994490000000003</v>
      </c>
      <c r="N4023">
        <v>-8.2447939999999997E-3</v>
      </c>
      <c r="O4023">
        <v>6.5225659999999996E-3</v>
      </c>
      <c r="P4023">
        <v>-0.92895039999999995</v>
      </c>
      <c r="Q4023">
        <v>0.3644714</v>
      </c>
      <c r="R4023">
        <v>-6.4899789999999999E-2</v>
      </c>
      <c r="S4023">
        <v>-3.3748320000000001</v>
      </c>
      <c r="T4023">
        <v>-0.3918394</v>
      </c>
      <c r="U4023">
        <v>-0.1166687</v>
      </c>
      <c r="V4023">
        <v>-7.0966020000000005E-2</v>
      </c>
      <c r="W4023">
        <v>0.37211270000000002</v>
      </c>
      <c r="X4023">
        <v>0.92547069999999998</v>
      </c>
      <c r="Y4023">
        <v>-4.0737059999999999E-2</v>
      </c>
      <c r="Z4023">
        <v>-3.2258669999999999E-3</v>
      </c>
      <c r="AA4023">
        <v>0.99916470000000002</v>
      </c>
      <c r="AB4023">
        <v>32</v>
      </c>
      <c r="AC4023">
        <v>-0.57339999999999203</v>
      </c>
      <c r="AD4023">
        <v>-0.103797</v>
      </c>
      <c r="AE4023">
        <v>-3.2800000000008801E-2</v>
      </c>
      <c r="AF4023">
        <v>-3.5383782420831601E-2</v>
      </c>
      <c r="AG4023">
        <v>-0.103797</v>
      </c>
      <c r="AH4023">
        <v>0.55504527052267205</v>
      </c>
      <c r="AI4023">
        <v>100.571356369669</v>
      </c>
      <c r="AJ4023">
        <v>93.647633484326093</v>
      </c>
      <c r="AK4023">
        <v>0.56577476224818601</v>
      </c>
      <c r="AL4023">
        <v>68.154028521045703</v>
      </c>
      <c r="AM4023">
        <v>94.384916779290606</v>
      </c>
      <c r="AN4023">
        <v>1.0000000270272</v>
      </c>
    </row>
    <row r="4024" spans="1:40" x14ac:dyDescent="0.25">
      <c r="A4024" t="str">
        <f>"20190304164450465"</f>
        <v>20190304164450465</v>
      </c>
      <c r="B4024" t="str">
        <f>"1551689090454216"</f>
        <v>1551689090454216</v>
      </c>
      <c r="C4024" t="s">
        <v>40</v>
      </c>
      <c r="D4024">
        <v>5.2911859999999997</v>
      </c>
      <c r="E4024">
        <v>0.55418690000000004</v>
      </c>
      <c r="F4024" t="s">
        <v>41</v>
      </c>
      <c r="G4024">
        <v>-237.845</v>
      </c>
      <c r="H4024">
        <v>1.010119</v>
      </c>
      <c r="I4024">
        <v>140.36779999999999</v>
      </c>
      <c r="J4024">
        <v>-237.29470000000001</v>
      </c>
      <c r="K4024">
        <v>1.110155</v>
      </c>
      <c r="L4024">
        <v>140.40029999999999</v>
      </c>
      <c r="M4024">
        <v>-0.99994530000000004</v>
      </c>
      <c r="N4024">
        <v>-8.2078510000000004E-3</v>
      </c>
      <c r="O4024">
        <v>6.4898000000000004E-3</v>
      </c>
      <c r="P4024">
        <v>-0.92902289999999998</v>
      </c>
      <c r="Q4024">
        <v>0.36431740000000001</v>
      </c>
      <c r="R4024">
        <v>-6.472783E-2</v>
      </c>
      <c r="S4024">
        <v>-3.3747099999999999</v>
      </c>
      <c r="T4024">
        <v>-0.39154420000000001</v>
      </c>
      <c r="U4024">
        <v>-0.1194153</v>
      </c>
      <c r="V4024">
        <v>-7.0765229999999998E-2</v>
      </c>
      <c r="W4024">
        <v>0.37192500000000001</v>
      </c>
      <c r="X4024">
        <v>0.92556150000000004</v>
      </c>
      <c r="Y4024">
        <v>-4.151291E-2</v>
      </c>
      <c r="Z4024">
        <v>-3.2676150000000002E-3</v>
      </c>
      <c r="AA4024">
        <v>0.99913260000000004</v>
      </c>
      <c r="AB4024">
        <v>32</v>
      </c>
      <c r="AC4024">
        <v>-0.55029999999999202</v>
      </c>
      <c r="AD4024">
        <v>-0.100036</v>
      </c>
      <c r="AE4024">
        <v>-3.2499999999998801E-2</v>
      </c>
      <c r="AF4024">
        <v>-3.4920804766772201E-2</v>
      </c>
      <c r="AG4024">
        <v>-0.100036</v>
      </c>
      <c r="AH4024">
        <v>0.53254053238495103</v>
      </c>
      <c r="AI4024">
        <v>100.616564881453</v>
      </c>
      <c r="AJ4024">
        <v>93.751741295920496</v>
      </c>
      <c r="AK4024">
        <v>0.542978896951259</v>
      </c>
      <c r="AL4024">
        <v>68.165614058341902</v>
      </c>
      <c r="AM4024">
        <v>94.372131060354704</v>
      </c>
      <c r="AN4024">
        <v>1.0000000068421</v>
      </c>
    </row>
    <row r="4025" spans="1:40" x14ac:dyDescent="0.25">
      <c r="A4025" t="str">
        <f>"20190304164450489"</f>
        <v>20190304164450489</v>
      </c>
      <c r="B4025" t="str">
        <f>"1551689090484473"</f>
        <v>1551689090484473</v>
      </c>
      <c r="C4025" t="s">
        <v>40</v>
      </c>
      <c r="D4025">
        <v>5.1278810000000004</v>
      </c>
      <c r="E4025">
        <v>0.56073909999999905</v>
      </c>
      <c r="F4025" t="s">
        <v>41</v>
      </c>
      <c r="G4025">
        <v>-238.1344</v>
      </c>
      <c r="H4025">
        <v>1.0178259999999999</v>
      </c>
      <c r="I4025">
        <v>140.4315</v>
      </c>
      <c r="J4025">
        <v>-237.6317</v>
      </c>
      <c r="K4025">
        <v>1.110144</v>
      </c>
      <c r="L4025">
        <v>140.4025</v>
      </c>
      <c r="M4025">
        <v>-0.99994590000000005</v>
      </c>
      <c r="N4025">
        <v>-8.1710930000000008E-3</v>
      </c>
      <c r="O4025">
        <v>6.4528090000000003E-3</v>
      </c>
      <c r="P4025">
        <v>-0.92912450000000002</v>
      </c>
      <c r="Q4025">
        <v>0.36416920000000003</v>
      </c>
      <c r="R4025">
        <v>-6.4101669999999999E-2</v>
      </c>
      <c r="S4025">
        <v>-3.3838349999999999</v>
      </c>
      <c r="T4025">
        <v>-0.3721448</v>
      </c>
      <c r="U4025">
        <v>0.1248932</v>
      </c>
      <c r="V4025">
        <v>-7.0106920000000003E-2</v>
      </c>
      <c r="W4025">
        <v>0.3717435</v>
      </c>
      <c r="X4025">
        <v>0.92568450000000002</v>
      </c>
      <c r="Y4025">
        <v>3.0271650000000001E-2</v>
      </c>
      <c r="Z4025">
        <v>1.1284520000000001E-3</v>
      </c>
      <c r="AA4025">
        <v>0.99954100000000001</v>
      </c>
      <c r="AB4025">
        <v>32</v>
      </c>
      <c r="AC4025">
        <v>-0.50270000000000403</v>
      </c>
      <c r="AD4025">
        <v>-9.23179999999999E-2</v>
      </c>
      <c r="AE4025">
        <v>2.89999999999963E-2</v>
      </c>
      <c r="AF4025">
        <v>2.4917886934217402E-2</v>
      </c>
      <c r="AG4025">
        <v>-9.23179999999999E-2</v>
      </c>
      <c r="AH4025">
        <v>0.48652299240105901</v>
      </c>
      <c r="AI4025">
        <v>100.73043426998601</v>
      </c>
      <c r="AJ4025">
        <v>87.068086375606597</v>
      </c>
      <c r="AK4025">
        <v>0.49583075373371899</v>
      </c>
      <c r="AL4025">
        <v>68.176816348340793</v>
      </c>
      <c r="AM4025">
        <v>94.331040445496498</v>
      </c>
      <c r="AN4025">
        <v>1.00000000178219</v>
      </c>
    </row>
    <row r="4026" spans="1:40" x14ac:dyDescent="0.25">
      <c r="A4026" t="str">
        <f>"20190304164450513"</f>
        <v>20190304164450513</v>
      </c>
      <c r="B4026" t="str">
        <f>"1551689090503992"</f>
        <v>1551689090503992</v>
      </c>
      <c r="C4026" t="s">
        <v>40</v>
      </c>
      <c r="D4026">
        <v>5.1150270000000004</v>
      </c>
      <c r="E4026">
        <v>0.56241280000000005</v>
      </c>
      <c r="F4026" t="s">
        <v>41</v>
      </c>
      <c r="G4026">
        <v>-238.41990000000001</v>
      </c>
      <c r="H4026">
        <v>1.0125999999999999</v>
      </c>
      <c r="I4026">
        <v>140.44319999999999</v>
      </c>
      <c r="J4026">
        <v>-237.97309999999999</v>
      </c>
      <c r="K4026">
        <v>1.1101369999999999</v>
      </c>
      <c r="L4026">
        <v>140.40459999999999</v>
      </c>
      <c r="M4026">
        <v>-0.99994640000000001</v>
      </c>
      <c r="N4026">
        <v>-8.1372159999999992E-3</v>
      </c>
      <c r="O4026">
        <v>6.4149150000000002E-3</v>
      </c>
      <c r="P4026">
        <v>-0.92913939999999995</v>
      </c>
      <c r="Q4026">
        <v>0.36425639999999998</v>
      </c>
      <c r="R4026">
        <v>-6.3382690000000005E-2</v>
      </c>
      <c r="S4026">
        <v>-3.406158</v>
      </c>
      <c r="T4026">
        <v>-0.42150310000000002</v>
      </c>
      <c r="U4026">
        <v>0.17550660000000001</v>
      </c>
      <c r="V4026">
        <v>-6.9353509999999993E-2</v>
      </c>
      <c r="W4026">
        <v>0.3717993</v>
      </c>
      <c r="X4026">
        <v>0.92571879999999995</v>
      </c>
      <c r="Y4026">
        <v>4.4730039999999999E-2</v>
      </c>
      <c r="Z4026">
        <v>2.1998640000000002E-3</v>
      </c>
      <c r="AA4026">
        <v>0.99899669999999896</v>
      </c>
      <c r="AB4026">
        <v>32</v>
      </c>
      <c r="AC4026">
        <v>-0.44680000000002401</v>
      </c>
      <c r="AD4026">
        <v>-9.7537000000000207E-2</v>
      </c>
      <c r="AE4026">
        <v>3.8600000000002403E-2</v>
      </c>
      <c r="AF4026">
        <v>3.4119016005008398E-2</v>
      </c>
      <c r="AG4026">
        <v>-9.7537000000000207E-2</v>
      </c>
      <c r="AH4026">
        <v>0.42684752160205403</v>
      </c>
      <c r="AI4026">
        <v>102.831844492171</v>
      </c>
      <c r="AJ4026">
        <v>85.429918099003203</v>
      </c>
      <c r="AK4026">
        <v>0.43917693509560102</v>
      </c>
      <c r="AL4026">
        <v>68.173371500550601</v>
      </c>
      <c r="AM4026">
        <v>94.284512650444796</v>
      </c>
      <c r="AN4026">
        <v>0.99999996275162395</v>
      </c>
    </row>
    <row r="4027" spans="1:40" x14ac:dyDescent="0.25">
      <c r="A4027" t="str">
        <f>"20190304164450536"</f>
        <v>20190304164450536</v>
      </c>
      <c r="B4027" t="str">
        <f>"1551689090524488"</f>
        <v>1551689090524488</v>
      </c>
      <c r="C4027" t="s">
        <v>40</v>
      </c>
      <c r="D4027">
        <v>5.0915019999999904</v>
      </c>
      <c r="E4027">
        <v>0.56328009999999995</v>
      </c>
      <c r="F4027" t="s">
        <v>41</v>
      </c>
      <c r="G4027">
        <v>-238.7105</v>
      </c>
      <c r="H4027">
        <v>1.0161180000000001</v>
      </c>
      <c r="I4027">
        <v>140.44589999999999</v>
      </c>
      <c r="J4027">
        <v>-238.29570000000001</v>
      </c>
      <c r="K4027">
        <v>1.110136</v>
      </c>
      <c r="L4027">
        <v>140.4066</v>
      </c>
      <c r="M4027">
        <v>-0.99994680000000002</v>
      </c>
      <c r="N4027">
        <v>-8.1087350000000006E-3</v>
      </c>
      <c r="O4027">
        <v>6.3795609999999997E-3</v>
      </c>
      <c r="P4027">
        <v>-0.92930409999999997</v>
      </c>
      <c r="Q4027">
        <v>0.36400490000000002</v>
      </c>
      <c r="R4027">
        <v>-6.2404420000000002E-2</v>
      </c>
      <c r="S4027">
        <v>-3.412369</v>
      </c>
      <c r="T4027">
        <v>-0.43506280000000003</v>
      </c>
      <c r="U4027">
        <v>0.19064329999999999</v>
      </c>
      <c r="V4027">
        <v>-6.8344150000000006E-2</v>
      </c>
      <c r="W4027">
        <v>0.37152299999999999</v>
      </c>
      <c r="X4027">
        <v>0.92590479999999997</v>
      </c>
      <c r="Y4027">
        <v>4.9034389999999997E-2</v>
      </c>
      <c r="Z4027">
        <v>2.5527290000000001E-3</v>
      </c>
      <c r="AA4027">
        <v>0.99879379999999995</v>
      </c>
      <c r="AB4027">
        <v>32</v>
      </c>
      <c r="AC4027">
        <v>-0.41479999999998501</v>
      </c>
      <c r="AD4027">
        <v>-9.4017999999999893E-2</v>
      </c>
      <c r="AE4027">
        <v>3.9299999999997198E-2</v>
      </c>
      <c r="AF4027">
        <v>3.48770347082549E-2</v>
      </c>
      <c r="AG4027">
        <v>-9.4017999999999893E-2</v>
      </c>
      <c r="AH4027">
        <v>0.39493342762363298</v>
      </c>
      <c r="AI4027">
        <v>103.34055447492</v>
      </c>
      <c r="AJ4027">
        <v>84.953234940010404</v>
      </c>
      <c r="AK4027">
        <v>0.40746558643472203</v>
      </c>
      <c r="AL4027">
        <v>68.1904242156306</v>
      </c>
      <c r="AM4027">
        <v>94.221538563068705</v>
      </c>
      <c r="AN4027">
        <v>0.99999998051563099</v>
      </c>
    </row>
    <row r="4028" spans="1:40" x14ac:dyDescent="0.25">
      <c r="A4028" t="str">
        <f>"20190304164450553"</f>
        <v>20190304164450553</v>
      </c>
      <c r="B4028" t="str">
        <f>"1551689090544008"</f>
        <v>1551689090544008</v>
      </c>
      <c r="C4028" t="s">
        <v>40</v>
      </c>
      <c r="D4028">
        <v>5.1156519999999999</v>
      </c>
      <c r="E4028">
        <v>0.56381440000000005</v>
      </c>
      <c r="F4028" t="s">
        <v>41</v>
      </c>
      <c r="G4028">
        <v>-239.27379999999999</v>
      </c>
      <c r="H4028">
        <v>0.982908</v>
      </c>
      <c r="I4028">
        <v>140.46459999999999</v>
      </c>
      <c r="J4028">
        <v>-238.57140000000001</v>
      </c>
      <c r="K4028">
        <v>1.110134</v>
      </c>
      <c r="L4028">
        <v>140.4084</v>
      </c>
      <c r="M4028">
        <v>-0.99994720000000004</v>
      </c>
      <c r="N4028">
        <v>-8.0871559999999999E-3</v>
      </c>
      <c r="O4028">
        <v>6.3497830000000003E-3</v>
      </c>
      <c r="P4028">
        <v>-0.92937130000000001</v>
      </c>
      <c r="Q4028">
        <v>0.3640601</v>
      </c>
      <c r="R4028">
        <v>-6.1071380000000001E-2</v>
      </c>
      <c r="S4028">
        <v>-3.4158170000000001</v>
      </c>
      <c r="T4028">
        <v>-0.44437500000000002</v>
      </c>
      <c r="U4028">
        <v>0.20156859999999999</v>
      </c>
      <c r="V4028">
        <v>-6.6983680000000004E-2</v>
      </c>
      <c r="W4028">
        <v>0.37155850000000001</v>
      </c>
      <c r="X4028">
        <v>0.92598999999999998</v>
      </c>
      <c r="Y4028">
        <v>5.2149210000000001E-2</v>
      </c>
      <c r="Z4028">
        <v>2.8162539999999998E-3</v>
      </c>
      <c r="AA4028">
        <v>0.99863539999999995</v>
      </c>
      <c r="AB4028">
        <v>32</v>
      </c>
      <c r="AC4028">
        <v>-0.70239999999998204</v>
      </c>
      <c r="AD4028">
        <v>-0.12722599999999901</v>
      </c>
      <c r="AE4028">
        <v>5.61999999999898E-2</v>
      </c>
      <c r="AF4028">
        <v>5.0105226970278201E-2</v>
      </c>
      <c r="AG4028">
        <v>-0.12722599999999901</v>
      </c>
      <c r="AH4028">
        <v>0.68055687449894797</v>
      </c>
      <c r="AI4028">
        <v>100.560937289626</v>
      </c>
      <c r="AJ4028">
        <v>85.789260405966203</v>
      </c>
      <c r="AK4028">
        <v>0.69415750970044299</v>
      </c>
      <c r="AL4028">
        <v>68.188233977722604</v>
      </c>
      <c r="AM4028">
        <v>94.137419349700394</v>
      </c>
      <c r="AN4028">
        <v>1.00000000620429</v>
      </c>
    </row>
    <row r="4029" spans="1:40" x14ac:dyDescent="0.25">
      <c r="A4029" t="str">
        <f>"20190304164450577"</f>
        <v>20190304164450577</v>
      </c>
      <c r="B4029" t="str">
        <f>"1551689090564504"</f>
        <v>1551689090564504</v>
      </c>
      <c r="C4029" t="s">
        <v>40</v>
      </c>
      <c r="D4029">
        <v>5.1122389999999998</v>
      </c>
      <c r="E4029">
        <v>0.56418290000000004</v>
      </c>
      <c r="F4029" t="s">
        <v>41</v>
      </c>
      <c r="G4029">
        <v>-239.28970000000001</v>
      </c>
      <c r="H4029">
        <v>1.0152870000000001</v>
      </c>
      <c r="I4029">
        <v>140.45269999999999</v>
      </c>
      <c r="J4029">
        <v>-238.90379999999999</v>
      </c>
      <c r="K4029">
        <v>1.11012</v>
      </c>
      <c r="L4029">
        <v>140.41050000000001</v>
      </c>
      <c r="M4029">
        <v>-0.99994760000000005</v>
      </c>
      <c r="N4029">
        <v>-8.0635510000000004E-3</v>
      </c>
      <c r="O4029">
        <v>6.3145889999999998E-3</v>
      </c>
      <c r="P4029">
        <v>-0.92921659999999995</v>
      </c>
      <c r="Q4029">
        <v>0.36457430000000002</v>
      </c>
      <c r="R4029">
        <v>-6.0352629999999997E-2</v>
      </c>
      <c r="S4029">
        <v>-3.418625</v>
      </c>
      <c r="T4029">
        <v>-0.45146199999999997</v>
      </c>
      <c r="U4029">
        <v>0.2100677</v>
      </c>
      <c r="V4029">
        <v>-6.6231789999999999E-2</v>
      </c>
      <c r="W4029">
        <v>0.37204939999999997</v>
      </c>
      <c r="X4029">
        <v>0.92584699999999998</v>
      </c>
      <c r="Y4029">
        <v>5.4575190000000003E-2</v>
      </c>
      <c r="Z4029">
        <v>3.0271130000000001E-3</v>
      </c>
      <c r="AA4029">
        <v>0.99850510000000003</v>
      </c>
      <c r="AB4029">
        <v>32</v>
      </c>
      <c r="AC4029">
        <v>-0.38590000000002</v>
      </c>
      <c r="AD4029">
        <v>-9.4832999999999903E-2</v>
      </c>
      <c r="AE4029">
        <v>4.2199999999979802E-2</v>
      </c>
      <c r="AF4029">
        <v>3.7523019627010101E-2</v>
      </c>
      <c r="AG4029">
        <v>-9.4832999999999903E-2</v>
      </c>
      <c r="AH4029">
        <v>0.364411799469048</v>
      </c>
      <c r="AI4029">
        <v>104.513399262099</v>
      </c>
      <c r="AJ4029">
        <v>84.121045338020906</v>
      </c>
      <c r="AK4029">
        <v>0.37841410449823198</v>
      </c>
      <c r="AL4029">
        <v>68.157936114846294</v>
      </c>
      <c r="AM4029">
        <v>94.0917652590297</v>
      </c>
      <c r="AN4029">
        <v>1.00000003672798</v>
      </c>
    </row>
    <row r="4030" spans="1:40" x14ac:dyDescent="0.25">
      <c r="A4030" t="str">
        <f>"20190304164450600"</f>
        <v>20190304164450600</v>
      </c>
      <c r="B4030" t="str">
        <f>"1551689090593786"</f>
        <v>1551689090593786</v>
      </c>
      <c r="C4030" t="s">
        <v>40</v>
      </c>
      <c r="D4030">
        <v>5.1099069999999998</v>
      </c>
      <c r="E4030">
        <v>0.564527</v>
      </c>
      <c r="F4030" t="s">
        <v>41</v>
      </c>
      <c r="G4030">
        <v>-239.8562</v>
      </c>
      <c r="H4030">
        <v>0.98347019999999996</v>
      </c>
      <c r="I4030">
        <v>140.47040000000001</v>
      </c>
      <c r="J4030">
        <v>-239.2397</v>
      </c>
      <c r="K4030">
        <v>1.110114</v>
      </c>
      <c r="L4030">
        <v>140.4126</v>
      </c>
      <c r="M4030">
        <v>-0.99994799999999995</v>
      </c>
      <c r="N4030">
        <v>-8.0375729999999992E-3</v>
      </c>
      <c r="O4030">
        <v>6.2793459999999999E-3</v>
      </c>
      <c r="P4030">
        <v>-0.92940339999999999</v>
      </c>
      <c r="Q4030">
        <v>0.36416169999999998</v>
      </c>
      <c r="R4030">
        <v>-5.9966360000000003E-2</v>
      </c>
      <c r="S4030">
        <v>-3.4209900000000002</v>
      </c>
      <c r="T4030">
        <v>-0.4549801</v>
      </c>
      <c r="U4030">
        <v>0.21472169999999999</v>
      </c>
      <c r="V4030">
        <v>-6.5814570000000003E-2</v>
      </c>
      <c r="W4030">
        <v>0.37161470000000002</v>
      </c>
      <c r="X4030">
        <v>0.92605130000000002</v>
      </c>
      <c r="Y4030">
        <v>5.5902590000000002E-2</v>
      </c>
      <c r="Z4030">
        <v>3.1430659999999999E-3</v>
      </c>
      <c r="AA4030">
        <v>0.99843130000000002</v>
      </c>
      <c r="AB4030">
        <v>33</v>
      </c>
      <c r="AC4030">
        <v>-0.61650000000000205</v>
      </c>
      <c r="AD4030">
        <v>-0.1266438</v>
      </c>
      <c r="AE4030">
        <v>5.78000000000145E-2</v>
      </c>
      <c r="AF4030">
        <v>5.1762238991551301E-2</v>
      </c>
      <c r="AG4030">
        <v>-0.1266438</v>
      </c>
      <c r="AH4030">
        <v>0.59208321657354201</v>
      </c>
      <c r="AI4030">
        <v>102.028830105754</v>
      </c>
      <c r="AJ4030">
        <v>85.003681062987098</v>
      </c>
      <c r="AK4030">
        <v>0.607684553705235</v>
      </c>
      <c r="AL4030">
        <v>68.184766080957104</v>
      </c>
      <c r="AM4030">
        <v>94.065182326874805</v>
      </c>
      <c r="AN4030">
        <v>1.00000002655603</v>
      </c>
    </row>
    <row r="4031" spans="1:40" x14ac:dyDescent="0.25">
      <c r="A4031" t="str">
        <f>"20190304164450623"</f>
        <v>20190304164450623</v>
      </c>
      <c r="B4031" t="str">
        <f>"1551689090614280"</f>
        <v>1551689090614280</v>
      </c>
      <c r="C4031" t="s">
        <v>40</v>
      </c>
      <c r="D4031">
        <v>5.1094059999999999</v>
      </c>
      <c r="E4031">
        <v>0.56471740000000004</v>
      </c>
      <c r="F4031" t="s">
        <v>41</v>
      </c>
      <c r="G4031">
        <v>-240.15</v>
      </c>
      <c r="H4031">
        <v>0.98697140000000005</v>
      </c>
      <c r="I4031">
        <v>140.4708</v>
      </c>
      <c r="J4031">
        <v>-239.5789</v>
      </c>
      <c r="K4031">
        <v>1.110107</v>
      </c>
      <c r="L4031">
        <v>140.41460000000001</v>
      </c>
      <c r="M4031">
        <v>-0.99994839999999996</v>
      </c>
      <c r="N4031">
        <v>-8.0128679999999994E-3</v>
      </c>
      <c r="O4031">
        <v>6.246733E-3</v>
      </c>
      <c r="P4031">
        <v>-0.92949020000000004</v>
      </c>
      <c r="Q4031">
        <v>0.36393589999999998</v>
      </c>
      <c r="R4031">
        <v>-5.9986980000000002E-2</v>
      </c>
      <c r="S4031">
        <v>-3.4234469999999999</v>
      </c>
      <c r="T4031">
        <v>-0.46315010000000001</v>
      </c>
      <c r="U4031">
        <v>0.21849060000000001</v>
      </c>
      <c r="V4031">
        <v>-6.5804379999999996E-2</v>
      </c>
      <c r="W4031">
        <v>0.3713668</v>
      </c>
      <c r="X4031">
        <v>0.92615150000000002</v>
      </c>
      <c r="Y4031">
        <v>5.6959160000000002E-2</v>
      </c>
      <c r="Z4031">
        <v>3.270561E-3</v>
      </c>
      <c r="AA4031">
        <v>0.99837109999999996</v>
      </c>
      <c r="AB4031">
        <v>33</v>
      </c>
      <c r="AC4031">
        <v>-0.57110000000000105</v>
      </c>
      <c r="AD4031">
        <v>-0.1231356</v>
      </c>
      <c r="AE4031">
        <v>5.61999999999898E-2</v>
      </c>
      <c r="AF4031">
        <v>5.0314673647488997E-2</v>
      </c>
      <c r="AG4031">
        <v>-0.1231356</v>
      </c>
      <c r="AH4031">
        <v>0.54628756804468204</v>
      </c>
      <c r="AI4031">
        <v>102.65062324359999</v>
      </c>
      <c r="AJ4031">
        <v>84.737738403180501</v>
      </c>
      <c r="AK4031">
        <v>0.56224909904043996</v>
      </c>
      <c r="AL4031">
        <v>68.200065249183794</v>
      </c>
      <c r="AM4031">
        <v>94.064116759545101</v>
      </c>
      <c r="AN4031">
        <v>1.00000005876083</v>
      </c>
    </row>
    <row r="4032" spans="1:40" x14ac:dyDescent="0.25">
      <c r="A4032" t="str">
        <f>"20190304164450644"</f>
        <v>20190304164450644</v>
      </c>
      <c r="B4032" t="str">
        <f>"1551689090633800"</f>
        <v>1551689090633800</v>
      </c>
      <c r="C4032" t="s">
        <v>40</v>
      </c>
      <c r="D4032">
        <v>5.1762319999999997</v>
      </c>
      <c r="E4032">
        <v>0.56469599999999998</v>
      </c>
      <c r="F4032" t="s">
        <v>41</v>
      </c>
      <c r="G4032">
        <v>-240.4453</v>
      </c>
      <c r="H4032">
        <v>0.99213859999999998</v>
      </c>
      <c r="I4032">
        <v>140.47059999999999</v>
      </c>
      <c r="J4032">
        <v>-239.89320000000001</v>
      </c>
      <c r="K4032">
        <v>1.110106</v>
      </c>
      <c r="L4032">
        <v>140.41659999999999</v>
      </c>
      <c r="M4032">
        <v>-0.99994870000000002</v>
      </c>
      <c r="N4032">
        <v>-7.9929010000000002E-3</v>
      </c>
      <c r="O4032">
        <v>6.2236669999999996E-3</v>
      </c>
      <c r="P4032">
        <v>-0.92950860000000002</v>
      </c>
      <c r="Q4032">
        <v>0.36368420000000001</v>
      </c>
      <c r="R4032">
        <v>-6.1220959999999998E-2</v>
      </c>
      <c r="S4032">
        <v>-3.424423</v>
      </c>
      <c r="T4032">
        <v>-0.46631840000000002</v>
      </c>
      <c r="U4032">
        <v>0.22068789999999999</v>
      </c>
      <c r="V4032">
        <v>-6.7013290000000003E-2</v>
      </c>
      <c r="W4032">
        <v>0.37109760000000003</v>
      </c>
      <c r="X4032">
        <v>0.92617269999999896</v>
      </c>
      <c r="Y4032">
        <v>5.7589590000000003E-2</v>
      </c>
      <c r="Z4032">
        <v>3.3374030000000001E-3</v>
      </c>
      <c r="AA4032">
        <v>0.99833479999999997</v>
      </c>
      <c r="AB4032">
        <v>33</v>
      </c>
      <c r="AC4032">
        <v>-0.55209999999999504</v>
      </c>
      <c r="AD4032">
        <v>-0.117967399999999</v>
      </c>
      <c r="AE4032">
        <v>5.4000000000001998E-2</v>
      </c>
      <c r="AF4032">
        <v>4.8375118888127698E-2</v>
      </c>
      <c r="AG4032">
        <v>-0.117967399999999</v>
      </c>
      <c r="AH4032">
        <v>0.52852426032019095</v>
      </c>
      <c r="AI4032">
        <v>102.53154650242</v>
      </c>
      <c r="AJ4032">
        <v>84.770365174173904</v>
      </c>
      <c r="AK4032">
        <v>0.54368589584171201</v>
      </c>
      <c r="AL4032">
        <v>68.216675866685307</v>
      </c>
      <c r="AM4032">
        <v>94.138428248120803</v>
      </c>
      <c r="AN4032">
        <v>1.00000003999383</v>
      </c>
    </row>
    <row r="4033" spans="1:40" x14ac:dyDescent="0.25">
      <c r="A4033" t="str">
        <f>"20190304164450666"</f>
        <v>20190304164450666</v>
      </c>
      <c r="B4033" t="str">
        <f>"1551689090664056"</f>
        <v>1551689090664056</v>
      </c>
      <c r="C4033" t="s">
        <v>40</v>
      </c>
      <c r="D4033">
        <v>5.1156459999999999</v>
      </c>
      <c r="E4033">
        <v>0.56501179999999995</v>
      </c>
      <c r="F4033" t="s">
        <v>41</v>
      </c>
      <c r="G4033">
        <v>-240.73949999999999</v>
      </c>
      <c r="H4033">
        <v>0.9939635</v>
      </c>
      <c r="I4033">
        <v>140.47059999999999</v>
      </c>
      <c r="J4033">
        <v>-240.21690000000001</v>
      </c>
      <c r="K4033">
        <v>1.1100969999999999</v>
      </c>
      <c r="L4033">
        <v>140.41849999999999</v>
      </c>
      <c r="M4033">
        <v>-0.99994899999999998</v>
      </c>
      <c r="N4033">
        <v>-7.9717880000000005E-3</v>
      </c>
      <c r="O4033">
        <v>6.2081389999999997E-3</v>
      </c>
      <c r="P4033">
        <v>-0.9293458</v>
      </c>
      <c r="Q4033">
        <v>0.36399949999999998</v>
      </c>
      <c r="R4033">
        <v>-6.1815179999999997E-2</v>
      </c>
      <c r="S4033">
        <v>-3.4258269999999902</v>
      </c>
      <c r="T4033">
        <v>-0.47017500000000001</v>
      </c>
      <c r="U4033">
        <v>0.2183533</v>
      </c>
      <c r="V4033">
        <v>-6.7586320000000005E-2</v>
      </c>
      <c r="W4033">
        <v>0.37139290000000003</v>
      </c>
      <c r="X4033">
        <v>0.92601259999999996</v>
      </c>
      <c r="Y4033">
        <v>5.6900310000000003E-2</v>
      </c>
      <c r="Z4033">
        <v>3.3127320000000001E-3</v>
      </c>
      <c r="AA4033">
        <v>0.99837430000000005</v>
      </c>
      <c r="AB4033">
        <v>33</v>
      </c>
      <c r="AC4033">
        <v>-0.52259999999998197</v>
      </c>
      <c r="AD4033">
        <v>-0.116133499999999</v>
      </c>
      <c r="AE4033">
        <v>5.2099999999995802E-2</v>
      </c>
      <c r="AF4033">
        <v>4.6577047325817598E-2</v>
      </c>
      <c r="AG4033">
        <v>-0.116133499999999</v>
      </c>
      <c r="AH4033">
        <v>0.49853650395086402</v>
      </c>
      <c r="AI4033">
        <v>103.05822231558</v>
      </c>
      <c r="AJ4033">
        <v>84.662489204155605</v>
      </c>
      <c r="AK4033">
        <v>0.51399908261726601</v>
      </c>
      <c r="AL4033">
        <v>68.198452516470695</v>
      </c>
      <c r="AM4033">
        <v>94.174410428696703</v>
      </c>
      <c r="AN4033">
        <v>0.99999996609015496</v>
      </c>
    </row>
    <row r="4034" spans="1:40" x14ac:dyDescent="0.25">
      <c r="A4034" t="str">
        <f>"20190304164450690"</f>
        <v>20190304164450690</v>
      </c>
      <c r="B4034" t="str">
        <f>"1551689090684553"</f>
        <v>1551689090684553</v>
      </c>
      <c r="C4034" t="s">
        <v>40</v>
      </c>
      <c r="D4034">
        <v>5.1055849999999996</v>
      </c>
      <c r="E4034">
        <v>0.56511129999999998</v>
      </c>
      <c r="F4034" t="s">
        <v>41</v>
      </c>
      <c r="G4034">
        <v>-241.03550000000001</v>
      </c>
      <c r="H4034">
        <v>0.99792040000000004</v>
      </c>
      <c r="I4034">
        <v>140.47130000000001</v>
      </c>
      <c r="J4034">
        <v>-240.55879999999999</v>
      </c>
      <c r="K4034">
        <v>1.1100749999999999</v>
      </c>
      <c r="L4034">
        <v>140.42070000000001</v>
      </c>
      <c r="M4034">
        <v>-0.99994919999999998</v>
      </c>
      <c r="N4034">
        <v>-7.9438879999999996E-3</v>
      </c>
      <c r="O4034">
        <v>6.212909E-3</v>
      </c>
      <c r="P4034">
        <v>-0.92894949999999998</v>
      </c>
      <c r="Q4034">
        <v>0.36496060000000002</v>
      </c>
      <c r="R4034">
        <v>-6.2103230000000002E-2</v>
      </c>
      <c r="S4034">
        <v>-3.4266359999999998</v>
      </c>
      <c r="T4034">
        <v>-0.46958680000000003</v>
      </c>
      <c r="U4034">
        <v>0.22000120000000001</v>
      </c>
      <c r="V4034">
        <v>-6.7864079999999993E-2</v>
      </c>
      <c r="W4034">
        <v>0.37232690000000002</v>
      </c>
      <c r="X4034">
        <v>0.92561720000000003</v>
      </c>
      <c r="Y4034">
        <v>5.7355929999999999E-2</v>
      </c>
      <c r="Z4034">
        <v>3.3394950000000001E-3</v>
      </c>
      <c r="AA4034">
        <v>0.99834820000000002</v>
      </c>
      <c r="AB4034">
        <v>33</v>
      </c>
      <c r="AC4034">
        <v>-0.476700000000022</v>
      </c>
      <c r="AD4034">
        <v>-0.11215459999999999</v>
      </c>
      <c r="AE4034">
        <v>5.0600000000002802E-2</v>
      </c>
      <c r="AF4034">
        <v>4.5165053723862501E-2</v>
      </c>
      <c r="AG4034">
        <v>-0.11215459999999999</v>
      </c>
      <c r="AH4034">
        <v>0.45225051523944099</v>
      </c>
      <c r="AI4034">
        <v>103.861646151263</v>
      </c>
      <c r="AJ4034">
        <v>84.296932845222003</v>
      </c>
      <c r="AK4034">
        <v>0.46813359729181903</v>
      </c>
      <c r="AL4034">
        <v>68.140805637443904</v>
      </c>
      <c r="AM4034">
        <v>94.193289134196803</v>
      </c>
      <c r="AN4034">
        <v>1.0000000273768399</v>
      </c>
    </row>
    <row r="4035" spans="1:40" x14ac:dyDescent="0.25">
      <c r="A4035" t="str">
        <f>"20190304164450712"</f>
        <v>20190304164450712</v>
      </c>
      <c r="B4035" t="str">
        <f>"1551689090704072"</f>
        <v>1551689090704072</v>
      </c>
      <c r="C4035" t="s">
        <v>40</v>
      </c>
      <c r="D4035">
        <v>5.1085570000000002</v>
      </c>
      <c r="E4035">
        <v>0.56520289999999995</v>
      </c>
      <c r="F4035" t="s">
        <v>41</v>
      </c>
      <c r="G4035">
        <v>-241.33330000000001</v>
      </c>
      <c r="H4035">
        <v>1.004329</v>
      </c>
      <c r="I4035">
        <v>140.47069999999999</v>
      </c>
      <c r="J4035">
        <v>-240.89340000000001</v>
      </c>
      <c r="K4035">
        <v>1.110047</v>
      </c>
      <c r="L4035">
        <v>140.4228</v>
      </c>
      <c r="M4035">
        <v>-0.99994919999999998</v>
      </c>
      <c r="N4035">
        <v>-7.9149659999999903E-3</v>
      </c>
      <c r="O4035">
        <v>6.2623940000000001E-3</v>
      </c>
      <c r="P4035">
        <v>-0.9285814</v>
      </c>
      <c r="Q4035">
        <v>0.36581950000000002</v>
      </c>
      <c r="R4035">
        <v>-6.2554289999999999E-2</v>
      </c>
      <c r="S4035">
        <v>-3.428131</v>
      </c>
      <c r="T4035">
        <v>-0.46808889999999997</v>
      </c>
      <c r="U4035">
        <v>0.2209778</v>
      </c>
      <c r="V4035">
        <v>-6.8334610000000004E-2</v>
      </c>
      <c r="W4035">
        <v>0.37316090000000002</v>
      </c>
      <c r="X4035">
        <v>0.92524669999999998</v>
      </c>
      <c r="Y4035">
        <v>5.7563999999999997E-2</v>
      </c>
      <c r="Z4035">
        <v>3.336084E-3</v>
      </c>
      <c r="AA4035">
        <v>0.99833629999999995</v>
      </c>
      <c r="AB4035">
        <v>33</v>
      </c>
      <c r="AC4035">
        <v>-0.43989999999999402</v>
      </c>
      <c r="AD4035">
        <v>-0.10571799999999899</v>
      </c>
      <c r="AE4035">
        <v>4.7899999999998499E-2</v>
      </c>
      <c r="AF4035">
        <v>4.2706531836609198E-2</v>
      </c>
      <c r="AG4035">
        <v>-0.10571799999999899</v>
      </c>
      <c r="AH4035">
        <v>0.416422658452202</v>
      </c>
      <c r="AI4035">
        <v>104.173522011952</v>
      </c>
      <c r="AJ4035">
        <v>84.144460846443494</v>
      </c>
      <c r="AK4035">
        <v>0.43174989734557001</v>
      </c>
      <c r="AL4035">
        <v>68.089310767080093</v>
      </c>
      <c r="AM4035">
        <v>94.223942791173002</v>
      </c>
      <c r="AN4035">
        <v>1.0000000660367701</v>
      </c>
    </row>
    <row r="4036" spans="1:40" x14ac:dyDescent="0.25">
      <c r="A4036" t="str">
        <f>"20190304164450736"</f>
        <v>20190304164450736</v>
      </c>
      <c r="B4036" t="str">
        <f>"1551689090724456"</f>
        <v>1551689090724456</v>
      </c>
      <c r="C4036" t="s">
        <v>40</v>
      </c>
      <c r="D4036">
        <v>5.1422109999999996</v>
      </c>
      <c r="E4036">
        <v>0.56523140000000005</v>
      </c>
      <c r="F4036" t="s">
        <v>41</v>
      </c>
      <c r="G4036">
        <v>-241.63120000000001</v>
      </c>
      <c r="H4036">
        <v>1.009449</v>
      </c>
      <c r="I4036">
        <v>140.47</v>
      </c>
      <c r="J4036">
        <v>-241.23159999999999</v>
      </c>
      <c r="K4036">
        <v>1.110001</v>
      </c>
      <c r="L4036">
        <v>140.42500000000001</v>
      </c>
      <c r="M4036">
        <v>-0.99994859999999997</v>
      </c>
      <c r="N4036">
        <v>-7.8829920000000001E-3</v>
      </c>
      <c r="O4036">
        <v>6.3873030000000004E-3</v>
      </c>
      <c r="P4036">
        <v>-0.92825389999999997</v>
      </c>
      <c r="Q4036">
        <v>0.36668450000000002</v>
      </c>
      <c r="R4036">
        <v>-6.2348790000000001E-2</v>
      </c>
      <c r="S4036">
        <v>-3.4297330000000001</v>
      </c>
      <c r="T4036">
        <v>-0.46768470000000001</v>
      </c>
      <c r="U4036">
        <v>0.21905520000000001</v>
      </c>
      <c r="V4036">
        <v>-6.8199869999999996E-2</v>
      </c>
      <c r="W4036">
        <v>0.37400129999999998</v>
      </c>
      <c r="X4036">
        <v>0.92491719999999999</v>
      </c>
      <c r="Y4036">
        <v>5.6861299999999997E-2</v>
      </c>
      <c r="Z4036">
        <v>3.2645959999999998E-3</v>
      </c>
      <c r="AA4036">
        <v>0.99837670000000001</v>
      </c>
      <c r="AB4036">
        <v>33</v>
      </c>
      <c r="AC4036">
        <v>-0.39960000000001999</v>
      </c>
      <c r="AD4036">
        <v>-0.100551999999999</v>
      </c>
      <c r="AE4036">
        <v>4.4999999999987397E-2</v>
      </c>
      <c r="AF4036">
        <v>3.9948814806319302E-2</v>
      </c>
      <c r="AG4036">
        <v>-0.100551999999999</v>
      </c>
      <c r="AH4036">
        <v>0.37634792321541</v>
      </c>
      <c r="AI4036">
        <v>104.878929863615</v>
      </c>
      <c r="AJ4036">
        <v>83.940821100953002</v>
      </c>
      <c r="AK4036">
        <v>0.391592098767304</v>
      </c>
      <c r="AL4036">
        <v>68.037399722246505</v>
      </c>
      <c r="AM4036">
        <v>94.217140609233297</v>
      </c>
      <c r="AN4036">
        <v>1.00000001076277</v>
      </c>
    </row>
    <row r="4037" spans="1:40" x14ac:dyDescent="0.25">
      <c r="A4037" t="str">
        <f>"20190304164450755"</f>
        <v>20190304164450755</v>
      </c>
      <c r="B4037" t="str">
        <f>"1551689090743976"</f>
        <v>1551689090743976</v>
      </c>
      <c r="C4037" t="s">
        <v>40</v>
      </c>
      <c r="D4037">
        <v>5.1679050000000002</v>
      </c>
      <c r="E4037">
        <v>0.54426509999999995</v>
      </c>
      <c r="F4037" t="s">
        <v>41</v>
      </c>
      <c r="G4037">
        <v>-242.2081</v>
      </c>
      <c r="H4037">
        <v>0.97701979999999999</v>
      </c>
      <c r="I4037">
        <v>140.48740000000001</v>
      </c>
      <c r="J4037">
        <v>-241.5384</v>
      </c>
      <c r="K4037">
        <v>1.109934</v>
      </c>
      <c r="L4037">
        <v>140.4271</v>
      </c>
      <c r="M4037">
        <v>-0.99994760000000005</v>
      </c>
      <c r="N4037">
        <v>-7.8489630000000005E-3</v>
      </c>
      <c r="O4037">
        <v>6.5828969999999999E-3</v>
      </c>
      <c r="P4037">
        <v>-0.92800539999999998</v>
      </c>
      <c r="Q4037">
        <v>0.36722120000000003</v>
      </c>
      <c r="R4037">
        <v>-6.2888379999999994E-2</v>
      </c>
      <c r="S4037">
        <v>-3.4311370000000001</v>
      </c>
      <c r="T4037">
        <v>-0.46729209999999899</v>
      </c>
      <c r="U4037">
        <v>0.2184296</v>
      </c>
      <c r="V4037">
        <v>-6.8863659999999993E-2</v>
      </c>
      <c r="W4037">
        <v>0.37451469999999998</v>
      </c>
      <c r="X4037">
        <v>0.92466029999999999</v>
      </c>
      <c r="Y4037">
        <v>5.646553E-2</v>
      </c>
      <c r="Z4037">
        <v>3.206403E-3</v>
      </c>
      <c r="AA4037">
        <v>0.99839940000000005</v>
      </c>
      <c r="AB4037">
        <v>33</v>
      </c>
      <c r="AC4037">
        <v>-0.66970000000000596</v>
      </c>
      <c r="AD4037">
        <v>-0.13291419999999901</v>
      </c>
      <c r="AE4037">
        <v>6.0300000000012198E-2</v>
      </c>
      <c r="AF4037">
        <v>5.3788326917635902E-2</v>
      </c>
      <c r="AG4037">
        <v>-0.13291419999999901</v>
      </c>
      <c r="AH4037">
        <v>0.64488493749085896</v>
      </c>
      <c r="AI4037">
        <v>101.60668383658501</v>
      </c>
      <c r="AJ4037">
        <v>85.232130573078393</v>
      </c>
      <c r="AK4037">
        <v>0.66063299287639798</v>
      </c>
      <c r="AL4037">
        <v>68.005680042134799</v>
      </c>
      <c r="AM4037">
        <v>94.259214506019404</v>
      </c>
      <c r="AN4037">
        <v>1.0000000672903799</v>
      </c>
    </row>
    <row r="4038" spans="1:40" x14ac:dyDescent="0.25">
      <c r="A4038" t="str">
        <f>"20190304164450778"</f>
        <v>20190304164450778</v>
      </c>
      <c r="B4038" t="str">
        <f>"1551689090774232"</f>
        <v>1551689090774232</v>
      </c>
      <c r="C4038" t="s">
        <v>40</v>
      </c>
      <c r="D4038">
        <v>5.0230670000000002</v>
      </c>
      <c r="E4038">
        <v>0.53116209999999997</v>
      </c>
      <c r="F4038" t="s">
        <v>41</v>
      </c>
      <c r="G4038">
        <v>-242.5059</v>
      </c>
      <c r="H4038">
        <v>0.97469130000000004</v>
      </c>
      <c r="I4038">
        <v>140.44049999999999</v>
      </c>
      <c r="J4038">
        <v>-241.8683</v>
      </c>
      <c r="K4038">
        <v>1.1098600000000001</v>
      </c>
      <c r="L4038">
        <v>140.42949999999999</v>
      </c>
      <c r="M4038">
        <v>-0.999946</v>
      </c>
      <c r="N4038">
        <v>-7.8123589999999996E-3</v>
      </c>
      <c r="O4038">
        <v>6.8731590000000002E-3</v>
      </c>
      <c r="P4038">
        <v>-0.92774460000000003</v>
      </c>
      <c r="Q4038">
        <v>0.36782189999999998</v>
      </c>
      <c r="R4038">
        <v>-6.3224409999999995E-2</v>
      </c>
      <c r="S4038">
        <v>-3.4254150000000001</v>
      </c>
      <c r="T4038">
        <v>-0.47886010000000001</v>
      </c>
      <c r="U4038">
        <v>4.6890260000000003E-2</v>
      </c>
      <c r="V4038">
        <v>-6.9402610000000003E-2</v>
      </c>
      <c r="W4038">
        <v>0.37509160000000002</v>
      </c>
      <c r="X4038">
        <v>0.92438609999999999</v>
      </c>
      <c r="Y4038">
        <v>6.8042709999999998E-3</v>
      </c>
      <c r="Z4038">
        <v>-4.0268319999999999E-4</v>
      </c>
      <c r="AA4038">
        <v>0.9999768</v>
      </c>
      <c r="AB4038">
        <v>33</v>
      </c>
      <c r="AC4038">
        <v>-0.63759999999999195</v>
      </c>
      <c r="AD4038">
        <v>-0.1351687</v>
      </c>
      <c r="AE4038">
        <v>1.09999999999956E-2</v>
      </c>
      <c r="AF4038">
        <v>6.3327566455724802E-3</v>
      </c>
      <c r="AG4038">
        <v>-0.1351687</v>
      </c>
      <c r="AH4038">
        <v>0.61024296112774301</v>
      </c>
      <c r="AI4038">
        <v>102.48870698921699</v>
      </c>
      <c r="AJ4038">
        <v>89.405438116400106</v>
      </c>
      <c r="AK4038">
        <v>0.62506571884272899</v>
      </c>
      <c r="AL4038">
        <v>67.970026684593705</v>
      </c>
      <c r="AM4038">
        <v>94.293692933924007</v>
      </c>
      <c r="AN4038">
        <v>1.00000004626929</v>
      </c>
    </row>
    <row r="4039" spans="1:40" x14ac:dyDescent="0.25">
      <c r="A4039" t="str">
        <f>"20190304164450801"</f>
        <v>20190304164450801</v>
      </c>
      <c r="B4039" t="str">
        <f>"1551689090793752"</f>
        <v>1551689090793752</v>
      </c>
      <c r="C4039" t="s">
        <v>40</v>
      </c>
      <c r="D4039">
        <v>4.9797659999999997</v>
      </c>
      <c r="E4039">
        <v>0.52853139999999998</v>
      </c>
      <c r="F4039" t="s">
        <v>41</v>
      </c>
      <c r="G4039">
        <v>-242.8134</v>
      </c>
      <c r="H4039">
        <v>0.99198710000000001</v>
      </c>
      <c r="I4039">
        <v>140.4145</v>
      </c>
      <c r="J4039">
        <v>-242.2227</v>
      </c>
      <c r="K4039">
        <v>1.109772</v>
      </c>
      <c r="L4039">
        <v>140.4324</v>
      </c>
      <c r="M4039">
        <v>-0.99994329999999998</v>
      </c>
      <c r="N4039">
        <v>-7.7713359999999898E-3</v>
      </c>
      <c r="O4039">
        <v>7.2946959999999998E-3</v>
      </c>
      <c r="P4039">
        <v>-0.92727479999999995</v>
      </c>
      <c r="Q4039">
        <v>0.36898940000000002</v>
      </c>
      <c r="R4039">
        <v>-6.3313679999999997E-2</v>
      </c>
      <c r="S4039">
        <v>-3.3979339999999998</v>
      </c>
      <c r="T4039">
        <v>-0.42382999999999998</v>
      </c>
      <c r="U4039">
        <v>-5.4809570000000002E-2</v>
      </c>
      <c r="V4039">
        <v>-6.9805060000000002E-2</v>
      </c>
      <c r="W4039">
        <v>0.37623129999999999</v>
      </c>
      <c r="X4039">
        <v>0.92389239999999995</v>
      </c>
      <c r="Y4039">
        <v>-2.3181150000000001E-2</v>
      </c>
      <c r="Z4039">
        <v>-2.3803259999999999E-3</v>
      </c>
      <c r="AA4039">
        <v>0.99972839999999996</v>
      </c>
      <c r="AB4039">
        <v>33</v>
      </c>
      <c r="AC4039">
        <v>-0.590699999999998</v>
      </c>
      <c r="AD4039">
        <v>-0.1177849</v>
      </c>
      <c r="AE4039">
        <v>-1.78999999999973E-2</v>
      </c>
      <c r="AF4039">
        <v>-2.1360132704707799E-2</v>
      </c>
      <c r="AG4039">
        <v>-0.1177849</v>
      </c>
      <c r="AH4039">
        <v>0.56799115026333202</v>
      </c>
      <c r="AI4039">
        <v>101.707388457818</v>
      </c>
      <c r="AJ4039">
        <v>92.153676167449007</v>
      </c>
      <c r="AK4039">
        <v>0.58046833222376204</v>
      </c>
      <c r="AL4039">
        <v>67.899563732053593</v>
      </c>
      <c r="AM4039">
        <v>94.320796102828297</v>
      </c>
      <c r="AN4039">
        <v>0.99999995213952497</v>
      </c>
    </row>
    <row r="4040" spans="1:40" x14ac:dyDescent="0.25">
      <c r="A4040" t="str">
        <f>"20190304164450823"</f>
        <v>20190304164450823</v>
      </c>
      <c r="B4040" t="str">
        <f>"1551689090814248"</f>
        <v>1551689090814248</v>
      </c>
      <c r="C4040" t="s">
        <v>40</v>
      </c>
      <c r="D4040">
        <v>4.994516</v>
      </c>
      <c r="E4040">
        <v>0.52749060000000003</v>
      </c>
      <c r="F4040" t="s">
        <v>41</v>
      </c>
      <c r="G4040">
        <v>-243.1172</v>
      </c>
      <c r="H4040">
        <v>1.00176</v>
      </c>
      <c r="I4040">
        <v>140.4126</v>
      </c>
      <c r="J4040">
        <v>-242.55500000000001</v>
      </c>
      <c r="K4040">
        <v>1.1096729999999999</v>
      </c>
      <c r="L4040">
        <v>140.43530000000001</v>
      </c>
      <c r="M4040">
        <v>-0.99993969999999999</v>
      </c>
      <c r="N4040">
        <v>-7.7323230000000001E-3</v>
      </c>
      <c r="O4040">
        <v>7.8045450000000004E-3</v>
      </c>
      <c r="P4040">
        <v>-0.92700749999999998</v>
      </c>
      <c r="Q4040">
        <v>0.36978899999999998</v>
      </c>
      <c r="R4040">
        <v>-6.2558009999999997E-2</v>
      </c>
      <c r="S4040">
        <v>-3.3931879999999999</v>
      </c>
      <c r="T4040">
        <v>-0.40978120000000001</v>
      </c>
      <c r="U4040">
        <v>-7.5378420000000002E-2</v>
      </c>
      <c r="V4040">
        <v>-6.9443530000000003E-2</v>
      </c>
      <c r="W4040">
        <v>0.37700600000000001</v>
      </c>
      <c r="X4040">
        <v>0.92360379999999997</v>
      </c>
      <c r="Y4040">
        <v>-2.9731810000000001E-2</v>
      </c>
      <c r="Z4040">
        <v>-2.7828570000000001E-3</v>
      </c>
      <c r="AA4040">
        <v>0.99955400000000005</v>
      </c>
      <c r="AB4040">
        <v>33</v>
      </c>
      <c r="AC4040">
        <v>-0.56219999999999004</v>
      </c>
      <c r="AD4040">
        <v>-0.107912999999999</v>
      </c>
      <c r="AE4040">
        <v>-2.2700000000014601E-2</v>
      </c>
      <c r="AF4040">
        <v>-2.6126132346788102E-2</v>
      </c>
      <c r="AG4040">
        <v>-0.107912999999999</v>
      </c>
      <c r="AH4040">
        <v>0.54206636483551396</v>
      </c>
      <c r="AI4040">
        <v>101.24635733478701</v>
      </c>
      <c r="AJ4040">
        <v>92.759366243539105</v>
      </c>
      <c r="AK4040">
        <v>0.553320643249816</v>
      </c>
      <c r="AL4040">
        <v>67.851648655269898</v>
      </c>
      <c r="AM4040">
        <v>94.299840320927899</v>
      </c>
      <c r="AN4040">
        <v>0.999999953634649</v>
      </c>
    </row>
    <row r="4041" spans="1:40" x14ac:dyDescent="0.25">
      <c r="A4041" t="str">
        <f>"20190304164450845"</f>
        <v>20190304164450845</v>
      </c>
      <c r="B4041" t="str">
        <f>"1551689090834332"</f>
        <v>1551689090834332</v>
      </c>
      <c r="C4041" t="s">
        <v>40</v>
      </c>
      <c r="D4041">
        <v>4.9686029999999999</v>
      </c>
      <c r="E4041">
        <v>0.52667679999999995</v>
      </c>
      <c r="F4041" t="s">
        <v>41</v>
      </c>
      <c r="G4041">
        <v>-243.4195</v>
      </c>
      <c r="H4041">
        <v>1.0069589999999999</v>
      </c>
      <c r="I4041">
        <v>140.4145</v>
      </c>
      <c r="J4041">
        <v>-242.8698</v>
      </c>
      <c r="K4041">
        <v>1.109586</v>
      </c>
      <c r="L4041">
        <v>140.43819999999999</v>
      </c>
      <c r="M4041">
        <v>-0.99993529999999997</v>
      </c>
      <c r="N4041">
        <v>-7.6921580000000002E-3</v>
      </c>
      <c r="O4041">
        <v>8.3982559999999998E-3</v>
      </c>
      <c r="P4041">
        <v>-0.92679109999999998</v>
      </c>
      <c r="Q4041">
        <v>0.37047449999999998</v>
      </c>
      <c r="R4041">
        <v>-6.1705450000000002E-2</v>
      </c>
      <c r="S4041">
        <v>-3.3914029999999999</v>
      </c>
      <c r="T4041">
        <v>-0.40295399999999998</v>
      </c>
      <c r="U4041">
        <v>-8.2046510000000003E-2</v>
      </c>
      <c r="V4041">
        <v>-6.9059679999999998E-2</v>
      </c>
      <c r="W4041">
        <v>0.37766620000000001</v>
      </c>
      <c r="X4041">
        <v>0.92336289999999999</v>
      </c>
      <c r="Y4041">
        <v>-3.228719E-2</v>
      </c>
      <c r="Z4041">
        <v>-2.9656309999999998E-3</v>
      </c>
      <c r="AA4041">
        <v>0.99947419999999998</v>
      </c>
      <c r="AB4041">
        <v>33</v>
      </c>
      <c r="AC4041">
        <v>-0.54970000000000097</v>
      </c>
      <c r="AD4041">
        <v>-0.102627</v>
      </c>
      <c r="AE4041">
        <v>-2.3699999999990898E-2</v>
      </c>
      <c r="AF4041">
        <v>-2.7363810652304098E-2</v>
      </c>
      <c r="AG4041">
        <v>-0.102627</v>
      </c>
      <c r="AH4041">
        <v>0.53100736205770205</v>
      </c>
      <c r="AI4041">
        <v>100.92445883088401</v>
      </c>
      <c r="AJ4041">
        <v>92.949950171520101</v>
      </c>
      <c r="AK4041">
        <v>0.54152552831966705</v>
      </c>
      <c r="AL4041">
        <v>67.810804068874305</v>
      </c>
      <c r="AM4041">
        <v>94.277272787580301</v>
      </c>
      <c r="AN4041">
        <v>1.00000002156027</v>
      </c>
    </row>
    <row r="4042" spans="1:40" x14ac:dyDescent="0.25">
      <c r="A4042" t="str">
        <f>"20190304164450868"</f>
        <v>20190304164450868</v>
      </c>
      <c r="B4042" t="str">
        <f>"1551689090864588"</f>
        <v>1551689090864588</v>
      </c>
      <c r="C4042" t="s">
        <v>40</v>
      </c>
      <c r="D4042">
        <v>4.9816500000000001</v>
      </c>
      <c r="E4042">
        <v>0.52604899999999999</v>
      </c>
      <c r="F4042" t="s">
        <v>41</v>
      </c>
      <c r="G4042">
        <v>-243.72130000000001</v>
      </c>
      <c r="H4042">
        <v>1.009512</v>
      </c>
      <c r="I4042">
        <v>140.41650000000001</v>
      </c>
      <c r="J4042">
        <v>-243.21360000000001</v>
      </c>
      <c r="K4042">
        <v>1.109475</v>
      </c>
      <c r="L4042">
        <v>140.4418</v>
      </c>
      <c r="M4042">
        <v>-0.9999287</v>
      </c>
      <c r="N4042">
        <v>-7.6469839999999999E-3</v>
      </c>
      <c r="O4042">
        <v>9.1700510000000002E-3</v>
      </c>
      <c r="P4042">
        <v>-0.92671329999999996</v>
      </c>
      <c r="Q4042">
        <v>0.37064160000000002</v>
      </c>
      <c r="R4042">
        <v>-6.1866190000000001E-2</v>
      </c>
      <c r="S4042">
        <v>-3.3905029999999998</v>
      </c>
      <c r="T4042">
        <v>-0.39849830000000003</v>
      </c>
      <c r="U4042">
        <v>-8.6624149999999997E-2</v>
      </c>
      <c r="V4042">
        <v>-6.9842059999999997E-2</v>
      </c>
      <c r="W4042">
        <v>0.37780930000000001</v>
      </c>
      <c r="X4042">
        <v>0.92324550000000005</v>
      </c>
      <c r="Y4042">
        <v>-3.4399680000000002E-2</v>
      </c>
      <c r="Z4042">
        <v>-3.1503849999999999E-3</v>
      </c>
      <c r="AA4042">
        <v>0.99940320000000005</v>
      </c>
      <c r="AB4042">
        <v>34</v>
      </c>
      <c r="AC4042">
        <v>-0.50769999999999904</v>
      </c>
      <c r="AD4042">
        <v>-9.9962999999999802E-2</v>
      </c>
      <c r="AE4042">
        <v>-2.5299999999987201E-2</v>
      </c>
      <c r="AF4042">
        <v>-2.8839452454350701E-2</v>
      </c>
      <c r="AG4042">
        <v>-9.9962999999999802E-2</v>
      </c>
      <c r="AH4042">
        <v>0.48855370890998201</v>
      </c>
      <c r="AI4042">
        <v>101.54412844831801</v>
      </c>
      <c r="AJ4042">
        <v>93.378264465546295</v>
      </c>
      <c r="AK4042">
        <v>0.49950880059971497</v>
      </c>
      <c r="AL4042">
        <v>67.801948884595603</v>
      </c>
      <c r="AM4042">
        <v>94.326095250463794</v>
      </c>
      <c r="AN4042">
        <v>1.00000001689089</v>
      </c>
    </row>
    <row r="4043" spans="1:40" x14ac:dyDescent="0.25">
      <c r="A4043" t="str">
        <f>"20190304164450882"</f>
        <v>20190304164450882</v>
      </c>
      <c r="B4043" t="str">
        <f>"1551689090874348"</f>
        <v>1551689090874348</v>
      </c>
      <c r="C4043" t="s">
        <v>40</v>
      </c>
      <c r="D4043">
        <v>4.9993169999999996</v>
      </c>
      <c r="E4043">
        <v>0.525918</v>
      </c>
      <c r="F4043" t="s">
        <v>41</v>
      </c>
      <c r="G4043">
        <v>-244.02500000000001</v>
      </c>
      <c r="H4043">
        <v>1.0143979999999999</v>
      </c>
      <c r="I4043">
        <v>140.42009999999999</v>
      </c>
      <c r="J4043">
        <v>-243.43260000000001</v>
      </c>
      <c r="K4043">
        <v>1.1093980000000001</v>
      </c>
      <c r="L4043">
        <v>140.4443</v>
      </c>
      <c r="M4043">
        <v>-0.99992380000000003</v>
      </c>
      <c r="N4043">
        <v>-7.6180750000000002E-3</v>
      </c>
      <c r="O4043">
        <v>9.7293699999999993E-3</v>
      </c>
      <c r="P4043">
        <v>-0.92663459999999997</v>
      </c>
      <c r="Q4043">
        <v>0.37087730000000002</v>
      </c>
      <c r="R4043">
        <v>-6.1634040000000001E-2</v>
      </c>
      <c r="S4043">
        <v>-3.3900600000000001</v>
      </c>
      <c r="T4043">
        <v>-0.39730860000000001</v>
      </c>
      <c r="U4043">
        <v>-9.1552729999999999E-2</v>
      </c>
      <c r="V4043">
        <v>-7.0065059999999998E-2</v>
      </c>
      <c r="W4043">
        <v>0.37802960000000002</v>
      </c>
      <c r="X4043">
        <v>0.92313840000000003</v>
      </c>
      <c r="Y4043">
        <v>-3.6397779999999998E-2</v>
      </c>
      <c r="Z4043">
        <v>-3.3267140000000001E-3</v>
      </c>
      <c r="AA4043">
        <v>0.99933179999999999</v>
      </c>
      <c r="AB4043">
        <v>34</v>
      </c>
      <c r="AC4043">
        <v>-0.59239999999999704</v>
      </c>
      <c r="AD4043">
        <v>-9.4999999999999904E-2</v>
      </c>
      <c r="AE4043">
        <v>-2.42000000000075E-2</v>
      </c>
      <c r="AF4043">
        <v>-2.9212693960559699E-2</v>
      </c>
      <c r="AG4043">
        <v>-9.4999999999999904E-2</v>
      </c>
      <c r="AH4043">
        <v>0.57731454732937704</v>
      </c>
      <c r="AI4043">
        <v>99.332832847480802</v>
      </c>
      <c r="AJ4043">
        <v>92.896753138235994</v>
      </c>
      <c r="AK4043">
        <v>0.58580753498615601</v>
      </c>
      <c r="AL4043">
        <v>67.788315122001904</v>
      </c>
      <c r="AM4043">
        <v>94.340357005903797</v>
      </c>
      <c r="AN4043">
        <v>0.99999999833176101</v>
      </c>
    </row>
    <row r="4044" spans="1:40" x14ac:dyDescent="0.25">
      <c r="A4044" t="str">
        <f>"20190304164450902"</f>
        <v>20190304164450902</v>
      </c>
      <c r="B4044" t="str">
        <f>"1551689090893869"</f>
        <v>1551689090893869</v>
      </c>
      <c r="C4044" t="s">
        <v>40</v>
      </c>
      <c r="D4044">
        <v>5.0119259999999999</v>
      </c>
      <c r="E4044">
        <v>0.52568499999999996</v>
      </c>
      <c r="F4044" t="s">
        <v>41</v>
      </c>
      <c r="G4044">
        <v>-244.3228</v>
      </c>
      <c r="H4044">
        <v>1.0051000000000001</v>
      </c>
      <c r="I4044">
        <v>140.4203</v>
      </c>
      <c r="J4044">
        <v>-243.73990000000001</v>
      </c>
      <c r="K4044">
        <v>1.109305</v>
      </c>
      <c r="L4044">
        <v>140.44799999999901</v>
      </c>
      <c r="M4044">
        <v>-0.99991509999999995</v>
      </c>
      <c r="N4044">
        <v>-7.577533E-3</v>
      </c>
      <c r="O4044">
        <v>1.0594309999999999E-2</v>
      </c>
      <c r="P4044">
        <v>-0.92672129999999997</v>
      </c>
      <c r="Q4044">
        <v>0.37067489999999997</v>
      </c>
      <c r="R4044">
        <v>-6.1543569999999999E-2</v>
      </c>
      <c r="S4044">
        <v>-3.3903810000000001</v>
      </c>
      <c r="T4044">
        <v>-0.39722439999999998</v>
      </c>
      <c r="U4044">
        <v>-9.1827389999999995E-2</v>
      </c>
      <c r="V4044">
        <v>-7.0691309999999993E-2</v>
      </c>
      <c r="W4044">
        <v>0.37780710000000001</v>
      </c>
      <c r="X4044">
        <v>0.92318180000000005</v>
      </c>
      <c r="Y4044">
        <v>-3.732883E-2</v>
      </c>
      <c r="Z4044">
        <v>-3.4777020000000001E-3</v>
      </c>
      <c r="AA4044">
        <v>0.99929699999999999</v>
      </c>
      <c r="AB4044">
        <v>34</v>
      </c>
      <c r="AC4044">
        <v>-0.58289999999999498</v>
      </c>
      <c r="AD4044">
        <v>-0.10420499999999901</v>
      </c>
      <c r="AE4044">
        <v>-2.76999999999816E-2</v>
      </c>
      <c r="AF4044">
        <v>-3.2827292831604703E-2</v>
      </c>
      <c r="AG4044">
        <v>-0.10420499999999901</v>
      </c>
      <c r="AH4044">
        <v>0.564571500784118</v>
      </c>
      <c r="AI4044">
        <v>100.440349176618</v>
      </c>
      <c r="AJ4044">
        <v>93.327744930214394</v>
      </c>
      <c r="AK4044">
        <v>0.57504547009543805</v>
      </c>
      <c r="AL4044">
        <v>67.802085822665006</v>
      </c>
      <c r="AM4044">
        <v>94.378796349185905</v>
      </c>
      <c r="AN4044">
        <v>1.00000005098558</v>
      </c>
    </row>
    <row r="4045" spans="1:40" x14ac:dyDescent="0.25">
      <c r="A4045" t="str">
        <f>"20190304164450925"</f>
        <v>20190304164450925</v>
      </c>
      <c r="B4045" t="str">
        <f>"1551689090914364"</f>
        <v>1551689090914364</v>
      </c>
      <c r="C4045" t="s">
        <v>40</v>
      </c>
      <c r="D4045">
        <v>4.9872180000000004</v>
      </c>
      <c r="E4045">
        <v>0.52543669999999998</v>
      </c>
      <c r="F4045" t="s">
        <v>41</v>
      </c>
      <c r="G4045">
        <v>-244.62569999999999</v>
      </c>
      <c r="H4045">
        <v>1.004975</v>
      </c>
      <c r="I4045">
        <v>140.42339999999999</v>
      </c>
      <c r="J4045">
        <v>-244.07919999999999</v>
      </c>
      <c r="K4045">
        <v>1.109199</v>
      </c>
      <c r="L4045">
        <v>140.45249999999999</v>
      </c>
      <c r="M4045">
        <v>-0.99990369999999995</v>
      </c>
      <c r="N4045">
        <v>-7.5327669999999897E-3</v>
      </c>
      <c r="O4045">
        <v>1.1649929999999999E-2</v>
      </c>
      <c r="P4045">
        <v>-0.92661780000000005</v>
      </c>
      <c r="Q4045">
        <v>0.3710329</v>
      </c>
      <c r="R4045">
        <v>-6.0941629999999997E-2</v>
      </c>
      <c r="S4045">
        <v>-3.3906860000000001</v>
      </c>
      <c r="T4045">
        <v>-0.39931919999999999</v>
      </c>
      <c r="U4045">
        <v>-9.4451900000000005E-2</v>
      </c>
      <c r="V4045">
        <v>-7.097407E-2</v>
      </c>
      <c r="W4045">
        <v>0.37813989999999997</v>
      </c>
      <c r="X4045">
        <v>0.92302379999999995</v>
      </c>
      <c r="Y4045">
        <v>-3.9131180000000002E-2</v>
      </c>
      <c r="Z4045">
        <v>-3.7234009999999999E-3</v>
      </c>
      <c r="AA4045">
        <v>0.99922719999999998</v>
      </c>
      <c r="AB4045">
        <v>34</v>
      </c>
      <c r="AC4045">
        <v>-0.54650000000000798</v>
      </c>
      <c r="AD4045">
        <v>-0.104224</v>
      </c>
      <c r="AE4045">
        <v>-2.9099999999999598E-2</v>
      </c>
      <c r="AF4045">
        <v>-3.42236636018491E-2</v>
      </c>
      <c r="AG4045">
        <v>-0.104224</v>
      </c>
      <c r="AH4045">
        <v>0.52701019868107202</v>
      </c>
      <c r="AI4045">
        <v>101.163808615164</v>
      </c>
      <c r="AJ4045">
        <v>93.715529677602106</v>
      </c>
      <c r="AK4045">
        <v>0.53830627977035195</v>
      </c>
      <c r="AL4045">
        <v>67.781489160388006</v>
      </c>
      <c r="AM4045">
        <v>94.396992265662206</v>
      </c>
      <c r="AN4045">
        <v>1.0000000189753999</v>
      </c>
    </row>
    <row r="4046" spans="1:40" x14ac:dyDescent="0.25">
      <c r="A4046" t="str">
        <f>"20190304164450947"</f>
        <v>20190304164450947</v>
      </c>
      <c r="B4046" t="str">
        <f>"1551689090934448"</f>
        <v>1551689090934448</v>
      </c>
      <c r="C4046" t="s">
        <v>40</v>
      </c>
      <c r="D4046">
        <v>5.0149749999999997</v>
      </c>
      <c r="E4046">
        <v>0.52530699999999997</v>
      </c>
      <c r="F4046" t="s">
        <v>41</v>
      </c>
      <c r="G4046">
        <v>-244.93119999999999</v>
      </c>
      <c r="H4046">
        <v>1.008815</v>
      </c>
      <c r="I4046">
        <v>140.42850000000001</v>
      </c>
      <c r="J4046">
        <v>-244.4006</v>
      </c>
      <c r="K4046">
        <v>1.1091059999999999</v>
      </c>
      <c r="L4046">
        <v>140.4572</v>
      </c>
      <c r="M4046">
        <v>-0.99989090000000003</v>
      </c>
      <c r="N4046">
        <v>-7.4903469999999996E-3</v>
      </c>
      <c r="O4046">
        <v>1.2732820000000001E-2</v>
      </c>
      <c r="P4046">
        <v>-0.92664020000000002</v>
      </c>
      <c r="Q4046">
        <v>0.37112460000000003</v>
      </c>
      <c r="R4046">
        <v>-6.0036470000000002E-2</v>
      </c>
      <c r="S4046">
        <v>-3.3912659999999999</v>
      </c>
      <c r="T4046">
        <v>-0.39952460000000001</v>
      </c>
      <c r="U4046">
        <v>-9.5977779999999999E-2</v>
      </c>
      <c r="V4046">
        <v>-7.0994870000000002E-2</v>
      </c>
      <c r="W4046">
        <v>0.3782066</v>
      </c>
      <c r="X4046">
        <v>0.92299489999999995</v>
      </c>
      <c r="Y4046">
        <v>-4.0639929999999998E-2</v>
      </c>
      <c r="Z4046">
        <v>-3.9375429999999999E-3</v>
      </c>
      <c r="AA4046">
        <v>0.99916609999999995</v>
      </c>
      <c r="AB4046">
        <v>34</v>
      </c>
      <c r="AC4046">
        <v>-0.53059999999999197</v>
      </c>
      <c r="AD4046">
        <v>-0.10029099999999901</v>
      </c>
      <c r="AE4046">
        <v>-2.86999999999864E-2</v>
      </c>
      <c r="AF4046">
        <v>-3.4234392763777703E-2</v>
      </c>
      <c r="AG4046">
        <v>-0.10029099999999901</v>
      </c>
      <c r="AH4046">
        <v>0.51195459568926305</v>
      </c>
      <c r="AI4046">
        <v>101.059691563077</v>
      </c>
      <c r="AJ4046">
        <v>93.825672038978894</v>
      </c>
      <c r="AK4046">
        <v>0.52280759976903701</v>
      </c>
      <c r="AL4046">
        <v>67.7773615504708</v>
      </c>
      <c r="AM4046">
        <v>94.398412988140194</v>
      </c>
      <c r="AN4046">
        <v>1.00000004463794</v>
      </c>
    </row>
    <row r="4047" spans="1:40" x14ac:dyDescent="0.25">
      <c r="A4047" t="str">
        <f>"20190304164450968"</f>
        <v>20190304164450968</v>
      </c>
      <c r="B4047" t="str">
        <f>"1551689090963729"</f>
        <v>1551689090963729</v>
      </c>
      <c r="C4047" t="s">
        <v>40</v>
      </c>
      <c r="D4047">
        <v>4.9964040000000001</v>
      </c>
      <c r="E4047">
        <v>0.52504680000000004</v>
      </c>
      <c r="F4047" t="s">
        <v>41</v>
      </c>
      <c r="G4047">
        <v>-245.23650000000001</v>
      </c>
      <c r="H4047">
        <v>1.0105519999999999</v>
      </c>
      <c r="I4047">
        <v>140.4341</v>
      </c>
      <c r="J4047">
        <v>-244.7415</v>
      </c>
      <c r="K4047">
        <v>1.10902099999999</v>
      </c>
      <c r="L4047">
        <v>140.46270000000001</v>
      </c>
      <c r="M4047">
        <v>-0.99987490000000001</v>
      </c>
      <c r="N4047">
        <v>-7.4485200000000001E-3</v>
      </c>
      <c r="O4047">
        <v>1.395417E-2</v>
      </c>
      <c r="P4047">
        <v>-0.92616830000000006</v>
      </c>
      <c r="Q4047">
        <v>0.37258669999999999</v>
      </c>
      <c r="R4047">
        <v>-5.8243169999999997E-2</v>
      </c>
      <c r="S4047">
        <v>-3.3914949999999999</v>
      </c>
      <c r="T4047">
        <v>-0.39982319999999999</v>
      </c>
      <c r="U4047">
        <v>-9.4863890000000006E-2</v>
      </c>
      <c r="V4047">
        <v>-7.0250569999999998E-2</v>
      </c>
      <c r="W4047">
        <v>0.37963770000000002</v>
      </c>
      <c r="X4047">
        <v>0.92246410000000001</v>
      </c>
      <c r="Y4047">
        <v>-4.151622E-2</v>
      </c>
      <c r="Z4047">
        <v>-4.1289959999999898E-3</v>
      </c>
      <c r="AA4047">
        <v>0.9991293</v>
      </c>
      <c r="AB4047">
        <v>34</v>
      </c>
      <c r="AC4047">
        <v>-0.49500000000000399</v>
      </c>
      <c r="AD4047">
        <v>-9.8468999999999696E-2</v>
      </c>
      <c r="AE4047">
        <v>-2.8600000000011502E-2</v>
      </c>
      <c r="AF4047">
        <v>-3.4157534233680897E-2</v>
      </c>
      <c r="AG4047">
        <v>-9.8468999999999696E-2</v>
      </c>
      <c r="AH4047">
        <v>0.47578745556046997</v>
      </c>
      <c r="AI4047">
        <v>101.663665218356</v>
      </c>
      <c r="AJ4047">
        <v>94.106309652730502</v>
      </c>
      <c r="AK4047">
        <v>0.48706938312178</v>
      </c>
      <c r="AL4047">
        <v>67.688756542402601</v>
      </c>
      <c r="AM4047">
        <v>94.354973638553204</v>
      </c>
      <c r="AN4047">
        <v>0.99999997081771197</v>
      </c>
    </row>
    <row r="4048" spans="1:40" x14ac:dyDescent="0.25">
      <c r="A4048" t="str">
        <f>"20190304164450991"</f>
        <v>20190304164450991</v>
      </c>
      <c r="B4048" t="str">
        <f>"1551689090984224"</f>
        <v>1551689090984224</v>
      </c>
      <c r="C4048" t="s">
        <v>40</v>
      </c>
      <c r="D4048">
        <v>5.0268259999999998</v>
      </c>
      <c r="E4048">
        <v>0.52492850000000002</v>
      </c>
      <c r="F4048" t="s">
        <v>41</v>
      </c>
      <c r="G4048">
        <v>-245.54400000000001</v>
      </c>
      <c r="H4048">
        <v>1.015425</v>
      </c>
      <c r="I4048">
        <v>140.441</v>
      </c>
      <c r="J4048">
        <v>-245.08699999999999</v>
      </c>
      <c r="K4048">
        <v>1.108957</v>
      </c>
      <c r="L4048">
        <v>140.46860000000001</v>
      </c>
      <c r="M4048">
        <v>-0.99985639999999998</v>
      </c>
      <c r="N4048">
        <v>-7.4107030000000003E-3</v>
      </c>
      <c r="O4048">
        <v>1.525016E-2</v>
      </c>
      <c r="P4048">
        <v>-0.92565969999999997</v>
      </c>
      <c r="Q4048">
        <v>0.37427529999999998</v>
      </c>
      <c r="R4048">
        <v>-5.543145E-2</v>
      </c>
      <c r="S4048">
        <v>-3.392563</v>
      </c>
      <c r="T4048">
        <v>-0.39571260000000003</v>
      </c>
      <c r="U4048">
        <v>-9.1888429999999993E-2</v>
      </c>
      <c r="V4048">
        <v>-6.8564940000000005E-2</v>
      </c>
      <c r="W4048">
        <v>0.38129439999999998</v>
      </c>
      <c r="X4048">
        <v>0.92190749999999999</v>
      </c>
      <c r="Y4048">
        <v>-4.1924320000000001E-2</v>
      </c>
      <c r="Z4048">
        <v>-4.2521529999999998E-3</v>
      </c>
      <c r="AA4048">
        <v>0.99911170000000005</v>
      </c>
      <c r="AB4048">
        <v>34</v>
      </c>
      <c r="AC4048">
        <v>-0.45699999999999302</v>
      </c>
      <c r="AD4048">
        <v>-9.3531999999999907E-2</v>
      </c>
      <c r="AE4048">
        <v>-2.7600000000006699E-2</v>
      </c>
      <c r="AF4048">
        <v>-3.3181455042193497E-2</v>
      </c>
      <c r="AG4048">
        <v>-9.3531999999999907E-2</v>
      </c>
      <c r="AH4048">
        <v>0.43823588988732898</v>
      </c>
      <c r="AI4048">
        <v>102.014400641055</v>
      </c>
      <c r="AJ4048">
        <v>94.329943686278</v>
      </c>
      <c r="AK4048">
        <v>0.44933277108180802</v>
      </c>
      <c r="AL4048">
        <v>67.5861162649242</v>
      </c>
      <c r="AM4048">
        <v>94.253422807676998</v>
      </c>
      <c r="AN4048">
        <v>1.0000000045124</v>
      </c>
    </row>
    <row r="4049" spans="1:40" x14ac:dyDescent="0.25">
      <c r="A4049" t="str">
        <f>"20190304164451024"</f>
        <v>20190304164451024</v>
      </c>
      <c r="B4049" t="str">
        <f>"1551689091014480"</f>
        <v>1551689091014480</v>
      </c>
      <c r="C4049" t="s">
        <v>40</v>
      </c>
      <c r="D4049">
        <v>5.0427580000000001</v>
      </c>
      <c r="E4049">
        <v>0.52478919999999996</v>
      </c>
      <c r="F4049" t="s">
        <v>41</v>
      </c>
      <c r="G4049">
        <v>-245.8537</v>
      </c>
      <c r="H4049">
        <v>1.0207280000000001</v>
      </c>
      <c r="I4049">
        <v>140.44909999999999</v>
      </c>
      <c r="J4049">
        <v>-245.59229999999999</v>
      </c>
      <c r="K4049">
        <v>1.1088819999999999</v>
      </c>
      <c r="L4049">
        <v>140.47829999999999</v>
      </c>
      <c r="M4049">
        <v>-0.99982479999999996</v>
      </c>
      <c r="N4049">
        <v>-7.3633630000000004E-3</v>
      </c>
      <c r="O4049">
        <v>1.7213579999999999E-2</v>
      </c>
      <c r="P4049">
        <v>-0.92544899999999997</v>
      </c>
      <c r="Q4049">
        <v>0.375384</v>
      </c>
      <c r="R4049">
        <v>-5.1299690000000002E-2</v>
      </c>
      <c r="S4049">
        <v>-3.3936459999999999</v>
      </c>
      <c r="T4049">
        <v>-0.39053789999999999</v>
      </c>
      <c r="U4049">
        <v>-8.7173459999999994E-2</v>
      </c>
      <c r="V4049">
        <v>-6.6174629999999998E-2</v>
      </c>
      <c r="W4049">
        <v>0.38236350000000002</v>
      </c>
      <c r="X4049">
        <v>0.92163930000000005</v>
      </c>
      <c r="Y4049">
        <v>-4.2485580000000002E-2</v>
      </c>
      <c r="Z4049">
        <v>-4.44094E-3</v>
      </c>
      <c r="AA4049">
        <v>0.99908719999999995</v>
      </c>
      <c r="AB4049">
        <v>34</v>
      </c>
      <c r="AC4049">
        <v>-0.26140000000000801</v>
      </c>
      <c r="AD4049">
        <v>-8.8153999999999802E-2</v>
      </c>
      <c r="AE4049">
        <v>-2.9200000000002901E-2</v>
      </c>
      <c r="AF4049">
        <v>-3.0292711806041501E-2</v>
      </c>
      <c r="AG4049">
        <v>-8.8153999999999802E-2</v>
      </c>
      <c r="AH4049">
        <v>0.23451596082176601</v>
      </c>
      <c r="AI4049">
        <v>110.445475130253</v>
      </c>
      <c r="AJ4049">
        <v>97.360210532890903</v>
      </c>
      <c r="AK4049">
        <v>0.252361867136697</v>
      </c>
      <c r="AL4049">
        <v>67.519838800380896</v>
      </c>
      <c r="AM4049">
        <v>94.106846894217199</v>
      </c>
      <c r="AN4049">
        <v>0.99999996354618703</v>
      </c>
    </row>
    <row r="4050" spans="1:40" x14ac:dyDescent="0.25">
      <c r="A4050" t="str">
        <f>"20190304164451045"</f>
        <v>20190304164451045</v>
      </c>
      <c r="B4050" t="str">
        <f>"1551689091033946"</f>
        <v>1551689091033946</v>
      </c>
      <c r="C4050" t="s">
        <v>40</v>
      </c>
      <c r="D4050">
        <v>5.060492</v>
      </c>
      <c r="E4050">
        <v>0.52470490000000003</v>
      </c>
      <c r="F4050" t="s">
        <v>41</v>
      </c>
      <c r="G4050">
        <v>-246.4614</v>
      </c>
      <c r="H4050">
        <v>1.0095809999999901</v>
      </c>
      <c r="I4050">
        <v>140.45869999999999</v>
      </c>
      <c r="J4050">
        <v>-245.92590000000001</v>
      </c>
      <c r="K4050">
        <v>1.1088469999999999</v>
      </c>
      <c r="L4050">
        <v>140.48519999999999</v>
      </c>
      <c r="M4050">
        <v>-0.99980150000000001</v>
      </c>
      <c r="N4050">
        <v>-7.3368080000000002E-3</v>
      </c>
      <c r="O4050">
        <v>1.8530379999999999E-2</v>
      </c>
      <c r="P4050">
        <v>-0.92514909999999995</v>
      </c>
      <c r="Q4050">
        <v>0.37642540000000002</v>
      </c>
      <c r="R4050">
        <v>-4.9025010000000001E-2</v>
      </c>
      <c r="S4050">
        <v>-3.3947600000000002</v>
      </c>
      <c r="T4050">
        <v>-0.38790269999999999</v>
      </c>
      <c r="U4050">
        <v>-7.6766970000000004E-2</v>
      </c>
      <c r="V4050">
        <v>-6.50752E-2</v>
      </c>
      <c r="W4050">
        <v>0.38338070000000002</v>
      </c>
      <c r="X4050">
        <v>0.92129499999999998</v>
      </c>
      <c r="Y4050">
        <v>-4.0742180000000003E-2</v>
      </c>
      <c r="Z4050">
        <v>-4.4445960000000003E-3</v>
      </c>
      <c r="AA4050">
        <v>0.99915980000000004</v>
      </c>
      <c r="AB4050">
        <v>34</v>
      </c>
      <c r="AC4050">
        <v>-0.53549999999998399</v>
      </c>
      <c r="AD4050">
        <v>-9.9265999999999993E-2</v>
      </c>
      <c r="AE4050">
        <v>-2.6499999999998601E-2</v>
      </c>
      <c r="AF4050">
        <v>-3.5211734044772999E-2</v>
      </c>
      <c r="AG4050">
        <v>-9.9265999999999993E-2</v>
      </c>
      <c r="AH4050">
        <v>0.51718861066169997</v>
      </c>
      <c r="AI4050">
        <v>100.84037133008199</v>
      </c>
      <c r="AJ4050">
        <v>93.894856038934805</v>
      </c>
      <c r="AK4050">
        <v>0.52780456986333402</v>
      </c>
      <c r="AL4050">
        <v>67.456751368673196</v>
      </c>
      <c r="AM4050">
        <v>94.040347519652002</v>
      </c>
      <c r="AN4050">
        <v>1.00000000990626</v>
      </c>
    </row>
    <row r="4051" spans="1:40" x14ac:dyDescent="0.25">
      <c r="A4051" t="str">
        <f>"20190304164451069"</f>
        <v>20190304164451069</v>
      </c>
      <c r="B4051" t="str">
        <f>"1551689091064203"</f>
        <v>1551689091064203</v>
      </c>
      <c r="C4051" t="s">
        <v>40</v>
      </c>
      <c r="D4051">
        <v>5.0532570000000003</v>
      </c>
      <c r="E4051">
        <v>0.52449939999999995</v>
      </c>
      <c r="F4051" t="s">
        <v>41</v>
      </c>
      <c r="G4051">
        <v>-246.77109999999999</v>
      </c>
      <c r="H4051">
        <v>1.012785</v>
      </c>
      <c r="I4051">
        <v>140.46780000000001</v>
      </c>
      <c r="J4051">
        <v>-246.27719999999999</v>
      </c>
      <c r="K4051">
        <v>1.108814</v>
      </c>
      <c r="L4051">
        <v>140.49289999999999</v>
      </c>
      <c r="M4051">
        <v>-0.99977490000000002</v>
      </c>
      <c r="N4051">
        <v>-7.3127590000000003E-3</v>
      </c>
      <c r="O4051">
        <v>1.9922829999999999E-2</v>
      </c>
      <c r="P4051">
        <v>-0.92489310000000002</v>
      </c>
      <c r="Q4051">
        <v>0.37728689999999998</v>
      </c>
      <c r="R4051">
        <v>-4.7196700000000001E-2</v>
      </c>
      <c r="S4051">
        <v>-3.396042</v>
      </c>
      <c r="T4051">
        <v>-0.38592680000000001</v>
      </c>
      <c r="U4051">
        <v>-6.9915770000000002E-2</v>
      </c>
      <c r="V4051">
        <v>-6.4499009999999996E-2</v>
      </c>
      <c r="W4051">
        <v>0.38422129999999999</v>
      </c>
      <c r="X4051">
        <v>0.92098530000000001</v>
      </c>
      <c r="Y4051">
        <v>-4.0111109999999998E-2</v>
      </c>
      <c r="Z4051">
        <v>-4.5300449999999999E-3</v>
      </c>
      <c r="AA4051">
        <v>0.99918499999999999</v>
      </c>
      <c r="AB4051">
        <v>34</v>
      </c>
      <c r="AC4051">
        <v>-0.49389999999999601</v>
      </c>
      <c r="AD4051">
        <v>-9.6028999999999906E-2</v>
      </c>
      <c r="AE4051">
        <v>-2.5099999999980499E-2</v>
      </c>
      <c r="AF4051">
        <v>-3.3665775213419603E-2</v>
      </c>
      <c r="AG4051">
        <v>-9.6028999999999906E-2</v>
      </c>
      <c r="AH4051">
        <v>0.47537746758927202</v>
      </c>
      <c r="AI4051">
        <v>101.392608516046</v>
      </c>
      <c r="AJ4051">
        <v>94.050868896360001</v>
      </c>
      <c r="AK4051">
        <v>0.48614677819904401</v>
      </c>
      <c r="AL4051">
        <v>67.404594503819993</v>
      </c>
      <c r="AM4051">
        <v>94.006032592239507</v>
      </c>
      <c r="AN4051">
        <v>1.0000000262403701</v>
      </c>
    </row>
    <row r="4052" spans="1:40" x14ac:dyDescent="0.25">
      <c r="A4052" t="str">
        <f>"20190304164451091"</f>
        <v>20190304164451091</v>
      </c>
      <c r="B4052" t="str">
        <f>"1551689091083723"</f>
        <v>1551689091083723</v>
      </c>
      <c r="C4052" t="s">
        <v>40</v>
      </c>
      <c r="D4052">
        <v>5.035164</v>
      </c>
      <c r="E4052">
        <v>0.52431169999999905</v>
      </c>
      <c r="F4052" t="s">
        <v>41</v>
      </c>
      <c r="G4052">
        <v>-247.08250000000001</v>
      </c>
      <c r="H4052">
        <v>1.0174479999999999</v>
      </c>
      <c r="I4052">
        <v>140.4778</v>
      </c>
      <c r="J4052">
        <v>-246.6379</v>
      </c>
      <c r="K4052">
        <v>1.108784</v>
      </c>
      <c r="L4052">
        <v>140.50139999999999</v>
      </c>
      <c r="M4052">
        <v>-0.99974560000000001</v>
      </c>
      <c r="N4052">
        <v>-7.2917819999999897E-3</v>
      </c>
      <c r="O4052">
        <v>2.1346629999999998E-2</v>
      </c>
      <c r="P4052">
        <v>-0.92490830000000002</v>
      </c>
      <c r="Q4052">
        <v>0.3774402</v>
      </c>
      <c r="R4052">
        <v>-4.5648580000000001E-2</v>
      </c>
      <c r="S4052">
        <v>-3.3975369999999998</v>
      </c>
      <c r="T4052">
        <v>-0.38542140000000003</v>
      </c>
      <c r="U4052">
        <v>-6.4865110000000004E-2</v>
      </c>
      <c r="V4052">
        <v>-6.4246960000000006E-2</v>
      </c>
      <c r="W4052">
        <v>0.3843569</v>
      </c>
      <c r="X4052">
        <v>0.9209463</v>
      </c>
      <c r="Y4052">
        <v>-4.0034130000000001E-2</v>
      </c>
      <c r="Z4052">
        <v>-4.6682119999999997E-3</v>
      </c>
      <c r="AA4052">
        <v>0.99918739999999995</v>
      </c>
      <c r="AB4052">
        <v>34</v>
      </c>
      <c r="AC4052">
        <v>-0.44460000000000799</v>
      </c>
      <c r="AD4052">
        <v>-9.1336000000000001E-2</v>
      </c>
      <c r="AE4052">
        <v>-2.35999999999876E-2</v>
      </c>
      <c r="AF4052">
        <v>-3.1749424094020498E-2</v>
      </c>
      <c r="AG4052">
        <v>-9.1336000000000001E-2</v>
      </c>
      <c r="AH4052">
        <v>0.42606415673965797</v>
      </c>
      <c r="AI4052">
        <v>102.066982189152</v>
      </c>
      <c r="AJ4052">
        <v>94.261686943918605</v>
      </c>
      <c r="AK4052">
        <v>0.43689925209890002</v>
      </c>
      <c r="AL4052">
        <v>67.396178199128997</v>
      </c>
      <c r="AM4052">
        <v>93.990596882950598</v>
      </c>
      <c r="AN4052">
        <v>0.99999999296526998</v>
      </c>
    </row>
    <row r="4053" spans="1:40" x14ac:dyDescent="0.25">
      <c r="A4053" t="str">
        <f>"20190304164451115"</f>
        <v>20190304164451115</v>
      </c>
      <c r="B4053" t="str">
        <f>"1551689091104218"</f>
        <v>1551689091104218</v>
      </c>
      <c r="C4053" t="s">
        <v>40</v>
      </c>
      <c r="D4053">
        <v>5.0324739999999997</v>
      </c>
      <c r="E4053">
        <v>0.52419780000000005</v>
      </c>
      <c r="F4053" t="s">
        <v>41</v>
      </c>
      <c r="G4053">
        <v>-247.39580000000001</v>
      </c>
      <c r="H4053">
        <v>1.0226189999999999</v>
      </c>
      <c r="I4053">
        <v>140.48820000000001</v>
      </c>
      <c r="J4053">
        <v>-246.99449999999999</v>
      </c>
      <c r="K4053">
        <v>1.1087720000000001</v>
      </c>
      <c r="L4053">
        <v>140.5102</v>
      </c>
      <c r="M4053">
        <v>-0.99971509999999997</v>
      </c>
      <c r="N4053">
        <v>-7.2744910000000001E-3</v>
      </c>
      <c r="O4053">
        <v>2.2733940000000001E-2</v>
      </c>
      <c r="P4053">
        <v>-0.92488400000000004</v>
      </c>
      <c r="Q4053">
        <v>0.37757220000000002</v>
      </c>
      <c r="R4053">
        <v>-4.5042659999999998E-2</v>
      </c>
      <c r="S4053">
        <v>-3.3982700000000001</v>
      </c>
      <c r="T4053">
        <v>-0.38633889999999999</v>
      </c>
      <c r="U4053">
        <v>-5.9448239999999999E-2</v>
      </c>
      <c r="V4053">
        <v>-6.4913589999999993E-2</v>
      </c>
      <c r="W4053">
        <v>0.38447619999999999</v>
      </c>
      <c r="X4053">
        <v>0.92084980000000005</v>
      </c>
      <c r="Y4053">
        <v>-3.981635E-2</v>
      </c>
      <c r="Z4053">
        <v>-4.81234E-3</v>
      </c>
      <c r="AA4053">
        <v>0.99919539999999996</v>
      </c>
      <c r="AB4053">
        <v>35</v>
      </c>
      <c r="AC4053">
        <v>-0.40130000000001997</v>
      </c>
      <c r="AD4053">
        <v>-8.6152999999999896E-2</v>
      </c>
      <c r="AE4053">
        <v>-2.1999999999991301E-2</v>
      </c>
      <c r="AF4053">
        <v>-2.9750601940452901E-2</v>
      </c>
      <c r="AG4053">
        <v>-8.6152999999999896E-2</v>
      </c>
      <c r="AH4053">
        <v>0.38309246521180801</v>
      </c>
      <c r="AI4053">
        <v>102.63746679496801</v>
      </c>
      <c r="AJ4053">
        <v>94.440623839343999</v>
      </c>
      <c r="AK4053">
        <v>0.39378582329342399</v>
      </c>
      <c r="AL4053">
        <v>67.388774944312303</v>
      </c>
      <c r="AM4053">
        <v>94.032288800077396</v>
      </c>
      <c r="AN4053">
        <v>1.0000000383465799</v>
      </c>
    </row>
    <row r="4054" spans="1:40" x14ac:dyDescent="0.25">
      <c r="A4054" t="str">
        <f>"20190304164451135"</f>
        <v>20190304164451135</v>
      </c>
      <c r="B4054" t="str">
        <f>"1551689091124246"</f>
        <v>1551689091124246</v>
      </c>
      <c r="C4054" t="s">
        <v>40</v>
      </c>
      <c r="D4054">
        <v>4.996823</v>
      </c>
      <c r="E4054">
        <v>0.52384350000000002</v>
      </c>
      <c r="F4054" t="s">
        <v>41</v>
      </c>
      <c r="G4054">
        <v>-248.00290000000001</v>
      </c>
      <c r="H4054">
        <v>0.99411620000000001</v>
      </c>
      <c r="I4054">
        <v>140.4933</v>
      </c>
      <c r="J4054">
        <v>-247.32210000000001</v>
      </c>
      <c r="K4054">
        <v>1.1087670000000001</v>
      </c>
      <c r="L4054">
        <v>140.5188</v>
      </c>
      <c r="M4054">
        <v>-0.99968610000000002</v>
      </c>
      <c r="N4054">
        <v>-7.2613280000000001E-3</v>
      </c>
      <c r="O4054">
        <v>2.3978369999999999E-2</v>
      </c>
      <c r="P4054">
        <v>-0.92514470000000004</v>
      </c>
      <c r="Q4054">
        <v>0.37696859999999999</v>
      </c>
      <c r="R4054">
        <v>-4.4743169999999999E-2</v>
      </c>
      <c r="S4054">
        <v>-3.3986049999999999</v>
      </c>
      <c r="T4054">
        <v>-0.38641560000000003</v>
      </c>
      <c r="U4054">
        <v>-5.7220460000000001E-2</v>
      </c>
      <c r="V4054">
        <v>-6.5774310000000002E-2</v>
      </c>
      <c r="W4054">
        <v>0.38386369999999997</v>
      </c>
      <c r="X4054">
        <v>0.92104419999999998</v>
      </c>
      <c r="Y4054">
        <v>-4.0392570000000003E-2</v>
      </c>
      <c r="Z4054">
        <v>-4.9796229999999999E-3</v>
      </c>
      <c r="AA4054">
        <v>0.99917149999999999</v>
      </c>
      <c r="AB4054">
        <v>35</v>
      </c>
      <c r="AC4054">
        <v>-0.68080000000000496</v>
      </c>
      <c r="AD4054">
        <v>-0.1146508</v>
      </c>
      <c r="AE4054">
        <v>-2.5499999999993798E-2</v>
      </c>
      <c r="AF4054">
        <v>-4.0665880444005403E-2</v>
      </c>
      <c r="AG4054">
        <v>-0.1146508</v>
      </c>
      <c r="AH4054">
        <v>0.661265190333715</v>
      </c>
      <c r="AI4054">
        <v>99.818027820294503</v>
      </c>
      <c r="AJ4054">
        <v>93.519091512545401</v>
      </c>
      <c r="AK4054">
        <v>0.67236163760286805</v>
      </c>
      <c r="AL4054">
        <v>67.426784748953907</v>
      </c>
      <c r="AM4054">
        <v>94.084715548236602</v>
      </c>
      <c r="AN4054">
        <v>1.0000000091936501</v>
      </c>
    </row>
    <row r="4055" spans="1:40" x14ac:dyDescent="0.25">
      <c r="A4055" t="str">
        <f>"20190304164451158"</f>
        <v>20190304164451158</v>
      </c>
      <c r="B4055" t="str">
        <f>"1551689091154502"</f>
        <v>1551689091154502</v>
      </c>
      <c r="C4055" t="s">
        <v>40</v>
      </c>
      <c r="D4055">
        <v>4.9954450000000001</v>
      </c>
      <c r="E4055">
        <v>0.518625</v>
      </c>
      <c r="F4055" t="s">
        <v>41</v>
      </c>
      <c r="G4055">
        <v>-248.315</v>
      </c>
      <c r="H4055">
        <v>0.99453460000000005</v>
      </c>
      <c r="I4055">
        <v>140.5018</v>
      </c>
      <c r="J4055">
        <v>-247.65889999999999</v>
      </c>
      <c r="K4055">
        <v>1.108768</v>
      </c>
      <c r="L4055">
        <v>140.52799999999999</v>
      </c>
      <c r="M4055">
        <v>-0.99965539999999997</v>
      </c>
      <c r="N4055">
        <v>-7.2501789999999998E-3</v>
      </c>
      <c r="O4055">
        <v>2.5228420000000001E-2</v>
      </c>
      <c r="P4055">
        <v>-0.92557009999999995</v>
      </c>
      <c r="Q4055">
        <v>0.37600109999999998</v>
      </c>
      <c r="R4055">
        <v>-4.4081519999999999E-2</v>
      </c>
      <c r="S4055">
        <v>-3.3992610000000001</v>
      </c>
      <c r="T4055">
        <v>-0.39110260000000002</v>
      </c>
      <c r="U4055">
        <v>-5.8624269999999999E-2</v>
      </c>
      <c r="V4055">
        <v>-6.6289959999999995E-2</v>
      </c>
      <c r="W4055">
        <v>0.38288870000000003</v>
      </c>
      <c r="X4055">
        <v>0.92141289999999998</v>
      </c>
      <c r="Y4055">
        <v>-4.2022629999999998E-2</v>
      </c>
      <c r="Z4055">
        <v>-5.2727059999999899E-3</v>
      </c>
      <c r="AA4055">
        <v>0.99910279999999996</v>
      </c>
      <c r="AB4055">
        <v>35</v>
      </c>
      <c r="AC4055">
        <v>-0.65610000000000901</v>
      </c>
      <c r="AD4055">
        <v>-0.1142334</v>
      </c>
      <c r="AE4055">
        <v>-2.61999999999886E-2</v>
      </c>
      <c r="AF4055">
        <v>-4.1488765792075097E-2</v>
      </c>
      <c r="AG4055">
        <v>-0.1142334</v>
      </c>
      <c r="AH4055">
        <v>0.63598157964922497</v>
      </c>
      <c r="AI4055">
        <v>100.16159463478</v>
      </c>
      <c r="AJ4055">
        <v>93.732447150981898</v>
      </c>
      <c r="AK4055">
        <v>0.64748988950842501</v>
      </c>
      <c r="AL4055">
        <v>67.487267624068394</v>
      </c>
      <c r="AM4055">
        <v>94.114987178296104</v>
      </c>
      <c r="AN4055">
        <v>0.999999923835447</v>
      </c>
    </row>
    <row r="4056" spans="1:40" x14ac:dyDescent="0.25">
      <c r="A4056" t="str">
        <f>"20190304164451181"</f>
        <v>20190304164451181</v>
      </c>
      <c r="B4056" t="str">
        <f>"1551689091174022"</f>
        <v>1551689091174022</v>
      </c>
      <c r="C4056" t="s">
        <v>40</v>
      </c>
      <c r="D4056">
        <v>5.0312099999999997</v>
      </c>
      <c r="E4056">
        <v>0.51880769999999998</v>
      </c>
      <c r="F4056" t="s">
        <v>41</v>
      </c>
      <c r="G4056">
        <v>-248.6251</v>
      </c>
      <c r="H4056">
        <v>0.98758080000000004</v>
      </c>
      <c r="I4056">
        <v>140.499</v>
      </c>
      <c r="J4056">
        <v>-248.0361</v>
      </c>
      <c r="K4056">
        <v>1.108781</v>
      </c>
      <c r="L4056">
        <v>140.53870000000001</v>
      </c>
      <c r="M4056">
        <v>-0.99962059999999997</v>
      </c>
      <c r="N4056">
        <v>-7.2402680000000002E-3</v>
      </c>
      <c r="O4056">
        <v>2.6581230000000001E-2</v>
      </c>
      <c r="P4056">
        <v>-0.92578020000000005</v>
      </c>
      <c r="Q4056">
        <v>0.37551109999999999</v>
      </c>
      <c r="R4056">
        <v>-4.3848459999999999E-2</v>
      </c>
      <c r="S4056">
        <v>-3.4101409999999999</v>
      </c>
      <c r="T4056">
        <v>-0.42772589999999999</v>
      </c>
      <c r="U4056">
        <v>-0.10214230000000001</v>
      </c>
      <c r="V4056">
        <v>-6.7332669999999997E-2</v>
      </c>
      <c r="W4056">
        <v>0.38239000000000001</v>
      </c>
      <c r="X4056">
        <v>0.92154449999999999</v>
      </c>
      <c r="Y4056">
        <v>-5.585101E-2</v>
      </c>
      <c r="Z4056">
        <v>-6.8198620000000003E-3</v>
      </c>
      <c r="AA4056">
        <v>0.99841579999999996</v>
      </c>
      <c r="AB4056">
        <v>35</v>
      </c>
      <c r="AC4056">
        <v>-0.58899999999999797</v>
      </c>
      <c r="AD4056">
        <v>-0.12120019999999899</v>
      </c>
      <c r="AE4056">
        <v>-3.9700000000010498E-2</v>
      </c>
      <c r="AF4056">
        <v>-5.3104325296067602E-2</v>
      </c>
      <c r="AG4056">
        <v>-0.12120019999999899</v>
      </c>
      <c r="AH4056">
        <v>0.56396490299784896</v>
      </c>
      <c r="AI4056">
        <v>102.076961837498</v>
      </c>
      <c r="AJ4056">
        <v>95.379250734926799</v>
      </c>
      <c r="AK4056">
        <v>0.57928056212733703</v>
      </c>
      <c r="AL4056">
        <v>67.518197235960898</v>
      </c>
      <c r="AM4056">
        <v>94.1788916649774</v>
      </c>
      <c r="AN4056">
        <v>1.00000003301478</v>
      </c>
    </row>
    <row r="4057" spans="1:40" x14ac:dyDescent="0.25">
      <c r="A4057" t="str">
        <f>"20190304164451204"</f>
        <v>20190304164451204</v>
      </c>
      <c r="B4057" t="str">
        <f>"1551689091194517"</f>
        <v>1551689091194517</v>
      </c>
      <c r="C4057" t="s">
        <v>40</v>
      </c>
      <c r="D4057">
        <v>5.0296019999999997</v>
      </c>
      <c r="E4057">
        <v>0.51869929999999997</v>
      </c>
      <c r="F4057" t="s">
        <v>41</v>
      </c>
      <c r="G4057">
        <v>-248.94120000000001</v>
      </c>
      <c r="H4057">
        <v>0.99391320000000005</v>
      </c>
      <c r="I4057">
        <v>140.512</v>
      </c>
      <c r="J4057">
        <v>-248.39670000000001</v>
      </c>
      <c r="K4057">
        <v>1.1088039999999999</v>
      </c>
      <c r="L4057">
        <v>140.54939999999999</v>
      </c>
      <c r="M4057">
        <v>-0.999587</v>
      </c>
      <c r="N4057">
        <v>-7.2328289999999996E-3</v>
      </c>
      <c r="O4057">
        <v>2.781436E-2</v>
      </c>
      <c r="P4057">
        <v>-0.92593139999999996</v>
      </c>
      <c r="Q4057">
        <v>0.37505359999999999</v>
      </c>
      <c r="R4057">
        <v>-4.4567490000000001E-2</v>
      </c>
      <c r="S4057">
        <v>-3.4113009999999999</v>
      </c>
      <c r="T4057">
        <v>-0.43293809999999999</v>
      </c>
      <c r="U4057">
        <v>-0.10162350000000001</v>
      </c>
      <c r="V4057">
        <v>-6.9224560000000004E-2</v>
      </c>
      <c r="W4057">
        <v>0.3819264</v>
      </c>
      <c r="X4057">
        <v>0.92159650000000004</v>
      </c>
      <c r="Y4057">
        <v>-5.6887840000000002E-2</v>
      </c>
      <c r="Z4057">
        <v>-7.1161130000000003E-3</v>
      </c>
      <c r="AA4057">
        <v>0.9983552</v>
      </c>
      <c r="AB4057">
        <v>35</v>
      </c>
      <c r="AC4057">
        <v>-0.54449999999999898</v>
      </c>
      <c r="AD4057">
        <v>-0.1148908</v>
      </c>
      <c r="AE4057">
        <v>-3.7399999999991003E-2</v>
      </c>
      <c r="AF4057">
        <v>-5.0301821831532603E-2</v>
      </c>
      <c r="AG4057">
        <v>-0.1148908</v>
      </c>
      <c r="AH4057">
        <v>0.520197555706996</v>
      </c>
      <c r="AI4057">
        <v>102.39837666979901</v>
      </c>
      <c r="AJ4057">
        <v>95.523188713429505</v>
      </c>
      <c r="AK4057">
        <v>0.53510341632972702</v>
      </c>
      <c r="AL4057">
        <v>67.546939636682794</v>
      </c>
      <c r="AM4057">
        <v>94.295633650754695</v>
      </c>
      <c r="AN4057">
        <v>0.99999996176820105</v>
      </c>
    </row>
    <row r="4058" spans="1:40" x14ac:dyDescent="0.25">
      <c r="A4058" t="str">
        <f>"20190304164451224"</f>
        <v>20190304164451224</v>
      </c>
      <c r="B4058" t="str">
        <f>"1551689091214038"</f>
        <v>1551689091214038</v>
      </c>
      <c r="C4058" t="s">
        <v>40</v>
      </c>
      <c r="D4058">
        <v>5.0319849999999997</v>
      </c>
      <c r="E4058">
        <v>0.51864679999999996</v>
      </c>
      <c r="F4058" t="s">
        <v>41</v>
      </c>
      <c r="G4058">
        <v>-249.2576</v>
      </c>
      <c r="H4058">
        <v>0.99914879999999995</v>
      </c>
      <c r="I4058">
        <v>140.52350000000001</v>
      </c>
      <c r="J4058">
        <v>-248.71719999999999</v>
      </c>
      <c r="K4058">
        <v>1.10884</v>
      </c>
      <c r="L4058">
        <v>140.55930000000001</v>
      </c>
      <c r="M4058">
        <v>-0.99955780000000005</v>
      </c>
      <c r="N4058">
        <v>-7.2275839999999996E-3</v>
      </c>
      <c r="O4058">
        <v>2.8846980000000001E-2</v>
      </c>
      <c r="P4058">
        <v>-0.92595930000000004</v>
      </c>
      <c r="Q4058">
        <v>0.3748765</v>
      </c>
      <c r="R4058">
        <v>-4.5466329999999999E-2</v>
      </c>
      <c r="S4058">
        <v>-3.4109950000000002</v>
      </c>
      <c r="T4058">
        <v>-0.43440390000000001</v>
      </c>
      <c r="U4058">
        <v>-0.1029663</v>
      </c>
      <c r="V4058">
        <v>-7.1114140000000006E-2</v>
      </c>
      <c r="W4058">
        <v>0.38174360000000002</v>
      </c>
      <c r="X4058">
        <v>0.92152840000000003</v>
      </c>
      <c r="Y4058">
        <v>-5.8290359999999999E-2</v>
      </c>
      <c r="Z4058">
        <v>-7.3581239999999997E-3</v>
      </c>
      <c r="AA4058">
        <v>0.99827250000000001</v>
      </c>
      <c r="AB4058">
        <v>35</v>
      </c>
      <c r="AC4058">
        <v>-0.54040000000000499</v>
      </c>
      <c r="AD4058">
        <v>-0.109691199999999</v>
      </c>
      <c r="AE4058">
        <v>-3.5799999999994697E-2</v>
      </c>
      <c r="AF4058">
        <v>-4.93500053196438E-2</v>
      </c>
      <c r="AG4058">
        <v>-0.109691199999999</v>
      </c>
      <c r="AH4058">
        <v>0.51789743888647999</v>
      </c>
      <c r="AI4058">
        <v>101.906192216214</v>
      </c>
      <c r="AJ4058">
        <v>95.443230789705197</v>
      </c>
      <c r="AK4058">
        <v>0.53168161486707799</v>
      </c>
      <c r="AL4058">
        <v>67.558272724468296</v>
      </c>
      <c r="AM4058">
        <v>94.412756746862499</v>
      </c>
      <c r="AN4058">
        <v>0.99999999452772903</v>
      </c>
    </row>
    <row r="4059" spans="1:40" x14ac:dyDescent="0.25">
      <c r="A4059" t="str">
        <f>"20190304164451247"</f>
        <v>20190304164451247</v>
      </c>
      <c r="B4059" t="str">
        <f>"1551689091244294"</f>
        <v>1551689091244294</v>
      </c>
      <c r="C4059" t="s">
        <v>40</v>
      </c>
      <c r="D4059">
        <v>5.0372209999999997</v>
      </c>
      <c r="E4059">
        <v>0.51859809999999995</v>
      </c>
      <c r="F4059" t="s">
        <v>41</v>
      </c>
      <c r="G4059">
        <v>-249.5727</v>
      </c>
      <c r="H4059">
        <v>0.99969149999999996</v>
      </c>
      <c r="I4059">
        <v>140.53299999999999</v>
      </c>
      <c r="J4059">
        <v>-249.06569999999999</v>
      </c>
      <c r="K4059">
        <v>1.1088929999999999</v>
      </c>
      <c r="L4059">
        <v>140.5703</v>
      </c>
      <c r="M4059">
        <v>-0.99952719999999995</v>
      </c>
      <c r="N4059">
        <v>-7.2231700000000001E-3</v>
      </c>
      <c r="O4059">
        <v>2.98894E-2</v>
      </c>
      <c r="P4059">
        <v>-0.92555600000000005</v>
      </c>
      <c r="Q4059">
        <v>0.37586429999999998</v>
      </c>
      <c r="R4059">
        <v>-4.5523840000000003E-2</v>
      </c>
      <c r="S4059">
        <v>-3.4109189999999998</v>
      </c>
      <c r="T4059">
        <v>-0.43521290000000001</v>
      </c>
      <c r="U4059">
        <v>-0.1051636</v>
      </c>
      <c r="V4059">
        <v>-7.2171109999999997E-2</v>
      </c>
      <c r="W4059">
        <v>0.38271640000000001</v>
      </c>
      <c r="X4059">
        <v>0.92104260000000004</v>
      </c>
      <c r="Y4059">
        <v>-5.9950139999999999E-2</v>
      </c>
      <c r="Z4059">
        <v>-7.6081990000000004E-3</v>
      </c>
      <c r="AA4059">
        <v>0.99817239999999996</v>
      </c>
      <c r="AB4059">
        <v>35</v>
      </c>
      <c r="AC4059">
        <v>-0.507000000000005</v>
      </c>
      <c r="AD4059">
        <v>-0.10920150000000001</v>
      </c>
      <c r="AE4059">
        <v>-3.7300000000016098E-2</v>
      </c>
      <c r="AF4059">
        <v>-5.0124792532670097E-2</v>
      </c>
      <c r="AG4059">
        <v>-0.10920150000000001</v>
      </c>
      <c r="AH4059">
        <v>0.48335554225999999</v>
      </c>
      <c r="AI4059">
        <v>102.66504030207101</v>
      </c>
      <c r="AJ4059">
        <v>95.920507260294897</v>
      </c>
      <c r="AK4059">
        <v>0.49806630347991998</v>
      </c>
      <c r="AL4059">
        <v>67.497955245203897</v>
      </c>
      <c r="AM4059">
        <v>94.480431086159498</v>
      </c>
      <c r="AN4059">
        <v>0.99999999148117602</v>
      </c>
    </row>
    <row r="4060" spans="1:40" x14ac:dyDescent="0.25">
      <c r="A4060" t="str">
        <f>"20190304164451270"</f>
        <v>20190304164451270</v>
      </c>
      <c r="B4060" t="str">
        <f>"1551689091263814"</f>
        <v>1551689091263814</v>
      </c>
      <c r="C4060" t="s">
        <v>40</v>
      </c>
      <c r="D4060">
        <v>5.0514429999999999</v>
      </c>
      <c r="E4060">
        <v>0.51856670000000005</v>
      </c>
      <c r="F4060" t="s">
        <v>41</v>
      </c>
      <c r="G4060">
        <v>-249.89109999999999</v>
      </c>
      <c r="H4060">
        <v>1.004359</v>
      </c>
      <c r="I4060">
        <v>140.5446</v>
      </c>
      <c r="J4060">
        <v>-249.43430000000001</v>
      </c>
      <c r="K4060">
        <v>1.1089610000000001</v>
      </c>
      <c r="L4060">
        <v>140.5822</v>
      </c>
      <c r="M4060">
        <v>-0.99949679999999996</v>
      </c>
      <c r="N4060">
        <v>-7.2200329999999998E-3</v>
      </c>
      <c r="O4060">
        <v>3.08895E-2</v>
      </c>
      <c r="P4060">
        <v>-0.92530449999999997</v>
      </c>
      <c r="Q4060">
        <v>0.3764845</v>
      </c>
      <c r="R4060">
        <v>-4.5507430000000001E-2</v>
      </c>
      <c r="S4060">
        <v>-3.4115449999999998</v>
      </c>
      <c r="T4060">
        <v>-0.4320928</v>
      </c>
      <c r="U4060">
        <v>-0.10644530000000001</v>
      </c>
      <c r="V4060">
        <v>-7.3136300000000001E-2</v>
      </c>
      <c r="W4060">
        <v>0.38332129999999998</v>
      </c>
      <c r="X4060">
        <v>0.9207149</v>
      </c>
      <c r="Y4060">
        <v>-6.1309919999999997E-2</v>
      </c>
      <c r="Z4060">
        <v>-7.7622809999999898E-3</v>
      </c>
      <c r="AA4060">
        <v>0.99808859999999999</v>
      </c>
      <c r="AB4060">
        <v>35</v>
      </c>
      <c r="AC4060">
        <v>-0.45679999999998699</v>
      </c>
      <c r="AD4060">
        <v>-0.104602</v>
      </c>
      <c r="AE4060">
        <v>-3.7599999999997601E-2</v>
      </c>
      <c r="AF4060">
        <v>-4.9133719679166701E-2</v>
      </c>
      <c r="AG4060">
        <v>-0.104602</v>
      </c>
      <c r="AH4060">
        <v>0.43287513287419499</v>
      </c>
      <c r="AI4060">
        <v>103.501313649517</v>
      </c>
      <c r="AJ4060">
        <v>96.475672713007199</v>
      </c>
      <c r="AK4060">
        <v>0.44803636177699102</v>
      </c>
      <c r="AL4060">
        <v>67.460436784260907</v>
      </c>
      <c r="AM4060">
        <v>94.5417110165385</v>
      </c>
      <c r="AN4060">
        <v>1.00000003224669</v>
      </c>
    </row>
    <row r="4061" spans="1:40" x14ac:dyDescent="0.25">
      <c r="A4061" t="str">
        <f>"20190304164451293"</f>
        <v>20190304164451293</v>
      </c>
      <c r="B4061" t="str">
        <f>"1551689091284310"</f>
        <v>1551689091284310</v>
      </c>
      <c r="C4061" t="s">
        <v>40</v>
      </c>
      <c r="D4061">
        <v>5.051609</v>
      </c>
      <c r="E4061">
        <v>0.51856579999999997</v>
      </c>
      <c r="F4061" t="s">
        <v>41</v>
      </c>
      <c r="G4061">
        <v>-250.21180000000001</v>
      </c>
      <c r="H4061">
        <v>1.0111049999999999</v>
      </c>
      <c r="I4061">
        <v>140.5581</v>
      </c>
      <c r="J4061">
        <v>-249.79580000000001</v>
      </c>
      <c r="K4061">
        <v>1.109035</v>
      </c>
      <c r="L4061">
        <v>140.5942</v>
      </c>
      <c r="M4061">
        <v>-0.99946970000000002</v>
      </c>
      <c r="N4061">
        <v>-7.21841699999999E-3</v>
      </c>
      <c r="O4061">
        <v>3.1754579999999998E-2</v>
      </c>
      <c r="P4061">
        <v>-0.92535029999999996</v>
      </c>
      <c r="Q4061">
        <v>0.376419</v>
      </c>
      <c r="R4061">
        <v>-4.5119199999999998E-2</v>
      </c>
      <c r="S4061">
        <v>-3.4116520000000001</v>
      </c>
      <c r="T4061">
        <v>-0.42945179999999999</v>
      </c>
      <c r="U4061">
        <v>-0.107070899999999</v>
      </c>
      <c r="V4061">
        <v>-7.3626269999999994E-2</v>
      </c>
      <c r="W4061">
        <v>0.38324059999999999</v>
      </c>
      <c r="X4061">
        <v>0.92070940000000001</v>
      </c>
      <c r="Y4061">
        <v>-6.2349839999999997E-2</v>
      </c>
      <c r="Z4061">
        <v>-7.8860849999999993E-3</v>
      </c>
      <c r="AA4061">
        <v>0.9980232</v>
      </c>
      <c r="AB4061">
        <v>35</v>
      </c>
      <c r="AC4061">
        <v>-0.41599999999999598</v>
      </c>
      <c r="AD4061">
        <v>-9.7930000000000003E-2</v>
      </c>
      <c r="AE4061">
        <v>-3.6100000000004601E-2</v>
      </c>
      <c r="AF4061">
        <v>-4.6722180690424497E-2</v>
      </c>
      <c r="AG4061">
        <v>-9.7930000000000003E-2</v>
      </c>
      <c r="AH4061">
        <v>0.39302619678810202</v>
      </c>
      <c r="AI4061">
        <v>103.89740724953499</v>
      </c>
      <c r="AJ4061">
        <v>96.779393529028198</v>
      </c>
      <c r="AK4061">
        <v>0.40772887858255602</v>
      </c>
      <c r="AL4061">
        <v>67.465441905945696</v>
      </c>
      <c r="AM4061">
        <v>94.572036421901799</v>
      </c>
      <c r="AN4061">
        <v>0.99999999218541602</v>
      </c>
    </row>
    <row r="4062" spans="1:40" x14ac:dyDescent="0.25">
      <c r="A4062" t="str">
        <f>"20190304164451315"</f>
        <v>20190304164451315</v>
      </c>
      <c r="B4062" t="str">
        <f>"1551689091303830"</f>
        <v>1551689091303830</v>
      </c>
      <c r="C4062" t="s">
        <v>40</v>
      </c>
      <c r="D4062">
        <v>5.1949360000000002</v>
      </c>
      <c r="E4062">
        <v>0.52002820000000005</v>
      </c>
      <c r="F4062" t="s">
        <v>41</v>
      </c>
      <c r="G4062">
        <v>-250.53190000000001</v>
      </c>
      <c r="H4062">
        <v>1.01613</v>
      </c>
      <c r="I4062">
        <v>140.57140000000001</v>
      </c>
      <c r="J4062">
        <v>-250.13939999999999</v>
      </c>
      <c r="K4062">
        <v>1.1091260000000001</v>
      </c>
      <c r="L4062">
        <v>140.60570000000001</v>
      </c>
      <c r="M4062">
        <v>-0.99944719999999998</v>
      </c>
      <c r="N4062">
        <v>-7.2179019999999896E-3</v>
      </c>
      <c r="O4062">
        <v>3.2454129999999998E-2</v>
      </c>
      <c r="P4062">
        <v>-0.92540319999999998</v>
      </c>
      <c r="Q4062">
        <v>0.37632650000000001</v>
      </c>
      <c r="R4062">
        <v>-4.4802139999999997E-2</v>
      </c>
      <c r="S4062">
        <v>-3.4120029999999999</v>
      </c>
      <c r="T4062">
        <v>-0.43064839999999999</v>
      </c>
      <c r="U4062">
        <v>-0.1062012</v>
      </c>
      <c r="V4062">
        <v>-7.4039919999999995E-2</v>
      </c>
      <c r="W4062">
        <v>0.38313229999999998</v>
      </c>
      <c r="X4062">
        <v>0.92072140000000002</v>
      </c>
      <c r="Y4062">
        <v>-6.2778500000000001E-2</v>
      </c>
      <c r="Z4062">
        <v>-8.0184939999999993E-3</v>
      </c>
      <c r="AA4062">
        <v>0.99799530000000003</v>
      </c>
      <c r="AB4062">
        <v>35</v>
      </c>
      <c r="AC4062">
        <v>-0.39250000000001201</v>
      </c>
      <c r="AD4062">
        <v>-9.2995999999999995E-2</v>
      </c>
      <c r="AE4062">
        <v>-3.4300000000001697E-2</v>
      </c>
      <c r="AF4062">
        <v>-4.4539162472939701E-2</v>
      </c>
      <c r="AG4062">
        <v>-9.2995999999999995E-2</v>
      </c>
      <c r="AH4062">
        <v>0.37053684418791</v>
      </c>
      <c r="AI4062">
        <v>103.99216147322799</v>
      </c>
      <c r="AJ4062">
        <v>96.854166240064799</v>
      </c>
      <c r="AK4062">
        <v>0.384616101990708</v>
      </c>
      <c r="AL4062">
        <v>67.472161961698703</v>
      </c>
      <c r="AM4062">
        <v>94.597553733672896</v>
      </c>
      <c r="AN4062">
        <v>1.00000008273742</v>
      </c>
    </row>
    <row r="4063" spans="1:40" x14ac:dyDescent="0.25">
      <c r="A4063" t="str">
        <f>"20190304164451336"</f>
        <v>20190304164451336</v>
      </c>
      <c r="B4063" t="str">
        <f>"1551689091324326"</f>
        <v>1551689091324326</v>
      </c>
      <c r="C4063" t="s">
        <v>40</v>
      </c>
      <c r="D4063">
        <v>5.1190759999999997</v>
      </c>
      <c r="E4063">
        <v>0.52135929999999997</v>
      </c>
      <c r="F4063" t="s">
        <v>41</v>
      </c>
      <c r="G4063">
        <v>-251.1491</v>
      </c>
      <c r="H4063">
        <v>0.98157190000000005</v>
      </c>
      <c r="I4063">
        <v>140.57830000000001</v>
      </c>
      <c r="J4063">
        <v>-250.4753</v>
      </c>
      <c r="K4063">
        <v>1.1092219999999999</v>
      </c>
      <c r="L4063">
        <v>140.6172</v>
      </c>
      <c r="M4063">
        <v>-0.99942889999999995</v>
      </c>
      <c r="N4063">
        <v>-7.2182349999999999E-3</v>
      </c>
      <c r="O4063">
        <v>3.3015080000000002E-2</v>
      </c>
      <c r="P4063">
        <v>-0.92564519999999995</v>
      </c>
      <c r="Q4063">
        <v>0.37561299999999997</v>
      </c>
      <c r="R4063">
        <v>-4.5785359999999997E-2</v>
      </c>
      <c r="S4063">
        <v>-3.4126430000000001</v>
      </c>
      <c r="T4063">
        <v>-0.43113230000000002</v>
      </c>
      <c r="U4063">
        <v>-9.3246460000000003E-2</v>
      </c>
      <c r="V4063">
        <v>-7.5640170000000007E-2</v>
      </c>
      <c r="W4063">
        <v>0.38240540000000001</v>
      </c>
      <c r="X4063">
        <v>0.92089339999999997</v>
      </c>
      <c r="Y4063">
        <v>-5.9568759999999998E-2</v>
      </c>
      <c r="Z4063">
        <v>-7.8792800000000007E-3</v>
      </c>
      <c r="AA4063">
        <v>0.99819310000000006</v>
      </c>
      <c r="AB4063">
        <v>36</v>
      </c>
      <c r="AC4063">
        <v>-0.67379999999999995</v>
      </c>
      <c r="AD4063">
        <v>-0.12765009999999899</v>
      </c>
      <c r="AE4063">
        <v>-3.8899999999983899E-2</v>
      </c>
      <c r="AF4063">
        <v>-5.9013923571598598E-2</v>
      </c>
      <c r="AG4063">
        <v>-0.12765009999999899</v>
      </c>
      <c r="AH4063">
        <v>0.64893506491014297</v>
      </c>
      <c r="AI4063">
        <v>101.08380451667399</v>
      </c>
      <c r="AJ4063">
        <v>95.196165098804798</v>
      </c>
      <c r="AK4063">
        <v>0.66399842595841796</v>
      </c>
      <c r="AL4063">
        <v>67.51724127736</v>
      </c>
      <c r="AM4063">
        <v>94.695609131300401</v>
      </c>
      <c r="AN4063">
        <v>0.99999998971517401</v>
      </c>
    </row>
    <row r="4064" spans="1:40" x14ac:dyDescent="0.25">
      <c r="A4064" t="str">
        <f>"20190304164451359"</f>
        <v>20190304164451359</v>
      </c>
      <c r="B4064" t="str">
        <f>"1551689091354582"</f>
        <v>1551689091354582</v>
      </c>
      <c r="C4064" t="s">
        <v>40</v>
      </c>
      <c r="D4064">
        <v>5.0936450000000004</v>
      </c>
      <c r="E4064">
        <v>0.523115</v>
      </c>
      <c r="F4064" t="s">
        <v>41</v>
      </c>
      <c r="G4064">
        <v>-251.4684</v>
      </c>
      <c r="H4064">
        <v>0.98309250000000004</v>
      </c>
      <c r="I4064">
        <v>140.59289999999999</v>
      </c>
      <c r="J4064">
        <v>-250.85059999999999</v>
      </c>
      <c r="K4064">
        <v>1.109326</v>
      </c>
      <c r="L4064">
        <v>140.6301</v>
      </c>
      <c r="M4064">
        <v>-0.99941210000000003</v>
      </c>
      <c r="N4064">
        <v>-7.2195180000000003E-3</v>
      </c>
      <c r="O4064">
        <v>3.3518739999999998E-2</v>
      </c>
      <c r="P4064">
        <v>-0.92574369999999995</v>
      </c>
      <c r="Q4064">
        <v>0.37523879999999998</v>
      </c>
      <c r="R4064">
        <v>-4.6846289999999999E-2</v>
      </c>
      <c r="S4064">
        <v>-3.4127040000000002</v>
      </c>
      <c r="T4064">
        <v>-0.43348569999999997</v>
      </c>
      <c r="U4064">
        <v>-8.415222E-2</v>
      </c>
      <c r="V4064">
        <v>-7.7266399999999999E-2</v>
      </c>
      <c r="W4064">
        <v>0.38201590000000002</v>
      </c>
      <c r="X4064">
        <v>0.92092010000000002</v>
      </c>
      <c r="Y4064">
        <v>-5.7419579999999998E-2</v>
      </c>
      <c r="Z4064">
        <v>-7.8384969999999998E-3</v>
      </c>
      <c r="AA4064">
        <v>0.99831939999999997</v>
      </c>
      <c r="AB4064">
        <v>36</v>
      </c>
      <c r="AC4064">
        <v>-0.617800000000016</v>
      </c>
      <c r="AD4064">
        <v>-0.1262335</v>
      </c>
      <c r="AE4064">
        <v>-3.7200000000012702E-2</v>
      </c>
      <c r="AF4064">
        <v>-5.5575627262040399E-2</v>
      </c>
      <c r="AG4064">
        <v>-0.1262335</v>
      </c>
      <c r="AH4064">
        <v>0.591596164138532</v>
      </c>
      <c r="AI4064">
        <v>101.993745448415</v>
      </c>
      <c r="AJ4064">
        <v>95.366720232755398</v>
      </c>
      <c r="AK4064">
        <v>0.60746157762548603</v>
      </c>
      <c r="AL4064">
        <v>67.541392722987595</v>
      </c>
      <c r="AM4064">
        <v>94.795958229238593</v>
      </c>
      <c r="AN4064">
        <v>1.0000000375028799</v>
      </c>
    </row>
    <row r="4065" spans="1:40" x14ac:dyDescent="0.25">
      <c r="A4065" t="str">
        <f>"20190304164451382"</f>
        <v>20190304164451382</v>
      </c>
      <c r="B4065" t="str">
        <f>"1551689091374102"</f>
        <v>1551689091374102</v>
      </c>
      <c r="C4065" t="s">
        <v>40</v>
      </c>
      <c r="D4065">
        <v>4.9939920000000004</v>
      </c>
      <c r="E4065">
        <v>0.52395099999999994</v>
      </c>
      <c r="F4065" t="s">
        <v>41</v>
      </c>
      <c r="G4065">
        <v>-251.79089999999999</v>
      </c>
      <c r="H4065">
        <v>0.99019579999999996</v>
      </c>
      <c r="I4065">
        <v>140.61070000000001</v>
      </c>
      <c r="J4065">
        <v>-251.21960000000001</v>
      </c>
      <c r="K4065">
        <v>1.1094170000000001</v>
      </c>
      <c r="L4065">
        <v>140.64279999999999</v>
      </c>
      <c r="M4065">
        <v>-0.9993995</v>
      </c>
      <c r="N4065">
        <v>-7.2215309999999998E-3</v>
      </c>
      <c r="O4065">
        <v>3.3892749999999999E-2</v>
      </c>
      <c r="P4065">
        <v>-0.92575490000000005</v>
      </c>
      <c r="Q4065">
        <v>0.37506810000000002</v>
      </c>
      <c r="R4065">
        <v>-4.798264E-2</v>
      </c>
      <c r="S4065">
        <v>-3.4123079999999999</v>
      </c>
      <c r="T4065">
        <v>-0.43238759999999998</v>
      </c>
      <c r="U4065">
        <v>-7.0968630000000005E-2</v>
      </c>
      <c r="V4065">
        <v>-7.8840960000000002E-2</v>
      </c>
      <c r="W4065">
        <v>0.3818299</v>
      </c>
      <c r="X4065">
        <v>0.92086369999999895</v>
      </c>
      <c r="Y4065">
        <v>-5.3970600000000001E-2</v>
      </c>
      <c r="Z4065">
        <v>-7.63421699999999E-3</v>
      </c>
      <c r="AA4065">
        <v>0.99851330000000005</v>
      </c>
      <c r="AB4065">
        <v>36</v>
      </c>
      <c r="AC4065">
        <v>-0.57129999999997905</v>
      </c>
      <c r="AD4065">
        <v>-0.1192212</v>
      </c>
      <c r="AE4065">
        <v>-3.2099999999985501E-2</v>
      </c>
      <c r="AF4065">
        <v>-4.9304578189622403E-2</v>
      </c>
      <c r="AG4065">
        <v>-0.1192212</v>
      </c>
      <c r="AH4065">
        <v>0.54617330675488196</v>
      </c>
      <c r="AI4065">
        <v>102.265279017564</v>
      </c>
      <c r="AJ4065">
        <v>95.158267267984499</v>
      </c>
      <c r="AK4065">
        <v>0.56120398873445199</v>
      </c>
      <c r="AL4065">
        <v>67.552922071823602</v>
      </c>
      <c r="AM4065">
        <v>94.893520248070203</v>
      </c>
      <c r="AN4065">
        <v>0.999999961742709</v>
      </c>
    </row>
    <row r="4066" spans="1:40" x14ac:dyDescent="0.25">
      <c r="A4066" t="str">
        <f>"20190304164451404"</f>
        <v>20190304164451404</v>
      </c>
      <c r="B4066" t="str">
        <f>"1551689091394598"</f>
        <v>1551689091394598</v>
      </c>
      <c r="C4066" t="s">
        <v>40</v>
      </c>
      <c r="D4066">
        <v>5.0327380000000002</v>
      </c>
      <c r="E4066">
        <v>0.52459849999999997</v>
      </c>
      <c r="F4066" t="s">
        <v>41</v>
      </c>
      <c r="G4066">
        <v>-252.114</v>
      </c>
      <c r="H4066">
        <v>0.99660709999999997</v>
      </c>
      <c r="I4066">
        <v>140.62569999999999</v>
      </c>
      <c r="J4066">
        <v>-251.56370000000001</v>
      </c>
      <c r="K4066">
        <v>1.109504</v>
      </c>
      <c r="L4066">
        <v>140.65469999999999</v>
      </c>
      <c r="M4066">
        <v>-0.99939129999999998</v>
      </c>
      <c r="N4066">
        <v>-7.2239019999999999E-3</v>
      </c>
      <c r="O4066">
        <v>3.413298E-2</v>
      </c>
      <c r="P4066">
        <v>-0.92565949999999997</v>
      </c>
      <c r="Q4066">
        <v>0.37515609999999999</v>
      </c>
      <c r="R4066">
        <v>-4.9115579999999999E-2</v>
      </c>
      <c r="S4066">
        <v>-3.4115139999999999</v>
      </c>
      <c r="T4066">
        <v>-0.43031700000000001</v>
      </c>
      <c r="U4066">
        <v>-6.5826419999999997E-2</v>
      </c>
      <c r="V4066">
        <v>-8.0277619999999994E-2</v>
      </c>
      <c r="W4066">
        <v>0.3819031</v>
      </c>
      <c r="X4066">
        <v>0.92070929999999995</v>
      </c>
      <c r="Y4066">
        <v>-5.272599E-2</v>
      </c>
      <c r="Z4066">
        <v>-7.5452799999999997E-3</v>
      </c>
      <c r="AA4066">
        <v>0.99858049999999998</v>
      </c>
      <c r="AB4066">
        <v>36</v>
      </c>
      <c r="AC4066">
        <v>-0.55029999999999202</v>
      </c>
      <c r="AD4066">
        <v>-0.11289689999999999</v>
      </c>
      <c r="AE4066">
        <v>-2.89999999999963E-2</v>
      </c>
      <c r="AF4066">
        <v>-4.5842847727863401E-2</v>
      </c>
      <c r="AG4066">
        <v>-0.11289689999999999</v>
      </c>
      <c r="AH4066">
        <v>0.52687538100870701</v>
      </c>
      <c r="AI4066">
        <v>102.050051798966</v>
      </c>
      <c r="AJ4066">
        <v>94.972719287961198</v>
      </c>
      <c r="AK4066">
        <v>0.540781789477494</v>
      </c>
      <c r="AL4066">
        <v>67.548386084839294</v>
      </c>
      <c r="AM4066">
        <v>94.983077673154497</v>
      </c>
      <c r="AN4066">
        <v>1.0000000445844801</v>
      </c>
    </row>
    <row r="4067" spans="1:40" x14ac:dyDescent="0.25">
      <c r="A4067" t="str">
        <f>"20190304164451424"</f>
        <v>20190304164451424</v>
      </c>
      <c r="B4067" t="str">
        <f>"1551689091414118"</f>
        <v>1551689091414118</v>
      </c>
      <c r="C4067" t="s">
        <v>40</v>
      </c>
      <c r="D4067">
        <v>5.0983780000000003</v>
      </c>
      <c r="E4067">
        <v>0.52521439999999997</v>
      </c>
      <c r="F4067" t="s">
        <v>41</v>
      </c>
      <c r="G4067">
        <v>-252.43629999999999</v>
      </c>
      <c r="H4067">
        <v>0.99969839999999999</v>
      </c>
      <c r="I4067">
        <v>140.63839999999999</v>
      </c>
      <c r="J4067">
        <v>-251.9025</v>
      </c>
      <c r="K4067">
        <v>1.109585</v>
      </c>
      <c r="L4067">
        <v>140.66650000000001</v>
      </c>
      <c r="M4067">
        <v>-0.99938629999999995</v>
      </c>
      <c r="N4067">
        <v>-7.2267019999999998E-3</v>
      </c>
      <c r="O4067">
        <v>3.427641E-2</v>
      </c>
      <c r="P4067">
        <v>-0.92568669999999997</v>
      </c>
      <c r="Q4067">
        <v>0.3749576</v>
      </c>
      <c r="R4067">
        <v>-5.0111290000000003E-2</v>
      </c>
      <c r="S4067">
        <v>-3.41153</v>
      </c>
      <c r="T4067">
        <v>-0.42931940000000002</v>
      </c>
      <c r="U4067">
        <v>-6.4208979999999999E-2</v>
      </c>
      <c r="V4067">
        <v>-8.1488679999999994E-2</v>
      </c>
      <c r="W4067">
        <v>0.38169029999999998</v>
      </c>
      <c r="X4067">
        <v>0.92069109999999998</v>
      </c>
      <c r="Y4067">
        <v>-5.2400839999999997E-2</v>
      </c>
      <c r="Z4067">
        <v>-7.5231419999999896E-3</v>
      </c>
      <c r="AA4067">
        <v>0.99859779999999998</v>
      </c>
      <c r="AB4067">
        <v>36</v>
      </c>
      <c r="AC4067">
        <v>-0.53379999999998495</v>
      </c>
      <c r="AD4067">
        <v>-0.1098866</v>
      </c>
      <c r="AE4067">
        <v>-2.8100000000023301E-2</v>
      </c>
      <c r="AF4067">
        <v>-4.4500132096557399E-2</v>
      </c>
      <c r="AG4067">
        <v>-0.1098866</v>
      </c>
      <c r="AH4067">
        <v>0.51093112563067</v>
      </c>
      <c r="AI4067">
        <v>102.09335570485</v>
      </c>
      <c r="AJ4067">
        <v>94.977680496952502</v>
      </c>
      <c r="AK4067">
        <v>0.52450542585791604</v>
      </c>
      <c r="AL4067">
        <v>67.561576805927004</v>
      </c>
      <c r="AM4067">
        <v>95.057964280485805</v>
      </c>
      <c r="AN4067">
        <v>0.99999999585072097</v>
      </c>
    </row>
    <row r="4068" spans="1:40" x14ac:dyDescent="0.25">
      <c r="A4068" t="str">
        <f>"20190304164451448"</f>
        <v>20190304164451448</v>
      </c>
      <c r="B4068" t="str">
        <f>"1551689091444374"</f>
        <v>1551689091444374</v>
      </c>
      <c r="C4068" t="s">
        <v>40</v>
      </c>
      <c r="D4068">
        <v>5.1005409999999998</v>
      </c>
      <c r="E4068">
        <v>0.52601799999999999</v>
      </c>
      <c r="F4068" t="s">
        <v>41</v>
      </c>
      <c r="G4068">
        <v>-252.75890000000001</v>
      </c>
      <c r="H4068">
        <v>1.001733</v>
      </c>
      <c r="I4068">
        <v>140.65119999999999</v>
      </c>
      <c r="J4068">
        <v>-252.2764</v>
      </c>
      <c r="K4068">
        <v>1.109683</v>
      </c>
      <c r="L4068">
        <v>140.67939999999999</v>
      </c>
      <c r="M4068">
        <v>-0.99938450000000001</v>
      </c>
      <c r="N4068">
        <v>-7.2303589999999996E-3</v>
      </c>
      <c r="O4068">
        <v>3.4329800000000001E-2</v>
      </c>
      <c r="P4068">
        <v>-0.92569950000000001</v>
      </c>
      <c r="Q4068">
        <v>0.3747336</v>
      </c>
      <c r="R4068">
        <v>-5.153373E-2</v>
      </c>
      <c r="S4068">
        <v>-3.4115600000000001</v>
      </c>
      <c r="T4068">
        <v>-0.42974020000000002</v>
      </c>
      <c r="U4068">
        <v>-6.1843870000000002E-2</v>
      </c>
      <c r="V4068">
        <v>-8.3051570000000005E-2</v>
      </c>
      <c r="W4068">
        <v>0.38145089999999998</v>
      </c>
      <c r="X4068">
        <v>0.92065070000000004</v>
      </c>
      <c r="Y4068">
        <v>-5.176555E-2</v>
      </c>
      <c r="Z4068">
        <v>-7.4946040000000002E-3</v>
      </c>
      <c r="AA4068">
        <v>0.99863109999999999</v>
      </c>
      <c r="AB4068">
        <v>36</v>
      </c>
      <c r="AC4068">
        <v>-0.48250000000001497</v>
      </c>
      <c r="AD4068">
        <v>-0.10795</v>
      </c>
      <c r="AE4068">
        <v>-2.8199999999998199E-2</v>
      </c>
      <c r="AF4068">
        <v>-4.2621752109880999E-2</v>
      </c>
      <c r="AG4068">
        <v>-0.10795</v>
      </c>
      <c r="AH4068">
        <v>0.45838112701898798</v>
      </c>
      <c r="AI4068">
        <v>103.196921941873</v>
      </c>
      <c r="AJ4068">
        <v>95.312271325507993</v>
      </c>
      <c r="AK4068">
        <v>0.472845718876796</v>
      </c>
      <c r="AL4068">
        <v>67.576417018472796</v>
      </c>
      <c r="AM4068">
        <v>95.154679420958203</v>
      </c>
      <c r="AN4068">
        <v>1.0000000319003799</v>
      </c>
    </row>
    <row r="4069" spans="1:40" x14ac:dyDescent="0.25">
      <c r="A4069" t="str">
        <f>"20190304164451471"</f>
        <v>20190304164451471</v>
      </c>
      <c r="B4069" t="str">
        <f>"1551689091463894"</f>
        <v>1551689091463894</v>
      </c>
      <c r="C4069" t="s">
        <v>40</v>
      </c>
      <c r="D4069">
        <v>5.1056619999999997</v>
      </c>
      <c r="E4069">
        <v>0.52650529999999995</v>
      </c>
      <c r="F4069" t="s">
        <v>41</v>
      </c>
      <c r="G4069">
        <v>-253.0838</v>
      </c>
      <c r="H4069">
        <v>1.007652</v>
      </c>
      <c r="I4069">
        <v>140.66569999999999</v>
      </c>
      <c r="J4069">
        <v>-252.64750000000001</v>
      </c>
      <c r="K4069">
        <v>1.109783</v>
      </c>
      <c r="L4069">
        <v>140.69210000000001</v>
      </c>
      <c r="M4069">
        <v>-0.99938649999999996</v>
      </c>
      <c r="N4069">
        <v>-7.2345969999999997E-3</v>
      </c>
      <c r="O4069">
        <v>3.4270120000000001E-2</v>
      </c>
      <c r="P4069">
        <v>-0.92580269999999998</v>
      </c>
      <c r="Q4069">
        <v>0.37437979999999998</v>
      </c>
      <c r="R4069">
        <v>-5.2246059999999997E-2</v>
      </c>
      <c r="S4069">
        <v>-3.4120789999999999</v>
      </c>
      <c r="T4069">
        <v>-0.43119079999999899</v>
      </c>
      <c r="U4069">
        <v>-5.8486940000000001E-2</v>
      </c>
      <c r="V4069">
        <v>-8.3807290000000007E-2</v>
      </c>
      <c r="W4069">
        <v>0.38108059999999999</v>
      </c>
      <c r="X4069">
        <v>0.92073550000000004</v>
      </c>
      <c r="Y4069">
        <v>-5.072575E-2</v>
      </c>
      <c r="Z4069">
        <v>-7.4424850000000004E-3</v>
      </c>
      <c r="AA4069">
        <v>0.99868489999999999</v>
      </c>
      <c r="AB4069">
        <v>36</v>
      </c>
      <c r="AC4069">
        <v>-0.43629999999998798</v>
      </c>
      <c r="AD4069">
        <v>-0.102130999999999</v>
      </c>
      <c r="AE4069">
        <v>-2.64000000000237E-2</v>
      </c>
      <c r="AF4069">
        <v>-3.91969546722487E-2</v>
      </c>
      <c r="AG4069">
        <v>-0.102130999999999</v>
      </c>
      <c r="AH4069">
        <v>0.412612148920665</v>
      </c>
      <c r="AI4069">
        <v>103.842684355557</v>
      </c>
      <c r="AJ4069">
        <v>95.426647427835206</v>
      </c>
      <c r="AK4069">
        <v>0.42686757648421503</v>
      </c>
      <c r="AL4069">
        <v>67.599365789031097</v>
      </c>
      <c r="AM4069">
        <v>95.200851406953305</v>
      </c>
      <c r="AN4069">
        <v>0.99999997325687595</v>
      </c>
    </row>
    <row r="4070" spans="1:40" x14ac:dyDescent="0.25">
      <c r="A4070" t="str">
        <f>"20190304164451494"</f>
        <v>20190304164451494</v>
      </c>
      <c r="B4070" t="str">
        <f>"1551689091484390"</f>
        <v>1551689091484390</v>
      </c>
      <c r="C4070" t="s">
        <v>40</v>
      </c>
      <c r="D4070">
        <v>5.0683540000000002</v>
      </c>
      <c r="E4070">
        <v>0.5268621</v>
      </c>
      <c r="F4070" t="s">
        <v>41</v>
      </c>
      <c r="G4070">
        <v>-253.40979999999999</v>
      </c>
      <c r="H4070">
        <v>1.013074</v>
      </c>
      <c r="I4070">
        <v>140.67939999999999</v>
      </c>
      <c r="J4070">
        <v>-253.01669999999999</v>
      </c>
      <c r="K4070">
        <v>1.109896</v>
      </c>
      <c r="L4070">
        <v>140.7047</v>
      </c>
      <c r="M4070">
        <v>-0.99939239999999996</v>
      </c>
      <c r="N4070">
        <v>-7.2393040000000002E-3</v>
      </c>
      <c r="O4070">
        <v>3.4094720000000002E-2</v>
      </c>
      <c r="P4070">
        <v>-0.92574520000000005</v>
      </c>
      <c r="Q4070">
        <v>0.37449719999999997</v>
      </c>
      <c r="R4070">
        <v>-5.2419090000000002E-2</v>
      </c>
      <c r="S4070">
        <v>-3.4122309999999998</v>
      </c>
      <c r="T4070">
        <v>-0.43297180000000002</v>
      </c>
      <c r="U4070">
        <v>-5.8059689999999997E-2</v>
      </c>
      <c r="V4070">
        <v>-8.3915489999999995E-2</v>
      </c>
      <c r="W4070">
        <v>0.38118069999999998</v>
      </c>
      <c r="X4070">
        <v>0.92068419999999895</v>
      </c>
      <c r="Y4070">
        <v>-5.0423040000000002E-2</v>
      </c>
      <c r="Z4070">
        <v>-7.4317619999999997E-3</v>
      </c>
      <c r="AA4070">
        <v>0.99870029999999999</v>
      </c>
      <c r="AB4070">
        <v>36</v>
      </c>
      <c r="AC4070">
        <v>-0.393100000000003</v>
      </c>
      <c r="AD4070">
        <v>-9.6821999999999894E-2</v>
      </c>
      <c r="AE4070">
        <v>-2.5300000000015602E-2</v>
      </c>
      <c r="AF4070">
        <v>-3.6484079626544402E-2</v>
      </c>
      <c r="AG4070">
        <v>-9.6821999999999894E-2</v>
      </c>
      <c r="AH4070">
        <v>0.36967481635877403</v>
      </c>
      <c r="AI4070">
        <v>104.608825412369</v>
      </c>
      <c r="AJ4070">
        <v>95.636403058610796</v>
      </c>
      <c r="AK4070">
        <v>0.38388156715332</v>
      </c>
      <c r="AL4070">
        <v>67.593162069563704</v>
      </c>
      <c r="AM4070">
        <v>95.207817674745201</v>
      </c>
      <c r="AN4070">
        <v>0.99999996582203399</v>
      </c>
    </row>
    <row r="4071" spans="1:40" x14ac:dyDescent="0.25">
      <c r="A4071" t="str">
        <f>"20190304164451516"</f>
        <v>20190304164451516</v>
      </c>
      <c r="B4071" t="str">
        <f>"1551689091503911"</f>
        <v>1551689091503911</v>
      </c>
      <c r="C4071" t="s">
        <v>40</v>
      </c>
      <c r="D4071">
        <v>5.0991109999999997</v>
      </c>
      <c r="E4071">
        <v>0.52724669999999996</v>
      </c>
      <c r="F4071" t="s">
        <v>41</v>
      </c>
      <c r="G4071">
        <v>-254.0429</v>
      </c>
      <c r="H4071">
        <v>0.97976609999999997</v>
      </c>
      <c r="I4071">
        <v>140.6876</v>
      </c>
      <c r="J4071">
        <v>-253.3801</v>
      </c>
      <c r="K4071">
        <v>1.1099969999999999</v>
      </c>
      <c r="L4071">
        <v>140.71690000000001</v>
      </c>
      <c r="M4071">
        <v>-0.99940249999999997</v>
      </c>
      <c r="N4071">
        <v>-7.2392259999999996E-3</v>
      </c>
      <c r="O4071">
        <v>3.3798479999999999E-2</v>
      </c>
      <c r="P4071">
        <v>-0.92589160000000004</v>
      </c>
      <c r="Q4071">
        <v>0.37410660000000001</v>
      </c>
      <c r="R4071">
        <v>-5.2620840000000002E-2</v>
      </c>
      <c r="S4071">
        <v>-3.4124759999999998</v>
      </c>
      <c r="T4071">
        <v>-0.43280960000000002</v>
      </c>
      <c r="U4071">
        <v>-5.7403559999999999E-2</v>
      </c>
      <c r="V4071">
        <v>-8.3950239999999995E-2</v>
      </c>
      <c r="W4071">
        <v>0.38076850000000001</v>
      </c>
      <c r="X4071">
        <v>0.92085159999999999</v>
      </c>
      <c r="Y4071">
        <v>-4.9940619999999998E-2</v>
      </c>
      <c r="Z4071">
        <v>-7.3609560000000001E-3</v>
      </c>
      <c r="AA4071">
        <v>0.99872510000000003</v>
      </c>
      <c r="AB4071">
        <v>36</v>
      </c>
      <c r="AC4071">
        <v>-0.66280000000000405</v>
      </c>
      <c r="AD4071">
        <v>-0.13023089999999901</v>
      </c>
      <c r="AE4071">
        <v>-2.93000000000063E-2</v>
      </c>
      <c r="AF4071">
        <v>-4.9767850705631202E-2</v>
      </c>
      <c r="AG4071">
        <v>-0.13023089999999901</v>
      </c>
      <c r="AH4071">
        <v>0.63689066713716203</v>
      </c>
      <c r="AI4071">
        <v>101.522306175846</v>
      </c>
      <c r="AJ4071">
        <v>94.468121831852002</v>
      </c>
      <c r="AK4071">
        <v>0.65197135532559103</v>
      </c>
      <c r="AL4071">
        <v>67.618706120616594</v>
      </c>
      <c r="AM4071">
        <v>95.209020504065904</v>
      </c>
      <c r="AN4071">
        <v>0.99999998130543299</v>
      </c>
    </row>
    <row r="4072" spans="1:40" x14ac:dyDescent="0.25">
      <c r="A4072" t="str">
        <f>"20190304164451540"</f>
        <v>20190304164451540</v>
      </c>
      <c r="B4072" t="str">
        <f>"1551689091534168"</f>
        <v>1551689091534168</v>
      </c>
      <c r="C4072" t="s">
        <v>40</v>
      </c>
      <c r="D4072">
        <v>5.0993430000000002</v>
      </c>
      <c r="E4072">
        <v>0.52773769999999998</v>
      </c>
      <c r="F4072" t="s">
        <v>41</v>
      </c>
      <c r="G4072">
        <v>-254.3699</v>
      </c>
      <c r="H4072">
        <v>0.98391680000000004</v>
      </c>
      <c r="I4072">
        <v>140.70050000000001</v>
      </c>
      <c r="J4072">
        <v>-253.76</v>
      </c>
      <c r="K4072">
        <v>1.1101030000000001</v>
      </c>
      <c r="L4072">
        <v>140.7294</v>
      </c>
      <c r="M4072">
        <v>-0.99941619999999998</v>
      </c>
      <c r="N4072">
        <v>-7.236859E-3</v>
      </c>
      <c r="O4072">
        <v>3.3390660000000003E-2</v>
      </c>
      <c r="P4072">
        <v>-0.92582019999999998</v>
      </c>
      <c r="Q4072">
        <v>0.37424819999999998</v>
      </c>
      <c r="R4072">
        <v>-5.2867869999999997E-2</v>
      </c>
      <c r="S4072">
        <v>-3.4125519999999998</v>
      </c>
      <c r="T4072">
        <v>-0.4346989</v>
      </c>
      <c r="U4072">
        <v>-5.654907E-2</v>
      </c>
      <c r="V4072">
        <v>-8.3915980000000001E-2</v>
      </c>
      <c r="W4072">
        <v>0.38088620000000001</v>
      </c>
      <c r="X4072">
        <v>0.92080609999999996</v>
      </c>
      <c r="Y4072">
        <v>-4.9285420000000003E-2</v>
      </c>
      <c r="Z4072">
        <v>-7.3002600000000003E-3</v>
      </c>
      <c r="AA4072">
        <v>0.99875809999999998</v>
      </c>
      <c r="AB4072">
        <v>36</v>
      </c>
      <c r="AC4072">
        <v>-0.60990000000000999</v>
      </c>
      <c r="AD4072">
        <v>-0.1261862</v>
      </c>
      <c r="AE4072">
        <v>-2.8899999999993001E-2</v>
      </c>
      <c r="AF4072">
        <v>-4.7232084603022403E-2</v>
      </c>
      <c r="AG4072">
        <v>-0.1261862</v>
      </c>
      <c r="AH4072">
        <v>0.58366632021814102</v>
      </c>
      <c r="AI4072">
        <v>102.16078652780701</v>
      </c>
      <c r="AJ4072">
        <v>94.626470450457802</v>
      </c>
      <c r="AK4072">
        <v>0.59901602669993104</v>
      </c>
      <c r="AL4072">
        <v>67.611414012675098</v>
      </c>
      <c r="AM4072">
        <v>95.207162271567697</v>
      </c>
      <c r="AN4072">
        <v>1.0000000314235</v>
      </c>
    </row>
    <row r="4073" spans="1:40" x14ac:dyDescent="0.25">
      <c r="A4073" t="str">
        <f>"20190304164451562"</f>
        <v>20190304164451562</v>
      </c>
      <c r="B4073" t="str">
        <f>"1551689091554662"</f>
        <v>1551689091554662</v>
      </c>
      <c r="C4073" t="s">
        <v>40</v>
      </c>
      <c r="D4073">
        <v>5.0901290000000001</v>
      </c>
      <c r="E4073">
        <v>0.52790139999999997</v>
      </c>
      <c r="F4073" t="s">
        <v>41</v>
      </c>
      <c r="G4073">
        <v>-254.69880000000001</v>
      </c>
      <c r="H4073">
        <v>0.990672</v>
      </c>
      <c r="I4073">
        <v>140.71539999999999</v>
      </c>
      <c r="J4073">
        <v>-254.11840000000001</v>
      </c>
      <c r="K4073">
        <v>1.110188</v>
      </c>
      <c r="L4073">
        <v>140.74109999999999</v>
      </c>
      <c r="M4073">
        <v>-0.99943179999999998</v>
      </c>
      <c r="N4073">
        <v>-7.2349800000000002E-3</v>
      </c>
      <c r="O4073">
        <v>3.2921499999999999E-2</v>
      </c>
      <c r="P4073">
        <v>-0.92557900000000004</v>
      </c>
      <c r="Q4073">
        <v>0.3748359</v>
      </c>
      <c r="R4073">
        <v>-5.2929749999999998E-2</v>
      </c>
      <c r="S4073">
        <v>-3.412979</v>
      </c>
      <c r="T4073">
        <v>-0.43426759999999898</v>
      </c>
      <c r="U4073">
        <v>-5.1681520000000002E-2</v>
      </c>
      <c r="V4073">
        <v>-8.3620459999999994E-2</v>
      </c>
      <c r="W4073">
        <v>0.38145220000000002</v>
      </c>
      <c r="X4073">
        <v>0.92059860000000004</v>
      </c>
      <c r="Y4073">
        <v>-4.7411149999999999E-2</v>
      </c>
      <c r="Z4073">
        <v>-7.1105450000000002E-3</v>
      </c>
      <c r="AA4073">
        <v>0.99885020000000002</v>
      </c>
      <c r="AB4073">
        <v>36</v>
      </c>
      <c r="AC4073">
        <v>-0.58039999999999703</v>
      </c>
      <c r="AD4073">
        <v>-0.119516</v>
      </c>
      <c r="AE4073">
        <v>-2.57000000000005E-2</v>
      </c>
      <c r="AF4073">
        <v>-4.2975479903167198E-2</v>
      </c>
      <c r="AG4073">
        <v>-0.119516</v>
      </c>
      <c r="AH4073">
        <v>0.55572109948637705</v>
      </c>
      <c r="AI4073">
        <v>102.102359731718</v>
      </c>
      <c r="AJ4073">
        <v>94.422043089105401</v>
      </c>
      <c r="AK4073">
        <v>0.57004991583479403</v>
      </c>
      <c r="AL4073">
        <v>67.576335031548695</v>
      </c>
      <c r="AM4073">
        <v>95.190088096072401</v>
      </c>
      <c r="AN4073">
        <v>0.99999997226870496</v>
      </c>
    </row>
    <row r="4074" spans="1:40" x14ac:dyDescent="0.25">
      <c r="A4074" t="str">
        <f>"20190304164451582"</f>
        <v>20190304164451582</v>
      </c>
      <c r="B4074" t="str">
        <f>"1551689091574182"</f>
        <v>1551689091574182</v>
      </c>
      <c r="C4074" t="s">
        <v>40</v>
      </c>
      <c r="D4074">
        <v>5.0519189999999998</v>
      </c>
      <c r="E4074">
        <v>0.52801439999999999</v>
      </c>
      <c r="F4074" t="s">
        <v>41</v>
      </c>
      <c r="G4074">
        <v>-255.02770000000001</v>
      </c>
      <c r="H4074">
        <v>0.99585290000000004</v>
      </c>
      <c r="I4074">
        <v>140.72790000000001</v>
      </c>
      <c r="J4074">
        <v>-254.4717</v>
      </c>
      <c r="K4074">
        <v>1.1102620000000001</v>
      </c>
      <c r="L4074">
        <v>140.75229999999999</v>
      </c>
      <c r="M4074">
        <v>-0.99944940000000004</v>
      </c>
      <c r="N4074">
        <v>-7.2337340000000003E-3</v>
      </c>
      <c r="O4074">
        <v>3.2382849999999998E-2</v>
      </c>
      <c r="P4074">
        <v>-0.92560799999999999</v>
      </c>
      <c r="Q4074">
        <v>0.37474150000000001</v>
      </c>
      <c r="R4074">
        <v>-5.3091369999999999E-2</v>
      </c>
      <c r="S4074">
        <v>-3.41214</v>
      </c>
      <c r="T4074">
        <v>-0.42905189999999999</v>
      </c>
      <c r="U4074">
        <v>-4.9530030000000003E-2</v>
      </c>
      <c r="V4074">
        <v>-8.3361640000000001E-2</v>
      </c>
      <c r="W4074">
        <v>0.38134069999999998</v>
      </c>
      <c r="X4074">
        <v>0.9206683</v>
      </c>
      <c r="Y4074">
        <v>-4.6275070000000001E-2</v>
      </c>
      <c r="Z4074">
        <v>-6.8879329999999997E-3</v>
      </c>
      <c r="AA4074">
        <v>0.99890500000000004</v>
      </c>
      <c r="AB4074">
        <v>37</v>
      </c>
      <c r="AC4074">
        <v>-0.55600000000001104</v>
      </c>
      <c r="AD4074">
        <v>-0.1144091</v>
      </c>
      <c r="AE4074">
        <v>-2.43999999999857E-2</v>
      </c>
      <c r="AF4074">
        <v>-4.0673643660481797E-2</v>
      </c>
      <c r="AG4074">
        <v>-0.1144091</v>
      </c>
      <c r="AH4074">
        <v>0.53241790598086103</v>
      </c>
      <c r="AI4074">
        <v>102.09343523458401</v>
      </c>
      <c r="AJ4074">
        <v>94.368580365698506</v>
      </c>
      <c r="AK4074">
        <v>0.546088467247272</v>
      </c>
      <c r="AL4074">
        <v>67.583246679207093</v>
      </c>
      <c r="AM4074">
        <v>95.173721605968197</v>
      </c>
      <c r="AN4074">
        <v>1.0000000055624301</v>
      </c>
    </row>
    <row r="4075" spans="1:40" x14ac:dyDescent="0.25">
      <c r="A4075" t="str">
        <f>"20190304164451605"</f>
        <v>20190304164451605</v>
      </c>
      <c r="B4075" t="str">
        <f>"1551689091594678"</f>
        <v>1551689091594678</v>
      </c>
      <c r="C4075" t="s">
        <v>40</v>
      </c>
      <c r="D4075">
        <v>5.0342729999999998</v>
      </c>
      <c r="E4075">
        <v>0.52815979999999996</v>
      </c>
      <c r="F4075" t="s">
        <v>41</v>
      </c>
      <c r="G4075">
        <v>-255.35679999999999</v>
      </c>
      <c r="H4075">
        <v>0.99970669999999995</v>
      </c>
      <c r="I4075">
        <v>140.73949999999999</v>
      </c>
      <c r="J4075">
        <v>-254.82749999999999</v>
      </c>
      <c r="K4075">
        <v>1.110331</v>
      </c>
      <c r="L4075">
        <v>140.76329999999999</v>
      </c>
      <c r="M4075">
        <v>-0.99946900000000005</v>
      </c>
      <c r="N4075">
        <v>-7.2330060000000002E-3</v>
      </c>
      <c r="O4075">
        <v>3.1775049999999999E-2</v>
      </c>
      <c r="P4075">
        <v>-0.9257244</v>
      </c>
      <c r="Q4075">
        <v>0.37445659999999997</v>
      </c>
      <c r="R4075">
        <v>-5.3074389999999999E-2</v>
      </c>
      <c r="S4075">
        <v>-3.4107820000000002</v>
      </c>
      <c r="T4075">
        <v>-0.42611120000000002</v>
      </c>
      <c r="U4075">
        <v>-4.977417E-2</v>
      </c>
      <c r="V4075">
        <v>-8.2855090000000006E-2</v>
      </c>
      <c r="W4075">
        <v>0.38104179999999999</v>
      </c>
      <c r="X4075">
        <v>0.92083780000000004</v>
      </c>
      <c r="Y4075">
        <v>-4.5761160000000002E-2</v>
      </c>
      <c r="Z4075">
        <v>-6.7382830000000003E-3</v>
      </c>
      <c r="AA4075">
        <v>0.99892970000000003</v>
      </c>
      <c r="AB4075">
        <v>37</v>
      </c>
      <c r="AC4075">
        <v>-0.52930000000000599</v>
      </c>
      <c r="AD4075">
        <v>-0.11062429999999999</v>
      </c>
      <c r="AE4075">
        <v>-2.3799999999994201E-2</v>
      </c>
      <c r="AF4075">
        <v>-3.8910705851481299E-2</v>
      </c>
      <c r="AG4075">
        <v>-0.11062429999999999</v>
      </c>
      <c r="AH4075">
        <v>0.50620910504668504</v>
      </c>
      <c r="AI4075">
        <v>102.292165585026</v>
      </c>
      <c r="AJ4075">
        <v>94.395503458201105</v>
      </c>
      <c r="AK4075">
        <v>0.51961470034297197</v>
      </c>
      <c r="AL4075">
        <v>67.601771780706997</v>
      </c>
      <c r="AM4075">
        <v>95.141510870019303</v>
      </c>
      <c r="AN4075">
        <v>1.0000000365974899</v>
      </c>
    </row>
    <row r="4076" spans="1:40" x14ac:dyDescent="0.25">
      <c r="A4076" t="str">
        <f>"20190304164451625"</f>
        <v>20190304164451625</v>
      </c>
      <c r="B4076" t="str">
        <f>"1551689091614198"</f>
        <v>1551689091614198</v>
      </c>
      <c r="C4076" t="s">
        <v>40</v>
      </c>
      <c r="D4076">
        <v>5.0073540000000003</v>
      </c>
      <c r="E4076">
        <v>0.52826479999999998</v>
      </c>
      <c r="F4076" t="s">
        <v>41</v>
      </c>
      <c r="G4076">
        <v>-255.6867</v>
      </c>
      <c r="H4076">
        <v>1.0034670000000001</v>
      </c>
      <c r="I4076">
        <v>140.751</v>
      </c>
      <c r="J4076">
        <v>-255.17320000000001</v>
      </c>
      <c r="K4076">
        <v>1.1103970000000001</v>
      </c>
      <c r="L4076">
        <v>140.77379999999999</v>
      </c>
      <c r="M4076">
        <v>-0.99948899999999996</v>
      </c>
      <c r="N4076">
        <v>-7.232835E-3</v>
      </c>
      <c r="O4076">
        <v>3.1136170000000001E-2</v>
      </c>
      <c r="P4076">
        <v>-0.92565359999999997</v>
      </c>
      <c r="Q4076">
        <v>0.37452590000000002</v>
      </c>
      <c r="R4076">
        <v>-5.3810499999999997E-2</v>
      </c>
      <c r="S4076">
        <v>-3.4093930000000001</v>
      </c>
      <c r="T4076">
        <v>-0.4240408</v>
      </c>
      <c r="U4076">
        <v>-4.9148560000000001E-2</v>
      </c>
      <c r="V4076">
        <v>-8.3057629999999993E-2</v>
      </c>
      <c r="W4076">
        <v>0.38109779999999999</v>
      </c>
      <c r="X4076">
        <v>0.92079630000000001</v>
      </c>
      <c r="Y4076">
        <v>-4.4961479999999998E-2</v>
      </c>
      <c r="Z4076">
        <v>-6.5812529999999996E-3</v>
      </c>
      <c r="AA4076">
        <v>0.9989671</v>
      </c>
      <c r="AB4076">
        <v>37</v>
      </c>
      <c r="AC4076">
        <v>-0.51349999999999296</v>
      </c>
      <c r="AD4076">
        <v>-0.106929999999999</v>
      </c>
      <c r="AE4076">
        <v>-2.2799999999989402E-2</v>
      </c>
      <c r="AF4076">
        <v>-3.7169193671739598E-2</v>
      </c>
      <c r="AG4076">
        <v>-0.106929999999999</v>
      </c>
      <c r="AH4076">
        <v>0.49127970172977398</v>
      </c>
      <c r="AI4076">
        <v>102.245320844581</v>
      </c>
      <c r="AJ4076">
        <v>94.3266358924608</v>
      </c>
      <c r="AK4076">
        <v>0.50415406295090304</v>
      </c>
      <c r="AL4076">
        <v>67.598299660206607</v>
      </c>
      <c r="AM4076">
        <v>95.154242767713697</v>
      </c>
      <c r="AN4076">
        <v>0.99999996457987195</v>
      </c>
    </row>
    <row r="4077" spans="1:40" x14ac:dyDescent="0.25">
      <c r="A4077" t="str">
        <f>"20190304164451650"</f>
        <v>20190304164451650</v>
      </c>
      <c r="B4077" t="str">
        <f>"1551689091644454"</f>
        <v>1551689091644454</v>
      </c>
      <c r="C4077" t="s">
        <v>40</v>
      </c>
      <c r="D4077">
        <v>5.016648</v>
      </c>
      <c r="E4077">
        <v>0.52843169999999995</v>
      </c>
      <c r="F4077" t="s">
        <v>41</v>
      </c>
      <c r="G4077">
        <v>-256.01679999999999</v>
      </c>
      <c r="H4077">
        <v>1.0062450000000001</v>
      </c>
      <c r="I4077">
        <v>140.76140000000001</v>
      </c>
      <c r="J4077">
        <v>-255.56389999999999</v>
      </c>
      <c r="K4077">
        <v>1.1104579999999999</v>
      </c>
      <c r="L4077">
        <v>140.78540000000001</v>
      </c>
      <c r="M4077">
        <v>-0.99951239999999997</v>
      </c>
      <c r="N4077">
        <v>-7.2332439999999998E-3</v>
      </c>
      <c r="O4077">
        <v>3.0374100000000001E-2</v>
      </c>
      <c r="P4077">
        <v>-0.92561729999999998</v>
      </c>
      <c r="Q4077">
        <v>0.37447399999999997</v>
      </c>
      <c r="R4077">
        <v>-5.4788400000000001E-2</v>
      </c>
      <c r="S4077">
        <v>-3.4082789999999998</v>
      </c>
      <c r="T4077">
        <v>-0.42088959999999997</v>
      </c>
      <c r="U4077">
        <v>-5.0888059999999999E-2</v>
      </c>
      <c r="V4077">
        <v>-8.3386689999999999E-2</v>
      </c>
      <c r="W4077">
        <v>0.38103340000000002</v>
      </c>
      <c r="X4077">
        <v>0.92079319999999998</v>
      </c>
      <c r="Y4077">
        <v>-4.4729480000000002E-2</v>
      </c>
      <c r="Z4077">
        <v>-6.4310219999999998E-3</v>
      </c>
      <c r="AA4077">
        <v>0.99897840000000004</v>
      </c>
      <c r="AB4077">
        <v>37</v>
      </c>
      <c r="AC4077">
        <v>-0.45289999999999903</v>
      </c>
      <c r="AD4077">
        <v>-0.104212999999999</v>
      </c>
      <c r="AE4077">
        <v>-2.4000000000000899E-2</v>
      </c>
      <c r="AF4077">
        <v>-3.5852745993201797E-2</v>
      </c>
      <c r="AG4077">
        <v>-0.104212999999999</v>
      </c>
      <c r="AH4077">
        <v>0.429295860738726</v>
      </c>
      <c r="AI4077">
        <v>103.59922571068699</v>
      </c>
      <c r="AJ4077">
        <v>94.7739920275434</v>
      </c>
      <c r="AK4077">
        <v>0.44321631830479402</v>
      </c>
      <c r="AL4077">
        <v>67.602290399396594</v>
      </c>
      <c r="AM4077">
        <v>95.174569675072107</v>
      </c>
      <c r="AN4077">
        <v>0.99999995457547697</v>
      </c>
    </row>
    <row r="4078" spans="1:40" x14ac:dyDescent="0.25">
      <c r="A4078" t="str">
        <f>"20190304164451671"</f>
        <v>20190304164451671</v>
      </c>
      <c r="B4078" t="str">
        <f>"1551689091663974"</f>
        <v>1551689091663974</v>
      </c>
      <c r="C4078" t="s">
        <v>40</v>
      </c>
      <c r="D4078">
        <v>5.0484689999999999</v>
      </c>
      <c r="E4078">
        <v>0.52852379999999999</v>
      </c>
      <c r="F4078" t="s">
        <v>41</v>
      </c>
      <c r="G4078">
        <v>-256.35000000000002</v>
      </c>
      <c r="H4078">
        <v>1.014103</v>
      </c>
      <c r="I4078">
        <v>140.77350000000001</v>
      </c>
      <c r="J4078">
        <v>-255.92570000000001</v>
      </c>
      <c r="K4078">
        <v>1.1105</v>
      </c>
      <c r="L4078">
        <v>140.79580000000001</v>
      </c>
      <c r="M4078">
        <v>-0.99953440000000005</v>
      </c>
      <c r="N4078">
        <v>-7.234178E-3</v>
      </c>
      <c r="O4078">
        <v>2.964371E-2</v>
      </c>
      <c r="P4078">
        <v>-0.92536320000000005</v>
      </c>
      <c r="Q4078">
        <v>0.3749247</v>
      </c>
      <c r="R4078">
        <v>-5.5989730000000001E-2</v>
      </c>
      <c r="S4078">
        <v>-3.4070130000000001</v>
      </c>
      <c r="T4078">
        <v>-0.41761169999999997</v>
      </c>
      <c r="U4078">
        <v>-5.130005E-2</v>
      </c>
      <c r="V4078">
        <v>-8.3947980000000005E-2</v>
      </c>
      <c r="W4078">
        <v>0.38147379999999997</v>
      </c>
      <c r="X4078">
        <v>0.92055989999999999</v>
      </c>
      <c r="Y4078">
        <v>-4.4143639999999998E-2</v>
      </c>
      <c r="Z4078">
        <v>-6.2614169999999896E-3</v>
      </c>
      <c r="AA4078">
        <v>0.99900560000000005</v>
      </c>
      <c r="AB4078">
        <v>37</v>
      </c>
      <c r="AC4078">
        <v>-0.424300000000016</v>
      </c>
      <c r="AD4078">
        <v>-9.6396999999999997E-2</v>
      </c>
      <c r="AE4078">
        <v>-2.2300000000001301E-2</v>
      </c>
      <c r="AF4078">
        <v>-3.3161422237583602E-2</v>
      </c>
      <c r="AG4078">
        <v>-9.6396999999999997E-2</v>
      </c>
      <c r="AH4078">
        <v>0.40272292568395002</v>
      </c>
      <c r="AI4078">
        <v>103.417462220134</v>
      </c>
      <c r="AJ4078">
        <v>94.707287675885198</v>
      </c>
      <c r="AK4078">
        <v>0.41542486252661798</v>
      </c>
      <c r="AL4078">
        <v>67.574997487550803</v>
      </c>
      <c r="AM4078">
        <v>95.210522511627403</v>
      </c>
      <c r="AN4078">
        <v>1.00000002646026</v>
      </c>
    </row>
    <row r="4079" spans="1:40" x14ac:dyDescent="0.25">
      <c r="A4079" t="str">
        <f>"20190304164451694"</f>
        <v>20190304164451694</v>
      </c>
      <c r="B4079" t="str">
        <f>"1551689091684470"</f>
        <v>1551689091684470</v>
      </c>
      <c r="C4079" t="s">
        <v>40</v>
      </c>
      <c r="D4079">
        <v>4.9904869999999999</v>
      </c>
      <c r="E4079">
        <v>0.52862540000000002</v>
      </c>
      <c r="F4079" t="s">
        <v>41</v>
      </c>
      <c r="G4079">
        <v>-256.68329999999997</v>
      </c>
      <c r="H4079">
        <v>1.018548</v>
      </c>
      <c r="I4079">
        <v>140.78370000000001</v>
      </c>
      <c r="J4079">
        <v>-256.29590000000002</v>
      </c>
      <c r="K4079">
        <v>1.1105339999999999</v>
      </c>
      <c r="L4079">
        <v>140.80619999999999</v>
      </c>
      <c r="M4079">
        <v>-0.99955680000000002</v>
      </c>
      <c r="N4079">
        <v>-7.2358750000000001E-3</v>
      </c>
      <c r="O4079">
        <v>2.8881400000000002E-2</v>
      </c>
      <c r="P4079">
        <v>-0.92550089999999996</v>
      </c>
      <c r="Q4079">
        <v>0.37454989999999999</v>
      </c>
      <c r="R4079">
        <v>-5.6222069999999999E-2</v>
      </c>
      <c r="S4079">
        <v>-3.406174</v>
      </c>
      <c r="T4079">
        <v>-0.41350219999999999</v>
      </c>
      <c r="U4079">
        <v>-5.5221560000000003E-2</v>
      </c>
      <c r="V4079">
        <v>-8.3513500000000004E-2</v>
      </c>
      <c r="W4079">
        <v>0.3810943</v>
      </c>
      <c r="X4079">
        <v>0.92075660000000004</v>
      </c>
      <c r="Y4079">
        <v>-4.454756E-2</v>
      </c>
      <c r="Z4079">
        <v>-6.1403969999999997E-3</v>
      </c>
      <c r="AA4079">
        <v>0.9989884</v>
      </c>
      <c r="AB4079">
        <v>37</v>
      </c>
      <c r="AC4079">
        <v>-0.387399999999956</v>
      </c>
      <c r="AD4079">
        <v>-9.1985999999999901E-2</v>
      </c>
      <c r="AE4079">
        <v>-2.2499999999979502E-2</v>
      </c>
      <c r="AF4079">
        <v>-3.1887774052228798E-2</v>
      </c>
      <c r="AG4079">
        <v>-9.1985999999999901E-2</v>
      </c>
      <c r="AH4079">
        <v>0.36602165319232599</v>
      </c>
      <c r="AI4079">
        <v>104.05590719857599</v>
      </c>
      <c r="AJ4079">
        <v>94.979031888194896</v>
      </c>
      <c r="AK4079">
        <v>0.378748075817751</v>
      </c>
      <c r="AL4079">
        <v>67.598518423366102</v>
      </c>
      <c r="AM4079">
        <v>95.182600943606403</v>
      </c>
      <c r="AN4079">
        <v>1.0000000433091401</v>
      </c>
    </row>
    <row r="4080" spans="1:40" x14ac:dyDescent="0.25">
      <c r="A4080" t="str">
        <f>"20190304164451716"</f>
        <v>20190304164451716</v>
      </c>
      <c r="B4080" t="str">
        <f>"1551689091703990"</f>
        <v>1551689091703990</v>
      </c>
      <c r="C4080" t="s">
        <v>40</v>
      </c>
      <c r="D4080">
        <v>5.0093100000000002</v>
      </c>
      <c r="E4080">
        <v>0.52871780000000002</v>
      </c>
      <c r="F4080" t="s">
        <v>41</v>
      </c>
      <c r="G4080">
        <v>-257.3304</v>
      </c>
      <c r="H4080">
        <v>0.98502599999999996</v>
      </c>
      <c r="I4080">
        <v>140.78919999999999</v>
      </c>
      <c r="J4080">
        <v>-256.66140000000001</v>
      </c>
      <c r="K4080">
        <v>1.1105640000000001</v>
      </c>
      <c r="L4080">
        <v>140.81620000000001</v>
      </c>
      <c r="M4080">
        <v>-0.99957850000000004</v>
      </c>
      <c r="N4080">
        <v>-7.2381160000000002E-3</v>
      </c>
      <c r="O4080">
        <v>2.8120719999999998E-2</v>
      </c>
      <c r="P4080">
        <v>-0.92543200000000003</v>
      </c>
      <c r="Q4080">
        <v>0.37477959999999999</v>
      </c>
      <c r="R4080">
        <v>-5.5823329999999997E-2</v>
      </c>
      <c r="S4080">
        <v>-3.405243</v>
      </c>
      <c r="T4080">
        <v>-0.41321039999999998</v>
      </c>
      <c r="U4080">
        <v>-5.6671140000000002E-2</v>
      </c>
      <c r="V4080">
        <v>-8.2437280000000002E-2</v>
      </c>
      <c r="W4080">
        <v>0.38132260000000001</v>
      </c>
      <c r="X4080">
        <v>0.92075899999999999</v>
      </c>
      <c r="Y4080">
        <v>-4.4224810000000003E-2</v>
      </c>
      <c r="Z4080">
        <v>-6.030573E-3</v>
      </c>
      <c r="AA4080">
        <v>0.99900339999999999</v>
      </c>
      <c r="AB4080">
        <v>37</v>
      </c>
      <c r="AC4080">
        <v>-0.66899999999998205</v>
      </c>
      <c r="AD4080">
        <v>-0.12553799999999901</v>
      </c>
      <c r="AE4080">
        <v>-2.7000000000015199E-2</v>
      </c>
      <c r="AF4080">
        <v>-4.4247052760331702E-2</v>
      </c>
      <c r="AG4080">
        <v>-0.12553799999999901</v>
      </c>
      <c r="AH4080">
        <v>0.64529072276656496</v>
      </c>
      <c r="AI4080">
        <v>100.98392308033699</v>
      </c>
      <c r="AJ4080">
        <v>93.922584398071706</v>
      </c>
      <c r="AK4080">
        <v>0.658876094581197</v>
      </c>
      <c r="AL4080">
        <v>67.584367971952403</v>
      </c>
      <c r="AM4080">
        <v>95.116157389197397</v>
      </c>
      <c r="AN4080">
        <v>0.99999998324277894</v>
      </c>
    </row>
    <row r="4081" spans="1:40" x14ac:dyDescent="0.25">
      <c r="A4081" t="str">
        <f>"20190304164451739"</f>
        <v>20190304164451739</v>
      </c>
      <c r="B4081" t="str">
        <f>"1551689091734246"</f>
        <v>1551689091734246</v>
      </c>
      <c r="C4081" t="s">
        <v>40</v>
      </c>
      <c r="D4081">
        <v>5.0005470000000001</v>
      </c>
      <c r="E4081">
        <v>0.52886829999999996</v>
      </c>
      <c r="F4081" t="s">
        <v>41</v>
      </c>
      <c r="G4081">
        <v>-257.66500000000002</v>
      </c>
      <c r="H4081">
        <v>0.98955550000000003</v>
      </c>
      <c r="I4081">
        <v>140.7997</v>
      </c>
      <c r="J4081">
        <v>-257.04640000000001</v>
      </c>
      <c r="K4081">
        <v>1.110587</v>
      </c>
      <c r="L4081">
        <v>140.8263</v>
      </c>
      <c r="M4081">
        <v>-0.99960059999999995</v>
      </c>
      <c r="N4081">
        <v>-7.2410510000000001E-3</v>
      </c>
      <c r="O4081">
        <v>2.7316920000000001E-2</v>
      </c>
      <c r="P4081">
        <v>-0.92556479999999997</v>
      </c>
      <c r="Q4081">
        <v>0.37463780000000002</v>
      </c>
      <c r="R4081">
        <v>-5.4557219999999997E-2</v>
      </c>
      <c r="S4081">
        <v>-3.404633</v>
      </c>
      <c r="T4081">
        <v>-0.41058020000000001</v>
      </c>
      <c r="U4081">
        <v>-5.6045530000000003E-2</v>
      </c>
      <c r="V4081">
        <v>-8.045447E-2</v>
      </c>
      <c r="W4081">
        <v>0.38118380000000002</v>
      </c>
      <c r="X4081">
        <v>0.92099180000000003</v>
      </c>
      <c r="Y4081">
        <v>-4.3259989999999998E-2</v>
      </c>
      <c r="Z4081">
        <v>-5.8410149999999997E-3</v>
      </c>
      <c r="AA4081">
        <v>0.99904680000000001</v>
      </c>
      <c r="AB4081">
        <v>37</v>
      </c>
      <c r="AC4081">
        <v>-0.61860000000001403</v>
      </c>
      <c r="AD4081">
        <v>-0.121031499999999</v>
      </c>
      <c r="AE4081">
        <v>-2.66000000000019E-2</v>
      </c>
      <c r="AF4081">
        <v>-4.1888222239044301E-2</v>
      </c>
      <c r="AG4081">
        <v>-0.121031499999999</v>
      </c>
      <c r="AH4081">
        <v>0.59491106137907501</v>
      </c>
      <c r="AI4081">
        <v>101.47193537498499</v>
      </c>
      <c r="AJ4081">
        <v>94.027600210218495</v>
      </c>
      <c r="AK4081">
        <v>0.60854122136941102</v>
      </c>
      <c r="AL4081">
        <v>67.592969653857494</v>
      </c>
      <c r="AM4081">
        <v>94.992475750665506</v>
      </c>
      <c r="AN4081">
        <v>0.99999995339632897</v>
      </c>
    </row>
    <row r="4082" spans="1:40" x14ac:dyDescent="0.25">
      <c r="A4082" t="str">
        <f>"20190304164451763"</f>
        <v>20190304164451763</v>
      </c>
      <c r="B4082" t="str">
        <f>"1551689091753766"</f>
        <v>1551689091753766</v>
      </c>
      <c r="C4082" t="s">
        <v>40</v>
      </c>
      <c r="D4082">
        <v>4.966361</v>
      </c>
      <c r="E4082">
        <v>0.52891639999999995</v>
      </c>
      <c r="F4082" t="s">
        <v>41</v>
      </c>
      <c r="G4082">
        <v>-258.00119999999998</v>
      </c>
      <c r="H4082">
        <v>0.99599150000000003</v>
      </c>
      <c r="I4082">
        <v>140.81180000000001</v>
      </c>
      <c r="J4082">
        <v>-257.44799999999998</v>
      </c>
      <c r="K4082">
        <v>1.1106020000000001</v>
      </c>
      <c r="L4082">
        <v>140.8366</v>
      </c>
      <c r="M4082">
        <v>-0.99962320000000005</v>
      </c>
      <c r="N4082">
        <v>-7.2447140000000002E-3</v>
      </c>
      <c r="O4082">
        <v>2.6478660000000001E-2</v>
      </c>
      <c r="P4082">
        <v>-0.92554110000000001</v>
      </c>
      <c r="Q4082">
        <v>0.3748225</v>
      </c>
      <c r="R4082">
        <v>-5.368523E-2</v>
      </c>
      <c r="S4082">
        <v>-3.4035639999999998</v>
      </c>
      <c r="T4082">
        <v>-0.40854699999999999</v>
      </c>
      <c r="U4082">
        <v>-5.1956179999999998E-2</v>
      </c>
      <c r="V4082">
        <v>-7.8826809999999997E-2</v>
      </c>
      <c r="W4082">
        <v>0.38137110000000002</v>
      </c>
      <c r="X4082">
        <v>0.92105499999999996</v>
      </c>
      <c r="Y4082">
        <v>-4.1252499999999998E-2</v>
      </c>
      <c r="Z4082">
        <v>-5.5923980000000002E-3</v>
      </c>
      <c r="AA4082">
        <v>0.9991331</v>
      </c>
      <c r="AB4082">
        <v>37</v>
      </c>
      <c r="AC4082">
        <v>-0.55320000000000302</v>
      </c>
      <c r="AD4082">
        <v>-0.114610499999999</v>
      </c>
      <c r="AE4082">
        <v>-2.4799999999999E-2</v>
      </c>
      <c r="AF4082">
        <v>-3.7819627141341301E-2</v>
      </c>
      <c r="AG4082">
        <v>-0.114610499999999</v>
      </c>
      <c r="AH4082">
        <v>0.52966060734665699</v>
      </c>
      <c r="AI4082">
        <v>102.17961566765401</v>
      </c>
      <c r="AJ4082">
        <v>94.084188224149301</v>
      </c>
      <c r="AK4082">
        <v>0.54323682669917595</v>
      </c>
      <c r="AL4082">
        <v>67.581361123185602</v>
      </c>
      <c r="AM4082">
        <v>94.891634991230106</v>
      </c>
      <c r="AN4082">
        <v>0.99999994745749099</v>
      </c>
    </row>
    <row r="4083" spans="1:40" x14ac:dyDescent="0.25">
      <c r="A4083" t="str">
        <f>"20190304164451784"</f>
        <v>20190304164451784</v>
      </c>
      <c r="B4083" t="str">
        <f>"1551689091774262"</f>
        <v>1551689091774262</v>
      </c>
      <c r="C4083" t="s">
        <v>40</v>
      </c>
      <c r="D4083">
        <v>4.9806160000000004</v>
      </c>
      <c r="E4083">
        <v>0.52898699999999999</v>
      </c>
      <c r="F4083" t="s">
        <v>41</v>
      </c>
      <c r="G4083">
        <v>-258.339</v>
      </c>
      <c r="H4083">
        <v>1.004319</v>
      </c>
      <c r="I4083">
        <v>140.82399999999899</v>
      </c>
      <c r="J4083">
        <v>-257.78739999999999</v>
      </c>
      <c r="K4083">
        <v>1.110611</v>
      </c>
      <c r="L4083">
        <v>140.8451</v>
      </c>
      <c r="M4083">
        <v>-0.99964149999999996</v>
      </c>
      <c r="N4083">
        <v>-7.2483969999999898E-3</v>
      </c>
      <c r="O4083">
        <v>2.5771579999999999E-2</v>
      </c>
      <c r="P4083">
        <v>-0.92545069999999996</v>
      </c>
      <c r="Q4083">
        <v>0.37507790000000002</v>
      </c>
      <c r="R4083">
        <v>-5.3455469999999998E-2</v>
      </c>
      <c r="S4083">
        <v>-3.4028930000000002</v>
      </c>
      <c r="T4083">
        <v>-0.40593639999999998</v>
      </c>
      <c r="U4083">
        <v>-4.8599240000000002E-2</v>
      </c>
      <c r="V4083">
        <v>-7.7955259999999998E-2</v>
      </c>
      <c r="W4083">
        <v>0.38162810000000003</v>
      </c>
      <c r="X4083">
        <v>0.92102280000000003</v>
      </c>
      <c r="Y4083">
        <v>-3.9586209999999997E-2</v>
      </c>
      <c r="Z4083">
        <v>-5.3737250000000002E-3</v>
      </c>
      <c r="AA4083">
        <v>0.99920169999999997</v>
      </c>
      <c r="AB4083">
        <v>37</v>
      </c>
      <c r="AC4083">
        <v>-0.55160000000000697</v>
      </c>
      <c r="AD4083">
        <v>-0.106292</v>
      </c>
      <c r="AE4083">
        <v>-2.1100000000018299E-2</v>
      </c>
      <c r="AF4083">
        <v>-3.4046586340382302E-2</v>
      </c>
      <c r="AG4083">
        <v>-0.106292</v>
      </c>
      <c r="AH4083">
        <v>0.53117791112058399</v>
      </c>
      <c r="AI4083">
        <v>101.293206745643</v>
      </c>
      <c r="AJ4083">
        <v>93.667435730453306</v>
      </c>
      <c r="AK4083">
        <v>0.54277724028173802</v>
      </c>
      <c r="AL4083">
        <v>67.565432886920803</v>
      </c>
      <c r="AM4083">
        <v>94.837976992992196</v>
      </c>
      <c r="AN4083">
        <v>1.00000001369555</v>
      </c>
    </row>
    <row r="4084" spans="1:40" x14ac:dyDescent="0.25">
      <c r="A4084" t="str">
        <f>"20190304164451805"</f>
        <v>20190304164451805</v>
      </c>
      <c r="B4084" t="str">
        <f>"1551689091793785"</f>
        <v>1551689091793785</v>
      </c>
      <c r="C4084" t="s">
        <v>40</v>
      </c>
      <c r="D4084">
        <v>4.9890530000000002</v>
      </c>
      <c r="E4084">
        <v>0.52907150000000003</v>
      </c>
      <c r="F4084" t="s">
        <v>41</v>
      </c>
      <c r="G4084">
        <v>-258.67430000000002</v>
      </c>
      <c r="H4084">
        <v>1.005541</v>
      </c>
      <c r="I4084">
        <v>140.83369999999999</v>
      </c>
      <c r="J4084">
        <v>-258.1465</v>
      </c>
      <c r="K4084">
        <v>1.1106199999999999</v>
      </c>
      <c r="L4084">
        <v>140.8537</v>
      </c>
      <c r="M4084">
        <v>-0.9996604</v>
      </c>
      <c r="N4084">
        <v>-7.2525239999999998E-3</v>
      </c>
      <c r="O4084">
        <v>2.5028709999999999E-2</v>
      </c>
      <c r="P4084">
        <v>-0.92526339999999996</v>
      </c>
      <c r="Q4084">
        <v>0.37536819999999999</v>
      </c>
      <c r="R4084">
        <v>-5.4648059999999998E-2</v>
      </c>
      <c r="S4084">
        <v>-3.4024960000000002</v>
      </c>
      <c r="T4084">
        <v>-0.40320899999999998</v>
      </c>
      <c r="U4084">
        <v>-4.4784549999999999E-2</v>
      </c>
      <c r="V4084">
        <v>-7.8467259999999997E-2</v>
      </c>
      <c r="W4084">
        <v>0.38191809999999998</v>
      </c>
      <c r="X4084">
        <v>0.92085910000000004</v>
      </c>
      <c r="Y4084">
        <v>-3.7749499999999998E-2</v>
      </c>
      <c r="Z4084">
        <v>-5.1407340000000001E-3</v>
      </c>
      <c r="AA4084">
        <v>0.999274</v>
      </c>
      <c r="AB4084">
        <v>37</v>
      </c>
      <c r="AC4084">
        <v>-0.52780000000001304</v>
      </c>
      <c r="AD4084">
        <v>-0.10507900000000001</v>
      </c>
      <c r="AE4084">
        <v>-2.0000000000010201E-2</v>
      </c>
      <c r="AF4084">
        <v>-3.1940064503033702E-2</v>
      </c>
      <c r="AG4084">
        <v>-0.10507900000000001</v>
      </c>
      <c r="AH4084">
        <v>0.507064710624204</v>
      </c>
      <c r="AI4084">
        <v>101.685166426045</v>
      </c>
      <c r="AJ4084">
        <v>93.604305781336706</v>
      </c>
      <c r="AK4084">
        <v>0.51882211279191404</v>
      </c>
      <c r="AL4084">
        <v>67.547455435613998</v>
      </c>
      <c r="AM4084">
        <v>94.870461394240095</v>
      </c>
      <c r="AN4084">
        <v>1.00000001402616</v>
      </c>
    </row>
    <row r="4085" spans="1:40" x14ac:dyDescent="0.25">
      <c r="A4085" t="str">
        <f>"20190304164451827"</f>
        <v>20190304164451827</v>
      </c>
      <c r="B4085" t="str">
        <f>"1551689091824038"</f>
        <v>1551689091824038</v>
      </c>
      <c r="C4085" t="s">
        <v>40</v>
      </c>
      <c r="D4085">
        <v>4.9286690000000002</v>
      </c>
      <c r="E4085">
        <v>0.52916219999999903</v>
      </c>
      <c r="F4085" t="s">
        <v>41</v>
      </c>
      <c r="G4085">
        <v>-259.01139999999998</v>
      </c>
      <c r="H4085">
        <v>1.008794</v>
      </c>
      <c r="I4085">
        <v>140.84180000000001</v>
      </c>
      <c r="J4085">
        <v>-258.53190000000001</v>
      </c>
      <c r="K4085">
        <v>1.110619</v>
      </c>
      <c r="L4085">
        <v>140.86269999999999</v>
      </c>
      <c r="M4085">
        <v>-0.99967969999999895</v>
      </c>
      <c r="N4085">
        <v>-7.2572779999999998E-3</v>
      </c>
      <c r="O4085">
        <v>2.424712E-2</v>
      </c>
      <c r="P4085">
        <v>-0.92514370000000001</v>
      </c>
      <c r="Q4085">
        <v>0.37544810000000001</v>
      </c>
      <c r="R4085">
        <v>-5.6105969999999998E-2</v>
      </c>
      <c r="S4085">
        <v>-3.402069</v>
      </c>
      <c r="T4085">
        <v>-0.40051439999999999</v>
      </c>
      <c r="U4085">
        <v>-4.6707150000000003E-2</v>
      </c>
      <c r="V4085">
        <v>-7.9203330000000002E-2</v>
      </c>
      <c r="W4085">
        <v>0.38200000000000001</v>
      </c>
      <c r="X4085">
        <v>0.92076210000000003</v>
      </c>
      <c r="Y4085">
        <v>-3.7546429999999999E-2</v>
      </c>
      <c r="Z4085">
        <v>-5.0082360000000001E-3</v>
      </c>
      <c r="AA4085">
        <v>0.99928240000000002</v>
      </c>
      <c r="AB4085">
        <v>38</v>
      </c>
      <c r="AC4085">
        <v>-0.479499999999973</v>
      </c>
      <c r="AD4085">
        <v>-0.101825</v>
      </c>
      <c r="AE4085">
        <v>-2.0899999999983199E-2</v>
      </c>
      <c r="AF4085">
        <v>-3.11199511507891E-2</v>
      </c>
      <c r="AG4085">
        <v>-0.101825</v>
      </c>
      <c r="AH4085">
        <v>0.458227500298999</v>
      </c>
      <c r="AI4085">
        <v>102.500523852914</v>
      </c>
      <c r="AJ4085">
        <v>93.885205764701695</v>
      </c>
      <c r="AK4085">
        <v>0.47043514326089297</v>
      </c>
      <c r="AL4085">
        <v>67.542377744369603</v>
      </c>
      <c r="AM4085">
        <v>94.916441729939706</v>
      </c>
      <c r="AN4085">
        <v>1.00000000613974</v>
      </c>
    </row>
    <row r="4086" spans="1:40" x14ac:dyDescent="0.25">
      <c r="A4086" t="str">
        <f>"20190304164451851"</f>
        <v>20190304164451851</v>
      </c>
      <c r="B4086" t="str">
        <f>"1551689091844535"</f>
        <v>1551689091844535</v>
      </c>
      <c r="C4086" t="s">
        <v>40</v>
      </c>
      <c r="D4086">
        <v>4.9298149999999996</v>
      </c>
      <c r="E4086">
        <v>0.52921249999999997</v>
      </c>
      <c r="F4086" t="s">
        <v>41</v>
      </c>
      <c r="G4086">
        <v>-259.35059999999999</v>
      </c>
      <c r="H4086">
        <v>1.0148189999999999</v>
      </c>
      <c r="I4086">
        <v>140.85040000000001</v>
      </c>
      <c r="J4086">
        <v>-258.92039999999997</v>
      </c>
      <c r="K4086">
        <v>1.1106100000000001</v>
      </c>
      <c r="L4086">
        <v>140.8715</v>
      </c>
      <c r="M4086">
        <v>-0.99969779999999997</v>
      </c>
      <c r="N4086">
        <v>-7.2622549999999996E-3</v>
      </c>
      <c r="O4086">
        <v>2.3485320000000001E-2</v>
      </c>
      <c r="P4086">
        <v>-0.9252262</v>
      </c>
      <c r="Q4086">
        <v>0.375025</v>
      </c>
      <c r="R4086">
        <v>-5.755938E-2</v>
      </c>
      <c r="S4086">
        <v>-3.4011230000000001</v>
      </c>
      <c r="T4086">
        <v>-0.39806580000000003</v>
      </c>
      <c r="U4086">
        <v>-5.2154539999999999E-2</v>
      </c>
      <c r="V4086">
        <v>-7.9947519999999994E-2</v>
      </c>
      <c r="W4086">
        <v>0.38158180000000003</v>
      </c>
      <c r="X4086">
        <v>0.92087110000000005</v>
      </c>
      <c r="Y4086">
        <v>-3.8392280000000001E-2</v>
      </c>
      <c r="Z4086">
        <v>-4.9479820000000001E-3</v>
      </c>
      <c r="AA4086">
        <v>0.99925050000000004</v>
      </c>
      <c r="AB4086">
        <v>38</v>
      </c>
      <c r="AC4086">
        <v>-0.43020000000001302</v>
      </c>
      <c r="AD4086">
        <v>-9.5790999999999904E-2</v>
      </c>
      <c r="AE4086">
        <v>-2.1099999999989901E-2</v>
      </c>
      <c r="AF4086">
        <v>-2.97274730028666E-2</v>
      </c>
      <c r="AG4086">
        <v>-9.5790999999999904E-2</v>
      </c>
      <c r="AH4086">
        <v>0.40933934637451003</v>
      </c>
      <c r="AI4086">
        <v>103.13758970717601</v>
      </c>
      <c r="AJ4086">
        <v>94.153702310150095</v>
      </c>
      <c r="AK4086">
        <v>0.42144790760240702</v>
      </c>
      <c r="AL4086">
        <v>67.568300872521903</v>
      </c>
      <c r="AM4086">
        <v>94.961822285969006</v>
      </c>
      <c r="AN4086">
        <v>0.99999992943029703</v>
      </c>
    </row>
    <row r="4087" spans="1:40" x14ac:dyDescent="0.25">
      <c r="A4087" t="str">
        <f>"20190304164451872"</f>
        <v>20190304164451872</v>
      </c>
      <c r="B4087" t="str">
        <f>"1551689091864054"</f>
        <v>1551689091864054</v>
      </c>
      <c r="C4087" t="s">
        <v>40</v>
      </c>
      <c r="D4087">
        <v>4.9120189999999999</v>
      </c>
      <c r="E4087">
        <v>0.52929110000000001</v>
      </c>
      <c r="F4087" t="s">
        <v>41</v>
      </c>
      <c r="G4087">
        <v>-259.69099999999997</v>
      </c>
      <c r="H4087">
        <v>1.0203409999999999</v>
      </c>
      <c r="I4087">
        <v>140.85830000000001</v>
      </c>
      <c r="J4087">
        <v>-259.2953</v>
      </c>
      <c r="K4087">
        <v>1.11059</v>
      </c>
      <c r="L4087">
        <v>140.87979999999999</v>
      </c>
      <c r="M4087">
        <v>-0.99971399999999999</v>
      </c>
      <c r="N4087">
        <v>-7.2674469999999998E-3</v>
      </c>
      <c r="O4087">
        <v>2.2785489999999999E-2</v>
      </c>
      <c r="P4087">
        <v>-0.92549970000000004</v>
      </c>
      <c r="Q4087">
        <v>0.37415799999999999</v>
      </c>
      <c r="R4087">
        <v>-5.8790670000000003E-2</v>
      </c>
      <c r="S4087">
        <v>-3.4002080000000001</v>
      </c>
      <c r="T4087">
        <v>-0.3982733</v>
      </c>
      <c r="U4087">
        <v>-5.8898930000000002E-2</v>
      </c>
      <c r="V4087">
        <v>-8.0521040000000002E-2</v>
      </c>
      <c r="W4087">
        <v>0.3807239</v>
      </c>
      <c r="X4087">
        <v>0.92117629999999995</v>
      </c>
      <c r="Y4087">
        <v>-3.967263E-2</v>
      </c>
      <c r="Z4087">
        <v>-4.9545989999999996E-3</v>
      </c>
      <c r="AA4087">
        <v>0.99920050000000005</v>
      </c>
      <c r="AB4087">
        <v>38</v>
      </c>
      <c r="AC4087">
        <v>-0.39569999999997602</v>
      </c>
      <c r="AD4087">
        <v>-9.0248999999999996E-2</v>
      </c>
      <c r="AE4087">
        <v>-2.1499999999974699E-2</v>
      </c>
      <c r="AF4087">
        <v>-2.9006460539668499E-2</v>
      </c>
      <c r="AG4087">
        <v>-9.0248999999999996E-2</v>
      </c>
      <c r="AH4087">
        <v>0.37562562388955401</v>
      </c>
      <c r="AI4087">
        <v>103.471350918026</v>
      </c>
      <c r="AJ4087">
        <v>94.415715875250598</v>
      </c>
      <c r="AK4087">
        <v>0.38740271820994798</v>
      </c>
      <c r="AL4087">
        <v>67.621471303012598</v>
      </c>
      <c r="AM4087">
        <v>94.995590055580394</v>
      </c>
      <c r="AN4087">
        <v>1.00000005079778</v>
      </c>
    </row>
    <row r="4088" spans="1:40" x14ac:dyDescent="0.25">
      <c r="A4088" t="str">
        <f>"20190304164451895"</f>
        <v>20190304164451895</v>
      </c>
      <c r="B4088" t="str">
        <f>"1551689091884550"</f>
        <v>1551689091884550</v>
      </c>
      <c r="C4088" t="s">
        <v>40</v>
      </c>
      <c r="D4088">
        <v>4.8810769999999897</v>
      </c>
      <c r="E4088">
        <v>0.52936130000000003</v>
      </c>
      <c r="F4088" t="s">
        <v>41</v>
      </c>
      <c r="G4088">
        <v>-260.03160000000003</v>
      </c>
      <c r="H4088">
        <v>1.0239480000000001</v>
      </c>
      <c r="I4088">
        <v>140.86619999999999</v>
      </c>
      <c r="J4088">
        <v>-259.65460000000002</v>
      </c>
      <c r="K4088">
        <v>1.11056</v>
      </c>
      <c r="L4088">
        <v>140.88749999999999</v>
      </c>
      <c r="M4088">
        <v>-0.99972810000000001</v>
      </c>
      <c r="N4088">
        <v>-7.2729459999999998E-3</v>
      </c>
      <c r="O4088">
        <v>2.2154050000000002E-2</v>
      </c>
      <c r="P4088">
        <v>-0.92574009999999995</v>
      </c>
      <c r="Q4088">
        <v>0.37347059999999999</v>
      </c>
      <c r="R4088">
        <v>-5.9373889999999999E-2</v>
      </c>
      <c r="S4088">
        <v>-3.3992</v>
      </c>
      <c r="T4088">
        <v>-0.40011669999999999</v>
      </c>
      <c r="U4088">
        <v>-6.3598630000000003E-2</v>
      </c>
      <c r="V4088">
        <v>-8.0501740000000002E-2</v>
      </c>
      <c r="W4088">
        <v>0.38004880000000002</v>
      </c>
      <c r="X4088">
        <v>0.92145670000000002</v>
      </c>
      <c r="Y4088">
        <v>-4.0421829999999999E-2</v>
      </c>
      <c r="Z4088">
        <v>-4.9560790000000004E-3</v>
      </c>
      <c r="AA4088">
        <v>0.99917040000000001</v>
      </c>
      <c r="AB4088">
        <v>38</v>
      </c>
      <c r="AC4088">
        <v>-0.37700000000000899</v>
      </c>
      <c r="AD4088">
        <v>-8.6612000000000106E-2</v>
      </c>
      <c r="AE4088">
        <v>-2.1299999999996499E-2</v>
      </c>
      <c r="AF4088">
        <v>-2.81652256424831E-2</v>
      </c>
      <c r="AG4088">
        <v>-8.6612000000000106E-2</v>
      </c>
      <c r="AH4088">
        <v>0.35762026088420201</v>
      </c>
      <c r="AI4088">
        <v>103.57384011146701</v>
      </c>
      <c r="AJ4088">
        <v>94.503168732796794</v>
      </c>
      <c r="AK4088">
        <v>0.36903545828873502</v>
      </c>
      <c r="AL4088">
        <v>67.6632953556053</v>
      </c>
      <c r="AM4088">
        <v>94.992886609078198</v>
      </c>
      <c r="AN4088">
        <v>1.0000000352496701</v>
      </c>
    </row>
    <row r="4089" spans="1:40" x14ac:dyDescent="0.25">
      <c r="A4089" t="str">
        <f>"20190304164451917"</f>
        <v>20190304164451917</v>
      </c>
      <c r="B4089" t="str">
        <f>"1551689091913831"</f>
        <v>1551689091913831</v>
      </c>
      <c r="C4089" t="s">
        <v>40</v>
      </c>
      <c r="D4089">
        <v>5.191954</v>
      </c>
      <c r="E4089">
        <v>0.54865280000000005</v>
      </c>
      <c r="F4089" t="s">
        <v>41</v>
      </c>
      <c r="G4089">
        <v>-260.69170000000003</v>
      </c>
      <c r="H4089">
        <v>0.98813810000000002</v>
      </c>
      <c r="I4089">
        <v>140.86709999999999</v>
      </c>
      <c r="J4089">
        <v>-260.0428</v>
      </c>
      <c r="K4089">
        <v>1.1105259999999999</v>
      </c>
      <c r="L4089">
        <v>140.8955</v>
      </c>
      <c r="M4089">
        <v>-0.99974209999999997</v>
      </c>
      <c r="N4089">
        <v>-7.2843409999999997E-3</v>
      </c>
      <c r="O4089">
        <v>2.1514350000000002E-2</v>
      </c>
      <c r="P4089">
        <v>-0.92600260000000001</v>
      </c>
      <c r="Q4089">
        <v>0.37297809999999998</v>
      </c>
      <c r="R4089">
        <v>-5.8369829999999998E-2</v>
      </c>
      <c r="S4089">
        <v>-3.398193</v>
      </c>
      <c r="T4089">
        <v>-0.4012233</v>
      </c>
      <c r="U4089">
        <v>-6.7291260000000006E-2</v>
      </c>
      <c r="V4089">
        <v>-7.8884460000000003E-2</v>
      </c>
      <c r="W4089">
        <v>0.37957770000000002</v>
      </c>
      <c r="X4089">
        <v>0.92179069999999996</v>
      </c>
      <c r="Y4089">
        <v>-4.0871339999999999E-2</v>
      </c>
      <c r="Z4089">
        <v>-4.9286140000000004E-3</v>
      </c>
      <c r="AA4089">
        <v>0.99915220000000005</v>
      </c>
      <c r="AB4089">
        <v>38</v>
      </c>
      <c r="AC4089">
        <v>-0.64890000000002601</v>
      </c>
      <c r="AD4089">
        <v>-0.12238789999999999</v>
      </c>
      <c r="AE4089">
        <v>-2.84000000000048E-2</v>
      </c>
      <c r="AF4089">
        <v>-4.0902220878368797E-2</v>
      </c>
      <c r="AG4089">
        <v>-0.12238789999999999</v>
      </c>
      <c r="AH4089">
        <v>0.62591559905104499</v>
      </c>
      <c r="AI4089">
        <v>101.040723442453</v>
      </c>
      <c r="AJ4089">
        <v>93.738838388464004</v>
      </c>
      <c r="AK4089">
        <v>0.63907912411110801</v>
      </c>
      <c r="AL4089">
        <v>67.692474094030601</v>
      </c>
      <c r="AM4089">
        <v>94.891307118604601</v>
      </c>
      <c r="AN4089">
        <v>1.0000000414866299</v>
      </c>
    </row>
    <row r="4090" spans="1:40" x14ac:dyDescent="0.25">
      <c r="A4090" t="str">
        <f>"20190304164451940"</f>
        <v>20190304164451940</v>
      </c>
      <c r="B4090" t="str">
        <f>"1551689091934326"</f>
        <v>1551689091934326</v>
      </c>
      <c r="C4090" t="s">
        <v>40</v>
      </c>
      <c r="D4090">
        <v>4.9399660000000001</v>
      </c>
      <c r="E4090">
        <v>0.55856510000000004</v>
      </c>
      <c r="F4090" t="s">
        <v>41</v>
      </c>
      <c r="G4090">
        <v>-261.05180000000001</v>
      </c>
      <c r="H4090">
        <v>1.0352319999999999</v>
      </c>
      <c r="I4090">
        <v>140.9256</v>
      </c>
      <c r="J4090">
        <v>-260.43110000000001</v>
      </c>
      <c r="K4090">
        <v>1.1104989999999999</v>
      </c>
      <c r="L4090">
        <v>140.9034</v>
      </c>
      <c r="M4090">
        <v>-0.99975480000000005</v>
      </c>
      <c r="N4090">
        <v>-7.2985169999999896E-3</v>
      </c>
      <c r="O4090">
        <v>2.0908630000000001E-2</v>
      </c>
      <c r="P4090">
        <v>-0.92635069999999997</v>
      </c>
      <c r="Q4090">
        <v>0.37238270000000001</v>
      </c>
      <c r="R4090">
        <v>-5.6618630000000003E-2</v>
      </c>
      <c r="S4090">
        <v>-3.3465880000000001</v>
      </c>
      <c r="T4090">
        <v>-0.24973380000000001</v>
      </c>
      <c r="U4090">
        <v>9.9594119999999994E-2</v>
      </c>
      <c r="V4090">
        <v>-7.6555520000000002E-2</v>
      </c>
      <c r="W4090">
        <v>0.37900719999999999</v>
      </c>
      <c r="X4090">
        <v>0.92222170000000003</v>
      </c>
      <c r="Y4090">
        <v>8.8605249999999993E-3</v>
      </c>
      <c r="Z4090">
        <v>-1.042697E-3</v>
      </c>
      <c r="AA4090">
        <v>0.99996019999999997</v>
      </c>
      <c r="AB4090">
        <v>38</v>
      </c>
      <c r="AC4090">
        <v>-0.62069999999999903</v>
      </c>
      <c r="AD4090">
        <v>-7.5266999999999903E-2</v>
      </c>
      <c r="AE4090">
        <v>2.2199999999997999E-2</v>
      </c>
      <c r="AF4090">
        <v>9.0834198368691804E-3</v>
      </c>
      <c r="AG4090">
        <v>-7.5266999999999903E-2</v>
      </c>
      <c r="AH4090">
        <v>0.61204033071063302</v>
      </c>
      <c r="AI4090">
        <v>97.010108352945494</v>
      </c>
      <c r="AJ4090">
        <v>89.149723657017802</v>
      </c>
      <c r="AK4090">
        <v>0.61671792273397896</v>
      </c>
      <c r="AL4090">
        <v>67.727800918207095</v>
      </c>
      <c r="AM4090">
        <v>94.745360357332203</v>
      </c>
      <c r="AN4090">
        <v>1.0000000346225899</v>
      </c>
    </row>
    <row r="4091" spans="1:40" x14ac:dyDescent="0.25">
      <c r="A4091" t="str">
        <f>"20190304164451964"</f>
        <v>20190304164451964</v>
      </c>
      <c r="B4091" t="str">
        <f>"1551689091953845"</f>
        <v>1551689091953845</v>
      </c>
      <c r="C4091" t="s">
        <v>40</v>
      </c>
      <c r="D4091">
        <v>4.8971419999999997</v>
      </c>
      <c r="E4091">
        <v>0.56371190000000004</v>
      </c>
      <c r="F4091" t="s">
        <v>41</v>
      </c>
      <c r="G4091">
        <v>-261.3836</v>
      </c>
      <c r="H4091">
        <v>1.0180549999999999</v>
      </c>
      <c r="I4091">
        <v>140.95339999999999</v>
      </c>
      <c r="J4091">
        <v>-260.83330000000001</v>
      </c>
      <c r="K4091">
        <v>1.1104750000000001</v>
      </c>
      <c r="L4091">
        <v>140.91130000000001</v>
      </c>
      <c r="M4091">
        <v>-0.99976719999999997</v>
      </c>
      <c r="N4091">
        <v>-7.313333E-3</v>
      </c>
      <c r="O4091">
        <v>2.030887E-2</v>
      </c>
      <c r="P4091">
        <v>-0.9265487</v>
      </c>
      <c r="Q4091">
        <v>0.3721507</v>
      </c>
      <c r="R4091">
        <v>-5.4878900000000001E-2</v>
      </c>
      <c r="S4091">
        <v>-3.3812869999999999</v>
      </c>
      <c r="T4091">
        <v>-0.3282815</v>
      </c>
      <c r="U4091">
        <v>0.1769104</v>
      </c>
      <c r="V4091">
        <v>-7.4245530000000004E-2</v>
      </c>
      <c r="W4091">
        <v>0.37879800000000002</v>
      </c>
      <c r="X4091">
        <v>0.92249639999999999</v>
      </c>
      <c r="Y4091">
        <v>3.1877139999999998E-2</v>
      </c>
      <c r="Z4091">
        <v>-1.5758729999999999E-4</v>
      </c>
      <c r="AA4091">
        <v>0.99949180000000004</v>
      </c>
      <c r="AB4091">
        <v>38</v>
      </c>
      <c r="AC4091">
        <v>-0.55029999999999202</v>
      </c>
      <c r="AD4091">
        <v>-9.2420000000000099E-2</v>
      </c>
      <c r="AE4091">
        <v>4.2099999999976399E-2</v>
      </c>
      <c r="AF4091">
        <v>3.0071795824579601E-2</v>
      </c>
      <c r="AG4091">
        <v>-9.2420000000000099E-2</v>
      </c>
      <c r="AH4091">
        <v>0.53601106454249303</v>
      </c>
      <c r="AI4091">
        <v>99.767789714780307</v>
      </c>
      <c r="AJ4091">
        <v>86.788904595562897</v>
      </c>
      <c r="AK4091">
        <v>0.54475098037185099</v>
      </c>
      <c r="AL4091">
        <v>67.740751327711095</v>
      </c>
      <c r="AM4091">
        <v>94.601433642769706</v>
      </c>
      <c r="AN4091">
        <v>0.99999996577096995</v>
      </c>
    </row>
    <row r="4092" spans="1:40" x14ac:dyDescent="0.25">
      <c r="A4092" t="str">
        <f>"20190304164451984"</f>
        <v>20190304164451984</v>
      </c>
      <c r="B4092" t="str">
        <f>"1551689091974342"</f>
        <v>1551689091974342</v>
      </c>
      <c r="C4092" t="s">
        <v>40</v>
      </c>
      <c r="D4092">
        <v>4.8919810000000004</v>
      </c>
      <c r="E4092">
        <v>0.56662429999999997</v>
      </c>
      <c r="F4092" t="s">
        <v>41</v>
      </c>
      <c r="G4092">
        <v>-261.72410000000002</v>
      </c>
      <c r="H4092">
        <v>1.016324</v>
      </c>
      <c r="I4092">
        <v>140.96960000000001</v>
      </c>
      <c r="J4092">
        <v>-261.18329999999997</v>
      </c>
      <c r="K4092">
        <v>1.110463</v>
      </c>
      <c r="L4092">
        <v>140.91800000000001</v>
      </c>
      <c r="M4092">
        <v>-0.99977700000000003</v>
      </c>
      <c r="N4092">
        <v>-7.3280709999999898E-3</v>
      </c>
      <c r="O4092">
        <v>1.98038E-2</v>
      </c>
      <c r="P4092">
        <v>-0.92668150000000005</v>
      </c>
      <c r="Q4092">
        <v>0.37207269999999998</v>
      </c>
      <c r="R4092">
        <v>-5.3134870000000001E-2</v>
      </c>
      <c r="S4092">
        <v>-3.395111</v>
      </c>
      <c r="T4092">
        <v>-0.3588961</v>
      </c>
      <c r="U4092">
        <v>0.22163389999999999</v>
      </c>
      <c r="V4092">
        <v>-7.2025309999999995E-2</v>
      </c>
      <c r="W4092">
        <v>0.37874059999999998</v>
      </c>
      <c r="X4092">
        <v>0.92269599999999996</v>
      </c>
      <c r="Y4092">
        <v>4.5193530000000003E-2</v>
      </c>
      <c r="Z4092">
        <v>6.0543800000000003E-4</v>
      </c>
      <c r="AA4092">
        <v>0.99897809999999998</v>
      </c>
      <c r="AB4092">
        <v>38</v>
      </c>
      <c r="AC4092">
        <v>-0.54080000000004702</v>
      </c>
      <c r="AD4092">
        <v>-9.4138999999999903E-2</v>
      </c>
      <c r="AE4092">
        <v>5.1600000000007598E-2</v>
      </c>
      <c r="AF4092">
        <v>3.9687937965227099E-2</v>
      </c>
      <c r="AG4092">
        <v>-9.4138999999999903E-2</v>
      </c>
      <c r="AH4092">
        <v>0.52592328680398304</v>
      </c>
      <c r="AI4092">
        <v>100.12015494304799</v>
      </c>
      <c r="AJ4092">
        <v>85.684447552266505</v>
      </c>
      <c r="AK4092">
        <v>0.53575422288922403</v>
      </c>
      <c r="AL4092">
        <v>67.744305629673306</v>
      </c>
      <c r="AM4092">
        <v>94.463436440037796</v>
      </c>
      <c r="AN4092">
        <v>0.99999999789247795</v>
      </c>
    </row>
    <row r="4093" spans="1:40" x14ac:dyDescent="0.25">
      <c r="A4093" t="str">
        <f>"20190304164452005"</f>
        <v>20190304164452005</v>
      </c>
      <c r="B4093" t="str">
        <f>"1551689091993862"</f>
        <v>1551689091993862</v>
      </c>
      <c r="C4093" t="s">
        <v>40</v>
      </c>
      <c r="D4093">
        <v>4.8673520000000003</v>
      </c>
      <c r="E4093">
        <v>0.56848699999999996</v>
      </c>
      <c r="F4093" t="s">
        <v>41</v>
      </c>
      <c r="G4093">
        <v>-262.06490000000002</v>
      </c>
      <c r="H4093">
        <v>1.013736</v>
      </c>
      <c r="I4093">
        <v>140.98330000000001</v>
      </c>
      <c r="J4093">
        <v>-261.54989999999998</v>
      </c>
      <c r="K4093">
        <v>1.1104540000000001</v>
      </c>
      <c r="L4093">
        <v>140.9248</v>
      </c>
      <c r="M4093">
        <v>-0.99978710000000004</v>
      </c>
      <c r="N4093">
        <v>-7.3469390000000002E-3</v>
      </c>
      <c r="O4093">
        <v>1.9285320000000002E-2</v>
      </c>
      <c r="P4093">
        <v>-0.92657500000000004</v>
      </c>
      <c r="Q4093">
        <v>0.37248870000000001</v>
      </c>
      <c r="R4093">
        <v>-5.2066069999999999E-2</v>
      </c>
      <c r="S4093">
        <v>-3.4016419999999998</v>
      </c>
      <c r="T4093">
        <v>-0.37332419999999999</v>
      </c>
      <c r="U4093">
        <v>0.25082399999999999</v>
      </c>
      <c r="V4093">
        <v>-7.0466399999999998E-2</v>
      </c>
      <c r="W4093">
        <v>0.3791775</v>
      </c>
      <c r="X4093">
        <v>0.92263689999999998</v>
      </c>
      <c r="Y4093">
        <v>5.4044960000000003E-2</v>
      </c>
      <c r="Z4093">
        <v>1.186503E-3</v>
      </c>
      <c r="AA4093">
        <v>0.99853780000000003</v>
      </c>
      <c r="AB4093">
        <v>38</v>
      </c>
      <c r="AC4093">
        <v>-0.51500000000004298</v>
      </c>
      <c r="AD4093">
        <v>-9.6717999999999998E-2</v>
      </c>
      <c r="AE4093">
        <v>5.8500000000009302E-2</v>
      </c>
      <c r="AF4093">
        <v>4.6923039301399801E-2</v>
      </c>
      <c r="AG4093">
        <v>-9.6717999999999998E-2</v>
      </c>
      <c r="AH4093">
        <v>0.49866865670084598</v>
      </c>
      <c r="AI4093">
        <v>100.92926716926</v>
      </c>
      <c r="AJ4093">
        <v>84.624488278776099</v>
      </c>
      <c r="AK4093">
        <v>0.51012407541411597</v>
      </c>
      <c r="AL4093">
        <v>67.717254865945506</v>
      </c>
      <c r="AM4093">
        <v>94.367486693169496</v>
      </c>
      <c r="AN4093">
        <v>0.99999996963840898</v>
      </c>
    </row>
    <row r="4094" spans="1:40" x14ac:dyDescent="0.25">
      <c r="A4094" t="str">
        <f>"20190304164452021"</f>
        <v>20190304164452021</v>
      </c>
      <c r="B4094" t="str">
        <f>"1551689092014359"</f>
        <v>1551689092014359</v>
      </c>
      <c r="C4094" t="s">
        <v>40</v>
      </c>
      <c r="D4094">
        <v>4.8552999999999997</v>
      </c>
      <c r="E4094">
        <v>0.56972909999999999</v>
      </c>
      <c r="F4094" t="s">
        <v>41</v>
      </c>
      <c r="G4094">
        <v>-262.4085</v>
      </c>
      <c r="H4094">
        <v>1.014939</v>
      </c>
      <c r="I4094">
        <v>140.9931</v>
      </c>
      <c r="J4094">
        <v>-261.80610000000001</v>
      </c>
      <c r="K4094">
        <v>1.110449</v>
      </c>
      <c r="L4094">
        <v>140.92949999999999</v>
      </c>
      <c r="M4094">
        <v>-0.99979379999999995</v>
      </c>
      <c r="N4094">
        <v>-7.3608279999999998E-3</v>
      </c>
      <c r="O4094">
        <v>1.8926680000000001E-2</v>
      </c>
      <c r="P4094">
        <v>-0.92649530000000002</v>
      </c>
      <c r="Q4094">
        <v>0.37270239999999999</v>
      </c>
      <c r="R4094">
        <v>-5.1956309999999999E-2</v>
      </c>
      <c r="S4094">
        <v>-3.405243</v>
      </c>
      <c r="T4094">
        <v>-0.37884210000000001</v>
      </c>
      <c r="U4094">
        <v>0.27062989999999998</v>
      </c>
      <c r="V4094">
        <v>-7.0018499999999997E-2</v>
      </c>
      <c r="W4094">
        <v>0.3794052</v>
      </c>
      <c r="X4094">
        <v>0.92257739999999999</v>
      </c>
      <c r="Y4094">
        <v>6.0051239999999999E-2</v>
      </c>
      <c r="Z4094">
        <v>1.590373E-3</v>
      </c>
      <c r="AA4094">
        <v>0.99819400000000003</v>
      </c>
      <c r="AB4094">
        <v>38</v>
      </c>
      <c r="AC4094">
        <v>-0.60239999999998795</v>
      </c>
      <c r="AD4094">
        <v>-9.5509999999999901E-2</v>
      </c>
      <c r="AE4094">
        <v>6.3600000000008095E-2</v>
      </c>
      <c r="AF4094">
        <v>5.0920935450292297E-2</v>
      </c>
      <c r="AG4094">
        <v>-9.5509999999999901E-2</v>
      </c>
      <c r="AH4094">
        <v>0.58885646546215298</v>
      </c>
      <c r="AI4094">
        <v>99.179230197547</v>
      </c>
      <c r="AJ4094">
        <v>85.0576838004813</v>
      </c>
      <c r="AK4094">
        <v>0.59872116939666797</v>
      </c>
      <c r="AL4094">
        <v>67.703155225358998</v>
      </c>
      <c r="AM4094">
        <v>94.340111198359196</v>
      </c>
      <c r="AN4094">
        <v>0.99999997756002401</v>
      </c>
    </row>
    <row r="4095" spans="1:40" x14ac:dyDescent="0.25">
      <c r="A4095" t="str">
        <f>"20190304164452040"</f>
        <v>20190304164452040</v>
      </c>
      <c r="B4095" t="str">
        <f>"1551689092033879"</f>
        <v>1551689092033879</v>
      </c>
      <c r="C4095" t="s">
        <v>40</v>
      </c>
      <c r="D4095">
        <v>4.8593769999999896</v>
      </c>
      <c r="E4095">
        <v>0.57057060000000004</v>
      </c>
      <c r="F4095" t="s">
        <v>41</v>
      </c>
      <c r="G4095">
        <v>-262.74720000000002</v>
      </c>
      <c r="H4095">
        <v>1.0047820000000001</v>
      </c>
      <c r="I4095">
        <v>141.00729999999999</v>
      </c>
      <c r="J4095">
        <v>-262.14870000000002</v>
      </c>
      <c r="K4095">
        <v>1.1104400000000001</v>
      </c>
      <c r="L4095">
        <v>140.93559999999999</v>
      </c>
      <c r="M4095">
        <v>-0.99980259999999999</v>
      </c>
      <c r="N4095">
        <v>-7.3790699999999997E-3</v>
      </c>
      <c r="O4095">
        <v>1.8449170000000001E-2</v>
      </c>
      <c r="P4095">
        <v>-0.92647630000000003</v>
      </c>
      <c r="Q4095">
        <v>0.37290279999999998</v>
      </c>
      <c r="R4095">
        <v>-5.0845439999999999E-2</v>
      </c>
      <c r="S4095">
        <v>-3.407715</v>
      </c>
      <c r="T4095">
        <v>-0.38269829999999999</v>
      </c>
      <c r="U4095">
        <v>0.28114319999999998</v>
      </c>
      <c r="V4095">
        <v>-6.8460960000000001E-2</v>
      </c>
      <c r="W4095">
        <v>0.37962620000000002</v>
      </c>
      <c r="X4095">
        <v>0.92260339999999996</v>
      </c>
      <c r="Y4095">
        <v>6.3499230000000004E-2</v>
      </c>
      <c r="Z4095">
        <v>1.857987E-3</v>
      </c>
      <c r="AA4095">
        <v>0.99798019999999998</v>
      </c>
      <c r="AB4095">
        <v>38</v>
      </c>
      <c r="AC4095">
        <v>-0.59850000000000103</v>
      </c>
      <c r="AD4095">
        <v>-0.105657999999999</v>
      </c>
      <c r="AE4095">
        <v>7.16999999999927E-2</v>
      </c>
      <c r="AF4095">
        <v>5.8837890257862402E-2</v>
      </c>
      <c r="AG4095">
        <v>-0.105657999999999</v>
      </c>
      <c r="AH4095">
        <v>0.58184398276320803</v>
      </c>
      <c r="AI4095">
        <v>100.241165421739</v>
      </c>
      <c r="AJ4095">
        <v>84.225699957951804</v>
      </c>
      <c r="AK4095">
        <v>0.594279337156987</v>
      </c>
      <c r="AL4095">
        <v>67.6894693128569</v>
      </c>
      <c r="AM4095">
        <v>94.243804321985294</v>
      </c>
      <c r="AN4095">
        <v>0.99999999423106001</v>
      </c>
    </row>
    <row r="4096" spans="1:40" x14ac:dyDescent="0.25">
      <c r="A4096" t="str">
        <f>"20190304164452063"</f>
        <v>20190304164452063</v>
      </c>
      <c r="B4096" t="str">
        <f>"1551689092054374"</f>
        <v>1551689092054374</v>
      </c>
      <c r="C4096" t="s">
        <v>40</v>
      </c>
      <c r="D4096">
        <v>4.8588279999999999</v>
      </c>
      <c r="E4096">
        <v>0.57120380000000004</v>
      </c>
      <c r="F4096" t="s">
        <v>41</v>
      </c>
      <c r="G4096">
        <v>-263.09109999999998</v>
      </c>
      <c r="H4096">
        <v>1.003809</v>
      </c>
      <c r="I4096">
        <v>141.0163</v>
      </c>
      <c r="J4096">
        <v>-262.536</v>
      </c>
      <c r="K4096">
        <v>1.1104320000000001</v>
      </c>
      <c r="L4096">
        <v>140.94229999999999</v>
      </c>
      <c r="M4096">
        <v>-0.99981229999999999</v>
      </c>
      <c r="N4096">
        <v>-7.3987840000000003E-3</v>
      </c>
      <c r="O4096">
        <v>1.7909609999999999E-2</v>
      </c>
      <c r="P4096">
        <v>-0.92656110000000003</v>
      </c>
      <c r="Q4096">
        <v>0.37261830000000001</v>
      </c>
      <c r="R4096">
        <v>-5.1385979999999998E-2</v>
      </c>
      <c r="S4096">
        <v>-3.4093629999999999</v>
      </c>
      <c r="T4096">
        <v>-0.38589570000000001</v>
      </c>
      <c r="U4096">
        <v>0.29101559999999999</v>
      </c>
      <c r="V4096">
        <v>-6.8498050000000005E-2</v>
      </c>
      <c r="W4096">
        <v>0.37936150000000002</v>
      </c>
      <c r="X4096">
        <v>0.92270949999999996</v>
      </c>
      <c r="Y4096">
        <v>6.6837220000000003E-2</v>
      </c>
      <c r="Z4096">
        <v>2.127603E-3</v>
      </c>
      <c r="AA4096">
        <v>0.99776160000000003</v>
      </c>
      <c r="AB4096">
        <v>38</v>
      </c>
      <c r="AC4096">
        <v>-0.55509999999998105</v>
      </c>
      <c r="AD4096">
        <v>-0.106622999999999</v>
      </c>
      <c r="AE4096">
        <v>7.4000000000012195E-2</v>
      </c>
      <c r="AF4096">
        <v>6.1805769695096699E-2</v>
      </c>
      <c r="AG4096">
        <v>-0.106622999999999</v>
      </c>
      <c r="AH4096">
        <v>0.53687455804326101</v>
      </c>
      <c r="AI4096">
        <v>101.160907738078</v>
      </c>
      <c r="AJ4096">
        <v>83.432936779190399</v>
      </c>
      <c r="AK4096">
        <v>0.55083818710284604</v>
      </c>
      <c r="AL4096">
        <v>67.705861325471403</v>
      </c>
      <c r="AM4096">
        <v>94.245608613245807</v>
      </c>
      <c r="AN4096">
        <v>0.99999997596315005</v>
      </c>
    </row>
    <row r="4097" spans="1:40" x14ac:dyDescent="0.25">
      <c r="A4097" t="str">
        <f>"20190304164452084"</f>
        <v>20190304164452084</v>
      </c>
      <c r="B4097" t="str">
        <f>"1551689092073895"</f>
        <v>1551689092073895</v>
      </c>
      <c r="C4097" t="s">
        <v>40</v>
      </c>
      <c r="D4097">
        <v>5.1653250000000002</v>
      </c>
      <c r="E4097">
        <v>0.57190669999999899</v>
      </c>
      <c r="F4097" t="s">
        <v>41</v>
      </c>
      <c r="G4097">
        <v>-263.43810000000002</v>
      </c>
      <c r="H4097">
        <v>1.007511</v>
      </c>
      <c r="I4097">
        <v>141.02029999999999</v>
      </c>
      <c r="J4097">
        <v>-262.91309999999999</v>
      </c>
      <c r="K4097">
        <v>1.1104210000000001</v>
      </c>
      <c r="L4097">
        <v>140.9486</v>
      </c>
      <c r="M4097">
        <v>-0.99982150000000003</v>
      </c>
      <c r="N4097">
        <v>-7.41713099999999E-3</v>
      </c>
      <c r="O4097">
        <v>1.7384899999999998E-2</v>
      </c>
      <c r="P4097">
        <v>-0.92673640000000002</v>
      </c>
      <c r="Q4097">
        <v>0.3719421</v>
      </c>
      <c r="R4097">
        <v>-5.3092359999999998E-2</v>
      </c>
      <c r="S4097">
        <v>-3.4106139999999998</v>
      </c>
      <c r="T4097">
        <v>-0.3892447</v>
      </c>
      <c r="U4097">
        <v>0.29360960000000003</v>
      </c>
      <c r="V4097">
        <v>-6.9715520000000003E-2</v>
      </c>
      <c r="W4097">
        <v>0.37870229999999999</v>
      </c>
      <c r="X4097">
        <v>0.92288910000000002</v>
      </c>
      <c r="Y4097">
        <v>6.8066109999999999E-2</v>
      </c>
      <c r="Z4097">
        <v>2.2729569999999999E-3</v>
      </c>
      <c r="AA4097">
        <v>0.99767819999999996</v>
      </c>
      <c r="AB4097">
        <v>39</v>
      </c>
      <c r="AC4097">
        <v>-0.525000000000034</v>
      </c>
      <c r="AD4097">
        <v>-0.102909999999999</v>
      </c>
      <c r="AE4097">
        <v>7.16999999999927E-2</v>
      </c>
      <c r="AF4097">
        <v>6.0287790301465298E-2</v>
      </c>
      <c r="AG4097">
        <v>-0.102909999999999</v>
      </c>
      <c r="AH4097">
        <v>0.50704161324566599</v>
      </c>
      <c r="AI4097">
        <v>101.39485916795699</v>
      </c>
      <c r="AJ4097">
        <v>83.219304878109597</v>
      </c>
      <c r="AK4097">
        <v>0.52088029653865797</v>
      </c>
      <c r="AL4097">
        <v>67.746676451306996</v>
      </c>
      <c r="AM4097">
        <v>94.319948214736797</v>
      </c>
      <c r="AN4097">
        <v>0.99999998832648496</v>
      </c>
    </row>
    <row r="4098" spans="1:40" x14ac:dyDescent="0.25">
      <c r="A4098" t="str">
        <f>"20190304164452107"</f>
        <v>20190304164452107</v>
      </c>
      <c r="B4098" t="str">
        <f>"1551689092094391"</f>
        <v>1551689092094391</v>
      </c>
      <c r="C4098" t="s">
        <v>40</v>
      </c>
      <c r="D4098">
        <v>4.8292099999999998</v>
      </c>
      <c r="E4098">
        <v>0.57269879999999995</v>
      </c>
      <c r="F4098" t="s">
        <v>41</v>
      </c>
      <c r="G4098">
        <v>-263.78550000000001</v>
      </c>
      <c r="H4098">
        <v>1.010535</v>
      </c>
      <c r="I4098">
        <v>141.0239</v>
      </c>
      <c r="J4098">
        <v>-263.28890000000001</v>
      </c>
      <c r="K4098">
        <v>1.110409</v>
      </c>
      <c r="L4098">
        <v>140.9547</v>
      </c>
      <c r="M4098">
        <v>-0.9998302</v>
      </c>
      <c r="N4098">
        <v>-7.4345119999999999E-3</v>
      </c>
      <c r="O4098">
        <v>1.6867299999999998E-2</v>
      </c>
      <c r="P4098">
        <v>-0.92688579999999998</v>
      </c>
      <c r="Q4098">
        <v>0.37128830000000002</v>
      </c>
      <c r="R4098">
        <v>-5.5029330000000001E-2</v>
      </c>
      <c r="S4098">
        <v>-3.410736</v>
      </c>
      <c r="T4098">
        <v>-0.39058280000000001</v>
      </c>
      <c r="U4098">
        <v>0.29374689999999998</v>
      </c>
      <c r="V4098">
        <v>-7.1167889999999998E-2</v>
      </c>
      <c r="W4098">
        <v>0.37806489999999998</v>
      </c>
      <c r="X4098">
        <v>0.92303959999999996</v>
      </c>
      <c r="Y4098">
        <v>6.8610240000000003E-2</v>
      </c>
      <c r="Z4098">
        <v>2.3683879999999999E-3</v>
      </c>
      <c r="AA4098">
        <v>0.99764070000000005</v>
      </c>
      <c r="AB4098">
        <v>39</v>
      </c>
      <c r="AC4098">
        <v>-0.49659999999999999</v>
      </c>
      <c r="AD4098">
        <v>-9.9874000000000004E-2</v>
      </c>
      <c r="AE4098">
        <v>6.9199999999995002E-2</v>
      </c>
      <c r="AF4098">
        <v>5.8492801789049899E-2</v>
      </c>
      <c r="AG4098">
        <v>-9.9874000000000004E-2</v>
      </c>
      <c r="AH4098">
        <v>0.478703076321082</v>
      </c>
      <c r="AI4098">
        <v>101.700232284536</v>
      </c>
      <c r="AJ4098">
        <v>83.033553693706807</v>
      </c>
      <c r="AK4098">
        <v>0.49249655736502401</v>
      </c>
      <c r="AL4098">
        <v>67.786130959322605</v>
      </c>
      <c r="AM4098">
        <v>94.408877367505994</v>
      </c>
      <c r="AN4098">
        <v>1.0000000201736099</v>
      </c>
    </row>
    <row r="4099" spans="1:40" x14ac:dyDescent="0.25">
      <c r="A4099" t="str">
        <f>"20190304164452130"</f>
        <v>20190304164452130</v>
      </c>
      <c r="B4099" t="str">
        <f>"1551689092124647"</f>
        <v>1551689092124647</v>
      </c>
      <c r="C4099" t="s">
        <v>40</v>
      </c>
      <c r="D4099">
        <v>4.8228749999999998</v>
      </c>
      <c r="E4099">
        <v>0.57333199999999995</v>
      </c>
      <c r="F4099" t="s">
        <v>41</v>
      </c>
      <c r="G4099">
        <v>-264.13389999999998</v>
      </c>
      <c r="H4099">
        <v>1.014059</v>
      </c>
      <c r="I4099">
        <v>141.02799999999999</v>
      </c>
      <c r="J4099">
        <v>-263.69209999999998</v>
      </c>
      <c r="K4099">
        <v>1.110398</v>
      </c>
      <c r="L4099">
        <v>140.96100000000001</v>
      </c>
      <c r="M4099">
        <v>-0.99983909999999998</v>
      </c>
      <c r="N4099">
        <v>-7.4521190000000001E-3</v>
      </c>
      <c r="O4099">
        <v>1.632453E-2</v>
      </c>
      <c r="P4099">
        <v>-0.92662129999999998</v>
      </c>
      <c r="Q4099">
        <v>0.3716043</v>
      </c>
      <c r="R4099">
        <v>-5.7300520000000001E-2</v>
      </c>
      <c r="S4099">
        <v>-3.4100039999999998</v>
      </c>
      <c r="T4099">
        <v>-0.38886110000000002</v>
      </c>
      <c r="U4099">
        <v>0.29547119999999999</v>
      </c>
      <c r="V4099">
        <v>-7.2921659999999999E-2</v>
      </c>
      <c r="W4099">
        <v>0.37839509999999998</v>
      </c>
      <c r="X4099">
        <v>0.92276729999999996</v>
      </c>
      <c r="Y4099">
        <v>6.9663429999999998E-2</v>
      </c>
      <c r="Z4099">
        <v>2.4821829999999998E-3</v>
      </c>
      <c r="AA4099">
        <v>0.99756750000000005</v>
      </c>
      <c r="AB4099">
        <v>39</v>
      </c>
      <c r="AC4099">
        <v>-0.44180000000000003</v>
      </c>
      <c r="AD4099">
        <v>-9.6338999999999897E-2</v>
      </c>
      <c r="AE4099">
        <v>6.6999999999978799E-2</v>
      </c>
      <c r="AF4099">
        <v>5.7123521594716703E-2</v>
      </c>
      <c r="AG4099">
        <v>-9.6338999999999897E-2</v>
      </c>
      <c r="AH4099">
        <v>0.42316562793794499</v>
      </c>
      <c r="AI4099">
        <v>102.713986707991</v>
      </c>
      <c r="AJ4099">
        <v>82.312062610514005</v>
      </c>
      <c r="AK4099">
        <v>0.43773673401771701</v>
      </c>
      <c r="AL4099">
        <v>67.765692113732896</v>
      </c>
      <c r="AM4099">
        <v>94.518407244759302</v>
      </c>
      <c r="AN4099">
        <v>0.99999995507522599</v>
      </c>
    </row>
    <row r="4100" spans="1:40" x14ac:dyDescent="0.25">
      <c r="A4100" t="str">
        <f>"20190304164452152"</f>
        <v>20190304164452152</v>
      </c>
      <c r="B4100" t="str">
        <f>"1551689092144166"</f>
        <v>1551689092144166</v>
      </c>
      <c r="C4100" t="s">
        <v>40</v>
      </c>
      <c r="D4100">
        <v>4.7677940000000003</v>
      </c>
      <c r="E4100">
        <v>0.57358160000000002</v>
      </c>
      <c r="F4100" t="s">
        <v>41</v>
      </c>
      <c r="G4100">
        <v>-264.48450000000003</v>
      </c>
      <c r="H4100">
        <v>1.0204719999999901</v>
      </c>
      <c r="I4100">
        <v>141.02969999999999</v>
      </c>
      <c r="J4100">
        <v>-264.10399999999998</v>
      </c>
      <c r="K4100">
        <v>1.110387</v>
      </c>
      <c r="L4100">
        <v>140.96729999999999</v>
      </c>
      <c r="M4100">
        <v>-0.9998475</v>
      </c>
      <c r="N4100">
        <v>-7.4689689999999998E-3</v>
      </c>
      <c r="O4100">
        <v>1.5792670000000002E-2</v>
      </c>
      <c r="P4100">
        <v>-0.92628659999999996</v>
      </c>
      <c r="Q4100">
        <v>0.37213079999999998</v>
      </c>
      <c r="R4100">
        <v>-5.9263490000000002E-2</v>
      </c>
      <c r="S4100">
        <v>-3.4111020000000001</v>
      </c>
      <c r="T4100">
        <v>-0.38716299999999998</v>
      </c>
      <c r="U4100">
        <v>0.29537960000000002</v>
      </c>
      <c r="V4100">
        <v>-7.4371640000000003E-2</v>
      </c>
      <c r="W4100">
        <v>0.3789362</v>
      </c>
      <c r="X4100">
        <v>0.92242959999999996</v>
      </c>
      <c r="Y4100">
        <v>7.0136959999999998E-2</v>
      </c>
      <c r="Z4100">
        <v>2.5578609999999998E-3</v>
      </c>
      <c r="AA4100">
        <v>0.99753409999999998</v>
      </c>
      <c r="AB4100">
        <v>39</v>
      </c>
      <c r="AC4100">
        <v>-0.38049999999998302</v>
      </c>
      <c r="AD4100">
        <v>-8.9915000000000106E-2</v>
      </c>
      <c r="AE4100">
        <v>6.2399999999996597E-2</v>
      </c>
      <c r="AF4100">
        <v>5.3475033989553701E-2</v>
      </c>
      <c r="AG4100">
        <v>-8.9915000000000106E-2</v>
      </c>
      <c r="AH4100">
        <v>0.361765668606151</v>
      </c>
      <c r="AI4100">
        <v>103.81349102413699</v>
      </c>
      <c r="AJ4100">
        <v>81.591610463797096</v>
      </c>
      <c r="AK4100">
        <v>0.37658821737707099</v>
      </c>
      <c r="AL4100">
        <v>67.732197780510603</v>
      </c>
      <c r="AM4100">
        <v>94.609548124757396</v>
      </c>
      <c r="AN4100">
        <v>1.00000007573144</v>
      </c>
    </row>
    <row r="4101" spans="1:40" x14ac:dyDescent="0.25">
      <c r="A4101" t="str">
        <f>"20190304164452174"</f>
        <v>20190304164452174</v>
      </c>
      <c r="B4101" t="str">
        <f>"1551689092164662"</f>
        <v>1551689092164662</v>
      </c>
      <c r="C4101" t="s">
        <v>40</v>
      </c>
      <c r="D4101">
        <v>4.7183890000000002</v>
      </c>
      <c r="E4101">
        <v>0.57382979999999995</v>
      </c>
      <c r="F4101" t="s">
        <v>41</v>
      </c>
      <c r="G4101">
        <v>-264.83569999999997</v>
      </c>
      <c r="H4101">
        <v>1.0270379999999999</v>
      </c>
      <c r="I4101">
        <v>141.02979999999999</v>
      </c>
      <c r="J4101">
        <v>-264.46440000000001</v>
      </c>
      <c r="K4101">
        <v>1.1103689999999999</v>
      </c>
      <c r="L4101">
        <v>140.9726</v>
      </c>
      <c r="M4101">
        <v>-0.99985409999999997</v>
      </c>
      <c r="N4101">
        <v>-7.4827660000000001E-3</v>
      </c>
      <c r="O4101">
        <v>1.535629E-2</v>
      </c>
      <c r="P4101">
        <v>-0.92599620000000005</v>
      </c>
      <c r="Q4101">
        <v>0.3725214</v>
      </c>
      <c r="R4101">
        <v>-6.1308910000000001E-2</v>
      </c>
      <c r="S4101">
        <v>-3.413605</v>
      </c>
      <c r="T4101">
        <v>-0.38888309999999998</v>
      </c>
      <c r="U4101">
        <v>0.29092410000000002</v>
      </c>
      <c r="V4101">
        <v>-7.5989810000000005E-2</v>
      </c>
      <c r="W4101">
        <v>0.37933860000000003</v>
      </c>
      <c r="X4101">
        <v>0.92213219999999996</v>
      </c>
      <c r="Y4101">
        <v>6.9217920000000002E-2</v>
      </c>
      <c r="Z4101">
        <v>2.5573470000000002E-3</v>
      </c>
      <c r="AA4101">
        <v>0.99759830000000005</v>
      </c>
      <c r="AB4101">
        <v>39</v>
      </c>
      <c r="AC4101">
        <v>-0.37129999999996199</v>
      </c>
      <c r="AD4101">
        <v>-8.3331000000000197E-2</v>
      </c>
      <c r="AE4101">
        <v>5.7199999999994498E-2</v>
      </c>
      <c r="AF4101">
        <v>4.9076667627981303E-2</v>
      </c>
      <c r="AG4101">
        <v>-8.3331000000000197E-2</v>
      </c>
      <c r="AH4101">
        <v>0.354683710444537</v>
      </c>
      <c r="AI4101">
        <v>103.101085137173</v>
      </c>
      <c r="AJ4101">
        <v>82.122152266639304</v>
      </c>
      <c r="AK4101">
        <v>0.367631757770152</v>
      </c>
      <c r="AL4101">
        <v>67.707280182181904</v>
      </c>
      <c r="AM4101">
        <v>94.710907836186493</v>
      </c>
      <c r="AN4101">
        <v>1.0000000094753101</v>
      </c>
    </row>
    <row r="4102" spans="1:40" x14ac:dyDescent="0.25">
      <c r="A4102" t="str">
        <f>"20190304164452195"</f>
        <v>20190304164452195</v>
      </c>
      <c r="B4102" t="str">
        <f>"1551689092184182"</f>
        <v>1551689092184182</v>
      </c>
      <c r="C4102" t="s">
        <v>40</v>
      </c>
      <c r="D4102">
        <v>4.727652</v>
      </c>
      <c r="E4102">
        <v>0.57410879999999997</v>
      </c>
      <c r="F4102" t="s">
        <v>41</v>
      </c>
      <c r="G4102">
        <v>-265.51580000000001</v>
      </c>
      <c r="H4102">
        <v>0.99051279999999997</v>
      </c>
      <c r="I4102">
        <v>141.06139999999999</v>
      </c>
      <c r="J4102">
        <v>-264.84460000000001</v>
      </c>
      <c r="K4102">
        <v>1.1103369999999999</v>
      </c>
      <c r="L4102">
        <v>140.97810000000001</v>
      </c>
      <c r="M4102">
        <v>-0.99986050000000004</v>
      </c>
      <c r="N4102">
        <v>-7.5010819999999897E-3</v>
      </c>
      <c r="O4102">
        <v>1.493325E-2</v>
      </c>
      <c r="P4102">
        <v>-0.92558090000000004</v>
      </c>
      <c r="Q4102">
        <v>0.37316959999999999</v>
      </c>
      <c r="R4102">
        <v>-6.3597349999999997E-2</v>
      </c>
      <c r="S4102">
        <v>-3.4154659999999999</v>
      </c>
      <c r="T4102">
        <v>-0.38940350000000001</v>
      </c>
      <c r="U4102">
        <v>0.28736879999999998</v>
      </c>
      <c r="V4102">
        <v>-7.7856110000000006E-2</v>
      </c>
      <c r="W4102">
        <v>0.38000329999999999</v>
      </c>
      <c r="X4102">
        <v>0.92170269999999999</v>
      </c>
      <c r="Y4102">
        <v>6.8564330000000007E-2</v>
      </c>
      <c r="Z4102">
        <v>2.5653479999999998E-3</v>
      </c>
      <c r="AA4102">
        <v>0.99764339999999996</v>
      </c>
      <c r="AB4102">
        <v>39</v>
      </c>
      <c r="AC4102">
        <v>-0.67119999999999802</v>
      </c>
      <c r="AD4102">
        <v>-0.11982420000000001</v>
      </c>
      <c r="AE4102">
        <v>8.3299999999979904E-2</v>
      </c>
      <c r="AF4102">
        <v>7.10375903872488E-2</v>
      </c>
      <c r="AG4102">
        <v>-0.11982420000000001</v>
      </c>
      <c r="AH4102">
        <v>0.65190782663353197</v>
      </c>
      <c r="AI4102">
        <v>100.355065316241</v>
      </c>
      <c r="AJ4102">
        <v>83.781087093547498</v>
      </c>
      <c r="AK4102">
        <v>0.66662432642360303</v>
      </c>
      <c r="AL4102">
        <v>67.666112333002701</v>
      </c>
      <c r="AM4102">
        <v>94.828305410418693</v>
      </c>
      <c r="AN4102">
        <v>0.999999974531255</v>
      </c>
    </row>
    <row r="4103" spans="1:40" x14ac:dyDescent="0.25">
      <c r="A4103" t="str">
        <f>"20190304164452220"</f>
        <v>20190304164452220</v>
      </c>
      <c r="B4103" t="str">
        <f>"1551689092214439"</f>
        <v>1551689092214439</v>
      </c>
      <c r="C4103" t="s">
        <v>40</v>
      </c>
      <c r="D4103">
        <v>4.6220530000000002</v>
      </c>
      <c r="E4103">
        <v>0.55248719999999996</v>
      </c>
      <c r="F4103" t="s">
        <v>41</v>
      </c>
      <c r="G4103">
        <v>-265.86759999999998</v>
      </c>
      <c r="H4103">
        <v>0.99394059999999995</v>
      </c>
      <c r="I4103">
        <v>141.06299999999999</v>
      </c>
      <c r="J4103">
        <v>-265.27460000000002</v>
      </c>
      <c r="K4103">
        <v>1.110304</v>
      </c>
      <c r="L4103">
        <v>140.98410000000001</v>
      </c>
      <c r="M4103">
        <v>-0.99986679999999994</v>
      </c>
      <c r="N4103">
        <v>-7.5237759999999898E-3</v>
      </c>
      <c r="O4103">
        <v>1.4494379999999999E-2</v>
      </c>
      <c r="P4103">
        <v>-0.9251798</v>
      </c>
      <c r="Q4103">
        <v>0.37385620000000003</v>
      </c>
      <c r="R4103">
        <v>-6.5379019999999996E-2</v>
      </c>
      <c r="S4103">
        <v>-3.4174799999999999</v>
      </c>
      <c r="T4103">
        <v>-0.38889879999999999</v>
      </c>
      <c r="U4103">
        <v>0.2831573</v>
      </c>
      <c r="V4103">
        <v>-7.9197450000000003E-2</v>
      </c>
      <c r="W4103">
        <v>0.38071250000000001</v>
      </c>
      <c r="X4103">
        <v>0.92129570000000005</v>
      </c>
      <c r="Y4103">
        <v>6.7736560000000001E-2</v>
      </c>
      <c r="Z4103">
        <v>2.558851E-3</v>
      </c>
      <c r="AA4103">
        <v>0.99770000000000003</v>
      </c>
      <c r="AB4103">
        <v>39</v>
      </c>
      <c r="AC4103">
        <v>-0.59299999999996</v>
      </c>
      <c r="AD4103">
        <v>-0.11636340000000001</v>
      </c>
      <c r="AE4103">
        <v>7.8899999999975906E-2</v>
      </c>
      <c r="AF4103">
        <v>6.7733551821628796E-2</v>
      </c>
      <c r="AG4103">
        <v>-0.11636340000000001</v>
      </c>
      <c r="AH4103">
        <v>0.57242327452514297</v>
      </c>
      <c r="AI4103">
        <v>101.413123462149</v>
      </c>
      <c r="AJ4103">
        <v>83.251698559886407</v>
      </c>
      <c r="AK4103">
        <v>0.58804479431419199</v>
      </c>
      <c r="AL4103">
        <v>67.622176597120102</v>
      </c>
      <c r="AM4103">
        <v>94.913245151965796</v>
      </c>
      <c r="AN4103">
        <v>1.0000000052906199</v>
      </c>
    </row>
    <row r="4104" spans="1:40" x14ac:dyDescent="0.25">
      <c r="A4104" t="str">
        <f>"20190304164452241"</f>
        <v>20190304164452241</v>
      </c>
      <c r="B4104" t="str">
        <f>"1551689092233959"</f>
        <v>1551689092233959</v>
      </c>
      <c r="C4104" t="s">
        <v>40</v>
      </c>
      <c r="D4104">
        <v>4.6540309999999998</v>
      </c>
      <c r="E4104">
        <v>0.54947179999999995</v>
      </c>
      <c r="F4104" t="s">
        <v>41</v>
      </c>
      <c r="G4104">
        <v>-266.22980000000001</v>
      </c>
      <c r="H4104">
        <v>1.0146649999999999</v>
      </c>
      <c r="I4104">
        <v>141.0146</v>
      </c>
      <c r="J4104">
        <v>-265.6558</v>
      </c>
      <c r="K4104">
        <v>1.1102799999999999</v>
      </c>
      <c r="L4104">
        <v>140.98939999999999</v>
      </c>
      <c r="M4104">
        <v>-0.99987170000000003</v>
      </c>
      <c r="N4104">
        <v>-7.5430369999999998E-3</v>
      </c>
      <c r="O4104">
        <v>1.413755E-2</v>
      </c>
      <c r="P4104">
        <v>-0.92511429999999995</v>
      </c>
      <c r="Q4104">
        <v>0.37386399999999997</v>
      </c>
      <c r="R4104">
        <v>-6.6252279999999997E-2</v>
      </c>
      <c r="S4104">
        <v>-3.3872990000000001</v>
      </c>
      <c r="T4104">
        <v>-0.3391845</v>
      </c>
      <c r="U4104">
        <v>0.1076355</v>
      </c>
      <c r="V4104">
        <v>-7.9715640000000004E-2</v>
      </c>
      <c r="W4104">
        <v>0.38074249999999998</v>
      </c>
      <c r="X4104">
        <v>0.92123869999999997</v>
      </c>
      <c r="Y4104">
        <v>1.759202E-2</v>
      </c>
      <c r="Z4104">
        <v>-3.6036690000000002E-4</v>
      </c>
      <c r="AA4104">
        <v>0.99984519999999999</v>
      </c>
      <c r="AB4104">
        <v>39</v>
      </c>
      <c r="AC4104">
        <v>-0.57400000000001195</v>
      </c>
      <c r="AD4104">
        <v>-9.5614999999999895E-2</v>
      </c>
      <c r="AE4104">
        <v>2.5200000000012299E-2</v>
      </c>
      <c r="AF4104">
        <v>1.6621962220105899E-2</v>
      </c>
      <c r="AG4104">
        <v>-9.5614999999999895E-2</v>
      </c>
      <c r="AH4104">
        <v>0.55882264776595703</v>
      </c>
      <c r="AI4104">
        <v>99.705122942529201</v>
      </c>
      <c r="AJ4104">
        <v>88.296261669876898</v>
      </c>
      <c r="AK4104">
        <v>0.56718715562784205</v>
      </c>
      <c r="AL4104">
        <v>67.620319689609303</v>
      </c>
      <c r="AM4104">
        <v>94.945538138777493</v>
      </c>
      <c r="AN4104">
        <v>1.00000008847227</v>
      </c>
    </row>
    <row r="4105" spans="1:40" x14ac:dyDescent="0.25">
      <c r="A4105" t="str">
        <f>"20190304164452263"</f>
        <v>20190304164452263</v>
      </c>
      <c r="B4105" t="str">
        <f>"1551689092254454"</f>
        <v>1551689092254454</v>
      </c>
      <c r="C4105" t="s">
        <v>40</v>
      </c>
      <c r="D4105">
        <v>4.6001339999999997</v>
      </c>
      <c r="E4105">
        <v>0.54913889999999999</v>
      </c>
      <c r="F4105" t="s">
        <v>41</v>
      </c>
      <c r="G4105">
        <v>-266.58330000000001</v>
      </c>
      <c r="H4105">
        <v>1.018111</v>
      </c>
      <c r="I4105">
        <v>141.01070000000001</v>
      </c>
      <c r="J4105">
        <v>-266.02280000000002</v>
      </c>
      <c r="K4105">
        <v>1.110257</v>
      </c>
      <c r="L4105">
        <v>140.99430000000001</v>
      </c>
      <c r="M4105">
        <v>-0.99987599999999999</v>
      </c>
      <c r="N4105">
        <v>-7.5606110000000001E-3</v>
      </c>
      <c r="O4105">
        <v>1.3819130000000001E-2</v>
      </c>
      <c r="P4105">
        <v>-0.92525469999999999</v>
      </c>
      <c r="Q4105">
        <v>0.37347370000000002</v>
      </c>
      <c r="R4105">
        <v>-6.6492620000000002E-2</v>
      </c>
      <c r="S4105">
        <v>-3.3843380000000001</v>
      </c>
      <c r="T4105">
        <v>-0.33628750000000002</v>
      </c>
      <c r="U4105">
        <v>7.7880859999999996E-2</v>
      </c>
      <c r="V4105">
        <v>-7.9641729999999994E-2</v>
      </c>
      <c r="W4105">
        <v>0.38037379999999998</v>
      </c>
      <c r="X4105">
        <v>0.92139729999999997</v>
      </c>
      <c r="Y4105">
        <v>9.1973049999999994E-3</v>
      </c>
      <c r="Z4105">
        <v>-7.7463860000000001E-4</v>
      </c>
      <c r="AA4105">
        <v>0.9999574</v>
      </c>
      <c r="AB4105">
        <v>39</v>
      </c>
      <c r="AC4105">
        <v>-0.56049999999999001</v>
      </c>
      <c r="AD4105">
        <v>-9.2146000000000006E-2</v>
      </c>
      <c r="AE4105">
        <v>1.6400000000004401E-2</v>
      </c>
      <c r="AF4105">
        <v>8.4250788357634696E-3</v>
      </c>
      <c r="AG4105">
        <v>-9.2146000000000006E-2</v>
      </c>
      <c r="AH4105">
        <v>0.545930734557594</v>
      </c>
      <c r="AI4105">
        <v>99.5793635302403</v>
      </c>
      <c r="AJ4105">
        <v>89.115852777153293</v>
      </c>
      <c r="AK4105">
        <v>0.55371674546105498</v>
      </c>
      <c r="AL4105">
        <v>67.643161596145106</v>
      </c>
      <c r="AM4105">
        <v>94.9401292107421</v>
      </c>
      <c r="AN4105">
        <v>1.00000000866556</v>
      </c>
    </row>
    <row r="4106" spans="1:40" x14ac:dyDescent="0.25">
      <c r="A4106" t="str">
        <f>"20190304164452284"</f>
        <v>20190304164452284</v>
      </c>
      <c r="B4106" t="str">
        <f>"1551689092273974"</f>
        <v>1551689092273974</v>
      </c>
      <c r="C4106" t="s">
        <v>40</v>
      </c>
      <c r="D4106">
        <v>4.552276</v>
      </c>
      <c r="E4106">
        <v>0.54937009999999997</v>
      </c>
      <c r="F4106" t="s">
        <v>41</v>
      </c>
      <c r="G4106">
        <v>-266.93639999999999</v>
      </c>
      <c r="H4106">
        <v>1.019889</v>
      </c>
      <c r="I4106">
        <v>141.01429999999999</v>
      </c>
      <c r="J4106">
        <v>-266.40649999999999</v>
      </c>
      <c r="K4106">
        <v>1.110242</v>
      </c>
      <c r="L4106">
        <v>140.99940000000001</v>
      </c>
      <c r="M4106">
        <v>-0.99988010000000005</v>
      </c>
      <c r="N4106">
        <v>-7.5780600000000002E-3</v>
      </c>
      <c r="O4106">
        <v>1.350735E-2</v>
      </c>
      <c r="P4106">
        <v>-0.92554959999999997</v>
      </c>
      <c r="Q4106">
        <v>0.37272909999999998</v>
      </c>
      <c r="R4106">
        <v>-6.65684E-2</v>
      </c>
      <c r="S4106">
        <v>-3.3827210000000001</v>
      </c>
      <c r="T4106">
        <v>-0.33467540000000001</v>
      </c>
      <c r="U4106">
        <v>7.3516849999999995E-2</v>
      </c>
      <c r="V4106">
        <v>-7.9414120000000005E-2</v>
      </c>
      <c r="W4106">
        <v>0.37965179999999998</v>
      </c>
      <c r="X4106">
        <v>0.9217147</v>
      </c>
      <c r="Y4106">
        <v>8.2343069999999997E-3</v>
      </c>
      <c r="Z4106">
        <v>-7.9317479999999995E-4</v>
      </c>
      <c r="AA4106">
        <v>0.99996580000000002</v>
      </c>
      <c r="AB4106">
        <v>39</v>
      </c>
      <c r="AC4106">
        <v>-0.52989999999999704</v>
      </c>
      <c r="AD4106">
        <v>-9.0352999999999906E-2</v>
      </c>
      <c r="AE4106">
        <v>1.4899999999983E-2</v>
      </c>
      <c r="AF4106">
        <v>7.5223620365876299E-3</v>
      </c>
      <c r="AG4106">
        <v>-9.0352999999999906E-2</v>
      </c>
      <c r="AH4106">
        <v>0.51508930280237597</v>
      </c>
      <c r="AI4106">
        <v>99.948125466360295</v>
      </c>
      <c r="AJ4106">
        <v>89.1633121528277</v>
      </c>
      <c r="AK4106">
        <v>0.52300787795314096</v>
      </c>
      <c r="AL4106">
        <v>67.687884919249598</v>
      </c>
      <c r="AM4106">
        <v>94.924392275734903</v>
      </c>
      <c r="AN4106">
        <v>1.0000000399473501</v>
      </c>
    </row>
    <row r="4107" spans="1:40" x14ac:dyDescent="0.25">
      <c r="A4107" t="str">
        <f>"20190304164452308"</f>
        <v>20190304164452308</v>
      </c>
      <c r="B4107" t="str">
        <f>"1551689092304231"</f>
        <v>1551689092304231</v>
      </c>
      <c r="C4107" t="s">
        <v>40</v>
      </c>
      <c r="D4107">
        <v>4.517309</v>
      </c>
      <c r="E4107">
        <v>0.54978009999999999</v>
      </c>
      <c r="F4107" t="s">
        <v>41</v>
      </c>
      <c r="G4107">
        <v>-267.29050000000001</v>
      </c>
      <c r="H4107">
        <v>1.022319</v>
      </c>
      <c r="I4107">
        <v>141.01929999999999</v>
      </c>
      <c r="J4107">
        <v>-266.80799999999999</v>
      </c>
      <c r="K4107">
        <v>1.1102270000000001</v>
      </c>
      <c r="L4107">
        <v>141.00450000000001</v>
      </c>
      <c r="M4107">
        <v>-0.99988410000000005</v>
      </c>
      <c r="N4107">
        <v>-7.595409E-3</v>
      </c>
      <c r="O4107">
        <v>1.319685E-2</v>
      </c>
      <c r="P4107">
        <v>-0.92553890000000005</v>
      </c>
      <c r="Q4107">
        <v>0.37285689999999999</v>
      </c>
      <c r="R4107">
        <v>-6.5996810000000003E-2</v>
      </c>
      <c r="S4107">
        <v>-3.382263</v>
      </c>
      <c r="T4107">
        <v>-0.33635279999999901</v>
      </c>
      <c r="U4107">
        <v>7.6263429999999993E-2</v>
      </c>
      <c r="V4107">
        <v>-7.8540470000000001E-2</v>
      </c>
      <c r="W4107">
        <v>0.37979960000000001</v>
      </c>
      <c r="X4107">
        <v>0.92172869999999996</v>
      </c>
      <c r="Y4107">
        <v>9.3523200000000008E-3</v>
      </c>
      <c r="Z4107">
        <v>-7.0946240000000003E-4</v>
      </c>
      <c r="AA4107">
        <v>0.99995599999999996</v>
      </c>
      <c r="AB4107">
        <v>39</v>
      </c>
      <c r="AC4107">
        <v>-0.48250000000001497</v>
      </c>
      <c r="AD4107">
        <v>-8.7908000000000097E-2</v>
      </c>
      <c r="AE4107">
        <v>1.4799999999979699E-2</v>
      </c>
      <c r="AF4107">
        <v>8.1604234190877107E-3</v>
      </c>
      <c r="AG4107">
        <v>-8.7908000000000097E-2</v>
      </c>
      <c r="AH4107">
        <v>0.467160846719616</v>
      </c>
      <c r="AI4107">
        <v>100.655424465351</v>
      </c>
      <c r="AJ4107">
        <v>88.999252020364295</v>
      </c>
      <c r="AK4107">
        <v>0.47542997978899798</v>
      </c>
      <c r="AL4107">
        <v>67.678731647507107</v>
      </c>
      <c r="AM4107">
        <v>94.870406505073404</v>
      </c>
      <c r="AN4107">
        <v>1.0000000689958299</v>
      </c>
    </row>
    <row r="4108" spans="1:40" x14ac:dyDescent="0.25">
      <c r="A4108" t="str">
        <f>"20190304164452330"</f>
        <v>20190304164452330</v>
      </c>
      <c r="B4108" t="str">
        <f>"1551689092324727"</f>
        <v>1551689092324727</v>
      </c>
      <c r="C4108" t="s">
        <v>40</v>
      </c>
      <c r="D4108">
        <v>4.5280559999999896</v>
      </c>
      <c r="E4108">
        <v>0.55006119999999903</v>
      </c>
      <c r="F4108" t="s">
        <v>41</v>
      </c>
      <c r="G4108">
        <v>-267.64620000000002</v>
      </c>
      <c r="H4108">
        <v>1.0267809999999999</v>
      </c>
      <c r="I4108">
        <v>141.02510000000001</v>
      </c>
      <c r="J4108">
        <v>-267.22190000000001</v>
      </c>
      <c r="K4108">
        <v>1.110209</v>
      </c>
      <c r="L4108">
        <v>141.00970000000001</v>
      </c>
      <c r="M4108">
        <v>-0.99988790000000005</v>
      </c>
      <c r="N4108">
        <v>-7.6122949999999998E-3</v>
      </c>
      <c r="O4108">
        <v>1.288686E-2</v>
      </c>
      <c r="P4108">
        <v>-0.92550809999999994</v>
      </c>
      <c r="Q4108">
        <v>0.37291000000000002</v>
      </c>
      <c r="R4108">
        <v>-6.612664E-2</v>
      </c>
      <c r="S4108">
        <v>-3.382965</v>
      </c>
      <c r="T4108">
        <v>-0.33690369999999997</v>
      </c>
      <c r="U4108">
        <v>8.2351679999999997E-2</v>
      </c>
      <c r="V4108">
        <v>-7.8370969999999998E-2</v>
      </c>
      <c r="W4108">
        <v>0.37987100000000001</v>
      </c>
      <c r="X4108">
        <v>0.92171360000000002</v>
      </c>
      <c r="Y4108">
        <v>1.144381E-2</v>
      </c>
      <c r="Z4108">
        <v>-5.7005640000000002E-4</v>
      </c>
      <c r="AA4108">
        <v>0.9999344</v>
      </c>
      <c r="AB4108">
        <v>39</v>
      </c>
      <c r="AC4108">
        <v>-0.424300000000016</v>
      </c>
      <c r="AD4108">
        <v>-8.3428000000000002E-2</v>
      </c>
      <c r="AE4108">
        <v>1.53999999999996E-2</v>
      </c>
      <c r="AF4108">
        <v>9.5614931267906499E-3</v>
      </c>
      <c r="AG4108">
        <v>-8.3428000000000002E-2</v>
      </c>
      <c r="AH4108">
        <v>0.40868372873591102</v>
      </c>
      <c r="AI4108">
        <v>101.534665606967</v>
      </c>
      <c r="AJ4108">
        <v>88.659762448396606</v>
      </c>
      <c r="AK4108">
        <v>0.4172218156668</v>
      </c>
      <c r="AL4108">
        <v>67.674307033288002</v>
      </c>
      <c r="AM4108">
        <v>94.860025202761506</v>
      </c>
      <c r="AN4108">
        <v>0.99999997300235</v>
      </c>
    </row>
    <row r="4109" spans="1:40" x14ac:dyDescent="0.25">
      <c r="A4109" t="str">
        <f>"20190304164452355"</f>
        <v>20190304164452355</v>
      </c>
      <c r="B4109" t="str">
        <f>"1551689092344246"</f>
        <v>1551689092344246</v>
      </c>
      <c r="C4109" t="s">
        <v>40</v>
      </c>
      <c r="D4109">
        <v>4.4973289999999997</v>
      </c>
      <c r="E4109">
        <v>0.55022389999999999</v>
      </c>
      <c r="F4109" t="s">
        <v>41</v>
      </c>
      <c r="G4109">
        <v>-268.0034</v>
      </c>
      <c r="H4109">
        <v>1.032727</v>
      </c>
      <c r="I4109">
        <v>141.02950000000001</v>
      </c>
      <c r="J4109">
        <v>-267.6456</v>
      </c>
      <c r="K4109">
        <v>1.1101920000000001</v>
      </c>
      <c r="L4109">
        <v>141.01490000000001</v>
      </c>
      <c r="M4109">
        <v>-0.99989209999999995</v>
      </c>
      <c r="N4109">
        <v>-7.6283799999999997E-3</v>
      </c>
      <c r="O4109">
        <v>1.2572359999999999E-2</v>
      </c>
      <c r="P4109">
        <v>-0.92552509999999999</v>
      </c>
      <c r="Q4109">
        <v>0.37286279999999999</v>
      </c>
      <c r="R4109">
        <v>-6.6159259999999998E-2</v>
      </c>
      <c r="S4109">
        <v>-3.3827210000000001</v>
      </c>
      <c r="T4109">
        <v>-0.33535389999999998</v>
      </c>
      <c r="U4109">
        <v>8.5525509999999999E-2</v>
      </c>
      <c r="V4109">
        <v>-7.8103900000000004E-2</v>
      </c>
      <c r="W4109">
        <v>0.37984099999999998</v>
      </c>
      <c r="X4109">
        <v>0.92174869999999998</v>
      </c>
      <c r="Y4109">
        <v>1.268977E-2</v>
      </c>
      <c r="Z4109">
        <v>-4.7147489999999997E-4</v>
      </c>
      <c r="AA4109">
        <v>0.99991940000000001</v>
      </c>
      <c r="AB4109">
        <v>40</v>
      </c>
      <c r="AC4109">
        <v>-0.35779999999999701</v>
      </c>
      <c r="AD4109">
        <v>-7.7465000000000103E-2</v>
      </c>
      <c r="AE4109">
        <v>1.4600000000001501E-2</v>
      </c>
      <c r="AF4109">
        <v>9.6488013694016207E-3</v>
      </c>
      <c r="AG4109">
        <v>-7.7465000000000103E-2</v>
      </c>
      <c r="AH4109">
        <v>0.34195326827367301</v>
      </c>
      <c r="AI4109">
        <v>102.75925329113601</v>
      </c>
      <c r="AJ4109">
        <v>88.383729598122898</v>
      </c>
      <c r="AK4109">
        <v>0.35075057131231102</v>
      </c>
      <c r="AL4109">
        <v>67.676166646805498</v>
      </c>
      <c r="AM4109">
        <v>94.843358730719004</v>
      </c>
      <c r="AN4109">
        <v>1.00000003521394</v>
      </c>
    </row>
    <row r="4110" spans="1:40" x14ac:dyDescent="0.25">
      <c r="A4110" t="str">
        <f>"20190304164452375"</f>
        <v>20190304164452375</v>
      </c>
      <c r="B4110" t="str">
        <f>"1551689092363766"</f>
        <v>1551689092363766</v>
      </c>
      <c r="C4110" t="s">
        <v>40</v>
      </c>
      <c r="D4110">
        <v>4.466348</v>
      </c>
      <c r="E4110">
        <v>0.55030429999999997</v>
      </c>
      <c r="F4110" t="s">
        <v>41</v>
      </c>
      <c r="G4110">
        <v>-268.70069999999998</v>
      </c>
      <c r="H4110">
        <v>1.0056620000000001</v>
      </c>
      <c r="I4110">
        <v>141.04239999999999</v>
      </c>
      <c r="J4110">
        <v>-268.00839999999999</v>
      </c>
      <c r="K4110">
        <v>1.1101859999999999</v>
      </c>
      <c r="L4110">
        <v>141.01929999999999</v>
      </c>
      <c r="M4110">
        <v>-0.99989530000000004</v>
      </c>
      <c r="N4110">
        <v>-7.641409E-3</v>
      </c>
      <c r="O4110">
        <v>1.2299239999999999E-2</v>
      </c>
      <c r="P4110">
        <v>-0.92561550000000004</v>
      </c>
      <c r="Q4110">
        <v>0.3725543</v>
      </c>
      <c r="R4110">
        <v>-6.6628489999999999E-2</v>
      </c>
      <c r="S4110">
        <v>-3.3826900000000002</v>
      </c>
      <c r="T4110">
        <v>-0.3351461</v>
      </c>
      <c r="U4110">
        <v>8.7524409999999997E-2</v>
      </c>
      <c r="V4110">
        <v>-7.8317629999999999E-2</v>
      </c>
      <c r="W4110">
        <v>0.3795463</v>
      </c>
      <c r="X4110">
        <v>0.92185189999999995</v>
      </c>
      <c r="Y4110">
        <v>1.354793E-2</v>
      </c>
      <c r="Z4110">
        <v>-4.0025690000000002E-4</v>
      </c>
      <c r="AA4110">
        <v>0.99990809999999997</v>
      </c>
      <c r="AB4110">
        <v>40</v>
      </c>
      <c r="AC4110">
        <v>-0.69229999999998804</v>
      </c>
      <c r="AD4110">
        <v>-0.10452400000000001</v>
      </c>
      <c r="AE4110">
        <v>2.3099999999999399E-2</v>
      </c>
      <c r="AF4110">
        <v>1.4258575760557999E-2</v>
      </c>
      <c r="AG4110">
        <v>-0.10452400000000001</v>
      </c>
      <c r="AH4110">
        <v>0.67711397122884898</v>
      </c>
      <c r="AI4110">
        <v>98.773393216006099</v>
      </c>
      <c r="AJ4110">
        <v>88.793651402194698</v>
      </c>
      <c r="AK4110">
        <v>0.68528235318883102</v>
      </c>
      <c r="AL4110">
        <v>67.694417382441998</v>
      </c>
      <c r="AM4110">
        <v>94.856008109979797</v>
      </c>
      <c r="AN4110">
        <v>0.999999985273058</v>
      </c>
    </row>
    <row r="4111" spans="1:40" x14ac:dyDescent="0.25">
      <c r="A4111" t="str">
        <f>"20190304164452395"</f>
        <v>20190304164452395</v>
      </c>
      <c r="B4111" t="str">
        <f>"1551689092384262"</f>
        <v>1551689092384262</v>
      </c>
      <c r="C4111" t="s">
        <v>40</v>
      </c>
      <c r="D4111">
        <v>4.5012339999999904</v>
      </c>
      <c r="E4111">
        <v>0.550485</v>
      </c>
      <c r="F4111" t="s">
        <v>41</v>
      </c>
      <c r="G4111">
        <v>-269.0573</v>
      </c>
      <c r="H4111">
        <v>1.006097</v>
      </c>
      <c r="I4111">
        <v>141.04669999999999</v>
      </c>
      <c r="J4111">
        <v>-268.3759</v>
      </c>
      <c r="K4111">
        <v>1.1101829999999999</v>
      </c>
      <c r="L4111">
        <v>141.02350000000001</v>
      </c>
      <c r="M4111">
        <v>-0.99989859999999997</v>
      </c>
      <c r="N4111">
        <v>-7.6539319999999996E-3</v>
      </c>
      <c r="O4111">
        <v>1.201669E-2</v>
      </c>
      <c r="P4111">
        <v>-0.92554930000000002</v>
      </c>
      <c r="Q4111">
        <v>0.37268970000000001</v>
      </c>
      <c r="R4111">
        <v>-6.6790779999999994E-2</v>
      </c>
      <c r="S4111">
        <v>-3.3825069999999999</v>
      </c>
      <c r="T4111">
        <v>-0.33576630000000002</v>
      </c>
      <c r="U4111">
        <v>8.7310789999999999E-2</v>
      </c>
      <c r="V4111">
        <v>-7.8216720000000003E-2</v>
      </c>
      <c r="W4111">
        <v>0.37969320000000001</v>
      </c>
      <c r="X4111">
        <v>0.92179999999999995</v>
      </c>
      <c r="Y4111">
        <v>1.376637E-2</v>
      </c>
      <c r="Z4111">
        <v>-3.6358879999999998E-4</v>
      </c>
      <c r="AA4111">
        <v>0.99990520000000005</v>
      </c>
      <c r="AB4111">
        <v>40</v>
      </c>
      <c r="AC4111">
        <v>-0.68139999999999601</v>
      </c>
      <c r="AD4111">
        <v>-0.104085999999999</v>
      </c>
      <c r="AE4111">
        <v>2.31999999999743E-2</v>
      </c>
      <c r="AF4111">
        <v>1.46680520827541E-2</v>
      </c>
      <c r="AG4111">
        <v>-0.104085999999999</v>
      </c>
      <c r="AH4111">
        <v>0.666105011089965</v>
      </c>
      <c r="AI4111">
        <v>98.879136427283896</v>
      </c>
      <c r="AJ4111">
        <v>88.738514705974396</v>
      </c>
      <c r="AK4111">
        <v>0.67434778337818002</v>
      </c>
      <c r="AL4111">
        <v>67.685320193783795</v>
      </c>
      <c r="AM4111">
        <v>94.850052900127807</v>
      </c>
      <c r="AN4111">
        <v>1.00000001070689</v>
      </c>
    </row>
    <row r="4112" spans="1:40" x14ac:dyDescent="0.25">
      <c r="A4112" t="str">
        <f>"20190304164452431"</f>
        <v>20190304164452431</v>
      </c>
      <c r="B4112" t="str">
        <f>"1551689092424279"</f>
        <v>1551689092424279</v>
      </c>
      <c r="C4112" t="s">
        <v>40</v>
      </c>
      <c r="D4112">
        <v>4.4645599999999996</v>
      </c>
      <c r="E4112">
        <v>0.5506721</v>
      </c>
      <c r="F4112" t="s">
        <v>41</v>
      </c>
      <c r="G4112">
        <v>-269.41500000000002</v>
      </c>
      <c r="H4112">
        <v>1.0075609999999999</v>
      </c>
      <c r="I4112">
        <v>141.05090000000001</v>
      </c>
      <c r="J4112">
        <v>-269.0111</v>
      </c>
      <c r="K4112">
        <v>1.110188</v>
      </c>
      <c r="L4112">
        <v>141.0307</v>
      </c>
      <c r="M4112">
        <v>-0.99990440000000003</v>
      </c>
      <c r="N4112">
        <v>-7.6775109999999997E-3</v>
      </c>
      <c r="O4112">
        <v>1.150119E-2</v>
      </c>
      <c r="P4112">
        <v>-0.92538770000000004</v>
      </c>
      <c r="Q4112">
        <v>0.37295</v>
      </c>
      <c r="R4112">
        <v>-6.7572160000000006E-2</v>
      </c>
      <c r="S4112">
        <v>-3.3822329999999998</v>
      </c>
      <c r="T4112">
        <v>-0.33406140000000001</v>
      </c>
      <c r="U4112">
        <v>8.8592530000000003E-2</v>
      </c>
      <c r="V4112">
        <v>-7.852431E-2</v>
      </c>
      <c r="W4112">
        <v>0.3799729</v>
      </c>
      <c r="X4112">
        <v>0.92165859999999999</v>
      </c>
      <c r="Y4112">
        <v>1.4655939999999999E-2</v>
      </c>
      <c r="Z4112">
        <v>-2.6654290000000002E-4</v>
      </c>
      <c r="AA4112">
        <v>0.99989249999999996</v>
      </c>
      <c r="AB4112">
        <v>40</v>
      </c>
      <c r="AC4112">
        <v>-0.40390000000002102</v>
      </c>
      <c r="AD4112">
        <v>-0.102626999999999</v>
      </c>
      <c r="AE4112">
        <v>2.0200000000016798E-2</v>
      </c>
      <c r="AF4112">
        <v>1.46121627614427E-2</v>
      </c>
      <c r="AG4112">
        <v>-0.102626999999999</v>
      </c>
      <c r="AH4112">
        <v>0.37965552998815799</v>
      </c>
      <c r="AI4112">
        <v>105.115775195704</v>
      </c>
      <c r="AJ4112">
        <v>87.795890849639093</v>
      </c>
      <c r="AK4112">
        <v>0.39355322115332297</v>
      </c>
      <c r="AL4112">
        <v>67.667996520605399</v>
      </c>
      <c r="AM4112">
        <v>94.869777798440197</v>
      </c>
      <c r="AN4112">
        <v>1.00000002347467</v>
      </c>
    </row>
    <row r="4113" spans="1:40" x14ac:dyDescent="0.25">
      <c r="A4113" t="str">
        <f>"20190304164452452"</f>
        <v>20190304164452452</v>
      </c>
      <c r="B4113" t="str">
        <f>"1551689092443802"</f>
        <v>1551689092443802</v>
      </c>
      <c r="C4113" t="s">
        <v>40</v>
      </c>
      <c r="D4113">
        <v>4.4751880000000002</v>
      </c>
      <c r="E4113">
        <v>0.55079219999999995</v>
      </c>
      <c r="F4113" t="s">
        <v>41</v>
      </c>
      <c r="G4113">
        <v>-269.78570000000002</v>
      </c>
      <c r="H4113">
        <v>1.034189</v>
      </c>
      <c r="I4113">
        <v>141.05109999999999</v>
      </c>
      <c r="J4113">
        <v>-269.39699999999999</v>
      </c>
      <c r="K4113">
        <v>1.110198</v>
      </c>
      <c r="L4113">
        <v>141.03489999999999</v>
      </c>
      <c r="M4113">
        <v>-0.99990800000000002</v>
      </c>
      <c r="N4113">
        <v>-7.6959139999999999E-3</v>
      </c>
      <c r="O4113">
        <v>1.1166819999999999E-2</v>
      </c>
      <c r="P4113">
        <v>-0.92484560000000005</v>
      </c>
      <c r="Q4113">
        <v>0.3742027</v>
      </c>
      <c r="R4113">
        <v>-6.806806E-2</v>
      </c>
      <c r="S4113">
        <v>-3.3821110000000001</v>
      </c>
      <c r="T4113">
        <v>-0.33196560000000003</v>
      </c>
      <c r="U4113">
        <v>8.7982179999999993E-2</v>
      </c>
      <c r="V4113">
        <v>-7.8714290000000006E-2</v>
      </c>
      <c r="W4113">
        <v>0.38123620000000003</v>
      </c>
      <c r="X4113">
        <v>0.92112050000000001</v>
      </c>
      <c r="Y4113">
        <v>1.4809009999999999E-2</v>
      </c>
      <c r="Z4113">
        <v>-2.253976E-4</v>
      </c>
      <c r="AA4113">
        <v>0.99989030000000001</v>
      </c>
      <c r="AB4113">
        <v>40</v>
      </c>
      <c r="AC4113">
        <v>-0.38870000000002802</v>
      </c>
      <c r="AD4113">
        <v>-7.6008999999999993E-2</v>
      </c>
      <c r="AE4113">
        <v>1.6199999999997699E-2</v>
      </c>
      <c r="AF4113">
        <v>1.1422303721719001E-2</v>
      </c>
      <c r="AG4113">
        <v>-7.6008999999999993E-2</v>
      </c>
      <c r="AH4113">
        <v>0.374558930607785</v>
      </c>
      <c r="AI4113">
        <v>101.466036166311</v>
      </c>
      <c r="AJ4113">
        <v>88.253286777592194</v>
      </c>
      <c r="AK4113">
        <v>0.38236400144542798</v>
      </c>
      <c r="AL4113">
        <v>67.589722700721197</v>
      </c>
      <c r="AM4113">
        <v>94.884340652730302</v>
      </c>
      <c r="AN4113">
        <v>0.99999997758044601</v>
      </c>
    </row>
    <row r="4114" spans="1:40" x14ac:dyDescent="0.25">
      <c r="A4114" t="str">
        <f>"20190304164452476"</f>
        <v>20190304164452476</v>
      </c>
      <c r="B4114" t="str">
        <f>"1551689092464295"</f>
        <v>1551689092464295</v>
      </c>
      <c r="C4114" t="s">
        <v>40</v>
      </c>
      <c r="D4114">
        <v>4.3893190000000004</v>
      </c>
      <c r="E4114">
        <v>0.55082719999999996</v>
      </c>
      <c r="F4114" t="s">
        <v>41</v>
      </c>
      <c r="G4114">
        <v>-270.14580000000001</v>
      </c>
      <c r="H4114">
        <v>1.0378700000000001</v>
      </c>
      <c r="I4114">
        <v>141.05420000000001</v>
      </c>
      <c r="J4114">
        <v>-269.79390000000001</v>
      </c>
      <c r="K4114">
        <v>1.1102190000000001</v>
      </c>
      <c r="L4114">
        <v>141.03899999999999</v>
      </c>
      <c r="M4114">
        <v>-0.99991200000000002</v>
      </c>
      <c r="N4114">
        <v>-7.7151579999999997E-3</v>
      </c>
      <c r="O4114">
        <v>1.080122E-2</v>
      </c>
      <c r="P4114">
        <v>-0.92450310000000002</v>
      </c>
      <c r="Q4114">
        <v>0.3749633</v>
      </c>
      <c r="R4114">
        <v>-6.8532259999999998E-2</v>
      </c>
      <c r="S4114">
        <v>-3.3824160000000001</v>
      </c>
      <c r="T4114">
        <v>-0.326754299999999</v>
      </c>
      <c r="U4114">
        <v>8.6959839999999997E-2</v>
      </c>
      <c r="V4114">
        <v>-7.8850890000000007E-2</v>
      </c>
      <c r="W4114">
        <v>0.3820093</v>
      </c>
      <c r="X4114">
        <v>0.92078850000000001</v>
      </c>
      <c r="Y4114">
        <v>1.4869240000000001E-2</v>
      </c>
      <c r="Z4114">
        <v>-1.8370689999999999E-4</v>
      </c>
      <c r="AA4114">
        <v>0.99988940000000004</v>
      </c>
      <c r="AB4114">
        <v>40</v>
      </c>
      <c r="AC4114">
        <v>-0.35189999999999999</v>
      </c>
      <c r="AD4114">
        <v>-7.2348999999999997E-2</v>
      </c>
      <c r="AE4114">
        <v>1.52000000000214E-2</v>
      </c>
      <c r="AF4114">
        <v>1.0936626943226901E-2</v>
      </c>
      <c r="AG4114">
        <v>-7.2348999999999997E-2</v>
      </c>
      <c r="AH4114">
        <v>0.33779196549249102</v>
      </c>
      <c r="AI4114">
        <v>102.082936977947</v>
      </c>
      <c r="AJ4114">
        <v>88.145593106032905</v>
      </c>
      <c r="AK4114">
        <v>0.34562609791677501</v>
      </c>
      <c r="AL4114">
        <v>67.541801374498604</v>
      </c>
      <c r="AM4114">
        <v>94.894531350333693</v>
      </c>
      <c r="AN4114">
        <v>1.00000001493626</v>
      </c>
    </row>
    <row r="4115" spans="1:40" x14ac:dyDescent="0.25">
      <c r="A4115" t="str">
        <f>"20190304164452498"</f>
        <v>20190304164452498</v>
      </c>
      <c r="B4115" t="str">
        <f>"1551689092494551"</f>
        <v>1551689092494551</v>
      </c>
      <c r="C4115" t="s">
        <v>40</v>
      </c>
      <c r="D4115">
        <v>4.4118810000000002</v>
      </c>
      <c r="E4115">
        <v>0.55098369999999997</v>
      </c>
      <c r="F4115" t="s">
        <v>41</v>
      </c>
      <c r="G4115">
        <v>-270.8503</v>
      </c>
      <c r="H4115">
        <v>1.0089939999999999</v>
      </c>
      <c r="I4115">
        <v>141.0652</v>
      </c>
      <c r="J4115">
        <v>-270.20490000000001</v>
      </c>
      <c r="K4115">
        <v>1.1102399999999999</v>
      </c>
      <c r="L4115">
        <v>141.04310000000001</v>
      </c>
      <c r="M4115">
        <v>-0.99991620000000003</v>
      </c>
      <c r="N4115">
        <v>-7.7340830000000001E-3</v>
      </c>
      <c r="O4115">
        <v>1.0398040000000001E-2</v>
      </c>
      <c r="P4115">
        <v>-0.92402810000000002</v>
      </c>
      <c r="Q4115">
        <v>0.3760695</v>
      </c>
      <c r="R4115">
        <v>-6.8877160000000007E-2</v>
      </c>
      <c r="S4115">
        <v>-3.3826900000000002</v>
      </c>
      <c r="T4115">
        <v>-0.32412729999999901</v>
      </c>
      <c r="U4115">
        <v>8.4091189999999996E-2</v>
      </c>
      <c r="V4115">
        <v>-7.8835569999999994E-2</v>
      </c>
      <c r="W4115">
        <v>0.38312610000000002</v>
      </c>
      <c r="X4115">
        <v>0.92032570000000002</v>
      </c>
      <c r="Y4115">
        <v>1.442395E-2</v>
      </c>
      <c r="Z4115">
        <v>-1.6832880000000001E-4</v>
      </c>
      <c r="AA4115">
        <v>0.99989589999999995</v>
      </c>
      <c r="AB4115">
        <v>40</v>
      </c>
      <c r="AC4115">
        <v>-0.64539999999999498</v>
      </c>
      <c r="AD4115">
        <v>-0.101245999999999</v>
      </c>
      <c r="AE4115">
        <v>2.20999999999946E-2</v>
      </c>
      <c r="AF4115">
        <v>1.5018548699279601E-2</v>
      </c>
      <c r="AG4115">
        <v>-0.101245999999999</v>
      </c>
      <c r="AH4115">
        <v>0.63010663889714302</v>
      </c>
      <c r="AI4115">
        <v>99.125754557869897</v>
      </c>
      <c r="AJ4115">
        <v>88.6346175294142</v>
      </c>
      <c r="AK4115">
        <v>0.63836563637408195</v>
      </c>
      <c r="AL4115">
        <v>67.472545164967599</v>
      </c>
      <c r="AM4115">
        <v>94.896033862464506</v>
      </c>
      <c r="AN4115">
        <v>1.00000002483946</v>
      </c>
    </row>
    <row r="4116" spans="1:40" x14ac:dyDescent="0.25">
      <c r="A4116" t="str">
        <f>"20190304164452520"</f>
        <v>20190304164452520</v>
      </c>
      <c r="B4116" t="str">
        <f>"1551689092514072"</f>
        <v>1551689092514072</v>
      </c>
      <c r="C4116" t="s">
        <v>40</v>
      </c>
      <c r="D4116">
        <v>4.4481070000000003</v>
      </c>
      <c r="E4116">
        <v>0.55088329999999996</v>
      </c>
      <c r="F4116" t="s">
        <v>41</v>
      </c>
      <c r="G4116">
        <v>-271.21359999999999</v>
      </c>
      <c r="H4116">
        <v>1.01484</v>
      </c>
      <c r="I4116">
        <v>141.0684</v>
      </c>
      <c r="J4116">
        <v>-270.62860000000001</v>
      </c>
      <c r="K4116">
        <v>1.110268</v>
      </c>
      <c r="L4116">
        <v>141.0472</v>
      </c>
      <c r="M4116">
        <v>-0.99992040000000004</v>
      </c>
      <c r="N4116">
        <v>-7.75233E-3</v>
      </c>
      <c r="O4116">
        <v>9.9620019999999993E-3</v>
      </c>
      <c r="P4116">
        <v>-0.92355620000000005</v>
      </c>
      <c r="Q4116">
        <v>0.3770617</v>
      </c>
      <c r="R4116">
        <v>-6.9776619999999998E-2</v>
      </c>
      <c r="S4116">
        <v>-3.3831790000000002</v>
      </c>
      <c r="T4116">
        <v>-0.32007340000000001</v>
      </c>
      <c r="U4116">
        <v>8.4030149999999998E-2</v>
      </c>
      <c r="V4116">
        <v>-7.9345260000000001E-2</v>
      </c>
      <c r="W4116">
        <v>0.38412790000000002</v>
      </c>
      <c r="X4116">
        <v>0.91986420000000002</v>
      </c>
      <c r="Y4116">
        <v>1.4835330000000001E-2</v>
      </c>
      <c r="Z4116">
        <v>-1.053833E-4</v>
      </c>
      <c r="AA4116">
        <v>0.99988999999999995</v>
      </c>
      <c r="AB4116">
        <v>40</v>
      </c>
      <c r="AC4116">
        <v>-0.58499999999997898</v>
      </c>
      <c r="AD4116">
        <v>-9.5427999999999999E-2</v>
      </c>
      <c r="AE4116">
        <v>2.11999999999932E-2</v>
      </c>
      <c r="AF4116">
        <v>1.4973095137380101E-2</v>
      </c>
      <c r="AG4116">
        <v>-9.5427999999999999E-2</v>
      </c>
      <c r="AH4116">
        <v>0.57003364266688805</v>
      </c>
      <c r="AI4116">
        <v>99.500408637777994</v>
      </c>
      <c r="AJ4116">
        <v>88.495355587119704</v>
      </c>
      <c r="AK4116">
        <v>0.57816005615579702</v>
      </c>
      <c r="AL4116">
        <v>67.410390822142205</v>
      </c>
      <c r="AM4116">
        <v>94.929992472049506</v>
      </c>
      <c r="AN4116">
        <v>1.00000003014225</v>
      </c>
    </row>
    <row r="4117" spans="1:40" x14ac:dyDescent="0.25">
      <c r="A4117" t="str">
        <f>"20190304164452542"</f>
        <v>20190304164452542</v>
      </c>
      <c r="B4117" t="str">
        <f>"1551689092534566"</f>
        <v>1551689092534566</v>
      </c>
      <c r="C4117" t="s">
        <v>40</v>
      </c>
      <c r="D4117">
        <v>4.4425239999999997</v>
      </c>
      <c r="E4117">
        <v>0.55095760000000005</v>
      </c>
      <c r="F4117" t="s">
        <v>41</v>
      </c>
      <c r="G4117">
        <v>-271.57769999999999</v>
      </c>
      <c r="H4117">
        <v>1.021293</v>
      </c>
      <c r="I4117">
        <v>141.06950000000001</v>
      </c>
      <c r="J4117">
        <v>-271.00540000000001</v>
      </c>
      <c r="K4117">
        <v>1.1102780000000001</v>
      </c>
      <c r="L4117">
        <v>141.0506</v>
      </c>
      <c r="M4117">
        <v>-0.99992409999999998</v>
      </c>
      <c r="N4117">
        <v>-7.7679209999999997E-3</v>
      </c>
      <c r="O4117">
        <v>9.5572890000000001E-3</v>
      </c>
      <c r="P4117">
        <v>-0.9234947</v>
      </c>
      <c r="Q4117">
        <v>0.37725110000000001</v>
      </c>
      <c r="R4117">
        <v>-6.9566020000000006E-2</v>
      </c>
      <c r="S4117">
        <v>-3.3838200000000001</v>
      </c>
      <c r="T4117">
        <v>-0.31726720000000003</v>
      </c>
      <c r="U4117">
        <v>7.9071039999999995E-2</v>
      </c>
      <c r="V4117">
        <v>-7.8776239999999997E-2</v>
      </c>
      <c r="W4117">
        <v>0.38432909999999998</v>
      </c>
      <c r="X4117">
        <v>0.91982900000000001</v>
      </c>
      <c r="Y4117">
        <v>1.377481E-2</v>
      </c>
      <c r="Z4117">
        <v>-1.21991E-4</v>
      </c>
      <c r="AA4117">
        <v>0.99990509999999999</v>
      </c>
      <c r="AB4117">
        <v>40</v>
      </c>
      <c r="AC4117">
        <v>-0.57229999999998404</v>
      </c>
      <c r="AD4117">
        <v>-8.8984999999999995E-2</v>
      </c>
      <c r="AE4117">
        <v>1.8900000000002099E-2</v>
      </c>
      <c r="AF4117">
        <v>1.31126672235306E-2</v>
      </c>
      <c r="AG4117">
        <v>-8.8984999999999995E-2</v>
      </c>
      <c r="AH4117">
        <v>0.55895585191871</v>
      </c>
      <c r="AI4117">
        <v>99.043054833024101</v>
      </c>
      <c r="AJ4117">
        <v>88.656132303322295</v>
      </c>
      <c r="AK4117">
        <v>0.56614655051575302</v>
      </c>
      <c r="AL4117">
        <v>67.397903025077895</v>
      </c>
      <c r="AM4117">
        <v>94.894996105155101</v>
      </c>
      <c r="AN4117">
        <v>0.99999997116817296</v>
      </c>
    </row>
    <row r="4118" spans="1:40" x14ac:dyDescent="0.25">
      <c r="A4118" t="str">
        <f>"20190304164452565"</f>
        <v>20190304164452565</v>
      </c>
      <c r="B4118" t="str">
        <f>"1551689092554087"</f>
        <v>1551689092554087</v>
      </c>
      <c r="C4118" t="s">
        <v>40</v>
      </c>
      <c r="D4118">
        <v>4.4280839999999904</v>
      </c>
      <c r="E4118">
        <v>0.55104929999999996</v>
      </c>
      <c r="F4118" t="s">
        <v>41</v>
      </c>
      <c r="G4118">
        <v>-271.94</v>
      </c>
      <c r="H4118">
        <v>1.022826</v>
      </c>
      <c r="I4118">
        <v>141.0728</v>
      </c>
      <c r="J4118">
        <v>-271.4228</v>
      </c>
      <c r="K4118">
        <v>1.110293</v>
      </c>
      <c r="L4118">
        <v>141.05420000000001</v>
      </c>
      <c r="M4118">
        <v>-0.9999285</v>
      </c>
      <c r="N4118">
        <v>-7.784231E-3</v>
      </c>
      <c r="O4118">
        <v>9.0895500000000001E-3</v>
      </c>
      <c r="P4118">
        <v>-0.92373490000000003</v>
      </c>
      <c r="Q4118">
        <v>0.3767607</v>
      </c>
      <c r="R4118">
        <v>-6.9033440000000001E-2</v>
      </c>
      <c r="S4118">
        <v>-3.3839419999999998</v>
      </c>
      <c r="T4118">
        <v>-0.31671769999999999</v>
      </c>
      <c r="U4118">
        <v>8.0001829999999996E-2</v>
      </c>
      <c r="V4118">
        <v>-7.7830590000000005E-2</v>
      </c>
      <c r="W4118">
        <v>0.38385279999999999</v>
      </c>
      <c r="X4118">
        <v>0.92010840000000005</v>
      </c>
      <c r="Y4118">
        <v>1.4511430000000001E-2</v>
      </c>
      <c r="Z4118" s="1">
        <v>-4.3976880000000001E-5</v>
      </c>
      <c r="AA4118">
        <v>0.99989470000000003</v>
      </c>
      <c r="AB4118">
        <v>40</v>
      </c>
      <c r="AC4118">
        <v>-0.51720000000000199</v>
      </c>
      <c r="AD4118">
        <v>-8.7466999999999906E-2</v>
      </c>
      <c r="AE4118">
        <v>1.8599999999992099E-2</v>
      </c>
      <c r="AF4118">
        <v>1.3512024838375301E-2</v>
      </c>
      <c r="AG4118">
        <v>-8.7466999999999906E-2</v>
      </c>
      <c r="AH4118">
        <v>0.50298085338783505</v>
      </c>
      <c r="AI4118">
        <v>99.861442198213993</v>
      </c>
      <c r="AJ4118">
        <v>88.461182295598604</v>
      </c>
      <c r="AK4118">
        <v>0.51070812582040204</v>
      </c>
      <c r="AL4118">
        <v>67.427461349759696</v>
      </c>
      <c r="AM4118">
        <v>94.835054055109495</v>
      </c>
      <c r="AN4118">
        <v>1.00000002027907</v>
      </c>
    </row>
    <row r="4119" spans="1:40" x14ac:dyDescent="0.25">
      <c r="A4119" t="str">
        <f>"20190304164452587"</f>
        <v>20190304164452587</v>
      </c>
      <c r="B4119" t="str">
        <f>"1551689092574583"</f>
        <v>1551689092574583</v>
      </c>
      <c r="C4119" t="s">
        <v>40</v>
      </c>
      <c r="D4119">
        <v>4.4126940000000001</v>
      </c>
      <c r="E4119">
        <v>0.55107340000000005</v>
      </c>
      <c r="F4119" t="s">
        <v>41</v>
      </c>
      <c r="G4119">
        <v>-272.30439999999999</v>
      </c>
      <c r="H4119">
        <v>1.0270600000000001</v>
      </c>
      <c r="I4119">
        <v>141.07560000000001</v>
      </c>
      <c r="J4119">
        <v>-271.81380000000001</v>
      </c>
      <c r="K4119">
        <v>1.110309</v>
      </c>
      <c r="L4119">
        <v>141.0575</v>
      </c>
      <c r="M4119">
        <v>-0.9999323</v>
      </c>
      <c r="N4119">
        <v>-7.7986119999999999E-3</v>
      </c>
      <c r="O4119">
        <v>8.6371550000000005E-3</v>
      </c>
      <c r="P4119">
        <v>-0.92385980000000001</v>
      </c>
      <c r="Q4119">
        <v>0.37654989999999999</v>
      </c>
      <c r="R4119">
        <v>-6.8508050000000001E-2</v>
      </c>
      <c r="S4119">
        <v>-3.384125</v>
      </c>
      <c r="T4119">
        <v>-0.31952639999999999</v>
      </c>
      <c r="U4119">
        <v>8.2092289999999998E-2</v>
      </c>
      <c r="V4119">
        <v>-7.6903769999999996E-2</v>
      </c>
      <c r="W4119">
        <v>0.38365470000000002</v>
      </c>
      <c r="X4119">
        <v>0.920269</v>
      </c>
      <c r="Y4119">
        <v>1.557248E-2</v>
      </c>
      <c r="Z4119" s="1">
        <v>4.7967999999999999E-5</v>
      </c>
      <c r="AA4119">
        <v>0.99987879999999996</v>
      </c>
      <c r="AB4119">
        <v>40</v>
      </c>
      <c r="AC4119">
        <v>-0.490599999999972</v>
      </c>
      <c r="AD4119">
        <v>-8.3248999999999906E-2</v>
      </c>
      <c r="AE4119">
        <v>1.8100000000003998E-2</v>
      </c>
      <c r="AF4119">
        <v>1.3474353734286E-2</v>
      </c>
      <c r="AG4119">
        <v>-8.3248999999999906E-2</v>
      </c>
      <c r="AH4119">
        <v>0.47702132419122201</v>
      </c>
      <c r="AI4119">
        <v>99.895600898523</v>
      </c>
      <c r="AJ4119">
        <v>88.382004470121402</v>
      </c>
      <c r="AK4119">
        <v>0.48441851527651603</v>
      </c>
      <c r="AL4119">
        <v>67.439754041856503</v>
      </c>
      <c r="AM4119">
        <v>94.776915605048799</v>
      </c>
      <c r="AN4119">
        <v>1.0000000755166401</v>
      </c>
    </row>
    <row r="4120" spans="1:40" x14ac:dyDescent="0.25">
      <c r="A4120" t="str">
        <f>"20190304164452610"</f>
        <v>20190304164452610</v>
      </c>
      <c r="B4120" t="str">
        <f>"1551689092603863"</f>
        <v>1551689092603863</v>
      </c>
      <c r="C4120" t="s">
        <v>40</v>
      </c>
      <c r="D4120">
        <v>4.4208829999999999</v>
      </c>
      <c r="E4120">
        <v>0.55118319999999998</v>
      </c>
      <c r="F4120" t="s">
        <v>41</v>
      </c>
      <c r="G4120">
        <v>-272.66849999999999</v>
      </c>
      <c r="H4120">
        <v>1.029291</v>
      </c>
      <c r="I4120">
        <v>141.0788</v>
      </c>
      <c r="J4120">
        <v>-272.24790000000002</v>
      </c>
      <c r="K4120">
        <v>1.110325</v>
      </c>
      <c r="L4120">
        <v>141.0608</v>
      </c>
      <c r="M4120">
        <v>-0.99993659999999995</v>
      </c>
      <c r="N4120">
        <v>-7.8136779999999992E-3</v>
      </c>
      <c r="O4120">
        <v>8.12271E-3</v>
      </c>
      <c r="P4120">
        <v>-0.9237242</v>
      </c>
      <c r="Q4120">
        <v>0.37699310000000003</v>
      </c>
      <c r="R4120">
        <v>-6.7898249999999993E-2</v>
      </c>
      <c r="S4120">
        <v>-3.3842469999999998</v>
      </c>
      <c r="T4120">
        <v>-0.32097779999999998</v>
      </c>
      <c r="U4120">
        <v>8.3877560000000004E-2</v>
      </c>
      <c r="V4120">
        <v>-7.5833280000000003E-2</v>
      </c>
      <c r="W4120">
        <v>0.38410899999999998</v>
      </c>
      <c r="X4120">
        <v>0.92016830000000005</v>
      </c>
      <c r="Y4120">
        <v>1.6605849999999998E-2</v>
      </c>
      <c r="Z4120">
        <v>1.4545309999999901E-4</v>
      </c>
      <c r="AA4120">
        <v>0.99986209999999998</v>
      </c>
      <c r="AB4120">
        <v>41</v>
      </c>
      <c r="AC4120">
        <v>-0.42059999999997899</v>
      </c>
      <c r="AD4120">
        <v>-8.1033999999999995E-2</v>
      </c>
      <c r="AE4120">
        <v>1.8000000000000599E-2</v>
      </c>
      <c r="AF4120">
        <v>1.4061881958952799E-2</v>
      </c>
      <c r="AG4120">
        <v>-8.1033999999999995E-2</v>
      </c>
      <c r="AH4120">
        <v>0.40570067275965799</v>
      </c>
      <c r="AI4120">
        <v>101.288914427151</v>
      </c>
      <c r="AJ4120">
        <v>88.014881085555302</v>
      </c>
      <c r="AK4120">
        <v>0.41395323595530298</v>
      </c>
      <c r="AL4120">
        <v>67.411564289508306</v>
      </c>
      <c r="AM4120">
        <v>94.711236141926804</v>
      </c>
      <c r="AN4120">
        <v>1.00000005528072</v>
      </c>
    </row>
    <row r="4121" spans="1:40" x14ac:dyDescent="0.25">
      <c r="A4121" t="str">
        <f>"20190304164452632"</f>
        <v>20190304164452632</v>
      </c>
      <c r="B4121" t="str">
        <f>"1551689092624359"</f>
        <v>1551689092624359</v>
      </c>
      <c r="C4121" t="s">
        <v>40</v>
      </c>
      <c r="D4121">
        <v>4.4336349999999998</v>
      </c>
      <c r="E4121">
        <v>0.55123789999999995</v>
      </c>
      <c r="F4121" t="s">
        <v>41</v>
      </c>
      <c r="G4121">
        <v>-273.03519999999997</v>
      </c>
      <c r="H4121">
        <v>1.035828</v>
      </c>
      <c r="I4121">
        <v>141.0813</v>
      </c>
      <c r="J4121">
        <v>-272.63799999999998</v>
      </c>
      <c r="K4121">
        <v>1.110333</v>
      </c>
      <c r="L4121">
        <v>141.06370000000001</v>
      </c>
      <c r="M4121">
        <v>-0.99994019999999995</v>
      </c>
      <c r="N4121">
        <v>-7.8263969999999902E-3</v>
      </c>
      <c r="O4121">
        <v>7.6533749999999996E-3</v>
      </c>
      <c r="P4121">
        <v>-0.92367299999999997</v>
      </c>
      <c r="Q4121">
        <v>0.37718380000000001</v>
      </c>
      <c r="R4121">
        <v>-6.7533830000000003E-2</v>
      </c>
      <c r="S4121">
        <v>-3.3848880000000001</v>
      </c>
      <c r="T4121">
        <v>-0.32033469999999997</v>
      </c>
      <c r="U4121">
        <v>8.7585449999999995E-2</v>
      </c>
      <c r="V4121">
        <v>-7.504719E-2</v>
      </c>
      <c r="W4121">
        <v>0.38431019999999999</v>
      </c>
      <c r="X4121">
        <v>0.92014870000000004</v>
      </c>
      <c r="Y4121">
        <v>1.8155919999999999E-2</v>
      </c>
      <c r="Z4121">
        <v>2.6551949999999998E-4</v>
      </c>
      <c r="AA4121">
        <v>0.99983509999999998</v>
      </c>
      <c r="AB4121">
        <v>41</v>
      </c>
      <c r="AC4121">
        <v>-0.397199999999998</v>
      </c>
      <c r="AD4121">
        <v>-7.4505000000000002E-2</v>
      </c>
      <c r="AE4121">
        <v>1.75999999999874E-2</v>
      </c>
      <c r="AF4121">
        <v>1.40655504904565E-2</v>
      </c>
      <c r="AG4121">
        <v>-7.4505000000000002E-2</v>
      </c>
      <c r="AH4121">
        <v>0.38384413977041398</v>
      </c>
      <c r="AI4121">
        <v>100.977457511457</v>
      </c>
      <c r="AJ4121">
        <v>87.901397537330993</v>
      </c>
      <c r="AK4121">
        <v>0.39126098498532802</v>
      </c>
      <c r="AL4121">
        <v>67.399077172282603</v>
      </c>
      <c r="AM4121">
        <v>94.662714655078503</v>
      </c>
      <c r="AN4121">
        <v>1.00000002033131</v>
      </c>
    </row>
    <row r="4122" spans="1:40" x14ac:dyDescent="0.25">
      <c r="A4122" t="str">
        <f>"20190304164452653"</f>
        <v>20190304164452653</v>
      </c>
      <c r="B4122" t="str">
        <f>"1551689092643879"</f>
        <v>1551689092643879</v>
      </c>
      <c r="C4122" t="s">
        <v>40</v>
      </c>
      <c r="D4122">
        <v>4.4321260000000002</v>
      </c>
      <c r="E4122">
        <v>0.55128159999999904</v>
      </c>
      <c r="F4122" t="s">
        <v>41</v>
      </c>
      <c r="G4122">
        <v>-273.4006</v>
      </c>
      <c r="H4122">
        <v>1.0381119999999999</v>
      </c>
      <c r="I4122">
        <v>141.08359999999999</v>
      </c>
      <c r="J4122">
        <v>-273.03019999999998</v>
      </c>
      <c r="K4122">
        <v>1.110339</v>
      </c>
      <c r="L4122">
        <v>141.06630000000001</v>
      </c>
      <c r="M4122">
        <v>-0.99994360000000004</v>
      </c>
      <c r="N4122">
        <v>-7.8385030000000001E-3</v>
      </c>
      <c r="O4122">
        <v>7.1770269999999999E-3</v>
      </c>
      <c r="P4122">
        <v>-0.92376389999999997</v>
      </c>
      <c r="Q4122">
        <v>0.37699480000000002</v>
      </c>
      <c r="R4122">
        <v>-6.734706E-2</v>
      </c>
      <c r="S4122">
        <v>-3.3852839999999902</v>
      </c>
      <c r="T4122">
        <v>-0.32062230000000003</v>
      </c>
      <c r="U4122">
        <v>8.8104249999999995E-2</v>
      </c>
      <c r="V4122">
        <v>-7.4431419999999998E-2</v>
      </c>
      <c r="W4122">
        <v>0.38413239999999998</v>
      </c>
      <c r="X4122">
        <v>0.92027289999999995</v>
      </c>
      <c r="Y4122">
        <v>1.87774E-2</v>
      </c>
      <c r="Z4122">
        <v>3.389062E-4</v>
      </c>
      <c r="AA4122">
        <v>0.99982360000000003</v>
      </c>
      <c r="AB4122">
        <v>41</v>
      </c>
      <c r="AC4122">
        <v>-0.37040000000001699</v>
      </c>
      <c r="AD4122">
        <v>-7.2226999999999805E-2</v>
      </c>
      <c r="AE4122">
        <v>1.7299999999977399E-2</v>
      </c>
      <c r="AF4122">
        <v>1.41059073795571E-2</v>
      </c>
      <c r="AG4122">
        <v>-7.2226999999999805E-2</v>
      </c>
      <c r="AH4122">
        <v>0.35697073536972701</v>
      </c>
      <c r="AI4122">
        <v>101.42972554648399</v>
      </c>
      <c r="AJ4122">
        <v>87.737101098414101</v>
      </c>
      <c r="AK4122">
        <v>0.36447746440953499</v>
      </c>
      <c r="AL4122">
        <v>67.410110221913996</v>
      </c>
      <c r="AM4122">
        <v>94.624001794173907</v>
      </c>
      <c r="AN4122">
        <v>0.99999997374369198</v>
      </c>
    </row>
    <row r="4123" spans="1:40" x14ac:dyDescent="0.25">
      <c r="A4123" t="str">
        <f>"20190304164452676"</f>
        <v>20190304164452676</v>
      </c>
      <c r="B4123" t="str">
        <f>"1551689092664375"</f>
        <v>1551689092664375</v>
      </c>
      <c r="C4123" t="s">
        <v>40</v>
      </c>
      <c r="D4123">
        <v>4.4329830000000001</v>
      </c>
      <c r="E4123">
        <v>0.54298859999999904</v>
      </c>
      <c r="F4123" t="s">
        <v>41</v>
      </c>
      <c r="G4123">
        <v>-273.76690000000002</v>
      </c>
      <c r="H4123">
        <v>1.040144</v>
      </c>
      <c r="I4123">
        <v>141.0855</v>
      </c>
      <c r="J4123">
        <v>-273.42880000000002</v>
      </c>
      <c r="K4123">
        <v>1.110344</v>
      </c>
      <c r="L4123">
        <v>141.06880000000001</v>
      </c>
      <c r="M4123">
        <v>-0.99994700000000003</v>
      </c>
      <c r="N4123">
        <v>-7.8499969999999992E-3</v>
      </c>
      <c r="O4123">
        <v>6.6898540000000003E-3</v>
      </c>
      <c r="P4123">
        <v>-0.92393789999999998</v>
      </c>
      <c r="Q4123">
        <v>0.37653700000000001</v>
      </c>
      <c r="R4123">
        <v>-6.751936E-2</v>
      </c>
      <c r="S4123">
        <v>-3.3856809999999999</v>
      </c>
      <c r="T4123">
        <v>-0.32268000000000002</v>
      </c>
      <c r="U4123">
        <v>8.7951660000000001E-2</v>
      </c>
      <c r="V4123">
        <v>-7.4162870000000006E-2</v>
      </c>
      <c r="W4123">
        <v>0.383685</v>
      </c>
      <c r="X4123">
        <v>0.92048129999999995</v>
      </c>
      <c r="Y4123">
        <v>1.9211700000000002E-2</v>
      </c>
      <c r="Z4123">
        <v>4.0526229999999998E-4</v>
      </c>
      <c r="AA4123">
        <v>0.99981529999999996</v>
      </c>
      <c r="AB4123">
        <v>41</v>
      </c>
      <c r="AC4123">
        <v>-0.33809999999999701</v>
      </c>
      <c r="AD4123">
        <v>-7.0199999999999999E-2</v>
      </c>
      <c r="AE4123">
        <v>1.66999999999859E-2</v>
      </c>
      <c r="AF4123">
        <v>1.38424151832233E-2</v>
      </c>
      <c r="AG4123">
        <v>-7.0199999999999999E-2</v>
      </c>
      <c r="AH4123">
        <v>0.32425917801748699</v>
      </c>
      <c r="AI4123">
        <v>102.204862532907</v>
      </c>
      <c r="AJ4123">
        <v>87.555564301512405</v>
      </c>
      <c r="AK4123">
        <v>0.33205973406403999</v>
      </c>
      <c r="AL4123">
        <v>67.437873908442896</v>
      </c>
      <c r="AM4123">
        <v>94.606351625614906</v>
      </c>
      <c r="AN4123">
        <v>1.0000000670806599</v>
      </c>
    </row>
    <row r="4124" spans="1:40" x14ac:dyDescent="0.25">
      <c r="A4124" t="str">
        <f>"20190304164452699"</f>
        <v>20190304164452699</v>
      </c>
      <c r="B4124" t="str">
        <f>"1551689092694631"</f>
        <v>1551689092694631</v>
      </c>
      <c r="C4124" t="s">
        <v>40</v>
      </c>
      <c r="D4124">
        <v>4.4578769999999999</v>
      </c>
      <c r="E4124">
        <v>0.54020419999999902</v>
      </c>
      <c r="F4124" t="s">
        <v>41</v>
      </c>
      <c r="G4124">
        <v>-274.48340000000002</v>
      </c>
      <c r="H4124">
        <v>1.008195</v>
      </c>
      <c r="I4124">
        <v>141.0753</v>
      </c>
      <c r="J4124">
        <v>-273.85739999999998</v>
      </c>
      <c r="K4124">
        <v>1.110347</v>
      </c>
      <c r="L4124">
        <v>141.07130000000001</v>
      </c>
      <c r="M4124">
        <v>-0.99995009999999995</v>
      </c>
      <c r="N4124">
        <v>-7.8619929999999994E-3</v>
      </c>
      <c r="O4124">
        <v>6.1666289999999999E-3</v>
      </c>
      <c r="P4124">
        <v>-0.92387870000000005</v>
      </c>
      <c r="Q4124">
        <v>0.37659559999999997</v>
      </c>
      <c r="R4124">
        <v>-6.7998879999999998E-2</v>
      </c>
      <c r="S4124">
        <v>-3.38205</v>
      </c>
      <c r="T4124">
        <v>-0.32772950000000001</v>
      </c>
      <c r="U4124">
        <v>2.0385739999999999E-2</v>
      </c>
      <c r="V4124">
        <v>-7.4166739999999995E-2</v>
      </c>
      <c r="W4124">
        <v>0.38375320000000002</v>
      </c>
      <c r="X4124">
        <v>0.92045250000000001</v>
      </c>
      <c r="Y4124">
        <v>-1.1433709999999999E-4</v>
      </c>
      <c r="Z4124">
        <v>-5.5375420000000001E-4</v>
      </c>
      <c r="AA4124">
        <v>0.99999979999999999</v>
      </c>
      <c r="AB4124">
        <v>41</v>
      </c>
      <c r="AC4124">
        <v>-0.62600000000003297</v>
      </c>
      <c r="AD4124">
        <v>-0.10215199999999899</v>
      </c>
      <c r="AE4124">
        <v>3.9999999999906699E-3</v>
      </c>
      <c r="AF4124">
        <v>1.35876917116157E-4</v>
      </c>
      <c r="AG4124">
        <v>-0.10215199999999899</v>
      </c>
      <c r="AH4124">
        <v>0.60977606547944896</v>
      </c>
      <c r="AI4124">
        <v>99.510097813883903</v>
      </c>
      <c r="AJ4124">
        <v>89.987232733136096</v>
      </c>
      <c r="AK4124">
        <v>0.61827332111141098</v>
      </c>
      <c r="AL4124">
        <v>67.433641158338901</v>
      </c>
      <c r="AM4124">
        <v>94.606734476870798</v>
      </c>
      <c r="AN4124">
        <v>1.0000000142943499</v>
      </c>
    </row>
    <row r="4125" spans="1:40" x14ac:dyDescent="0.25">
      <c r="A4125" t="str">
        <f>"20190304164452721"</f>
        <v>20190304164452721</v>
      </c>
      <c r="B4125" t="str">
        <f>"1551689092714151"</f>
        <v>1551689092714151</v>
      </c>
      <c r="C4125" t="s">
        <v>40</v>
      </c>
      <c r="D4125">
        <v>4.3961870000000003</v>
      </c>
      <c r="E4125">
        <v>0.53922349999999997</v>
      </c>
      <c r="F4125" t="s">
        <v>41</v>
      </c>
      <c r="G4125">
        <v>-274.85449999999997</v>
      </c>
      <c r="H4125">
        <v>1.016656</v>
      </c>
      <c r="I4125">
        <v>141.07060000000001</v>
      </c>
      <c r="J4125">
        <v>-274.29020000000003</v>
      </c>
      <c r="K4125">
        <v>1.1103540000000001</v>
      </c>
      <c r="L4125">
        <v>141.0735</v>
      </c>
      <c r="M4125">
        <v>-0.99995299999999998</v>
      </c>
      <c r="N4125">
        <v>-7.8734219999999997E-3</v>
      </c>
      <c r="O4125">
        <v>5.6410449999999999E-3</v>
      </c>
      <c r="P4125">
        <v>-0.92388250000000005</v>
      </c>
      <c r="Q4125">
        <v>0.3765366</v>
      </c>
      <c r="R4125">
        <v>-6.8270949999999997E-2</v>
      </c>
      <c r="S4125">
        <v>-3.376312</v>
      </c>
      <c r="T4125">
        <v>-0.31738139999999998</v>
      </c>
      <c r="U4125">
        <v>-3.067017E-3</v>
      </c>
      <c r="V4125">
        <v>-7.3958999999999997E-2</v>
      </c>
      <c r="W4125">
        <v>0.3837044</v>
      </c>
      <c r="X4125">
        <v>0.92048949999999996</v>
      </c>
      <c r="Y4125">
        <v>-6.4976640000000002E-3</v>
      </c>
      <c r="Z4125">
        <v>-8.1514479999999904E-4</v>
      </c>
      <c r="AA4125">
        <v>0.99997849999999999</v>
      </c>
      <c r="AB4125">
        <v>41</v>
      </c>
      <c r="AC4125">
        <v>-0.56429999999994596</v>
      </c>
      <c r="AD4125">
        <v>-9.3698000000000004E-2</v>
      </c>
      <c r="AE4125">
        <v>-2.8999999999825801E-3</v>
      </c>
      <c r="AF4125">
        <v>-5.9200807797741301E-3</v>
      </c>
      <c r="AG4125">
        <v>-9.3698000000000004E-2</v>
      </c>
      <c r="AH4125">
        <v>0.549135270259964</v>
      </c>
      <c r="AI4125">
        <v>99.682475682586201</v>
      </c>
      <c r="AJ4125">
        <v>90.617666577669496</v>
      </c>
      <c r="AK4125">
        <v>0.55710313910794196</v>
      </c>
      <c r="AL4125">
        <v>67.436667690962906</v>
      </c>
      <c r="AM4125">
        <v>94.593702518916302</v>
      </c>
      <c r="AN4125">
        <v>0.99999995993530399</v>
      </c>
    </row>
    <row r="4126" spans="1:40" x14ac:dyDescent="0.25">
      <c r="A4126" t="str">
        <f>"20190304164452737"</f>
        <v>20190304164452737</v>
      </c>
      <c r="B4126" t="str">
        <f>"1551689092734309"</f>
        <v>1551689092734309</v>
      </c>
      <c r="C4126" t="s">
        <v>40</v>
      </c>
      <c r="D4126">
        <v>4.4609680000000003</v>
      </c>
      <c r="E4126">
        <v>0.53912850000000001</v>
      </c>
      <c r="F4126" t="s">
        <v>41</v>
      </c>
      <c r="G4126">
        <v>-275.22519999999997</v>
      </c>
      <c r="H4126">
        <v>1.023001</v>
      </c>
      <c r="I4126">
        <v>141.0702</v>
      </c>
      <c r="J4126">
        <v>-274.5616</v>
      </c>
      <c r="K4126">
        <v>1.1103540000000001</v>
      </c>
      <c r="L4126">
        <v>141.07490000000001</v>
      </c>
      <c r="M4126">
        <v>-0.99995480000000003</v>
      </c>
      <c r="N4126">
        <v>-7.8803520000000002E-3</v>
      </c>
      <c r="O4126">
        <v>5.316215E-3</v>
      </c>
      <c r="P4126">
        <v>-0.92385490000000003</v>
      </c>
      <c r="Q4126">
        <v>0.37665710000000002</v>
      </c>
      <c r="R4126">
        <v>-6.7984520000000007E-2</v>
      </c>
      <c r="S4126">
        <v>-3.3747250000000002</v>
      </c>
      <c r="T4126">
        <v>-0.31531140000000002</v>
      </c>
      <c r="U4126">
        <v>-1.237488E-2</v>
      </c>
      <c r="V4126">
        <v>-7.3373649999999999E-2</v>
      </c>
      <c r="W4126">
        <v>0.3838316</v>
      </c>
      <c r="X4126">
        <v>0.92048339999999995</v>
      </c>
      <c r="Y4126">
        <v>-8.9216369999999996E-3</v>
      </c>
      <c r="Z4126">
        <v>-9.0493669999999998E-4</v>
      </c>
      <c r="AA4126">
        <v>0.99995979999999995</v>
      </c>
      <c r="AB4126">
        <v>41</v>
      </c>
      <c r="AC4126">
        <v>-0.66359999999997399</v>
      </c>
      <c r="AD4126">
        <v>-8.7353E-2</v>
      </c>
      <c r="AE4126">
        <v>-4.7000000000139101E-3</v>
      </c>
      <c r="AF4126">
        <v>-8.0877477862617893E-3</v>
      </c>
      <c r="AG4126">
        <v>-8.7353E-2</v>
      </c>
      <c r="AH4126">
        <v>0.65226391705252096</v>
      </c>
      <c r="AI4126">
        <v>97.627244534245094</v>
      </c>
      <c r="AJ4126">
        <v>90.710402730283306</v>
      </c>
      <c r="AK4126">
        <v>0.658136897432405</v>
      </c>
      <c r="AL4126">
        <v>67.428777246161701</v>
      </c>
      <c r="AM4126">
        <v>94.557529412648805</v>
      </c>
      <c r="AN4126">
        <v>1.0000000396742199</v>
      </c>
    </row>
    <row r="4127" spans="1:40" x14ac:dyDescent="0.25">
      <c r="A4127" t="str">
        <f>"20190304164452755"</f>
        <v>20190304164452755</v>
      </c>
      <c r="B4127" t="str">
        <f>"1551689092744069"</f>
        <v>1551689092744069</v>
      </c>
      <c r="C4127" t="s">
        <v>40</v>
      </c>
      <c r="D4127">
        <v>4.4476239999999896</v>
      </c>
      <c r="E4127">
        <v>0.53906869999999996</v>
      </c>
      <c r="F4127" t="s">
        <v>41</v>
      </c>
      <c r="G4127">
        <v>-275.58949999999999</v>
      </c>
      <c r="H4127">
        <v>1.014699</v>
      </c>
      <c r="I4127">
        <v>141.0711</v>
      </c>
      <c r="J4127">
        <v>-274.89870000000002</v>
      </c>
      <c r="K4127">
        <v>1.110352</v>
      </c>
      <c r="L4127">
        <v>141.07640000000001</v>
      </c>
      <c r="M4127">
        <v>-0.99995679999999998</v>
      </c>
      <c r="N4127">
        <v>-7.8886849999999994E-3</v>
      </c>
      <c r="O4127">
        <v>4.9234129999999997E-3</v>
      </c>
      <c r="P4127">
        <v>-0.92404280000000005</v>
      </c>
      <c r="Q4127">
        <v>0.37626419999999999</v>
      </c>
      <c r="R4127">
        <v>-6.7606429999999995E-2</v>
      </c>
      <c r="S4127">
        <v>-3.37439</v>
      </c>
      <c r="T4127">
        <v>-0.31407180000000001</v>
      </c>
      <c r="U4127">
        <v>-1.248169E-2</v>
      </c>
      <c r="V4127">
        <v>-7.2631169999999995E-2</v>
      </c>
      <c r="W4127">
        <v>0.3834494</v>
      </c>
      <c r="X4127">
        <v>0.92070149999999995</v>
      </c>
      <c r="Y4127">
        <v>-8.5644169999999995E-3</v>
      </c>
      <c r="Z4127">
        <v>-8.5006109999999997E-4</v>
      </c>
      <c r="AA4127">
        <v>0.99996300000000005</v>
      </c>
      <c r="AB4127">
        <v>41</v>
      </c>
      <c r="AC4127">
        <v>-0.690799999999967</v>
      </c>
      <c r="AD4127">
        <v>-9.5653000000000002E-2</v>
      </c>
      <c r="AE4127">
        <v>-5.3000000000054098E-3</v>
      </c>
      <c r="AF4127">
        <v>-8.5374552456014101E-3</v>
      </c>
      <c r="AG4127">
        <v>-9.5653000000000002E-2</v>
      </c>
      <c r="AH4127">
        <v>0.67777131388321499</v>
      </c>
      <c r="AI4127">
        <v>98.032399514771498</v>
      </c>
      <c r="AJ4127">
        <v>90.7216804169407</v>
      </c>
      <c r="AK4127">
        <v>0.68454096917134899</v>
      </c>
      <c r="AL4127">
        <v>67.452488977436303</v>
      </c>
      <c r="AM4127">
        <v>94.510538070409496</v>
      </c>
      <c r="AN4127">
        <v>0.99999999065908896</v>
      </c>
    </row>
    <row r="4128" spans="1:40" x14ac:dyDescent="0.25">
      <c r="A4128" t="str">
        <f>"20190304164452777"</f>
        <v>20190304164452777</v>
      </c>
      <c r="B4128" t="str">
        <f>"1551689092774325"</f>
        <v>1551689092774325</v>
      </c>
      <c r="C4128" t="s">
        <v>40</v>
      </c>
      <c r="D4128">
        <v>4.4537979999999999</v>
      </c>
      <c r="E4128">
        <v>0.53918599999999905</v>
      </c>
      <c r="F4128" t="s">
        <v>41</v>
      </c>
      <c r="G4128">
        <v>-275.95670000000001</v>
      </c>
      <c r="H4128">
        <v>1.0112620000000001</v>
      </c>
      <c r="I4128">
        <v>141.0729</v>
      </c>
      <c r="J4128">
        <v>-275.3064</v>
      </c>
      <c r="K4128">
        <v>1.1103369999999999</v>
      </c>
      <c r="L4128">
        <v>141.07810000000001</v>
      </c>
      <c r="M4128">
        <v>-0.99995889999999998</v>
      </c>
      <c r="N4128">
        <v>-7.8983869999999998E-3</v>
      </c>
      <c r="O4128">
        <v>4.4720480000000002E-3</v>
      </c>
      <c r="P4128">
        <v>-0.92420069999999999</v>
      </c>
      <c r="Q4128">
        <v>0.37582860000000001</v>
      </c>
      <c r="R4128">
        <v>-6.7868990000000004E-2</v>
      </c>
      <c r="S4128">
        <v>-3.3744809999999998</v>
      </c>
      <c r="T4128">
        <v>-0.31610510000000003</v>
      </c>
      <c r="U4128">
        <v>-1.1550899999999999E-2</v>
      </c>
      <c r="V4128">
        <v>-7.2466680000000006E-2</v>
      </c>
      <c r="W4128">
        <v>0.38302659999999999</v>
      </c>
      <c r="X4128">
        <v>0.92089049999999995</v>
      </c>
      <c r="Y4128">
        <v>-7.8414709999999992E-3</v>
      </c>
      <c r="Z4128">
        <v>-7.8026549999999999E-4</v>
      </c>
      <c r="AA4128">
        <v>0.99996890000000005</v>
      </c>
      <c r="AB4128">
        <v>41</v>
      </c>
      <c r="AC4128">
        <v>-0.65030000000001498</v>
      </c>
      <c r="AD4128">
        <v>-9.9074999999999996E-2</v>
      </c>
      <c r="AE4128">
        <v>-5.2000000000020901E-3</v>
      </c>
      <c r="AF4128">
        <v>-7.9242894566376506E-3</v>
      </c>
      <c r="AG4128">
        <v>-9.9074999999999996E-2</v>
      </c>
      <c r="AH4128">
        <v>0.63551990112223899</v>
      </c>
      <c r="AI4128">
        <v>98.860180018195706</v>
      </c>
      <c r="AJ4128">
        <v>90.714383314799093</v>
      </c>
      <c r="AK4128">
        <v>0.64324505028084999</v>
      </c>
      <c r="AL4128">
        <v>67.478717599658793</v>
      </c>
      <c r="AM4128">
        <v>94.499445084928098</v>
      </c>
      <c r="AN4128">
        <v>1.00000005450401</v>
      </c>
    </row>
    <row r="4129" spans="1:40" x14ac:dyDescent="0.25">
      <c r="A4129" t="str">
        <f>"20190304164452800"</f>
        <v>20190304164452800</v>
      </c>
      <c r="B4129" t="str">
        <f>"1551689092793845"</f>
        <v>1551689092793845</v>
      </c>
      <c r="C4129" t="s">
        <v>40</v>
      </c>
      <c r="D4129">
        <v>4.4628259999999997</v>
      </c>
      <c r="E4129">
        <v>0.53920259999999998</v>
      </c>
      <c r="F4129" t="s">
        <v>41</v>
      </c>
      <c r="G4129">
        <v>-276.32749999999999</v>
      </c>
      <c r="H4129">
        <v>1.014024</v>
      </c>
      <c r="I4129">
        <v>141.07499999999999</v>
      </c>
      <c r="J4129">
        <v>-275.73090000000002</v>
      </c>
      <c r="K4129">
        <v>1.1103160000000001</v>
      </c>
      <c r="L4129">
        <v>141.0796</v>
      </c>
      <c r="M4129">
        <v>-0.99996070000000004</v>
      </c>
      <c r="N4129">
        <v>-7.9081710000000003E-3</v>
      </c>
      <c r="O4129">
        <v>4.0329889999999998E-3</v>
      </c>
      <c r="P4129">
        <v>-0.924458</v>
      </c>
      <c r="Q4129">
        <v>0.37513220000000003</v>
      </c>
      <c r="R4129">
        <v>-6.8217780000000006E-2</v>
      </c>
      <c r="S4129">
        <v>-3.3747560000000001</v>
      </c>
      <c r="T4129">
        <v>-0.31845780000000001</v>
      </c>
      <c r="U4129">
        <v>-1.106262E-2</v>
      </c>
      <c r="V4129">
        <v>-7.2392650000000003E-2</v>
      </c>
      <c r="W4129">
        <v>0.38234469999999998</v>
      </c>
      <c r="X4129">
        <v>0.92117959999999999</v>
      </c>
      <c r="Y4129">
        <v>-7.2610879999999997E-3</v>
      </c>
      <c r="Z4129">
        <v>-7.1851339999999997E-4</v>
      </c>
      <c r="AA4129">
        <v>0.99997340000000001</v>
      </c>
      <c r="AB4129">
        <v>41</v>
      </c>
      <c r="AC4129">
        <v>-0.59659999999996605</v>
      </c>
      <c r="AD4129">
        <v>-9.6292000000000003E-2</v>
      </c>
      <c r="AE4129">
        <v>-4.6000000000105904E-3</v>
      </c>
      <c r="AF4129">
        <v>-6.8282509215570903E-3</v>
      </c>
      <c r="AG4129">
        <v>-9.6292000000000003E-2</v>
      </c>
      <c r="AH4129">
        <v>0.58143100245255197</v>
      </c>
      <c r="AI4129">
        <v>99.402885279981803</v>
      </c>
      <c r="AJ4129">
        <v>90.672843335060904</v>
      </c>
      <c r="AK4129">
        <v>0.58939018051510395</v>
      </c>
      <c r="AL4129">
        <v>67.521005650069895</v>
      </c>
      <c r="AM4129">
        <v>94.493462542718206</v>
      </c>
      <c r="AN4129">
        <v>1.00000001042413</v>
      </c>
    </row>
    <row r="4130" spans="1:40" x14ac:dyDescent="0.25">
      <c r="A4130" t="str">
        <f>"20190304164452822"</f>
        <v>20190304164452822</v>
      </c>
      <c r="B4130" t="str">
        <f>"1551689092814341"</f>
        <v>1551689092814341</v>
      </c>
      <c r="C4130" t="s">
        <v>40</v>
      </c>
      <c r="D4130">
        <v>4.4541789999999999</v>
      </c>
      <c r="E4130">
        <v>0.53921260000000004</v>
      </c>
      <c r="F4130" t="s">
        <v>41</v>
      </c>
      <c r="G4130">
        <v>-276.69970000000001</v>
      </c>
      <c r="H4130">
        <v>1.0180549999999999</v>
      </c>
      <c r="I4130">
        <v>141.07660000000001</v>
      </c>
      <c r="J4130">
        <v>-276.13420000000002</v>
      </c>
      <c r="K4130">
        <v>1.1102799999999999</v>
      </c>
      <c r="L4130">
        <v>141.08099999999999</v>
      </c>
      <c r="M4130">
        <v>-0.99996209999999996</v>
      </c>
      <c r="N4130">
        <v>-7.9171959999999996E-3</v>
      </c>
      <c r="O4130">
        <v>3.6497169999999998E-3</v>
      </c>
      <c r="P4130">
        <v>-0.92447109999999999</v>
      </c>
      <c r="Q4130">
        <v>0.37498920000000002</v>
      </c>
      <c r="R4130">
        <v>-6.8819859999999997E-2</v>
      </c>
      <c r="S4130">
        <v>-3.3747250000000002</v>
      </c>
      <c r="T4130">
        <v>-0.32144020000000001</v>
      </c>
      <c r="U4130">
        <v>-1.1428829999999999E-2</v>
      </c>
      <c r="V4130">
        <v>-7.2618719999999998E-2</v>
      </c>
      <c r="W4130">
        <v>0.38221369999999999</v>
      </c>
      <c r="X4130">
        <v>0.92121609999999998</v>
      </c>
      <c r="Y4130">
        <v>-6.9882089999999996E-3</v>
      </c>
      <c r="Z4130">
        <v>-6.7780130000000001E-4</v>
      </c>
      <c r="AA4130">
        <v>0.99997530000000001</v>
      </c>
      <c r="AB4130">
        <v>41</v>
      </c>
      <c r="AC4130">
        <v>-0.56549999999998501</v>
      </c>
      <c r="AD4130">
        <v>-9.2225000000000001E-2</v>
      </c>
      <c r="AE4130">
        <v>-4.4000000000039502E-3</v>
      </c>
      <c r="AF4130">
        <v>-6.2964926665601099E-3</v>
      </c>
      <c r="AG4130">
        <v>-9.2225000000000001E-2</v>
      </c>
      <c r="AH4130">
        <v>0.55083063692263101</v>
      </c>
      <c r="AI4130">
        <v>99.504203045333398</v>
      </c>
      <c r="AJ4130">
        <v>90.654914087017005</v>
      </c>
      <c r="AK4130">
        <v>0.55853333563673002</v>
      </c>
      <c r="AL4130">
        <v>67.529126836214104</v>
      </c>
      <c r="AM4130">
        <v>94.507259274952901</v>
      </c>
      <c r="AN4130">
        <v>0.99999994693066696</v>
      </c>
    </row>
    <row r="4131" spans="1:40" x14ac:dyDescent="0.25">
      <c r="A4131" t="str">
        <f>"20190304164452844"</f>
        <v>20190304164452844</v>
      </c>
      <c r="B4131" t="str">
        <f>"1551689092834440"</f>
        <v>1551689092834440</v>
      </c>
      <c r="C4131" t="s">
        <v>40</v>
      </c>
      <c r="D4131">
        <v>4.4675989999999999</v>
      </c>
      <c r="E4131">
        <v>0.53926130000000005</v>
      </c>
      <c r="F4131" t="s">
        <v>41</v>
      </c>
      <c r="G4131">
        <v>-277.072</v>
      </c>
      <c r="H4131">
        <v>1.02094</v>
      </c>
      <c r="I4131">
        <v>141.07730000000001</v>
      </c>
      <c r="J4131">
        <v>-276.53129999999999</v>
      </c>
      <c r="K4131">
        <v>1.1102449999999999</v>
      </c>
      <c r="L4131">
        <v>141.0822</v>
      </c>
      <c r="M4131">
        <v>-0.99996320000000005</v>
      </c>
      <c r="N4131">
        <v>-7.9258680000000008E-3</v>
      </c>
      <c r="O4131">
        <v>3.311264E-3</v>
      </c>
      <c r="P4131">
        <v>-0.92450900000000003</v>
      </c>
      <c r="Q4131">
        <v>0.37470199999999998</v>
      </c>
      <c r="R4131">
        <v>-6.9870669999999996E-2</v>
      </c>
      <c r="S4131">
        <v>-3.3745120000000002</v>
      </c>
      <c r="T4131">
        <v>-0.32156059999999997</v>
      </c>
      <c r="U4131">
        <v>-1.3732909999999999E-2</v>
      </c>
      <c r="V4131">
        <v>-7.3329649999999996E-2</v>
      </c>
      <c r="W4131">
        <v>0.38193959999999999</v>
      </c>
      <c r="X4131">
        <v>0.92127349999999997</v>
      </c>
      <c r="Y4131">
        <v>-7.332285E-3</v>
      </c>
      <c r="Z4131">
        <v>-6.6631749999999999E-4</v>
      </c>
      <c r="AA4131">
        <v>0.99997290000000005</v>
      </c>
      <c r="AB4131">
        <v>41</v>
      </c>
      <c r="AC4131">
        <v>-0.54070000000001495</v>
      </c>
      <c r="AD4131">
        <v>-8.9305000000000107E-2</v>
      </c>
      <c r="AE4131">
        <v>-4.8999999999921303E-3</v>
      </c>
      <c r="AF4131">
        <v>-6.5127779333424398E-3</v>
      </c>
      <c r="AG4131">
        <v>-8.9305000000000107E-2</v>
      </c>
      <c r="AH4131">
        <v>0.52632405243805702</v>
      </c>
      <c r="AI4131">
        <v>99.6293251318084</v>
      </c>
      <c r="AJ4131">
        <v>90.708946594682899</v>
      </c>
      <c r="AK4131">
        <v>0.53388651179461999</v>
      </c>
      <c r="AL4131">
        <v>67.546121694951097</v>
      </c>
      <c r="AM4131">
        <v>94.550918035137897</v>
      </c>
      <c r="AN4131">
        <v>0.99999997870976498</v>
      </c>
    </row>
    <row r="4132" spans="1:40" x14ac:dyDescent="0.25">
      <c r="A4132" t="str">
        <f>"20190304164452865"</f>
        <v>20190304164452865</v>
      </c>
      <c r="B4132" t="str">
        <f>"1551689092853960"</f>
        <v>1551689092853960</v>
      </c>
      <c r="C4132" t="s">
        <v>40</v>
      </c>
      <c r="D4132">
        <v>4.5062670000000002</v>
      </c>
      <c r="E4132">
        <v>0.53933160000000002</v>
      </c>
      <c r="F4132" t="s">
        <v>41</v>
      </c>
      <c r="G4132">
        <v>-277.44459999999998</v>
      </c>
      <c r="H4132">
        <v>1.0229140000000001</v>
      </c>
      <c r="I4132">
        <v>141.07749999999999</v>
      </c>
      <c r="J4132">
        <v>-276.94139999999999</v>
      </c>
      <c r="K4132">
        <v>1.110204</v>
      </c>
      <c r="L4132">
        <v>141.08330000000001</v>
      </c>
      <c r="M4132">
        <v>-0.99996410000000002</v>
      </c>
      <c r="N4132">
        <v>-7.9346199999999999E-3</v>
      </c>
      <c r="O4132">
        <v>3.008279E-3</v>
      </c>
      <c r="P4132">
        <v>-0.92422280000000001</v>
      </c>
      <c r="Q4132">
        <v>0.37522650000000002</v>
      </c>
      <c r="R4132">
        <v>-7.0833709999999994E-2</v>
      </c>
      <c r="S4132">
        <v>-3.37439</v>
      </c>
      <c r="T4132">
        <v>-0.32272279999999998</v>
      </c>
      <c r="U4132">
        <v>-1.8066410000000001E-2</v>
      </c>
      <c r="V4132">
        <v>-7.3980470000000007E-2</v>
      </c>
      <c r="W4132">
        <v>0.38247589999999998</v>
      </c>
      <c r="X4132">
        <v>0.92099889999999995</v>
      </c>
      <c r="Y4132">
        <v>-8.3095889999999992E-3</v>
      </c>
      <c r="Z4132">
        <v>-6.9273299999999996E-4</v>
      </c>
      <c r="AA4132">
        <v>0.99996529999999995</v>
      </c>
      <c r="AB4132">
        <v>41</v>
      </c>
      <c r="AC4132">
        <v>-0.50319999999999199</v>
      </c>
      <c r="AD4132">
        <v>-8.7290000000000298E-2</v>
      </c>
      <c r="AE4132">
        <v>-5.8000000000220098E-3</v>
      </c>
      <c r="AF4132">
        <v>-7.10015927005604E-3</v>
      </c>
      <c r="AG4132">
        <v>-8.7290000000000298E-2</v>
      </c>
      <c r="AH4132">
        <v>0.48848291193306498</v>
      </c>
      <c r="AI4132">
        <v>100.130546987663</v>
      </c>
      <c r="AJ4132">
        <v>90.832742568692197</v>
      </c>
      <c r="AK4132">
        <v>0.49627161072568599</v>
      </c>
      <c r="AL4132">
        <v>67.512868621631796</v>
      </c>
      <c r="AM4132">
        <v>94.592499728116707</v>
      </c>
      <c r="AN4132">
        <v>0.99999994891171895</v>
      </c>
    </row>
    <row r="4133" spans="1:40" x14ac:dyDescent="0.25">
      <c r="A4133" t="str">
        <f>"20190304164452890"</f>
        <v>20190304164452890</v>
      </c>
      <c r="B4133" t="str">
        <f>"1551689092884216"</f>
        <v>1551689092884216</v>
      </c>
      <c r="C4133" t="s">
        <v>40</v>
      </c>
      <c r="D4133">
        <v>4.475517</v>
      </c>
      <c r="E4133">
        <v>0.53938549999999996</v>
      </c>
      <c r="F4133" t="s">
        <v>41</v>
      </c>
      <c r="G4133">
        <v>-277.81880000000001</v>
      </c>
      <c r="H4133">
        <v>1.026859</v>
      </c>
      <c r="I4133">
        <v>141.07810000000001</v>
      </c>
      <c r="J4133">
        <v>-277.3784</v>
      </c>
      <c r="K4133">
        <v>1.1101589999999999</v>
      </c>
      <c r="L4133">
        <v>141.08439999999999</v>
      </c>
      <c r="M4133">
        <v>-0.99996470000000004</v>
      </c>
      <c r="N4133">
        <v>-7.9437669999999991E-3</v>
      </c>
      <c r="O4133">
        <v>2.7393370000000001E-3</v>
      </c>
      <c r="P4133">
        <v>-0.92413630000000002</v>
      </c>
      <c r="Q4133">
        <v>0.37522040000000001</v>
      </c>
      <c r="R4133">
        <v>-7.1984439999999997E-2</v>
      </c>
      <c r="S4133">
        <v>-3.3745419999999999</v>
      </c>
      <c r="T4133">
        <v>-0.32070159999999998</v>
      </c>
      <c r="U4133">
        <v>-2.113342E-2</v>
      </c>
      <c r="V4133">
        <v>-7.4843580000000007E-2</v>
      </c>
      <c r="W4133">
        <v>0.3824843</v>
      </c>
      <c r="X4133">
        <v>0.92092569999999996</v>
      </c>
      <c r="Y4133">
        <v>-8.9477629999999992E-3</v>
      </c>
      <c r="Z4133">
        <v>-6.9787619999999904E-4</v>
      </c>
      <c r="AA4133">
        <v>0.99995970000000001</v>
      </c>
      <c r="AB4133">
        <v>42</v>
      </c>
      <c r="AC4133">
        <v>-0.44040000000001001</v>
      </c>
      <c r="AD4133">
        <v>-8.3300000000000096E-2</v>
      </c>
      <c r="AE4133">
        <v>-6.2999999999817603E-3</v>
      </c>
      <c r="AF4133">
        <v>-7.2471937313399702E-3</v>
      </c>
      <c r="AG4133">
        <v>-8.3300000000000096E-2</v>
      </c>
      <c r="AH4133">
        <v>0.42517308297135398</v>
      </c>
      <c r="AI4133">
        <v>101.083422896532</v>
      </c>
      <c r="AJ4133">
        <v>90.976527968383294</v>
      </c>
      <c r="AK4133">
        <v>0.433316930548929</v>
      </c>
      <c r="AL4133">
        <v>67.512348303353406</v>
      </c>
      <c r="AM4133">
        <v>94.646213632760904</v>
      </c>
      <c r="AN4133">
        <v>0.99999997306709698</v>
      </c>
    </row>
    <row r="4134" spans="1:40" x14ac:dyDescent="0.25">
      <c r="A4134" t="str">
        <f>"20190304164452901"</f>
        <v>20190304164452901</v>
      </c>
      <c r="B4134" t="str">
        <f>"1551689092893976"</f>
        <v>1551689092893976</v>
      </c>
      <c r="C4134" t="s">
        <v>40</v>
      </c>
      <c r="D4134">
        <v>4.484915</v>
      </c>
      <c r="E4134">
        <v>0.53940619999999995</v>
      </c>
      <c r="F4134" t="s">
        <v>41</v>
      </c>
      <c r="G4134">
        <v>-278.19540000000001</v>
      </c>
      <c r="H4134">
        <v>1.0327759999999999</v>
      </c>
      <c r="I4134">
        <v>141.07839999999999</v>
      </c>
      <c r="J4134">
        <v>-277.61360000000002</v>
      </c>
      <c r="K4134">
        <v>1.1101299999999901</v>
      </c>
      <c r="L4134">
        <v>141.08500000000001</v>
      </c>
      <c r="M4134">
        <v>-0.99996499999999999</v>
      </c>
      <c r="N4134">
        <v>-7.9486909999999904E-3</v>
      </c>
      <c r="O4134">
        <v>2.6198889999999998E-3</v>
      </c>
      <c r="P4134">
        <v>-0.92419600000000002</v>
      </c>
      <c r="Q4134">
        <v>0.37504389999999999</v>
      </c>
      <c r="R4134">
        <v>-7.2137679999999996E-2</v>
      </c>
      <c r="S4134">
        <v>-3.3740540000000001</v>
      </c>
      <c r="T4134">
        <v>-0.31958569999999997</v>
      </c>
      <c r="U4134">
        <v>-2.4948120000000001E-2</v>
      </c>
      <c r="V4134">
        <v>-7.4864100000000003E-2</v>
      </c>
      <c r="W4134">
        <v>0.38231720000000002</v>
      </c>
      <c r="X4134">
        <v>0.92099339999999996</v>
      </c>
      <c r="Y4134">
        <v>-9.9556309999999995E-3</v>
      </c>
      <c r="Z4134">
        <v>-7.3690970000000002E-4</v>
      </c>
      <c r="AA4134">
        <v>0.99995020000000001</v>
      </c>
      <c r="AB4134">
        <v>42</v>
      </c>
      <c r="AC4134">
        <v>-0.58179999999998699</v>
      </c>
      <c r="AD4134">
        <v>-7.7353999999999895E-2</v>
      </c>
      <c r="AE4134">
        <v>-6.6000000000201401E-3</v>
      </c>
      <c r="AF4134">
        <v>-7.9831733844142206E-3</v>
      </c>
      <c r="AG4134">
        <v>-7.7353999999999895E-2</v>
      </c>
      <c r="AH4134">
        <v>0.57167626794086002</v>
      </c>
      <c r="AI4134">
        <v>97.705196263956097</v>
      </c>
      <c r="AJ4134">
        <v>90.8000549243134</v>
      </c>
      <c r="AK4134">
        <v>0.576941182184177</v>
      </c>
      <c r="AL4134">
        <v>67.522709612316902</v>
      </c>
      <c r="AM4134">
        <v>94.647141785308506</v>
      </c>
      <c r="AN4134">
        <v>0.99999995886410398</v>
      </c>
    </row>
    <row r="4135" spans="1:40" x14ac:dyDescent="0.25">
      <c r="A4135" t="str">
        <f>"20190304164452923"</f>
        <v>20190304164452923</v>
      </c>
      <c r="B4135" t="str">
        <f>"1551689092914472"</f>
        <v>1551689092914472</v>
      </c>
      <c r="C4135" t="s">
        <v>40</v>
      </c>
      <c r="D4135">
        <v>4.4800959999999996</v>
      </c>
      <c r="E4135">
        <v>0.5394158</v>
      </c>
      <c r="F4135" t="s">
        <v>41</v>
      </c>
      <c r="G4135">
        <v>-278.56209999999999</v>
      </c>
      <c r="H4135">
        <v>1.020073</v>
      </c>
      <c r="I4135">
        <v>141.078</v>
      </c>
      <c r="J4135">
        <v>-278.00749999999999</v>
      </c>
      <c r="K4135">
        <v>1.11009</v>
      </c>
      <c r="L4135">
        <v>141.08590000000001</v>
      </c>
      <c r="M4135">
        <v>-0.9999654</v>
      </c>
      <c r="N4135">
        <v>-7.9567849999999992E-3</v>
      </c>
      <c r="O4135">
        <v>2.4544200000000001E-3</v>
      </c>
      <c r="P4135">
        <v>-0.92406929999999998</v>
      </c>
      <c r="Q4135">
        <v>0.37536330000000001</v>
      </c>
      <c r="R4135">
        <v>-7.210184E-2</v>
      </c>
      <c r="S4135">
        <v>-3.3741150000000002</v>
      </c>
      <c r="T4135">
        <v>-0.3204129</v>
      </c>
      <c r="U4135">
        <v>-2.528381E-2</v>
      </c>
      <c r="V4135">
        <v>-7.4635999999999994E-2</v>
      </c>
      <c r="W4135">
        <v>0.38265090000000002</v>
      </c>
      <c r="X4135">
        <v>0.92087339999999995</v>
      </c>
      <c r="Y4135">
        <v>-9.8901549999999994E-3</v>
      </c>
      <c r="Z4135">
        <v>-7.2103969999999995E-4</v>
      </c>
      <c r="AA4135">
        <v>0.99995080000000003</v>
      </c>
      <c r="AB4135">
        <v>42</v>
      </c>
      <c r="AC4135">
        <v>-0.55459999999999299</v>
      </c>
      <c r="AD4135">
        <v>-9.0017E-2</v>
      </c>
      <c r="AE4135">
        <v>-7.9000000000064505E-3</v>
      </c>
      <c r="AF4135">
        <v>-9.0235677194758692E-3</v>
      </c>
      <c r="AG4135">
        <v>-9.0017E-2</v>
      </c>
      <c r="AH4135">
        <v>0.54034668379713002</v>
      </c>
      <c r="AI4135">
        <v>99.456820115164504</v>
      </c>
      <c r="AJ4135">
        <v>90.956727059110506</v>
      </c>
      <c r="AK4135">
        <v>0.54786770643463101</v>
      </c>
      <c r="AL4135">
        <v>67.502018271556906</v>
      </c>
      <c r="AM4135">
        <v>94.633645463863601</v>
      </c>
      <c r="AN4135">
        <v>1.00000003129718</v>
      </c>
    </row>
    <row r="4136" spans="1:40" x14ac:dyDescent="0.25">
      <c r="A4136" t="str">
        <f>"20190304164452943"</f>
        <v>20190304164452943</v>
      </c>
      <c r="B4136" t="str">
        <f>"1551689092933779"</f>
        <v>1551689092933779</v>
      </c>
      <c r="C4136" t="s">
        <v>40</v>
      </c>
      <c r="D4136">
        <v>4.4890499999999998</v>
      </c>
      <c r="E4136">
        <v>0.53944689999999995</v>
      </c>
      <c r="F4136" t="s">
        <v>41</v>
      </c>
      <c r="G4136">
        <v>-278.93729999999999</v>
      </c>
      <c r="H4136">
        <v>1.022095</v>
      </c>
      <c r="I4136">
        <v>141.07839999999999</v>
      </c>
      <c r="J4136">
        <v>-278.39949999999999</v>
      </c>
      <c r="K4136">
        <v>1.1100490000000001</v>
      </c>
      <c r="L4136">
        <v>141.08680000000001</v>
      </c>
      <c r="M4136">
        <v>-0.99996569999999996</v>
      </c>
      <c r="N4136">
        <v>-7.9646230000000005E-3</v>
      </c>
      <c r="O4136">
        <v>2.3314410000000001E-3</v>
      </c>
      <c r="P4136">
        <v>-0.9240332</v>
      </c>
      <c r="Q4136">
        <v>0.37559670000000001</v>
      </c>
      <c r="R4136">
        <v>-7.1343589999999998E-2</v>
      </c>
      <c r="S4136">
        <v>-3.3741150000000002</v>
      </c>
      <c r="T4136">
        <v>-0.31934089999999998</v>
      </c>
      <c r="U4136">
        <v>-2.716064E-2</v>
      </c>
      <c r="V4136">
        <v>-7.3725819999999997E-2</v>
      </c>
      <c r="W4136">
        <v>0.3828993</v>
      </c>
      <c r="X4136">
        <v>0.92084339999999998</v>
      </c>
      <c r="Y4136">
        <v>-1.0322110000000001E-2</v>
      </c>
      <c r="Z4136">
        <v>-7.3020569999999996E-4</v>
      </c>
      <c r="AA4136">
        <v>0.99994649999999996</v>
      </c>
      <c r="AB4136">
        <v>42</v>
      </c>
      <c r="AC4136">
        <v>-0.53780000000000405</v>
      </c>
      <c r="AD4136">
        <v>-8.7954000000000004E-2</v>
      </c>
      <c r="AE4136">
        <v>-8.4000000000230505E-3</v>
      </c>
      <c r="AF4136">
        <v>-9.4024431053285808E-3</v>
      </c>
      <c r="AG4136">
        <v>-8.7954000000000004E-2</v>
      </c>
      <c r="AH4136">
        <v>0.52377318584656696</v>
      </c>
      <c r="AI4136">
        <v>99.530883972442695</v>
      </c>
      <c r="AJ4136">
        <v>91.028426931705795</v>
      </c>
      <c r="AK4136">
        <v>0.53118985519700102</v>
      </c>
      <c r="AL4136">
        <v>67.486611257166999</v>
      </c>
      <c r="AM4136">
        <v>94.577528624265895</v>
      </c>
      <c r="AN4136">
        <v>0.99999996889936005</v>
      </c>
    </row>
    <row r="4137" spans="1:40" x14ac:dyDescent="0.25">
      <c r="A4137" t="str">
        <f>"20190304164452966"</f>
        <v>20190304164452966</v>
      </c>
      <c r="B4137" t="str">
        <f>"1551689092954271"</f>
        <v>1551689092954271</v>
      </c>
      <c r="C4137" t="s">
        <v>40</v>
      </c>
      <c r="D4137">
        <v>4.4678699999999996</v>
      </c>
      <c r="E4137">
        <v>0.53950450000000005</v>
      </c>
      <c r="F4137" t="s">
        <v>41</v>
      </c>
      <c r="G4137">
        <v>-279.31310000000002</v>
      </c>
      <c r="H4137">
        <v>1.0238579999999999</v>
      </c>
      <c r="I4137">
        <v>141.08000000000001</v>
      </c>
      <c r="J4137">
        <v>-278.839</v>
      </c>
      <c r="K4137">
        <v>1.1100049999999999</v>
      </c>
      <c r="L4137">
        <v>141.08779999999999</v>
      </c>
      <c r="M4137">
        <v>-0.99996569999999996</v>
      </c>
      <c r="N4137">
        <v>-7.9733019999999998E-3</v>
      </c>
      <c r="O4137">
        <v>2.2351789999999999E-3</v>
      </c>
      <c r="P4137">
        <v>-0.92423670000000002</v>
      </c>
      <c r="Q4137">
        <v>0.3752663</v>
      </c>
      <c r="R4137">
        <v>-7.0442329999999997E-2</v>
      </c>
      <c r="S4137">
        <v>-3.3740230000000002</v>
      </c>
      <c r="T4137">
        <v>-0.31843880000000002</v>
      </c>
      <c r="U4137">
        <v>-2.600098E-2</v>
      </c>
      <c r="V4137">
        <v>-7.269486E-2</v>
      </c>
      <c r="W4137">
        <v>0.38258700000000001</v>
      </c>
      <c r="X4137">
        <v>0.92105519999999996</v>
      </c>
      <c r="Y4137">
        <v>-9.8851800000000004E-3</v>
      </c>
      <c r="Z4137">
        <v>-6.9764220000000001E-4</v>
      </c>
      <c r="AA4137">
        <v>0.99995089999999998</v>
      </c>
      <c r="AB4137">
        <v>42</v>
      </c>
      <c r="AC4137">
        <v>-0.474100000000021</v>
      </c>
      <c r="AD4137">
        <v>-8.6146999999999904E-2</v>
      </c>
      <c r="AE4137">
        <v>-7.79999999997471E-3</v>
      </c>
      <c r="AF4137">
        <v>-8.5766133420201399E-3</v>
      </c>
      <c r="AG4137">
        <v>-8.6146999999999904E-2</v>
      </c>
      <c r="AH4137">
        <v>0.45893279923887798</v>
      </c>
      <c r="AI4137">
        <v>100.629551946707</v>
      </c>
      <c r="AJ4137">
        <v>91.070628537805106</v>
      </c>
      <c r="AK4137">
        <v>0.46702695652676302</v>
      </c>
      <c r="AL4137">
        <v>67.505980704179606</v>
      </c>
      <c r="AM4137">
        <v>94.512750531968607</v>
      </c>
      <c r="AN4137">
        <v>1.0000000183432201</v>
      </c>
    </row>
    <row r="4138" spans="1:40" x14ac:dyDescent="0.25">
      <c r="A4138" t="str">
        <f>"20190304164452990"</f>
        <v>20190304164452990</v>
      </c>
      <c r="B4138" t="str">
        <f>"1551689092984528"</f>
        <v>1551689092984528</v>
      </c>
      <c r="C4138" t="s">
        <v>40</v>
      </c>
      <c r="D4138">
        <v>4.4529820000000004</v>
      </c>
      <c r="E4138">
        <v>0.53960010000000003</v>
      </c>
      <c r="F4138" t="s">
        <v>41</v>
      </c>
      <c r="G4138">
        <v>-279.69130000000001</v>
      </c>
      <c r="H4138">
        <v>1.0293369999999999</v>
      </c>
      <c r="I4138">
        <v>141.0822</v>
      </c>
      <c r="J4138">
        <v>-279.26639999999998</v>
      </c>
      <c r="K4138">
        <v>1.109972</v>
      </c>
      <c r="L4138">
        <v>141.08869999999999</v>
      </c>
      <c r="M4138">
        <v>-0.99996580000000002</v>
      </c>
      <c r="N4138">
        <v>-7.9817159999999998E-3</v>
      </c>
      <c r="O4138">
        <v>2.1749159999999998E-3</v>
      </c>
      <c r="P4138">
        <v>-0.9242785</v>
      </c>
      <c r="Q4138">
        <v>0.37530790000000003</v>
      </c>
      <c r="R4138">
        <v>-6.9666740000000005E-2</v>
      </c>
      <c r="S4138">
        <v>-3.3738709999999998</v>
      </c>
      <c r="T4138">
        <v>-0.31931320000000002</v>
      </c>
      <c r="U4138">
        <v>-2.1865840000000001E-2</v>
      </c>
      <c r="V4138">
        <v>-7.1828219999999998E-2</v>
      </c>
      <c r="W4138">
        <v>0.38264369999999998</v>
      </c>
      <c r="X4138">
        <v>0.92109960000000002</v>
      </c>
      <c r="Y4138">
        <v>-8.6058630000000001E-3</v>
      </c>
      <c r="Z4138">
        <v>-6.2881429999999999E-4</v>
      </c>
      <c r="AA4138">
        <v>0.99996269999999998</v>
      </c>
      <c r="AB4138">
        <v>42</v>
      </c>
      <c r="AC4138">
        <v>-0.42490000000003603</v>
      </c>
      <c r="AD4138">
        <v>-8.0634999999999707E-2</v>
      </c>
      <c r="AE4138">
        <v>-6.4999999999883996E-3</v>
      </c>
      <c r="AF4138">
        <v>-7.16611439139536E-3</v>
      </c>
      <c r="AG4138">
        <v>-8.0634999999999707E-2</v>
      </c>
      <c r="AH4138">
        <v>0.41011823496126298</v>
      </c>
      <c r="AI4138">
        <v>101.12161620730301</v>
      </c>
      <c r="AJ4138">
        <v>91.001043836731</v>
      </c>
      <c r="AK4138">
        <v>0.41803148573787102</v>
      </c>
      <c r="AL4138">
        <v>67.502463654361605</v>
      </c>
      <c r="AM4138">
        <v>94.458955467606103</v>
      </c>
      <c r="AN4138">
        <v>0.99999998372910903</v>
      </c>
    </row>
    <row r="4139" spans="1:40" x14ac:dyDescent="0.25">
      <c r="A4139" t="str">
        <f>"20190304164453011"</f>
        <v>20190304164453011</v>
      </c>
      <c r="B4139" t="str">
        <f>"1551689093004047"</f>
        <v>1551689093004047</v>
      </c>
      <c r="C4139" t="s">
        <v>40</v>
      </c>
      <c r="D4139">
        <v>4.4847809999999999</v>
      </c>
      <c r="E4139">
        <v>0.53966530000000001</v>
      </c>
      <c r="F4139" t="s">
        <v>41</v>
      </c>
      <c r="G4139">
        <v>-280.07080000000002</v>
      </c>
      <c r="H4139">
        <v>1.0341469999999999</v>
      </c>
      <c r="I4139">
        <v>141.0848</v>
      </c>
      <c r="J4139">
        <v>-279.68770000000001</v>
      </c>
      <c r="K4139">
        <v>1.109936</v>
      </c>
      <c r="L4139">
        <v>141.08949999999999</v>
      </c>
      <c r="M4139">
        <v>-0.99996589999999996</v>
      </c>
      <c r="N4139">
        <v>-7.9901590000000002E-3</v>
      </c>
      <c r="O4139">
        <v>2.138966E-3</v>
      </c>
      <c r="P4139">
        <v>-0.92452599999999996</v>
      </c>
      <c r="Q4139">
        <v>0.37491550000000001</v>
      </c>
      <c r="R4139">
        <v>-6.8483740000000001E-2</v>
      </c>
      <c r="S4139">
        <v>-3.3736570000000001</v>
      </c>
      <c r="T4139">
        <v>-0.31808029999999998</v>
      </c>
      <c r="U4139">
        <v>-1.6860960000000001E-2</v>
      </c>
      <c r="V4139">
        <v>-7.0583049999999994E-2</v>
      </c>
      <c r="W4139">
        <v>0.38226710000000003</v>
      </c>
      <c r="X4139">
        <v>0.92135219999999995</v>
      </c>
      <c r="Y4139">
        <v>-7.0946739999999996E-3</v>
      </c>
      <c r="Z4139">
        <v>-5.4629159999999995E-4</v>
      </c>
      <c r="AA4139">
        <v>0.99997469999999999</v>
      </c>
      <c r="AB4139">
        <v>42</v>
      </c>
      <c r="AC4139">
        <v>-0.38310000000001299</v>
      </c>
      <c r="AD4139">
        <v>-7.5789000000000106E-2</v>
      </c>
      <c r="AE4139">
        <v>-4.6999999999854901E-3</v>
      </c>
      <c r="AF4139">
        <v>-5.31160398241562E-3</v>
      </c>
      <c r="AG4139">
        <v>-7.5789000000000106E-2</v>
      </c>
      <c r="AH4139">
        <v>0.368662865665499</v>
      </c>
      <c r="AI4139">
        <v>101.61573495817299</v>
      </c>
      <c r="AJ4139">
        <v>90.825446399619494</v>
      </c>
      <c r="AK4139">
        <v>0.37641000807439201</v>
      </c>
      <c r="AL4139">
        <v>67.525816822462701</v>
      </c>
      <c r="AM4139">
        <v>94.380764760221197</v>
      </c>
      <c r="AN4139">
        <v>0.99999998956727598</v>
      </c>
    </row>
    <row r="4140" spans="1:40" x14ac:dyDescent="0.25">
      <c r="A4140" t="str">
        <f>"20190304164453033"</f>
        <v>20190304164453033</v>
      </c>
      <c r="B4140" t="str">
        <f>"1551689093024543"</f>
        <v>1551689093024543</v>
      </c>
      <c r="C4140" t="s">
        <v>40</v>
      </c>
      <c r="D4140">
        <v>4.4568070000000004</v>
      </c>
      <c r="E4140">
        <v>0.53968709999999998</v>
      </c>
      <c r="F4140" t="s">
        <v>41</v>
      </c>
      <c r="G4140">
        <v>-280.45030000000003</v>
      </c>
      <c r="H4140">
        <v>1.0377050000000001</v>
      </c>
      <c r="I4140">
        <v>141.08699999999999</v>
      </c>
      <c r="J4140">
        <v>-280.0899</v>
      </c>
      <c r="K4140">
        <v>1.1099019999999999</v>
      </c>
      <c r="L4140">
        <v>141.09039999999999</v>
      </c>
      <c r="M4140">
        <v>-0.99996580000000002</v>
      </c>
      <c r="N4140">
        <v>-8.0020040000000001E-3</v>
      </c>
      <c r="O4140">
        <v>2.1193259999999999E-3</v>
      </c>
      <c r="P4140">
        <v>-0.9246664</v>
      </c>
      <c r="Q4140">
        <v>0.37466509999999997</v>
      </c>
      <c r="R4140">
        <v>-6.7960309999999996E-2</v>
      </c>
      <c r="S4140">
        <v>-3.3736570000000001</v>
      </c>
      <c r="T4140">
        <v>-0.31951950000000001</v>
      </c>
      <c r="U4140">
        <v>-1.112366E-2</v>
      </c>
      <c r="V4140">
        <v>-7.0017889999999999E-2</v>
      </c>
      <c r="W4140">
        <v>0.38203350000000003</v>
      </c>
      <c r="X4140">
        <v>0.92149219999999998</v>
      </c>
      <c r="Y4140">
        <v>-5.3824880000000004E-3</v>
      </c>
      <c r="Z4140">
        <v>-4.5925479999999998E-4</v>
      </c>
      <c r="AA4140">
        <v>0.99998540000000002</v>
      </c>
      <c r="AB4140">
        <v>42</v>
      </c>
      <c r="AC4140">
        <v>-0.36040000000002598</v>
      </c>
      <c r="AD4140">
        <v>-7.2196999999999997E-2</v>
      </c>
      <c r="AE4140">
        <v>-3.3999999999707602E-3</v>
      </c>
      <c r="AF4140">
        <v>-4.0031883647229302E-3</v>
      </c>
      <c r="AG4140">
        <v>-7.2196999999999997E-2</v>
      </c>
      <c r="AH4140">
        <v>0.34648864613178898</v>
      </c>
      <c r="AI4140">
        <v>101.769405793459</v>
      </c>
      <c r="AJ4140">
        <v>90.661942593514297</v>
      </c>
      <c r="AK4140">
        <v>0.353953124331914</v>
      </c>
      <c r="AL4140">
        <v>67.540300366629396</v>
      </c>
      <c r="AM4140">
        <v>94.345165078531707</v>
      </c>
      <c r="AN4140">
        <v>0.99999998735157003</v>
      </c>
    </row>
    <row r="4141" spans="1:40" x14ac:dyDescent="0.25">
      <c r="A4141" t="str">
        <f>"20190304164453056"</f>
        <v>20190304164453056</v>
      </c>
      <c r="B4141" t="str">
        <f>"1551689093044690"</f>
        <v>1551689093044690</v>
      </c>
      <c r="C4141" t="s">
        <v>40</v>
      </c>
      <c r="D4141">
        <v>4.4264070000000002</v>
      </c>
      <c r="E4141">
        <v>0.53970819999999997</v>
      </c>
      <c r="F4141" t="s">
        <v>41</v>
      </c>
      <c r="G4141">
        <v>-280.8295</v>
      </c>
      <c r="H4141">
        <v>1.0398810000000001</v>
      </c>
      <c r="I4141">
        <v>141.08879999999999</v>
      </c>
      <c r="J4141">
        <v>-280.50299999999999</v>
      </c>
      <c r="K4141">
        <v>1.1098779999999999</v>
      </c>
      <c r="L4141">
        <v>141.09119999999999</v>
      </c>
      <c r="M4141">
        <v>-0.99996569999999996</v>
      </c>
      <c r="N4141">
        <v>-8.017382E-3</v>
      </c>
      <c r="O4141">
        <v>2.1086880000000001E-3</v>
      </c>
      <c r="P4141">
        <v>-0.92483459999999995</v>
      </c>
      <c r="Q4141">
        <v>0.37428800000000001</v>
      </c>
      <c r="R4141">
        <v>-6.7747849999999998E-2</v>
      </c>
      <c r="S4141">
        <v>-3.3732600000000001</v>
      </c>
      <c r="T4141">
        <v>-0.31949470000000002</v>
      </c>
      <c r="U4141">
        <v>-8.3618159999999993E-3</v>
      </c>
      <c r="V4141">
        <v>-6.9775530000000002E-2</v>
      </c>
      <c r="W4141">
        <v>0.38167519999999999</v>
      </c>
      <c r="X4141">
        <v>0.92165909999999995</v>
      </c>
      <c r="Y4141">
        <v>-4.5575520000000003E-3</v>
      </c>
      <c r="Z4141">
        <v>-4.1606809999999999E-4</v>
      </c>
      <c r="AA4141">
        <v>0.99998949999999998</v>
      </c>
      <c r="AB4141">
        <v>42</v>
      </c>
      <c r="AC4141">
        <v>-0.32650000000001</v>
      </c>
      <c r="AD4141">
        <v>-6.9997000000000004E-2</v>
      </c>
      <c r="AE4141">
        <v>-2.3999999999944001E-3</v>
      </c>
      <c r="AF4141">
        <v>-2.9527963009565701E-3</v>
      </c>
      <c r="AG4141">
        <v>-6.9997000000000004E-2</v>
      </c>
      <c r="AH4141">
        <v>0.31214824323274998</v>
      </c>
      <c r="AI4141">
        <v>102.63853633023901</v>
      </c>
      <c r="AJ4141">
        <v>90.541978766064204</v>
      </c>
      <c r="AK4141">
        <v>0.31991377708421198</v>
      </c>
      <c r="AL4141">
        <v>67.5625138744211</v>
      </c>
      <c r="AM4141">
        <v>94.3294008679174</v>
      </c>
      <c r="AN4141">
        <v>1.0000000397473101</v>
      </c>
    </row>
    <row r="4142" spans="1:40" x14ac:dyDescent="0.25">
      <c r="A4142" t="str">
        <f>"20190304164453079"</f>
        <v>20190304164453079</v>
      </c>
      <c r="B4142" t="str">
        <f>"1551689093073969"</f>
        <v>1551689093073969</v>
      </c>
      <c r="C4142" t="s">
        <v>40</v>
      </c>
      <c r="D4142">
        <v>4.4732430000000001</v>
      </c>
      <c r="E4142">
        <v>0.53977469999999905</v>
      </c>
      <c r="F4142" t="s">
        <v>41</v>
      </c>
      <c r="G4142">
        <v>-281.56909999999999</v>
      </c>
      <c r="H4142">
        <v>1.0086919999999999</v>
      </c>
      <c r="I4142">
        <v>141.08949999999999</v>
      </c>
      <c r="J4142">
        <v>-280.92919999999998</v>
      </c>
      <c r="K4142">
        <v>1.109855</v>
      </c>
      <c r="L4142">
        <v>141.09209999999999</v>
      </c>
      <c r="M4142">
        <v>-0.99996560000000001</v>
      </c>
      <c r="N4142">
        <v>-8.0335919999999904E-3</v>
      </c>
      <c r="O4142">
        <v>2.1027250000000002E-3</v>
      </c>
      <c r="P4142">
        <v>-0.92495079999999996</v>
      </c>
      <c r="Q4142">
        <v>0.37401810000000002</v>
      </c>
      <c r="R4142">
        <v>-6.765264E-2</v>
      </c>
      <c r="S4142">
        <v>-3.372986</v>
      </c>
      <c r="T4142">
        <v>-0.32016149999999999</v>
      </c>
      <c r="U4142">
        <v>-6.0577390000000004E-3</v>
      </c>
      <c r="V4142">
        <v>-6.9658070000000002E-2</v>
      </c>
      <c r="W4142">
        <v>0.3814244</v>
      </c>
      <c r="X4142">
        <v>0.92177180000000003</v>
      </c>
      <c r="Y4142">
        <v>-3.8719380000000001E-3</v>
      </c>
      <c r="Z4142">
        <v>-3.8122299999999998E-4</v>
      </c>
      <c r="AA4142">
        <v>0.9999924</v>
      </c>
      <c r="AB4142">
        <v>42</v>
      </c>
      <c r="AC4142">
        <v>-0.63990000000001102</v>
      </c>
      <c r="AD4142">
        <v>-0.101163</v>
      </c>
      <c r="AE4142">
        <v>-2.6000000000010398E-3</v>
      </c>
      <c r="AF4142">
        <v>-3.8493655132092299E-3</v>
      </c>
      <c r="AG4142">
        <v>-0.101163</v>
      </c>
      <c r="AH4142">
        <v>0.62429045583226594</v>
      </c>
      <c r="AI4142">
        <v>99.204300412570404</v>
      </c>
      <c r="AJ4142">
        <v>90.353280433211296</v>
      </c>
      <c r="AK4142">
        <v>0.63244552605509996</v>
      </c>
      <c r="AL4142">
        <v>67.578059624128301</v>
      </c>
      <c r="AM4142">
        <v>94.321613960477194</v>
      </c>
      <c r="AN4142">
        <v>1.00000003545336</v>
      </c>
    </row>
    <row r="4143" spans="1:40" x14ac:dyDescent="0.25">
      <c r="A4143" t="str">
        <f>"20190304164453101"</f>
        <v>20190304164453101</v>
      </c>
      <c r="B4143" t="str">
        <f>"1551689093094466"</f>
        <v>1551689093094466</v>
      </c>
      <c r="C4143" t="s">
        <v>40</v>
      </c>
      <c r="D4143">
        <v>4.4519000000000002</v>
      </c>
      <c r="E4143">
        <v>0.53976659999999999</v>
      </c>
      <c r="F4143" t="s">
        <v>41</v>
      </c>
      <c r="G4143">
        <v>-281.95049999999998</v>
      </c>
      <c r="H4143">
        <v>1.0128429999999999</v>
      </c>
      <c r="I4143">
        <v>141.0909</v>
      </c>
      <c r="J4143">
        <v>-281.37759999999997</v>
      </c>
      <c r="K4143">
        <v>1.1098399999999999</v>
      </c>
      <c r="L4143">
        <v>141.09299999999999</v>
      </c>
      <c r="M4143">
        <v>-0.9999654</v>
      </c>
      <c r="N4143">
        <v>-8.0513410000000001E-3</v>
      </c>
      <c r="O4143">
        <v>2.0993000000000001E-3</v>
      </c>
      <c r="P4143">
        <v>-0.92496469999999997</v>
      </c>
      <c r="Q4143">
        <v>0.37386219999999998</v>
      </c>
      <c r="R4143">
        <v>-6.8322079999999993E-2</v>
      </c>
      <c r="S4143">
        <v>-3.3726500000000001</v>
      </c>
      <c r="T4143">
        <v>-0.32045190000000001</v>
      </c>
      <c r="U4143">
        <v>-4.5471189999999996E-3</v>
      </c>
      <c r="V4143">
        <v>-7.0309360000000001E-2</v>
      </c>
      <c r="W4143">
        <v>0.3812874</v>
      </c>
      <c r="X4143">
        <v>0.92177900000000002</v>
      </c>
      <c r="Y4143">
        <v>-3.4229460000000001E-3</v>
      </c>
      <c r="Z4143">
        <v>-3.5821199999999898E-4</v>
      </c>
      <c r="AA4143">
        <v>0.9999941</v>
      </c>
      <c r="AB4143">
        <v>42</v>
      </c>
      <c r="AC4143">
        <v>-0.57290000000000396</v>
      </c>
      <c r="AD4143">
        <v>-9.6997E-2</v>
      </c>
      <c r="AE4143">
        <v>-2.0999999999844398E-3</v>
      </c>
      <c r="AF4143">
        <v>-3.2106886659326898E-3</v>
      </c>
      <c r="AG4143">
        <v>-9.6997E-2</v>
      </c>
      <c r="AH4143">
        <v>0.55692989021235495</v>
      </c>
      <c r="AI4143">
        <v>99.879588315924195</v>
      </c>
      <c r="AJ4143">
        <v>90.330305259612501</v>
      </c>
      <c r="AK4143">
        <v>0.56532258856572803</v>
      </c>
      <c r="AL4143">
        <v>67.586550149381196</v>
      </c>
      <c r="AM4143">
        <v>94.361831087633604</v>
      </c>
      <c r="AN4143">
        <v>1.0000000061716801</v>
      </c>
    </row>
    <row r="4144" spans="1:40" x14ac:dyDescent="0.25">
      <c r="A4144" t="str">
        <f>"20190304164453123"</f>
        <v>20190304164453123</v>
      </c>
      <c r="B4144" t="str">
        <f>"1551689093113985"</f>
        <v>1551689093113985</v>
      </c>
      <c r="C4144" t="s">
        <v>40</v>
      </c>
      <c r="D4144">
        <v>4.4388259999999997</v>
      </c>
      <c r="E4144">
        <v>0.53978789999999999</v>
      </c>
      <c r="F4144" t="s">
        <v>41</v>
      </c>
      <c r="G4144">
        <v>-282.33359999999999</v>
      </c>
      <c r="H4144">
        <v>1.019212</v>
      </c>
      <c r="I4144">
        <v>141.0916</v>
      </c>
      <c r="J4144">
        <v>-281.79379999999998</v>
      </c>
      <c r="K4144">
        <v>1.1098319999999999</v>
      </c>
      <c r="L4144">
        <v>141.09389999999999</v>
      </c>
      <c r="M4144">
        <v>-0.99996529999999995</v>
      </c>
      <c r="N4144">
        <v>-8.0730509999999995E-3</v>
      </c>
      <c r="O4144">
        <v>2.102764E-3</v>
      </c>
      <c r="P4144">
        <v>-0.92500789999999999</v>
      </c>
      <c r="Q4144">
        <v>0.37356780000000001</v>
      </c>
      <c r="R4144">
        <v>-6.9337019999999999E-2</v>
      </c>
      <c r="S4144">
        <v>-3.3721920000000001</v>
      </c>
      <c r="T4144">
        <v>-0.31969180000000003</v>
      </c>
      <c r="U4144">
        <v>-5.5084230000000001E-3</v>
      </c>
      <c r="V4144">
        <v>-7.1313050000000003E-2</v>
      </c>
      <c r="W4144">
        <v>0.38101620000000003</v>
      </c>
      <c r="X4144">
        <v>0.92181400000000002</v>
      </c>
      <c r="Y4144">
        <v>-3.710358E-3</v>
      </c>
      <c r="Z4144">
        <v>-3.7245509999999998E-4</v>
      </c>
      <c r="AA4144">
        <v>0.99999300000000002</v>
      </c>
      <c r="AB4144">
        <v>42</v>
      </c>
      <c r="AC4144">
        <v>-0.53980000000001305</v>
      </c>
      <c r="AD4144">
        <v>-9.0619999999999895E-2</v>
      </c>
      <c r="AE4144">
        <v>-2.29999999999108E-3</v>
      </c>
      <c r="AF4144">
        <v>-3.3409486102081798E-3</v>
      </c>
      <c r="AG4144">
        <v>-9.0619999999999895E-2</v>
      </c>
      <c r="AH4144">
        <v>0.52499837517399295</v>
      </c>
      <c r="AI4144">
        <v>99.793132740250797</v>
      </c>
      <c r="AJ4144">
        <v>90.364610025546199</v>
      </c>
      <c r="AK4144">
        <v>0.53277240945168003</v>
      </c>
      <c r="AL4144">
        <v>67.603356731982899</v>
      </c>
      <c r="AM4144">
        <v>94.423684962306098</v>
      </c>
      <c r="AN4144">
        <v>0.99999997317937095</v>
      </c>
    </row>
    <row r="4145" spans="1:40" x14ac:dyDescent="0.25">
      <c r="A4145" t="str">
        <f>"20190304164453137"</f>
        <v>20190304164453137</v>
      </c>
      <c r="B4145" t="str">
        <f>"1551689093134482"</f>
        <v>1551689093134482</v>
      </c>
      <c r="C4145" t="s">
        <v>40</v>
      </c>
      <c r="D4145">
        <v>4.4542769999999896</v>
      </c>
      <c r="E4145">
        <v>0.53980289999999997</v>
      </c>
      <c r="F4145" t="s">
        <v>41</v>
      </c>
      <c r="G4145">
        <v>-282.7158</v>
      </c>
      <c r="H4145">
        <v>1.022219</v>
      </c>
      <c r="I4145">
        <v>141.09200000000001</v>
      </c>
      <c r="J4145">
        <v>-282.05900000000003</v>
      </c>
      <c r="K4145">
        <v>1.1098220000000001</v>
      </c>
      <c r="L4145">
        <v>141.09440000000001</v>
      </c>
      <c r="M4145">
        <v>-0.99996510000000005</v>
      </c>
      <c r="N4145">
        <v>-8.0904789999999994E-3</v>
      </c>
      <c r="O4145">
        <v>2.1135469999999999E-3</v>
      </c>
      <c r="P4145">
        <v>-0.92488749999999997</v>
      </c>
      <c r="Q4145">
        <v>0.37376759999999998</v>
      </c>
      <c r="R4145">
        <v>-6.9866330000000004E-2</v>
      </c>
      <c r="S4145">
        <v>-3.3720400000000001</v>
      </c>
      <c r="T4145">
        <v>-0.32039139999999999</v>
      </c>
      <c r="U4145">
        <v>-7.3699949999999998E-3</v>
      </c>
      <c r="V4145">
        <v>-7.184016E-2</v>
      </c>
      <c r="W4145">
        <v>0.38123309999999999</v>
      </c>
      <c r="X4145">
        <v>0.92168340000000004</v>
      </c>
      <c r="Y4145">
        <v>-4.2703769999999997E-3</v>
      </c>
      <c r="Z4145">
        <v>-4.0303490000000001E-4</v>
      </c>
      <c r="AA4145">
        <v>0.99999079999999996</v>
      </c>
      <c r="AB4145">
        <v>43</v>
      </c>
      <c r="AC4145">
        <v>-0.65679999999997496</v>
      </c>
      <c r="AD4145">
        <v>-8.7602999999999806E-2</v>
      </c>
      <c r="AE4145">
        <v>-2.3999999999944001E-3</v>
      </c>
      <c r="AF4145">
        <v>-3.7220047292124501E-3</v>
      </c>
      <c r="AG4145">
        <v>-8.7602999999999806E-2</v>
      </c>
      <c r="AH4145">
        <v>0.64531359770548502</v>
      </c>
      <c r="AI4145">
        <v>97.730665611621006</v>
      </c>
      <c r="AJ4145">
        <v>90.330463821525399</v>
      </c>
      <c r="AK4145">
        <v>0.65124325586665499</v>
      </c>
      <c r="AL4145">
        <v>67.589915061273004</v>
      </c>
      <c r="AM4145">
        <v>94.456880276612907</v>
      </c>
      <c r="AN4145">
        <v>0.99999998747999697</v>
      </c>
    </row>
    <row r="4146" spans="1:40" x14ac:dyDescent="0.25">
      <c r="A4146" t="str">
        <f>"20190304164453156"</f>
        <v>20190304164453156</v>
      </c>
      <c r="B4146" t="str">
        <f>"1551689093144241"</f>
        <v>1551689093144241</v>
      </c>
      <c r="C4146" t="s">
        <v>40</v>
      </c>
      <c r="D4146">
        <v>4.4532030000000002</v>
      </c>
      <c r="E4146">
        <v>0.53981129999999999</v>
      </c>
      <c r="F4146" t="s">
        <v>41</v>
      </c>
      <c r="G4146">
        <v>-283.09230000000002</v>
      </c>
      <c r="H4146">
        <v>1.012103</v>
      </c>
      <c r="I4146">
        <v>141.09219999999999</v>
      </c>
      <c r="J4146">
        <v>-282.41849999999999</v>
      </c>
      <c r="K4146">
        <v>1.109799</v>
      </c>
      <c r="L4146">
        <v>141.09520000000001</v>
      </c>
      <c r="M4146">
        <v>-0.99996479999999999</v>
      </c>
      <c r="N4146">
        <v>-8.1200539999999998E-3</v>
      </c>
      <c r="O4146">
        <v>2.1499010000000001E-3</v>
      </c>
      <c r="P4146">
        <v>-0.92457670000000003</v>
      </c>
      <c r="Q4146">
        <v>0.37430380000000002</v>
      </c>
      <c r="R4146">
        <v>-7.1100469999999999E-2</v>
      </c>
      <c r="S4146">
        <v>-3.3718870000000001</v>
      </c>
      <c r="T4146">
        <v>-0.31894329999999999</v>
      </c>
      <c r="U4146">
        <v>-8.3160400000000002E-3</v>
      </c>
      <c r="V4146">
        <v>-7.308518E-2</v>
      </c>
      <c r="W4146">
        <v>0.38179819999999998</v>
      </c>
      <c r="X4146">
        <v>0.92135160000000005</v>
      </c>
      <c r="Y4146">
        <v>-4.5859830000000001E-3</v>
      </c>
      <c r="Z4146">
        <v>-4.205546E-4</v>
      </c>
      <c r="AA4146">
        <v>0.99998940000000003</v>
      </c>
      <c r="AB4146">
        <v>43</v>
      </c>
      <c r="AC4146">
        <v>-0.67380000000002804</v>
      </c>
      <c r="AD4146">
        <v>-9.7696000000000005E-2</v>
      </c>
      <c r="AE4146">
        <v>-3.0000000000143202E-3</v>
      </c>
      <c r="AF4146">
        <v>-4.3570482569132499E-3</v>
      </c>
      <c r="AG4146">
        <v>-9.7696000000000005E-2</v>
      </c>
      <c r="AH4146">
        <v>0.659918893180094</v>
      </c>
      <c r="AI4146">
        <v>98.4208612016986</v>
      </c>
      <c r="AJ4146">
        <v>90.378284136906302</v>
      </c>
      <c r="AK4146">
        <v>0.66712550383084102</v>
      </c>
      <c r="AL4146">
        <v>67.554889080977105</v>
      </c>
      <c r="AM4146">
        <v>94.535426494021905</v>
      </c>
      <c r="AN4146">
        <v>1.0000000399407101</v>
      </c>
    </row>
    <row r="4147" spans="1:40" x14ac:dyDescent="0.25">
      <c r="A4147" t="str">
        <f>"20190304164453181"</f>
        <v>20190304164453181</v>
      </c>
      <c r="B4147" t="str">
        <f>"1551689093174498"</f>
        <v>1551689093174498</v>
      </c>
      <c r="C4147" t="s">
        <v>40</v>
      </c>
      <c r="D4147">
        <v>4.4637820000000001</v>
      </c>
      <c r="E4147">
        <v>0.53983249999999905</v>
      </c>
      <c r="F4147" t="s">
        <v>41</v>
      </c>
      <c r="G4147">
        <v>-283.4735</v>
      </c>
      <c r="H4147">
        <v>1.010723</v>
      </c>
      <c r="I4147">
        <v>141.09129999999999</v>
      </c>
      <c r="J4147">
        <v>-282.8922</v>
      </c>
      <c r="K4147">
        <v>1.1097669999999999</v>
      </c>
      <c r="L4147">
        <v>141.09630000000001</v>
      </c>
      <c r="M4147">
        <v>-0.99996419999999997</v>
      </c>
      <c r="N4147">
        <v>-8.1738959999999999E-3</v>
      </c>
      <c r="O4147">
        <v>2.2531819999999998E-3</v>
      </c>
      <c r="P4147">
        <v>-0.92433799999999999</v>
      </c>
      <c r="Q4147">
        <v>0.37480910000000001</v>
      </c>
      <c r="R4147">
        <v>-7.1537359999999994E-2</v>
      </c>
      <c r="S4147">
        <v>-3.3719790000000001</v>
      </c>
      <c r="T4147">
        <v>-0.31662360000000001</v>
      </c>
      <c r="U4147">
        <v>-1.2252809999999999E-2</v>
      </c>
      <c r="V4147">
        <v>-7.3575020000000005E-2</v>
      </c>
      <c r="W4147">
        <v>0.38235910000000001</v>
      </c>
      <c r="X4147">
        <v>0.92107989999999995</v>
      </c>
      <c r="Y4147">
        <v>-5.8506770000000003E-3</v>
      </c>
      <c r="Z4147">
        <v>-4.9077470000000005E-4</v>
      </c>
      <c r="AA4147">
        <v>0.99998279999999995</v>
      </c>
      <c r="AB4147">
        <v>43</v>
      </c>
      <c r="AC4147">
        <v>-0.58129999999999804</v>
      </c>
      <c r="AD4147">
        <v>-9.9043999999999896E-2</v>
      </c>
      <c r="AE4147">
        <v>-5.0000000000238699E-3</v>
      </c>
      <c r="AF4147">
        <v>-6.1318087802238099E-3</v>
      </c>
      <c r="AG4147">
        <v>-9.9043999999999896E-2</v>
      </c>
      <c r="AH4147">
        <v>0.56488940475116101</v>
      </c>
      <c r="AI4147">
        <v>99.944207070790995</v>
      </c>
      <c r="AJ4147">
        <v>90.621914596273498</v>
      </c>
      <c r="AK4147">
        <v>0.57353932089703996</v>
      </c>
      <c r="AL4147">
        <v>67.520111870868107</v>
      </c>
      <c r="AM4147">
        <v>94.567037354555197</v>
      </c>
      <c r="AN4147">
        <v>0.99999997355240899</v>
      </c>
    </row>
    <row r="4148" spans="1:40" x14ac:dyDescent="0.25">
      <c r="A4148" t="str">
        <f>"20190304164453202"</f>
        <v>20190304164453202</v>
      </c>
      <c r="B4148" t="str">
        <f>"1551689093194017"</f>
        <v>1551689093194017</v>
      </c>
      <c r="C4148" t="s">
        <v>40</v>
      </c>
      <c r="D4148">
        <v>4.4413150000000003</v>
      </c>
      <c r="E4148">
        <v>0.53983829999999999</v>
      </c>
      <c r="F4148" t="s">
        <v>41</v>
      </c>
      <c r="G4148">
        <v>-283.86020000000002</v>
      </c>
      <c r="H4148">
        <v>1.0195510000000001</v>
      </c>
      <c r="I4148">
        <v>141.0924</v>
      </c>
      <c r="J4148">
        <v>-283.3159</v>
      </c>
      <c r="K4148">
        <v>1.109726</v>
      </c>
      <c r="L4148">
        <v>141.09729999999999</v>
      </c>
      <c r="M4148">
        <v>-0.9999633</v>
      </c>
      <c r="N4148">
        <v>-8.2355829999999994E-3</v>
      </c>
      <c r="O4148">
        <v>2.401958E-3</v>
      </c>
      <c r="P4148">
        <v>-0.92410610000000004</v>
      </c>
      <c r="Q4148">
        <v>0.37525940000000002</v>
      </c>
      <c r="R4148">
        <v>-7.2169570000000002E-2</v>
      </c>
      <c r="S4148">
        <v>-3.3718569999999999</v>
      </c>
      <c r="T4148">
        <v>-0.31432090000000001</v>
      </c>
      <c r="U4148">
        <v>-1.4953610000000001E-2</v>
      </c>
      <c r="V4148">
        <v>-7.4297489999999994E-2</v>
      </c>
      <c r="W4148">
        <v>0.38287330000000003</v>
      </c>
      <c r="X4148">
        <v>0.92080830000000002</v>
      </c>
      <c r="Y4148">
        <v>-6.7960570000000003E-3</v>
      </c>
      <c r="Z4148">
        <v>-5.4780520000000002E-4</v>
      </c>
      <c r="AA4148">
        <v>0.9999768</v>
      </c>
      <c r="AB4148">
        <v>43</v>
      </c>
      <c r="AC4148">
        <v>-0.54430000000002099</v>
      </c>
      <c r="AD4148">
        <v>-9.0174999999999894E-2</v>
      </c>
      <c r="AE4148">
        <v>-4.8999999999921303E-3</v>
      </c>
      <c r="AF4148">
        <v>-6.0416050321061999E-3</v>
      </c>
      <c r="AG4148">
        <v>-9.0174999999999894E-2</v>
      </c>
      <c r="AH4148">
        <v>0.52974782434819501</v>
      </c>
      <c r="AI4148">
        <v>99.659818842996401</v>
      </c>
      <c r="AJ4148">
        <v>90.653411769116801</v>
      </c>
      <c r="AK4148">
        <v>0.53740188780651899</v>
      </c>
      <c r="AL4148">
        <v>67.488224645475</v>
      </c>
      <c r="AM4148">
        <v>94.613045264434504</v>
      </c>
      <c r="AN4148">
        <v>1.0000000031110401</v>
      </c>
    </row>
    <row r="4149" spans="1:40" x14ac:dyDescent="0.25">
      <c r="A4149" t="str">
        <f>"20190304164453224"</f>
        <v>20190304164453224</v>
      </c>
      <c r="B4149" t="str">
        <f>"1551689093214513"</f>
        <v>1551689093214513</v>
      </c>
      <c r="C4149" t="s">
        <v>40</v>
      </c>
      <c r="D4149">
        <v>4.4543280000000003</v>
      </c>
      <c r="E4149">
        <v>0.53983709999999996</v>
      </c>
      <c r="F4149" t="s">
        <v>41</v>
      </c>
      <c r="G4149">
        <v>-284.24509999999998</v>
      </c>
      <c r="H4149">
        <v>1.02366</v>
      </c>
      <c r="I4149">
        <v>141.09229999999999</v>
      </c>
      <c r="J4149">
        <v>-283.70909999999998</v>
      </c>
      <c r="K4149">
        <v>1.1096790000000001</v>
      </c>
      <c r="L4149">
        <v>141.0984</v>
      </c>
      <c r="M4149">
        <v>-0.99996229999999997</v>
      </c>
      <c r="N4149">
        <v>-8.306084E-3</v>
      </c>
      <c r="O4149">
        <v>2.5951239999999999E-3</v>
      </c>
      <c r="P4149">
        <v>-0.92380139999999999</v>
      </c>
      <c r="Q4149">
        <v>0.3758823</v>
      </c>
      <c r="R4149">
        <v>-7.2826559999999999E-2</v>
      </c>
      <c r="S4149">
        <v>-3.3717649999999999</v>
      </c>
      <c r="T4149">
        <v>-0.31230560000000002</v>
      </c>
      <c r="U4149">
        <v>-1.8325810000000001E-2</v>
      </c>
      <c r="V4149">
        <v>-7.5082769999999993E-2</v>
      </c>
      <c r="W4149">
        <v>0.38356879999999999</v>
      </c>
      <c r="X4149">
        <v>0.92045509999999997</v>
      </c>
      <c r="Y4149">
        <v>-7.9836990000000004E-3</v>
      </c>
      <c r="Z4149">
        <v>-6.2052400000000001E-4</v>
      </c>
      <c r="AA4149">
        <v>0.99996790000000002</v>
      </c>
      <c r="AB4149">
        <v>43</v>
      </c>
      <c r="AC4149">
        <v>-0.53600000000000103</v>
      </c>
      <c r="AD4149">
        <v>-8.6018999999999998E-2</v>
      </c>
      <c r="AE4149">
        <v>-6.1000000000035401E-3</v>
      </c>
      <c r="AF4149">
        <v>-7.3029515398928399E-3</v>
      </c>
      <c r="AG4149">
        <v>-8.6018999999999998E-2</v>
      </c>
      <c r="AH4149">
        <v>0.52252650966803704</v>
      </c>
      <c r="AI4149">
        <v>99.347364909627402</v>
      </c>
      <c r="AJ4149">
        <v>90.800726952804098</v>
      </c>
      <c r="AK4149">
        <v>0.52960981370066695</v>
      </c>
      <c r="AL4149">
        <v>67.445082133132701</v>
      </c>
      <c r="AM4149">
        <v>94.663369500438904</v>
      </c>
      <c r="AN4149">
        <v>1.0000000189001601</v>
      </c>
    </row>
    <row r="4150" spans="1:40" x14ac:dyDescent="0.25">
      <c r="A4150" t="str">
        <f>"20190304164453245"</f>
        <v>20190304164453245</v>
      </c>
      <c r="B4150" t="str">
        <f>"1551689093234033"</f>
        <v>1551689093234033</v>
      </c>
      <c r="C4150" t="s">
        <v>40</v>
      </c>
      <c r="D4150">
        <v>4.4641039999999998</v>
      </c>
      <c r="E4150">
        <v>0.53982629999999998</v>
      </c>
      <c r="F4150" t="s">
        <v>41</v>
      </c>
      <c r="G4150">
        <v>-284.62939999999998</v>
      </c>
      <c r="H4150">
        <v>1.0251840000000001</v>
      </c>
      <c r="I4150">
        <v>141.09299999999999</v>
      </c>
      <c r="J4150">
        <v>-284.12119999999999</v>
      </c>
      <c r="K4150">
        <v>1.109632</v>
      </c>
      <c r="L4150">
        <v>141.09970000000001</v>
      </c>
      <c r="M4150">
        <v>-0.99996079999999998</v>
      </c>
      <c r="N4150">
        <v>-8.4003900000000006E-3</v>
      </c>
      <c r="O4150">
        <v>2.857269E-3</v>
      </c>
      <c r="P4150">
        <v>-0.92390660000000002</v>
      </c>
      <c r="Q4150">
        <v>0.37567230000000001</v>
      </c>
      <c r="R4150">
        <v>-7.2576509999999997E-2</v>
      </c>
      <c r="S4150">
        <v>-3.371826</v>
      </c>
      <c r="T4150">
        <v>-0.309662099999999</v>
      </c>
      <c r="U4150">
        <v>-2.0965580000000001E-2</v>
      </c>
      <c r="V4150">
        <v>-7.5020719999999999E-2</v>
      </c>
      <c r="W4150">
        <v>0.38345689999999999</v>
      </c>
      <c r="X4150">
        <v>0.92050679999999996</v>
      </c>
      <c r="Y4150">
        <v>-9.0236529999999995E-3</v>
      </c>
      <c r="Z4150">
        <v>-6.8936899999999903E-4</v>
      </c>
      <c r="AA4150">
        <v>0.99995909999999999</v>
      </c>
      <c r="AB4150">
        <v>43</v>
      </c>
      <c r="AC4150">
        <v>-0.50819999999998799</v>
      </c>
      <c r="AD4150">
        <v>-8.4447999999999801E-2</v>
      </c>
      <c r="AE4150">
        <v>-6.7000000000234598E-3</v>
      </c>
      <c r="AF4150">
        <v>-7.9330720069173705E-3</v>
      </c>
      <c r="AG4150">
        <v>-8.4447999999999801E-2</v>
      </c>
      <c r="AH4150">
        <v>0.49452594058254301</v>
      </c>
      <c r="AI4150">
        <v>99.689448305265202</v>
      </c>
      <c r="AJ4150">
        <v>90.919046957529005</v>
      </c>
      <c r="AK4150">
        <v>0.50174725135720999</v>
      </c>
      <c r="AL4150">
        <v>67.452024764756501</v>
      </c>
      <c r="AM4150">
        <v>94.659272020213194</v>
      </c>
      <c r="AN4150">
        <v>1.0000000357165799</v>
      </c>
    </row>
    <row r="4151" spans="1:40" x14ac:dyDescent="0.25">
      <c r="A4151" t="str">
        <f>"20190304164453269"</f>
        <v>20190304164453269</v>
      </c>
      <c r="B4151" t="str">
        <f>"1551689093264289"</f>
        <v>1551689093264289</v>
      </c>
      <c r="C4151" t="s">
        <v>40</v>
      </c>
      <c r="D4151">
        <v>4.463463</v>
      </c>
      <c r="E4151">
        <v>0.53985930000000004</v>
      </c>
      <c r="F4151" t="s">
        <v>41</v>
      </c>
      <c r="G4151">
        <v>-285.01440000000002</v>
      </c>
      <c r="H4151">
        <v>1.027353</v>
      </c>
      <c r="I4151">
        <v>141.09389999999999</v>
      </c>
      <c r="J4151">
        <v>-284.57499999999999</v>
      </c>
      <c r="K4151">
        <v>1.1095900000000001</v>
      </c>
      <c r="L4151">
        <v>141.10130000000001</v>
      </c>
      <c r="M4151">
        <v>-0.99995860000000003</v>
      </c>
      <c r="N4151">
        <v>-8.5256399999999993E-3</v>
      </c>
      <c r="O4151">
        <v>3.2111800000000001E-3</v>
      </c>
      <c r="P4151">
        <v>-0.9242629</v>
      </c>
      <c r="Q4151">
        <v>0.37495420000000002</v>
      </c>
      <c r="R4151">
        <v>-7.1746809999999994E-2</v>
      </c>
      <c r="S4151">
        <v>-3.3715820000000001</v>
      </c>
      <c r="T4151">
        <v>-0.31058190000000002</v>
      </c>
      <c r="U4151">
        <v>-2.217102E-2</v>
      </c>
      <c r="V4151">
        <v>-7.4461440000000004E-2</v>
      </c>
      <c r="W4151">
        <v>0.38286799999999999</v>
      </c>
      <c r="X4151">
        <v>0.92079719999999998</v>
      </c>
      <c r="Y4151">
        <v>-9.7306790000000008E-3</v>
      </c>
      <c r="Z4151">
        <v>-7.5666209999999999E-4</v>
      </c>
      <c r="AA4151">
        <v>0.99995239999999996</v>
      </c>
      <c r="AB4151">
        <v>43</v>
      </c>
      <c r="AC4151">
        <v>-0.43940000000003399</v>
      </c>
      <c r="AD4151">
        <v>-8.2236999999999894E-2</v>
      </c>
      <c r="AE4151">
        <v>-7.40000000001828E-3</v>
      </c>
      <c r="AF4151">
        <v>-8.5129007765158693E-3</v>
      </c>
      <c r="AG4151">
        <v>-8.2236999999999894E-2</v>
      </c>
      <c r="AH4151">
        <v>0.42450853382343301</v>
      </c>
      <c r="AI4151">
        <v>100.961546543446</v>
      </c>
      <c r="AJ4151">
        <v>91.148829482482199</v>
      </c>
      <c r="AK4151">
        <v>0.432484553409196</v>
      </c>
      <c r="AL4151">
        <v>67.488552039988207</v>
      </c>
      <c r="AM4151">
        <v>94.623236141414793</v>
      </c>
      <c r="AN4151">
        <v>0.99999994749935495</v>
      </c>
    </row>
    <row r="4152" spans="1:40" x14ac:dyDescent="0.25">
      <c r="A4152" t="str">
        <f>"20190304164453291"</f>
        <v>20190304164453291</v>
      </c>
      <c r="B4152" t="str">
        <f>"1551689093283810"</f>
        <v>1551689093283810</v>
      </c>
      <c r="C4152" t="s">
        <v>40</v>
      </c>
      <c r="D4152">
        <v>4.4566670000000004</v>
      </c>
      <c r="E4152">
        <v>0.53981610000000002</v>
      </c>
      <c r="F4152" t="s">
        <v>41</v>
      </c>
      <c r="G4152">
        <v>-285.4024</v>
      </c>
      <c r="H4152">
        <v>1.032794</v>
      </c>
      <c r="I4152">
        <v>141.09639999999999</v>
      </c>
      <c r="J4152">
        <v>-285.01639999999998</v>
      </c>
      <c r="K4152">
        <v>1.1095619999999999</v>
      </c>
      <c r="L4152">
        <v>141.10299999999901</v>
      </c>
      <c r="M4152">
        <v>-0.99995599999999996</v>
      </c>
      <c r="N4152">
        <v>-8.6649369999999993E-3</v>
      </c>
      <c r="O4152">
        <v>3.6090039999999999E-3</v>
      </c>
      <c r="P4152">
        <v>-0.92445290000000002</v>
      </c>
      <c r="Q4152">
        <v>0.37473089999999998</v>
      </c>
      <c r="R4152">
        <v>-7.04539E-2</v>
      </c>
      <c r="S4152">
        <v>-3.3711850000000001</v>
      </c>
      <c r="T4152">
        <v>-0.31300329999999998</v>
      </c>
      <c r="U4152">
        <v>-2.1041870000000001E-2</v>
      </c>
      <c r="V4152">
        <v>-7.3486380000000004E-2</v>
      </c>
      <c r="W4152">
        <v>0.3827834</v>
      </c>
      <c r="X4152">
        <v>0.92091069999999997</v>
      </c>
      <c r="Y4152">
        <v>-9.79177E-3</v>
      </c>
      <c r="Z4152">
        <v>-7.99261E-4</v>
      </c>
      <c r="AA4152">
        <v>0.9999517</v>
      </c>
      <c r="AB4152">
        <v>43</v>
      </c>
      <c r="AC4152">
        <v>-0.38600000000002399</v>
      </c>
      <c r="AD4152">
        <v>-7.67680000000001E-2</v>
      </c>
      <c r="AE4152">
        <v>-6.5999999999917201E-3</v>
      </c>
      <c r="AF4152">
        <v>-7.6890444063232597E-3</v>
      </c>
      <c r="AG4152">
        <v>-7.67680000000001E-2</v>
      </c>
      <c r="AH4152">
        <v>0.37129202749985601</v>
      </c>
      <c r="AI4152">
        <v>101.679380724</v>
      </c>
      <c r="AJ4152">
        <v>91.186362212981606</v>
      </c>
      <c r="AK4152">
        <v>0.37922317560090602</v>
      </c>
      <c r="AL4152">
        <v>67.493798991986395</v>
      </c>
      <c r="AM4152">
        <v>94.562392982591305</v>
      </c>
      <c r="AN4152">
        <v>0.99999994836777495</v>
      </c>
    </row>
    <row r="4153" spans="1:40" x14ac:dyDescent="0.25">
      <c r="A4153" t="str">
        <f>"20190304164453313"</f>
        <v>20190304164453313</v>
      </c>
      <c r="B4153" t="str">
        <f>"1551689093304305"</f>
        <v>1551689093304305</v>
      </c>
      <c r="C4153" t="s">
        <v>40</v>
      </c>
      <c r="D4153">
        <v>4.4749429999999997</v>
      </c>
      <c r="E4153">
        <v>0.5397769</v>
      </c>
      <c r="F4153" t="s">
        <v>41</v>
      </c>
      <c r="G4153">
        <v>-285.791</v>
      </c>
      <c r="H4153">
        <v>1.0374950000000001</v>
      </c>
      <c r="I4153">
        <v>141.0986</v>
      </c>
      <c r="J4153">
        <v>-285.42270000000002</v>
      </c>
      <c r="K4153">
        <v>1.109548</v>
      </c>
      <c r="L4153">
        <v>141.10480000000001</v>
      </c>
      <c r="M4153">
        <v>-0.99995319999999999</v>
      </c>
      <c r="N4153">
        <v>-8.8132409999999994E-3</v>
      </c>
      <c r="O4153">
        <v>4.0109669999999998E-3</v>
      </c>
      <c r="P4153">
        <v>-0.92470889999999994</v>
      </c>
      <c r="Q4153">
        <v>0.37441730000000001</v>
      </c>
      <c r="R4153">
        <v>-6.8742010000000006E-2</v>
      </c>
      <c r="S4153">
        <v>-3.370819</v>
      </c>
      <c r="T4153">
        <v>-0.31362780000000001</v>
      </c>
      <c r="U4153">
        <v>-1.9638059999999999E-2</v>
      </c>
      <c r="V4153">
        <v>-7.2107180000000007E-2</v>
      </c>
      <c r="W4153">
        <v>0.38261509999999999</v>
      </c>
      <c r="X4153">
        <v>0.92108970000000001</v>
      </c>
      <c r="Y4153">
        <v>-9.7763750000000003E-3</v>
      </c>
      <c r="Z4153">
        <v>-8.3410720000000002E-4</v>
      </c>
      <c r="AA4153">
        <v>0.99995179999999995</v>
      </c>
      <c r="AB4153">
        <v>43</v>
      </c>
      <c r="AC4153">
        <v>-0.36829999999997598</v>
      </c>
      <c r="AD4153">
        <v>-7.2052999999999895E-2</v>
      </c>
      <c r="AE4153">
        <v>-6.2000000000068597E-3</v>
      </c>
      <c r="AF4153">
        <v>-7.3943186068285496E-3</v>
      </c>
      <c r="AG4153">
        <v>-7.2052999999999895E-2</v>
      </c>
      <c r="AH4153">
        <v>0.35470031313385098</v>
      </c>
      <c r="AI4153">
        <v>101.480261228391</v>
      </c>
      <c r="AJ4153">
        <v>91.194252941186605</v>
      </c>
      <c r="AK4153">
        <v>0.36202019680386799</v>
      </c>
      <c r="AL4153">
        <v>67.504237617361596</v>
      </c>
      <c r="AM4153">
        <v>94.476250432267804</v>
      </c>
      <c r="AN4153">
        <v>0.99999999780082605</v>
      </c>
    </row>
    <row r="4154" spans="1:40" x14ac:dyDescent="0.25">
      <c r="A4154" t="str">
        <f>"20190304164453335"</f>
        <v>20190304164453335</v>
      </c>
      <c r="B4154" t="str">
        <f>"1551689093323829"</f>
        <v>1551689093323829</v>
      </c>
      <c r="C4154" t="s">
        <v>40</v>
      </c>
      <c r="D4154">
        <v>4.4871400000000001</v>
      </c>
      <c r="E4154">
        <v>0.53788780000000003</v>
      </c>
      <c r="F4154" t="s">
        <v>41</v>
      </c>
      <c r="G4154">
        <v>-286.1773</v>
      </c>
      <c r="H4154">
        <v>1.0391790000000001</v>
      </c>
      <c r="I4154">
        <v>141.10159999999999</v>
      </c>
      <c r="J4154">
        <v>-285.84059999999999</v>
      </c>
      <c r="K4154">
        <v>1.10954</v>
      </c>
      <c r="L4154">
        <v>141.10679999999999</v>
      </c>
      <c r="M4154">
        <v>-0.99994959999999999</v>
      </c>
      <c r="N4154">
        <v>-8.9937109999999997E-3</v>
      </c>
      <c r="O4154">
        <v>4.4491599999999997E-3</v>
      </c>
      <c r="P4154">
        <v>-0.92493570000000003</v>
      </c>
      <c r="Q4154">
        <v>0.37420419999999999</v>
      </c>
      <c r="R4154">
        <v>-6.6823359999999998E-2</v>
      </c>
      <c r="S4154">
        <v>-3.370422</v>
      </c>
      <c r="T4154">
        <v>-0.31432149999999998</v>
      </c>
      <c r="U4154">
        <v>-1.504517E-2</v>
      </c>
      <c r="V4154">
        <v>-7.0561009999999993E-2</v>
      </c>
      <c r="W4154">
        <v>0.38257459999999999</v>
      </c>
      <c r="X4154">
        <v>0.92122630000000005</v>
      </c>
      <c r="Y4154">
        <v>-8.8551810000000002E-3</v>
      </c>
      <c r="Z4154">
        <v>-8.2601799999999998E-4</v>
      </c>
      <c r="AA4154">
        <v>0.99996039999999997</v>
      </c>
      <c r="AB4154">
        <v>43</v>
      </c>
      <c r="AC4154">
        <v>-0.33670000000000699</v>
      </c>
      <c r="AD4154">
        <v>-7.0360999999999896E-2</v>
      </c>
      <c r="AE4154">
        <v>-5.2000000000020901E-3</v>
      </c>
      <c r="AF4154">
        <v>-6.4178444382269797E-3</v>
      </c>
      <c r="AG4154">
        <v>-7.0360999999999896E-2</v>
      </c>
      <c r="AH4154">
        <v>0.32258957877302202</v>
      </c>
      <c r="AI4154">
        <v>102.301895032354</v>
      </c>
      <c r="AJ4154">
        <v>91.139735817461499</v>
      </c>
      <c r="AK4154">
        <v>0.33023612064883001</v>
      </c>
      <c r="AL4154">
        <v>67.506750145836605</v>
      </c>
      <c r="AM4154">
        <v>94.379998346431805</v>
      </c>
      <c r="AN4154">
        <v>1.00000003825453</v>
      </c>
    </row>
    <row r="4155" spans="1:40" x14ac:dyDescent="0.25">
      <c r="A4155" t="str">
        <f>"20190304164453357"</f>
        <v>20190304164453357</v>
      </c>
      <c r="B4155" t="str">
        <f>"1551689093344322"</f>
        <v>1551689093344322</v>
      </c>
      <c r="C4155" t="s">
        <v>40</v>
      </c>
      <c r="D4155">
        <v>4.4669019999999904</v>
      </c>
      <c r="E4155">
        <v>0.53743009999999902</v>
      </c>
      <c r="F4155" t="s">
        <v>41</v>
      </c>
      <c r="G4155">
        <v>-286.9325</v>
      </c>
      <c r="H4155">
        <v>1.0133299999999901</v>
      </c>
      <c r="I4155">
        <v>141.1001</v>
      </c>
      <c r="J4155">
        <v>-286.27170000000001</v>
      </c>
      <c r="K4155">
        <v>1.1095410000000001</v>
      </c>
      <c r="L4155">
        <v>141.10900000000001</v>
      </c>
      <c r="M4155">
        <v>-0.99994559999999999</v>
      </c>
      <c r="N4155">
        <v>-9.2065840000000003E-3</v>
      </c>
      <c r="O4155">
        <v>4.9173869999999996E-3</v>
      </c>
      <c r="P4155">
        <v>-0.92505890000000002</v>
      </c>
      <c r="Q4155">
        <v>0.37416329999999998</v>
      </c>
      <c r="R4155">
        <v>-6.5332059999999997E-2</v>
      </c>
      <c r="S4155">
        <v>-3.3617859999999999</v>
      </c>
      <c r="T4155">
        <v>-0.29632619999999998</v>
      </c>
      <c r="U4155">
        <v>-2.163696E-2</v>
      </c>
      <c r="V4155">
        <v>-6.9473599999999996E-2</v>
      </c>
      <c r="W4155">
        <v>0.38273499999999999</v>
      </c>
      <c r="X4155">
        <v>0.92124229999999996</v>
      </c>
      <c r="Y4155">
        <v>-1.1289779999999999E-2</v>
      </c>
      <c r="Z4155">
        <v>-9.360948E-4</v>
      </c>
      <c r="AA4155">
        <v>0.99993580000000004</v>
      </c>
      <c r="AB4155">
        <v>43</v>
      </c>
      <c r="AC4155">
        <v>-0.66079999999999395</v>
      </c>
      <c r="AD4155">
        <v>-9.6211000000000005E-2</v>
      </c>
      <c r="AE4155">
        <v>-8.9000000000112305E-3</v>
      </c>
      <c r="AF4155">
        <v>-1.18972780229344E-2</v>
      </c>
      <c r="AG4155">
        <v>-9.6211000000000005E-2</v>
      </c>
      <c r="AH4155">
        <v>0.64703443710785102</v>
      </c>
      <c r="AI4155">
        <v>98.456235837153002</v>
      </c>
      <c r="AJ4155">
        <v>91.053401445464203</v>
      </c>
      <c r="AK4155">
        <v>0.65425657394391401</v>
      </c>
      <c r="AL4155">
        <v>67.496802353295095</v>
      </c>
      <c r="AM4155">
        <v>94.3126805807902</v>
      </c>
      <c r="AN4155">
        <v>1.0000000183156199</v>
      </c>
    </row>
    <row r="4156" spans="1:40" x14ac:dyDescent="0.25">
      <c r="A4156" t="str">
        <f>"20190304164453381"</f>
        <v>20190304164453381</v>
      </c>
      <c r="B4156" t="str">
        <f>"1551689093374578"</f>
        <v>1551689093374578</v>
      </c>
      <c r="C4156" t="s">
        <v>40</v>
      </c>
      <c r="D4156">
        <v>4.494167</v>
      </c>
      <c r="E4156">
        <v>0.53713659999999996</v>
      </c>
      <c r="F4156" t="s">
        <v>41</v>
      </c>
      <c r="G4156">
        <v>-287.32069999999999</v>
      </c>
      <c r="H4156">
        <v>1.0187349999999999</v>
      </c>
      <c r="I4156">
        <v>141.1035</v>
      </c>
      <c r="J4156">
        <v>-286.74470000000002</v>
      </c>
      <c r="K4156">
        <v>1.1095379999999999</v>
      </c>
      <c r="L4156">
        <v>141.11179999999999</v>
      </c>
      <c r="M4156">
        <v>-0.99994070000000002</v>
      </c>
      <c r="N4156">
        <v>-9.4442659999999998E-3</v>
      </c>
      <c r="O4156">
        <v>5.4387709999999898E-3</v>
      </c>
      <c r="P4156">
        <v>-0.92549720000000002</v>
      </c>
      <c r="Q4156">
        <v>0.37331300000000001</v>
      </c>
      <c r="R4156">
        <v>-6.3971420000000001E-2</v>
      </c>
      <c r="S4156">
        <v>-3.359375</v>
      </c>
      <c r="T4156">
        <v>-0.290877</v>
      </c>
      <c r="U4156">
        <v>-1.818848E-2</v>
      </c>
      <c r="V4156">
        <v>-6.8570229999999996E-2</v>
      </c>
      <c r="W4156">
        <v>0.38211149999999999</v>
      </c>
      <c r="X4156">
        <v>0.92156879999999997</v>
      </c>
      <c r="Y4156">
        <v>-1.0792070000000001E-2</v>
      </c>
      <c r="Z4156">
        <v>-9.3617880000000002E-4</v>
      </c>
      <c r="AA4156">
        <v>0.99994130000000003</v>
      </c>
      <c r="AB4156">
        <v>43</v>
      </c>
      <c r="AC4156">
        <v>-0.57599999999996498</v>
      </c>
      <c r="AD4156">
        <v>-9.0802999999999898E-2</v>
      </c>
      <c r="AE4156">
        <v>-8.2999999999913109E-3</v>
      </c>
      <c r="AF4156">
        <v>-1.11555718269489E-2</v>
      </c>
      <c r="AG4156">
        <v>-9.0802999999999898E-2</v>
      </c>
      <c r="AH4156">
        <v>0.56198302379352905</v>
      </c>
      <c r="AI4156">
        <v>99.176525498169099</v>
      </c>
      <c r="AJ4156">
        <v>91.137193161769304</v>
      </c>
      <c r="AK4156">
        <v>0.56938084848711301</v>
      </c>
      <c r="AL4156">
        <v>67.535466218523098</v>
      </c>
      <c r="AM4156">
        <v>94.255307387925498</v>
      </c>
      <c r="AN4156">
        <v>1.0000000640039599</v>
      </c>
    </row>
    <row r="4157" spans="1:40" x14ac:dyDescent="0.25">
      <c r="A4157" t="str">
        <f>"20190304164453402"</f>
        <v>20190304164453402</v>
      </c>
      <c r="B4157" t="str">
        <f>"1551689093394097"</f>
        <v>1551689093394097</v>
      </c>
      <c r="C4157" t="s">
        <v>40</v>
      </c>
      <c r="D4157">
        <v>4.4733349999999996</v>
      </c>
      <c r="E4157">
        <v>0.53680139999999998</v>
      </c>
      <c r="F4157" t="s">
        <v>41</v>
      </c>
      <c r="G4157">
        <v>-287.70960000000002</v>
      </c>
      <c r="H4157">
        <v>1.025345</v>
      </c>
      <c r="I4157">
        <v>141.10769999999999</v>
      </c>
      <c r="J4157">
        <v>-287.1567</v>
      </c>
      <c r="K4157">
        <v>1.10954</v>
      </c>
      <c r="L4157">
        <v>141.11429999999999</v>
      </c>
      <c r="M4157">
        <v>-0.99993609999999999</v>
      </c>
      <c r="N4157">
        <v>-9.6588750000000008E-3</v>
      </c>
      <c r="O4157">
        <v>5.8940080000000001E-3</v>
      </c>
      <c r="P4157">
        <v>-0.92562140000000004</v>
      </c>
      <c r="Q4157">
        <v>0.37306240000000002</v>
      </c>
      <c r="R4157">
        <v>-6.3637579999999999E-2</v>
      </c>
      <c r="S4157">
        <v>-3.3587039999999999</v>
      </c>
      <c r="T4157">
        <v>-0.29309370000000001</v>
      </c>
      <c r="U4157">
        <v>-1.486206E-2</v>
      </c>
      <c r="V4157">
        <v>-6.8636710000000004E-2</v>
      </c>
      <c r="W4157">
        <v>0.38206390000000001</v>
      </c>
      <c r="X4157">
        <v>0.9215835</v>
      </c>
      <c r="Y4157">
        <v>-1.025802E-2</v>
      </c>
      <c r="Z4157">
        <v>-9.5289389999999999E-4</v>
      </c>
      <c r="AA4157">
        <v>0.99994700000000003</v>
      </c>
      <c r="AB4157">
        <v>43</v>
      </c>
      <c r="AC4157">
        <v>-0.55290000000002204</v>
      </c>
      <c r="AD4157">
        <v>-8.4194999999999798E-2</v>
      </c>
      <c r="AE4157">
        <v>-6.5999999999917201E-3</v>
      </c>
      <c r="AF4157">
        <v>-9.6354311652826694E-3</v>
      </c>
      <c r="AG4157">
        <v>-8.4194999999999798E-2</v>
      </c>
      <c r="AH4157">
        <v>0.54032378488994304</v>
      </c>
      <c r="AI4157">
        <v>98.855402894589304</v>
      </c>
      <c r="AJ4157">
        <v>91.021630077822195</v>
      </c>
      <c r="AK4157">
        <v>0.54692909236621801</v>
      </c>
      <c r="AL4157">
        <v>67.538415534509397</v>
      </c>
      <c r="AM4157">
        <v>94.259350113306596</v>
      </c>
      <c r="AN4157">
        <v>0.99999998455754202</v>
      </c>
    </row>
    <row r="4158" spans="1:40" x14ac:dyDescent="0.25">
      <c r="A4158" t="str">
        <f>"20190304164453428"</f>
        <v>20190304164453428</v>
      </c>
      <c r="B4158" t="str">
        <f>"1551689093424353"</f>
        <v>1551689093424353</v>
      </c>
      <c r="C4158" t="s">
        <v>40</v>
      </c>
      <c r="D4158">
        <v>4.4997239999999996</v>
      </c>
      <c r="E4158">
        <v>0.53670030000000002</v>
      </c>
      <c r="F4158" t="s">
        <v>41</v>
      </c>
      <c r="G4158">
        <v>-288.09640000000002</v>
      </c>
      <c r="H4158">
        <v>1.0273019999999999</v>
      </c>
      <c r="I4158">
        <v>141.11000000000001</v>
      </c>
      <c r="J4158">
        <v>-287.64019999999999</v>
      </c>
      <c r="K4158">
        <v>1.109553</v>
      </c>
      <c r="L4158">
        <v>141.11760000000001</v>
      </c>
      <c r="M4158">
        <v>-0.99993010000000004</v>
      </c>
      <c r="N4158">
        <v>-9.9294280000000006E-3</v>
      </c>
      <c r="O4158">
        <v>6.4276749999999999E-3</v>
      </c>
      <c r="P4158">
        <v>-0.92575370000000001</v>
      </c>
      <c r="Q4158">
        <v>0.37276799999999999</v>
      </c>
      <c r="R4158">
        <v>-6.3436779999999998E-2</v>
      </c>
      <c r="S4158">
        <v>-3.3584900000000002</v>
      </c>
      <c r="T4158">
        <v>-0.29396309999999998</v>
      </c>
      <c r="U4158">
        <v>-1.5716549999999999E-2</v>
      </c>
      <c r="V4158">
        <v>-6.8908209999999998E-2</v>
      </c>
      <c r="W4158">
        <v>0.38202380000000002</v>
      </c>
      <c r="X4158">
        <v>0.92157979999999995</v>
      </c>
      <c r="Y4158">
        <v>-1.104109E-2</v>
      </c>
      <c r="Z4158">
        <v>-1.0350229999999999E-3</v>
      </c>
      <c r="AA4158">
        <v>0.99993849999999995</v>
      </c>
      <c r="AB4158">
        <v>43</v>
      </c>
      <c r="AC4158">
        <v>-0.45620000000002298</v>
      </c>
      <c r="AD4158">
        <v>-8.2251000000000005E-2</v>
      </c>
      <c r="AE4158">
        <v>-7.5999999999964898E-3</v>
      </c>
      <c r="AF4158">
        <v>-1.0200791471435801E-2</v>
      </c>
      <c r="AG4158">
        <v>-8.2251000000000005E-2</v>
      </c>
      <c r="AH4158">
        <v>0.44178477705245101</v>
      </c>
      <c r="AI4158">
        <v>100.54376733397</v>
      </c>
      <c r="AJ4158">
        <v>91.322722046206906</v>
      </c>
      <c r="AK4158">
        <v>0.4494920159279</v>
      </c>
      <c r="AL4158">
        <v>67.540900308397994</v>
      </c>
      <c r="AM4158">
        <v>94.276153170280097</v>
      </c>
      <c r="AN4158">
        <v>0.99999992646993896</v>
      </c>
    </row>
    <row r="4159" spans="1:40" x14ac:dyDescent="0.25">
      <c r="A4159" t="str">
        <f>"20190304164453446"</f>
        <v>20190304164453446</v>
      </c>
      <c r="B4159" t="str">
        <f>"1551689093434114"</f>
        <v>1551689093434114</v>
      </c>
      <c r="C4159" t="s">
        <v>40</v>
      </c>
      <c r="D4159">
        <v>4.5068449999999904</v>
      </c>
      <c r="E4159">
        <v>0.53663329999999998</v>
      </c>
      <c r="F4159" t="s">
        <v>41</v>
      </c>
      <c r="G4159">
        <v>-288.48849999999999</v>
      </c>
      <c r="H4159">
        <v>1.034913</v>
      </c>
      <c r="I4159">
        <v>141.1139</v>
      </c>
      <c r="J4159">
        <v>-287.98930000000001</v>
      </c>
      <c r="K4159">
        <v>1.109567</v>
      </c>
      <c r="L4159">
        <v>141.12010000000001</v>
      </c>
      <c r="M4159">
        <v>-0.99992539999999996</v>
      </c>
      <c r="N4159">
        <v>-1.0141509999999999E-2</v>
      </c>
      <c r="O4159">
        <v>6.8118809999999997E-3</v>
      </c>
      <c r="P4159">
        <v>-0.92552080000000003</v>
      </c>
      <c r="Q4159">
        <v>0.37338300000000002</v>
      </c>
      <c r="R4159">
        <v>-6.3215900000000005E-2</v>
      </c>
      <c r="S4159">
        <v>-3.3586119999999999</v>
      </c>
      <c r="T4159">
        <v>-0.29560209999999998</v>
      </c>
      <c r="U4159">
        <v>-1.596069E-2</v>
      </c>
      <c r="V4159">
        <v>-6.9025959999999997E-2</v>
      </c>
      <c r="W4159">
        <v>0.38283460000000002</v>
      </c>
      <c r="X4159">
        <v>0.92123449999999996</v>
      </c>
      <c r="Y4159">
        <v>-1.1493969999999999E-2</v>
      </c>
      <c r="Z4159">
        <v>-1.0926499999999999E-3</v>
      </c>
      <c r="AA4159">
        <v>0.99993339999999997</v>
      </c>
      <c r="AB4159">
        <v>43</v>
      </c>
      <c r="AC4159">
        <v>-0.499199999999973</v>
      </c>
      <c r="AD4159">
        <v>-7.4653999999999998E-2</v>
      </c>
      <c r="AE4159">
        <v>-6.2000000000068597E-3</v>
      </c>
      <c r="AF4159">
        <v>-9.3905406193513594E-3</v>
      </c>
      <c r="AG4159">
        <v>-7.4653999999999998E-2</v>
      </c>
      <c r="AH4159">
        <v>0.48822892407316598</v>
      </c>
      <c r="AI4159">
        <v>98.692049950485895</v>
      </c>
      <c r="AJ4159">
        <v>91.101884762022394</v>
      </c>
      <c r="AK4159">
        <v>0.49399279779240202</v>
      </c>
      <c r="AL4159">
        <v>67.490623821594397</v>
      </c>
      <c r="AM4159">
        <v>94.285032617060395</v>
      </c>
      <c r="AN4159">
        <v>0.99999995905066397</v>
      </c>
    </row>
    <row r="4160" spans="1:40" x14ac:dyDescent="0.25">
      <c r="A4160" t="str">
        <f>"20190304164453470"</f>
        <v>20190304164453470</v>
      </c>
      <c r="B4160" t="str">
        <f>"1551689093464370"</f>
        <v>1551689093464370</v>
      </c>
      <c r="C4160" t="s">
        <v>40</v>
      </c>
      <c r="D4160">
        <v>4.509493</v>
      </c>
      <c r="E4160">
        <v>0.53647339999999999</v>
      </c>
      <c r="F4160" t="s">
        <v>41</v>
      </c>
      <c r="G4160">
        <v>-288.8725</v>
      </c>
      <c r="H4160">
        <v>1.03242099999999</v>
      </c>
      <c r="I4160">
        <v>141.11590000000001</v>
      </c>
      <c r="J4160">
        <v>-288.44920000000002</v>
      </c>
      <c r="K4160">
        <v>1.109594</v>
      </c>
      <c r="L4160">
        <v>141.12370000000001</v>
      </c>
      <c r="M4160">
        <v>-0.9999188</v>
      </c>
      <c r="N4160">
        <v>-1.0441189999999999E-2</v>
      </c>
      <c r="O4160">
        <v>7.3107759999999997E-3</v>
      </c>
      <c r="P4160">
        <v>-0.9256839</v>
      </c>
      <c r="Q4160">
        <v>0.37292599999999998</v>
      </c>
      <c r="R4160">
        <v>-6.3528050000000003E-2</v>
      </c>
      <c r="S4160">
        <v>-3.3586429999999998</v>
      </c>
      <c r="T4160">
        <v>-0.29338259999999899</v>
      </c>
      <c r="U4160">
        <v>-1.672363E-2</v>
      </c>
      <c r="V4160">
        <v>-6.9785239999999998E-2</v>
      </c>
      <c r="W4160">
        <v>0.38265880000000002</v>
      </c>
      <c r="X4160">
        <v>0.92125040000000002</v>
      </c>
      <c r="Y4160">
        <v>-1.221649E-2</v>
      </c>
      <c r="Z4160">
        <v>-1.157644E-3</v>
      </c>
      <c r="AA4160">
        <v>0.9999247</v>
      </c>
      <c r="AB4160">
        <v>43</v>
      </c>
      <c r="AC4160">
        <v>-0.42329999999998302</v>
      </c>
      <c r="AD4160">
        <v>-7.7173000000000103E-2</v>
      </c>
      <c r="AE4160">
        <v>-7.80000000000313E-3</v>
      </c>
      <c r="AF4160">
        <v>-1.0544260940121499E-2</v>
      </c>
      <c r="AG4160">
        <v>-7.7173000000000103E-2</v>
      </c>
      <c r="AH4160">
        <v>0.40962130804832098</v>
      </c>
      <c r="AI4160">
        <v>100.66605661541401</v>
      </c>
      <c r="AJ4160">
        <v>91.474552840667101</v>
      </c>
      <c r="AK4160">
        <v>0.41696099262999498</v>
      </c>
      <c r="AL4160">
        <v>67.5015280371247</v>
      </c>
      <c r="AM4160">
        <v>94.331914693092202</v>
      </c>
      <c r="AN4160">
        <v>1.00000001821972</v>
      </c>
    </row>
    <row r="4161" spans="1:40" x14ac:dyDescent="0.25">
      <c r="A4161" t="str">
        <f>"20190304164453492"</f>
        <v>20190304164453492</v>
      </c>
      <c r="B4161" t="str">
        <f>"1551689093483890"</f>
        <v>1551689093483890</v>
      </c>
      <c r="C4161" t="s">
        <v>40</v>
      </c>
      <c r="D4161">
        <v>4.5192360000000003</v>
      </c>
      <c r="E4161">
        <v>0.53643859999999999</v>
      </c>
      <c r="F4161" t="s">
        <v>41</v>
      </c>
      <c r="G4161">
        <v>-289.26710000000003</v>
      </c>
      <c r="H4161">
        <v>1.0376860000000001</v>
      </c>
      <c r="I4161">
        <v>141.11940000000001</v>
      </c>
      <c r="J4161">
        <v>-288.88479999999998</v>
      </c>
      <c r="K4161">
        <v>1.1096220000000001</v>
      </c>
      <c r="L4161">
        <v>141.12729999999999</v>
      </c>
      <c r="M4161">
        <v>-0.99991209999999997</v>
      </c>
      <c r="N4161">
        <v>-1.074088E-2</v>
      </c>
      <c r="O4161">
        <v>7.7703260000000001E-3</v>
      </c>
      <c r="P4161">
        <v>-0.92598309999999995</v>
      </c>
      <c r="Q4161">
        <v>0.37210409999999999</v>
      </c>
      <c r="R4161">
        <v>-6.3982360000000002E-2</v>
      </c>
      <c r="S4161">
        <v>-3.3585820000000002</v>
      </c>
      <c r="T4161">
        <v>-0.29539470000000001</v>
      </c>
      <c r="U4161">
        <v>-1.8615719999999999E-2</v>
      </c>
      <c r="V4161">
        <v>-7.065979E-2</v>
      </c>
      <c r="W4161">
        <v>0.38211859999999997</v>
      </c>
      <c r="X4161">
        <v>0.92140789999999995</v>
      </c>
      <c r="Y4161">
        <v>-1.323268E-2</v>
      </c>
      <c r="Z4161">
        <v>-1.250791E-3</v>
      </c>
      <c r="AA4161">
        <v>0.99991169999999996</v>
      </c>
      <c r="AB4161">
        <v>43</v>
      </c>
      <c r="AC4161">
        <v>-0.38230000000004299</v>
      </c>
      <c r="AD4161">
        <v>-7.1935999999999695E-2</v>
      </c>
      <c r="AE4161">
        <v>-7.8999999999780305E-3</v>
      </c>
      <c r="AF4161">
        <v>-1.0498955123190599E-2</v>
      </c>
      <c r="AG4161">
        <v>-7.1935999999999695E-2</v>
      </c>
      <c r="AH4161">
        <v>0.36916188743469702</v>
      </c>
      <c r="AI4161">
        <v>101.022300411923</v>
      </c>
      <c r="AJ4161">
        <v>91.629051464342396</v>
      </c>
      <c r="AK4161">
        <v>0.37625193061169399</v>
      </c>
      <c r="AL4161">
        <v>67.535023887873905</v>
      </c>
      <c r="AM4161">
        <v>94.385245013533407</v>
      </c>
      <c r="AN4161">
        <v>0.99999997428560605</v>
      </c>
    </row>
    <row r="4162" spans="1:40" x14ac:dyDescent="0.25">
      <c r="A4162" t="str">
        <f>"20190304164453515"</f>
        <v>20190304164453515</v>
      </c>
      <c r="B4162" t="str">
        <f>"1551689093504386"</f>
        <v>1551689093504386</v>
      </c>
      <c r="C4162" t="s">
        <v>40</v>
      </c>
      <c r="D4162">
        <v>4.5260309999999997</v>
      </c>
      <c r="E4162">
        <v>0.53625970000000001</v>
      </c>
      <c r="F4162" t="s">
        <v>48</v>
      </c>
      <c r="G4162">
        <v>-301.35090000000002</v>
      </c>
      <c r="H4162" s="1">
        <v>-8.6766990000000001E-6</v>
      </c>
      <c r="I4162">
        <v>141.05430000000001</v>
      </c>
      <c r="J4162">
        <v>-289.30500000000001</v>
      </c>
      <c r="K4162">
        <v>1.109664</v>
      </c>
      <c r="L4162">
        <v>141.1309</v>
      </c>
      <c r="M4162">
        <v>-0.9999055</v>
      </c>
      <c r="N4162">
        <v>-1.1044119999999999E-2</v>
      </c>
      <c r="O4162">
        <v>8.2018709999999995E-3</v>
      </c>
      <c r="P4162">
        <v>-0.92619419999999997</v>
      </c>
      <c r="Q4162">
        <v>0.3715735</v>
      </c>
      <c r="R4162">
        <v>-6.4014539999999995E-2</v>
      </c>
      <c r="S4162">
        <v>-3.3585820000000002</v>
      </c>
      <c r="T4162">
        <v>-0.29895349999999998</v>
      </c>
      <c r="U4162">
        <v>-1.9668580000000001E-2</v>
      </c>
      <c r="V4162">
        <v>-7.1094299999999999E-2</v>
      </c>
      <c r="W4162">
        <v>0.38187009999999899</v>
      </c>
      <c r="X4162">
        <v>0.92147760000000001</v>
      </c>
      <c r="Y4162">
        <v>-1.397115E-2</v>
      </c>
      <c r="Z4162">
        <v>-1.3360780000000001E-3</v>
      </c>
      <c r="AA4162">
        <v>0.9999015</v>
      </c>
      <c r="AB4162">
        <v>43</v>
      </c>
      <c r="AC4162">
        <v>-12.0459</v>
      </c>
      <c r="AD4162">
        <v>-1.1096726766989999</v>
      </c>
      <c r="AE4162">
        <v>-7.6599999999984902E-2</v>
      </c>
      <c r="AF4162">
        <v>-0.173926446342001</v>
      </c>
      <c r="AG4162">
        <v>-1.1096726766989999</v>
      </c>
      <c r="AH4162">
        <v>11.9435159705804</v>
      </c>
      <c r="AI4162">
        <v>95.307555557670597</v>
      </c>
      <c r="AJ4162">
        <v>90.834305995967</v>
      </c>
      <c r="AK4162">
        <v>11.996215969949001</v>
      </c>
      <c r="AL4162">
        <v>67.550432501895898</v>
      </c>
      <c r="AM4162">
        <v>94.411772743159801</v>
      </c>
      <c r="AN4162">
        <v>1.0000000700341201</v>
      </c>
    </row>
    <row r="4163" spans="1:40" x14ac:dyDescent="0.25">
      <c r="A4163" t="str">
        <f>"20190304164453536"</f>
        <v>20190304164453536</v>
      </c>
      <c r="B4163" t="str">
        <f>"1551689093523907"</f>
        <v>1551689093523907</v>
      </c>
      <c r="C4163" t="s">
        <v>40</v>
      </c>
      <c r="D4163">
        <v>4.7080869999999999</v>
      </c>
      <c r="E4163">
        <v>0.51147659999999995</v>
      </c>
      <c r="F4163" t="s">
        <v>41</v>
      </c>
      <c r="G4163">
        <v>-290.40230000000003</v>
      </c>
      <c r="H4163">
        <v>1.011301</v>
      </c>
      <c r="I4163">
        <v>141.1242</v>
      </c>
      <c r="J4163">
        <v>-289.72629999999998</v>
      </c>
      <c r="K4163">
        <v>1.1097170000000001</v>
      </c>
      <c r="L4163">
        <v>141.13480000000001</v>
      </c>
      <c r="M4163">
        <v>-0.99989830000000002</v>
      </c>
      <c r="N4163">
        <v>-1.136568E-2</v>
      </c>
      <c r="O4163">
        <v>8.6297149999999996E-3</v>
      </c>
      <c r="P4163">
        <v>-0.92604620000000004</v>
      </c>
      <c r="Q4163">
        <v>0.37192120000000001</v>
      </c>
      <c r="R4163">
        <v>-6.4133200000000001E-2</v>
      </c>
      <c r="S4163">
        <v>-3.3584290000000001</v>
      </c>
      <c r="T4163">
        <v>-0.30106699999999997</v>
      </c>
      <c r="U4163">
        <v>-2.0996089999999999E-2</v>
      </c>
      <c r="V4163">
        <v>-7.1615509999999993E-2</v>
      </c>
      <c r="W4163">
        <v>0.3825112</v>
      </c>
      <c r="X4163">
        <v>0.92117119999999997</v>
      </c>
      <c r="Y4163">
        <v>-1.4788279999999999E-2</v>
      </c>
      <c r="Z4163">
        <v>-1.41989E-3</v>
      </c>
      <c r="AA4163">
        <v>0.99988960000000005</v>
      </c>
      <c r="AB4163">
        <v>43</v>
      </c>
      <c r="AC4163">
        <v>-0.67600000000004401</v>
      </c>
      <c r="AD4163">
        <v>-9.8416000000000003E-2</v>
      </c>
      <c r="AE4163">
        <v>-1.06000000000108E-2</v>
      </c>
      <c r="AF4163">
        <v>-1.6092664845118301E-2</v>
      </c>
      <c r="AG4163">
        <v>-9.8416000000000003E-2</v>
      </c>
      <c r="AH4163">
        <v>0.66185855146226702</v>
      </c>
      <c r="AI4163">
        <v>98.455243013305804</v>
      </c>
      <c r="AJ4163">
        <v>91.392835582677293</v>
      </c>
      <c r="AK4163">
        <v>0.66932908577287098</v>
      </c>
      <c r="AL4163">
        <v>67.510680589214502</v>
      </c>
      <c r="AM4163">
        <v>94.445459688321407</v>
      </c>
      <c r="AN4163">
        <v>0.99999998955372005</v>
      </c>
    </row>
    <row r="4164" spans="1:40" x14ac:dyDescent="0.25">
      <c r="A4164" t="str">
        <f>"20190304164453559"</f>
        <v>20190304164453559</v>
      </c>
      <c r="B4164" t="str">
        <f>"1551689093554162"</f>
        <v>1551689093554162</v>
      </c>
      <c r="C4164" t="s">
        <v>40</v>
      </c>
      <c r="D4164">
        <v>4.5367259999999998</v>
      </c>
      <c r="E4164">
        <v>0.48763909999999999</v>
      </c>
      <c r="F4164" t="s">
        <v>48</v>
      </c>
      <c r="G4164">
        <v>-304.8673</v>
      </c>
      <c r="H4164" s="1">
        <v>-8.9176399999999901E-6</v>
      </c>
      <c r="I4164">
        <v>140.16159999999999</v>
      </c>
      <c r="J4164">
        <v>-290.15530000000001</v>
      </c>
      <c r="K4164">
        <v>1.1097760000000001</v>
      </c>
      <c r="L4164">
        <v>141.13890000000001</v>
      </c>
      <c r="M4164">
        <v>-0.99989070000000002</v>
      </c>
      <c r="N4164">
        <v>-1.16866E-2</v>
      </c>
      <c r="O4164">
        <v>9.0654459999999996E-3</v>
      </c>
      <c r="P4164">
        <v>-0.92598259999999999</v>
      </c>
      <c r="Q4164">
        <v>0.37212339999999999</v>
      </c>
      <c r="R4164">
        <v>-6.3878069999999995E-2</v>
      </c>
      <c r="S4164">
        <v>-3.3226010000000001</v>
      </c>
      <c r="T4164">
        <v>-0.24352299999999999</v>
      </c>
      <c r="U4164">
        <v>-0.21354680000000001</v>
      </c>
      <c r="V4164">
        <v>-7.1774409999999997E-2</v>
      </c>
      <c r="W4164">
        <v>0.38300590000000001</v>
      </c>
      <c r="X4164">
        <v>0.92095329999999997</v>
      </c>
      <c r="Y4164">
        <v>-7.2940130000000006E-2</v>
      </c>
      <c r="Z4164">
        <v>-3.6511899999999999E-3</v>
      </c>
      <c r="AA4164">
        <v>0.99732969999999999</v>
      </c>
      <c r="AB4164">
        <v>43</v>
      </c>
      <c r="AC4164">
        <v>-14.7119999999999</v>
      </c>
      <c r="AD4164">
        <v>-1.1097849176400001</v>
      </c>
      <c r="AE4164">
        <v>-0.97730000000001305</v>
      </c>
      <c r="AF4164">
        <v>-1.1043831258661201</v>
      </c>
      <c r="AG4164">
        <v>-1.1097849176400001</v>
      </c>
      <c r="AH4164">
        <v>14.6197102419034</v>
      </c>
      <c r="AI4164">
        <v>94.328721828545</v>
      </c>
      <c r="AJ4164">
        <v>94.319958548399597</v>
      </c>
      <c r="AK4164">
        <v>14.7033061659388</v>
      </c>
      <c r="AL4164">
        <v>67.480001023797001</v>
      </c>
      <c r="AM4164">
        <v>94.456333461611493</v>
      </c>
      <c r="AN4164">
        <v>1.0000000330732699</v>
      </c>
    </row>
    <row r="4165" spans="1:40" x14ac:dyDescent="0.25">
      <c r="A4165" t="str">
        <f>"20190304164453581"</f>
        <v>20190304164453581</v>
      </c>
      <c r="B4165" t="str">
        <f>"1551689093574657"</f>
        <v>1551689093574657</v>
      </c>
      <c r="C4165" t="s">
        <v>40</v>
      </c>
      <c r="D4165">
        <v>4.55</v>
      </c>
      <c r="E4165">
        <v>0.48214829999999997</v>
      </c>
      <c r="F4165" t="s">
        <v>48</v>
      </c>
      <c r="G4165">
        <v>-308.92540000000002</v>
      </c>
      <c r="H4165" s="1">
        <v>-9.0986419999999995E-6</v>
      </c>
      <c r="I4165">
        <v>138.86750000000001</v>
      </c>
      <c r="J4165">
        <v>-290.60090000000002</v>
      </c>
      <c r="K4165">
        <v>1.1098209999999999</v>
      </c>
      <c r="L4165">
        <v>141.14330000000001</v>
      </c>
      <c r="M4165">
        <v>-0.99988279999999996</v>
      </c>
      <c r="N4165">
        <v>-1.2007169999999999E-2</v>
      </c>
      <c r="O4165">
        <v>9.5129189999999999E-3</v>
      </c>
      <c r="P4165">
        <v>-0.9259174</v>
      </c>
      <c r="Q4165">
        <v>0.37223580000000001</v>
      </c>
      <c r="R4165">
        <v>-6.4168160000000002E-2</v>
      </c>
      <c r="S4165">
        <v>-3.2905579999999999</v>
      </c>
      <c r="T4165">
        <v>-0.1945548</v>
      </c>
      <c r="U4165">
        <v>-0.39819339999999998</v>
      </c>
      <c r="V4165">
        <v>-7.2489310000000001E-2</v>
      </c>
      <c r="W4165">
        <v>0.38341059999999999</v>
      </c>
      <c r="X4165">
        <v>0.92072889999999996</v>
      </c>
      <c r="Y4165">
        <v>-0.12929499999999999</v>
      </c>
      <c r="Z4165">
        <v>-5.0312819999999998E-3</v>
      </c>
      <c r="AA4165">
        <v>0.99159339999999996</v>
      </c>
      <c r="AB4165">
        <v>43</v>
      </c>
      <c r="AC4165">
        <v>-18.3245</v>
      </c>
      <c r="AD4165">
        <v>-1.109830098642</v>
      </c>
      <c r="AE4165">
        <v>-2.2757999999999998</v>
      </c>
      <c r="AF4165">
        <v>-2.4412102978275301</v>
      </c>
      <c r="AG4165">
        <v>-1.109830098642</v>
      </c>
      <c r="AH4165">
        <v>18.236142603693999</v>
      </c>
      <c r="AI4165">
        <v>93.451940965431106</v>
      </c>
      <c r="AJ4165">
        <v>97.624661166611503</v>
      </c>
      <c r="AK4165">
        <v>18.432257800615101</v>
      </c>
      <c r="AL4165">
        <v>67.454897383007705</v>
      </c>
      <c r="AM4165">
        <v>94.501631116415894</v>
      </c>
      <c r="AN4165">
        <v>1.0000000477759201</v>
      </c>
    </row>
    <row r="4166" spans="1:40" x14ac:dyDescent="0.25">
      <c r="A4166" t="str">
        <f>"20190304164453603"</f>
        <v>20190304164453603</v>
      </c>
      <c r="B4166" t="str">
        <f>"1551689093594178"</f>
        <v>1551689093594178</v>
      </c>
      <c r="C4166" t="s">
        <v>40</v>
      </c>
      <c r="D4166">
        <v>4.5493819999999996</v>
      </c>
      <c r="E4166">
        <v>0.47960229999999998</v>
      </c>
      <c r="F4166" t="s">
        <v>48</v>
      </c>
      <c r="G4166">
        <v>-310.09230000000002</v>
      </c>
      <c r="H4166" s="1">
        <v>-9.0992730000000006E-6</v>
      </c>
      <c r="I4166">
        <v>138.52119999999999</v>
      </c>
      <c r="J4166">
        <v>-291.0265</v>
      </c>
      <c r="K4166">
        <v>1.109855</v>
      </c>
      <c r="L4166">
        <v>141.14769999999999</v>
      </c>
      <c r="M4166">
        <v>-0.99987510000000002</v>
      </c>
      <c r="N4166">
        <v>-1.229324E-2</v>
      </c>
      <c r="O4166">
        <v>9.9313040000000002E-3</v>
      </c>
      <c r="P4166">
        <v>-0.92620270000000005</v>
      </c>
      <c r="Q4166">
        <v>0.37150339999999998</v>
      </c>
      <c r="R4166">
        <v>-6.42929E-2</v>
      </c>
      <c r="S4166">
        <v>-3.2846069999999998</v>
      </c>
      <c r="T4166">
        <v>-0.187024</v>
      </c>
      <c r="U4166">
        <v>-0.44186399999999998</v>
      </c>
      <c r="V4166">
        <v>-7.3013010000000003E-2</v>
      </c>
      <c r="W4166">
        <v>0.38294420000000001</v>
      </c>
      <c r="X4166">
        <v>0.92088159999999997</v>
      </c>
      <c r="Y4166">
        <v>-0.14287459999999999</v>
      </c>
      <c r="Z4166">
        <v>-5.370288E-3</v>
      </c>
      <c r="AA4166">
        <v>0.9897262</v>
      </c>
      <c r="AB4166">
        <v>43</v>
      </c>
      <c r="AC4166">
        <v>-19.065799999999999</v>
      </c>
      <c r="AD4166">
        <v>-1.109864099273</v>
      </c>
      <c r="AE4166">
        <v>-2.6264999999999898</v>
      </c>
      <c r="AF4166">
        <v>-2.8064001648416399</v>
      </c>
      <c r="AG4166">
        <v>-1.109864099273</v>
      </c>
      <c r="AH4166">
        <v>18.975668324468501</v>
      </c>
      <c r="AI4166">
        <v>93.311410325564694</v>
      </c>
      <c r="AJ4166">
        <v>98.412757061416997</v>
      </c>
      <c r="AK4166">
        <v>19.214152819323498</v>
      </c>
      <c r="AL4166">
        <v>67.483828120884894</v>
      </c>
      <c r="AM4166">
        <v>94.5332693988437</v>
      </c>
      <c r="AN4166">
        <v>1.0000000405807199</v>
      </c>
    </row>
    <row r="4167" spans="1:40" x14ac:dyDescent="0.25">
      <c r="A4167" t="str">
        <f>"20190304164453625"</f>
        <v>20190304164453625</v>
      </c>
      <c r="B4167" t="str">
        <f>"1551689093614674"</f>
        <v>1551689093614674</v>
      </c>
      <c r="C4167" t="s">
        <v>40</v>
      </c>
      <c r="D4167">
        <v>4.52454</v>
      </c>
      <c r="E4167">
        <v>0.47788540000000002</v>
      </c>
      <c r="F4167" t="s">
        <v>48</v>
      </c>
      <c r="G4167">
        <v>-310.3913</v>
      </c>
      <c r="H4167" s="1">
        <v>-8.9582240000000007E-6</v>
      </c>
      <c r="I4167">
        <v>138.42840000000001</v>
      </c>
      <c r="J4167">
        <v>-291.42919999999998</v>
      </c>
      <c r="K4167">
        <v>1.1098859999999999</v>
      </c>
      <c r="L4167">
        <v>141.15199999999999</v>
      </c>
      <c r="M4167">
        <v>-0.99986799999999998</v>
      </c>
      <c r="N4167">
        <v>-1.2540290000000001E-2</v>
      </c>
      <c r="O4167">
        <v>1.031844E-2</v>
      </c>
      <c r="P4167">
        <v>-0.92630279999999998</v>
      </c>
      <c r="Q4167">
        <v>0.37119089999999999</v>
      </c>
      <c r="R4167">
        <v>-6.4655889999999994E-2</v>
      </c>
      <c r="S4167">
        <v>-3.2825009999999999</v>
      </c>
      <c r="T4167">
        <v>-0.18813170000000001</v>
      </c>
      <c r="U4167">
        <v>-0.4609375</v>
      </c>
      <c r="V4167">
        <v>-7.374029E-2</v>
      </c>
      <c r="W4167">
        <v>0.38286009999999998</v>
      </c>
      <c r="X4167">
        <v>0.92085859999999997</v>
      </c>
      <c r="Y4167">
        <v>-0.1489666</v>
      </c>
      <c r="Z4167">
        <v>-5.6436400000000001E-3</v>
      </c>
      <c r="AA4167">
        <v>0.98882619999999999</v>
      </c>
      <c r="AB4167">
        <v>43</v>
      </c>
      <c r="AC4167">
        <v>-18.9621</v>
      </c>
      <c r="AD4167">
        <v>-1.1098949582240001</v>
      </c>
      <c r="AE4167">
        <v>-2.7235999999999998</v>
      </c>
      <c r="AF4167">
        <v>-2.9093636046737901</v>
      </c>
      <c r="AG4167">
        <v>-1.1098949582240001</v>
      </c>
      <c r="AH4167">
        <v>18.8696436945452</v>
      </c>
      <c r="AI4167">
        <v>93.326983585205795</v>
      </c>
      <c r="AJ4167">
        <v>98.764971423889307</v>
      </c>
      <c r="AK4167">
        <v>19.124845530397899</v>
      </c>
      <c r="AL4167">
        <v>67.4890438234995</v>
      </c>
      <c r="AM4167">
        <v>94.578347974511502</v>
      </c>
      <c r="AN4167">
        <v>1.0000000238676201</v>
      </c>
    </row>
    <row r="4168" spans="1:40" x14ac:dyDescent="0.25">
      <c r="A4168" t="str">
        <f>"20190304164453647"</f>
        <v>20190304164453647</v>
      </c>
      <c r="B4168" t="str">
        <f>"1551689093634194"</f>
        <v>1551689093634194</v>
      </c>
      <c r="C4168" t="s">
        <v>40</v>
      </c>
      <c r="D4168">
        <v>4.5382319999999998</v>
      </c>
      <c r="E4168">
        <v>0.4765064</v>
      </c>
      <c r="F4168" t="s">
        <v>48</v>
      </c>
      <c r="G4168">
        <v>-310.72210000000001</v>
      </c>
      <c r="H4168" s="1">
        <v>-8.8104949999999994E-6</v>
      </c>
      <c r="I4168">
        <v>138.35290000000001</v>
      </c>
      <c r="J4168">
        <v>-291.86369999999999</v>
      </c>
      <c r="K4168">
        <v>1.1099139999999901</v>
      </c>
      <c r="L4168">
        <v>141.15690000000001</v>
      </c>
      <c r="M4168">
        <v>-0.99986090000000005</v>
      </c>
      <c r="N4168">
        <v>-1.278003E-2</v>
      </c>
      <c r="O4168">
        <v>1.0728369999999999E-2</v>
      </c>
      <c r="P4168">
        <v>-0.92622170000000004</v>
      </c>
      <c r="Q4168">
        <v>0.37138900000000002</v>
      </c>
      <c r="R4168">
        <v>-6.4680999999999905E-2</v>
      </c>
      <c r="S4168">
        <v>-3.2811279999999998</v>
      </c>
      <c r="T4168">
        <v>-0.18875929999999999</v>
      </c>
      <c r="U4168">
        <v>-0.47604370000000001</v>
      </c>
      <c r="V4168">
        <v>-7.4147500000000005E-2</v>
      </c>
      <c r="W4168">
        <v>0.38327679999999997</v>
      </c>
      <c r="X4168">
        <v>0.92065249999999998</v>
      </c>
      <c r="Y4168">
        <v>-0.1538757</v>
      </c>
      <c r="Z4168">
        <v>-5.8662139999999998E-3</v>
      </c>
      <c r="AA4168">
        <v>0.98807279999999997</v>
      </c>
      <c r="AB4168">
        <v>43</v>
      </c>
      <c r="AC4168">
        <v>-18.8584</v>
      </c>
      <c r="AD4168">
        <v>-1.1099228104950001</v>
      </c>
      <c r="AE4168">
        <v>-2.8039999999999998</v>
      </c>
      <c r="AF4168">
        <v>-2.9960213006418699</v>
      </c>
      <c r="AG4168">
        <v>-1.1099228104950001</v>
      </c>
      <c r="AH4168">
        <v>18.763638626693002</v>
      </c>
      <c r="AI4168">
        <v>93.343015178646496</v>
      </c>
      <c r="AJ4168">
        <v>99.071932985290204</v>
      </c>
      <c r="AK4168">
        <v>19.033712375474298</v>
      </c>
      <c r="AL4168">
        <v>67.463196311648304</v>
      </c>
      <c r="AM4168">
        <v>94.604548367320902</v>
      </c>
      <c r="AN4168">
        <v>0.999999991465369</v>
      </c>
    </row>
    <row r="4169" spans="1:40" x14ac:dyDescent="0.25">
      <c r="A4169" t="str">
        <f>"20190304164453670"</f>
        <v>20190304164453670</v>
      </c>
      <c r="B4169" t="str">
        <f>"1551689093664450"</f>
        <v>1551689093664450</v>
      </c>
      <c r="C4169" t="s">
        <v>40</v>
      </c>
      <c r="D4169">
        <v>4.5408809999999997</v>
      </c>
      <c r="E4169">
        <v>0.47533389999999998</v>
      </c>
      <c r="F4169" t="s">
        <v>48</v>
      </c>
      <c r="G4169">
        <v>-311.411</v>
      </c>
      <c r="H4169" s="1">
        <v>-8.5172690000000008E-6</v>
      </c>
      <c r="I4169">
        <v>138.24270000000001</v>
      </c>
      <c r="J4169">
        <v>-292.30540000000002</v>
      </c>
      <c r="K4169">
        <v>1.109936</v>
      </c>
      <c r="L4169">
        <v>141.16200000000001</v>
      </c>
      <c r="M4169">
        <v>-0.99985360000000001</v>
      </c>
      <c r="N4169">
        <v>-1.299702E-2</v>
      </c>
      <c r="O4169">
        <v>1.114045E-2</v>
      </c>
      <c r="P4169">
        <v>-0.92619169999999995</v>
      </c>
      <c r="Q4169">
        <v>0.37151810000000002</v>
      </c>
      <c r="R4169">
        <v>-6.4368839999999997E-2</v>
      </c>
      <c r="S4169">
        <v>-3.279541</v>
      </c>
      <c r="T4169">
        <v>-0.1862164</v>
      </c>
      <c r="U4169">
        <v>-0.48892210000000003</v>
      </c>
      <c r="V4169">
        <v>-7.4219080000000007E-2</v>
      </c>
      <c r="W4169">
        <v>0.38360480000000002</v>
      </c>
      <c r="X4169">
        <v>0.9205101</v>
      </c>
      <c r="Y4169">
        <v>-0.15814539999999999</v>
      </c>
      <c r="Z4169">
        <v>-5.9808630000000003E-3</v>
      </c>
      <c r="AA4169">
        <v>0.98739770000000004</v>
      </c>
      <c r="AB4169">
        <v>43</v>
      </c>
      <c r="AC4169">
        <v>-19.1055999999999</v>
      </c>
      <c r="AD4169">
        <v>-1.1099445172689999</v>
      </c>
      <c r="AE4169">
        <v>-2.91929999999999</v>
      </c>
      <c r="AF4169">
        <v>-3.12168624232201</v>
      </c>
      <c r="AG4169">
        <v>-1.1099445172689999</v>
      </c>
      <c r="AH4169">
        <v>19.0091957010046</v>
      </c>
      <c r="AI4169">
        <v>93.297628806227195</v>
      </c>
      <c r="AJ4169">
        <v>99.3258620279517</v>
      </c>
      <c r="AK4169">
        <v>19.295761789211902</v>
      </c>
      <c r="AL4169">
        <v>67.442847690929895</v>
      </c>
      <c r="AM4169">
        <v>94.609684253688698</v>
      </c>
      <c r="AN4169">
        <v>0.99999997931054796</v>
      </c>
    </row>
    <row r="4170" spans="1:40" x14ac:dyDescent="0.25">
      <c r="A4170" t="str">
        <f>"20190304164453693"</f>
        <v>20190304164453693</v>
      </c>
      <c r="B4170" t="str">
        <f>"1551689093683970"</f>
        <v>1551689093683970</v>
      </c>
      <c r="C4170" t="s">
        <v>40</v>
      </c>
      <c r="D4170">
        <v>4.5739419999999997</v>
      </c>
      <c r="E4170">
        <v>0.47478219999999999</v>
      </c>
      <c r="F4170" t="s">
        <v>48</v>
      </c>
      <c r="G4170">
        <v>-312.05329999999998</v>
      </c>
      <c r="H4170" s="1">
        <v>-8.2522640000000004E-6</v>
      </c>
      <c r="I4170">
        <v>138.16720000000001</v>
      </c>
      <c r="J4170">
        <v>-292.74349999999998</v>
      </c>
      <c r="K4170">
        <v>1.10995</v>
      </c>
      <c r="L4170">
        <v>141.16720000000001</v>
      </c>
      <c r="M4170">
        <v>-0.99984640000000002</v>
      </c>
      <c r="N4170">
        <v>-1.318741E-2</v>
      </c>
      <c r="O4170">
        <v>1.154692E-2</v>
      </c>
      <c r="P4170">
        <v>-0.92614529999999995</v>
      </c>
      <c r="Q4170">
        <v>0.37162699999999999</v>
      </c>
      <c r="R4170">
        <v>-6.4409309999999997E-2</v>
      </c>
      <c r="S4170">
        <v>-3.2784420000000001</v>
      </c>
      <c r="T4170">
        <v>-0.18426619999999999</v>
      </c>
      <c r="U4170">
        <v>-0.49717709999999998</v>
      </c>
      <c r="V4170">
        <v>-7.4637990000000001E-2</v>
      </c>
      <c r="W4170">
        <v>0.38388709999999998</v>
      </c>
      <c r="X4170">
        <v>0.92035849999999997</v>
      </c>
      <c r="Y4170">
        <v>-0.161025</v>
      </c>
      <c r="Z4170">
        <v>-6.0585229999999997E-3</v>
      </c>
      <c r="AA4170">
        <v>0.98693169999999997</v>
      </c>
      <c r="AB4170">
        <v>43</v>
      </c>
      <c r="AC4170">
        <v>-19.309799999999999</v>
      </c>
      <c r="AD4170">
        <v>-1.1099582522639999</v>
      </c>
      <c r="AE4170">
        <v>-3</v>
      </c>
      <c r="AF4170">
        <v>-3.2124239404892099</v>
      </c>
      <c r="AG4170">
        <v>-1.1099582522639999</v>
      </c>
      <c r="AH4170">
        <v>19.211886088267399</v>
      </c>
      <c r="AI4170">
        <v>93.261383835279304</v>
      </c>
      <c r="AJ4170">
        <v>99.492621834693097</v>
      </c>
      <c r="AK4170">
        <v>19.510208660180002</v>
      </c>
      <c r="AL4170">
        <v>67.425331418505294</v>
      </c>
      <c r="AM4170">
        <v>94.636349562020698</v>
      </c>
      <c r="AN4170">
        <v>0.99999995180994805</v>
      </c>
    </row>
    <row r="4171" spans="1:40" x14ac:dyDescent="0.25">
      <c r="A4171" t="str">
        <f>"20190304164453715"</f>
        <v>20190304164453715</v>
      </c>
      <c r="B4171" t="str">
        <f>"1551689093704465"</f>
        <v>1551689093704465</v>
      </c>
      <c r="C4171" t="s">
        <v>40</v>
      </c>
      <c r="D4171">
        <v>4.606395</v>
      </c>
      <c r="E4171">
        <v>0.4742422</v>
      </c>
      <c r="F4171" t="s">
        <v>48</v>
      </c>
      <c r="G4171">
        <v>-312.63760000000002</v>
      </c>
      <c r="H4171" s="1">
        <v>-8.0203229999999997E-6</v>
      </c>
      <c r="I4171">
        <v>138.12809999999999</v>
      </c>
      <c r="J4171">
        <v>-293.14870000000002</v>
      </c>
      <c r="K4171">
        <v>1.109974</v>
      </c>
      <c r="L4171">
        <v>141.1722</v>
      </c>
      <c r="M4171">
        <v>-0.99984010000000001</v>
      </c>
      <c r="N4171">
        <v>-1.3341850000000001E-2</v>
      </c>
      <c r="O4171">
        <v>1.19208E-2</v>
      </c>
      <c r="P4171">
        <v>-0.92619309999999999</v>
      </c>
      <c r="Q4171">
        <v>0.37145440000000002</v>
      </c>
      <c r="R4171">
        <v>-6.4717849999999993E-2</v>
      </c>
      <c r="S4171">
        <v>-3.2778019999999999</v>
      </c>
      <c r="T4171">
        <v>-0.18287929999999999</v>
      </c>
      <c r="U4171">
        <v>-0.50073239999999997</v>
      </c>
      <c r="V4171">
        <v>-7.5297740000000002E-2</v>
      </c>
      <c r="W4171">
        <v>0.38385720000000001</v>
      </c>
      <c r="X4171">
        <v>0.9203173</v>
      </c>
      <c r="Y4171">
        <v>-0.16246940000000001</v>
      </c>
      <c r="Z4171">
        <v>-6.0968039999999999E-3</v>
      </c>
      <c r="AA4171">
        <v>0.98669479999999998</v>
      </c>
      <c r="AB4171">
        <v>43</v>
      </c>
      <c r="AC4171">
        <v>-19.488900000000001</v>
      </c>
      <c r="AD4171">
        <v>-1.109982020323</v>
      </c>
      <c r="AE4171">
        <v>-3.04410000000001</v>
      </c>
      <c r="AF4171">
        <v>-3.2658859335803299</v>
      </c>
      <c r="AG4171">
        <v>-1.109982020323</v>
      </c>
      <c r="AH4171">
        <v>19.389824442257201</v>
      </c>
      <c r="AI4171">
        <v>93.2309437002625</v>
      </c>
      <c r="AJ4171">
        <v>99.560761078023702</v>
      </c>
      <c r="AK4171">
        <v>19.694246949760601</v>
      </c>
      <c r="AL4171">
        <v>67.427188235376903</v>
      </c>
      <c r="AM4171">
        <v>94.677359220883901</v>
      </c>
      <c r="AN4171">
        <v>1.0000000161601099</v>
      </c>
    </row>
    <row r="4172" spans="1:40" x14ac:dyDescent="0.25">
      <c r="A4172" t="str">
        <f>"20190304164453740"</f>
        <v>20190304164453740</v>
      </c>
      <c r="B4172" t="str">
        <f>"1551689093734722"</f>
        <v>1551689093734722</v>
      </c>
      <c r="C4172" t="s">
        <v>40</v>
      </c>
      <c r="D4172">
        <v>4.6135440000000001</v>
      </c>
      <c r="E4172">
        <v>0.47342079999999997</v>
      </c>
      <c r="F4172" t="s">
        <v>48</v>
      </c>
      <c r="G4172">
        <v>-312.95139999999998</v>
      </c>
      <c r="H4172" s="1">
        <v>-7.8991849999999995E-6</v>
      </c>
      <c r="I4172">
        <v>138.1182</v>
      </c>
      <c r="J4172">
        <v>-293.62670000000003</v>
      </c>
      <c r="K4172">
        <v>1.109993</v>
      </c>
      <c r="L4172">
        <v>141.17830000000001</v>
      </c>
      <c r="M4172">
        <v>-0.99983270000000002</v>
      </c>
      <c r="N4172">
        <v>-1.3499489999999999E-2</v>
      </c>
      <c r="O4172">
        <v>1.2355990000000001E-2</v>
      </c>
      <c r="P4172">
        <v>-0.92627329999999997</v>
      </c>
      <c r="Q4172">
        <v>0.37124079999999998</v>
      </c>
      <c r="R4172">
        <v>-6.4795969999999994E-2</v>
      </c>
      <c r="S4172">
        <v>-3.2774350000000001</v>
      </c>
      <c r="T4172">
        <v>-0.18370710000000001</v>
      </c>
      <c r="U4172">
        <v>-0.50544739999999999</v>
      </c>
      <c r="V4172">
        <v>-7.578762E-2</v>
      </c>
      <c r="W4172">
        <v>0.38378849999999998</v>
      </c>
      <c r="X4172">
        <v>0.9203057</v>
      </c>
      <c r="Y4172">
        <v>-0.16429469999999999</v>
      </c>
      <c r="Z4172">
        <v>-6.2129560000000004E-3</v>
      </c>
      <c r="AA4172">
        <v>0.98639169999999998</v>
      </c>
      <c r="AB4172">
        <v>43</v>
      </c>
      <c r="AC4172">
        <v>-19.324699999999901</v>
      </c>
      <c r="AD4172">
        <v>-1.1100008991849999</v>
      </c>
      <c r="AE4172">
        <v>-3.0600999999999998</v>
      </c>
      <c r="AF4172">
        <v>-3.2880808972936899</v>
      </c>
      <c r="AG4172">
        <v>-1.1100008991849999</v>
      </c>
      <c r="AH4172">
        <v>19.2235378678355</v>
      </c>
      <c r="AI4172">
        <v>93.257486374956102</v>
      </c>
      <c r="AJ4172">
        <v>99.706201121904499</v>
      </c>
      <c r="AK4172">
        <v>19.5342772105713</v>
      </c>
      <c r="AL4172">
        <v>67.431450060090299</v>
      </c>
      <c r="AM4172">
        <v>94.707712417829299</v>
      </c>
      <c r="AN4172">
        <v>0.99999997876500102</v>
      </c>
    </row>
    <row r="4173" spans="1:40" x14ac:dyDescent="0.25">
      <c r="A4173" t="str">
        <f>"20190304164453760"</f>
        <v>20190304164453760</v>
      </c>
      <c r="B4173" t="str">
        <f>"1551689093754242"</f>
        <v>1551689093754242</v>
      </c>
      <c r="C4173" t="s">
        <v>40</v>
      </c>
      <c r="D4173">
        <v>4.6158849999999996</v>
      </c>
      <c r="E4173">
        <v>0.4730666</v>
      </c>
      <c r="F4173" t="s">
        <v>48</v>
      </c>
      <c r="G4173">
        <v>-313.41550000000001</v>
      </c>
      <c r="H4173" s="1">
        <v>-7.7128229999999997E-6</v>
      </c>
      <c r="I4173">
        <v>138.0804</v>
      </c>
      <c r="J4173">
        <v>-294.01569999999998</v>
      </c>
      <c r="K4173">
        <v>1.109998</v>
      </c>
      <c r="L4173">
        <v>141.18350000000001</v>
      </c>
      <c r="M4173">
        <v>-0.99982669999999996</v>
      </c>
      <c r="N4173">
        <v>-1.3612030000000001E-2</v>
      </c>
      <c r="O4173">
        <v>1.270461E-2</v>
      </c>
      <c r="P4173">
        <v>-0.92613520000000005</v>
      </c>
      <c r="Q4173">
        <v>0.37150739999999999</v>
      </c>
      <c r="R4173">
        <v>-6.5236310000000006E-2</v>
      </c>
      <c r="S4173">
        <v>-3.2766109999999999</v>
      </c>
      <c r="T4173">
        <v>-0.18379309999999999</v>
      </c>
      <c r="U4173">
        <v>-0.51295469999999999</v>
      </c>
      <c r="V4173">
        <v>-7.6556059999999995E-2</v>
      </c>
      <c r="W4173">
        <v>0.38415569999999999</v>
      </c>
      <c r="X4173">
        <v>0.92008889999999999</v>
      </c>
      <c r="Y4173">
        <v>-0.1668761</v>
      </c>
      <c r="Z4173">
        <v>-6.328279E-3</v>
      </c>
      <c r="AA4173">
        <v>0.98595759999999999</v>
      </c>
      <c r="AB4173">
        <v>43</v>
      </c>
      <c r="AC4173">
        <v>-19.399799999999999</v>
      </c>
      <c r="AD4173">
        <v>-1.1100057128229901</v>
      </c>
      <c r="AE4173">
        <v>-3.1031000000000102</v>
      </c>
      <c r="AF4173">
        <v>-3.33868163748574</v>
      </c>
      <c r="AG4173">
        <v>-1.1100057128229901</v>
      </c>
      <c r="AH4173">
        <v>19.297207012206901</v>
      </c>
      <c r="AI4173">
        <v>93.244025993137001</v>
      </c>
      <c r="AJ4173">
        <v>99.815784846508393</v>
      </c>
      <c r="AK4173">
        <v>19.615328348792801</v>
      </c>
      <c r="AL4173">
        <v>67.408665105788202</v>
      </c>
      <c r="AM4173">
        <v>94.756343265728802</v>
      </c>
      <c r="AN4173">
        <v>1.00000000803421</v>
      </c>
    </row>
    <row r="4174" spans="1:40" x14ac:dyDescent="0.25">
      <c r="A4174" t="str">
        <f>"20190304164453783"</f>
        <v>20190304164453783</v>
      </c>
      <c r="B4174" t="str">
        <f>"1551689093774737"</f>
        <v>1551689093774737</v>
      </c>
      <c r="C4174" t="s">
        <v>40</v>
      </c>
      <c r="D4174">
        <v>4.6024029999999998</v>
      </c>
      <c r="E4174">
        <v>0.47269159999999999</v>
      </c>
      <c r="F4174" t="s">
        <v>48</v>
      </c>
      <c r="G4174">
        <v>-313.91609999999997</v>
      </c>
      <c r="H4174" s="1">
        <v>-7.5107869999999996E-6</v>
      </c>
      <c r="I4174">
        <v>138.0361</v>
      </c>
      <c r="J4174">
        <v>-294.44729999999998</v>
      </c>
      <c r="K4174">
        <v>1.1100179999999999</v>
      </c>
      <c r="L4174">
        <v>141.1893</v>
      </c>
      <c r="M4174">
        <v>-0.99982040000000005</v>
      </c>
      <c r="N4174">
        <v>-1.3721189999999999E-2</v>
      </c>
      <c r="O4174">
        <v>1.307755E-2</v>
      </c>
      <c r="P4174">
        <v>-0.92589370000000004</v>
      </c>
      <c r="Q4174">
        <v>0.37208940000000001</v>
      </c>
      <c r="R4174">
        <v>-6.5348139999999999E-2</v>
      </c>
      <c r="S4174">
        <v>-3.2761230000000001</v>
      </c>
      <c r="T4174">
        <v>-0.18273639999999999</v>
      </c>
      <c r="U4174">
        <v>-0.51814269999999996</v>
      </c>
      <c r="V4174">
        <v>-7.7020379999999999E-2</v>
      </c>
      <c r="W4174">
        <v>0.38483270000000003</v>
      </c>
      <c r="X4174">
        <v>0.91976720000000001</v>
      </c>
      <c r="Y4174">
        <v>-0.16878870000000001</v>
      </c>
      <c r="Z4174">
        <v>-6.3873860000000001E-3</v>
      </c>
      <c r="AA4174">
        <v>0.98563160000000005</v>
      </c>
      <c r="AB4174">
        <v>43</v>
      </c>
      <c r="AC4174">
        <v>-19.468799999999899</v>
      </c>
      <c r="AD4174">
        <v>-1.1100255107869901</v>
      </c>
      <c r="AE4174">
        <v>-3.1531999999999898</v>
      </c>
      <c r="AF4174">
        <v>-3.3967984719533399</v>
      </c>
      <c r="AG4174">
        <v>-1.1100255107869901</v>
      </c>
      <c r="AH4174">
        <v>19.364553972375301</v>
      </c>
      <c r="AI4174">
        <v>93.231516736934793</v>
      </c>
      <c r="AJ4174">
        <v>99.949215286431695</v>
      </c>
      <c r="AK4174">
        <v>19.691529829921802</v>
      </c>
      <c r="AL4174">
        <v>67.366646106068501</v>
      </c>
      <c r="AM4174">
        <v>94.786723261991597</v>
      </c>
      <c r="AN4174">
        <v>1.00000002406023</v>
      </c>
    </row>
    <row r="4175" spans="1:40" x14ac:dyDescent="0.25">
      <c r="A4175" t="str">
        <f>"20190304164453806"</f>
        <v>20190304164453806</v>
      </c>
      <c r="B4175" t="str">
        <f>"1551689093794257"</f>
        <v>1551689093794257</v>
      </c>
      <c r="C4175" t="s">
        <v>40</v>
      </c>
      <c r="D4175">
        <v>4.6209419999999897</v>
      </c>
      <c r="E4175">
        <v>0.47237810000000002</v>
      </c>
      <c r="F4175" t="s">
        <v>48</v>
      </c>
      <c r="G4175">
        <v>-314.5926</v>
      </c>
      <c r="H4175" s="1">
        <v>-7.2258789999999998E-6</v>
      </c>
      <c r="I4175">
        <v>137.97489999999999</v>
      </c>
      <c r="J4175">
        <v>-294.89580000000001</v>
      </c>
      <c r="K4175">
        <v>1.110047</v>
      </c>
      <c r="L4175">
        <v>141.19550000000001</v>
      </c>
      <c r="M4175">
        <v>-0.99981430000000004</v>
      </c>
      <c r="N4175">
        <v>-1.381924E-2</v>
      </c>
      <c r="O4175">
        <v>1.34363E-2</v>
      </c>
      <c r="P4175">
        <v>-0.92603679999999999</v>
      </c>
      <c r="Q4175">
        <v>0.37179499999999999</v>
      </c>
      <c r="R4175">
        <v>-6.4995590000000006E-2</v>
      </c>
      <c r="S4175">
        <v>-3.275757</v>
      </c>
      <c r="T4175">
        <v>-0.18049799999999999</v>
      </c>
      <c r="U4175">
        <v>-0.52267459999999999</v>
      </c>
      <c r="V4175">
        <v>-7.7020980000000003E-2</v>
      </c>
      <c r="W4175">
        <v>0.38462629999999998</v>
      </c>
      <c r="X4175">
        <v>0.91985340000000004</v>
      </c>
      <c r="Y4175">
        <v>-0.17049259999999999</v>
      </c>
      <c r="Z4175">
        <v>-6.4017329999999997E-3</v>
      </c>
      <c r="AA4175">
        <v>0.98533820000000005</v>
      </c>
      <c r="AB4175">
        <v>43</v>
      </c>
      <c r="AC4175">
        <v>-19.6968</v>
      </c>
      <c r="AD4175">
        <v>-1.110054225879</v>
      </c>
      <c r="AE4175">
        <v>-3.2206000000000099</v>
      </c>
      <c r="AF4175">
        <v>-3.47423931196133</v>
      </c>
      <c r="AG4175">
        <v>-1.110054225879</v>
      </c>
      <c r="AH4175">
        <v>19.591140940969801</v>
      </c>
      <c r="AI4175">
        <v>93.193253053763897</v>
      </c>
      <c r="AJ4175">
        <v>100.056129747944</v>
      </c>
      <c r="AK4175">
        <v>19.9277535751051</v>
      </c>
      <c r="AL4175">
        <v>67.379456328067903</v>
      </c>
      <c r="AM4175">
        <v>94.786313891940495</v>
      </c>
      <c r="AN4175">
        <v>0.99999994975170303</v>
      </c>
    </row>
    <row r="4176" spans="1:40" x14ac:dyDescent="0.25">
      <c r="A4176" t="str">
        <f>"20190304164453831"</f>
        <v>20190304164453831</v>
      </c>
      <c r="B4176" t="str">
        <f>"1551689093824514"</f>
        <v>1551689093824514</v>
      </c>
      <c r="C4176" t="s">
        <v>40</v>
      </c>
      <c r="D4176">
        <v>4.5440250000000004</v>
      </c>
      <c r="E4176">
        <v>0.47187319999999999</v>
      </c>
      <c r="F4176" t="s">
        <v>48</v>
      </c>
      <c r="G4176">
        <v>-315.00439999999998</v>
      </c>
      <c r="H4176" s="1">
        <v>-7.0576190000000003E-6</v>
      </c>
      <c r="I4176">
        <v>137.97210000000001</v>
      </c>
      <c r="J4176">
        <v>-295.35820000000001</v>
      </c>
      <c r="K4176">
        <v>1.1100920000000001</v>
      </c>
      <c r="L4176">
        <v>141.202</v>
      </c>
      <c r="M4176">
        <v>-0.99980860000000005</v>
      </c>
      <c r="N4176">
        <v>-1.3906190000000001E-2</v>
      </c>
      <c r="O4176">
        <v>1.376138E-2</v>
      </c>
      <c r="P4176">
        <v>-0.92614609999999997</v>
      </c>
      <c r="Q4176">
        <v>0.37160300000000002</v>
      </c>
      <c r="R4176">
        <v>-6.4534960000000002E-2</v>
      </c>
      <c r="S4176">
        <v>-3.27536</v>
      </c>
      <c r="T4176">
        <v>-0.18080950000000001</v>
      </c>
      <c r="U4176">
        <v>-0.5250397</v>
      </c>
      <c r="V4176">
        <v>-7.6893009999999998E-2</v>
      </c>
      <c r="W4176">
        <v>0.3845092</v>
      </c>
      <c r="X4176">
        <v>0.91991310000000004</v>
      </c>
      <c r="Y4176">
        <v>-0.1715216</v>
      </c>
      <c r="Z4176">
        <v>-6.4665180000000001E-3</v>
      </c>
      <c r="AA4176">
        <v>0.98515920000000001</v>
      </c>
      <c r="AB4176">
        <v>43</v>
      </c>
      <c r="AC4176">
        <v>-19.646199999999901</v>
      </c>
      <c r="AD4176">
        <v>-1.110099057619</v>
      </c>
      <c r="AE4176">
        <v>-3.2298999999999798</v>
      </c>
      <c r="AF4176">
        <v>-3.4891322719517102</v>
      </c>
      <c r="AG4176">
        <v>-1.110099057619</v>
      </c>
      <c r="AH4176">
        <v>19.539145068881101</v>
      </c>
      <c r="AI4176">
        <v>93.201181932906906</v>
      </c>
      <c r="AJ4176">
        <v>100.124669450027</v>
      </c>
      <c r="AK4176">
        <v>19.879249330688602</v>
      </c>
      <c r="AL4176">
        <v>67.386725477530604</v>
      </c>
      <c r="AM4176">
        <v>94.7780896375276</v>
      </c>
      <c r="AN4176">
        <v>0.99999998571155502</v>
      </c>
    </row>
    <row r="4177" spans="1:40" x14ac:dyDescent="0.25">
      <c r="A4177" t="str">
        <f>"20190304164453850"</f>
        <v>20190304164453850</v>
      </c>
      <c r="B4177" t="str">
        <f>"1551689093844034"</f>
        <v>1551689093844034</v>
      </c>
      <c r="C4177" t="s">
        <v>40</v>
      </c>
      <c r="D4177">
        <v>4.6195529999999998</v>
      </c>
      <c r="E4177">
        <v>0.47163660000000002</v>
      </c>
      <c r="F4177" t="s">
        <v>48</v>
      </c>
      <c r="G4177">
        <v>-315.34930000000003</v>
      </c>
      <c r="H4177" s="1">
        <v>-6.9081809999999999E-6</v>
      </c>
      <c r="I4177">
        <v>137.983</v>
      </c>
      <c r="J4177">
        <v>-295.73450000000003</v>
      </c>
      <c r="K4177">
        <v>1.110136</v>
      </c>
      <c r="L4177">
        <v>141.20740000000001</v>
      </c>
      <c r="M4177">
        <v>-0.9998049</v>
      </c>
      <c r="N4177">
        <v>-1.396696E-2</v>
      </c>
      <c r="O4177">
        <v>1.3975960000000001E-2</v>
      </c>
      <c r="P4177">
        <v>-0.92630190000000001</v>
      </c>
      <c r="Q4177">
        <v>0.37135570000000001</v>
      </c>
      <c r="R4177">
        <v>-6.3717889999999999E-2</v>
      </c>
      <c r="S4177">
        <v>-3.2754819999999998</v>
      </c>
      <c r="T4177">
        <v>-0.18188679999999999</v>
      </c>
      <c r="U4177">
        <v>-0.52742</v>
      </c>
      <c r="V4177">
        <v>-7.6311980000000001E-2</v>
      </c>
      <c r="W4177">
        <v>0.38431280000000001</v>
      </c>
      <c r="X4177">
        <v>0.92004350000000001</v>
      </c>
      <c r="Y4177">
        <v>-0.1724195</v>
      </c>
      <c r="Z4177">
        <v>-6.5428999999999999E-3</v>
      </c>
      <c r="AA4177">
        <v>0.98500189999999999</v>
      </c>
      <c r="AB4177">
        <v>43</v>
      </c>
      <c r="AC4177">
        <v>-19.614799999999999</v>
      </c>
      <c r="AD4177">
        <v>-1.1101429081809999</v>
      </c>
      <c r="AE4177">
        <v>-3.2244000000000002</v>
      </c>
      <c r="AF4177">
        <v>-3.4873704139682902</v>
      </c>
      <c r="AG4177">
        <v>-1.1101429081809999</v>
      </c>
      <c r="AH4177">
        <v>19.506973913382801</v>
      </c>
      <c r="AI4177">
        <v>93.206463627100703</v>
      </c>
      <c r="AJ4177">
        <v>100.13600634528601</v>
      </c>
      <c r="AK4177">
        <v>19.847322261156599</v>
      </c>
      <c r="AL4177">
        <v>67.398913995803497</v>
      </c>
      <c r="AM4177">
        <v>94.741480979937293</v>
      </c>
      <c r="AN4177">
        <v>0.999999944213803</v>
      </c>
    </row>
    <row r="4178" spans="1:40" x14ac:dyDescent="0.25">
      <c r="A4178" t="str">
        <f>"20190304164453873"</f>
        <v>20190304164453873</v>
      </c>
      <c r="B4178" t="str">
        <f>"1551689093864531"</f>
        <v>1551689093864531</v>
      </c>
      <c r="C4178" t="s">
        <v>40</v>
      </c>
      <c r="D4178">
        <v>4.6776070000000001</v>
      </c>
      <c r="E4178">
        <v>0.47159079999999898</v>
      </c>
      <c r="F4178" t="s">
        <v>48</v>
      </c>
      <c r="G4178">
        <v>-315.6737</v>
      </c>
      <c r="H4178" s="1">
        <v>-6.7715250000000004E-6</v>
      </c>
      <c r="I4178">
        <v>138.00559999999999</v>
      </c>
      <c r="J4178">
        <v>-296.15839999999997</v>
      </c>
      <c r="K4178">
        <v>1.110201</v>
      </c>
      <c r="L4178">
        <v>141.21350000000001</v>
      </c>
      <c r="M4178">
        <v>-0.99980139999999995</v>
      </c>
      <c r="N4178">
        <v>-1.402662E-2</v>
      </c>
      <c r="O4178">
        <v>1.416037E-2</v>
      </c>
      <c r="P4178">
        <v>-0.92620910000000001</v>
      </c>
      <c r="Q4178">
        <v>0.3717645</v>
      </c>
      <c r="R4178">
        <v>-6.2674250000000001E-2</v>
      </c>
      <c r="S4178">
        <v>-3.2755740000000002</v>
      </c>
      <c r="T4178">
        <v>-0.18237229999999999</v>
      </c>
      <c r="U4178">
        <v>-0.5259857</v>
      </c>
      <c r="V4178">
        <v>-7.548713E-2</v>
      </c>
      <c r="W4178">
        <v>0.38476440000000001</v>
      </c>
      <c r="X4178">
        <v>0.91992280000000004</v>
      </c>
      <c r="Y4178">
        <v>-0.17217479999999999</v>
      </c>
      <c r="Z4178">
        <v>-6.5611119999999896E-3</v>
      </c>
      <c r="AA4178">
        <v>0.98504449999999999</v>
      </c>
      <c r="AB4178">
        <v>43</v>
      </c>
      <c r="AC4178">
        <v>-19.5153</v>
      </c>
      <c r="AD4178">
        <v>-1.1102077715250001</v>
      </c>
      <c r="AE4178">
        <v>-3.20790000000002</v>
      </c>
      <c r="AF4178">
        <v>-3.47300513587223</v>
      </c>
      <c r="AG4178">
        <v>-1.1102077715250001</v>
      </c>
      <c r="AH4178">
        <v>19.406758428215898</v>
      </c>
      <c r="AI4178">
        <v>93.223072738184399</v>
      </c>
      <c r="AJ4178">
        <v>100.146164602989</v>
      </c>
      <c r="AK4178">
        <v>19.746305949743501</v>
      </c>
      <c r="AL4178">
        <v>67.370884196619002</v>
      </c>
      <c r="AM4178">
        <v>94.691073280017307</v>
      </c>
      <c r="AN4178">
        <v>0.99999995413141696</v>
      </c>
    </row>
    <row r="4179" spans="1:40" x14ac:dyDescent="0.25">
      <c r="A4179" t="str">
        <f>"20190304164453895"</f>
        <v>20190304164453895</v>
      </c>
      <c r="B4179" t="str">
        <f>"1551689093884049"</f>
        <v>1551689093884049</v>
      </c>
      <c r="C4179" t="s">
        <v>40</v>
      </c>
      <c r="D4179">
        <v>4.6775599999999997</v>
      </c>
      <c r="E4179">
        <v>0.49686530000000001</v>
      </c>
      <c r="F4179" t="s">
        <v>48</v>
      </c>
      <c r="G4179">
        <v>-316.34289999999999</v>
      </c>
      <c r="H4179" s="1">
        <v>-6.469229E-6</v>
      </c>
      <c r="I4179">
        <v>137.98830000000001</v>
      </c>
      <c r="J4179">
        <v>-296.5752</v>
      </c>
      <c r="K4179">
        <v>1.1102700000000001</v>
      </c>
      <c r="L4179">
        <v>141.21950000000001</v>
      </c>
      <c r="M4179">
        <v>-0.99979879999999999</v>
      </c>
      <c r="N4179">
        <v>-1.4077070000000001E-2</v>
      </c>
      <c r="O4179">
        <v>1.42843E-2</v>
      </c>
      <c r="P4179">
        <v>-0.92608480000000004</v>
      </c>
      <c r="Q4179">
        <v>0.37225079999999999</v>
      </c>
      <c r="R4179">
        <v>-6.1612550000000002E-2</v>
      </c>
      <c r="S4179">
        <v>-3.275909</v>
      </c>
      <c r="T4179">
        <v>-0.1801845</v>
      </c>
      <c r="U4179">
        <v>-0.5234375</v>
      </c>
      <c r="V4179">
        <v>-7.4589630000000004E-2</v>
      </c>
      <c r="W4179">
        <v>0.38528459999999998</v>
      </c>
      <c r="X4179">
        <v>0.91977830000000005</v>
      </c>
      <c r="Y4179">
        <v>-0.17154229999999901</v>
      </c>
      <c r="Z4179">
        <v>-6.4813400000000004E-3</v>
      </c>
      <c r="AA4179">
        <v>0.98515549999999996</v>
      </c>
      <c r="AB4179">
        <v>43</v>
      </c>
      <c r="AC4179">
        <v>-19.767699999999898</v>
      </c>
      <c r="AD4179">
        <v>-1.1102764692289999</v>
      </c>
      <c r="AE4179">
        <v>-3.2311999999999999</v>
      </c>
      <c r="AF4179">
        <v>-3.50250442046254</v>
      </c>
      <c r="AG4179">
        <v>-1.1102764692289999</v>
      </c>
      <c r="AH4179">
        <v>19.659119211695099</v>
      </c>
      <c r="AI4179">
        <v>93.182418556277</v>
      </c>
      <c r="AJ4179">
        <v>100.101926337241</v>
      </c>
      <c r="AK4179">
        <v>19.9995304753167</v>
      </c>
      <c r="AL4179">
        <v>67.338589773601001</v>
      </c>
      <c r="AM4179">
        <v>94.636268632142006</v>
      </c>
      <c r="AN4179">
        <v>0.99999997852579303</v>
      </c>
    </row>
    <row r="4180" spans="1:40" x14ac:dyDescent="0.25">
      <c r="A4180" t="str">
        <f>"20190304164453918"</f>
        <v>20190304164453918</v>
      </c>
      <c r="B4180" t="str">
        <f>"1551689093914306"</f>
        <v>1551689093914306</v>
      </c>
      <c r="C4180" t="s">
        <v>40</v>
      </c>
      <c r="D4180">
        <v>4.5966060000000004</v>
      </c>
      <c r="E4180">
        <v>0.50489890000000004</v>
      </c>
      <c r="F4180" t="s">
        <v>48</v>
      </c>
      <c r="G4180">
        <v>-313.61090000000002</v>
      </c>
      <c r="H4180" s="1">
        <v>-8.0929509999999996E-6</v>
      </c>
      <c r="I4180">
        <v>139.55670000000001</v>
      </c>
      <c r="J4180">
        <v>-296.99700000000001</v>
      </c>
      <c r="K4180">
        <v>1.1103430000000001</v>
      </c>
      <c r="L4180">
        <v>141.22559999999999</v>
      </c>
      <c r="M4180">
        <v>-0.99979739999999995</v>
      </c>
      <c r="N4180">
        <v>-1.412074E-2</v>
      </c>
      <c r="O4180">
        <v>1.4351589999999999E-2</v>
      </c>
      <c r="P4180">
        <v>-0.9259347</v>
      </c>
      <c r="Q4180">
        <v>0.37268849999999998</v>
      </c>
      <c r="R4180">
        <v>-6.1226870000000003E-2</v>
      </c>
      <c r="S4180">
        <v>-3.304535</v>
      </c>
      <c r="T4180">
        <v>-0.21536839999999999</v>
      </c>
      <c r="U4180">
        <v>-0.3225403</v>
      </c>
      <c r="V4180">
        <v>-7.4314759999999994E-2</v>
      </c>
      <c r="W4180">
        <v>0.38575019999999999</v>
      </c>
      <c r="X4180">
        <v>0.91960540000000002</v>
      </c>
      <c r="Y4180">
        <v>-0.1111157</v>
      </c>
      <c r="Z4180">
        <v>-5.1262360000000002E-3</v>
      </c>
      <c r="AA4180">
        <v>0.99379430000000002</v>
      </c>
      <c r="AB4180">
        <v>42</v>
      </c>
      <c r="AC4180">
        <v>-16.613900000000001</v>
      </c>
      <c r="AD4180">
        <v>-1.1103510929510001</v>
      </c>
      <c r="AE4180">
        <v>-1.6688999999999701</v>
      </c>
      <c r="AF4180">
        <v>-1.8987912945400001</v>
      </c>
      <c r="AG4180">
        <v>-1.1103510929510001</v>
      </c>
      <c r="AH4180">
        <v>16.515204883975802</v>
      </c>
      <c r="AI4180">
        <v>93.821226937128401</v>
      </c>
      <c r="AJ4180">
        <v>96.558630716597904</v>
      </c>
      <c r="AK4180">
        <v>16.661040792505599</v>
      </c>
      <c r="AL4180">
        <v>67.309678412666102</v>
      </c>
      <c r="AM4180">
        <v>94.620122338643995</v>
      </c>
      <c r="AN4180">
        <v>0.999999996031528</v>
      </c>
    </row>
    <row r="4181" spans="1:40" x14ac:dyDescent="0.25">
      <c r="A4181" t="str">
        <f>"20190304164453939"</f>
        <v>20190304164453939</v>
      </c>
      <c r="B4181" t="str">
        <f>"1551689093934803"</f>
        <v>1551689093934803</v>
      </c>
      <c r="C4181" t="s">
        <v>40</v>
      </c>
      <c r="D4181">
        <v>4.5773549999999998</v>
      </c>
      <c r="E4181">
        <v>0.50703509999999996</v>
      </c>
      <c r="F4181" t="s">
        <v>48</v>
      </c>
      <c r="G4181">
        <v>-313.16840000000002</v>
      </c>
      <c r="H4181" s="1">
        <v>-8.3708059999999993E-6</v>
      </c>
      <c r="I4181">
        <v>139.96860000000001</v>
      </c>
      <c r="J4181">
        <v>-297.42970000000003</v>
      </c>
      <c r="K4181">
        <v>1.1104000000000001</v>
      </c>
      <c r="L4181">
        <v>141.2319</v>
      </c>
      <c r="M4181">
        <v>-0.99979649999999998</v>
      </c>
      <c r="N4181">
        <v>-1.415917E-2</v>
      </c>
      <c r="O4181">
        <v>1.437038E-2</v>
      </c>
      <c r="P4181">
        <v>-0.92568969999999995</v>
      </c>
      <c r="Q4181">
        <v>0.37328319999999998</v>
      </c>
      <c r="R4181">
        <v>-6.1308469999999997E-2</v>
      </c>
      <c r="S4181">
        <v>-3.3144529999999999</v>
      </c>
      <c r="T4181">
        <v>-0.22757459999999999</v>
      </c>
      <c r="U4181">
        <v>-0.2576447</v>
      </c>
      <c r="V4181">
        <v>-7.4457449999999994E-2</v>
      </c>
      <c r="W4181">
        <v>0.38636769999999998</v>
      </c>
      <c r="X4181">
        <v>0.9193346</v>
      </c>
      <c r="Y4181">
        <v>-9.1540490000000002E-2</v>
      </c>
      <c r="Z4181">
        <v>-4.565426E-3</v>
      </c>
      <c r="AA4181">
        <v>0.99579090000000003</v>
      </c>
      <c r="AB4181">
        <v>42</v>
      </c>
      <c r="AC4181">
        <v>-15.7386999999999</v>
      </c>
      <c r="AD4181">
        <v>-1.110408370806</v>
      </c>
      <c r="AE4181">
        <v>-1.2632999999999801</v>
      </c>
      <c r="AF4181">
        <v>-1.4820334215066799</v>
      </c>
      <c r="AG4181">
        <v>-1.110408370806</v>
      </c>
      <c r="AH4181">
        <v>15.641558196619</v>
      </c>
      <c r="AI4181">
        <v>94.0426214919476</v>
      </c>
      <c r="AJ4181">
        <v>95.412601025292801</v>
      </c>
      <c r="AK4181">
        <v>15.7508022853008</v>
      </c>
      <c r="AL4181">
        <v>67.271325189531495</v>
      </c>
      <c r="AM4181">
        <v>94.630312392180301</v>
      </c>
      <c r="AN4181">
        <v>1.0000000091104699</v>
      </c>
    </row>
    <row r="4182" spans="1:40" x14ac:dyDescent="0.25">
      <c r="A4182" t="str">
        <f>"20190304164453962"</f>
        <v>20190304164453962</v>
      </c>
      <c r="B4182" t="str">
        <f>"1551689093954321"</f>
        <v>1551689093954321</v>
      </c>
      <c r="C4182" t="s">
        <v>40</v>
      </c>
      <c r="D4182">
        <v>4.5708469999999997</v>
      </c>
      <c r="E4182">
        <v>0.50810770000000005</v>
      </c>
      <c r="F4182" t="s">
        <v>48</v>
      </c>
      <c r="G4182">
        <v>-313.77330000000001</v>
      </c>
      <c r="H4182" s="1">
        <v>-8.1649799999999992E-6</v>
      </c>
      <c r="I4182">
        <v>140.0514</v>
      </c>
      <c r="J4182">
        <v>-297.84699999999998</v>
      </c>
      <c r="K4182">
        <v>1.110444</v>
      </c>
      <c r="L4182">
        <v>141.2379</v>
      </c>
      <c r="M4182">
        <v>-0.99979649999999998</v>
      </c>
      <c r="N4182">
        <v>-1.4190980000000001E-2</v>
      </c>
      <c r="O4182">
        <v>1.4340749999999999E-2</v>
      </c>
      <c r="P4182">
        <v>-0.92540820000000001</v>
      </c>
      <c r="Q4182">
        <v>0.37387599999999999</v>
      </c>
      <c r="R4182">
        <v>-6.1938769999999997E-2</v>
      </c>
      <c r="S4182">
        <v>-3.3158259999999999</v>
      </c>
      <c r="T4182">
        <v>-0.22528290000000001</v>
      </c>
      <c r="U4182">
        <v>-0.23950199999999999</v>
      </c>
      <c r="V4182">
        <v>-7.5101180000000003E-2</v>
      </c>
      <c r="W4182">
        <v>0.38697720000000002</v>
      </c>
      <c r="X4182">
        <v>0.9190258</v>
      </c>
      <c r="Y4182">
        <v>-8.6080210000000004E-2</v>
      </c>
      <c r="Z4182">
        <v>-4.2985200000000001E-3</v>
      </c>
      <c r="AA4182">
        <v>0.99627889999999997</v>
      </c>
      <c r="AB4182">
        <v>42</v>
      </c>
      <c r="AC4182">
        <v>-15.926299999999999</v>
      </c>
      <c r="AD4182">
        <v>-1.1104521649800001</v>
      </c>
      <c r="AE4182">
        <v>-1.1864999999999899</v>
      </c>
      <c r="AF4182">
        <v>-1.4079888899558499</v>
      </c>
      <c r="AG4182">
        <v>-1.1104521649800001</v>
      </c>
      <c r="AH4182">
        <v>15.8311068322169</v>
      </c>
      <c r="AI4182">
        <v>93.996641104190005</v>
      </c>
      <c r="AJ4182">
        <v>95.082406508883594</v>
      </c>
      <c r="AK4182">
        <v>15.932340702420699</v>
      </c>
      <c r="AL4182">
        <v>67.233457311142899</v>
      </c>
      <c r="AM4182">
        <v>94.671730210277403</v>
      </c>
      <c r="AN4182">
        <v>0.99999998081143504</v>
      </c>
    </row>
    <row r="4183" spans="1:40" x14ac:dyDescent="0.25">
      <c r="A4183" t="str">
        <f>"20190304164453985"</f>
        <v>20190304164453985</v>
      </c>
      <c r="B4183" t="str">
        <f>"1551689093974818"</f>
        <v>1551689093974818</v>
      </c>
      <c r="C4183" t="s">
        <v>40</v>
      </c>
      <c r="D4183">
        <v>4.544035</v>
      </c>
      <c r="E4183">
        <v>0.50882799999999995</v>
      </c>
      <c r="F4183" t="s">
        <v>48</v>
      </c>
      <c r="G4183">
        <v>-314.20960000000002</v>
      </c>
      <c r="H4183" s="1">
        <v>-8.0099919999999993E-6</v>
      </c>
      <c r="I4183">
        <v>140.0864</v>
      </c>
      <c r="J4183">
        <v>-298.29640000000001</v>
      </c>
      <c r="K4183">
        <v>1.110501</v>
      </c>
      <c r="L4183">
        <v>141.24430000000001</v>
      </c>
      <c r="M4183">
        <v>-0.9997973</v>
      </c>
      <c r="N4183">
        <v>-1.421993E-2</v>
      </c>
      <c r="O4183">
        <v>1.4262210000000001E-2</v>
      </c>
      <c r="P4183">
        <v>-0.92514989999999997</v>
      </c>
      <c r="Q4183">
        <v>0.37439889999999998</v>
      </c>
      <c r="R4183">
        <v>-6.2636929999999993E-2</v>
      </c>
      <c r="S4183">
        <v>-3.3172000000000001</v>
      </c>
      <c r="T4183">
        <v>-0.2251234</v>
      </c>
      <c r="U4183">
        <v>-0.23344419999999999</v>
      </c>
      <c r="V4183">
        <v>-7.576977E-2</v>
      </c>
      <c r="W4183">
        <v>0.38751350000000001</v>
      </c>
      <c r="X4183">
        <v>0.91874489999999998</v>
      </c>
      <c r="Y4183">
        <v>-8.4167850000000002E-2</v>
      </c>
      <c r="Z4183">
        <v>-4.2126250000000002E-3</v>
      </c>
      <c r="AA4183">
        <v>0.99644270000000001</v>
      </c>
      <c r="AB4183">
        <v>42</v>
      </c>
      <c r="AC4183">
        <v>-15.9132</v>
      </c>
      <c r="AD4183">
        <v>-1.1105090099920001</v>
      </c>
      <c r="AE4183">
        <v>-1.1579000000000099</v>
      </c>
      <c r="AF4183">
        <v>-1.37808658773128</v>
      </c>
      <c r="AG4183">
        <v>-1.1105090099920001</v>
      </c>
      <c r="AH4183">
        <v>15.8184351636295</v>
      </c>
      <c r="AI4183">
        <v>94.000669992198993</v>
      </c>
      <c r="AJ4183">
        <v>94.978981256748796</v>
      </c>
      <c r="AK4183">
        <v>15.917136800647</v>
      </c>
      <c r="AL4183">
        <v>67.200129219867094</v>
      </c>
      <c r="AM4183">
        <v>94.714568367667098</v>
      </c>
      <c r="AN4183">
        <v>0.999999981002056</v>
      </c>
    </row>
    <row r="4184" spans="1:40" x14ac:dyDescent="0.25">
      <c r="A4184" t="str">
        <f>"20190304164454008"</f>
        <v>20190304164454008</v>
      </c>
      <c r="B4184" t="str">
        <f>"1551689094004098"</f>
        <v>1551689094004098</v>
      </c>
      <c r="C4184" t="s">
        <v>40</v>
      </c>
      <c r="D4184">
        <v>4.521109</v>
      </c>
      <c r="E4184">
        <v>0.50953009999999999</v>
      </c>
      <c r="F4184" t="s">
        <v>48</v>
      </c>
      <c r="G4184">
        <v>-314.73410000000001</v>
      </c>
      <c r="H4184" s="1">
        <v>-7.8175639999999993E-6</v>
      </c>
      <c r="I4184">
        <v>140.1054</v>
      </c>
      <c r="J4184">
        <v>-298.71449999999999</v>
      </c>
      <c r="K4184">
        <v>1.110555</v>
      </c>
      <c r="L4184">
        <v>141.25020000000001</v>
      </c>
      <c r="M4184">
        <v>-0.99979839999999998</v>
      </c>
      <c r="N4184">
        <v>-1.424284E-2</v>
      </c>
      <c r="O4184">
        <v>1.415698E-2</v>
      </c>
      <c r="P4184">
        <v>-0.92512419999999995</v>
      </c>
      <c r="Q4184">
        <v>0.37426490000000001</v>
      </c>
      <c r="R4184">
        <v>-6.3807390000000005E-2</v>
      </c>
      <c r="S4184">
        <v>-3.3178709999999998</v>
      </c>
      <c r="T4184">
        <v>-0.2241515</v>
      </c>
      <c r="U4184">
        <v>-0.22987369999999999</v>
      </c>
      <c r="V4184">
        <v>-7.6883670000000001E-2</v>
      </c>
      <c r="W4184">
        <v>0.38739220000000002</v>
      </c>
      <c r="X4184">
        <v>0.91870359999999995</v>
      </c>
      <c r="Y4184">
        <v>-8.2987149999999996E-2</v>
      </c>
      <c r="Z4184">
        <v>-4.1423500000000004E-3</v>
      </c>
      <c r="AA4184">
        <v>0.99654200000000004</v>
      </c>
      <c r="AB4184">
        <v>42</v>
      </c>
      <c r="AC4184">
        <v>-16.019600000000001</v>
      </c>
      <c r="AD4184">
        <v>-1.1105628175640001</v>
      </c>
      <c r="AE4184">
        <v>-1.1448</v>
      </c>
      <c r="AF4184">
        <v>-1.3649706950821501</v>
      </c>
      <c r="AG4184">
        <v>-1.1105628175640001</v>
      </c>
      <c r="AH4184">
        <v>15.9256361438143</v>
      </c>
      <c r="AI4184">
        <v>93.974497699361905</v>
      </c>
      <c r="AJ4184">
        <v>94.898793052018803</v>
      </c>
      <c r="AK4184">
        <v>16.022558514649099</v>
      </c>
      <c r="AL4184">
        <v>67.207669962324701</v>
      </c>
      <c r="AM4184">
        <v>94.7837725042465</v>
      </c>
      <c r="AN4184">
        <v>1.0000000599932299</v>
      </c>
    </row>
    <row r="4185" spans="1:40" x14ac:dyDescent="0.25">
      <c r="A4185" t="str">
        <f>"20190304164454028"</f>
        <v>20190304164454028</v>
      </c>
      <c r="B4185" t="str">
        <f>"1551689094024595"</f>
        <v>1551689094024595</v>
      </c>
      <c r="C4185" t="s">
        <v>40</v>
      </c>
      <c r="D4185">
        <v>4.5438640000000001</v>
      </c>
      <c r="E4185">
        <v>0.50991889999999995</v>
      </c>
      <c r="F4185" t="s">
        <v>48</v>
      </c>
      <c r="G4185">
        <v>-314.90289999999999</v>
      </c>
      <c r="H4185" s="1">
        <v>-7.7624450000000002E-6</v>
      </c>
      <c r="I4185">
        <v>140.13730000000001</v>
      </c>
      <c r="J4185">
        <v>-299.10129999999998</v>
      </c>
      <c r="K4185">
        <v>1.1106049999999901</v>
      </c>
      <c r="L4185">
        <v>141.25559999999999</v>
      </c>
      <c r="M4185">
        <v>-0.99979980000000002</v>
      </c>
      <c r="N4185">
        <v>-1.426089E-2</v>
      </c>
      <c r="O4185">
        <v>1.4039950000000001E-2</v>
      </c>
      <c r="P4185">
        <v>-0.92486740000000001</v>
      </c>
      <c r="Q4185">
        <v>0.3746604</v>
      </c>
      <c r="R4185">
        <v>-6.5192180000000002E-2</v>
      </c>
      <c r="S4185">
        <v>-3.319153</v>
      </c>
      <c r="T4185">
        <v>-0.2277026</v>
      </c>
      <c r="U4185">
        <v>-0.22817989999999999</v>
      </c>
      <c r="V4185">
        <v>-7.8190499999999996E-2</v>
      </c>
      <c r="W4185">
        <v>0.38779400000000003</v>
      </c>
      <c r="X4185">
        <v>0.91842369999999995</v>
      </c>
      <c r="Y4185">
        <v>-8.2332559999999999E-2</v>
      </c>
      <c r="Z4185">
        <v>-4.1673229999999997E-3</v>
      </c>
      <c r="AA4185">
        <v>0.99659620000000004</v>
      </c>
      <c r="AB4185">
        <v>42</v>
      </c>
      <c r="AC4185">
        <v>-15.801600000000001</v>
      </c>
      <c r="AD4185">
        <v>-1.11061276244499</v>
      </c>
      <c r="AE4185">
        <v>-1.1182999999999701</v>
      </c>
      <c r="AF4185">
        <v>-1.3335113151211599</v>
      </c>
      <c r="AG4185">
        <v>-1.11061276244499</v>
      </c>
      <c r="AH4185">
        <v>15.7071338493165</v>
      </c>
      <c r="AI4185">
        <v>94.030062480565206</v>
      </c>
      <c r="AJ4185">
        <v>94.852686209916996</v>
      </c>
      <c r="AK4185">
        <v>15.8027139091995</v>
      </c>
      <c r="AL4185">
        <v>67.182695302939806</v>
      </c>
      <c r="AM4185">
        <v>94.866173140472995</v>
      </c>
      <c r="AN4185">
        <v>1.00000001672396</v>
      </c>
    </row>
    <row r="4186" spans="1:40" x14ac:dyDescent="0.25">
      <c r="A4186" t="str">
        <f>"20190304164454050"</f>
        <v>20190304164454050</v>
      </c>
      <c r="B4186" t="str">
        <f>"1551689094045090"</f>
        <v>1551689094045090</v>
      </c>
      <c r="C4186" t="s">
        <v>40</v>
      </c>
      <c r="D4186">
        <v>4.5252210000000002</v>
      </c>
      <c r="E4186">
        <v>0.5101791</v>
      </c>
      <c r="F4186" t="s">
        <v>48</v>
      </c>
      <c r="G4186">
        <v>-315.2672</v>
      </c>
      <c r="H4186" s="1">
        <v>-7.603259E-6</v>
      </c>
      <c r="I4186">
        <v>140.13239999999999</v>
      </c>
      <c r="J4186">
        <v>-299.53030000000001</v>
      </c>
      <c r="K4186">
        <v>1.1106499999999999</v>
      </c>
      <c r="L4186">
        <v>141.26150000000001</v>
      </c>
      <c r="M4186">
        <v>-0.99980150000000001</v>
      </c>
      <c r="N4186">
        <v>-1.427789E-2</v>
      </c>
      <c r="O4186">
        <v>1.389542E-2</v>
      </c>
      <c r="P4186">
        <v>-0.92485519999999999</v>
      </c>
      <c r="Q4186">
        <v>0.37460929999999998</v>
      </c>
      <c r="R4186">
        <v>-6.5654710000000005E-2</v>
      </c>
      <c r="S4186">
        <v>-3.319855</v>
      </c>
      <c r="T4186">
        <v>-0.22807749999999999</v>
      </c>
      <c r="U4186">
        <v>-0.23066710000000001</v>
      </c>
      <c r="V4186">
        <v>-7.8551099999999999E-2</v>
      </c>
      <c r="W4186">
        <v>0.38775179999999998</v>
      </c>
      <c r="X4186">
        <v>0.91841070000000002</v>
      </c>
      <c r="Y4186">
        <v>-8.2915000000000003E-2</v>
      </c>
      <c r="Z4186">
        <v>-4.1894039999999999E-3</v>
      </c>
      <c r="AA4186">
        <v>0.99654779999999998</v>
      </c>
      <c r="AB4186">
        <v>42</v>
      </c>
      <c r="AC4186">
        <v>-15.736899999999901</v>
      </c>
      <c r="AD4186">
        <v>-1.1106576032590001</v>
      </c>
      <c r="AE4186">
        <v>-1.12910000000002</v>
      </c>
      <c r="AF4186">
        <v>-1.3410385106326299</v>
      </c>
      <c r="AG4186">
        <v>-1.1106576032590001</v>
      </c>
      <c r="AH4186">
        <v>15.6421738259496</v>
      </c>
      <c r="AI4186">
        <v>94.046621353555807</v>
      </c>
      <c r="AJ4186">
        <v>94.9001133272928</v>
      </c>
      <c r="AK4186">
        <v>15.7387911416315</v>
      </c>
      <c r="AL4186">
        <v>67.185317396942494</v>
      </c>
      <c r="AM4186">
        <v>94.888575378466101</v>
      </c>
      <c r="AN4186">
        <v>0.99999997379446903</v>
      </c>
    </row>
    <row r="4187" spans="1:40" x14ac:dyDescent="0.25">
      <c r="A4187" t="str">
        <f>"20190304164454074"</f>
        <v>20190304164454074</v>
      </c>
      <c r="B4187" t="str">
        <f>"1551689094064610"</f>
        <v>1551689094064610</v>
      </c>
      <c r="C4187" t="s">
        <v>40</v>
      </c>
      <c r="D4187">
        <v>4.4998959999999997</v>
      </c>
      <c r="E4187">
        <v>0.51033909999999905</v>
      </c>
      <c r="F4187" t="s">
        <v>48</v>
      </c>
      <c r="G4187">
        <v>-315.60820000000001</v>
      </c>
      <c r="H4187" s="1">
        <v>-7.45301299999999E-6</v>
      </c>
      <c r="I4187">
        <v>140.136</v>
      </c>
      <c r="J4187">
        <v>-299.9674</v>
      </c>
      <c r="K4187">
        <v>1.1106769999999999</v>
      </c>
      <c r="L4187">
        <v>141.26750000000001</v>
      </c>
      <c r="M4187">
        <v>-0.99980360000000001</v>
      </c>
      <c r="N4187">
        <v>-1.429241E-2</v>
      </c>
      <c r="O4187">
        <v>1.373713E-2</v>
      </c>
      <c r="P4187">
        <v>-0.92475719999999995</v>
      </c>
      <c r="Q4187">
        <v>0.37477300000000002</v>
      </c>
      <c r="R4187">
        <v>-6.610336E-2</v>
      </c>
      <c r="S4187">
        <v>-3.32016</v>
      </c>
      <c r="T4187">
        <v>-0.22935620000000001</v>
      </c>
      <c r="U4187">
        <v>-0.23242189999999999</v>
      </c>
      <c r="V4187">
        <v>-7.8877790000000003E-2</v>
      </c>
      <c r="W4187">
        <v>0.38792179999999998</v>
      </c>
      <c r="X4187">
        <v>0.91831090000000004</v>
      </c>
      <c r="Y4187">
        <v>-8.3271559999999994E-2</v>
      </c>
      <c r="Z4187">
        <v>-4.2168199999999996E-3</v>
      </c>
      <c r="AA4187">
        <v>0.99651800000000001</v>
      </c>
      <c r="AB4187">
        <v>42</v>
      </c>
      <c r="AC4187">
        <v>-15.6408</v>
      </c>
      <c r="AD4187">
        <v>-1.110684453013</v>
      </c>
      <c r="AE4187">
        <v>-1.1315000000000099</v>
      </c>
      <c r="AF4187">
        <v>-1.3395550276144701</v>
      </c>
      <c r="AG4187">
        <v>-1.110684453013</v>
      </c>
      <c r="AH4187">
        <v>15.5457939999243</v>
      </c>
      <c r="AI4187">
        <v>94.071572334463497</v>
      </c>
      <c r="AJ4187">
        <v>94.924916248055197</v>
      </c>
      <c r="AK4187">
        <v>15.6428814070252</v>
      </c>
      <c r="AL4187">
        <v>67.1747498631577</v>
      </c>
      <c r="AM4187">
        <v>94.909338443833207</v>
      </c>
      <c r="AN4187">
        <v>0.99999996886466602</v>
      </c>
    </row>
    <row r="4188" spans="1:40" x14ac:dyDescent="0.25">
      <c r="A4188" t="str">
        <f>"20190304164454094"</f>
        <v>20190304164454094</v>
      </c>
      <c r="B4188" t="str">
        <f>"1551689094084129"</f>
        <v>1551689094084129</v>
      </c>
      <c r="C4188" t="s">
        <v>40</v>
      </c>
      <c r="D4188">
        <v>4.5086940000000002</v>
      </c>
      <c r="E4188">
        <v>0.51040209999999997</v>
      </c>
      <c r="F4188" t="s">
        <v>48</v>
      </c>
      <c r="G4188">
        <v>-316.00659999999999</v>
      </c>
      <c r="H4188" s="1">
        <v>-7.2763320000000001E-6</v>
      </c>
      <c r="I4188">
        <v>140.136</v>
      </c>
      <c r="J4188">
        <v>-300.36200000000002</v>
      </c>
      <c r="K4188">
        <v>1.110703</v>
      </c>
      <c r="L4188">
        <v>141.27279999999999</v>
      </c>
      <c r="M4188">
        <v>-0.99980550000000001</v>
      </c>
      <c r="N4188">
        <v>-1.430328E-2</v>
      </c>
      <c r="O4188">
        <v>1.358724E-2</v>
      </c>
      <c r="P4188">
        <v>-0.92454029999999998</v>
      </c>
      <c r="Q4188">
        <v>0.37535059999999998</v>
      </c>
      <c r="R4188">
        <v>-6.5856780000000004E-2</v>
      </c>
      <c r="S4188">
        <v>-3.3205260000000001</v>
      </c>
      <c r="T4188">
        <v>-0.22994139999999999</v>
      </c>
      <c r="U4188">
        <v>-0.23425289999999999</v>
      </c>
      <c r="V4188">
        <v>-7.8507930000000004E-2</v>
      </c>
      <c r="W4188">
        <v>0.3885033</v>
      </c>
      <c r="X4188">
        <v>0.91809680000000005</v>
      </c>
      <c r="Y4188">
        <v>-8.3659239999999996E-2</v>
      </c>
      <c r="Z4188">
        <v>-4.2343199999999998E-3</v>
      </c>
      <c r="AA4188">
        <v>0.99648539999999997</v>
      </c>
      <c r="AB4188">
        <v>42</v>
      </c>
      <c r="AC4188">
        <v>-15.644599999999899</v>
      </c>
      <c r="AD4188">
        <v>-1.110710276332</v>
      </c>
      <c r="AE4188">
        <v>-1.13679999999999</v>
      </c>
      <c r="AF4188">
        <v>-1.3425521210311699</v>
      </c>
      <c r="AG4188">
        <v>-1.110710276332</v>
      </c>
      <c r="AH4188">
        <v>15.549741358196099</v>
      </c>
      <c r="AI4188">
        <v>94.070577197985699</v>
      </c>
      <c r="AJ4188">
        <v>94.934633977099097</v>
      </c>
      <c r="AK4188">
        <v>15.6470629775185</v>
      </c>
      <c r="AL4188">
        <v>67.138598157916704</v>
      </c>
      <c r="AM4188">
        <v>94.887564144928106</v>
      </c>
      <c r="AN4188">
        <v>1.000000021677</v>
      </c>
    </row>
    <row r="4189" spans="1:40" x14ac:dyDescent="0.25">
      <c r="A4189" t="str">
        <f>"20190304164454118"</f>
        <v>20190304164454118</v>
      </c>
      <c r="B4189" t="str">
        <f>"1551689094114386"</f>
        <v>1551689094114386</v>
      </c>
      <c r="C4189" t="s">
        <v>40</v>
      </c>
      <c r="D4189">
        <v>4.4902470000000001</v>
      </c>
      <c r="E4189">
        <v>0.51052730000000002</v>
      </c>
      <c r="F4189" t="s">
        <v>48</v>
      </c>
      <c r="G4189">
        <v>-316.40719999999999</v>
      </c>
      <c r="H4189" s="1">
        <v>-7.1016309999999997E-6</v>
      </c>
      <c r="I4189">
        <v>140.14709999999999</v>
      </c>
      <c r="J4189">
        <v>-300.78910000000002</v>
      </c>
      <c r="K4189">
        <v>1.1107260000000001</v>
      </c>
      <c r="L4189">
        <v>141.27850000000001</v>
      </c>
      <c r="M4189">
        <v>-0.99980749999999996</v>
      </c>
      <c r="N4189">
        <v>-1.431316E-2</v>
      </c>
      <c r="O4189">
        <v>1.342161E-2</v>
      </c>
      <c r="P4189">
        <v>-0.92421019999999998</v>
      </c>
      <c r="Q4189">
        <v>0.37624819999999998</v>
      </c>
      <c r="R4189">
        <v>-6.5367480000000006E-2</v>
      </c>
      <c r="S4189">
        <v>-3.3215940000000002</v>
      </c>
      <c r="T4189">
        <v>-0.22993459999999999</v>
      </c>
      <c r="U4189">
        <v>-0.23303219999999999</v>
      </c>
      <c r="V4189">
        <v>-7.7876490000000007E-2</v>
      </c>
      <c r="W4189">
        <v>0.38940249999999998</v>
      </c>
      <c r="X4189">
        <v>0.91776959999999996</v>
      </c>
      <c r="Y4189">
        <v>-8.3109230000000006E-2</v>
      </c>
      <c r="Z4189">
        <v>-4.2012859999999898E-3</v>
      </c>
      <c r="AA4189">
        <v>0.99653159999999996</v>
      </c>
      <c r="AB4189">
        <v>42</v>
      </c>
      <c r="AC4189">
        <v>-15.618099999999901</v>
      </c>
      <c r="AD4189">
        <v>-1.110733101631</v>
      </c>
      <c r="AE4189">
        <v>-1.13140000000001</v>
      </c>
      <c r="AF4189">
        <v>-1.3342265436932901</v>
      </c>
      <c r="AG4189">
        <v>-1.110733101631</v>
      </c>
      <c r="AH4189">
        <v>15.523401530919701</v>
      </c>
      <c r="AI4189">
        <v>94.077679777296893</v>
      </c>
      <c r="AJ4189">
        <v>94.912463147066603</v>
      </c>
      <c r="AK4189">
        <v>15.6201755298433</v>
      </c>
      <c r="AL4189">
        <v>67.082674813334904</v>
      </c>
      <c r="AM4189">
        <v>94.850161875134404</v>
      </c>
      <c r="AN4189">
        <v>1.00000004669256</v>
      </c>
    </row>
    <row r="4190" spans="1:40" x14ac:dyDescent="0.25">
      <c r="A4190" t="str">
        <f>"20190304164454140"</f>
        <v>20190304164454140</v>
      </c>
      <c r="B4190" t="str">
        <f>"1551689094134883"</f>
        <v>1551689094134883</v>
      </c>
      <c r="C4190" t="s">
        <v>40</v>
      </c>
      <c r="D4190">
        <v>4.4668150000000004</v>
      </c>
      <c r="E4190">
        <v>0.51062850000000004</v>
      </c>
      <c r="F4190" t="s">
        <v>48</v>
      </c>
      <c r="G4190">
        <v>-316.90530000000001</v>
      </c>
      <c r="H4190" s="1">
        <v>-6.8851920000000004E-6</v>
      </c>
      <c r="I4190">
        <v>140.16399999999999</v>
      </c>
      <c r="J4190">
        <v>-301.20670000000001</v>
      </c>
      <c r="K4190">
        <v>1.1107469999999999</v>
      </c>
      <c r="L4190">
        <v>141.28399999999999</v>
      </c>
      <c r="M4190">
        <v>-0.99980959999999997</v>
      </c>
      <c r="N4190">
        <v>-1.4321169999999999E-2</v>
      </c>
      <c r="O4190">
        <v>1.3258560000000001E-2</v>
      </c>
      <c r="P4190">
        <v>-0.92408869999999999</v>
      </c>
      <c r="Q4190">
        <v>0.37662259999999997</v>
      </c>
      <c r="R4190">
        <v>-6.4929109999999998E-2</v>
      </c>
      <c r="S4190">
        <v>-3.3229980000000001</v>
      </c>
      <c r="T4190">
        <v>-0.22902230000000001</v>
      </c>
      <c r="U4190">
        <v>-0.22978209999999999</v>
      </c>
      <c r="V4190">
        <v>-7.7297640000000001E-2</v>
      </c>
      <c r="W4190">
        <v>0.38978059999999998</v>
      </c>
      <c r="X4190">
        <v>0.91765799999999997</v>
      </c>
      <c r="Y4190">
        <v>-8.1952919999999999E-2</v>
      </c>
      <c r="Z4190">
        <v>-4.1280479999999996E-3</v>
      </c>
      <c r="AA4190">
        <v>0.99662759999999995</v>
      </c>
      <c r="AB4190">
        <v>42</v>
      </c>
      <c r="AC4190">
        <v>-15.698600000000001</v>
      </c>
      <c r="AD4190">
        <v>-1.110753885192</v>
      </c>
      <c r="AE4190">
        <v>-1.1200000000000001</v>
      </c>
      <c r="AF4190">
        <v>-1.3214815148641399</v>
      </c>
      <c r="AG4190">
        <v>-1.110753885192</v>
      </c>
      <c r="AH4190">
        <v>15.604643362246</v>
      </c>
      <c r="AI4190">
        <v>94.057029977524195</v>
      </c>
      <c r="AJ4190">
        <v>94.8405520900602</v>
      </c>
      <c r="AK4190">
        <v>15.6998401918772</v>
      </c>
      <c r="AL4190">
        <v>67.059152177124403</v>
      </c>
      <c r="AM4190">
        <v>94.814863798533096</v>
      </c>
      <c r="AN4190">
        <v>1.0000000231249599</v>
      </c>
    </row>
    <row r="4191" spans="1:40" x14ac:dyDescent="0.25">
      <c r="A4191" t="str">
        <f>"20190304164454163"</f>
        <v>20190304164454163</v>
      </c>
      <c r="B4191" t="str">
        <f>"1551689094154403"</f>
        <v>1551689094154403</v>
      </c>
      <c r="C4191" t="s">
        <v>40</v>
      </c>
      <c r="D4191">
        <v>4.4580169999999999</v>
      </c>
      <c r="E4191">
        <v>0.51062099999999999</v>
      </c>
      <c r="F4191" t="s">
        <v>48</v>
      </c>
      <c r="G4191">
        <v>-317.33580000000001</v>
      </c>
      <c r="H4191" s="1">
        <v>-6.6989179999999996E-6</v>
      </c>
      <c r="I4191">
        <v>140.1815</v>
      </c>
      <c r="J4191">
        <v>-301.63690000000003</v>
      </c>
      <c r="K4191">
        <v>1.110765</v>
      </c>
      <c r="L4191">
        <v>141.2895</v>
      </c>
      <c r="M4191">
        <v>-0.99981169999999997</v>
      </c>
      <c r="N4191">
        <v>-1.4327929999999999E-2</v>
      </c>
      <c r="O4191">
        <v>1.309103E-2</v>
      </c>
      <c r="P4191">
        <v>-0.92390729999999999</v>
      </c>
      <c r="Q4191">
        <v>0.37713530000000001</v>
      </c>
      <c r="R4191">
        <v>-6.4530489999999996E-2</v>
      </c>
      <c r="S4191">
        <v>-3.3237299999999999</v>
      </c>
      <c r="T4191">
        <v>-0.2288944</v>
      </c>
      <c r="U4191">
        <v>-0.22717290000000001</v>
      </c>
      <c r="V4191">
        <v>-7.6751749999999994E-2</v>
      </c>
      <c r="W4191">
        <v>0.39029520000000001</v>
      </c>
      <c r="X4191">
        <v>0.91748510000000005</v>
      </c>
      <c r="Y4191">
        <v>-8.0995399999999995E-2</v>
      </c>
      <c r="Z4191">
        <v>-4.0765289999999997E-3</v>
      </c>
      <c r="AA4191">
        <v>0.99670610000000004</v>
      </c>
      <c r="AB4191">
        <v>42</v>
      </c>
      <c r="AC4191">
        <v>-15.698899999999901</v>
      </c>
      <c r="AD4191">
        <v>-1.1107716989180001</v>
      </c>
      <c r="AE4191">
        <v>-1.1080000000000001</v>
      </c>
      <c r="AF4191">
        <v>-1.30693052316467</v>
      </c>
      <c r="AG4191">
        <v>-1.1107716989180001</v>
      </c>
      <c r="AH4191">
        <v>15.6053114999483</v>
      </c>
      <c r="AI4191">
        <v>94.057238218651605</v>
      </c>
      <c r="AJ4191">
        <v>94.787297278190593</v>
      </c>
      <c r="AK4191">
        <v>15.6992875051677</v>
      </c>
      <c r="AL4191">
        <v>67.027132156103804</v>
      </c>
      <c r="AM4191">
        <v>94.781915339474494</v>
      </c>
      <c r="AN4191">
        <v>1.00000004149655</v>
      </c>
    </row>
    <row r="4192" spans="1:40" x14ac:dyDescent="0.25">
      <c r="A4192" t="str">
        <f>"20190304164454185"</f>
        <v>20190304164454185</v>
      </c>
      <c r="B4192" t="str">
        <f>"1551689094173922"</f>
        <v>1551689094173922</v>
      </c>
      <c r="C4192" t="s">
        <v>40</v>
      </c>
      <c r="D4192">
        <v>4.4618820000000001</v>
      </c>
      <c r="E4192">
        <v>0.51067629999999997</v>
      </c>
      <c r="F4192" t="s">
        <v>48</v>
      </c>
      <c r="G4192">
        <v>-317.82709999999997</v>
      </c>
      <c r="H4192" s="1">
        <v>-6.4821709999999901E-6</v>
      </c>
      <c r="I4192">
        <v>140.1859</v>
      </c>
      <c r="J4192">
        <v>-302.06139999999999</v>
      </c>
      <c r="K4192">
        <v>1.1107860000000001</v>
      </c>
      <c r="L4192">
        <v>141.29499999999999</v>
      </c>
      <c r="M4192">
        <v>-0.99981370000000003</v>
      </c>
      <c r="N4192">
        <v>-1.433333E-2</v>
      </c>
      <c r="O4192">
        <v>1.292622E-2</v>
      </c>
      <c r="P4192">
        <v>-0.9237128</v>
      </c>
      <c r="Q4192">
        <v>0.37765599999999999</v>
      </c>
      <c r="R4192">
        <v>-6.4270499999999994E-2</v>
      </c>
      <c r="S4192">
        <v>-3.324341</v>
      </c>
      <c r="T4192">
        <v>-0.22807459999999999</v>
      </c>
      <c r="U4192">
        <v>-0.22660830000000001</v>
      </c>
      <c r="V4192">
        <v>-7.6344880000000004E-2</v>
      </c>
      <c r="W4192">
        <v>0.39081709999999997</v>
      </c>
      <c r="X4192">
        <v>0.91729680000000002</v>
      </c>
      <c r="Y4192">
        <v>-8.0653150000000007E-2</v>
      </c>
      <c r="Z4192">
        <v>-4.0397619999999997E-3</v>
      </c>
      <c r="AA4192">
        <v>0.99673400000000001</v>
      </c>
      <c r="AB4192">
        <v>42</v>
      </c>
      <c r="AC4192">
        <v>-15.765699999999899</v>
      </c>
      <c r="AD4192">
        <v>-1.110792482171</v>
      </c>
      <c r="AE4192">
        <v>-1.10909999999998</v>
      </c>
      <c r="AF4192">
        <v>-1.30636618682309</v>
      </c>
      <c r="AG4192">
        <v>-1.110792482171</v>
      </c>
      <c r="AH4192">
        <v>15.672627463083201</v>
      </c>
      <c r="AI4192">
        <v>94.040077226675805</v>
      </c>
      <c r="AJ4192">
        <v>94.764781319648307</v>
      </c>
      <c r="AK4192">
        <v>15.766156923902299</v>
      </c>
      <c r="AL4192">
        <v>66.994648276960405</v>
      </c>
      <c r="AM4192">
        <v>94.757654427702803</v>
      </c>
      <c r="AN4192">
        <v>0.99999998282243197</v>
      </c>
    </row>
    <row r="4193" spans="1:40" x14ac:dyDescent="0.25">
      <c r="A4193" t="str">
        <f>"20190304164454219"</f>
        <v>20190304164454219</v>
      </c>
      <c r="B4193" t="str">
        <f>"1551689094214914"</f>
        <v>1551689094214914</v>
      </c>
      <c r="C4193" t="s">
        <v>40</v>
      </c>
      <c r="D4193">
        <v>4.4562160000000004</v>
      </c>
      <c r="E4193">
        <v>0.51078889999999999</v>
      </c>
      <c r="F4193" t="s">
        <v>48</v>
      </c>
      <c r="G4193">
        <v>-318.30520000000001</v>
      </c>
      <c r="H4193" s="1">
        <v>-6.2714730000000003E-6</v>
      </c>
      <c r="I4193">
        <v>140.1909</v>
      </c>
      <c r="J4193">
        <v>-302.68060000000003</v>
      </c>
      <c r="K4193">
        <v>1.110803</v>
      </c>
      <c r="L4193">
        <v>141.30279999999999</v>
      </c>
      <c r="M4193">
        <v>-0.9998167</v>
      </c>
      <c r="N4193">
        <v>-1.4339299999999999E-2</v>
      </c>
      <c r="O4193">
        <v>1.268655E-2</v>
      </c>
      <c r="P4193">
        <v>-0.92359709999999995</v>
      </c>
      <c r="Q4193">
        <v>0.37775579999999997</v>
      </c>
      <c r="R4193">
        <v>-6.5336320000000003E-2</v>
      </c>
      <c r="S4193">
        <v>-3.3250120000000001</v>
      </c>
      <c r="T4193">
        <v>-0.2273723</v>
      </c>
      <c r="U4193">
        <v>-0.2259979</v>
      </c>
      <c r="V4193">
        <v>-7.7195879999999995E-2</v>
      </c>
      <c r="W4193">
        <v>0.39091890000000001</v>
      </c>
      <c r="X4193">
        <v>0.91718219999999995</v>
      </c>
      <c r="Y4193">
        <v>-8.0221479999999998E-2</v>
      </c>
      <c r="Z4193">
        <v>-3.9972569999999997E-3</v>
      </c>
      <c r="AA4193">
        <v>0.99676909999999996</v>
      </c>
      <c r="AB4193">
        <v>42</v>
      </c>
      <c r="AC4193">
        <v>-15.6245999999999</v>
      </c>
      <c r="AD4193">
        <v>-1.110809271473</v>
      </c>
      <c r="AE4193">
        <v>-1.1118999999999899</v>
      </c>
      <c r="AF4193">
        <v>-1.3034980736306201</v>
      </c>
      <c r="AG4193">
        <v>-1.110809271473</v>
      </c>
      <c r="AH4193">
        <v>15.531131195936901</v>
      </c>
      <c r="AI4193">
        <v>94.076628236700898</v>
      </c>
      <c r="AJ4193">
        <v>94.797481675855494</v>
      </c>
      <c r="AK4193">
        <v>15.6252692997898</v>
      </c>
      <c r="AL4193">
        <v>66.9883116048955</v>
      </c>
      <c r="AM4193">
        <v>94.811037711179594</v>
      </c>
      <c r="AN4193">
        <v>0.999999989131512</v>
      </c>
    </row>
    <row r="4194" spans="1:40" x14ac:dyDescent="0.25">
      <c r="A4194" t="str">
        <f>"20190304164454242"</f>
        <v>20190304164454242</v>
      </c>
      <c r="B4194" t="str">
        <f>"1551689094234435"</f>
        <v>1551689094234435</v>
      </c>
      <c r="C4194" t="s">
        <v>40</v>
      </c>
      <c r="D4194">
        <v>4.4472820000000004</v>
      </c>
      <c r="E4194">
        <v>0.51080709999999996</v>
      </c>
      <c r="F4194" t="s">
        <v>48</v>
      </c>
      <c r="G4194">
        <v>-318.74489999999997</v>
      </c>
      <c r="H4194" s="1">
        <v>-6.076584E-6</v>
      </c>
      <c r="I4194">
        <v>140.19120000000001</v>
      </c>
      <c r="J4194">
        <v>-303.11799999999999</v>
      </c>
      <c r="K4194">
        <v>1.110814</v>
      </c>
      <c r="L4194">
        <v>141.3081</v>
      </c>
      <c r="M4194">
        <v>-0.99981889999999995</v>
      </c>
      <c r="N4194">
        <v>-1.434237E-2</v>
      </c>
      <c r="O4194">
        <v>1.251677E-2</v>
      </c>
      <c r="P4194">
        <v>-0.92368989999999995</v>
      </c>
      <c r="Q4194">
        <v>0.37744840000000002</v>
      </c>
      <c r="R4194">
        <v>-6.5802869999999999E-2</v>
      </c>
      <c r="S4194">
        <v>-3.325958</v>
      </c>
      <c r="T4194">
        <v>-0.22998250000000001</v>
      </c>
      <c r="U4194">
        <v>-0.23013310000000001</v>
      </c>
      <c r="V4194">
        <v>-7.7510709999999997E-2</v>
      </c>
      <c r="W4194">
        <v>0.39061479999999998</v>
      </c>
      <c r="X4194">
        <v>0.91728520000000002</v>
      </c>
      <c r="Y4194">
        <v>-8.1258620000000004E-2</v>
      </c>
      <c r="Z4194">
        <v>-4.0714100000000001E-3</v>
      </c>
      <c r="AA4194">
        <v>0.99668469999999998</v>
      </c>
      <c r="AB4194">
        <v>42</v>
      </c>
      <c r="AC4194">
        <v>-15.6268999999999</v>
      </c>
      <c r="AD4194">
        <v>-1.1108200765839999</v>
      </c>
      <c r="AE4194">
        <v>-1.11689999999998</v>
      </c>
      <c r="AF4194">
        <v>-1.3058660094945</v>
      </c>
      <c r="AG4194">
        <v>-1.1108200765839999</v>
      </c>
      <c r="AH4194">
        <v>15.533603135222901</v>
      </c>
      <c r="AI4194">
        <v>94.075974078109496</v>
      </c>
      <c r="AJ4194">
        <v>94.805394752378703</v>
      </c>
      <c r="AK4194">
        <v>15.6279248027338</v>
      </c>
      <c r="AL4194">
        <v>67.007240179321201</v>
      </c>
      <c r="AM4194">
        <v>94.830026187082794</v>
      </c>
      <c r="AN4194">
        <v>0.99999998514139199</v>
      </c>
    </row>
    <row r="4195" spans="1:40" x14ac:dyDescent="0.25">
      <c r="A4195" t="str">
        <f>"20190304164454263"</f>
        <v>20190304164454263</v>
      </c>
      <c r="B4195" t="str">
        <f>"1551689094253954"</f>
        <v>1551689094253954</v>
      </c>
      <c r="C4195" t="s">
        <v>40</v>
      </c>
      <c r="D4195">
        <v>4.4691169999999998</v>
      </c>
      <c r="E4195">
        <v>0.51082459999999996</v>
      </c>
      <c r="F4195" t="s">
        <v>48</v>
      </c>
      <c r="G4195">
        <v>-319.08100000000002</v>
      </c>
      <c r="H4195" s="1">
        <v>-5.9278339999999999E-6</v>
      </c>
      <c r="I4195">
        <v>140.19239999999999</v>
      </c>
      <c r="J4195">
        <v>-303.51569999999998</v>
      </c>
      <c r="K4195">
        <v>1.110822</v>
      </c>
      <c r="L4195">
        <v>141.31299999999999</v>
      </c>
      <c r="M4195">
        <v>-0.99982059999999995</v>
      </c>
      <c r="N4195">
        <v>-1.434444E-2</v>
      </c>
      <c r="O4195">
        <v>1.2362110000000001E-2</v>
      </c>
      <c r="P4195">
        <v>-0.9235932</v>
      </c>
      <c r="Q4195">
        <v>0.37770120000000001</v>
      </c>
      <c r="R4195">
        <v>-6.5707890000000005E-2</v>
      </c>
      <c r="S4195">
        <v>-3.3258359999999998</v>
      </c>
      <c r="T4195">
        <v>-0.23143630000000001</v>
      </c>
      <c r="U4195">
        <v>-0.2324677</v>
      </c>
      <c r="V4195">
        <v>-7.7273800000000004E-2</v>
      </c>
      <c r="W4195">
        <v>0.39086799999999999</v>
      </c>
      <c r="X4195">
        <v>0.91719729999999999</v>
      </c>
      <c r="Y4195">
        <v>-8.1798839999999998E-2</v>
      </c>
      <c r="Z4195">
        <v>-4.1087770000000001E-3</v>
      </c>
      <c r="AA4195">
        <v>0.99664039999999998</v>
      </c>
      <c r="AB4195">
        <v>42</v>
      </c>
      <c r="AC4195">
        <v>-15.565299999999899</v>
      </c>
      <c r="AD4195">
        <v>-1.1108279278340001</v>
      </c>
      <c r="AE4195">
        <v>-1.12059999999999</v>
      </c>
      <c r="AF4195">
        <v>-1.30633518692775</v>
      </c>
      <c r="AG4195">
        <v>-1.1108279278340001</v>
      </c>
      <c r="AH4195">
        <v>15.4718631680529</v>
      </c>
      <c r="AI4195">
        <v>94.092088000222404</v>
      </c>
      <c r="AJ4195">
        <v>94.826205366504396</v>
      </c>
      <c r="AK4195">
        <v>15.566598864132599</v>
      </c>
      <c r="AL4195">
        <v>66.991479354812</v>
      </c>
      <c r="AM4195">
        <v>94.815792137675899</v>
      </c>
      <c r="AN4195">
        <v>0.99999996035886396</v>
      </c>
    </row>
    <row r="4196" spans="1:40" x14ac:dyDescent="0.25">
      <c r="A4196" t="str">
        <f>"20190304164454285"</f>
        <v>20190304164454285</v>
      </c>
      <c r="B4196" t="str">
        <f>"1551689094274451"</f>
        <v>1551689094274451</v>
      </c>
      <c r="C4196" t="s">
        <v>40</v>
      </c>
      <c r="D4196">
        <v>4.4476259999999996</v>
      </c>
      <c r="E4196">
        <v>0.51083219999999996</v>
      </c>
      <c r="F4196" t="s">
        <v>48</v>
      </c>
      <c r="G4196">
        <v>-319.5145</v>
      </c>
      <c r="H4196" s="1">
        <v>-5.7361389999999899E-6</v>
      </c>
      <c r="I4196">
        <v>140.1944</v>
      </c>
      <c r="J4196">
        <v>-303.928</v>
      </c>
      <c r="K4196">
        <v>1.110825</v>
      </c>
      <c r="L4196">
        <v>141.31799999999899</v>
      </c>
      <c r="M4196">
        <v>-0.99982269999999895</v>
      </c>
      <c r="N4196">
        <v>-1.434589E-2</v>
      </c>
      <c r="O4196">
        <v>1.2201190000000001E-2</v>
      </c>
      <c r="P4196">
        <v>-0.92349680000000001</v>
      </c>
      <c r="Q4196">
        <v>0.37795400000000001</v>
      </c>
      <c r="R4196">
        <v>-6.5608990000000006E-2</v>
      </c>
      <c r="S4196">
        <v>-3.3260800000000001</v>
      </c>
      <c r="T4196">
        <v>-0.23093649999999999</v>
      </c>
      <c r="U4196">
        <v>-0.2325439</v>
      </c>
      <c r="V4196">
        <v>-7.7027349999999994E-2</v>
      </c>
      <c r="W4196">
        <v>0.39112039999999998</v>
      </c>
      <c r="X4196">
        <v>0.91711050000000005</v>
      </c>
      <c r="Y4196">
        <v>-8.1657830000000001E-2</v>
      </c>
      <c r="Z4196">
        <v>-4.0858350000000003E-3</v>
      </c>
      <c r="AA4196">
        <v>0.99665210000000004</v>
      </c>
      <c r="AB4196">
        <v>42</v>
      </c>
      <c r="AC4196">
        <v>-15.586499999999999</v>
      </c>
      <c r="AD4196">
        <v>-1.110830736139</v>
      </c>
      <c r="AE4196">
        <v>-1.1235999999999799</v>
      </c>
      <c r="AF4196">
        <v>-1.3071049808986199</v>
      </c>
      <c r="AG4196">
        <v>-1.110830736139</v>
      </c>
      <c r="AH4196">
        <v>15.4933413437089</v>
      </c>
      <c r="AI4196">
        <v>94.086467720660295</v>
      </c>
      <c r="AJ4196">
        <v>94.822373071454393</v>
      </c>
      <c r="AK4196">
        <v>15.5880112377468</v>
      </c>
      <c r="AL4196">
        <v>66.975768659403698</v>
      </c>
      <c r="AM4196">
        <v>94.8009572027172</v>
      </c>
      <c r="AN4196">
        <v>1.00000002457721</v>
      </c>
    </row>
    <row r="4197" spans="1:40" x14ac:dyDescent="0.25">
      <c r="A4197" t="str">
        <f>"20190304164454307"</f>
        <v>20190304164454307</v>
      </c>
      <c r="B4197" t="str">
        <f>"1551689094293971"</f>
        <v>1551689094293971</v>
      </c>
      <c r="C4197" t="s">
        <v>40</v>
      </c>
      <c r="D4197">
        <v>4.514392</v>
      </c>
      <c r="E4197">
        <v>0.52583859999999905</v>
      </c>
      <c r="F4197" t="s">
        <v>42</v>
      </c>
      <c r="G4197">
        <v>-319.97050000000002</v>
      </c>
      <c r="H4197" s="1">
        <v>-4.3896840000000001E-6</v>
      </c>
      <c r="I4197">
        <v>140.20050000000001</v>
      </c>
      <c r="J4197">
        <v>-304.33539999999999</v>
      </c>
      <c r="K4197">
        <v>1.1108290000000001</v>
      </c>
      <c r="L4197">
        <v>141.3228</v>
      </c>
      <c r="M4197">
        <v>-0.99982459999999995</v>
      </c>
      <c r="N4197">
        <v>-1.4346879999999999E-2</v>
      </c>
      <c r="O4197">
        <v>1.2041659999999999E-2</v>
      </c>
      <c r="P4197">
        <v>-0.92338719999999996</v>
      </c>
      <c r="Q4197">
        <v>0.37815680000000002</v>
      </c>
      <c r="R4197">
        <v>-6.5982310000000002E-2</v>
      </c>
      <c r="S4197">
        <v>-3.3262939999999999</v>
      </c>
      <c r="T4197">
        <v>-0.23032340000000001</v>
      </c>
      <c r="U4197">
        <v>-0.23168949999999999</v>
      </c>
      <c r="V4197">
        <v>-7.7254119999999996E-2</v>
      </c>
      <c r="W4197">
        <v>0.39132230000000001</v>
      </c>
      <c r="X4197">
        <v>0.91700530000000002</v>
      </c>
      <c r="Y4197">
        <v>-8.124228E-2</v>
      </c>
      <c r="Z4197">
        <v>-4.0498419999999997E-3</v>
      </c>
      <c r="AA4197">
        <v>0.99668619999999997</v>
      </c>
      <c r="AB4197">
        <v>42</v>
      </c>
      <c r="AC4197">
        <v>-15.6351</v>
      </c>
      <c r="AD4197">
        <v>-1.1108333896839999</v>
      </c>
      <c r="AE4197">
        <v>-1.1222999999999901</v>
      </c>
      <c r="AF4197">
        <v>-1.3039622287747199</v>
      </c>
      <c r="AG4197">
        <v>-1.1108333896839999</v>
      </c>
      <c r="AH4197">
        <v>15.5423986775078</v>
      </c>
      <c r="AI4197">
        <v>94.073781465129201</v>
      </c>
      <c r="AJ4197">
        <v>94.795719065641407</v>
      </c>
      <c r="AK4197">
        <v>15.636509359965901</v>
      </c>
      <c r="AL4197">
        <v>66.963198933430505</v>
      </c>
      <c r="AM4197">
        <v>94.8155747448791</v>
      </c>
      <c r="AN4197">
        <v>1.0000000308811701</v>
      </c>
    </row>
    <row r="4198" spans="1:40" x14ac:dyDescent="0.25">
      <c r="A4198" t="str">
        <f>"20190304164454331"</f>
        <v>20190304164454331</v>
      </c>
      <c r="B4198" t="str">
        <f>"1551689094324227"</f>
        <v>1551689094324227</v>
      </c>
      <c r="C4198" t="s">
        <v>40</v>
      </c>
      <c r="D4198">
        <v>4.4467970000000001</v>
      </c>
      <c r="E4198">
        <v>0.53765019999999997</v>
      </c>
      <c r="F4198" t="s">
        <v>48</v>
      </c>
      <c r="G4198">
        <v>-317.9264</v>
      </c>
      <c r="H4198" s="1">
        <v>-6.6133730000000004E-6</v>
      </c>
      <c r="I4198">
        <v>140.84970000000001</v>
      </c>
      <c r="J4198">
        <v>-304.7783</v>
      </c>
      <c r="K4198">
        <v>1.110841</v>
      </c>
      <c r="L4198">
        <v>141.328</v>
      </c>
      <c r="M4198">
        <v>-0.99982680000000002</v>
      </c>
      <c r="N4198">
        <v>-1.4347469999999999E-2</v>
      </c>
      <c r="O4198">
        <v>1.186363E-2</v>
      </c>
      <c r="P4198">
        <v>-0.92323789999999994</v>
      </c>
      <c r="Q4198">
        <v>0.3785985</v>
      </c>
      <c r="R4198">
        <v>-6.5535919999999998E-2</v>
      </c>
      <c r="S4198">
        <v>-3.352722</v>
      </c>
      <c r="T4198">
        <v>-0.27402929999999998</v>
      </c>
      <c r="U4198">
        <v>-0.1167145</v>
      </c>
      <c r="V4198">
        <v>-7.6644699999999996E-2</v>
      </c>
      <c r="W4198">
        <v>0.39176230000000001</v>
      </c>
      <c r="X4198">
        <v>0.91686849999999998</v>
      </c>
      <c r="Y4198">
        <v>-4.6437190000000003E-2</v>
      </c>
      <c r="Z4198">
        <v>-3.025752E-3</v>
      </c>
      <c r="AA4198">
        <v>0.99891660000000004</v>
      </c>
      <c r="AB4198">
        <v>42</v>
      </c>
      <c r="AC4198">
        <v>-13.148099999999999</v>
      </c>
      <c r="AD4198">
        <v>-1.1108476133730001</v>
      </c>
      <c r="AE4198">
        <v>-0.47829999999999001</v>
      </c>
      <c r="AF4198">
        <v>-0.62977709139121896</v>
      </c>
      <c r="AG4198">
        <v>-1.1108476133730001</v>
      </c>
      <c r="AH4198">
        <v>13.0484812075925</v>
      </c>
      <c r="AI4198">
        <v>94.860359876502798</v>
      </c>
      <c r="AJ4198">
        <v>92.763202059820102</v>
      </c>
      <c r="AK4198">
        <v>13.1108147508029</v>
      </c>
      <c r="AL4198">
        <v>66.935800083026507</v>
      </c>
      <c r="AM4198">
        <v>94.778473135183006</v>
      </c>
      <c r="AN4198">
        <v>0.99999997801581397</v>
      </c>
    </row>
    <row r="4199" spans="1:40" x14ac:dyDescent="0.25">
      <c r="A4199" t="str">
        <f>"20190304164454352"</f>
        <v>20190304164454352</v>
      </c>
      <c r="B4199" t="str">
        <f>"1551689094344722"</f>
        <v>1551689094344722</v>
      </c>
      <c r="C4199" t="s">
        <v>40</v>
      </c>
      <c r="D4199">
        <v>4.4356989999999996</v>
      </c>
      <c r="E4199">
        <v>0.54035909999999998</v>
      </c>
      <c r="F4199" t="s">
        <v>48</v>
      </c>
      <c r="G4199">
        <v>-317.96019999999999</v>
      </c>
      <c r="H4199" s="1">
        <v>-6.6996600000000002E-6</v>
      </c>
      <c r="I4199">
        <v>141.23330000000001</v>
      </c>
      <c r="J4199">
        <v>-305.18610000000001</v>
      </c>
      <c r="K4199">
        <v>1.1108559999999901</v>
      </c>
      <c r="L4199">
        <v>141.33269999999999</v>
      </c>
      <c r="M4199">
        <v>-0.99982879999999996</v>
      </c>
      <c r="N4199">
        <v>-1.434761E-2</v>
      </c>
      <c r="O4199">
        <v>1.169128E-2</v>
      </c>
      <c r="P4199">
        <v>-0.92321410000000004</v>
      </c>
      <c r="Q4199">
        <v>0.37874079999999999</v>
      </c>
      <c r="R4199">
        <v>-6.5047140000000003E-2</v>
      </c>
      <c r="S4199">
        <v>-3.3639830000000002</v>
      </c>
      <c r="T4199">
        <v>-0.28348579999999901</v>
      </c>
      <c r="U4199">
        <v>-2.4169920000000001E-2</v>
      </c>
      <c r="V4199">
        <v>-7.6002260000000002E-2</v>
      </c>
      <c r="W4199">
        <v>0.39190399999999997</v>
      </c>
      <c r="X4199">
        <v>0.9168615</v>
      </c>
      <c r="Y4199">
        <v>-1.876999E-2</v>
      </c>
      <c r="Z4199">
        <v>-1.740381E-3</v>
      </c>
      <c r="AA4199">
        <v>0.99982230000000005</v>
      </c>
      <c r="AB4199">
        <v>42</v>
      </c>
      <c r="AC4199">
        <v>-12.774099999999899</v>
      </c>
      <c r="AD4199">
        <v>-1.11086269966</v>
      </c>
      <c r="AE4199">
        <v>-9.9399999999974398E-2</v>
      </c>
      <c r="AF4199">
        <v>-0.246887197488978</v>
      </c>
      <c r="AG4199">
        <v>-1.11086269966</v>
      </c>
      <c r="AH4199">
        <v>12.6762076779653</v>
      </c>
      <c r="AI4199">
        <v>95.007300696191805</v>
      </c>
      <c r="AJ4199">
        <v>91.115775835875993</v>
      </c>
      <c r="AK4199">
        <v>12.7271839116391</v>
      </c>
      <c r="AL4199">
        <v>66.926977379072298</v>
      </c>
      <c r="AM4199">
        <v>94.738638888277407</v>
      </c>
      <c r="AN4199">
        <v>1.0000000494616701</v>
      </c>
    </row>
    <row r="4200" spans="1:40" x14ac:dyDescent="0.25">
      <c r="A4200" t="str">
        <f>"20190304164454374"</f>
        <v>20190304164454374</v>
      </c>
      <c r="B4200" t="str">
        <f>"1551689094364242"</f>
        <v>1551689094364242</v>
      </c>
      <c r="C4200" t="s">
        <v>40</v>
      </c>
      <c r="D4200">
        <v>4.4362450000000004</v>
      </c>
      <c r="E4200">
        <v>0.54157730000000004</v>
      </c>
      <c r="F4200" t="s">
        <v>48</v>
      </c>
      <c r="G4200">
        <v>-318.46730000000002</v>
      </c>
      <c r="H4200" s="1">
        <v>-6.4965749999999997E-6</v>
      </c>
      <c r="I4200">
        <v>141.3159</v>
      </c>
      <c r="J4200">
        <v>-305.59609999999998</v>
      </c>
      <c r="K4200">
        <v>1.110867</v>
      </c>
      <c r="L4200">
        <v>141.3373</v>
      </c>
      <c r="M4200">
        <v>-0.99983100000000003</v>
      </c>
      <c r="N4200">
        <v>-1.434742E-2</v>
      </c>
      <c r="O4200">
        <v>1.1503350000000001E-2</v>
      </c>
      <c r="P4200">
        <v>-0.92311109999999996</v>
      </c>
      <c r="Q4200">
        <v>0.3790461</v>
      </c>
      <c r="R4200">
        <v>-6.4731239999999995E-2</v>
      </c>
      <c r="S4200">
        <v>-3.3646850000000001</v>
      </c>
      <c r="T4200">
        <v>-0.28142790000000001</v>
      </c>
      <c r="U4200">
        <v>-4.2419429999999998E-3</v>
      </c>
      <c r="V4200">
        <v>-7.5521690000000002E-2</v>
      </c>
      <c r="W4200">
        <v>0.39220630000000001</v>
      </c>
      <c r="X4200">
        <v>0.91677189999999997</v>
      </c>
      <c r="Y4200">
        <v>-1.268568E-2</v>
      </c>
      <c r="Z4200">
        <v>-1.4164469999999999E-3</v>
      </c>
      <c r="AA4200">
        <v>0.99991850000000004</v>
      </c>
      <c r="AB4200">
        <v>42</v>
      </c>
      <c r="AC4200">
        <v>-12.8712</v>
      </c>
      <c r="AD4200">
        <v>-1.110873496575</v>
      </c>
      <c r="AE4200">
        <v>-2.1399999999999801E-2</v>
      </c>
      <c r="AF4200">
        <v>-0.168222661279295</v>
      </c>
      <c r="AG4200">
        <v>-1.110873496575</v>
      </c>
      <c r="AH4200">
        <v>12.774943205631301</v>
      </c>
      <c r="AI4200">
        <v>94.969351543155597</v>
      </c>
      <c r="AJ4200">
        <v>90.754437128036997</v>
      </c>
      <c r="AK4200">
        <v>12.824254859299399</v>
      </c>
      <c r="AL4200">
        <v>66.908148626882195</v>
      </c>
      <c r="AM4200">
        <v>94.709269297583006</v>
      </c>
      <c r="AN4200">
        <v>1.00000001202487</v>
      </c>
    </row>
    <row r="4201" spans="1:40" x14ac:dyDescent="0.25">
      <c r="A4201" t="str">
        <f>"20190304164454397"</f>
        <v>20190304164454397</v>
      </c>
      <c r="B4201" t="str">
        <f>"1551689094394499"</f>
        <v>1551689094394499</v>
      </c>
      <c r="C4201" t="s">
        <v>40</v>
      </c>
      <c r="D4201">
        <v>4.4573210000000003</v>
      </c>
      <c r="E4201">
        <v>0.54257460000000002</v>
      </c>
      <c r="F4201" t="s">
        <v>41</v>
      </c>
      <c r="G4201">
        <v>-306.67950000000002</v>
      </c>
      <c r="H4201">
        <v>1.0204819999999999</v>
      </c>
      <c r="I4201">
        <v>141.33940000000001</v>
      </c>
      <c r="J4201">
        <v>-306.0206</v>
      </c>
      <c r="K4201">
        <v>1.1108830000000001</v>
      </c>
      <c r="L4201">
        <v>141.34200000000001</v>
      </c>
      <c r="M4201">
        <v>-0.99983339999999998</v>
      </c>
      <c r="N4201">
        <v>-1.4346899999999999E-2</v>
      </c>
      <c r="O4201">
        <v>1.128942E-2</v>
      </c>
      <c r="P4201">
        <v>-0.92305800000000005</v>
      </c>
      <c r="Q4201">
        <v>0.37930049999999998</v>
      </c>
      <c r="R4201">
        <v>-6.3994300000000004E-2</v>
      </c>
      <c r="S4201">
        <v>-3.3656009999999998</v>
      </c>
      <c r="T4201">
        <v>-0.28081040000000002</v>
      </c>
      <c r="U4201">
        <v>5.9967040000000003E-3</v>
      </c>
      <c r="V4201">
        <v>-7.460108E-2</v>
      </c>
      <c r="W4201">
        <v>0.39245720000000001</v>
      </c>
      <c r="X4201">
        <v>0.91673990000000005</v>
      </c>
      <c r="Y4201">
        <v>-9.4435419999999992E-3</v>
      </c>
      <c r="Z4201">
        <v>-1.2397020000000001E-3</v>
      </c>
      <c r="AA4201">
        <v>0.99995460000000003</v>
      </c>
      <c r="AB4201">
        <v>42</v>
      </c>
      <c r="AC4201">
        <v>-0.65890000000001603</v>
      </c>
      <c r="AD4201">
        <v>-9.0401000000000106E-2</v>
      </c>
      <c r="AE4201">
        <v>-2.6000000000010398E-3</v>
      </c>
      <c r="AF4201">
        <v>-9.8537167972523806E-3</v>
      </c>
      <c r="AG4201">
        <v>-9.0401000000000106E-2</v>
      </c>
      <c r="AH4201">
        <v>0.64665630208713498</v>
      </c>
      <c r="AI4201">
        <v>97.957324482297807</v>
      </c>
      <c r="AJ4201">
        <v>90.873002693961197</v>
      </c>
      <c r="AK4201">
        <v>0.65301899632761695</v>
      </c>
      <c r="AL4201">
        <v>66.892520019043701</v>
      </c>
      <c r="AM4201">
        <v>94.652278456987005</v>
      </c>
      <c r="AN4201">
        <v>1.0000000096105</v>
      </c>
    </row>
    <row r="4202" spans="1:40" x14ac:dyDescent="0.25">
      <c r="A4202" t="str">
        <f>"20190304164454419"</f>
        <v>20190304164454419</v>
      </c>
      <c r="B4202" t="str">
        <f>"1551689094414019"</f>
        <v>1551689094414019</v>
      </c>
      <c r="C4202" t="s">
        <v>40</v>
      </c>
      <c r="D4202">
        <v>4.4562759999999999</v>
      </c>
      <c r="E4202">
        <v>0.54296650000000002</v>
      </c>
      <c r="F4202" t="s">
        <v>41</v>
      </c>
      <c r="G4202">
        <v>-307.05340000000001</v>
      </c>
      <c r="H4202">
        <v>1.0246569999999999</v>
      </c>
      <c r="I4202">
        <v>141.3475</v>
      </c>
      <c r="J4202">
        <v>-306.42910000000001</v>
      </c>
      <c r="K4202">
        <v>1.110894</v>
      </c>
      <c r="L4202">
        <v>141.34649999999999</v>
      </c>
      <c r="M4202">
        <v>-0.99983610000000001</v>
      </c>
      <c r="N4202">
        <v>-1.434614E-2</v>
      </c>
      <c r="O4202">
        <v>1.10667E-2</v>
      </c>
      <c r="P4202">
        <v>-0.92312099999999997</v>
      </c>
      <c r="Q4202">
        <v>0.37928620000000002</v>
      </c>
      <c r="R4202">
        <v>-6.3168820000000001E-2</v>
      </c>
      <c r="S4202">
        <v>-3.3667910000000001</v>
      </c>
      <c r="T4202">
        <v>-0.28109440000000002</v>
      </c>
      <c r="U4202">
        <v>1.7517089999999999E-2</v>
      </c>
      <c r="V4202">
        <v>-7.3585680000000001E-2</v>
      </c>
      <c r="W4202">
        <v>0.39244079999999998</v>
      </c>
      <c r="X4202">
        <v>0.91682889999999995</v>
      </c>
      <c r="Y4202">
        <v>-5.8150519999999898E-3</v>
      </c>
      <c r="Z4202">
        <v>-1.04791E-3</v>
      </c>
      <c r="AA4202">
        <v>0.9999825</v>
      </c>
      <c r="AB4202">
        <v>42</v>
      </c>
      <c r="AC4202">
        <v>-0.62430000000000496</v>
      </c>
      <c r="AD4202">
        <v>-8.6237000000000105E-2</v>
      </c>
      <c r="AE4202">
        <v>1.0000000000047701E-3</v>
      </c>
      <c r="AF4202">
        <v>-5.79905993105043E-3</v>
      </c>
      <c r="AG4202">
        <v>-8.6237000000000105E-2</v>
      </c>
      <c r="AH4202">
        <v>0.61258415499269403</v>
      </c>
      <c r="AI4202">
        <v>98.012844722217196</v>
      </c>
      <c r="AJ4202">
        <v>90.5423772909257</v>
      </c>
      <c r="AK4202">
        <v>0.61865159517550505</v>
      </c>
      <c r="AL4202">
        <v>66.893539753051499</v>
      </c>
      <c r="AM4202">
        <v>94.588784749309596</v>
      </c>
      <c r="AN4202">
        <v>0.99999993284045297</v>
      </c>
    </row>
    <row r="4203" spans="1:40" x14ac:dyDescent="0.25">
      <c r="A4203" t="str">
        <f>"20190304164454441"</f>
        <v>20190304164454441</v>
      </c>
      <c r="B4203" t="str">
        <f>"1551689094434514"</f>
        <v>1551689094434514</v>
      </c>
      <c r="C4203" t="s">
        <v>40</v>
      </c>
      <c r="D4203">
        <v>4.4712019999999999</v>
      </c>
      <c r="E4203">
        <v>0.54319209999999996</v>
      </c>
      <c r="F4203" t="s">
        <v>41</v>
      </c>
      <c r="G4203">
        <v>-307.42630000000003</v>
      </c>
      <c r="H4203">
        <v>1.027285</v>
      </c>
      <c r="I4203">
        <v>141.3536</v>
      </c>
      <c r="J4203">
        <v>-306.84030000000001</v>
      </c>
      <c r="K4203">
        <v>1.1109169999999999</v>
      </c>
      <c r="L4203">
        <v>141.35079999999999</v>
      </c>
      <c r="M4203">
        <v>-0.99983869999999997</v>
      </c>
      <c r="N4203">
        <v>-1.4345139999999999E-2</v>
      </c>
      <c r="O4203">
        <v>1.082311E-2</v>
      </c>
      <c r="P4203">
        <v>-0.92317979999999999</v>
      </c>
      <c r="Q4203">
        <v>0.37915670000000001</v>
      </c>
      <c r="R4203">
        <v>-6.3083910000000007E-2</v>
      </c>
      <c r="S4203">
        <v>-3.3674930000000001</v>
      </c>
      <c r="T4203">
        <v>-0.28237459999999998</v>
      </c>
      <c r="U4203">
        <v>2.3590090000000001E-2</v>
      </c>
      <c r="V4203">
        <v>-7.329331E-2</v>
      </c>
      <c r="W4203">
        <v>0.39230939999999997</v>
      </c>
      <c r="X4203">
        <v>0.91690859999999996</v>
      </c>
      <c r="Y4203">
        <v>-3.7776760000000002E-3</v>
      </c>
      <c r="Z4203">
        <v>-9.3614360000000005E-4</v>
      </c>
      <c r="AA4203">
        <v>0.9999924</v>
      </c>
      <c r="AB4203">
        <v>42</v>
      </c>
      <c r="AC4203">
        <v>-0.58600000000001196</v>
      </c>
      <c r="AD4203">
        <v>-8.3631999999999901E-2</v>
      </c>
      <c r="AE4203">
        <v>2.80000000000768E-3</v>
      </c>
      <c r="AF4203">
        <v>-3.47243294287362E-3</v>
      </c>
      <c r="AG4203">
        <v>-8.3631999999999901E-2</v>
      </c>
      <c r="AH4203">
        <v>0.574298888829742</v>
      </c>
      <c r="AI4203">
        <v>98.285280296404395</v>
      </c>
      <c r="AJ4203">
        <v>90.346428195604503</v>
      </c>
      <c r="AK4203">
        <v>0.58036676586932401</v>
      </c>
      <c r="AL4203">
        <v>66.901725913840806</v>
      </c>
      <c r="AM4203">
        <v>94.570234424417805</v>
      </c>
      <c r="AN4203">
        <v>0.99999997768653703</v>
      </c>
    </row>
    <row r="4204" spans="1:40" x14ac:dyDescent="0.25">
      <c r="A4204" t="str">
        <f>"20190304164454463"</f>
        <v>20190304164454463</v>
      </c>
      <c r="B4204" t="str">
        <f>"1551689094454035"</f>
        <v>1551689094454035</v>
      </c>
      <c r="C4204" t="s">
        <v>40</v>
      </c>
      <c r="D4204">
        <v>4.4639689999999996</v>
      </c>
      <c r="E4204">
        <v>0.54328849999999995</v>
      </c>
      <c r="F4204" t="s">
        <v>41</v>
      </c>
      <c r="G4204">
        <v>-307.79939999999999</v>
      </c>
      <c r="H4204">
        <v>1.0301849999999999</v>
      </c>
      <c r="I4204">
        <v>141.35810000000001</v>
      </c>
      <c r="J4204">
        <v>-307.25369999999998</v>
      </c>
      <c r="K4204">
        <v>1.1109340000000001</v>
      </c>
      <c r="L4204">
        <v>141.35499999999999</v>
      </c>
      <c r="M4204">
        <v>-0.99984150000000005</v>
      </c>
      <c r="N4204">
        <v>-1.4343979999999999E-2</v>
      </c>
      <c r="O4204">
        <v>1.055757E-2</v>
      </c>
      <c r="P4204">
        <v>-0.92315349999999996</v>
      </c>
      <c r="Q4204">
        <v>0.37912620000000002</v>
      </c>
      <c r="R4204">
        <v>-6.3649159999999996E-2</v>
      </c>
      <c r="S4204">
        <v>-3.3677980000000001</v>
      </c>
      <c r="T4204">
        <v>-0.28349089999999999</v>
      </c>
      <c r="U4204">
        <v>2.528381E-2</v>
      </c>
      <c r="V4204">
        <v>-7.3629840000000002E-2</v>
      </c>
      <c r="W4204">
        <v>0.39227430000000002</v>
      </c>
      <c r="X4204">
        <v>0.91689670000000001</v>
      </c>
      <c r="Y4204">
        <v>-3.0133E-3</v>
      </c>
      <c r="Z4204">
        <v>-8.8413390000000004E-4</v>
      </c>
      <c r="AA4204">
        <v>0.99999510000000003</v>
      </c>
      <c r="AB4204">
        <v>42</v>
      </c>
      <c r="AC4204">
        <v>-0.54570000000000995</v>
      </c>
      <c r="AD4204">
        <v>-8.0748999999999904E-2</v>
      </c>
      <c r="AE4204">
        <v>3.1000000000176399E-3</v>
      </c>
      <c r="AF4204">
        <v>-2.60499354359725E-3</v>
      </c>
      <c r="AG4204">
        <v>-8.0748999999999904E-2</v>
      </c>
      <c r="AH4204">
        <v>0.53400996396284195</v>
      </c>
      <c r="AI4204">
        <v>98.598597066559606</v>
      </c>
      <c r="AJ4204">
        <v>90.279496567246696</v>
      </c>
      <c r="AK4204">
        <v>0.54008687134937605</v>
      </c>
      <c r="AL4204">
        <v>66.903913263274305</v>
      </c>
      <c r="AM4204">
        <v>94.591188715421495</v>
      </c>
      <c r="AN4204">
        <v>1.0000000191249001</v>
      </c>
    </row>
    <row r="4205" spans="1:40" x14ac:dyDescent="0.25">
      <c r="A4205" t="str">
        <f>"20190304164454486"</f>
        <v>20190304164454486</v>
      </c>
      <c r="B4205" t="str">
        <f>"1551689094474531"</f>
        <v>1551689094474531</v>
      </c>
      <c r="C4205" t="s">
        <v>40</v>
      </c>
      <c r="D4205">
        <v>4.507708</v>
      </c>
      <c r="E4205">
        <v>0.54293970000000003</v>
      </c>
      <c r="F4205" t="s">
        <v>41</v>
      </c>
      <c r="G4205">
        <v>-308.17349999999999</v>
      </c>
      <c r="H4205">
        <v>1.033698</v>
      </c>
      <c r="I4205">
        <v>141.3622</v>
      </c>
      <c r="J4205">
        <v>-307.6703</v>
      </c>
      <c r="K4205">
        <v>1.1109549999999999</v>
      </c>
      <c r="L4205">
        <v>141.35919999999999</v>
      </c>
      <c r="M4205">
        <v>-0.99984439999999997</v>
      </c>
      <c r="N4205">
        <v>-1.434263E-2</v>
      </c>
      <c r="O4205">
        <v>1.027136E-2</v>
      </c>
      <c r="P4205">
        <v>-0.92284500000000003</v>
      </c>
      <c r="Q4205">
        <v>0.37973119999999999</v>
      </c>
      <c r="R4205">
        <v>-6.4510680000000001E-2</v>
      </c>
      <c r="S4205">
        <v>-3.367645</v>
      </c>
      <c r="T4205">
        <v>-0.28286270000000002</v>
      </c>
      <c r="U4205">
        <v>2.4948120000000001E-2</v>
      </c>
      <c r="V4205">
        <v>-7.4240619999999993E-2</v>
      </c>
      <c r="W4205">
        <v>0.39287030000000001</v>
      </c>
      <c r="X4205">
        <v>0.91659219999999997</v>
      </c>
      <c r="Y4205">
        <v>-2.828021E-3</v>
      </c>
      <c r="Z4205">
        <v>-8.5295679999999896E-4</v>
      </c>
      <c r="AA4205">
        <v>0.99999559999999998</v>
      </c>
      <c r="AB4205">
        <v>42</v>
      </c>
      <c r="AC4205">
        <v>-0.50319999999999199</v>
      </c>
      <c r="AD4205">
        <v>-7.7256999999999895E-2</v>
      </c>
      <c r="AE4205">
        <v>3.0000000000143202E-3</v>
      </c>
      <c r="AF4205">
        <v>-2.1192844763784999E-3</v>
      </c>
      <c r="AG4205">
        <v>-7.7256999999999895E-2</v>
      </c>
      <c r="AH4205">
        <v>0.49161635213682198</v>
      </c>
      <c r="AI4205">
        <v>98.930849872035196</v>
      </c>
      <c r="AJ4205">
        <v>90.246991995676694</v>
      </c>
      <c r="AK4205">
        <v>0.497654270657861</v>
      </c>
      <c r="AL4205">
        <v>66.866783881903999</v>
      </c>
      <c r="AM4205">
        <v>94.630640204058295</v>
      </c>
      <c r="AN4205">
        <v>1.00000000169045</v>
      </c>
    </row>
    <row r="4206" spans="1:40" x14ac:dyDescent="0.25">
      <c r="A4206" t="str">
        <f>"20190304164454508"</f>
        <v>20190304164454508</v>
      </c>
      <c r="B4206" t="str">
        <f>"1551689094504787"</f>
        <v>1551689094504787</v>
      </c>
      <c r="C4206" t="s">
        <v>40</v>
      </c>
      <c r="D4206">
        <v>4.4837030000000002</v>
      </c>
      <c r="E4206">
        <v>0.54241070000000002</v>
      </c>
      <c r="F4206" t="s">
        <v>41</v>
      </c>
      <c r="G4206">
        <v>-308.54820000000001</v>
      </c>
      <c r="H4206">
        <v>1.0377799999999999</v>
      </c>
      <c r="I4206">
        <v>141.36429999999999</v>
      </c>
      <c r="J4206">
        <v>-308.0797</v>
      </c>
      <c r="K4206">
        <v>1.110976</v>
      </c>
      <c r="L4206">
        <v>141.3631</v>
      </c>
      <c r="M4206">
        <v>-0.9998475</v>
      </c>
      <c r="N4206">
        <v>-1.434115E-2</v>
      </c>
      <c r="O4206">
        <v>9.97637E-3</v>
      </c>
      <c r="P4206">
        <v>-0.92242060000000003</v>
      </c>
      <c r="Q4206">
        <v>0.38056570000000001</v>
      </c>
      <c r="R4206">
        <v>-6.5651290000000001E-2</v>
      </c>
      <c r="S4206">
        <v>-3.367645</v>
      </c>
      <c r="T4206">
        <v>-0.28073330000000002</v>
      </c>
      <c r="U4206">
        <v>1.9409180000000002E-2</v>
      </c>
      <c r="V4206">
        <v>-7.5120010000000001E-2</v>
      </c>
      <c r="W4206">
        <v>0.39369399999999999</v>
      </c>
      <c r="X4206">
        <v>0.91616699999999995</v>
      </c>
      <c r="Y4206">
        <v>-4.1734909999999997E-3</v>
      </c>
      <c r="Z4206">
        <v>-8.9095099999999996E-4</v>
      </c>
      <c r="AA4206">
        <v>0.99999090000000002</v>
      </c>
      <c r="AB4206">
        <v>42</v>
      </c>
      <c r="AC4206">
        <v>-0.46850000000000502</v>
      </c>
      <c r="AD4206">
        <v>-7.3195999999999997E-2</v>
      </c>
      <c r="AE4206">
        <v>1.1999999999829901E-3</v>
      </c>
      <c r="AF4206">
        <v>-3.3916812202431602E-3</v>
      </c>
      <c r="AG4206">
        <v>-7.3195999999999997E-2</v>
      </c>
      <c r="AH4206">
        <v>0.457325720930848</v>
      </c>
      <c r="AI4206">
        <v>99.092948694525603</v>
      </c>
      <c r="AJ4206">
        <v>90.424916963482602</v>
      </c>
      <c r="AK4206">
        <v>0.46315869088512102</v>
      </c>
      <c r="AL4206">
        <v>66.815452378661206</v>
      </c>
      <c r="AM4206">
        <v>94.687412752395204</v>
      </c>
      <c r="AN4206">
        <v>0.999999976713699</v>
      </c>
    </row>
    <row r="4207" spans="1:40" x14ac:dyDescent="0.25">
      <c r="A4207" t="str">
        <f>"20190304164454532"</f>
        <v>20190304164454532</v>
      </c>
      <c r="B4207" t="str">
        <f>"1551689094524307"</f>
        <v>1551689094524307</v>
      </c>
      <c r="C4207" t="s">
        <v>40</v>
      </c>
      <c r="D4207">
        <v>4.5165179999999996</v>
      </c>
      <c r="E4207">
        <v>0.54219319999999904</v>
      </c>
      <c r="F4207" t="s">
        <v>42</v>
      </c>
      <c r="G4207">
        <v>-321.65010000000001</v>
      </c>
      <c r="H4207" s="1">
        <v>-4.0320200000000002E-6</v>
      </c>
      <c r="I4207">
        <v>141.4066</v>
      </c>
      <c r="J4207">
        <v>-308.50080000000003</v>
      </c>
      <c r="K4207">
        <v>1.1109869999999999</v>
      </c>
      <c r="L4207">
        <v>141.36709999999999</v>
      </c>
      <c r="M4207">
        <v>-0.99985060000000003</v>
      </c>
      <c r="N4207">
        <v>-1.43395E-2</v>
      </c>
      <c r="O4207">
        <v>9.6634779999999997E-3</v>
      </c>
      <c r="P4207">
        <v>-0.92231070000000004</v>
      </c>
      <c r="Q4207">
        <v>0.38070579999999998</v>
      </c>
      <c r="R4207">
        <v>-6.6380309999999998E-2</v>
      </c>
      <c r="S4207">
        <v>-3.3667910000000001</v>
      </c>
      <c r="T4207">
        <v>-0.27563169999999998</v>
      </c>
      <c r="U4207">
        <v>1.0803220000000001E-2</v>
      </c>
      <c r="V4207">
        <v>-7.5571780000000005E-2</v>
      </c>
      <c r="W4207">
        <v>0.39382859999999997</v>
      </c>
      <c r="X4207">
        <v>0.916072</v>
      </c>
      <c r="Y4207">
        <v>-6.4086250000000003E-3</v>
      </c>
      <c r="Z4207">
        <v>-9.5933659999999997E-4</v>
      </c>
      <c r="AA4207">
        <v>0.99997899999999995</v>
      </c>
      <c r="AB4207">
        <v>41</v>
      </c>
      <c r="AC4207">
        <v>-13.149299999999901</v>
      </c>
      <c r="AD4207">
        <v>-1.11099103202</v>
      </c>
      <c r="AE4207">
        <v>3.9500000000003803E-2</v>
      </c>
      <c r="AF4207">
        <v>-8.6962081659143001E-2</v>
      </c>
      <c r="AG4207">
        <v>-1.11099103202</v>
      </c>
      <c r="AH4207">
        <v>13.0558672747336</v>
      </c>
      <c r="AI4207">
        <v>94.863768297993701</v>
      </c>
      <c r="AJ4207">
        <v>90.381628157574696</v>
      </c>
      <c r="AK4207">
        <v>13.103340557748499</v>
      </c>
      <c r="AL4207">
        <v>66.807062772107798</v>
      </c>
      <c r="AM4207">
        <v>94.715962805715705</v>
      </c>
      <c r="AN4207">
        <v>0.999999984647164</v>
      </c>
    </row>
    <row r="4208" spans="1:40" x14ac:dyDescent="0.25">
      <c r="A4208" t="str">
        <f>"20190304164454554"</f>
        <v>20190304164454554</v>
      </c>
      <c r="B4208" t="str">
        <f>"1551689094544472"</f>
        <v>1551689094544472</v>
      </c>
      <c r="C4208" t="s">
        <v>40</v>
      </c>
      <c r="D4208">
        <v>4.5014370000000001</v>
      </c>
      <c r="E4208">
        <v>0.54198290000000005</v>
      </c>
      <c r="F4208" t="s">
        <v>42</v>
      </c>
      <c r="G4208">
        <v>-322.11599999999999</v>
      </c>
      <c r="H4208" s="1">
        <v>-3.8362109999999999E-6</v>
      </c>
      <c r="I4208">
        <v>141.38910000000001</v>
      </c>
      <c r="J4208">
        <v>-308.91919999999999</v>
      </c>
      <c r="K4208">
        <v>1.111002</v>
      </c>
      <c r="L4208">
        <v>141.3708</v>
      </c>
      <c r="M4208">
        <v>-0.99985369999999996</v>
      </c>
      <c r="N4208">
        <v>-1.433774E-2</v>
      </c>
      <c r="O4208">
        <v>9.3465830000000003E-3</v>
      </c>
      <c r="P4208">
        <v>-0.92242449999999998</v>
      </c>
      <c r="Q4208">
        <v>0.38042209999999899</v>
      </c>
      <c r="R4208">
        <v>-6.6425010000000007E-2</v>
      </c>
      <c r="S4208">
        <v>-3.3664550000000002</v>
      </c>
      <c r="T4208">
        <v>-0.27470290000000003</v>
      </c>
      <c r="U4208">
        <v>5.4626459999999998E-3</v>
      </c>
      <c r="V4208">
        <v>-7.5334970000000001E-2</v>
      </c>
      <c r="W4208">
        <v>0.3935437</v>
      </c>
      <c r="X4208">
        <v>0.91621399999999997</v>
      </c>
      <c r="Y4208">
        <v>-7.6738249999999996E-3</v>
      </c>
      <c r="Z4208">
        <v>-9.9526730000000009E-4</v>
      </c>
      <c r="AA4208">
        <v>0.99997009999999997</v>
      </c>
      <c r="AB4208">
        <v>41</v>
      </c>
      <c r="AC4208">
        <v>-13.1967999999999</v>
      </c>
      <c r="AD4208">
        <v>-1.111005836211</v>
      </c>
      <c r="AE4208">
        <v>1.8300000000010599E-2</v>
      </c>
      <c r="AF4208">
        <v>-0.104319080381268</v>
      </c>
      <c r="AG4208">
        <v>-1.111005836211</v>
      </c>
      <c r="AH4208">
        <v>13.103522961466799</v>
      </c>
      <c r="AI4208">
        <v>94.846182264399005</v>
      </c>
      <c r="AJ4208">
        <v>90.456130521247701</v>
      </c>
      <c r="AK4208">
        <v>13.1509516933305</v>
      </c>
      <c r="AL4208">
        <v>66.824821900646398</v>
      </c>
      <c r="AM4208">
        <v>94.700525954197602</v>
      </c>
      <c r="AN4208">
        <v>1.0000000476552899</v>
      </c>
    </row>
    <row r="4209" spans="1:40" x14ac:dyDescent="0.25">
      <c r="A4209" t="str">
        <f>"20190304164454574"</f>
        <v>20190304164454574</v>
      </c>
      <c r="B4209" t="str">
        <f>"1551689094563994"</f>
        <v>1551689094563994</v>
      </c>
      <c r="C4209" t="s">
        <v>40</v>
      </c>
      <c r="D4209">
        <v>4.4815940000000003</v>
      </c>
      <c r="E4209">
        <v>0.541790199999999</v>
      </c>
      <c r="F4209" t="s">
        <v>42</v>
      </c>
      <c r="G4209">
        <v>-322.46469999999999</v>
      </c>
      <c r="H4209" s="1">
        <v>-3.6848580000000002E-6</v>
      </c>
      <c r="I4209">
        <v>141.38239999999999</v>
      </c>
      <c r="J4209">
        <v>-309.30369999999999</v>
      </c>
      <c r="K4209">
        <v>1.111016</v>
      </c>
      <c r="L4209">
        <v>141.3742</v>
      </c>
      <c r="M4209">
        <v>-0.99985639999999998</v>
      </c>
      <c r="N4209">
        <v>-1.433598E-2</v>
      </c>
      <c r="O4209">
        <v>9.0514970000000004E-3</v>
      </c>
      <c r="P4209">
        <v>-0.92227020000000004</v>
      </c>
      <c r="Q4209">
        <v>0.3808395</v>
      </c>
      <c r="R4209">
        <v>-6.617634E-2</v>
      </c>
      <c r="S4209">
        <v>-3.366425</v>
      </c>
      <c r="T4209">
        <v>-0.27611790000000003</v>
      </c>
      <c r="U4209">
        <v>2.89917E-3</v>
      </c>
      <c r="V4209">
        <v>-7.4819899999999995E-2</v>
      </c>
      <c r="W4209">
        <v>0.39395659999999999</v>
      </c>
      <c r="X4209">
        <v>0.91607870000000002</v>
      </c>
      <c r="Y4209">
        <v>-8.1384370000000001E-3</v>
      </c>
      <c r="Z4209">
        <v>-1.003227E-3</v>
      </c>
      <c r="AA4209">
        <v>0.99996640000000003</v>
      </c>
      <c r="AB4209">
        <v>41</v>
      </c>
      <c r="AC4209">
        <v>-13.161</v>
      </c>
      <c r="AD4209">
        <v>-1.1110196848580001</v>
      </c>
      <c r="AE4209">
        <v>8.1999999999879895E-3</v>
      </c>
      <c r="AF4209">
        <v>-0.110154319888391</v>
      </c>
      <c r="AG4209">
        <v>-1.1110196848580001</v>
      </c>
      <c r="AH4209">
        <v>13.067412356809101</v>
      </c>
      <c r="AI4209">
        <v>94.859551918251597</v>
      </c>
      <c r="AJ4209">
        <v>90.482974590817307</v>
      </c>
      <c r="AK4209">
        <v>13.1150205648797</v>
      </c>
      <c r="AL4209">
        <v>66.799084304464699</v>
      </c>
      <c r="AM4209">
        <v>94.669217169721804</v>
      </c>
      <c r="AN4209">
        <v>1.00000000235663</v>
      </c>
    </row>
    <row r="4210" spans="1:40" x14ac:dyDescent="0.25">
      <c r="A4210" t="str">
        <f>"20190304164454598"</f>
        <v>20190304164454598</v>
      </c>
      <c r="B4210" t="str">
        <f>"1551689094594248"</f>
        <v>1551689094594248</v>
      </c>
      <c r="C4210" t="s">
        <v>40</v>
      </c>
      <c r="D4210">
        <v>4.5114739999999998</v>
      </c>
      <c r="E4210">
        <v>0.54160869999999905</v>
      </c>
      <c r="F4210" t="s">
        <v>41</v>
      </c>
      <c r="G4210">
        <v>-310.38749999999999</v>
      </c>
      <c r="H4210">
        <v>1.0222519999999999</v>
      </c>
      <c r="I4210">
        <v>141.37469999999999</v>
      </c>
      <c r="J4210">
        <v>-309.73259999999999</v>
      </c>
      <c r="K4210">
        <v>1.111027</v>
      </c>
      <c r="L4210">
        <v>141.3777</v>
      </c>
      <c r="M4210">
        <v>-0.99985930000000001</v>
      </c>
      <c r="N4210">
        <v>-1.43339E-2</v>
      </c>
      <c r="O4210">
        <v>8.7207910000000003E-3</v>
      </c>
      <c r="P4210">
        <v>-0.92216100000000001</v>
      </c>
      <c r="Q4210">
        <v>0.38119239999999999</v>
      </c>
      <c r="R4210">
        <v>-6.5661010000000006E-2</v>
      </c>
      <c r="S4210">
        <v>-3.3667600000000002</v>
      </c>
      <c r="T4210">
        <v>-0.27567900000000001</v>
      </c>
      <c r="U4210">
        <v>1.480103E-3</v>
      </c>
      <c r="V4210">
        <v>-7.4005379999999996E-2</v>
      </c>
      <c r="W4210">
        <v>0.39430589999999999</v>
      </c>
      <c r="X4210">
        <v>0.91599459999999999</v>
      </c>
      <c r="Y4210">
        <v>-8.2298379999999997E-3</v>
      </c>
      <c r="Z4210">
        <v>-9.8352120000000007E-4</v>
      </c>
      <c r="AA4210">
        <v>0.99996569999999996</v>
      </c>
      <c r="AB4210">
        <v>41</v>
      </c>
      <c r="AC4210">
        <v>-0.65489999999999704</v>
      </c>
      <c r="AD4210">
        <v>-8.8775000000000007E-2</v>
      </c>
      <c r="AE4210">
        <v>-3.0000000000143202E-3</v>
      </c>
      <c r="AF4210">
        <v>-8.5545306889251698E-3</v>
      </c>
      <c r="AG4210">
        <v>-8.8775000000000007E-2</v>
      </c>
      <c r="AH4210">
        <v>0.64303332688614501</v>
      </c>
      <c r="AI4210">
        <v>97.859686912010503</v>
      </c>
      <c r="AJ4210">
        <v>90.762183811915804</v>
      </c>
      <c r="AK4210">
        <v>0.649188755375947</v>
      </c>
      <c r="AL4210">
        <v>66.777308714749907</v>
      </c>
      <c r="AM4210">
        <v>94.619029490439104</v>
      </c>
      <c r="AN4210">
        <v>1.0000000231364501</v>
      </c>
    </row>
    <row r="4211" spans="1:40" x14ac:dyDescent="0.25">
      <c r="A4211" t="str">
        <f>"20190304164454620"</f>
        <v>20190304164454620</v>
      </c>
      <c r="B4211" t="str">
        <f>"1551689094614746"</f>
        <v>1551689094614746</v>
      </c>
      <c r="C4211" t="s">
        <v>40</v>
      </c>
      <c r="D4211">
        <v>4.5211889999999997</v>
      </c>
      <c r="E4211">
        <v>0.54150880000000001</v>
      </c>
      <c r="F4211" t="s">
        <v>41</v>
      </c>
      <c r="G4211">
        <v>-310.7593</v>
      </c>
      <c r="H4211">
        <v>1.0273680000000001</v>
      </c>
      <c r="I4211">
        <v>141.37870000000001</v>
      </c>
      <c r="J4211">
        <v>-310.15350000000001</v>
      </c>
      <c r="K4211">
        <v>1.111038</v>
      </c>
      <c r="L4211">
        <v>141.3811</v>
      </c>
      <c r="M4211">
        <v>-0.99986209999999998</v>
      </c>
      <c r="N4211">
        <v>-1.4331790000000001E-2</v>
      </c>
      <c r="O4211">
        <v>8.3957089999999995E-3</v>
      </c>
      <c r="P4211">
        <v>-0.92183320000000002</v>
      </c>
      <c r="Q4211">
        <v>0.3819922</v>
      </c>
      <c r="R4211">
        <v>-6.5620319999999996E-2</v>
      </c>
      <c r="S4211">
        <v>-3.3668209999999998</v>
      </c>
      <c r="T4211">
        <v>-0.27437139999999999</v>
      </c>
      <c r="U4211">
        <v>2.8228760000000002E-3</v>
      </c>
      <c r="V4211">
        <v>-7.3667060000000006E-2</v>
      </c>
      <c r="W4211">
        <v>0.39509889999999998</v>
      </c>
      <c r="X4211">
        <v>0.9156801</v>
      </c>
      <c r="Y4211">
        <v>-7.5099669999999898E-3</v>
      </c>
      <c r="Z4211">
        <v>-9.2230179999999999E-4</v>
      </c>
      <c r="AA4211">
        <v>0.99997139999999995</v>
      </c>
      <c r="AB4211">
        <v>41</v>
      </c>
      <c r="AC4211">
        <v>-0.60579999999998702</v>
      </c>
      <c r="AD4211">
        <v>-8.3669999999999897E-2</v>
      </c>
      <c r="AE4211">
        <v>-2.3999999999944001E-3</v>
      </c>
      <c r="AF4211">
        <v>-7.3464219524562403E-3</v>
      </c>
      <c r="AG4211">
        <v>-8.3669999999999897E-2</v>
      </c>
      <c r="AH4211">
        <v>0.59441968556487701</v>
      </c>
      <c r="AI4211">
        <v>98.011661080955804</v>
      </c>
      <c r="AJ4211">
        <v>90.708081434000505</v>
      </c>
      <c r="AK4211">
        <v>0.60032441346537802</v>
      </c>
      <c r="AL4211">
        <v>66.727857928600301</v>
      </c>
      <c r="AM4211">
        <v>94.599576530294996</v>
      </c>
      <c r="AN4211">
        <v>1.00000001102313</v>
      </c>
    </row>
    <row r="4212" spans="1:40" x14ac:dyDescent="0.25">
      <c r="A4212" t="str">
        <f>"20190304164454643"</f>
        <v>20190304164454643</v>
      </c>
      <c r="B4212" t="str">
        <f>"1551689094634264"</f>
        <v>1551689094634264</v>
      </c>
      <c r="C4212" t="s">
        <v>40</v>
      </c>
      <c r="D4212">
        <v>4.4549909999999997</v>
      </c>
      <c r="E4212">
        <v>0.54141519999999899</v>
      </c>
      <c r="F4212" t="s">
        <v>41</v>
      </c>
      <c r="G4212">
        <v>-311.13200000000001</v>
      </c>
      <c r="H4212">
        <v>1.032195</v>
      </c>
      <c r="I4212">
        <v>141.3826</v>
      </c>
      <c r="J4212">
        <v>-310.5754</v>
      </c>
      <c r="K4212">
        <v>1.11104</v>
      </c>
      <c r="L4212">
        <v>141.3844</v>
      </c>
      <c r="M4212">
        <v>-0.9998648</v>
      </c>
      <c r="N4212">
        <v>-1.432959E-2</v>
      </c>
      <c r="O4212">
        <v>8.07017199999999E-3</v>
      </c>
      <c r="P4212">
        <v>-0.92160059999999999</v>
      </c>
      <c r="Q4212">
        <v>0.38258189999999997</v>
      </c>
      <c r="R4212">
        <v>-6.544751E-2</v>
      </c>
      <c r="S4212">
        <v>-3.3671570000000002</v>
      </c>
      <c r="T4212">
        <v>-0.27140649999999999</v>
      </c>
      <c r="U4212">
        <v>4.0893550000000002E-3</v>
      </c>
      <c r="V4212">
        <v>-7.3196830000000004E-2</v>
      </c>
      <c r="W4212">
        <v>0.39568310000000001</v>
      </c>
      <c r="X4212">
        <v>0.91546550000000004</v>
      </c>
      <c r="Y4212">
        <v>-6.8128219999999996E-3</v>
      </c>
      <c r="Z4212">
        <v>-8.5696809999999998E-4</v>
      </c>
      <c r="AA4212">
        <v>0.99997639999999999</v>
      </c>
      <c r="AB4212">
        <v>41</v>
      </c>
      <c r="AC4212">
        <v>-0.55660000000000298</v>
      </c>
      <c r="AD4212">
        <v>-7.8844999999999998E-2</v>
      </c>
      <c r="AE4212">
        <v>-1.8000000000029099E-3</v>
      </c>
      <c r="AF4212">
        <v>-6.1684843376309702E-3</v>
      </c>
      <c r="AG4212">
        <v>-7.8844999999999998E-2</v>
      </c>
      <c r="AH4212">
        <v>0.54561903822087798</v>
      </c>
      <c r="AI4212">
        <v>98.222122644640294</v>
      </c>
      <c r="AJ4212">
        <v>90.647728611481099</v>
      </c>
      <c r="AK4212">
        <v>0.55132088577624205</v>
      </c>
      <c r="AL4212">
        <v>66.691415601026307</v>
      </c>
      <c r="AM4212">
        <v>94.571408214144299</v>
      </c>
      <c r="AN4212">
        <v>0.99999998661895395</v>
      </c>
    </row>
    <row r="4213" spans="1:40" x14ac:dyDescent="0.25">
      <c r="A4213" t="str">
        <f>"20190304164454664"</f>
        <v>20190304164454664</v>
      </c>
      <c r="B4213" t="str">
        <f>"1551689094654830"</f>
        <v>1551689094654830</v>
      </c>
      <c r="C4213" t="s">
        <v>40</v>
      </c>
      <c r="D4213">
        <v>4.4598519999999997</v>
      </c>
      <c r="E4213">
        <v>0.54130319999999899</v>
      </c>
      <c r="F4213" t="s">
        <v>41</v>
      </c>
      <c r="G4213">
        <v>-311.50439999999998</v>
      </c>
      <c r="H4213">
        <v>1.0368250000000001</v>
      </c>
      <c r="I4213">
        <v>141.38579999999999</v>
      </c>
      <c r="J4213">
        <v>-310.96010000000001</v>
      </c>
      <c r="K4213">
        <v>1.111038</v>
      </c>
      <c r="L4213">
        <v>141.38720000000001</v>
      </c>
      <c r="M4213">
        <v>-0.99986719999999896</v>
      </c>
      <c r="N4213">
        <v>-1.432753E-2</v>
      </c>
      <c r="O4213">
        <v>7.7736180000000004E-3</v>
      </c>
      <c r="P4213">
        <v>-0.92169400000000001</v>
      </c>
      <c r="Q4213">
        <v>0.38236550000000002</v>
      </c>
      <c r="R4213">
        <v>-6.5397579999999997E-2</v>
      </c>
      <c r="S4213">
        <v>-3.3672490000000002</v>
      </c>
      <c r="T4213">
        <v>-0.26912709999999901</v>
      </c>
      <c r="U4213">
        <v>4.7760009999999898E-3</v>
      </c>
      <c r="V4213">
        <v>-7.2877300000000006E-2</v>
      </c>
      <c r="W4213">
        <v>0.39546589999999998</v>
      </c>
      <c r="X4213">
        <v>0.91558490000000003</v>
      </c>
      <c r="Y4213">
        <v>-6.3156239999999997E-3</v>
      </c>
      <c r="Z4213">
        <v>-8.063902E-4</v>
      </c>
      <c r="AA4213">
        <v>0.99997970000000003</v>
      </c>
      <c r="AB4213">
        <v>41</v>
      </c>
      <c r="AC4213">
        <v>-0.54429999999996403</v>
      </c>
      <c r="AD4213">
        <v>-7.4212999999999807E-2</v>
      </c>
      <c r="AE4213">
        <v>-1.40000000001805E-3</v>
      </c>
      <c r="AF4213">
        <v>-5.5287915721669101E-3</v>
      </c>
      <c r="AG4213">
        <v>-7.4212999999999807E-2</v>
      </c>
      <c r="AH4213">
        <v>0.53433927539016701</v>
      </c>
      <c r="AI4213">
        <v>97.906661902533898</v>
      </c>
      <c r="AJ4213">
        <v>90.592816462384903</v>
      </c>
      <c r="AK4213">
        <v>0.539496615494238</v>
      </c>
      <c r="AL4213">
        <v>66.704966869172495</v>
      </c>
      <c r="AM4213">
        <v>94.550945370535999</v>
      </c>
      <c r="AN4213">
        <v>1.0000000440130501</v>
      </c>
    </row>
    <row r="4214" spans="1:40" x14ac:dyDescent="0.25">
      <c r="A4214" t="str">
        <f>"20190304164454686"</f>
        <v>20190304164454686</v>
      </c>
      <c r="B4214" t="str">
        <f>"1551689094674352"</f>
        <v>1551689094674352</v>
      </c>
      <c r="C4214" t="s">
        <v>40</v>
      </c>
      <c r="D4214">
        <v>4.5011229999999998</v>
      </c>
      <c r="E4214">
        <v>0.54123390000000005</v>
      </c>
      <c r="F4214" t="s">
        <v>41</v>
      </c>
      <c r="G4214">
        <v>-311.8734</v>
      </c>
      <c r="H4214">
        <v>1.037668</v>
      </c>
      <c r="I4214">
        <v>141.38829999999999</v>
      </c>
      <c r="J4214">
        <v>-311.35700000000003</v>
      </c>
      <c r="K4214">
        <v>1.11104</v>
      </c>
      <c r="L4214">
        <v>141.38999999999999</v>
      </c>
      <c r="M4214">
        <v>-0.99986960000000003</v>
      </c>
      <c r="N4214">
        <v>-1.432538E-2</v>
      </c>
      <c r="O4214">
        <v>7.4677789999999999E-3</v>
      </c>
      <c r="P4214">
        <v>-0.92175130000000005</v>
      </c>
      <c r="Q4214">
        <v>0.3821388</v>
      </c>
      <c r="R4214">
        <v>-6.5912269999999995E-2</v>
      </c>
      <c r="S4214">
        <v>-3.36734</v>
      </c>
      <c r="T4214">
        <v>-0.27053270000000001</v>
      </c>
      <c r="U4214">
        <v>3.1433110000000002E-3</v>
      </c>
      <c r="V4214">
        <v>-7.3112109999999994E-2</v>
      </c>
      <c r="W4214">
        <v>0.39523809999999998</v>
      </c>
      <c r="X4214">
        <v>0.91566449999999999</v>
      </c>
      <c r="Y4214">
        <v>-6.4941859999999999E-3</v>
      </c>
      <c r="Z4214">
        <v>-7.9920809999999996E-4</v>
      </c>
      <c r="AA4214">
        <v>0.99997860000000005</v>
      </c>
      <c r="AB4214">
        <v>41</v>
      </c>
      <c r="AC4214">
        <v>-0.51639999999997599</v>
      </c>
      <c r="AD4214">
        <v>-7.3371999999999896E-2</v>
      </c>
      <c r="AE4214">
        <v>-1.6999999999995901E-3</v>
      </c>
      <c r="AF4214">
        <v>-5.4467524610804403E-3</v>
      </c>
      <c r="AG4214">
        <v>-7.3371999999999896E-2</v>
      </c>
      <c r="AH4214">
        <v>0.50615487597693898</v>
      </c>
      <c r="AI4214">
        <v>98.247648250033194</v>
      </c>
      <c r="AJ4214">
        <v>90.616538331631801</v>
      </c>
      <c r="AK4214">
        <v>0.51147421828632</v>
      </c>
      <c r="AL4214">
        <v>66.719175584733605</v>
      </c>
      <c r="AM4214">
        <v>94.565151372198898</v>
      </c>
      <c r="AN4214">
        <v>1.0000000064402501</v>
      </c>
    </row>
    <row r="4215" spans="1:40" x14ac:dyDescent="0.25">
      <c r="A4215" t="str">
        <f>"20190304164454709"</f>
        <v>20190304164454709</v>
      </c>
      <c r="B4215" t="str">
        <f>"1551689094704607"</f>
        <v>1551689094704607</v>
      </c>
      <c r="C4215" t="s">
        <v>40</v>
      </c>
      <c r="D4215">
        <v>4.4418889999999998</v>
      </c>
      <c r="E4215">
        <v>0.54106980000000005</v>
      </c>
      <c r="F4215" t="s">
        <v>41</v>
      </c>
      <c r="G4215">
        <v>-312.25130000000001</v>
      </c>
      <c r="H4215">
        <v>1.038764</v>
      </c>
      <c r="I4215">
        <v>141.39009999999999</v>
      </c>
      <c r="J4215">
        <v>-311.77699999999999</v>
      </c>
      <c r="K4215">
        <v>1.111046</v>
      </c>
      <c r="L4215">
        <v>141.39279999999999</v>
      </c>
      <c r="M4215">
        <v>-0.99987199999999998</v>
      </c>
      <c r="N4215">
        <v>-1.432312E-2</v>
      </c>
      <c r="O4215">
        <v>7.1441309999999997E-3</v>
      </c>
      <c r="P4215">
        <v>-0.92175430000000003</v>
      </c>
      <c r="Q4215">
        <v>0.38201309999999999</v>
      </c>
      <c r="R4215">
        <v>-6.6598099999999993E-2</v>
      </c>
      <c r="S4215">
        <v>-3.3675229999999998</v>
      </c>
      <c r="T4215">
        <v>-0.2721729</v>
      </c>
      <c r="U4215" s="1">
        <v>-9.1552730000000004E-5</v>
      </c>
      <c r="V4215">
        <v>-7.3500759999999998E-2</v>
      </c>
      <c r="W4215">
        <v>0.39510980000000001</v>
      </c>
      <c r="X4215">
        <v>0.91568879999999997</v>
      </c>
      <c r="Y4215">
        <v>-7.1289020000000003E-3</v>
      </c>
      <c r="Z4215">
        <v>-8.1304559999999997E-4</v>
      </c>
      <c r="AA4215">
        <v>0.99997429999999998</v>
      </c>
      <c r="AB4215">
        <v>41</v>
      </c>
      <c r="AC4215">
        <v>-0.47430000000002698</v>
      </c>
      <c r="AD4215">
        <v>-7.2281999999999902E-2</v>
      </c>
      <c r="AE4215">
        <v>-2.7000000000043599E-3</v>
      </c>
      <c r="AF4215">
        <v>-5.9505433284520104E-3</v>
      </c>
      <c r="AG4215">
        <v>-7.2281999999999902E-2</v>
      </c>
      <c r="AH4215">
        <v>0.46350410923327301</v>
      </c>
      <c r="AI4215">
        <v>98.862983633650998</v>
      </c>
      <c r="AJ4215">
        <v>90.735532398649696</v>
      </c>
      <c r="AK4215">
        <v>0.469144067175567</v>
      </c>
      <c r="AL4215">
        <v>66.7271789797487</v>
      </c>
      <c r="AM4215">
        <v>94.589194184450903</v>
      </c>
      <c r="AN4215">
        <v>1.00000004711102</v>
      </c>
    </row>
    <row r="4216" spans="1:40" x14ac:dyDescent="0.25">
      <c r="A4216" t="str">
        <f>"20190304164454732"</f>
        <v>20190304164454732</v>
      </c>
      <c r="B4216" t="str">
        <f>"1551689094724126"</f>
        <v>1551689094724126</v>
      </c>
      <c r="C4216" t="s">
        <v>40</v>
      </c>
      <c r="D4216">
        <v>4.5000830000000001</v>
      </c>
      <c r="E4216">
        <v>0.5409718</v>
      </c>
      <c r="F4216" t="s">
        <v>42</v>
      </c>
      <c r="G4216">
        <v>-325.45890000000003</v>
      </c>
      <c r="H4216" s="1">
        <v>-2.3977980000000001E-6</v>
      </c>
      <c r="I4216">
        <v>141.37289999999999</v>
      </c>
      <c r="J4216">
        <v>-312.21370000000002</v>
      </c>
      <c r="K4216">
        <v>1.111049</v>
      </c>
      <c r="L4216">
        <v>141.3956</v>
      </c>
      <c r="M4216">
        <v>-0.99987440000000005</v>
      </c>
      <c r="N4216">
        <v>-1.432074E-2</v>
      </c>
      <c r="O4216">
        <v>6.8071440000000002E-3</v>
      </c>
      <c r="P4216">
        <v>-0.92177600000000004</v>
      </c>
      <c r="Q4216">
        <v>0.38186130000000001</v>
      </c>
      <c r="R4216">
        <v>-6.7166310000000007E-2</v>
      </c>
      <c r="S4216">
        <v>-3.3676759999999999</v>
      </c>
      <c r="T4216">
        <v>-0.27347539999999998</v>
      </c>
      <c r="U4216">
        <v>-4.8980710000000004E-3</v>
      </c>
      <c r="V4216">
        <v>-7.3759749999999999E-2</v>
      </c>
      <c r="W4216">
        <v>0.39495649999999999</v>
      </c>
      <c r="X4216">
        <v>0.9157341</v>
      </c>
      <c r="Y4216">
        <v>-8.2152089999999994E-3</v>
      </c>
      <c r="Z4216">
        <v>-8.4646739999999997E-4</v>
      </c>
      <c r="AA4216">
        <v>0.99996589999999996</v>
      </c>
      <c r="AB4216">
        <v>41</v>
      </c>
      <c r="AC4216">
        <v>-13.245200000000001</v>
      </c>
      <c r="AD4216">
        <v>-1.1110513977980001</v>
      </c>
      <c r="AE4216">
        <v>-2.2700000000014601E-2</v>
      </c>
      <c r="AF4216">
        <v>-0.112082040695951</v>
      </c>
      <c r="AG4216">
        <v>-1.1110513977980001</v>
      </c>
      <c r="AH4216">
        <v>13.1521945354115</v>
      </c>
      <c r="AI4216">
        <v>94.828508077597306</v>
      </c>
      <c r="AJ4216">
        <v>90.488258626542901</v>
      </c>
      <c r="AK4216">
        <v>13.199515850579701</v>
      </c>
      <c r="AL4216">
        <v>66.736739873314505</v>
      </c>
      <c r="AM4216">
        <v>94.605068565453493</v>
      </c>
      <c r="AN4216">
        <v>1.0000000397575599</v>
      </c>
    </row>
    <row r="4217" spans="1:40" x14ac:dyDescent="0.25">
      <c r="A4217" t="str">
        <f>"20190304164454754"</f>
        <v>20190304164454754</v>
      </c>
      <c r="B4217" t="str">
        <f>"1551689094744622"</f>
        <v>1551689094744622</v>
      </c>
      <c r="C4217" t="s">
        <v>40</v>
      </c>
      <c r="D4217">
        <v>4.6520109999999999</v>
      </c>
      <c r="E4217">
        <v>0.54107879999999997</v>
      </c>
      <c r="F4217" t="s">
        <v>42</v>
      </c>
      <c r="G4217">
        <v>-325.8374</v>
      </c>
      <c r="H4217" s="1">
        <v>-2.2330410000000001E-6</v>
      </c>
      <c r="I4217">
        <v>141.364</v>
      </c>
      <c r="J4217">
        <v>-312.60820000000001</v>
      </c>
      <c r="K4217">
        <v>1.1110420000000001</v>
      </c>
      <c r="L4217">
        <v>141.3981</v>
      </c>
      <c r="M4217">
        <v>-0.99987630000000005</v>
      </c>
      <c r="N4217">
        <v>-1.4318579999999999E-2</v>
      </c>
      <c r="O4217">
        <v>6.5028830000000001E-3</v>
      </c>
      <c r="P4217">
        <v>-0.92188329999999996</v>
      </c>
      <c r="Q4217">
        <v>0.3815559</v>
      </c>
      <c r="R4217">
        <v>-6.7427639999999997E-2</v>
      </c>
      <c r="S4217">
        <v>-3.3678279999999998</v>
      </c>
      <c r="T4217">
        <v>-0.27465630000000002</v>
      </c>
      <c r="U4217">
        <v>-7.8125E-3</v>
      </c>
      <c r="V4217">
        <v>-7.374145E-2</v>
      </c>
      <c r="W4217">
        <v>0.39465109999999998</v>
      </c>
      <c r="X4217">
        <v>0.91586719999999999</v>
      </c>
      <c r="Y4217">
        <v>-8.77428699999999E-3</v>
      </c>
      <c r="Z4217">
        <v>-8.5659240000000002E-4</v>
      </c>
      <c r="AA4217">
        <v>0.99996110000000005</v>
      </c>
      <c r="AB4217">
        <v>41</v>
      </c>
      <c r="AC4217">
        <v>-13.229199999999899</v>
      </c>
      <c r="AD4217">
        <v>-1.111044233041</v>
      </c>
      <c r="AE4217">
        <v>-3.40999999999951E-2</v>
      </c>
      <c r="AF4217">
        <v>-0.11929462071333</v>
      </c>
      <c r="AG4217">
        <v>-1.111044233041</v>
      </c>
      <c r="AH4217">
        <v>13.1360459186456</v>
      </c>
      <c r="AI4217">
        <v>94.834361099556503</v>
      </c>
      <c r="AJ4217">
        <v>90.520315659195504</v>
      </c>
      <c r="AK4217">
        <v>13.183487887166701</v>
      </c>
      <c r="AL4217">
        <v>66.755784407362796</v>
      </c>
      <c r="AM4217">
        <v>94.603264748716697</v>
      </c>
      <c r="AN4217">
        <v>1.0000000101075699</v>
      </c>
    </row>
    <row r="4218" spans="1:40" x14ac:dyDescent="0.25">
      <c r="A4218" t="str">
        <f>"20190304164454775"</f>
        <v>20190304164454775</v>
      </c>
      <c r="B4218" t="str">
        <f>"1551689094764142"</f>
        <v>1551689094764142</v>
      </c>
      <c r="C4218" t="s">
        <v>40</v>
      </c>
      <c r="D4218">
        <v>4.5642809999999896</v>
      </c>
      <c r="E4218">
        <v>0.56866130000000004</v>
      </c>
      <c r="F4218" t="s">
        <v>42</v>
      </c>
      <c r="G4218">
        <v>-326.16950000000003</v>
      </c>
      <c r="H4218" s="1">
        <v>-2.0925930000000001E-6</v>
      </c>
      <c r="I4218">
        <v>141.3715</v>
      </c>
      <c r="J4218">
        <v>-312.99130000000002</v>
      </c>
      <c r="K4218">
        <v>1.1110500000000001</v>
      </c>
      <c r="L4218">
        <v>141.40029999999999</v>
      </c>
      <c r="M4218">
        <v>-0.9998783</v>
      </c>
      <c r="N4218">
        <v>-1.431645E-2</v>
      </c>
      <c r="O4218">
        <v>6.2067939999999999E-3</v>
      </c>
      <c r="P4218">
        <v>-0.92179</v>
      </c>
      <c r="Q4218">
        <v>0.38174799999999998</v>
      </c>
      <c r="R4218">
        <v>-6.7614229999999997E-2</v>
      </c>
      <c r="S4218">
        <v>-3.3679809999999999</v>
      </c>
      <c r="T4218">
        <v>-0.27593289999999998</v>
      </c>
      <c r="U4218">
        <v>-6.5765379999999998E-3</v>
      </c>
      <c r="V4218">
        <v>-7.3655460000000006E-2</v>
      </c>
      <c r="W4218">
        <v>0.39484000000000002</v>
      </c>
      <c r="X4218">
        <v>0.91579270000000002</v>
      </c>
      <c r="Y4218">
        <v>-8.1139260000000005E-3</v>
      </c>
      <c r="Z4218">
        <v>-8.0894029999999996E-4</v>
      </c>
      <c r="AA4218">
        <v>0.99996669999999999</v>
      </c>
      <c r="AB4218">
        <v>41</v>
      </c>
      <c r="AC4218">
        <v>-13.1782</v>
      </c>
      <c r="AD4218">
        <v>-1.1110520925929901</v>
      </c>
      <c r="AE4218">
        <v>-2.8799999999989698E-2</v>
      </c>
      <c r="AF4218">
        <v>-0.109821572732858</v>
      </c>
      <c r="AG4218">
        <v>-1.1110520925929901</v>
      </c>
      <c r="AH4218">
        <v>13.084759328212501</v>
      </c>
      <c r="AI4218">
        <v>94.853282587466197</v>
      </c>
      <c r="AJ4218">
        <v>90.480877386711001</v>
      </c>
      <c r="AK4218">
        <v>13.1323046038209</v>
      </c>
      <c r="AL4218">
        <v>66.744004621471902</v>
      </c>
      <c r="AM4218">
        <v>94.598292343182806</v>
      </c>
      <c r="AN4218">
        <v>1.00000001088055</v>
      </c>
    </row>
    <row r="4219" spans="1:40" x14ac:dyDescent="0.25">
      <c r="A4219" t="str">
        <f>"20190304164454798"</f>
        <v>20190304164454798</v>
      </c>
      <c r="B4219" t="str">
        <f>"1551689094794399"</f>
        <v>1551689094794399</v>
      </c>
      <c r="C4219" t="s">
        <v>40</v>
      </c>
      <c r="D4219">
        <v>4.5624419999999999</v>
      </c>
      <c r="E4219">
        <v>0.57271569999999905</v>
      </c>
      <c r="F4219" t="s">
        <v>41</v>
      </c>
      <c r="G4219">
        <v>-314.06040000000002</v>
      </c>
      <c r="H4219">
        <v>1.0122370000000001</v>
      </c>
      <c r="I4219">
        <v>141.46639999999999</v>
      </c>
      <c r="J4219">
        <v>-313.42140000000001</v>
      </c>
      <c r="K4219">
        <v>1.1110500000000001</v>
      </c>
      <c r="L4219">
        <v>141.40260000000001</v>
      </c>
      <c r="M4219">
        <v>-0.9998804</v>
      </c>
      <c r="N4219">
        <v>-1.431402E-2</v>
      </c>
      <c r="O4219">
        <v>5.87471E-3</v>
      </c>
      <c r="P4219">
        <v>-0.92166729999999997</v>
      </c>
      <c r="Q4219">
        <v>0.38196340000000001</v>
      </c>
      <c r="R4219">
        <v>-6.807096E-2</v>
      </c>
      <c r="S4219">
        <v>-3.4001160000000001</v>
      </c>
      <c r="T4219">
        <v>-0.3143513</v>
      </c>
      <c r="U4219">
        <v>0.2098236</v>
      </c>
      <c r="V4219">
        <v>-7.3805819999999994E-2</v>
      </c>
      <c r="W4219">
        <v>0.39505099999999999</v>
      </c>
      <c r="X4219">
        <v>0.91568959999999999</v>
      </c>
      <c r="Y4219">
        <v>5.5473729999999999E-2</v>
      </c>
      <c r="Z4219">
        <v>2.4973109999999999E-3</v>
      </c>
      <c r="AA4219">
        <v>0.99845700000000004</v>
      </c>
      <c r="AB4219">
        <v>41</v>
      </c>
      <c r="AC4219">
        <v>-0.63900000000001</v>
      </c>
      <c r="AD4219">
        <v>-9.8812999999999998E-2</v>
      </c>
      <c r="AE4219">
        <v>6.3799999999986298E-2</v>
      </c>
      <c r="AF4219">
        <v>5.8655807409275902E-2</v>
      </c>
      <c r="AG4219">
        <v>-9.8812999999999998E-2</v>
      </c>
      <c r="AH4219">
        <v>0.62457600712725203</v>
      </c>
      <c r="AI4219">
        <v>98.951399386509195</v>
      </c>
      <c r="AJ4219">
        <v>84.634917175704203</v>
      </c>
      <c r="AK4219">
        <v>0.63505881726880697</v>
      </c>
      <c r="AL4219">
        <v>66.7308455954512</v>
      </c>
      <c r="AM4219">
        <v>94.608155455848404</v>
      </c>
      <c r="AN4219">
        <v>1.0000000176075099</v>
      </c>
    </row>
    <row r="4220" spans="1:40" x14ac:dyDescent="0.25">
      <c r="A4220" t="str">
        <f>"20190304164454822"</f>
        <v>20190304164454822</v>
      </c>
      <c r="B4220" t="str">
        <f>"1551689094813919"</f>
        <v>1551689094813919</v>
      </c>
      <c r="C4220" t="s">
        <v>40</v>
      </c>
      <c r="D4220">
        <v>4.5433770000000004</v>
      </c>
      <c r="E4220">
        <v>0.57390479999999999</v>
      </c>
      <c r="F4220" t="s">
        <v>41</v>
      </c>
      <c r="G4220">
        <v>-314.42660000000001</v>
      </c>
      <c r="H4220">
        <v>1.0121629999999999</v>
      </c>
      <c r="I4220">
        <v>141.47309999999999</v>
      </c>
      <c r="J4220">
        <v>-313.85129999999998</v>
      </c>
      <c r="K4220">
        <v>1.111054</v>
      </c>
      <c r="L4220">
        <v>141.40479999999999</v>
      </c>
      <c r="M4220">
        <v>-0.99988220000000005</v>
      </c>
      <c r="N4220">
        <v>-1.4311569999999999E-2</v>
      </c>
      <c r="O4220">
        <v>5.5427469999999998E-3</v>
      </c>
      <c r="P4220">
        <v>-0.92164029999999997</v>
      </c>
      <c r="Q4220">
        <v>0.3819456</v>
      </c>
      <c r="R4220">
        <v>-6.8535260000000001E-2</v>
      </c>
      <c r="S4220">
        <v>-3.411743</v>
      </c>
      <c r="T4220">
        <v>-0.33570339999999999</v>
      </c>
      <c r="U4220">
        <v>0.23909</v>
      </c>
      <c r="V4220">
        <v>-7.3963689999999999E-2</v>
      </c>
      <c r="W4220">
        <v>0.39503090000000002</v>
      </c>
      <c r="X4220">
        <v>0.91568550000000004</v>
      </c>
      <c r="Y4220">
        <v>6.4042810000000006E-2</v>
      </c>
      <c r="Z4220">
        <v>3.1351930000000001E-3</v>
      </c>
      <c r="AA4220">
        <v>0.9979422</v>
      </c>
      <c r="AB4220">
        <v>41</v>
      </c>
      <c r="AC4220">
        <v>-0.57530000000002701</v>
      </c>
      <c r="AD4220">
        <v>-9.8891000000000007E-2</v>
      </c>
      <c r="AE4220">
        <v>6.8299999999993505E-2</v>
      </c>
      <c r="AF4220">
        <v>6.3266479858053296E-2</v>
      </c>
      <c r="AG4220">
        <v>-9.8891000000000007E-2</v>
      </c>
      <c r="AH4220">
        <v>0.559371311642469</v>
      </c>
      <c r="AI4220">
        <v>99.963461605152304</v>
      </c>
      <c r="AJ4220">
        <v>83.547107470935302</v>
      </c>
      <c r="AK4220">
        <v>0.57155782003507305</v>
      </c>
      <c r="AL4220">
        <v>66.732098454423706</v>
      </c>
      <c r="AM4220">
        <v>94.617990260477001</v>
      </c>
      <c r="AN4220">
        <v>0.99999998715173799</v>
      </c>
    </row>
    <row r="4221" spans="1:40" x14ac:dyDescent="0.25">
      <c r="A4221" t="str">
        <f>"20190304164454844"</f>
        <v>20190304164454844</v>
      </c>
      <c r="B4221" t="str">
        <f>"1551689094834469"</f>
        <v>1551689094834469</v>
      </c>
      <c r="C4221" t="s">
        <v>40</v>
      </c>
      <c r="D4221">
        <v>4.5232659999999996</v>
      </c>
      <c r="E4221">
        <v>0.57467679999999999</v>
      </c>
      <c r="F4221" t="s">
        <v>41</v>
      </c>
      <c r="G4221">
        <v>-314.79509999999999</v>
      </c>
      <c r="H4221">
        <v>1.0168029999999999</v>
      </c>
      <c r="I4221">
        <v>141.47299999999899</v>
      </c>
      <c r="J4221">
        <v>-314.26209999999998</v>
      </c>
      <c r="K4221">
        <v>1.1110599999999999</v>
      </c>
      <c r="L4221">
        <v>141.4068</v>
      </c>
      <c r="M4221">
        <v>-0.999884</v>
      </c>
      <c r="N4221">
        <v>-1.4309219999999999E-2</v>
      </c>
      <c r="O4221">
        <v>5.2253890000000004E-3</v>
      </c>
      <c r="P4221">
        <v>-0.92156919999999998</v>
      </c>
      <c r="Q4221">
        <v>0.38197510000000001</v>
      </c>
      <c r="R4221">
        <v>-6.9321320000000006E-2</v>
      </c>
      <c r="S4221">
        <v>-3.4147340000000002</v>
      </c>
      <c r="T4221">
        <v>-0.34105249999999998</v>
      </c>
      <c r="U4221">
        <v>0.24613950000000001</v>
      </c>
      <c r="V4221">
        <v>-7.4457029999999993E-2</v>
      </c>
      <c r="W4221">
        <v>0.3950573</v>
      </c>
      <c r="X4221">
        <v>0.91563419999999895</v>
      </c>
      <c r="Y4221">
        <v>6.6324939999999999E-2</v>
      </c>
      <c r="Z4221">
        <v>3.3308209999999999E-3</v>
      </c>
      <c r="AA4221">
        <v>0.99779249999999997</v>
      </c>
      <c r="AB4221">
        <v>41</v>
      </c>
      <c r="AC4221">
        <v>-0.53300000000001502</v>
      </c>
      <c r="AD4221">
        <v>-9.4256999999999799E-2</v>
      </c>
      <c r="AE4221">
        <v>6.6199999999980705E-2</v>
      </c>
      <c r="AF4221">
        <v>6.1519007962241697E-2</v>
      </c>
      <c r="AG4221">
        <v>-9.4256999999999799E-2</v>
      </c>
      <c r="AH4221">
        <v>0.51740361216756603</v>
      </c>
      <c r="AI4221">
        <v>100.253850409159</v>
      </c>
      <c r="AJ4221">
        <v>83.219396065242506</v>
      </c>
      <c r="AK4221">
        <v>0.529504927525422</v>
      </c>
      <c r="AL4221">
        <v>66.730453565036797</v>
      </c>
      <c r="AM4221">
        <v>94.648917145710698</v>
      </c>
      <c r="AN4221">
        <v>1.0000000539046701</v>
      </c>
    </row>
    <row r="4222" spans="1:40" x14ac:dyDescent="0.25">
      <c r="A4222" t="str">
        <f>"20190304164454865"</f>
        <v>20190304164454865</v>
      </c>
      <c r="B4222" t="str">
        <f>"1551689094854442"</f>
        <v>1551689094854442</v>
      </c>
      <c r="C4222" t="s">
        <v>40</v>
      </c>
      <c r="D4222">
        <v>4.5515220000000003</v>
      </c>
      <c r="E4222">
        <v>0.57505909999999905</v>
      </c>
      <c r="F4222" t="s">
        <v>41</v>
      </c>
      <c r="G4222">
        <v>-315.1628</v>
      </c>
      <c r="H4222">
        <v>1.020621</v>
      </c>
      <c r="I4222">
        <v>141.4727</v>
      </c>
      <c r="J4222">
        <v>-314.6429</v>
      </c>
      <c r="K4222">
        <v>1.111062</v>
      </c>
      <c r="L4222">
        <v>141.4085</v>
      </c>
      <c r="M4222">
        <v>-0.99988569999999999</v>
      </c>
      <c r="N4222">
        <v>-1.4307E-2</v>
      </c>
      <c r="O4222">
        <v>4.9313330000000004E-3</v>
      </c>
      <c r="P4222">
        <v>-0.92149729999999996</v>
      </c>
      <c r="Q4222">
        <v>0.38205450000000002</v>
      </c>
      <c r="R4222">
        <v>-6.9837850000000007E-2</v>
      </c>
      <c r="S4222">
        <v>-3.41629</v>
      </c>
      <c r="T4222">
        <v>-0.34300449999999999</v>
      </c>
      <c r="U4222">
        <v>0.25</v>
      </c>
      <c r="V4222">
        <v>-7.4702350000000001E-2</v>
      </c>
      <c r="W4222">
        <v>0.39513340000000002</v>
      </c>
      <c r="X4222">
        <v>0.91558130000000004</v>
      </c>
      <c r="Y4222">
        <v>6.7694980000000002E-2</v>
      </c>
      <c r="Z4222">
        <v>3.4487879999999999E-3</v>
      </c>
      <c r="AA4222">
        <v>0.99770009999999998</v>
      </c>
      <c r="AB4222">
        <v>41</v>
      </c>
      <c r="AC4222">
        <v>-0.51990000000000602</v>
      </c>
      <c r="AD4222">
        <v>-9.0440999999999994E-2</v>
      </c>
      <c r="AE4222">
        <v>6.4199999999999494E-2</v>
      </c>
      <c r="AF4222">
        <v>5.9851171775446799E-2</v>
      </c>
      <c r="AG4222">
        <v>-9.0440999999999994E-2</v>
      </c>
      <c r="AH4222">
        <v>0.50515318612663795</v>
      </c>
      <c r="AI4222">
        <v>100.081455447461</v>
      </c>
      <c r="AJ4222">
        <v>83.2430256566888</v>
      </c>
      <c r="AK4222">
        <v>0.51666379658128503</v>
      </c>
      <c r="AL4222">
        <v>66.7257053929591</v>
      </c>
      <c r="AM4222">
        <v>94.664435159593793</v>
      </c>
      <c r="AN4222">
        <v>0.999999980900386</v>
      </c>
    </row>
    <row r="4223" spans="1:40" x14ac:dyDescent="0.25">
      <c r="A4223" t="str">
        <f>"20190304164454887"</f>
        <v>20190304164454887</v>
      </c>
      <c r="B4223" t="str">
        <f>"1551689094873962"</f>
        <v>1551689094873962</v>
      </c>
      <c r="C4223" t="s">
        <v>40</v>
      </c>
      <c r="D4223">
        <v>4.5583320000000001</v>
      </c>
      <c r="E4223">
        <v>0.57540139999999995</v>
      </c>
      <c r="F4223" t="s">
        <v>41</v>
      </c>
      <c r="G4223">
        <v>-315.52870000000001</v>
      </c>
      <c r="H4223">
        <v>1.0213399999999999</v>
      </c>
      <c r="I4223">
        <v>141.47370000000001</v>
      </c>
      <c r="J4223">
        <v>-315.04509999999999</v>
      </c>
      <c r="K4223">
        <v>1.111057</v>
      </c>
      <c r="L4223">
        <v>141.4102</v>
      </c>
      <c r="M4223">
        <v>-0.99988719999999998</v>
      </c>
      <c r="N4223">
        <v>-1.4304620000000001E-2</v>
      </c>
      <c r="O4223">
        <v>4.6207109999999996E-3</v>
      </c>
      <c r="P4223">
        <v>-0.92143059999999999</v>
      </c>
      <c r="Q4223">
        <v>0.3821756</v>
      </c>
      <c r="R4223">
        <v>-7.0054270000000002E-2</v>
      </c>
      <c r="S4223">
        <v>-3.4181210000000002</v>
      </c>
      <c r="T4223">
        <v>-0.3462131</v>
      </c>
      <c r="U4223">
        <v>0.25088500000000002</v>
      </c>
      <c r="V4223">
        <v>-7.4632290000000004E-2</v>
      </c>
      <c r="W4223">
        <v>0.39525169999999998</v>
      </c>
      <c r="X4223">
        <v>0.91553600000000002</v>
      </c>
      <c r="Y4223">
        <v>6.8212750000000003E-2</v>
      </c>
      <c r="Z4223">
        <v>3.5308050000000001E-3</v>
      </c>
      <c r="AA4223">
        <v>0.99766460000000001</v>
      </c>
      <c r="AB4223">
        <v>41</v>
      </c>
      <c r="AC4223">
        <v>-0.48360000000002401</v>
      </c>
      <c r="AD4223">
        <v>-8.9717000000000005E-2</v>
      </c>
      <c r="AE4223">
        <v>6.3500000000004705E-2</v>
      </c>
      <c r="AF4223">
        <v>5.9259533206734299E-2</v>
      </c>
      <c r="AG4223">
        <v>-8.9717000000000005E-2</v>
      </c>
      <c r="AH4223">
        <v>0.46805222111265399</v>
      </c>
      <c r="AI4223">
        <v>100.76700948167</v>
      </c>
      <c r="AJ4223">
        <v>82.7842419788104</v>
      </c>
      <c r="AK4223">
        <v>0.48024339043173597</v>
      </c>
      <c r="AL4223">
        <v>66.718327777092099</v>
      </c>
      <c r="AM4223">
        <v>94.660309431336501</v>
      </c>
      <c r="AN4223">
        <v>1.0000000261797599</v>
      </c>
    </row>
    <row r="4224" spans="1:40" x14ac:dyDescent="0.25">
      <c r="A4224" t="str">
        <f>"20190304164454910"</f>
        <v>20190304164454910</v>
      </c>
      <c r="B4224" t="str">
        <f>"1551689094904218"</f>
        <v>1551689094904218</v>
      </c>
      <c r="C4224" t="s">
        <v>40</v>
      </c>
      <c r="D4224">
        <v>4.562964</v>
      </c>
      <c r="E4224">
        <v>0.57578219999999902</v>
      </c>
      <c r="F4224" t="s">
        <v>41</v>
      </c>
      <c r="G4224">
        <v>-315.89580000000001</v>
      </c>
      <c r="H4224">
        <v>1.0248219999999999</v>
      </c>
      <c r="I4224">
        <v>141.47309999999999</v>
      </c>
      <c r="J4224">
        <v>-315.46050000000002</v>
      </c>
      <c r="K4224">
        <v>1.1110580000000001</v>
      </c>
      <c r="L4224">
        <v>141.4119</v>
      </c>
      <c r="M4224">
        <v>-0.99988849999999996</v>
      </c>
      <c r="N4224">
        <v>-1.430215E-2</v>
      </c>
      <c r="O4224">
        <v>4.2998410000000004E-3</v>
      </c>
      <c r="P4224">
        <v>-0.92142109999999999</v>
      </c>
      <c r="Q4224">
        <v>0.38215979999999999</v>
      </c>
      <c r="R4224">
        <v>-7.0264450000000006E-2</v>
      </c>
      <c r="S4224">
        <v>-3.418793</v>
      </c>
      <c r="T4224">
        <v>-0.34665230000000002</v>
      </c>
      <c r="U4224">
        <v>0.25253300000000001</v>
      </c>
      <c r="V4224">
        <v>-7.4546479999999998E-2</v>
      </c>
      <c r="W4224">
        <v>0.39523419999999998</v>
      </c>
      <c r="X4224">
        <v>0.91555050000000004</v>
      </c>
      <c r="Y4224">
        <v>6.8990410000000002E-2</v>
      </c>
      <c r="Z4224">
        <v>3.6065289999999998E-3</v>
      </c>
      <c r="AA4224">
        <v>0.99761080000000002</v>
      </c>
      <c r="AB4224">
        <v>41</v>
      </c>
      <c r="AC4224">
        <v>-0.43529999999998298</v>
      </c>
      <c r="AD4224">
        <v>-8.6236000000000201E-2</v>
      </c>
      <c r="AE4224">
        <v>6.1199999999985197E-2</v>
      </c>
      <c r="AF4224">
        <v>5.7128877958332401E-2</v>
      </c>
      <c r="AG4224">
        <v>-8.6236000000000201E-2</v>
      </c>
      <c r="AH4224">
        <v>0.419417579650117</v>
      </c>
      <c r="AI4224">
        <v>101.515152305809</v>
      </c>
      <c r="AJ4224">
        <v>82.243474910512404</v>
      </c>
      <c r="AK4224">
        <v>0.431985488775191</v>
      </c>
      <c r="AL4224">
        <v>66.719418298545804</v>
      </c>
      <c r="AM4224">
        <v>94.6549013076189</v>
      </c>
      <c r="AN4224">
        <v>0.99999998429014003</v>
      </c>
    </row>
    <row r="4225" spans="1:40" x14ac:dyDescent="0.25">
      <c r="A4225" t="str">
        <f>"20190304164454932"</f>
        <v>20190304164454932</v>
      </c>
      <c r="B4225" t="str">
        <f>"1551689094924714"</f>
        <v>1551689094924714</v>
      </c>
      <c r="C4225" t="s">
        <v>40</v>
      </c>
      <c r="D4225">
        <v>4.5685500000000001</v>
      </c>
      <c r="E4225">
        <v>0.57603570000000004</v>
      </c>
      <c r="F4225" t="s">
        <v>41</v>
      </c>
      <c r="G4225">
        <v>-316.26310000000001</v>
      </c>
      <c r="H4225">
        <v>1.0293490000000001</v>
      </c>
      <c r="I4225">
        <v>141.4718</v>
      </c>
      <c r="J4225">
        <v>-315.8768</v>
      </c>
      <c r="K4225">
        <v>1.1110599999999999</v>
      </c>
      <c r="L4225">
        <v>141.4134</v>
      </c>
      <c r="M4225">
        <v>-0.9998899</v>
      </c>
      <c r="N4225">
        <v>-1.429966E-2</v>
      </c>
      <c r="O4225">
        <v>3.978016E-3</v>
      </c>
      <c r="P4225">
        <v>-0.92161320000000002</v>
      </c>
      <c r="Q4225">
        <v>0.38176490000000002</v>
      </c>
      <c r="R4225">
        <v>-6.9893430000000006E-2</v>
      </c>
      <c r="S4225">
        <v>-3.4196469999999999</v>
      </c>
      <c r="T4225">
        <v>-0.34820180000000001</v>
      </c>
      <c r="U4225">
        <v>0.25488280000000002</v>
      </c>
      <c r="V4225">
        <v>-7.3879009999999995E-2</v>
      </c>
      <c r="W4225">
        <v>0.39484089999999999</v>
      </c>
      <c r="X4225">
        <v>0.91577430000000004</v>
      </c>
      <c r="Y4225">
        <v>6.9964979999999996E-2</v>
      </c>
      <c r="Z4225">
        <v>3.7036489999999998E-3</v>
      </c>
      <c r="AA4225">
        <v>0.99754259999999995</v>
      </c>
      <c r="AB4225">
        <v>41</v>
      </c>
      <c r="AC4225">
        <v>-0.38630000000000497</v>
      </c>
      <c r="AD4225">
        <v>-8.1710999999999798E-2</v>
      </c>
      <c r="AE4225">
        <v>5.8400000000005899E-2</v>
      </c>
      <c r="AF4225">
        <v>5.44796304863428E-2</v>
      </c>
      <c r="AG4225">
        <v>-8.1710999999999798E-2</v>
      </c>
      <c r="AH4225">
        <v>0.37033032938132798</v>
      </c>
      <c r="AI4225">
        <v>102.31415546315</v>
      </c>
      <c r="AJ4225">
        <v>81.631192929092094</v>
      </c>
      <c r="AK4225">
        <v>0.38313087909826798</v>
      </c>
      <c r="AL4225">
        <v>66.743948386766505</v>
      </c>
      <c r="AM4225">
        <v>94.612280663324498</v>
      </c>
      <c r="AN4225">
        <v>1.00000000648594</v>
      </c>
    </row>
    <row r="4226" spans="1:40" x14ac:dyDescent="0.25">
      <c r="A4226" t="str">
        <f>"20190304164454955"</f>
        <v>20190304164454955</v>
      </c>
      <c r="B4226" t="str">
        <f>"1551689094944233"</f>
        <v>1551689094944233</v>
      </c>
      <c r="C4226" t="s">
        <v>40</v>
      </c>
      <c r="D4226">
        <v>4.5771699999999997</v>
      </c>
      <c r="E4226">
        <v>0.57616529999999999</v>
      </c>
      <c r="F4226" t="s">
        <v>41</v>
      </c>
      <c r="G4226">
        <v>-316.63010000000003</v>
      </c>
      <c r="H4226">
        <v>1.0339560000000001</v>
      </c>
      <c r="I4226">
        <v>141.47020000000001</v>
      </c>
      <c r="J4226">
        <v>-316.28539999999998</v>
      </c>
      <c r="K4226">
        <v>1.111059</v>
      </c>
      <c r="L4226">
        <v>141.41470000000001</v>
      </c>
      <c r="M4226">
        <v>-0.99989119999999998</v>
      </c>
      <c r="N4226">
        <v>-1.4297199999999999E-2</v>
      </c>
      <c r="O4226">
        <v>3.6622730000000002E-3</v>
      </c>
      <c r="P4226">
        <v>-0.92161199999999999</v>
      </c>
      <c r="Q4226">
        <v>0.38179730000000001</v>
      </c>
      <c r="R4226">
        <v>-6.9730769999999997E-2</v>
      </c>
      <c r="S4226">
        <v>-3.4197690000000001</v>
      </c>
      <c r="T4226">
        <v>-0.35010390000000002</v>
      </c>
      <c r="U4226">
        <v>0.25817869999999998</v>
      </c>
      <c r="V4226">
        <v>-7.3425099999999993E-2</v>
      </c>
      <c r="W4226">
        <v>0.3948719</v>
      </c>
      <c r="X4226">
        <v>0.91579739999999998</v>
      </c>
      <c r="Y4226">
        <v>7.1220699999999998E-2</v>
      </c>
      <c r="Z4226">
        <v>3.8211769999999998E-3</v>
      </c>
      <c r="AA4226">
        <v>0.99745329999999999</v>
      </c>
      <c r="AB4226">
        <v>41</v>
      </c>
      <c r="AC4226">
        <v>-0.34470000000004503</v>
      </c>
      <c r="AD4226">
        <v>-7.7103000000000102E-2</v>
      </c>
      <c r="AE4226">
        <v>5.5499999999994998E-2</v>
      </c>
      <c r="AF4226">
        <v>5.17150183189184E-2</v>
      </c>
      <c r="AG4226">
        <v>-7.7103000000000102E-2</v>
      </c>
      <c r="AH4226">
        <v>0.32886262961115598</v>
      </c>
      <c r="AI4226">
        <v>103.04019898358899</v>
      </c>
      <c r="AJ4226">
        <v>81.063186207737601</v>
      </c>
      <c r="AK4226">
        <v>0.34171617591722298</v>
      </c>
      <c r="AL4226">
        <v>66.742014234868293</v>
      </c>
      <c r="AM4226">
        <v>94.5839489849958</v>
      </c>
      <c r="AN4226">
        <v>0.99999997028318899</v>
      </c>
    </row>
    <row r="4227" spans="1:40" x14ac:dyDescent="0.25">
      <c r="A4227" t="str">
        <f>"20190304164454976"</f>
        <v>20190304164454976</v>
      </c>
      <c r="B4227" t="str">
        <f>"1551689094964730"</f>
        <v>1551689094964730</v>
      </c>
      <c r="C4227" t="s">
        <v>40</v>
      </c>
      <c r="D4227">
        <v>4.5792089999999996</v>
      </c>
      <c r="E4227">
        <v>0.57628159999999995</v>
      </c>
      <c r="F4227" t="s">
        <v>41</v>
      </c>
      <c r="G4227">
        <v>-317.34300000000002</v>
      </c>
      <c r="H4227">
        <v>1.0025250000000001</v>
      </c>
      <c r="I4227">
        <v>141.49510000000001</v>
      </c>
      <c r="J4227">
        <v>-316.6755</v>
      </c>
      <c r="K4227">
        <v>1.111059</v>
      </c>
      <c r="L4227">
        <v>141.41579999999999</v>
      </c>
      <c r="M4227">
        <v>-0.99989229999999996</v>
      </c>
      <c r="N4227">
        <v>-1.429486E-2</v>
      </c>
      <c r="O4227">
        <v>3.360062E-3</v>
      </c>
      <c r="P4227">
        <v>-0.92161519999999997</v>
      </c>
      <c r="Q4227">
        <v>0.38177860000000002</v>
      </c>
      <c r="R4227">
        <v>-6.9790370000000004E-2</v>
      </c>
      <c r="S4227">
        <v>-3.4202270000000001</v>
      </c>
      <c r="T4227">
        <v>-0.35106229999999999</v>
      </c>
      <c r="U4227">
        <v>0.2595673</v>
      </c>
      <c r="V4227">
        <v>-7.3206129999999994E-2</v>
      </c>
      <c r="W4227">
        <v>0.39485179999999998</v>
      </c>
      <c r="X4227">
        <v>0.91582359999999896</v>
      </c>
      <c r="Y4227">
        <v>7.1907550000000001E-2</v>
      </c>
      <c r="Z4227">
        <v>3.8961130000000001E-3</v>
      </c>
      <c r="AA4227">
        <v>0.9974037</v>
      </c>
      <c r="AB4227">
        <v>41</v>
      </c>
      <c r="AC4227">
        <v>-0.66750000000001797</v>
      </c>
      <c r="AD4227">
        <v>-0.10853399999999901</v>
      </c>
      <c r="AE4227">
        <v>7.9300000000017606E-2</v>
      </c>
      <c r="AF4227">
        <v>7.5098653936199605E-2</v>
      </c>
      <c r="AG4227">
        <v>-0.10853399999999901</v>
      </c>
      <c r="AH4227">
        <v>0.65079639625809205</v>
      </c>
      <c r="AI4227">
        <v>99.406844272289405</v>
      </c>
      <c r="AJ4227">
        <v>83.417467839045997</v>
      </c>
      <c r="AK4227">
        <v>0.66404471714000501</v>
      </c>
      <c r="AL4227">
        <v>66.743267827646307</v>
      </c>
      <c r="AM4227">
        <v>94.570206433874901</v>
      </c>
      <c r="AN4227">
        <v>0.99999997387488704</v>
      </c>
    </row>
    <row r="4228" spans="1:40" x14ac:dyDescent="0.25">
      <c r="A4228" t="str">
        <f>"20190304164454999"</f>
        <v>20190304164454999</v>
      </c>
      <c r="B4228" t="str">
        <f>"1551689094994009"</f>
        <v>1551689094994009</v>
      </c>
      <c r="C4228" t="s">
        <v>40</v>
      </c>
      <c r="D4228">
        <v>4.5893160000000002</v>
      </c>
      <c r="E4228">
        <v>0.576434</v>
      </c>
      <c r="F4228" t="s">
        <v>41</v>
      </c>
      <c r="G4228">
        <v>-317.7081</v>
      </c>
      <c r="H4228">
        <v>1.004918</v>
      </c>
      <c r="I4228">
        <v>141.495</v>
      </c>
      <c r="J4228">
        <v>-317.09910000000002</v>
      </c>
      <c r="K4228">
        <v>1.1110580000000001</v>
      </c>
      <c r="L4228">
        <v>141.417</v>
      </c>
      <c r="M4228">
        <v>-0.99989329999999998</v>
      </c>
      <c r="N4228">
        <v>-1.4292300000000001E-2</v>
      </c>
      <c r="O4228">
        <v>3.0322220000000002E-3</v>
      </c>
      <c r="P4228">
        <v>-0.9217632</v>
      </c>
      <c r="Q4228">
        <v>0.38132919999999998</v>
      </c>
      <c r="R4228">
        <v>-7.0291679999999995E-2</v>
      </c>
      <c r="S4228">
        <v>-3.4206539999999999</v>
      </c>
      <c r="T4228">
        <v>-0.351689799999999</v>
      </c>
      <c r="U4228">
        <v>0.26141360000000002</v>
      </c>
      <c r="V4228">
        <v>-7.3404949999999997E-2</v>
      </c>
      <c r="W4228">
        <v>0.39440219999999998</v>
      </c>
      <c r="X4228">
        <v>0.91600139999999997</v>
      </c>
      <c r="Y4228">
        <v>7.2752810000000001E-2</v>
      </c>
      <c r="Z4228">
        <v>3.97971E-3</v>
      </c>
      <c r="AA4228">
        <v>0.99734210000000001</v>
      </c>
      <c r="AB4228">
        <v>41</v>
      </c>
      <c r="AC4228">
        <v>-0.60899999999998</v>
      </c>
      <c r="AD4228">
        <v>-0.10614</v>
      </c>
      <c r="AE4228">
        <v>7.80000000000029E-2</v>
      </c>
      <c r="AF4228">
        <v>7.3943022624435806E-2</v>
      </c>
      <c r="AG4228">
        <v>-0.10614</v>
      </c>
      <c r="AH4228">
        <v>0.591554959412951</v>
      </c>
      <c r="AI4228">
        <v>100.095157356502</v>
      </c>
      <c r="AJ4228">
        <v>82.875112138126596</v>
      </c>
      <c r="AK4228">
        <v>0.60553326927667395</v>
      </c>
      <c r="AL4228">
        <v>66.771303322481302</v>
      </c>
      <c r="AM4228">
        <v>94.581680120723405</v>
      </c>
      <c r="AN4228">
        <v>0.99999997342565095</v>
      </c>
    </row>
    <row r="4229" spans="1:40" x14ac:dyDescent="0.25">
      <c r="A4229" t="str">
        <f>"20190304164455023"</f>
        <v>20190304164455023</v>
      </c>
      <c r="B4229" t="str">
        <f>"1551689095014505"</f>
        <v>1551689095014505</v>
      </c>
      <c r="C4229" t="s">
        <v>40</v>
      </c>
      <c r="D4229">
        <v>4.5747070000000001</v>
      </c>
      <c r="E4229">
        <v>0.57647649999999995</v>
      </c>
      <c r="F4229" t="s">
        <v>41</v>
      </c>
      <c r="G4229">
        <v>-318.07420000000002</v>
      </c>
      <c r="H4229">
        <v>1.0100279999999999</v>
      </c>
      <c r="I4229">
        <v>141.4913</v>
      </c>
      <c r="J4229">
        <v>-317.5215</v>
      </c>
      <c r="K4229">
        <v>1.1110610000000001</v>
      </c>
      <c r="L4229">
        <v>141.4179</v>
      </c>
      <c r="M4229">
        <v>-0.99989430000000001</v>
      </c>
      <c r="N4229">
        <v>-1.4289680000000001E-2</v>
      </c>
      <c r="O4229">
        <v>2.7051549999999999E-3</v>
      </c>
      <c r="P4229">
        <v>-0.92159590000000002</v>
      </c>
      <c r="Q4229">
        <v>0.38175540000000002</v>
      </c>
      <c r="R4229">
        <v>-7.0168690000000006E-2</v>
      </c>
      <c r="S4229">
        <v>-3.421173</v>
      </c>
      <c r="T4229">
        <v>-0.35445359999999998</v>
      </c>
      <c r="U4229">
        <v>0.26058959999999998</v>
      </c>
      <c r="V4229">
        <v>-7.2979989999999995E-2</v>
      </c>
      <c r="W4229">
        <v>0.39482420000000001</v>
      </c>
      <c r="X4229">
        <v>0.91585360000000005</v>
      </c>
      <c r="Y4229">
        <v>7.2820919999999997E-2</v>
      </c>
      <c r="Z4229">
        <v>4.0389170000000004E-3</v>
      </c>
      <c r="AA4229">
        <v>0.99733689999999997</v>
      </c>
      <c r="AB4229">
        <v>41</v>
      </c>
      <c r="AC4229">
        <v>-0.55270000000001496</v>
      </c>
      <c r="AD4229">
        <v>-0.101032999999999</v>
      </c>
      <c r="AE4229">
        <v>7.3399999999992305E-2</v>
      </c>
      <c r="AF4229">
        <v>6.9618424655496697E-2</v>
      </c>
      <c r="AG4229">
        <v>-0.101032999999999</v>
      </c>
      <c r="AH4229">
        <v>0.535318645406475</v>
      </c>
      <c r="AI4229">
        <v>100.60073776258901</v>
      </c>
      <c r="AJ4229">
        <v>82.590245995765798</v>
      </c>
      <c r="AK4229">
        <v>0.54919982179561599</v>
      </c>
      <c r="AL4229">
        <v>66.7449902291104</v>
      </c>
      <c r="AM4229">
        <v>94.555999591797303</v>
      </c>
      <c r="AN4229">
        <v>1.00000002223949</v>
      </c>
    </row>
    <row r="4230" spans="1:40" x14ac:dyDescent="0.25">
      <c r="A4230" t="str">
        <f>"20190304164455045"</f>
        <v>20190304164455045</v>
      </c>
      <c r="B4230" t="str">
        <f>"1551689095034026"</f>
        <v>1551689095034026</v>
      </c>
      <c r="C4230" t="s">
        <v>40</v>
      </c>
      <c r="D4230">
        <v>4.5661630000000004</v>
      </c>
      <c r="E4230">
        <v>0.57653989999999999</v>
      </c>
      <c r="F4230" t="s">
        <v>41</v>
      </c>
      <c r="G4230">
        <v>-318.44049999999999</v>
      </c>
      <c r="H4230">
        <v>1.0159069999999999</v>
      </c>
      <c r="I4230">
        <v>141.4879</v>
      </c>
      <c r="J4230">
        <v>-317.92189999999999</v>
      </c>
      <c r="K4230">
        <v>1.1110599999999999</v>
      </c>
      <c r="L4230">
        <v>141.4187</v>
      </c>
      <c r="M4230">
        <v>-0.99989519999999998</v>
      </c>
      <c r="N4230">
        <v>-1.4287289999999999E-2</v>
      </c>
      <c r="O4230">
        <v>2.3950759999999999E-3</v>
      </c>
      <c r="P4230">
        <v>-0.9217611</v>
      </c>
      <c r="Q4230">
        <v>0.38137189999999999</v>
      </c>
      <c r="R4230">
        <v>-7.0087049999999998E-2</v>
      </c>
      <c r="S4230">
        <v>-3.4217529999999998</v>
      </c>
      <c r="T4230">
        <v>-0.35433730000000002</v>
      </c>
      <c r="U4230">
        <v>0.25944519999999999</v>
      </c>
      <c r="V4230">
        <v>-7.2612140000000006E-2</v>
      </c>
      <c r="W4230">
        <v>0.39444210000000002</v>
      </c>
      <c r="X4230">
        <v>0.91604750000000001</v>
      </c>
      <c r="Y4230">
        <v>7.2785169999999996E-2</v>
      </c>
      <c r="Z4230">
        <v>4.062604E-3</v>
      </c>
      <c r="AA4230">
        <v>0.99733939999999999</v>
      </c>
      <c r="AB4230">
        <v>41</v>
      </c>
      <c r="AC4230">
        <v>-0.51859999999999196</v>
      </c>
      <c r="AD4230">
        <v>-9.5153000000000001E-2</v>
      </c>
      <c r="AE4230">
        <v>6.9199999999995002E-2</v>
      </c>
      <c r="AF4230">
        <v>6.5781778846818795E-2</v>
      </c>
      <c r="AG4230">
        <v>-9.5153000000000001E-2</v>
      </c>
      <c r="AH4230">
        <v>0.50215490511300198</v>
      </c>
      <c r="AI4230">
        <v>100.64091259660501</v>
      </c>
      <c r="AJ4230">
        <v>82.536809145316795</v>
      </c>
      <c r="AK4230">
        <v>0.51530659278365598</v>
      </c>
      <c r="AL4230">
        <v>66.768817606658899</v>
      </c>
      <c r="AM4230">
        <v>94.532175849785006</v>
      </c>
      <c r="AN4230">
        <v>1.0000000576920101</v>
      </c>
    </row>
    <row r="4231" spans="1:40" x14ac:dyDescent="0.25">
      <c r="A4231" t="str">
        <f>"20190304164455066"</f>
        <v>20190304164455066</v>
      </c>
      <c r="B4231" t="str">
        <f>"1551689095054522"</f>
        <v>1551689095054522</v>
      </c>
      <c r="C4231" t="s">
        <v>40</v>
      </c>
      <c r="D4231">
        <v>4.5552190000000001</v>
      </c>
      <c r="E4231">
        <v>0.5766019</v>
      </c>
      <c r="F4231" t="s">
        <v>41</v>
      </c>
      <c r="G4231">
        <v>-318.80509999999998</v>
      </c>
      <c r="H4231">
        <v>1.0190980000000001</v>
      </c>
      <c r="I4231">
        <v>141.48599999999999</v>
      </c>
      <c r="J4231">
        <v>-318.30020000000002</v>
      </c>
      <c r="K4231">
        <v>1.1110599999999999</v>
      </c>
      <c r="L4231">
        <v>141.4194</v>
      </c>
      <c r="M4231">
        <v>-0.99989589999999995</v>
      </c>
      <c r="N4231">
        <v>-1.4285000000000001E-2</v>
      </c>
      <c r="O4231">
        <v>2.1021019999999998E-3</v>
      </c>
      <c r="P4231">
        <v>-0.92164049999999997</v>
      </c>
      <c r="Q4231">
        <v>0.38155830000000002</v>
      </c>
      <c r="R4231">
        <v>-7.0658200000000004E-2</v>
      </c>
      <c r="S4231">
        <v>-3.4218139999999999</v>
      </c>
      <c r="T4231">
        <v>-0.35636770000000001</v>
      </c>
      <c r="U4231">
        <v>0.25991819999999999</v>
      </c>
      <c r="V4231">
        <v>-7.2912119999999997E-2</v>
      </c>
      <c r="W4231">
        <v>0.39462439999999999</v>
      </c>
      <c r="X4231">
        <v>0.91594509999999996</v>
      </c>
      <c r="Y4231">
        <v>7.3204759999999994E-2</v>
      </c>
      <c r="Z4231">
        <v>4.133421E-3</v>
      </c>
      <c r="AA4231">
        <v>0.99730839999999998</v>
      </c>
      <c r="AB4231">
        <v>41</v>
      </c>
      <c r="AC4231">
        <v>-0.50489999999996305</v>
      </c>
      <c r="AD4231">
        <v>-9.1961999999999794E-2</v>
      </c>
      <c r="AE4231">
        <v>6.6599999999993997E-2</v>
      </c>
      <c r="AF4231">
        <v>6.3468847068143902E-2</v>
      </c>
      <c r="AG4231">
        <v>-9.1961999999999794E-2</v>
      </c>
      <c r="AH4231">
        <v>0.48909097345360603</v>
      </c>
      <c r="AI4231">
        <v>100.562241527252</v>
      </c>
      <c r="AJ4231">
        <v>82.606103559514693</v>
      </c>
      <c r="AK4231">
        <v>0.50169242002043002</v>
      </c>
      <c r="AL4231">
        <v>66.757449339477702</v>
      </c>
      <c r="AM4231">
        <v>94.551327614086304</v>
      </c>
      <c r="AN4231">
        <v>1.0000000102661299</v>
      </c>
    </row>
    <row r="4232" spans="1:40" x14ac:dyDescent="0.25">
      <c r="A4232" t="str">
        <f>"20190304164455089"</f>
        <v>20190304164455089</v>
      </c>
      <c r="B4232" t="str">
        <f>"1551689095084778"</f>
        <v>1551689095084778</v>
      </c>
      <c r="C4232" t="s">
        <v>40</v>
      </c>
      <c r="D4232">
        <v>4.5606549999999997</v>
      </c>
      <c r="E4232">
        <v>0.57671399999999995</v>
      </c>
      <c r="F4232" t="s">
        <v>41</v>
      </c>
      <c r="G4232">
        <v>-319.16879999999998</v>
      </c>
      <c r="H4232">
        <v>1.0208660000000001</v>
      </c>
      <c r="I4232">
        <v>141.48560000000001</v>
      </c>
      <c r="J4232">
        <v>-318.71640000000002</v>
      </c>
      <c r="K4232">
        <v>1.1110660000000001</v>
      </c>
      <c r="L4232">
        <v>141.41990000000001</v>
      </c>
      <c r="M4232">
        <v>-0.99989649999999997</v>
      </c>
      <c r="N4232">
        <v>-1.428255E-2</v>
      </c>
      <c r="O4232">
        <v>1.7834039999999999E-3</v>
      </c>
      <c r="P4232">
        <v>-0.92147900000000005</v>
      </c>
      <c r="Q4232">
        <v>0.38186589999999998</v>
      </c>
      <c r="R4232">
        <v>-7.1099860000000001E-2</v>
      </c>
      <c r="S4232">
        <v>-3.4221189999999999</v>
      </c>
      <c r="T4232">
        <v>-0.35546739999999999</v>
      </c>
      <c r="U4232">
        <v>0.25996399999999997</v>
      </c>
      <c r="V4232">
        <v>-7.3058529999999997E-2</v>
      </c>
      <c r="W4232">
        <v>0.394928</v>
      </c>
      <c r="X4232">
        <v>0.91580249999999996</v>
      </c>
      <c r="Y4232">
        <v>7.3528079999999996E-2</v>
      </c>
      <c r="Z4232">
        <v>4.1714839999999996E-3</v>
      </c>
      <c r="AA4232">
        <v>0.99728439999999996</v>
      </c>
      <c r="AB4232">
        <v>41</v>
      </c>
      <c r="AC4232">
        <v>-0.45239999999995401</v>
      </c>
      <c r="AD4232">
        <v>-9.0199999999999794E-2</v>
      </c>
      <c r="AE4232">
        <v>6.5699999999992501E-2</v>
      </c>
      <c r="AF4232">
        <v>6.24612759274445E-2</v>
      </c>
      <c r="AG4232">
        <v>-9.0199999999999794E-2</v>
      </c>
      <c r="AH4232">
        <v>0.43555938281907902</v>
      </c>
      <c r="AI4232">
        <v>101.584736531677</v>
      </c>
      <c r="AJ4232">
        <v>81.839153031855204</v>
      </c>
      <c r="AK4232">
        <v>0.44916525572691102</v>
      </c>
      <c r="AL4232">
        <v>66.7385149999551</v>
      </c>
      <c r="AM4232">
        <v>94.561135431438601</v>
      </c>
      <c r="AN4232">
        <v>0.99999994649800406</v>
      </c>
    </row>
    <row r="4233" spans="1:40" x14ac:dyDescent="0.25">
      <c r="A4233" t="str">
        <f>"20190304164455113"</f>
        <v>20190304164455113</v>
      </c>
      <c r="B4233" t="str">
        <f>"1551689095104298"</f>
        <v>1551689095104298</v>
      </c>
      <c r="C4233" t="s">
        <v>40</v>
      </c>
      <c r="D4233">
        <v>4.5513779999999997</v>
      </c>
      <c r="E4233">
        <v>0.57679959999999997</v>
      </c>
      <c r="F4233" t="s">
        <v>41</v>
      </c>
      <c r="G4233">
        <v>-319.53410000000002</v>
      </c>
      <c r="H4233">
        <v>1.0265770000000001</v>
      </c>
      <c r="I4233">
        <v>141.48220000000001</v>
      </c>
      <c r="J4233">
        <v>-319.15440000000001</v>
      </c>
      <c r="K4233">
        <v>1.1110629999999999</v>
      </c>
      <c r="L4233">
        <v>141.4204</v>
      </c>
      <c r="M4233">
        <v>-0.99989709999999998</v>
      </c>
      <c r="N4233">
        <v>-1.427989E-2</v>
      </c>
      <c r="O4233">
        <v>1.4560700000000001E-3</v>
      </c>
      <c r="P4233">
        <v>-0.92131779999999996</v>
      </c>
      <c r="Q4233">
        <v>0.38221149999999998</v>
      </c>
      <c r="R4233">
        <v>-7.1333199999999999E-2</v>
      </c>
      <c r="S4233">
        <v>-3.4222410000000001</v>
      </c>
      <c r="T4233">
        <v>-0.35360160000000002</v>
      </c>
      <c r="U4233">
        <v>0.26058959999999998</v>
      </c>
      <c r="V4233">
        <v>-7.2984830000000001E-2</v>
      </c>
      <c r="W4233">
        <v>0.39527060000000003</v>
      </c>
      <c r="X4233">
        <v>0.91566060000000005</v>
      </c>
      <c r="Y4233">
        <v>7.4033150000000006E-2</v>
      </c>
      <c r="Z4233">
        <v>4.2109560000000001E-3</v>
      </c>
      <c r="AA4233">
        <v>0.99724690000000005</v>
      </c>
      <c r="AB4233">
        <v>41</v>
      </c>
      <c r="AC4233">
        <v>-0.37970000000001303</v>
      </c>
      <c r="AD4233">
        <v>-8.4485999999999797E-2</v>
      </c>
      <c r="AE4233">
        <v>6.1800000000005101E-2</v>
      </c>
      <c r="AF4233">
        <v>5.8428879927322097E-2</v>
      </c>
      <c r="AG4233">
        <v>-8.4485999999999797E-2</v>
      </c>
      <c r="AH4233">
        <v>0.36231452010621701</v>
      </c>
      <c r="AI4233">
        <v>102.964184279989</v>
      </c>
      <c r="AJ4233">
        <v>80.839031778516599</v>
      </c>
      <c r="AK4233">
        <v>0.37659478180845801</v>
      </c>
      <c r="AL4233">
        <v>66.7171478366309</v>
      </c>
      <c r="AM4233">
        <v>94.557256788901498</v>
      </c>
      <c r="AN4233">
        <v>0.99999998351342401</v>
      </c>
    </row>
    <row r="4234" spans="1:40" x14ac:dyDescent="0.25">
      <c r="A4234" t="str">
        <f>"20190304164455133"</f>
        <v>20190304164455133</v>
      </c>
      <c r="B4234" t="str">
        <f>"1551689095124794"</f>
        <v>1551689095124794</v>
      </c>
      <c r="C4234" t="s">
        <v>40</v>
      </c>
      <c r="D4234">
        <v>4.5413269999999999</v>
      </c>
      <c r="E4234">
        <v>0.57685240000000004</v>
      </c>
      <c r="F4234" t="s">
        <v>41</v>
      </c>
      <c r="G4234">
        <v>-319.90030000000002</v>
      </c>
      <c r="H4234">
        <v>1.0344340000000001</v>
      </c>
      <c r="I4234">
        <v>141.47749999999999</v>
      </c>
      <c r="J4234">
        <v>-319.52690000000001</v>
      </c>
      <c r="K4234">
        <v>1.111054</v>
      </c>
      <c r="L4234">
        <v>141.42070000000001</v>
      </c>
      <c r="M4234">
        <v>-0.99989740000000005</v>
      </c>
      <c r="N4234">
        <v>-1.4277629999999999E-2</v>
      </c>
      <c r="O4234">
        <v>1.188681E-3</v>
      </c>
      <c r="P4234">
        <v>-0.92134919999999998</v>
      </c>
      <c r="Q4234">
        <v>0.38205289999999997</v>
      </c>
      <c r="R4234">
        <v>-7.1775179999999994E-2</v>
      </c>
      <c r="S4234">
        <v>-3.4223020000000002</v>
      </c>
      <c r="T4234">
        <v>-0.3517169</v>
      </c>
      <c r="U4234">
        <v>0.26063540000000002</v>
      </c>
      <c r="V4234">
        <v>-7.3173219999999997E-2</v>
      </c>
      <c r="W4234">
        <v>0.39511160000000001</v>
      </c>
      <c r="X4234">
        <v>0.91571420000000003</v>
      </c>
      <c r="Y4234">
        <v>7.4313420000000005E-2</v>
      </c>
      <c r="Z4234">
        <v>4.2313029999999996E-3</v>
      </c>
      <c r="AA4234">
        <v>0.9972259</v>
      </c>
      <c r="AB4234">
        <v>41</v>
      </c>
      <c r="AC4234">
        <v>-0.37340000000000301</v>
      </c>
      <c r="AD4234">
        <v>-7.6619999999999897E-2</v>
      </c>
      <c r="AE4234">
        <v>5.6799999999981303E-2</v>
      </c>
      <c r="AF4234">
        <v>5.41285132614042E-2</v>
      </c>
      <c r="AG4234">
        <v>-7.6619999999999897E-2</v>
      </c>
      <c r="AH4234">
        <v>0.35870547248432699</v>
      </c>
      <c r="AI4234">
        <v>101.926176788511</v>
      </c>
      <c r="AJ4234">
        <v>81.418831828027393</v>
      </c>
      <c r="AK4234">
        <v>0.370769654014584</v>
      </c>
      <c r="AL4234">
        <v>66.727065461165907</v>
      </c>
      <c r="AM4234">
        <v>94.568704029788904</v>
      </c>
      <c r="AN4234">
        <v>0.99999999633068404</v>
      </c>
    </row>
    <row r="4235" spans="1:40" x14ac:dyDescent="0.25">
      <c r="A4235" t="str">
        <f>"20190304164455156"</f>
        <v>20190304164455156</v>
      </c>
      <c r="B4235" t="str">
        <f>"1551689095144314"</f>
        <v>1551689095144314</v>
      </c>
      <c r="C4235" t="s">
        <v>40</v>
      </c>
      <c r="D4235">
        <v>4.5329280000000001</v>
      </c>
      <c r="E4235">
        <v>0.57690600000000003</v>
      </c>
      <c r="F4235" t="s">
        <v>41</v>
      </c>
      <c r="G4235">
        <v>-320.2627</v>
      </c>
      <c r="H4235">
        <v>1.035285</v>
      </c>
      <c r="I4235">
        <v>141.47659999999999</v>
      </c>
      <c r="J4235">
        <v>-319.91520000000003</v>
      </c>
      <c r="K4235">
        <v>1.1110340000000001</v>
      </c>
      <c r="L4235">
        <v>141.42089999999999</v>
      </c>
      <c r="M4235">
        <v>-0.99989779999999995</v>
      </c>
      <c r="N4235">
        <v>-1.42752E-2</v>
      </c>
      <c r="O4235">
        <v>9.2494449999999998E-4</v>
      </c>
      <c r="P4235">
        <v>-0.92148300000000005</v>
      </c>
      <c r="Q4235">
        <v>0.38168000000000002</v>
      </c>
      <c r="R4235">
        <v>-7.2038749999999999E-2</v>
      </c>
      <c r="S4235">
        <v>-3.4224549999999998</v>
      </c>
      <c r="T4235">
        <v>-0.35251559999999998</v>
      </c>
      <c r="U4235">
        <v>0.25886540000000002</v>
      </c>
      <c r="V4235">
        <v>-7.3181990000000002E-2</v>
      </c>
      <c r="W4235">
        <v>0.39474090000000001</v>
      </c>
      <c r="X4235">
        <v>0.9158733</v>
      </c>
      <c r="Y4235">
        <v>7.4058940000000004E-2</v>
      </c>
      <c r="Z4235">
        <v>4.2478569999999998E-3</v>
      </c>
      <c r="AA4235">
        <v>0.99724480000000004</v>
      </c>
      <c r="AB4235">
        <v>41</v>
      </c>
      <c r="AC4235">
        <v>-0.347499999999968</v>
      </c>
      <c r="AD4235">
        <v>-7.5748999999999997E-2</v>
      </c>
      <c r="AE4235">
        <v>5.5700000000001602E-2</v>
      </c>
      <c r="AF4235">
        <v>5.2926632797577602E-2</v>
      </c>
      <c r="AG4235">
        <v>-7.5748999999999997E-2</v>
      </c>
      <c r="AH4235">
        <v>0.33216348710437998</v>
      </c>
      <c r="AI4235">
        <v>102.691638097975</v>
      </c>
      <c r="AJ4235">
        <v>80.9466481816917</v>
      </c>
      <c r="AK4235">
        <v>0.34477778586450603</v>
      </c>
      <c r="AL4235">
        <v>66.750182925320104</v>
      </c>
      <c r="AM4235">
        <v>94.568458899982502</v>
      </c>
      <c r="AN4235">
        <v>0.99999994172302797</v>
      </c>
    </row>
    <row r="4236" spans="1:40" x14ac:dyDescent="0.25">
      <c r="A4236" t="str">
        <f>"20190304164455177"</f>
        <v>20190304164455177</v>
      </c>
      <c r="B4236" t="str">
        <f>"1551689095174570"</f>
        <v>1551689095174570</v>
      </c>
      <c r="C4236" t="s">
        <v>40</v>
      </c>
      <c r="D4236">
        <v>4.5080559999999998</v>
      </c>
      <c r="E4236">
        <v>0.57698939999999999</v>
      </c>
      <c r="F4236" t="s">
        <v>41</v>
      </c>
      <c r="G4236">
        <v>-320.96929999999998</v>
      </c>
      <c r="H4236">
        <v>1.0020230000000001</v>
      </c>
      <c r="I4236">
        <v>141.50040000000001</v>
      </c>
      <c r="J4236">
        <v>-320.32060000000001</v>
      </c>
      <c r="K4236">
        <v>1.111016</v>
      </c>
      <c r="L4236">
        <v>141.4211</v>
      </c>
      <c r="M4236">
        <v>-0.99989810000000001</v>
      </c>
      <c r="N4236">
        <v>-1.427281E-2</v>
      </c>
      <c r="O4236">
        <v>6.6776869999999905E-4</v>
      </c>
      <c r="P4236">
        <v>-0.92166780000000004</v>
      </c>
      <c r="Q4236">
        <v>0.3812663</v>
      </c>
      <c r="R4236">
        <v>-7.1863220000000005E-2</v>
      </c>
      <c r="S4236">
        <v>-3.4223629999999998</v>
      </c>
      <c r="T4236">
        <v>-0.35391020000000001</v>
      </c>
      <c r="U4236">
        <v>0.2578278</v>
      </c>
      <c r="V4236">
        <v>-7.2754390000000002E-2</v>
      </c>
      <c r="W4236">
        <v>0.39433079999999998</v>
      </c>
      <c r="X4236">
        <v>0.91608409999999996</v>
      </c>
      <c r="Y4236">
        <v>7.401278E-2</v>
      </c>
      <c r="Z4236">
        <v>4.2826089999999997E-3</v>
      </c>
      <c r="AA4236">
        <v>0.99724809999999997</v>
      </c>
      <c r="AB4236">
        <v>40</v>
      </c>
      <c r="AC4236">
        <v>-0.64869999999996197</v>
      </c>
      <c r="AD4236">
        <v>-0.10899300000000001</v>
      </c>
      <c r="AE4236">
        <v>7.9300000000017606E-2</v>
      </c>
      <c r="AF4236">
        <v>7.6732499277908095E-2</v>
      </c>
      <c r="AG4236">
        <v>-0.10899300000000001</v>
      </c>
      <c r="AH4236">
        <v>0.63119655185065904</v>
      </c>
      <c r="AI4236">
        <v>99.726813140249106</v>
      </c>
      <c r="AJ4236">
        <v>83.068750470109606</v>
      </c>
      <c r="AK4236">
        <v>0.64511738277820097</v>
      </c>
      <c r="AL4236">
        <v>66.775756421528698</v>
      </c>
      <c r="AM4236">
        <v>94.5408367930184</v>
      </c>
      <c r="AN4236">
        <v>1.0000000296828599</v>
      </c>
    </row>
    <row r="4237" spans="1:40" x14ac:dyDescent="0.25">
      <c r="A4237" t="str">
        <f>"20190304164455200"</f>
        <v>20190304164455200</v>
      </c>
      <c r="B4237" t="str">
        <f>"1551689095194089"</f>
        <v>1551689095194089</v>
      </c>
      <c r="C4237" t="s">
        <v>40</v>
      </c>
      <c r="D4237">
        <v>4.4935199999999904</v>
      </c>
      <c r="E4237">
        <v>0.57753779999999999</v>
      </c>
      <c r="F4237" t="s">
        <v>41</v>
      </c>
      <c r="G4237">
        <v>-321.33210000000003</v>
      </c>
      <c r="H4237">
        <v>1.0053700000000001</v>
      </c>
      <c r="I4237">
        <v>141.49770000000001</v>
      </c>
      <c r="J4237">
        <v>-320.74329999999998</v>
      </c>
      <c r="K4237">
        <v>1.1109979999999999</v>
      </c>
      <c r="L4237">
        <v>141.4211</v>
      </c>
      <c r="M4237">
        <v>-0.99989830000000002</v>
      </c>
      <c r="N4237">
        <v>-1.4270140000000001E-2</v>
      </c>
      <c r="O4237">
        <v>4.1800490000000001E-4</v>
      </c>
      <c r="P4237">
        <v>-0.92176530000000001</v>
      </c>
      <c r="Q4237">
        <v>0.38104700000000002</v>
      </c>
      <c r="R4237">
        <v>-7.1780170000000004E-2</v>
      </c>
      <c r="S4237">
        <v>-3.4230960000000001</v>
      </c>
      <c r="T4237">
        <v>-0.35753040000000003</v>
      </c>
      <c r="U4237">
        <v>0.25895689999999999</v>
      </c>
      <c r="V4237">
        <v>-7.2424489999999994E-2</v>
      </c>
      <c r="W4237">
        <v>0.39411390000000002</v>
      </c>
      <c r="X4237">
        <v>0.91620360000000001</v>
      </c>
      <c r="Y4237">
        <v>7.456024E-2</v>
      </c>
      <c r="Z4237">
        <v>4.374597E-3</v>
      </c>
      <c r="AA4237">
        <v>0.99720690000000001</v>
      </c>
      <c r="AB4237">
        <v>40</v>
      </c>
      <c r="AC4237">
        <v>-0.58880000000004795</v>
      </c>
      <c r="AD4237">
        <v>-0.105627999999999</v>
      </c>
      <c r="AE4237">
        <v>7.6600000000013296E-2</v>
      </c>
      <c r="AF4237">
        <v>7.4011595824351406E-2</v>
      </c>
      <c r="AG4237">
        <v>-0.105627999999999</v>
      </c>
      <c r="AH4237">
        <v>0.57076880276782205</v>
      </c>
      <c r="AI4237">
        <v>100.399546962682</v>
      </c>
      <c r="AJ4237">
        <v>82.611681524070406</v>
      </c>
      <c r="AK4237">
        <v>0.585159821684196</v>
      </c>
      <c r="AL4237">
        <v>66.789279617383102</v>
      </c>
      <c r="AM4237">
        <v>94.519745052379307</v>
      </c>
      <c r="AN4237">
        <v>1.00000005478896</v>
      </c>
    </row>
    <row r="4238" spans="1:40" x14ac:dyDescent="0.25">
      <c r="A4238" t="str">
        <f>"20190304164455224"</f>
        <v>20190304164455224</v>
      </c>
      <c r="B4238" t="str">
        <f>"1551689095214585"</f>
        <v>1551689095214585</v>
      </c>
      <c r="C4238" t="s">
        <v>40</v>
      </c>
      <c r="D4238">
        <v>4.5006959999999996</v>
      </c>
      <c r="E4238">
        <v>0.57811099999999904</v>
      </c>
      <c r="F4238" t="s">
        <v>41</v>
      </c>
      <c r="G4238">
        <v>-321.69049999999999</v>
      </c>
      <c r="H4238">
        <v>1.0003059999999999</v>
      </c>
      <c r="I4238">
        <v>141.49279999999999</v>
      </c>
      <c r="J4238">
        <v>-321.16230000000002</v>
      </c>
      <c r="K4238">
        <v>1.110986</v>
      </c>
      <c r="L4238">
        <v>141.4211</v>
      </c>
      <c r="M4238">
        <v>-0.99989819999999996</v>
      </c>
      <c r="N4238">
        <v>-1.426737E-2</v>
      </c>
      <c r="O4238">
        <v>1.909581E-4</v>
      </c>
      <c r="P4238">
        <v>-0.92154060000000004</v>
      </c>
      <c r="Q4238">
        <v>0.38166499999999998</v>
      </c>
      <c r="R4238">
        <v>-7.1377919999999997E-2</v>
      </c>
      <c r="S4238">
        <v>-3.4411320000000001</v>
      </c>
      <c r="T4238">
        <v>-0.40217639999999999</v>
      </c>
      <c r="U4238">
        <v>0.25964359999999997</v>
      </c>
      <c r="V4238">
        <v>-7.1796990000000005E-2</v>
      </c>
      <c r="W4238">
        <v>0.39472960000000001</v>
      </c>
      <c r="X4238">
        <v>0.91598780000000002</v>
      </c>
      <c r="Y4238">
        <v>7.4483270000000004E-2</v>
      </c>
      <c r="Z4238">
        <v>4.8463330000000004E-3</v>
      </c>
      <c r="AA4238">
        <v>0.9972105</v>
      </c>
      <c r="AB4238">
        <v>40</v>
      </c>
      <c r="AC4238">
        <v>-0.52819999999996903</v>
      </c>
      <c r="AD4238">
        <v>-0.11068</v>
      </c>
      <c r="AE4238">
        <v>7.16999999999927E-2</v>
      </c>
      <c r="AF4238">
        <v>6.8639830828196302E-2</v>
      </c>
      <c r="AG4238">
        <v>-0.11068</v>
      </c>
      <c r="AH4238">
        <v>0.50638186150043796</v>
      </c>
      <c r="AI4238">
        <v>102.22090029257301</v>
      </c>
      <c r="AJ4238">
        <v>82.280631459694803</v>
      </c>
      <c r="AK4238">
        <v>0.52286143330023105</v>
      </c>
      <c r="AL4238">
        <v>66.750887973934695</v>
      </c>
      <c r="AM4238">
        <v>94.481796585127796</v>
      </c>
      <c r="AN4238">
        <v>0.99999995731902902</v>
      </c>
    </row>
    <row r="4239" spans="1:40" x14ac:dyDescent="0.25">
      <c r="A4239" t="str">
        <f>"20190304164455245"</f>
        <v>20190304164455245</v>
      </c>
      <c r="B4239" t="str">
        <f>"1551689095234105"</f>
        <v>1551689095234105</v>
      </c>
      <c r="C4239" t="s">
        <v>40</v>
      </c>
      <c r="D4239">
        <v>4.5415140000000003</v>
      </c>
      <c r="E4239">
        <v>0.57831279999999996</v>
      </c>
      <c r="F4239" t="s">
        <v>41</v>
      </c>
      <c r="G4239">
        <v>-322.05520000000001</v>
      </c>
      <c r="H4239">
        <v>1.0087680000000001</v>
      </c>
      <c r="I4239">
        <v>141.49039999999999</v>
      </c>
      <c r="J4239">
        <v>-321.54719999999998</v>
      </c>
      <c r="K4239">
        <v>1.1109709999999999</v>
      </c>
      <c r="L4239">
        <v>141.42099999999999</v>
      </c>
      <c r="M4239">
        <v>-0.99989830000000002</v>
      </c>
      <c r="N4239">
        <v>-1.426492E-2</v>
      </c>
      <c r="O4239" s="1">
        <v>3.1197270000000001E-6</v>
      </c>
      <c r="P4239">
        <v>-0.92144599999999999</v>
      </c>
      <c r="Q4239">
        <v>0.38201869999999999</v>
      </c>
      <c r="R4239">
        <v>-7.0703459999999996E-2</v>
      </c>
      <c r="S4239">
        <v>-3.4391479999999999</v>
      </c>
      <c r="T4239">
        <v>-0.39371529999999999</v>
      </c>
      <c r="U4239">
        <v>0.2667542</v>
      </c>
      <c r="V4239">
        <v>-7.0933499999999997E-2</v>
      </c>
      <c r="W4239">
        <v>0.39508349999999998</v>
      </c>
      <c r="X4239">
        <v>0.91590260000000001</v>
      </c>
      <c r="Y4239">
        <v>7.67674E-2</v>
      </c>
      <c r="Z4239">
        <v>4.9234489999999999E-3</v>
      </c>
      <c r="AA4239">
        <v>0.9970369</v>
      </c>
      <c r="AB4239">
        <v>40</v>
      </c>
      <c r="AC4239">
        <v>-0.50800000000003798</v>
      </c>
      <c r="AD4239">
        <v>-0.102202999999999</v>
      </c>
      <c r="AE4239">
        <v>6.9400000000001599E-2</v>
      </c>
      <c r="AF4239">
        <v>6.6746276573553198E-2</v>
      </c>
      <c r="AG4239">
        <v>-0.102202999999999</v>
      </c>
      <c r="AH4239">
        <v>0.48858641718926499</v>
      </c>
      <c r="AI4239">
        <v>101.70911643743101</v>
      </c>
      <c r="AJ4239">
        <v>82.220920568364804</v>
      </c>
      <c r="AK4239">
        <v>0.50360421533906596</v>
      </c>
      <c r="AL4239">
        <v>66.728819463363493</v>
      </c>
      <c r="AM4239">
        <v>94.428520745834803</v>
      </c>
      <c r="AN4239">
        <v>1.0000000530406199</v>
      </c>
    </row>
    <row r="4240" spans="1:40" x14ac:dyDescent="0.25">
      <c r="A4240" t="str">
        <f>"20190304164455270"</f>
        <v>20190304164455270</v>
      </c>
      <c r="B4240" t="str">
        <f>"1551689095264362"</f>
        <v>1551689095264362</v>
      </c>
      <c r="C4240" t="s">
        <v>40</v>
      </c>
      <c r="D4240">
        <v>4.6701990000000002</v>
      </c>
      <c r="E4240">
        <v>0.5786905</v>
      </c>
      <c r="F4240" t="s">
        <v>41</v>
      </c>
      <c r="G4240">
        <v>-322.41789999999997</v>
      </c>
      <c r="H4240">
        <v>1.0134620000000001</v>
      </c>
      <c r="I4240">
        <v>141.4896</v>
      </c>
      <c r="J4240">
        <v>-321.97890000000001</v>
      </c>
      <c r="K4240">
        <v>1.1109549999999999</v>
      </c>
      <c r="L4240">
        <v>141.42080000000001</v>
      </c>
      <c r="M4240">
        <v>-0.99989839999999997</v>
      </c>
      <c r="N4240">
        <v>-1.4262250000000001E-2</v>
      </c>
      <c r="O4240">
        <v>-1.8183230000000001E-4</v>
      </c>
      <c r="P4240">
        <v>-0.92155699999999996</v>
      </c>
      <c r="Q4240">
        <v>0.3819188</v>
      </c>
      <c r="R4240">
        <v>-6.9791610000000004E-2</v>
      </c>
      <c r="S4240">
        <v>-3.436035</v>
      </c>
      <c r="T4240">
        <v>-0.38483149999999999</v>
      </c>
      <c r="U4240">
        <v>0.27084350000000001</v>
      </c>
      <c r="V4240">
        <v>-6.9829890000000006E-2</v>
      </c>
      <c r="W4240">
        <v>0.39498759999999999</v>
      </c>
      <c r="X4240">
        <v>0.91602870000000003</v>
      </c>
      <c r="Y4240">
        <v>7.8212509999999999E-2</v>
      </c>
      <c r="Z4240">
        <v>4.937777E-3</v>
      </c>
      <c r="AA4240">
        <v>0.99692449999999999</v>
      </c>
      <c r="AB4240">
        <v>40</v>
      </c>
      <c r="AC4240">
        <v>-0.43899999999996397</v>
      </c>
      <c r="AD4240">
        <v>-9.7492999999999802E-2</v>
      </c>
      <c r="AE4240">
        <v>6.8799999999981695E-2</v>
      </c>
      <c r="AF4240">
        <v>6.5716432558103097E-2</v>
      </c>
      <c r="AG4240">
        <v>-9.7492999999999802E-2</v>
      </c>
      <c r="AH4240">
        <v>0.41882639155254198</v>
      </c>
      <c r="AI4240">
        <v>102.95075430453799</v>
      </c>
      <c r="AJ4240">
        <v>81.082646406546999</v>
      </c>
      <c r="AK4240">
        <v>0.43501618454729601</v>
      </c>
      <c r="AL4240">
        <v>66.734799254338995</v>
      </c>
      <c r="AM4240">
        <v>94.359290043904494</v>
      </c>
      <c r="AN4240">
        <v>0.99999999845743104</v>
      </c>
    </row>
    <row r="4241" spans="1:40" x14ac:dyDescent="0.25">
      <c r="A4241" t="str">
        <f>"20190304164455289"</f>
        <v>20190304164455289</v>
      </c>
      <c r="B4241" t="str">
        <f>"1551689095284858"</f>
        <v>1551689095284858</v>
      </c>
      <c r="C4241" t="s">
        <v>40</v>
      </c>
      <c r="D4241">
        <v>4.8022349999999996</v>
      </c>
      <c r="E4241">
        <v>0.5850959</v>
      </c>
      <c r="F4241" t="s">
        <v>41</v>
      </c>
      <c r="G4241">
        <v>-322.7817</v>
      </c>
      <c r="H4241">
        <v>1.0211170000000001</v>
      </c>
      <c r="I4241">
        <v>141.4855</v>
      </c>
      <c r="J4241">
        <v>-322.33859999999999</v>
      </c>
      <c r="K4241">
        <v>1.1109439999999999</v>
      </c>
      <c r="L4241">
        <v>141.42060000000001</v>
      </c>
      <c r="M4241">
        <v>-0.99989839999999997</v>
      </c>
      <c r="N4241">
        <v>-1.426002E-2</v>
      </c>
      <c r="O4241">
        <v>-3.126766E-4</v>
      </c>
      <c r="P4241">
        <v>-0.92150489999999996</v>
      </c>
      <c r="Q4241">
        <v>0.3821968</v>
      </c>
      <c r="R4241">
        <v>-6.895416E-2</v>
      </c>
      <c r="S4241">
        <v>-3.4355769999999999</v>
      </c>
      <c r="T4241">
        <v>-0.38457429999999998</v>
      </c>
      <c r="U4241">
        <v>0.27539059999999999</v>
      </c>
      <c r="V4241">
        <v>-6.8851609999999994E-2</v>
      </c>
      <c r="W4241">
        <v>0.39526660000000002</v>
      </c>
      <c r="X4241">
        <v>0.91598239999999997</v>
      </c>
      <c r="Y4241">
        <v>7.9654390000000005E-2</v>
      </c>
      <c r="Z4241">
        <v>5.0385330000000004E-3</v>
      </c>
      <c r="AA4241">
        <v>0.99680979999999997</v>
      </c>
      <c r="AB4241">
        <v>40</v>
      </c>
      <c r="AC4241">
        <v>-0.44310000000001498</v>
      </c>
      <c r="AD4241">
        <v>-8.9827000000000101E-2</v>
      </c>
      <c r="AE4241">
        <v>6.4899999999994407E-2</v>
      </c>
      <c r="AF4241">
        <v>6.2523014264143403E-2</v>
      </c>
      <c r="AG4241">
        <v>-8.9827000000000101E-2</v>
      </c>
      <c r="AH4241">
        <v>0.42594236819419901</v>
      </c>
      <c r="AI4241">
        <v>101.78590310966599</v>
      </c>
      <c r="AJ4241">
        <v>81.649331229813598</v>
      </c>
      <c r="AK4241">
        <v>0.43977826033645201</v>
      </c>
      <c r="AL4241">
        <v>66.717397576364505</v>
      </c>
      <c r="AM4241">
        <v>94.298665654666294</v>
      </c>
      <c r="AN4241">
        <v>0.99999999319245603</v>
      </c>
    </row>
    <row r="4242" spans="1:40" x14ac:dyDescent="0.25">
      <c r="A4242" t="str">
        <f>"20190304164455313"</f>
        <v>20190304164455313</v>
      </c>
      <c r="B4242" t="str">
        <f>"1551689095304377"</f>
        <v>1551689095304377</v>
      </c>
      <c r="C4242" t="s">
        <v>40</v>
      </c>
      <c r="D4242">
        <v>4.8244369999999996</v>
      </c>
      <c r="E4242">
        <v>0.58597189999999999</v>
      </c>
      <c r="F4242" t="s">
        <v>41</v>
      </c>
      <c r="G4242">
        <v>-323.13549999999998</v>
      </c>
      <c r="H4242">
        <v>1.0089090000000001</v>
      </c>
      <c r="I4242">
        <v>141.49539999999999</v>
      </c>
      <c r="J4242">
        <v>-322.7561</v>
      </c>
      <c r="K4242">
        <v>1.1109169999999999</v>
      </c>
      <c r="L4242">
        <v>141.4203</v>
      </c>
      <c r="M4242">
        <v>-0.99989830000000002</v>
      </c>
      <c r="N4242">
        <v>-1.425743E-2</v>
      </c>
      <c r="O4242">
        <v>-4.3636549999999998E-4</v>
      </c>
      <c r="P4242">
        <v>-0.92122850000000001</v>
      </c>
      <c r="Q4242">
        <v>0.38288230000000001</v>
      </c>
      <c r="R4242">
        <v>-6.8842979999999998E-2</v>
      </c>
      <c r="S4242">
        <v>-3.4638059999999999</v>
      </c>
      <c r="T4242">
        <v>-0.44348080000000001</v>
      </c>
      <c r="U4242">
        <v>0.32475279999999901</v>
      </c>
      <c r="V4242">
        <v>-6.8599859999999999E-2</v>
      </c>
      <c r="W4242">
        <v>0.39595069999999999</v>
      </c>
      <c r="X4242">
        <v>0.91570580000000001</v>
      </c>
      <c r="Y4242">
        <v>9.2941259999999998E-2</v>
      </c>
      <c r="Z4242">
        <v>6.6291170000000003E-3</v>
      </c>
      <c r="AA4242">
        <v>0.99564949999999997</v>
      </c>
      <c r="AB4242">
        <v>40</v>
      </c>
      <c r="AC4242">
        <v>-0.37939999999997498</v>
      </c>
      <c r="AD4242">
        <v>-0.102007999999999</v>
      </c>
      <c r="AE4242">
        <v>7.5099999999991895E-2</v>
      </c>
      <c r="AF4242">
        <v>7.0370349638036497E-2</v>
      </c>
      <c r="AG4242">
        <v>-0.102007999999999</v>
      </c>
      <c r="AH4242">
        <v>0.35469342650616598</v>
      </c>
      <c r="AI4242">
        <v>105.753575372631</v>
      </c>
      <c r="AJ4242">
        <v>78.778370343828996</v>
      </c>
      <c r="AK4242">
        <v>0.37571936998092698</v>
      </c>
      <c r="AL4242">
        <v>66.674720136872395</v>
      </c>
      <c r="AM4242">
        <v>94.284295464737497</v>
      </c>
      <c r="AN4242">
        <v>1.0000000048880699</v>
      </c>
    </row>
    <row r="4243" spans="1:40" x14ac:dyDescent="0.25">
      <c r="A4243" t="str">
        <f>"20190304164455333"</f>
        <v>20190304164455333</v>
      </c>
      <c r="B4243" t="str">
        <f>"1551689095323898"</f>
        <v>1551689095323898</v>
      </c>
      <c r="C4243" t="s">
        <v>40</v>
      </c>
      <c r="D4243">
        <v>4.9968490000000001</v>
      </c>
      <c r="E4243">
        <v>0.58459289999999997</v>
      </c>
      <c r="F4243" t="s">
        <v>41</v>
      </c>
      <c r="G4243">
        <v>-323.4975</v>
      </c>
      <c r="H4243">
        <v>1.0139499999999999</v>
      </c>
      <c r="I4243">
        <v>141.49170000000001</v>
      </c>
      <c r="J4243">
        <v>-323.13729999999998</v>
      </c>
      <c r="K4243">
        <v>1.1108929999999999</v>
      </c>
      <c r="L4243">
        <v>141.42009999999999</v>
      </c>
      <c r="M4243">
        <v>-0.99989819999999996</v>
      </c>
      <c r="N4243">
        <v>-1.425508E-2</v>
      </c>
      <c r="O4243">
        <v>-5.202389E-4</v>
      </c>
      <c r="P4243">
        <v>-0.92109099999999999</v>
      </c>
      <c r="Q4243">
        <v>0.38324419999999998</v>
      </c>
      <c r="R4243">
        <v>-6.866767E-2</v>
      </c>
      <c r="S4243">
        <v>-3.4699710000000001</v>
      </c>
      <c r="T4243">
        <v>-0.4539301</v>
      </c>
      <c r="U4243">
        <v>0.33166499999999999</v>
      </c>
      <c r="V4243">
        <v>-6.8320549999999994E-2</v>
      </c>
      <c r="W4243">
        <v>0.39631319999999998</v>
      </c>
      <c r="X4243">
        <v>0.91556979999999999</v>
      </c>
      <c r="Y4243">
        <v>9.4773490000000002E-2</v>
      </c>
      <c r="Z4243">
        <v>6.8992940000000003E-3</v>
      </c>
      <c r="AA4243">
        <v>0.99547490000000005</v>
      </c>
      <c r="AB4243">
        <v>40</v>
      </c>
      <c r="AC4243">
        <v>-0.36020000000002</v>
      </c>
      <c r="AD4243">
        <v>-9.6943000000000196E-2</v>
      </c>
      <c r="AE4243">
        <v>7.1600000000017802E-2</v>
      </c>
      <c r="AF4243">
        <v>6.7111022812539806E-2</v>
      </c>
      <c r="AG4243">
        <v>-9.6943000000000196E-2</v>
      </c>
      <c r="AH4243">
        <v>0.33670097068458699</v>
      </c>
      <c r="AI4243">
        <v>105.76786763801</v>
      </c>
      <c r="AJ4243">
        <v>78.727570178547197</v>
      </c>
      <c r="AK4243">
        <v>0.35674834027909402</v>
      </c>
      <c r="AL4243">
        <v>66.652098690010405</v>
      </c>
      <c r="AM4243">
        <v>94.267547629534207</v>
      </c>
      <c r="AN4243">
        <v>0.99999995435929001</v>
      </c>
    </row>
    <row r="4244" spans="1:40" x14ac:dyDescent="0.25">
      <c r="A4244" t="str">
        <f>"20190304164455367"</f>
        <v>20190304164455367</v>
      </c>
      <c r="B4244" t="str">
        <f>"1551689095363914"</f>
        <v>1551689095363914</v>
      </c>
      <c r="C4244" t="s">
        <v>40</v>
      </c>
      <c r="D4244">
        <v>4.9302440000000001</v>
      </c>
      <c r="E4244">
        <v>0.58483390000000002</v>
      </c>
      <c r="F4244" t="s">
        <v>41</v>
      </c>
      <c r="G4244">
        <v>-323.85649999999998</v>
      </c>
      <c r="H4244">
        <v>1.013342</v>
      </c>
      <c r="I4244">
        <v>141.48609999999999</v>
      </c>
      <c r="J4244">
        <v>-323.73970000000003</v>
      </c>
      <c r="K4244">
        <v>1.110841</v>
      </c>
      <c r="L4244">
        <v>141.41970000000001</v>
      </c>
      <c r="M4244">
        <v>-0.99989839999999997</v>
      </c>
      <c r="N4244">
        <v>-1.4251379999999999E-2</v>
      </c>
      <c r="O4244">
        <v>-5.997811E-4</v>
      </c>
      <c r="P4244">
        <v>-0.92114660000000004</v>
      </c>
      <c r="Q4244">
        <v>0.38340570000000002</v>
      </c>
      <c r="R4244">
        <v>-6.7002399999999906E-2</v>
      </c>
      <c r="S4244">
        <v>-3.47702</v>
      </c>
      <c r="T4244">
        <v>-0.47149530000000001</v>
      </c>
      <c r="U4244">
        <v>0.31932070000000001</v>
      </c>
      <c r="V4244">
        <v>-6.6539210000000001E-2</v>
      </c>
      <c r="W4244">
        <v>0.39648</v>
      </c>
      <c r="X4244">
        <v>0.91562889999999997</v>
      </c>
      <c r="Y4244">
        <v>9.1130089999999997E-2</v>
      </c>
      <c r="Z4244">
        <v>6.86419E-3</v>
      </c>
      <c r="AA4244">
        <v>0.99581529999999996</v>
      </c>
      <c r="AB4244">
        <v>40</v>
      </c>
      <c r="AC4244">
        <v>-0.116799999999955</v>
      </c>
      <c r="AD4244">
        <v>-9.7499000000000002E-2</v>
      </c>
      <c r="AE4244">
        <v>6.6399999999987303E-2</v>
      </c>
      <c r="AF4244">
        <v>4.35407720819335E-2</v>
      </c>
      <c r="AG4244">
        <v>-9.7499000000000002E-2</v>
      </c>
      <c r="AH4244">
        <v>7.6482973730914006E-2</v>
      </c>
      <c r="AI4244">
        <v>137.92877470328901</v>
      </c>
      <c r="AJ4244">
        <v>60.3476978947539</v>
      </c>
      <c r="AK4244">
        <v>0.13134496223766801</v>
      </c>
      <c r="AL4244">
        <v>66.641691837638007</v>
      </c>
      <c r="AM4244">
        <v>94.156406558734105</v>
      </c>
      <c r="AN4244">
        <v>1.0000000696913101</v>
      </c>
    </row>
    <row r="4245" spans="1:40" x14ac:dyDescent="0.25">
      <c r="A4245" t="str">
        <f>"20190304164455390"</f>
        <v>20190304164455390</v>
      </c>
      <c r="B4245" t="str">
        <f>"1551689095384410"</f>
        <v>1551689095384410</v>
      </c>
      <c r="C4245" t="s">
        <v>40</v>
      </c>
      <c r="D4245">
        <v>4.9396339999999999</v>
      </c>
      <c r="E4245">
        <v>0.58467559999999996</v>
      </c>
      <c r="F4245" t="s">
        <v>41</v>
      </c>
      <c r="G4245">
        <v>-324.56689999999998</v>
      </c>
      <c r="H4245">
        <v>0.99835490000000005</v>
      </c>
      <c r="I4245">
        <v>141.4975</v>
      </c>
      <c r="J4245">
        <v>-324.1474</v>
      </c>
      <c r="K4245">
        <v>1.110819</v>
      </c>
      <c r="L4245">
        <v>141.4194</v>
      </c>
      <c r="M4245">
        <v>-0.99989830000000002</v>
      </c>
      <c r="N4245">
        <v>-1.42489E-2</v>
      </c>
      <c r="O4245">
        <v>-6.286528E-4</v>
      </c>
      <c r="P4245">
        <v>-0.9214348</v>
      </c>
      <c r="Q4245">
        <v>0.3829804</v>
      </c>
      <c r="R4245">
        <v>-6.5454719999999994E-2</v>
      </c>
      <c r="S4245">
        <v>-3.4773860000000001</v>
      </c>
      <c r="T4245">
        <v>-0.4728097</v>
      </c>
      <c r="U4245">
        <v>0.32702639999999999</v>
      </c>
      <c r="V4245">
        <v>-6.4940810000000002E-2</v>
      </c>
      <c r="W4245">
        <v>0.396061</v>
      </c>
      <c r="X4245">
        <v>0.91592479999999998</v>
      </c>
      <c r="Y4245">
        <v>9.3310180000000006E-2</v>
      </c>
      <c r="Z4245">
        <v>7.046409E-3</v>
      </c>
      <c r="AA4245">
        <v>0.9956121</v>
      </c>
      <c r="AB4245">
        <v>40</v>
      </c>
      <c r="AC4245">
        <v>-0.41949999999997001</v>
      </c>
      <c r="AD4245">
        <v>-0.112464099999999</v>
      </c>
      <c r="AE4245">
        <v>7.8100000000006206E-2</v>
      </c>
      <c r="AF4245">
        <v>7.3273770219717899E-2</v>
      </c>
      <c r="AG4245">
        <v>-0.112464099999999</v>
      </c>
      <c r="AH4245">
        <v>0.39220621737153899</v>
      </c>
      <c r="AI4245">
        <v>105.741574966415</v>
      </c>
      <c r="AJ4245">
        <v>79.417732528376206</v>
      </c>
      <c r="AK4245">
        <v>0.41453942651563702</v>
      </c>
      <c r="AL4245">
        <v>66.667835960591702</v>
      </c>
      <c r="AM4245">
        <v>94.055592875407001</v>
      </c>
      <c r="AN4245">
        <v>0.99999993188974501</v>
      </c>
    </row>
    <row r="4246" spans="1:40" x14ac:dyDescent="0.25">
      <c r="A4246" t="str">
        <f>"20190304164455411"</f>
        <v>20190304164455411</v>
      </c>
      <c r="B4246" t="str">
        <f>"1551689095403933"</f>
        <v>1551689095403933</v>
      </c>
      <c r="C4246" t="s">
        <v>40</v>
      </c>
      <c r="D4246">
        <v>4.9422420000000002</v>
      </c>
      <c r="E4246">
        <v>0.58472369999999996</v>
      </c>
      <c r="F4246" t="s">
        <v>41</v>
      </c>
      <c r="G4246">
        <v>-324.92790000000002</v>
      </c>
      <c r="H4246">
        <v>1.0036039999999999</v>
      </c>
      <c r="I4246">
        <v>141.4941</v>
      </c>
      <c r="J4246">
        <v>-324.54180000000002</v>
      </c>
      <c r="K4246">
        <v>1.110795</v>
      </c>
      <c r="L4246">
        <v>141.41909999999999</v>
      </c>
      <c r="M4246">
        <v>-0.99989839999999997</v>
      </c>
      <c r="N4246">
        <v>-1.424651E-2</v>
      </c>
      <c r="O4246">
        <v>-6.4236999999999996E-4</v>
      </c>
      <c r="P4246">
        <v>-0.92170759999999996</v>
      </c>
      <c r="Q4246">
        <v>0.38254769999999999</v>
      </c>
      <c r="R4246">
        <v>-6.4128669999999999E-2</v>
      </c>
      <c r="S4246">
        <v>-3.4779969999999998</v>
      </c>
      <c r="T4246">
        <v>-0.47787499999999999</v>
      </c>
      <c r="U4246">
        <v>0.33143620000000001</v>
      </c>
      <c r="V4246">
        <v>-6.3583879999999995E-2</v>
      </c>
      <c r="W4246">
        <v>0.39563280000000001</v>
      </c>
      <c r="X4246">
        <v>0.91620509999999999</v>
      </c>
      <c r="Y4246">
        <v>9.4527109999999998E-2</v>
      </c>
      <c r="Z4246">
        <v>7.2061269999999997E-3</v>
      </c>
      <c r="AA4246">
        <v>0.99549620000000005</v>
      </c>
      <c r="AB4246">
        <v>40</v>
      </c>
      <c r="AC4246">
        <v>-0.386099999999998</v>
      </c>
      <c r="AD4246">
        <v>-0.107190999999999</v>
      </c>
      <c r="AE4246">
        <v>7.5000000000016998E-2</v>
      </c>
      <c r="AF4246">
        <v>7.0045532237022701E-2</v>
      </c>
      <c r="AG4246">
        <v>-0.107190999999999</v>
      </c>
      <c r="AH4246">
        <v>0.35936090145875299</v>
      </c>
      <c r="AI4246">
        <v>106.31858254050699</v>
      </c>
      <c r="AJ4246">
        <v>78.970374960926904</v>
      </c>
      <c r="AK4246">
        <v>0.38149252229187303</v>
      </c>
      <c r="AL4246">
        <v>66.694554072825895</v>
      </c>
      <c r="AM4246">
        <v>93.969914753032995</v>
      </c>
      <c r="AN4246">
        <v>1.0000000037488499</v>
      </c>
    </row>
    <row r="4247" spans="1:40" x14ac:dyDescent="0.25">
      <c r="A4247" t="str">
        <f>"20190304164455435"</f>
        <v>20190304164455435</v>
      </c>
      <c r="B4247" t="str">
        <f>"1551689095424426"</f>
        <v>1551689095424426</v>
      </c>
      <c r="C4247" t="s">
        <v>40</v>
      </c>
      <c r="D4247">
        <v>4.9282320000000004</v>
      </c>
      <c r="E4247">
        <v>0.58468730000000002</v>
      </c>
      <c r="F4247" t="s">
        <v>41</v>
      </c>
      <c r="G4247">
        <v>-325.28809999999999</v>
      </c>
      <c r="H4247">
        <v>1.0076750000000001</v>
      </c>
      <c r="I4247">
        <v>141.49109999999999</v>
      </c>
      <c r="J4247">
        <v>-324.93810000000002</v>
      </c>
      <c r="K4247">
        <v>1.110781</v>
      </c>
      <c r="L4247">
        <v>141.41890000000001</v>
      </c>
      <c r="M4247">
        <v>-0.99989830000000002</v>
      </c>
      <c r="N4247">
        <v>-1.4244130000000001E-2</v>
      </c>
      <c r="O4247">
        <v>-6.4627330000000005E-4</v>
      </c>
      <c r="P4247">
        <v>-0.92228069999999895</v>
      </c>
      <c r="Q4247">
        <v>0.38132749999999999</v>
      </c>
      <c r="R4247">
        <v>-6.3148800000000005E-2</v>
      </c>
      <c r="S4247">
        <v>-3.4776609999999999</v>
      </c>
      <c r="T4247">
        <v>-0.48053659999999998</v>
      </c>
      <c r="U4247">
        <v>0.33566279999999998</v>
      </c>
      <c r="V4247">
        <v>-6.2586089999999997E-2</v>
      </c>
      <c r="W4247">
        <v>0.39442149999999998</v>
      </c>
      <c r="X4247">
        <v>0.91679580000000005</v>
      </c>
      <c r="Y4247">
        <v>9.5716090000000004E-2</v>
      </c>
      <c r="Z4247">
        <v>7.3329939999999998E-3</v>
      </c>
      <c r="AA4247">
        <v>0.99538170000000004</v>
      </c>
      <c r="AB4247">
        <v>40</v>
      </c>
      <c r="AC4247">
        <v>-0.34999999999996501</v>
      </c>
      <c r="AD4247">
        <v>-0.103105999999999</v>
      </c>
      <c r="AE4247">
        <v>7.2199999999980904E-2</v>
      </c>
      <c r="AF4247">
        <v>6.6860702706801001E-2</v>
      </c>
      <c r="AG4247">
        <v>-0.103105999999999</v>
      </c>
      <c r="AH4247">
        <v>0.32306154152167699</v>
      </c>
      <c r="AI4247">
        <v>107.355580411925</v>
      </c>
      <c r="AJ4247">
        <v>78.307164151590499</v>
      </c>
      <c r="AK4247">
        <v>0.34564426859534297</v>
      </c>
      <c r="AL4247">
        <v>66.770099105834504</v>
      </c>
      <c r="AM4247">
        <v>93.905301372470305</v>
      </c>
      <c r="AN4247">
        <v>0.99999993861068703</v>
      </c>
    </row>
    <row r="4248" spans="1:40" x14ac:dyDescent="0.25">
      <c r="A4248" t="str">
        <f>"20190304164455456"</f>
        <v>20190304164455456</v>
      </c>
      <c r="B4248" t="str">
        <f>"1551689095443946"</f>
        <v>1551689095443946</v>
      </c>
      <c r="C4248" t="s">
        <v>40</v>
      </c>
      <c r="D4248">
        <v>4.9266300000000003</v>
      </c>
      <c r="E4248">
        <v>0.584617099999999</v>
      </c>
      <c r="F4248" t="s">
        <v>41</v>
      </c>
      <c r="G4248">
        <v>-325.98259999999999</v>
      </c>
      <c r="H4248">
        <v>0.96444200000000002</v>
      </c>
      <c r="I4248">
        <v>141.52029999999999</v>
      </c>
      <c r="J4248">
        <v>-325.32920000000001</v>
      </c>
      <c r="K4248">
        <v>1.1107720000000001</v>
      </c>
      <c r="L4248">
        <v>141.4186</v>
      </c>
      <c r="M4248">
        <v>-0.99989839999999997</v>
      </c>
      <c r="N4248">
        <v>-1.4241790000000001E-2</v>
      </c>
      <c r="O4248">
        <v>-6.4547129999999999E-4</v>
      </c>
      <c r="P4248">
        <v>-0.92245469999999896</v>
      </c>
      <c r="Q4248">
        <v>0.38103009999999998</v>
      </c>
      <c r="R4248">
        <v>-6.2399999999999997E-2</v>
      </c>
      <c r="S4248">
        <v>-3.4773860000000001</v>
      </c>
      <c r="T4248">
        <v>-0.48716320000000002</v>
      </c>
      <c r="U4248">
        <v>0.33764650000000002</v>
      </c>
      <c r="V4248">
        <v>-6.1827390000000003E-2</v>
      </c>
      <c r="W4248">
        <v>0.39412580000000003</v>
      </c>
      <c r="X4248">
        <v>0.91697450000000003</v>
      </c>
      <c r="Y4248">
        <v>9.6253140000000001E-2</v>
      </c>
      <c r="Z4248">
        <v>7.4653419999999998E-3</v>
      </c>
      <c r="AA4248">
        <v>0.99532889999999996</v>
      </c>
      <c r="AB4248">
        <v>40</v>
      </c>
      <c r="AC4248">
        <v>-0.653399999999976</v>
      </c>
      <c r="AD4248">
        <v>-0.14632999999999899</v>
      </c>
      <c r="AE4248">
        <v>0.101699999999993</v>
      </c>
      <c r="AF4248">
        <v>9.7354513663498801E-2</v>
      </c>
      <c r="AG4248">
        <v>-0.14632999999999899</v>
      </c>
      <c r="AH4248">
        <v>0.62283519931322195</v>
      </c>
      <c r="AI4248">
        <v>103.06824994149</v>
      </c>
      <c r="AJ4248">
        <v>81.1160619601864</v>
      </c>
      <c r="AK4248">
        <v>0.647158447162824</v>
      </c>
      <c r="AL4248">
        <v>66.788536478106195</v>
      </c>
      <c r="AM4248">
        <v>93.857353600974307</v>
      </c>
      <c r="AN4248">
        <v>1.00000000301505</v>
      </c>
    </row>
    <row r="4249" spans="1:40" x14ac:dyDescent="0.25">
      <c r="A4249" t="str">
        <f>"20190304164455479"</f>
        <v>20190304164455479</v>
      </c>
      <c r="B4249" t="str">
        <f>"1551689095474202"</f>
        <v>1551689095474202</v>
      </c>
      <c r="C4249" t="s">
        <v>40</v>
      </c>
      <c r="D4249">
        <v>4.9721339999999996</v>
      </c>
      <c r="E4249">
        <v>0.58440590000000003</v>
      </c>
      <c r="F4249" t="s">
        <v>41</v>
      </c>
      <c r="G4249">
        <v>-326.3417</v>
      </c>
      <c r="H4249">
        <v>0.96799639999999998</v>
      </c>
      <c r="I4249">
        <v>141.51740000000001</v>
      </c>
      <c r="J4249">
        <v>-325.73770000000002</v>
      </c>
      <c r="K4249">
        <v>1.1107659999999999</v>
      </c>
      <c r="L4249">
        <v>141.41829999999999</v>
      </c>
      <c r="M4249">
        <v>-0.99989839999999997</v>
      </c>
      <c r="N4249">
        <v>-1.423934E-2</v>
      </c>
      <c r="O4249">
        <v>-6.4303250000000004E-4</v>
      </c>
      <c r="P4249">
        <v>-0.92245600000000005</v>
      </c>
      <c r="Q4249">
        <v>0.38103779999999998</v>
      </c>
      <c r="R4249">
        <v>-6.233197E-2</v>
      </c>
      <c r="S4249">
        <v>-3.4776919999999998</v>
      </c>
      <c r="T4249">
        <v>-0.490483</v>
      </c>
      <c r="U4249">
        <v>0.33860780000000001</v>
      </c>
      <c r="V4249">
        <v>-6.1753299999999997E-2</v>
      </c>
      <c r="W4249">
        <v>0.39413280000000001</v>
      </c>
      <c r="X4249">
        <v>0.91697649999999997</v>
      </c>
      <c r="Y4249">
        <v>9.6499050000000003E-2</v>
      </c>
      <c r="Z4249">
        <v>7.5290540000000003E-3</v>
      </c>
      <c r="AA4249">
        <v>0.99530459999999998</v>
      </c>
      <c r="AB4249">
        <v>40</v>
      </c>
      <c r="AC4249">
        <v>-0.60399999999998499</v>
      </c>
      <c r="AD4249">
        <v>-0.142769599999999</v>
      </c>
      <c r="AE4249">
        <v>9.9100000000021199E-2</v>
      </c>
      <c r="AF4249">
        <v>9.4354776225528805E-2</v>
      </c>
      <c r="AG4249">
        <v>-0.142769599999999</v>
      </c>
      <c r="AH4249">
        <v>0.57277284292655894</v>
      </c>
      <c r="AI4249">
        <v>103.81740245873</v>
      </c>
      <c r="AJ4249">
        <v>80.645489806354703</v>
      </c>
      <c r="AK4249">
        <v>0.59779152894207299</v>
      </c>
      <c r="AL4249">
        <v>66.788100447590907</v>
      </c>
      <c r="AM4249">
        <v>93.852736746249803</v>
      </c>
      <c r="AN4249">
        <v>1.0000000178244799</v>
      </c>
    </row>
    <row r="4250" spans="1:40" x14ac:dyDescent="0.25">
      <c r="A4250" t="str">
        <f>"20190304164455502"</f>
        <v>20190304164455502</v>
      </c>
      <c r="B4250" t="str">
        <f>"1551689095494698"</f>
        <v>1551689095494698</v>
      </c>
      <c r="C4250" t="s">
        <v>40</v>
      </c>
      <c r="D4250">
        <v>4.7554449999999999</v>
      </c>
      <c r="E4250">
        <v>0.55825290000000005</v>
      </c>
      <c r="F4250" t="s">
        <v>41</v>
      </c>
      <c r="G4250">
        <v>-326.70229999999998</v>
      </c>
      <c r="H4250">
        <v>0.97525729999999999</v>
      </c>
      <c r="I4250">
        <v>141.51240000000001</v>
      </c>
      <c r="J4250">
        <v>-326.15339999999998</v>
      </c>
      <c r="K4250">
        <v>1.1107590000000001</v>
      </c>
      <c r="L4250">
        <v>141.41800000000001</v>
      </c>
      <c r="M4250">
        <v>-0.99989859999999997</v>
      </c>
      <c r="N4250">
        <v>-1.4236850000000001E-2</v>
      </c>
      <c r="O4250">
        <v>-6.4157139999999999E-4</v>
      </c>
      <c r="P4250">
        <v>-0.922512</v>
      </c>
      <c r="Q4250">
        <v>0.38097199999999998</v>
      </c>
      <c r="R4250">
        <v>-6.1905660000000001E-2</v>
      </c>
      <c r="S4250">
        <v>-3.4768370000000002</v>
      </c>
      <c r="T4250">
        <v>-0.48848130000000001</v>
      </c>
      <c r="U4250">
        <v>0.33836359999999999</v>
      </c>
      <c r="V4250">
        <v>-6.1320989999999999E-2</v>
      </c>
      <c r="W4250">
        <v>0.39406659999999999</v>
      </c>
      <c r="X4250">
        <v>0.91703400000000002</v>
      </c>
      <c r="Y4250">
        <v>9.6460000000000004E-2</v>
      </c>
      <c r="Z4250">
        <v>7.4997229999999998E-3</v>
      </c>
      <c r="AA4250">
        <v>0.99530859999999999</v>
      </c>
      <c r="AB4250">
        <v>40</v>
      </c>
      <c r="AC4250">
        <v>-0.54890000000000305</v>
      </c>
      <c r="AD4250">
        <v>-0.1355017</v>
      </c>
      <c r="AE4250">
        <v>9.4400000000007298E-2</v>
      </c>
      <c r="AF4250">
        <v>8.9457251758203502E-2</v>
      </c>
      <c r="AG4250">
        <v>-0.1355017</v>
      </c>
      <c r="AH4250">
        <v>0.51816918233706999</v>
      </c>
      <c r="AI4250">
        <v>104.450113893138</v>
      </c>
      <c r="AJ4250">
        <v>80.204950622371598</v>
      </c>
      <c r="AK4250">
        <v>0.54301253403479399</v>
      </c>
      <c r="AL4250">
        <v>66.792228301359401</v>
      </c>
      <c r="AM4250">
        <v>93.825606492050497</v>
      </c>
      <c r="AN4250">
        <v>1.0000000531030599</v>
      </c>
    </row>
    <row r="4251" spans="1:40" x14ac:dyDescent="0.25">
      <c r="A4251" t="str">
        <f>"20190304164455523"</f>
        <v>20190304164455523</v>
      </c>
      <c r="B4251" t="str">
        <f>"1551689095514218"</f>
        <v>1551689095514218</v>
      </c>
      <c r="C4251" t="s">
        <v>40</v>
      </c>
      <c r="D4251">
        <v>4.7099440000000001</v>
      </c>
      <c r="E4251">
        <v>0.55396650000000003</v>
      </c>
      <c r="F4251" t="s">
        <v>41</v>
      </c>
      <c r="G4251">
        <v>-327.07690000000002</v>
      </c>
      <c r="H4251">
        <v>1.0114700000000001</v>
      </c>
      <c r="I4251">
        <v>141.4572</v>
      </c>
      <c r="J4251">
        <v>-326.5317</v>
      </c>
      <c r="K4251">
        <v>1.1107579999999999</v>
      </c>
      <c r="L4251">
        <v>141.4178</v>
      </c>
      <c r="M4251">
        <v>-0.99989859999999997</v>
      </c>
      <c r="N4251">
        <v>-1.423459E-2</v>
      </c>
      <c r="O4251">
        <v>-6.4109949999999996E-4</v>
      </c>
      <c r="P4251">
        <v>-0.92256749999999998</v>
      </c>
      <c r="Q4251">
        <v>0.38078980000000001</v>
      </c>
      <c r="R4251">
        <v>-6.2199499999999998E-2</v>
      </c>
      <c r="S4251">
        <v>-3.4132389999999999</v>
      </c>
      <c r="T4251">
        <v>-0.3669866</v>
      </c>
      <c r="U4251">
        <v>0.14390559999999999</v>
      </c>
      <c r="V4251">
        <v>-6.1610020000000001E-2</v>
      </c>
      <c r="W4251">
        <v>0.39388380000000001</v>
      </c>
      <c r="X4251">
        <v>0.91709309999999999</v>
      </c>
      <c r="Y4251">
        <v>4.2484389999999997E-2</v>
      </c>
      <c r="Z4251">
        <v>2.6394750000000001E-3</v>
      </c>
      <c r="AA4251">
        <v>0.99909369999999997</v>
      </c>
      <c r="AB4251">
        <v>40</v>
      </c>
      <c r="AC4251">
        <v>-0.545200000000022</v>
      </c>
      <c r="AD4251">
        <v>-9.9287999999999793E-2</v>
      </c>
      <c r="AE4251">
        <v>3.9400000000000497E-2</v>
      </c>
      <c r="AF4251">
        <v>3.8479990785756202E-2</v>
      </c>
      <c r="AG4251">
        <v>-9.9287999999999793E-2</v>
      </c>
      <c r="AH4251">
        <v>0.52776225378486796</v>
      </c>
      <c r="AI4251">
        <v>100.626966304646</v>
      </c>
      <c r="AJ4251">
        <v>85.829852190765294</v>
      </c>
      <c r="AK4251">
        <v>0.53839744906059395</v>
      </c>
      <c r="AL4251">
        <v>66.803622263184906</v>
      </c>
      <c r="AM4251">
        <v>93.843337213016099</v>
      </c>
      <c r="AN4251">
        <v>0.99999999826722497</v>
      </c>
    </row>
    <row r="4252" spans="1:40" x14ac:dyDescent="0.25">
      <c r="A4252" t="str">
        <f>"20190304164455545"</f>
        <v>20190304164455545</v>
      </c>
      <c r="B4252" t="str">
        <f>"1551689095534714"</f>
        <v>1551689095534714</v>
      </c>
      <c r="C4252" t="s">
        <v>40</v>
      </c>
      <c r="D4252">
        <v>4.6731509999999998</v>
      </c>
      <c r="E4252">
        <v>0.5527263</v>
      </c>
      <c r="F4252" t="s">
        <v>41</v>
      </c>
      <c r="G4252">
        <v>-327.4348</v>
      </c>
      <c r="H4252">
        <v>1.0139819999999999</v>
      </c>
      <c r="I4252">
        <v>141.44669999999999</v>
      </c>
      <c r="J4252">
        <v>-326.9153</v>
      </c>
      <c r="K4252">
        <v>1.1107530000000001</v>
      </c>
      <c r="L4252">
        <v>141.41759999999999</v>
      </c>
      <c r="M4252">
        <v>-0.99989859999999997</v>
      </c>
      <c r="N4252">
        <v>-1.423232E-2</v>
      </c>
      <c r="O4252">
        <v>-6.4148169999999997E-4</v>
      </c>
      <c r="P4252">
        <v>-0.92262529999999998</v>
      </c>
      <c r="Q4252">
        <v>0.38059520000000002</v>
      </c>
      <c r="R4252">
        <v>-6.2530929999999998E-2</v>
      </c>
      <c r="S4252">
        <v>-3.4099430000000002</v>
      </c>
      <c r="T4252">
        <v>-0.365448</v>
      </c>
      <c r="U4252">
        <v>0.1083069</v>
      </c>
      <c r="V4252">
        <v>-6.1936199999999997E-2</v>
      </c>
      <c r="W4252">
        <v>0.39368880000000001</v>
      </c>
      <c r="X4252">
        <v>0.91715480000000005</v>
      </c>
      <c r="Y4252">
        <v>3.2175849999999999E-2</v>
      </c>
      <c r="Z4252">
        <v>2.0080200000000001E-3</v>
      </c>
      <c r="AA4252">
        <v>0.99948020000000004</v>
      </c>
      <c r="AB4252">
        <v>40</v>
      </c>
      <c r="AC4252">
        <v>-0.51949999999999297</v>
      </c>
      <c r="AD4252">
        <v>-9.6771000000000107E-2</v>
      </c>
      <c r="AE4252">
        <v>2.9099999999999598E-2</v>
      </c>
      <c r="AF4252">
        <v>2.8449200973596898E-2</v>
      </c>
      <c r="AG4252">
        <v>-9.6771000000000107E-2</v>
      </c>
      <c r="AH4252">
        <v>0.50211281280326003</v>
      </c>
      <c r="AI4252">
        <v>100.891676790606</v>
      </c>
      <c r="AJ4252">
        <v>86.7571465898816</v>
      </c>
      <c r="AK4252">
        <v>0.51214378865533206</v>
      </c>
      <c r="AL4252">
        <v>66.815775728675803</v>
      </c>
      <c r="AM4252">
        <v>93.863364275743805</v>
      </c>
      <c r="AN4252">
        <v>0.99999994563945804</v>
      </c>
    </row>
    <row r="4253" spans="1:40" x14ac:dyDescent="0.25">
      <c r="A4253" t="str">
        <f>"20190304164455567"</f>
        <v>20190304164455567</v>
      </c>
      <c r="B4253" t="str">
        <f>"1551689095563994"</f>
        <v>1551689095563994</v>
      </c>
      <c r="C4253" t="s">
        <v>40</v>
      </c>
      <c r="D4253">
        <v>4.6445759999999998</v>
      </c>
      <c r="E4253">
        <v>0.55186579999999996</v>
      </c>
      <c r="F4253" t="s">
        <v>41</v>
      </c>
      <c r="G4253">
        <v>-327.79230000000001</v>
      </c>
      <c r="H4253">
        <v>1.0163409999999999</v>
      </c>
      <c r="I4253">
        <v>141.44319999999999</v>
      </c>
      <c r="J4253">
        <v>-327.32060000000001</v>
      </c>
      <c r="K4253">
        <v>1.110752</v>
      </c>
      <c r="L4253">
        <v>141.41730000000001</v>
      </c>
      <c r="M4253">
        <v>-0.99989870000000003</v>
      </c>
      <c r="N4253">
        <v>-1.422992E-2</v>
      </c>
      <c r="O4253">
        <v>-6.4223679999999997E-4</v>
      </c>
      <c r="P4253">
        <v>-0.92266300000000001</v>
      </c>
      <c r="Q4253">
        <v>0.3803841</v>
      </c>
      <c r="R4253">
        <v>-6.3257270000000004E-2</v>
      </c>
      <c r="S4253">
        <v>-3.4096980000000001</v>
      </c>
      <c r="T4253">
        <v>-0.36713709999999999</v>
      </c>
      <c r="U4253">
        <v>9.8449709999999996E-2</v>
      </c>
      <c r="V4253">
        <v>-6.2658279999999997E-2</v>
      </c>
      <c r="W4253">
        <v>0.39347660000000001</v>
      </c>
      <c r="X4253">
        <v>0.91719689999999998</v>
      </c>
      <c r="Y4253">
        <v>2.9308850000000001E-2</v>
      </c>
      <c r="Z4253">
        <v>1.842123E-3</v>
      </c>
      <c r="AA4253">
        <v>0.99956869999999998</v>
      </c>
      <c r="AB4253">
        <v>40</v>
      </c>
      <c r="AC4253">
        <v>-0.47169999999999801</v>
      </c>
      <c r="AD4253">
        <v>-9.4410999999999995E-2</v>
      </c>
      <c r="AE4253">
        <v>2.58999999999787E-2</v>
      </c>
      <c r="AF4253">
        <v>2.51966199863125E-2</v>
      </c>
      <c r="AG4253">
        <v>-9.4410999999999995E-2</v>
      </c>
      <c r="AH4253">
        <v>0.45356785002871097</v>
      </c>
      <c r="AI4253">
        <v>101.740725911197</v>
      </c>
      <c r="AJ4253">
        <v>86.820370606449998</v>
      </c>
      <c r="AK4253">
        <v>0.46397424622429401</v>
      </c>
      <c r="AL4253">
        <v>66.829003267393205</v>
      </c>
      <c r="AM4253">
        <v>93.908087489835296</v>
      </c>
      <c r="AN4253">
        <v>1.0000000240848601</v>
      </c>
    </row>
    <row r="4254" spans="1:40" x14ac:dyDescent="0.25">
      <c r="A4254" t="str">
        <f>"20190304164455591"</f>
        <v>20190304164455591</v>
      </c>
      <c r="B4254" t="str">
        <f>"1551689095584490"</f>
        <v>1551689095584490</v>
      </c>
      <c r="C4254" t="s">
        <v>40</v>
      </c>
      <c r="D4254">
        <v>4.7011059999999896</v>
      </c>
      <c r="E4254">
        <v>0.55151479999999997</v>
      </c>
      <c r="F4254" t="s">
        <v>41</v>
      </c>
      <c r="G4254">
        <v>-328.1508</v>
      </c>
      <c r="H4254">
        <v>1.0212220000000001</v>
      </c>
      <c r="I4254">
        <v>141.4393</v>
      </c>
      <c r="J4254">
        <v>-327.7312</v>
      </c>
      <c r="K4254">
        <v>1.110743</v>
      </c>
      <c r="L4254">
        <v>141.417</v>
      </c>
      <c r="M4254">
        <v>-0.99989879999999998</v>
      </c>
      <c r="N4254">
        <v>-1.4227510000000001E-2</v>
      </c>
      <c r="O4254">
        <v>-6.4300920000000001E-4</v>
      </c>
      <c r="P4254">
        <v>-0.92252909999999999</v>
      </c>
      <c r="Q4254">
        <v>0.380527</v>
      </c>
      <c r="R4254">
        <v>-6.4340250000000002E-2</v>
      </c>
      <c r="S4254">
        <v>-3.4092099999999999</v>
      </c>
      <c r="T4254">
        <v>-0.36758550000000001</v>
      </c>
      <c r="U4254">
        <v>9.0408329999999995E-2</v>
      </c>
      <c r="V4254">
        <v>-6.3738760000000005E-2</v>
      </c>
      <c r="W4254">
        <v>0.39361560000000001</v>
      </c>
      <c r="X4254">
        <v>0.91706279999999996</v>
      </c>
      <c r="Y4254">
        <v>2.6972590000000001E-2</v>
      </c>
      <c r="Z4254">
        <v>1.7021969999999999E-3</v>
      </c>
      <c r="AA4254">
        <v>0.99963469999999999</v>
      </c>
      <c r="AB4254">
        <v>40</v>
      </c>
      <c r="AC4254">
        <v>-0.41960000000000203</v>
      </c>
      <c r="AD4254">
        <v>-8.95210000000001E-2</v>
      </c>
      <c r="AE4254">
        <v>2.2300000000001301E-2</v>
      </c>
      <c r="AF4254">
        <v>2.1589878739316799E-2</v>
      </c>
      <c r="AG4254">
        <v>-8.95210000000001E-2</v>
      </c>
      <c r="AH4254">
        <v>0.40136775136139902</v>
      </c>
      <c r="AI4254">
        <v>102.555866664421</v>
      </c>
      <c r="AJ4254">
        <v>86.920983507759999</v>
      </c>
      <c r="AK4254">
        <v>0.41179631389545501</v>
      </c>
      <c r="AL4254">
        <v>66.820340090147397</v>
      </c>
      <c r="AM4254">
        <v>93.975843778225993</v>
      </c>
      <c r="AN4254">
        <v>1.00000002461676</v>
      </c>
    </row>
    <row r="4255" spans="1:40" x14ac:dyDescent="0.25">
      <c r="A4255" t="str">
        <f>"20190304164455612"</f>
        <v>20190304164455612</v>
      </c>
      <c r="B4255" t="str">
        <f>"1551689095604010"</f>
        <v>1551689095604010</v>
      </c>
      <c r="C4255" t="s">
        <v>40</v>
      </c>
      <c r="D4255">
        <v>4.7011310000000002</v>
      </c>
      <c r="E4255">
        <v>0.55147740000000001</v>
      </c>
      <c r="F4255" t="s">
        <v>41</v>
      </c>
      <c r="G4255">
        <v>-328.50909999999999</v>
      </c>
      <c r="H4255">
        <v>1.0263819999999999</v>
      </c>
      <c r="I4255">
        <v>141.43639999999999</v>
      </c>
      <c r="J4255">
        <v>-328.11110000000002</v>
      </c>
      <c r="K4255">
        <v>1.1107479999999901</v>
      </c>
      <c r="L4255">
        <v>141.41679999999999</v>
      </c>
      <c r="M4255">
        <v>-0.99989870000000003</v>
      </c>
      <c r="N4255">
        <v>-1.422526E-2</v>
      </c>
      <c r="O4255">
        <v>-6.4356059999999896E-4</v>
      </c>
      <c r="P4255">
        <v>-0.92249619999999999</v>
      </c>
      <c r="Q4255">
        <v>0.38046190000000002</v>
      </c>
      <c r="R4255">
        <v>-6.5191349999999995E-2</v>
      </c>
      <c r="S4255">
        <v>-3.4103699999999999</v>
      </c>
      <c r="T4255">
        <v>-0.36990149999999999</v>
      </c>
      <c r="U4255">
        <v>8.3877560000000004E-2</v>
      </c>
      <c r="V4255">
        <v>-6.4587770000000003E-2</v>
      </c>
      <c r="W4255">
        <v>0.39354850000000002</v>
      </c>
      <c r="X4255">
        <v>0.91703219999999996</v>
      </c>
      <c r="Y4255">
        <v>2.5061710000000001E-2</v>
      </c>
      <c r="Z4255">
        <v>1.5943050000000001E-3</v>
      </c>
      <c r="AA4255">
        <v>0.99968460000000003</v>
      </c>
      <c r="AB4255">
        <v>40</v>
      </c>
      <c r="AC4255">
        <v>-0.39799999999996699</v>
      </c>
      <c r="AD4255">
        <v>-8.4365999999999899E-2</v>
      </c>
      <c r="AE4255">
        <v>1.9599999999996901E-2</v>
      </c>
      <c r="AF4255">
        <v>1.9004298150540298E-2</v>
      </c>
      <c r="AG4255">
        <v>-8.4365999999999899E-2</v>
      </c>
      <c r="AH4255">
        <v>0.38091301413566903</v>
      </c>
      <c r="AI4255">
        <v>102.47344697554399</v>
      </c>
      <c r="AJ4255">
        <v>87.143799421927994</v>
      </c>
      <c r="AK4255">
        <v>0.39060659190816899</v>
      </c>
      <c r="AL4255">
        <v>66.824522279149093</v>
      </c>
      <c r="AM4255">
        <v>94.028763374120999</v>
      </c>
      <c r="AN4255">
        <v>1.00000002886133</v>
      </c>
    </row>
    <row r="4256" spans="1:40" x14ac:dyDescent="0.25">
      <c r="A4256" t="str">
        <f>"20190304164455636"</f>
        <v>20190304164455636</v>
      </c>
      <c r="B4256" t="str">
        <f>"1551689095624507"</f>
        <v>1551689095624507</v>
      </c>
      <c r="C4256" t="s">
        <v>40</v>
      </c>
      <c r="D4256">
        <v>4.68201</v>
      </c>
      <c r="E4256">
        <v>0.55142829999999998</v>
      </c>
      <c r="F4256" t="s">
        <v>41</v>
      </c>
      <c r="G4256">
        <v>-328.8657</v>
      </c>
      <c r="H4256">
        <v>1.0286439999999999</v>
      </c>
      <c r="I4256">
        <v>141.43459999999999</v>
      </c>
      <c r="J4256">
        <v>-328.51749999999998</v>
      </c>
      <c r="K4256">
        <v>1.1107469999999999</v>
      </c>
      <c r="L4256">
        <v>141.41650000000001</v>
      </c>
      <c r="M4256">
        <v>-0.99989870000000003</v>
      </c>
      <c r="N4256">
        <v>-1.422287E-2</v>
      </c>
      <c r="O4256">
        <v>-6.4364130000000002E-4</v>
      </c>
      <c r="P4256">
        <v>-0.92208349999999994</v>
      </c>
      <c r="Q4256">
        <v>0.38122460000000002</v>
      </c>
      <c r="R4256">
        <v>-6.6558759999999995E-2</v>
      </c>
      <c r="S4256">
        <v>-3.410736</v>
      </c>
      <c r="T4256">
        <v>-0.371172</v>
      </c>
      <c r="U4256">
        <v>8.024597E-2</v>
      </c>
      <c r="V4256">
        <v>-6.5953699999999907E-2</v>
      </c>
      <c r="W4256">
        <v>0.39430320000000002</v>
      </c>
      <c r="X4256">
        <v>0.9166107</v>
      </c>
      <c r="Y4256">
        <v>2.4001350000000001E-2</v>
      </c>
      <c r="Z4256">
        <v>1.5339289999999901E-3</v>
      </c>
      <c r="AA4256">
        <v>0.99971069999999995</v>
      </c>
      <c r="AB4256">
        <v>40</v>
      </c>
      <c r="AC4256">
        <v>-0.34820000000001899</v>
      </c>
      <c r="AD4256">
        <v>-8.2102999999999801E-2</v>
      </c>
      <c r="AE4256">
        <v>1.80999999999755E-2</v>
      </c>
      <c r="AF4256">
        <v>1.73614700057435E-2</v>
      </c>
      <c r="AG4256">
        <v>-8.2102999999999801E-2</v>
      </c>
      <c r="AH4256">
        <v>0.32989608439495999</v>
      </c>
      <c r="AI4256">
        <v>103.95702177583</v>
      </c>
      <c r="AJ4256">
        <v>86.987469142182903</v>
      </c>
      <c r="AK4256">
        <v>0.34040233511080198</v>
      </c>
      <c r="AL4256">
        <v>66.777477459611106</v>
      </c>
      <c r="AM4256">
        <v>94.115561071117597</v>
      </c>
      <c r="AN4256">
        <v>1.0000000397141999</v>
      </c>
    </row>
    <row r="4257" spans="1:40" x14ac:dyDescent="0.25">
      <c r="A4257" t="str">
        <f>"20190304164455658"</f>
        <v>20190304164455658</v>
      </c>
      <c r="B4257" t="str">
        <f>"1551689095654763"</f>
        <v>1551689095654763</v>
      </c>
      <c r="C4257" t="s">
        <v>40</v>
      </c>
      <c r="D4257">
        <v>4.7085920000000003</v>
      </c>
      <c r="E4257">
        <v>0.55152819999999902</v>
      </c>
      <c r="F4257" t="s">
        <v>41</v>
      </c>
      <c r="G4257">
        <v>-329.56060000000002</v>
      </c>
      <c r="H4257">
        <v>0.99785469999999998</v>
      </c>
      <c r="I4257">
        <v>141.43979999999999</v>
      </c>
      <c r="J4257">
        <v>-328.9196</v>
      </c>
      <c r="K4257">
        <v>1.1107419999999999</v>
      </c>
      <c r="L4257">
        <v>141.4162</v>
      </c>
      <c r="M4257">
        <v>-0.99989890000000003</v>
      </c>
      <c r="N4257">
        <v>-1.4220450000000001E-2</v>
      </c>
      <c r="O4257">
        <v>-6.4372789999999995E-4</v>
      </c>
      <c r="P4257">
        <v>-0.92210190000000003</v>
      </c>
      <c r="Q4257">
        <v>0.38107010000000002</v>
      </c>
      <c r="R4257">
        <v>-6.7185610000000007E-2</v>
      </c>
      <c r="S4257">
        <v>-3.4116819999999999</v>
      </c>
      <c r="T4257">
        <v>-0.36918899999999999</v>
      </c>
      <c r="U4257">
        <v>7.6461790000000002E-2</v>
      </c>
      <c r="V4257">
        <v>-6.6579630000000001E-2</v>
      </c>
      <c r="W4257">
        <v>0.39414680000000002</v>
      </c>
      <c r="X4257">
        <v>0.91663269999999997</v>
      </c>
      <c r="Y4257">
        <v>2.2895660000000002E-2</v>
      </c>
      <c r="Z4257">
        <v>1.4587230000000001E-3</v>
      </c>
      <c r="AA4257">
        <v>0.99973679999999998</v>
      </c>
      <c r="AB4257">
        <v>40</v>
      </c>
      <c r="AC4257">
        <v>-0.641000000000019</v>
      </c>
      <c r="AD4257">
        <v>-0.1128873</v>
      </c>
      <c r="AE4257">
        <v>2.35999999999876E-2</v>
      </c>
      <c r="AF4257">
        <v>2.3291261854141501E-2</v>
      </c>
      <c r="AG4257">
        <v>-0.1128873</v>
      </c>
      <c r="AH4257">
        <v>0.621727786250033</v>
      </c>
      <c r="AI4257">
        <v>100.284037964833</v>
      </c>
      <c r="AJ4257">
        <v>87.8545799660737</v>
      </c>
      <c r="AK4257">
        <v>0.63232227983474998</v>
      </c>
      <c r="AL4257">
        <v>66.787227877418601</v>
      </c>
      <c r="AM4257">
        <v>94.154384097370396</v>
      </c>
      <c r="AN4257">
        <v>1.00000002689523</v>
      </c>
    </row>
    <row r="4258" spans="1:40" x14ac:dyDescent="0.25">
      <c r="A4258" t="str">
        <f>"20190304164455681"</f>
        <v>20190304164455681</v>
      </c>
      <c r="B4258" t="str">
        <f>"1551689095674283"</f>
        <v>1551689095674283</v>
      </c>
      <c r="C4258" t="s">
        <v>40</v>
      </c>
      <c r="D4258">
        <v>4.7034840000000004</v>
      </c>
      <c r="E4258">
        <v>0.55155900000000002</v>
      </c>
      <c r="F4258" t="s">
        <v>41</v>
      </c>
      <c r="G4258">
        <v>-329.91739999999999</v>
      </c>
      <c r="H4258">
        <v>1.0022799999999901</v>
      </c>
      <c r="I4258">
        <v>141.43870000000001</v>
      </c>
      <c r="J4258">
        <v>-329.33260000000001</v>
      </c>
      <c r="K4258">
        <v>1.110743</v>
      </c>
      <c r="L4258">
        <v>141.416</v>
      </c>
      <c r="M4258">
        <v>-0.99989890000000003</v>
      </c>
      <c r="N4258">
        <v>-1.4217779999999999E-2</v>
      </c>
      <c r="O4258">
        <v>-6.4405430000000002E-4</v>
      </c>
      <c r="P4258">
        <v>-0.9220526</v>
      </c>
      <c r="Q4258">
        <v>0.3812393</v>
      </c>
      <c r="R4258">
        <v>-6.6904160000000004E-2</v>
      </c>
      <c r="S4258">
        <v>-3.4122620000000001</v>
      </c>
      <c r="T4258">
        <v>-0.37092639999999999</v>
      </c>
      <c r="U4258">
        <v>7.6278689999999996E-2</v>
      </c>
      <c r="V4258">
        <v>-6.6297369999999994E-2</v>
      </c>
      <c r="W4258">
        <v>0.39431329999999998</v>
      </c>
      <c r="X4258">
        <v>0.91658150000000005</v>
      </c>
      <c r="Y4258">
        <v>2.2837619999999999E-2</v>
      </c>
      <c r="Z4258">
        <v>1.461054E-3</v>
      </c>
      <c r="AA4258">
        <v>0.99973809999999996</v>
      </c>
      <c r="AB4258">
        <v>40</v>
      </c>
      <c r="AC4258">
        <v>-0.58479999999997201</v>
      </c>
      <c r="AD4258">
        <v>-0.108463</v>
      </c>
      <c r="AE4258">
        <v>2.2700000000014601E-2</v>
      </c>
      <c r="AF4258">
        <v>2.2310371658388398E-2</v>
      </c>
      <c r="AG4258">
        <v>-0.108463</v>
      </c>
      <c r="AH4258">
        <v>0.56536635894496701</v>
      </c>
      <c r="AI4258">
        <v>100.85174312962999</v>
      </c>
      <c r="AJ4258">
        <v>87.740178200446195</v>
      </c>
      <c r="AK4258">
        <v>0.57610857907101498</v>
      </c>
      <c r="AL4258">
        <v>66.776846357589207</v>
      </c>
      <c r="AM4258">
        <v>94.137063411442796</v>
      </c>
      <c r="AN4258">
        <v>0.99999998298402804</v>
      </c>
    </row>
    <row r="4259" spans="1:40" x14ac:dyDescent="0.25">
      <c r="A4259" t="str">
        <f>"20190304164455703"</f>
        <v>20190304164455703</v>
      </c>
      <c r="B4259" t="str">
        <f>"1551689095694778"</f>
        <v>1551689095694778</v>
      </c>
      <c r="C4259" t="s">
        <v>40</v>
      </c>
      <c r="D4259">
        <v>4.7440629999999997</v>
      </c>
      <c r="E4259">
        <v>0.55163680000000004</v>
      </c>
      <c r="F4259" t="s">
        <v>41</v>
      </c>
      <c r="G4259">
        <v>-330.27480000000003</v>
      </c>
      <c r="H4259">
        <v>1.0084029999999999</v>
      </c>
      <c r="I4259">
        <v>141.43729999999999</v>
      </c>
      <c r="J4259">
        <v>-329.72539999999998</v>
      </c>
      <c r="K4259">
        <v>1.1107469999999999</v>
      </c>
      <c r="L4259">
        <v>141.41569999999999</v>
      </c>
      <c r="M4259">
        <v>-0.99989870000000003</v>
      </c>
      <c r="N4259">
        <v>-1.4215449999999999E-2</v>
      </c>
      <c r="O4259">
        <v>-6.4402959999999897E-4</v>
      </c>
      <c r="P4259">
        <v>-0.92215480000000005</v>
      </c>
      <c r="Q4259">
        <v>0.3810289</v>
      </c>
      <c r="R4259">
        <v>-6.6688910000000004E-2</v>
      </c>
      <c r="S4259">
        <v>-3.4124759999999998</v>
      </c>
      <c r="T4259">
        <v>-0.37061450000000001</v>
      </c>
      <c r="U4259">
        <v>7.7026369999999997E-2</v>
      </c>
      <c r="V4259">
        <v>-6.6081849999999998E-2</v>
      </c>
      <c r="W4259">
        <v>0.39410210000000001</v>
      </c>
      <c r="X4259">
        <v>0.9166879</v>
      </c>
      <c r="Y4259">
        <v>2.3053959999999998E-2</v>
      </c>
      <c r="Z4259">
        <v>1.4731029999999999E-3</v>
      </c>
      <c r="AA4259">
        <v>0.99973319999999999</v>
      </c>
      <c r="AB4259">
        <v>40</v>
      </c>
      <c r="AC4259">
        <v>-0.54940000000004796</v>
      </c>
      <c r="AD4259">
        <v>-0.10234399999999901</v>
      </c>
      <c r="AE4259">
        <v>2.1600000000006499E-2</v>
      </c>
      <c r="AF4259">
        <v>2.1218678883759199E-2</v>
      </c>
      <c r="AG4259">
        <v>-0.10234399999999901</v>
      </c>
      <c r="AH4259">
        <v>0.53098835209972395</v>
      </c>
      <c r="AI4259">
        <v>100.901055388565</v>
      </c>
      <c r="AJ4259">
        <v>87.711636726071504</v>
      </c>
      <c r="AK4259">
        <v>0.54117756488527102</v>
      </c>
      <c r="AL4259">
        <v>66.790013680680403</v>
      </c>
      <c r="AM4259">
        <v>94.123184100607304</v>
      </c>
      <c r="AN4259">
        <v>0.99999999106512105</v>
      </c>
    </row>
    <row r="4260" spans="1:40" x14ac:dyDescent="0.25">
      <c r="A4260" t="str">
        <f>"20190304164455725"</f>
        <v>20190304164455725</v>
      </c>
      <c r="B4260" t="str">
        <f>"1551689095714299"</f>
        <v>1551689095714299</v>
      </c>
      <c r="C4260" t="s">
        <v>40</v>
      </c>
      <c r="D4260">
        <v>4.7344580000000001</v>
      </c>
      <c r="E4260">
        <v>0.55167060000000001</v>
      </c>
      <c r="F4260" t="s">
        <v>41</v>
      </c>
      <c r="G4260">
        <v>-330.63069999999999</v>
      </c>
      <c r="H4260">
        <v>1.0120629999999999</v>
      </c>
      <c r="I4260">
        <v>141.43639999999999</v>
      </c>
      <c r="J4260">
        <v>-330.09980000000002</v>
      </c>
      <c r="K4260">
        <v>1.1107530000000001</v>
      </c>
      <c r="L4260">
        <v>141.41550000000001</v>
      </c>
      <c r="M4260">
        <v>-0.99989879999999998</v>
      </c>
      <c r="N4260">
        <v>-1.421333E-2</v>
      </c>
      <c r="O4260">
        <v>-6.4424730000000002E-4</v>
      </c>
      <c r="P4260">
        <v>-0.92235120000000004</v>
      </c>
      <c r="Q4260">
        <v>0.38051770000000001</v>
      </c>
      <c r="R4260">
        <v>-6.6893149999999998E-2</v>
      </c>
      <c r="S4260">
        <v>-3.412598</v>
      </c>
      <c r="T4260">
        <v>-0.37204619999999999</v>
      </c>
      <c r="U4260">
        <v>7.7331540000000004E-2</v>
      </c>
      <c r="V4260">
        <v>-6.6284700000000002E-2</v>
      </c>
      <c r="W4260">
        <v>0.39359189999999999</v>
      </c>
      <c r="X4260">
        <v>0.9168925</v>
      </c>
      <c r="Y4260">
        <v>2.3141020000000002E-2</v>
      </c>
      <c r="Z4260">
        <v>1.4834689999999901E-3</v>
      </c>
      <c r="AA4260">
        <v>0.99973109999999998</v>
      </c>
      <c r="AB4260">
        <v>40</v>
      </c>
      <c r="AC4260">
        <v>-0.53089999999997395</v>
      </c>
      <c r="AD4260">
        <v>-9.8690000000000097E-2</v>
      </c>
      <c r="AE4260">
        <v>2.0899999999983199E-2</v>
      </c>
      <c r="AF4260">
        <v>2.05336040986729E-2</v>
      </c>
      <c r="AG4260">
        <v>-9.8690000000000097E-2</v>
      </c>
      <c r="AH4260">
        <v>0.51318050513358604</v>
      </c>
      <c r="AI4260">
        <v>100.877186418406</v>
      </c>
      <c r="AJ4260">
        <v>87.708678344854405</v>
      </c>
      <c r="AK4260">
        <v>0.52298716604372197</v>
      </c>
      <c r="AL4260">
        <v>66.8218178791291</v>
      </c>
      <c r="AM4260">
        <v>94.134877414430505</v>
      </c>
      <c r="AN4260">
        <v>1.0000000508779701</v>
      </c>
    </row>
    <row r="4261" spans="1:40" x14ac:dyDescent="0.25">
      <c r="A4261" t="str">
        <f>"20190304164455746"</f>
        <v>20190304164455746</v>
      </c>
      <c r="B4261" t="str">
        <f>"1551689095734795"</f>
        <v>1551689095734795</v>
      </c>
      <c r="C4261" t="s">
        <v>40</v>
      </c>
      <c r="D4261">
        <v>4.987018</v>
      </c>
      <c r="E4261">
        <v>0.55184659999999996</v>
      </c>
      <c r="F4261" t="s">
        <v>41</v>
      </c>
      <c r="G4261">
        <v>-330.98520000000002</v>
      </c>
      <c r="H4261">
        <v>1.0134510000000001</v>
      </c>
      <c r="I4261">
        <v>141.43530000000001</v>
      </c>
      <c r="J4261">
        <v>-330.48939999999999</v>
      </c>
      <c r="K4261">
        <v>1.110754</v>
      </c>
      <c r="L4261">
        <v>141.4152</v>
      </c>
      <c r="M4261">
        <v>-0.99989890000000003</v>
      </c>
      <c r="N4261">
        <v>-1.4211110000000001E-2</v>
      </c>
      <c r="O4261">
        <v>-6.4458359999999999E-4</v>
      </c>
      <c r="P4261">
        <v>-0.92237069999999999</v>
      </c>
      <c r="Q4261">
        <v>0.38039299999999998</v>
      </c>
      <c r="R4261">
        <v>-6.7332760000000005E-2</v>
      </c>
      <c r="S4261">
        <v>-3.412811</v>
      </c>
      <c r="T4261">
        <v>-0.37499149999999998</v>
      </c>
      <c r="U4261">
        <v>7.6965329999999998E-2</v>
      </c>
      <c r="V4261">
        <v>-6.6724500000000006E-2</v>
      </c>
      <c r="W4261">
        <v>0.39346569999999997</v>
      </c>
      <c r="X4261">
        <v>0.91691469999999997</v>
      </c>
      <c r="Y4261">
        <v>2.3031119999999999E-2</v>
      </c>
      <c r="Z4261">
        <v>1.4870479999999999E-3</v>
      </c>
      <c r="AA4261">
        <v>0.9997336</v>
      </c>
      <c r="AB4261">
        <v>40</v>
      </c>
      <c r="AC4261">
        <v>-0.49580000000003099</v>
      </c>
      <c r="AD4261">
        <v>-9.7302999999999903E-2</v>
      </c>
      <c r="AE4261">
        <v>2.0100000000013499E-2</v>
      </c>
      <c r="AF4261">
        <v>1.9663499061572699E-2</v>
      </c>
      <c r="AG4261">
        <v>-9.7302999999999903E-2</v>
      </c>
      <c r="AH4261">
        <v>0.47742854882741598</v>
      </c>
      <c r="AI4261">
        <v>101.50998405208</v>
      </c>
      <c r="AJ4261">
        <v>87.641533761264299</v>
      </c>
      <c r="AK4261">
        <v>0.487639770978328</v>
      </c>
      <c r="AL4261">
        <v>66.829681788990598</v>
      </c>
      <c r="AM4261">
        <v>94.162115867331295</v>
      </c>
      <c r="AN4261">
        <v>0.99999999152641394</v>
      </c>
    </row>
    <row r="4262" spans="1:40" x14ac:dyDescent="0.25">
      <c r="A4262" t="str">
        <f>"20190304164455769"</f>
        <v>20190304164455769</v>
      </c>
      <c r="B4262" t="str">
        <f>"1551689095764074"</f>
        <v>1551689095764074</v>
      </c>
      <c r="C4262" t="s">
        <v>40</v>
      </c>
      <c r="D4262">
        <v>4.7398030000000002</v>
      </c>
      <c r="E4262">
        <v>0.55186610000000003</v>
      </c>
      <c r="F4262" t="s">
        <v>41</v>
      </c>
      <c r="G4262">
        <v>-331.34039999999999</v>
      </c>
      <c r="H4262">
        <v>1.0167349999999999</v>
      </c>
      <c r="I4262">
        <v>141.43520000000001</v>
      </c>
      <c r="J4262">
        <v>-330.90190000000001</v>
      </c>
      <c r="K4262">
        <v>1.1107560000000001</v>
      </c>
      <c r="L4262">
        <v>141.41489999999999</v>
      </c>
      <c r="M4262">
        <v>-0.99989879999999998</v>
      </c>
      <c r="N4262">
        <v>-1.4208729999999999E-2</v>
      </c>
      <c r="O4262">
        <v>-6.4468100000000003E-4</v>
      </c>
      <c r="P4262">
        <v>-0.9222882</v>
      </c>
      <c r="Q4262">
        <v>0.38064399999999998</v>
      </c>
      <c r="R4262">
        <v>-6.7044339999999994E-2</v>
      </c>
      <c r="S4262">
        <v>-3.4138489999999999</v>
      </c>
      <c r="T4262">
        <v>-0.37728519999999999</v>
      </c>
      <c r="U4262">
        <v>7.91626E-2</v>
      </c>
      <c r="V4262">
        <v>-6.6434850000000004E-2</v>
      </c>
      <c r="W4262">
        <v>0.39371279999999997</v>
      </c>
      <c r="X4262">
        <v>0.91682960000000002</v>
      </c>
      <c r="Y4262">
        <v>2.3661399999999999E-2</v>
      </c>
      <c r="Z4262">
        <v>1.533934E-3</v>
      </c>
      <c r="AA4262">
        <v>0.99971880000000002</v>
      </c>
      <c r="AB4262">
        <v>40</v>
      </c>
      <c r="AC4262">
        <v>-0.43849999999997602</v>
      </c>
      <c r="AD4262">
        <v>-9.4020999999999896E-2</v>
      </c>
      <c r="AE4262">
        <v>2.0300000000020101E-2</v>
      </c>
      <c r="AF4262">
        <v>1.9679892137053599E-2</v>
      </c>
      <c r="AG4262">
        <v>-9.4020999999999896E-2</v>
      </c>
      <c r="AH4262">
        <v>0.41925336443194999</v>
      </c>
      <c r="AI4262">
        <v>102.626466005387</v>
      </c>
      <c r="AJ4262">
        <v>87.312489808436695</v>
      </c>
      <c r="AK4262">
        <v>0.430116995924406</v>
      </c>
      <c r="AL4262">
        <v>66.814279601366394</v>
      </c>
      <c r="AM4262">
        <v>94.144494587012105</v>
      </c>
      <c r="AN4262">
        <v>0.99999993680725896</v>
      </c>
    </row>
    <row r="4263" spans="1:40" x14ac:dyDescent="0.25">
      <c r="A4263" t="str">
        <f>"20190304164455791"</f>
        <v>20190304164455791</v>
      </c>
      <c r="B4263" t="str">
        <f>"1551689095784570"</f>
        <v>1551689095784570</v>
      </c>
      <c r="C4263" t="s">
        <v>40</v>
      </c>
      <c r="D4263">
        <v>4.7632459999999996</v>
      </c>
      <c r="E4263">
        <v>0.55190709999999998</v>
      </c>
      <c r="F4263" t="s">
        <v>41</v>
      </c>
      <c r="G4263">
        <v>-331.69670000000002</v>
      </c>
      <c r="H4263">
        <v>1.0228729999999999</v>
      </c>
      <c r="I4263">
        <v>141.43369999999999</v>
      </c>
      <c r="J4263">
        <v>-331.28680000000003</v>
      </c>
      <c r="K4263">
        <v>1.1107560000000001</v>
      </c>
      <c r="L4263">
        <v>141.41470000000001</v>
      </c>
      <c r="M4263">
        <v>-0.99989899999999998</v>
      </c>
      <c r="N4263">
        <v>-1.420652E-2</v>
      </c>
      <c r="O4263">
        <v>-6.4513850000000002E-4</v>
      </c>
      <c r="P4263">
        <v>-0.92223100000000002</v>
      </c>
      <c r="Q4263">
        <v>0.3807992</v>
      </c>
      <c r="R4263">
        <v>-6.6949679999999998E-2</v>
      </c>
      <c r="S4263">
        <v>-3.4144589999999901</v>
      </c>
      <c r="T4263">
        <v>-0.3775693</v>
      </c>
      <c r="U4263">
        <v>8.0902100000000005E-2</v>
      </c>
      <c r="V4263">
        <v>-6.6340070000000001E-2</v>
      </c>
      <c r="W4263">
        <v>0.39386589999999999</v>
      </c>
      <c r="X4263">
        <v>0.9167708</v>
      </c>
      <c r="Y4263">
        <v>2.4163110000000002E-2</v>
      </c>
      <c r="Z4263">
        <v>1.565959E-3</v>
      </c>
      <c r="AA4263">
        <v>0.99970680000000001</v>
      </c>
      <c r="AB4263">
        <v>40</v>
      </c>
      <c r="AC4263">
        <v>-0.40989999999999299</v>
      </c>
      <c r="AD4263">
        <v>-8.7882999999999906E-2</v>
      </c>
      <c r="AE4263">
        <v>1.8999999999977001E-2</v>
      </c>
      <c r="AF4263">
        <v>1.8419572683776201E-2</v>
      </c>
      <c r="AG4263">
        <v>-8.7882999999999906E-2</v>
      </c>
      <c r="AH4263">
        <v>0.39191098632409599</v>
      </c>
      <c r="AI4263">
        <v>102.625563380717</v>
      </c>
      <c r="AJ4263">
        <v>87.309114157704698</v>
      </c>
      <c r="AK4263">
        <v>0.40206581992054302</v>
      </c>
      <c r="AL4263">
        <v>66.804738732046602</v>
      </c>
      <c r="AM4263">
        <v>94.138866878545798</v>
      </c>
      <c r="AN4263">
        <v>1.00000002590152</v>
      </c>
    </row>
    <row r="4264" spans="1:40" x14ac:dyDescent="0.25">
      <c r="A4264" t="str">
        <f>"20190304164455813"</f>
        <v>20190304164455813</v>
      </c>
      <c r="B4264" t="str">
        <f>"1551689095804090"</f>
        <v>1551689095804090</v>
      </c>
      <c r="C4264" t="s">
        <v>40</v>
      </c>
      <c r="D4264">
        <v>4.7101569999999997</v>
      </c>
      <c r="E4264">
        <v>0.55194200000000004</v>
      </c>
      <c r="F4264" t="s">
        <v>41</v>
      </c>
      <c r="G4264">
        <v>-332.0514</v>
      </c>
      <c r="H4264">
        <v>1.0263370000000001</v>
      </c>
      <c r="I4264">
        <v>141.43289999999999</v>
      </c>
      <c r="J4264">
        <v>-331.66489999999999</v>
      </c>
      <c r="K4264">
        <v>1.110749</v>
      </c>
      <c r="L4264">
        <v>141.4144</v>
      </c>
      <c r="M4264">
        <v>-0.99989899999999998</v>
      </c>
      <c r="N4264">
        <v>-1.420418E-2</v>
      </c>
      <c r="O4264">
        <v>-6.4535760000000004E-4</v>
      </c>
      <c r="P4264">
        <v>-0.92224879999999998</v>
      </c>
      <c r="Q4264">
        <v>0.3807451</v>
      </c>
      <c r="R4264">
        <v>-6.7013050000000005E-2</v>
      </c>
      <c r="S4264">
        <v>-3.41452</v>
      </c>
      <c r="T4264">
        <v>-0.37699709999999997</v>
      </c>
      <c r="U4264">
        <v>8.094788E-2</v>
      </c>
      <c r="V4264">
        <v>-6.6403019999999993E-2</v>
      </c>
      <c r="W4264">
        <v>0.39380929999999997</v>
      </c>
      <c r="X4264">
        <v>0.91679049999999995</v>
      </c>
      <c r="Y4264">
        <v>2.4176699999999999E-2</v>
      </c>
      <c r="Z4264">
        <v>1.56465799999999E-3</v>
      </c>
      <c r="AA4264">
        <v>0.9997064</v>
      </c>
      <c r="AB4264">
        <v>40</v>
      </c>
      <c r="AC4264">
        <v>-0.386500000000012</v>
      </c>
      <c r="AD4264">
        <v>-8.4411999999999904E-2</v>
      </c>
      <c r="AE4264">
        <v>1.84999999999888E-2</v>
      </c>
      <c r="AF4264">
        <v>1.7897700804738501E-2</v>
      </c>
      <c r="AG4264">
        <v>-8.4411999999999904E-2</v>
      </c>
      <c r="AH4264">
        <v>0.36893058075277002</v>
      </c>
      <c r="AI4264">
        <v>102.87291391155701</v>
      </c>
      <c r="AJ4264">
        <v>87.222622770192004</v>
      </c>
      <c r="AK4264">
        <v>0.37888716902617903</v>
      </c>
      <c r="AL4264">
        <v>66.808265522656598</v>
      </c>
      <c r="AM4264">
        <v>94.142691865877893</v>
      </c>
      <c r="AN4264">
        <v>0.99999997336092905</v>
      </c>
    </row>
    <row r="4265" spans="1:40" x14ac:dyDescent="0.25">
      <c r="A4265" t="str">
        <f>"20190304164455836"</f>
        <v>20190304164455836</v>
      </c>
      <c r="B4265" t="str">
        <f>"1551689095824586"</f>
        <v>1551689095824586</v>
      </c>
      <c r="C4265" t="s">
        <v>40</v>
      </c>
      <c r="D4265">
        <v>4.7127809999999997</v>
      </c>
      <c r="E4265">
        <v>0.55197109999999905</v>
      </c>
      <c r="F4265" t="s">
        <v>41</v>
      </c>
      <c r="G4265">
        <v>-332.40539999999999</v>
      </c>
      <c r="H4265">
        <v>1.028805</v>
      </c>
      <c r="I4265">
        <v>141.43190000000001</v>
      </c>
      <c r="J4265">
        <v>-332.06119999999999</v>
      </c>
      <c r="K4265">
        <v>1.110749</v>
      </c>
      <c r="L4265">
        <v>141.41419999999999</v>
      </c>
      <c r="M4265">
        <v>-0.99989899999999998</v>
      </c>
      <c r="N4265">
        <v>-1.4201709999999999E-2</v>
      </c>
      <c r="O4265">
        <v>-6.4533820000000003E-4</v>
      </c>
      <c r="P4265">
        <v>-0.92244979999999999</v>
      </c>
      <c r="Q4265">
        <v>0.38028450000000003</v>
      </c>
      <c r="R4265">
        <v>-6.685837E-2</v>
      </c>
      <c r="S4265">
        <v>-3.4147949999999998</v>
      </c>
      <c r="T4265">
        <v>-0.37791730000000001</v>
      </c>
      <c r="U4265">
        <v>8.0444340000000003E-2</v>
      </c>
      <c r="V4265">
        <v>-6.6248440000000006E-2</v>
      </c>
      <c r="W4265">
        <v>0.39334989999999997</v>
      </c>
      <c r="X4265">
        <v>0.91699889999999995</v>
      </c>
      <c r="Y4265">
        <v>2.4027719999999999E-2</v>
      </c>
      <c r="Z4265">
        <v>1.5586409999999999E-3</v>
      </c>
      <c r="AA4265">
        <v>0.99971010000000005</v>
      </c>
      <c r="AB4265">
        <v>39</v>
      </c>
      <c r="AC4265">
        <v>-0.34420000000000001</v>
      </c>
      <c r="AD4265">
        <v>-8.1944000000000003E-2</v>
      </c>
      <c r="AE4265">
        <v>1.77000000000191E-2</v>
      </c>
      <c r="AF4265">
        <v>1.6963241491223299E-2</v>
      </c>
      <c r="AG4265">
        <v>-8.1944000000000003E-2</v>
      </c>
      <c r="AH4265">
        <v>0.32577311545935</v>
      </c>
      <c r="AI4265">
        <v>104.100758509247</v>
      </c>
      <c r="AJ4265">
        <v>87.019259373602196</v>
      </c>
      <c r="AK4265">
        <v>0.33634906489238298</v>
      </c>
      <c r="AL4265">
        <v>66.836898562289207</v>
      </c>
      <c r="AM4265">
        <v>94.132145483894902</v>
      </c>
      <c r="AN4265">
        <v>0.99999999111682603</v>
      </c>
    </row>
    <row r="4266" spans="1:40" x14ac:dyDescent="0.25">
      <c r="A4266" t="str">
        <f>"20190304164455858"</f>
        <v>20190304164455858</v>
      </c>
      <c r="B4266" t="str">
        <f>"1551689095854842"</f>
        <v>1551689095854842</v>
      </c>
      <c r="C4266" t="s">
        <v>40</v>
      </c>
      <c r="D4266">
        <v>4.7269750000000004</v>
      </c>
      <c r="E4266">
        <v>0.55205269999999995</v>
      </c>
      <c r="F4266" t="s">
        <v>41</v>
      </c>
      <c r="G4266">
        <v>-333.09370000000001</v>
      </c>
      <c r="H4266">
        <v>0.99570239999999999</v>
      </c>
      <c r="I4266">
        <v>141.4384</v>
      </c>
      <c r="J4266">
        <v>-332.46269999999998</v>
      </c>
      <c r="K4266">
        <v>1.110752</v>
      </c>
      <c r="L4266">
        <v>141.41390000000001</v>
      </c>
      <c r="M4266">
        <v>-0.99989899999999998</v>
      </c>
      <c r="N4266">
        <v>-1.419926E-2</v>
      </c>
      <c r="O4266">
        <v>-6.455578E-4</v>
      </c>
      <c r="P4266">
        <v>-0.92252330000000005</v>
      </c>
      <c r="Q4266">
        <v>0.38006960000000001</v>
      </c>
      <c r="R4266">
        <v>-6.7067440000000006E-2</v>
      </c>
      <c r="S4266">
        <v>-3.4148860000000001</v>
      </c>
      <c r="T4266">
        <v>-0.38055420000000001</v>
      </c>
      <c r="U4266">
        <v>7.9696660000000002E-2</v>
      </c>
      <c r="V4266">
        <v>-6.6456699999999994E-2</v>
      </c>
      <c r="W4266">
        <v>0.39313379999999998</v>
      </c>
      <c r="X4266">
        <v>0.91707649999999996</v>
      </c>
      <c r="Y4266">
        <v>2.380786E-2</v>
      </c>
      <c r="Z4266">
        <v>1.554515E-3</v>
      </c>
      <c r="AA4266">
        <v>0.99971529999999997</v>
      </c>
      <c r="AB4266">
        <v>39</v>
      </c>
      <c r="AC4266">
        <v>-0.63100000000002798</v>
      </c>
      <c r="AD4266">
        <v>-0.115049599999999</v>
      </c>
      <c r="AE4266">
        <v>2.4499999999988999E-2</v>
      </c>
      <c r="AF4266">
        <v>2.4107173664718599E-2</v>
      </c>
      <c r="AG4266">
        <v>-0.115049599999999</v>
      </c>
      <c r="AH4266">
        <v>0.61071217860357196</v>
      </c>
      <c r="AI4266">
        <v>100.660573335197</v>
      </c>
      <c r="AJ4266">
        <v>87.739487411841395</v>
      </c>
      <c r="AK4266">
        <v>0.62192196566529301</v>
      </c>
      <c r="AL4266">
        <v>66.850365140181907</v>
      </c>
      <c r="AM4266">
        <v>94.144740655527698</v>
      </c>
      <c r="AN4266">
        <v>0.99999999226478997</v>
      </c>
    </row>
    <row r="4267" spans="1:40" x14ac:dyDescent="0.25">
      <c r="A4267" t="str">
        <f>"20190304164455882"</f>
        <v>20190304164455882</v>
      </c>
      <c r="B4267" t="str">
        <f>"1551689095874362"</f>
        <v>1551689095874362</v>
      </c>
      <c r="C4267" t="s">
        <v>40</v>
      </c>
      <c r="D4267">
        <v>4.6692669999999996</v>
      </c>
      <c r="E4267">
        <v>0.55438849999999995</v>
      </c>
      <c r="F4267" t="s">
        <v>41</v>
      </c>
      <c r="G4267">
        <v>-333.44799999999998</v>
      </c>
      <c r="H4267">
        <v>1.000478</v>
      </c>
      <c r="I4267">
        <v>141.43700000000001</v>
      </c>
      <c r="J4267">
        <v>-332.87020000000001</v>
      </c>
      <c r="K4267">
        <v>1.110751</v>
      </c>
      <c r="L4267">
        <v>141.41370000000001</v>
      </c>
      <c r="M4267">
        <v>-0.99989910000000004</v>
      </c>
      <c r="N4267">
        <v>-1.4196800000000001E-2</v>
      </c>
      <c r="O4267">
        <v>-6.4589669999999999E-4</v>
      </c>
      <c r="P4267">
        <v>-0.92272430000000005</v>
      </c>
      <c r="Q4267">
        <v>0.3796081</v>
      </c>
      <c r="R4267">
        <v>-6.6916249999999997E-2</v>
      </c>
      <c r="S4267">
        <v>-3.415222</v>
      </c>
      <c r="T4267">
        <v>-0.38227650000000002</v>
      </c>
      <c r="U4267">
        <v>7.9254149999999995E-2</v>
      </c>
      <c r="V4267">
        <v>-6.6305589999999998E-2</v>
      </c>
      <c r="W4267">
        <v>0.39267289999999999</v>
      </c>
      <c r="X4267">
        <v>0.91728489999999996</v>
      </c>
      <c r="Y4267">
        <v>2.3675959999999999E-2</v>
      </c>
      <c r="Z4267">
        <v>1.552363E-3</v>
      </c>
      <c r="AA4267">
        <v>0.99971849999999995</v>
      </c>
      <c r="AB4267">
        <v>39</v>
      </c>
      <c r="AC4267">
        <v>-0.57780000000002396</v>
      </c>
      <c r="AD4267">
        <v>-0.110273</v>
      </c>
      <c r="AE4267">
        <v>2.3300000000006E-2</v>
      </c>
      <c r="AF4267">
        <v>2.2842573018615499E-2</v>
      </c>
      <c r="AG4267">
        <v>-0.110273</v>
      </c>
      <c r="AH4267">
        <v>0.55751121045428098</v>
      </c>
      <c r="AI4267">
        <v>101.179266930144</v>
      </c>
      <c r="AJ4267">
        <v>87.653766647810698</v>
      </c>
      <c r="AK4267">
        <v>0.568771190772975</v>
      </c>
      <c r="AL4267">
        <v>66.879082698208904</v>
      </c>
      <c r="AM4267">
        <v>94.134412768748604</v>
      </c>
      <c r="AN4267">
        <v>1.00000001271383</v>
      </c>
    </row>
    <row r="4268" spans="1:40" x14ac:dyDescent="0.25">
      <c r="A4268" t="str">
        <f>"20190304164456009"</f>
        <v>20190304164456009</v>
      </c>
      <c r="B4268" t="str">
        <f>"1551689096004172"</f>
        <v>1551689096004172</v>
      </c>
      <c r="C4268" t="s">
        <v>40</v>
      </c>
      <c r="D4268">
        <v>4.6616489999999997</v>
      </c>
      <c r="E4268">
        <v>0.55937990000000004</v>
      </c>
      <c r="F4268" t="s">
        <v>41</v>
      </c>
      <c r="G4268">
        <v>-335.5489</v>
      </c>
      <c r="H4268">
        <v>0.99032869999999995</v>
      </c>
      <c r="I4268">
        <v>141.4324</v>
      </c>
      <c r="J4268">
        <v>-335.09570000000002</v>
      </c>
      <c r="K4268">
        <v>1.110776</v>
      </c>
      <c r="L4268">
        <v>141.41220000000001</v>
      </c>
      <c r="M4268">
        <v>-0.99989930000000005</v>
      </c>
      <c r="N4268">
        <v>-1.418349E-2</v>
      </c>
      <c r="O4268">
        <v>-6.4651460000000004E-4</v>
      </c>
      <c r="P4268">
        <v>-0.92242800000000003</v>
      </c>
      <c r="Q4268">
        <v>0.38070330000000002</v>
      </c>
      <c r="R4268">
        <v>-6.4747200000000005E-2</v>
      </c>
      <c r="S4268">
        <v>-3.495911</v>
      </c>
      <c r="T4268">
        <v>-0.57371319999999904</v>
      </c>
      <c r="U4268">
        <v>9.4146729999999998E-2</v>
      </c>
      <c r="V4268">
        <v>-6.4135689999999995E-2</v>
      </c>
      <c r="W4268">
        <v>0.39375100000000002</v>
      </c>
      <c r="X4268">
        <v>0.91697700000000004</v>
      </c>
      <c r="Y4268">
        <v>2.7164939999999999E-2</v>
      </c>
      <c r="Z4268">
        <v>2.5041600000000001E-3</v>
      </c>
      <c r="AA4268">
        <v>0.99962779999999996</v>
      </c>
      <c r="AB4268">
        <v>39</v>
      </c>
      <c r="AC4268">
        <v>-0.45319999999998101</v>
      </c>
      <c r="AD4268">
        <v>-0.12044729999999899</v>
      </c>
      <c r="AE4268">
        <v>2.0199999999988401E-2</v>
      </c>
      <c r="AF4268">
        <v>1.9143521481795499E-2</v>
      </c>
      <c r="AG4268">
        <v>-0.12044729999999899</v>
      </c>
      <c r="AH4268">
        <v>0.42334364101167399</v>
      </c>
      <c r="AI4268">
        <v>105.866411855788</v>
      </c>
      <c r="AJ4268">
        <v>87.410859226710897</v>
      </c>
      <c r="AK4268">
        <v>0.44056085263790201</v>
      </c>
      <c r="AL4268">
        <v>66.811900804930701</v>
      </c>
      <c r="AM4268">
        <v>94.000896112324796</v>
      </c>
      <c r="AN4268">
        <v>1.00000002763088</v>
      </c>
    </row>
    <row r="4269" spans="1:40" x14ac:dyDescent="0.25">
      <c r="A4269" t="str">
        <f>"20190304164456025"</f>
        <v>20190304164456025</v>
      </c>
      <c r="B4269" t="str">
        <f>"1551689096013932"</f>
        <v>1551689096013932</v>
      </c>
      <c r="C4269" t="s">
        <v>40</v>
      </c>
      <c r="D4269">
        <v>4.64696</v>
      </c>
      <c r="E4269">
        <v>0.55976380000000003</v>
      </c>
      <c r="F4269" t="s">
        <v>41</v>
      </c>
      <c r="G4269">
        <v>-335.90129999999999</v>
      </c>
      <c r="H4269">
        <v>0.99555839999999995</v>
      </c>
      <c r="I4269">
        <v>141.4434</v>
      </c>
      <c r="J4269">
        <v>-335.38869999999997</v>
      </c>
      <c r="K4269">
        <v>1.110773</v>
      </c>
      <c r="L4269">
        <v>141.41210000000001</v>
      </c>
      <c r="M4269">
        <v>-0.99989930000000005</v>
      </c>
      <c r="N4269">
        <v>-1.4181859999999999E-2</v>
      </c>
      <c r="O4269">
        <v>-6.4650289999999995E-4</v>
      </c>
      <c r="P4269">
        <v>-0.92246859999999997</v>
      </c>
      <c r="Q4269">
        <v>0.38067459999999997</v>
      </c>
      <c r="R4269">
        <v>-6.4333520000000005E-2</v>
      </c>
      <c r="S4269">
        <v>-3.4662480000000002</v>
      </c>
      <c r="T4269">
        <v>-0.4957683</v>
      </c>
      <c r="U4269">
        <v>0.1337585</v>
      </c>
      <c r="V4269">
        <v>-6.3721600000000003E-2</v>
      </c>
      <c r="W4269">
        <v>0.3937216</v>
      </c>
      <c r="X4269">
        <v>0.91701849999999996</v>
      </c>
      <c r="Y4269">
        <v>3.8767450000000002E-2</v>
      </c>
      <c r="Z4269">
        <v>3.116742E-3</v>
      </c>
      <c r="AA4269">
        <v>0.9992434</v>
      </c>
      <c r="AB4269">
        <v>39</v>
      </c>
      <c r="AC4269">
        <v>-0.51260000000002004</v>
      </c>
      <c r="AD4269">
        <v>-0.115214599999999</v>
      </c>
      <c r="AE4269">
        <v>3.12999999999874E-2</v>
      </c>
      <c r="AF4269">
        <v>3.0115652232410799E-2</v>
      </c>
      <c r="AG4269">
        <v>-0.115214599999999</v>
      </c>
      <c r="AH4269">
        <v>0.48801693425735798</v>
      </c>
      <c r="AI4269">
        <v>103.259244909904</v>
      </c>
      <c r="AJ4269">
        <v>86.468740496372305</v>
      </c>
      <c r="AK4269">
        <v>0.50233642579897997</v>
      </c>
      <c r="AL4269">
        <v>66.813733505804294</v>
      </c>
      <c r="AM4269">
        <v>93.974968218217299</v>
      </c>
      <c r="AN4269">
        <v>1.0000000349776801</v>
      </c>
    </row>
    <row r="4270" spans="1:40" x14ac:dyDescent="0.25">
      <c r="A4270" t="str">
        <f>"20190304164456049"</f>
        <v>20190304164456049</v>
      </c>
      <c r="B4270" t="str">
        <f>"1551689096044188"</f>
        <v>1551689096044188</v>
      </c>
      <c r="C4270" t="s">
        <v>40</v>
      </c>
      <c r="D4270">
        <v>4.6663690000000004</v>
      </c>
      <c r="E4270">
        <v>0.56083099999999997</v>
      </c>
      <c r="F4270" t="s">
        <v>41</v>
      </c>
      <c r="G4270">
        <v>-336.24979999999999</v>
      </c>
      <c r="H4270">
        <v>0.99306059999999996</v>
      </c>
      <c r="I4270">
        <v>141.4468</v>
      </c>
      <c r="J4270">
        <v>-335.79829999999998</v>
      </c>
      <c r="K4270">
        <v>1.110768</v>
      </c>
      <c r="L4270">
        <v>141.4118</v>
      </c>
      <c r="M4270">
        <v>-0.99989930000000005</v>
      </c>
      <c r="N4270">
        <v>-1.4179590000000001E-2</v>
      </c>
      <c r="O4270">
        <v>-6.4660569999999999E-4</v>
      </c>
      <c r="P4270">
        <v>-0.92256680000000002</v>
      </c>
      <c r="Q4270">
        <v>0.38048159999999998</v>
      </c>
      <c r="R4270">
        <v>-6.4065300000000006E-2</v>
      </c>
      <c r="S4270">
        <v>-3.4568789999999998</v>
      </c>
      <c r="T4270">
        <v>-0.47265239999999997</v>
      </c>
      <c r="U4270">
        <v>0.1388855</v>
      </c>
      <c r="V4270">
        <v>-6.3453599999999999E-2</v>
      </c>
      <c r="W4270">
        <v>0.39352789999999999</v>
      </c>
      <c r="X4270">
        <v>0.91712020000000005</v>
      </c>
      <c r="Y4270">
        <v>4.0371150000000001E-2</v>
      </c>
      <c r="Z4270">
        <v>3.1127160000000002E-3</v>
      </c>
      <c r="AA4270">
        <v>0.99917990000000001</v>
      </c>
      <c r="AB4270">
        <v>39</v>
      </c>
      <c r="AC4270">
        <v>-0.45150000000001</v>
      </c>
      <c r="AD4270">
        <v>-0.1177074</v>
      </c>
      <c r="AE4270">
        <v>3.4999999999996499E-2</v>
      </c>
      <c r="AF4270">
        <v>3.3058528232128098E-2</v>
      </c>
      <c r="AG4270">
        <v>-0.1177074</v>
      </c>
      <c r="AH4270">
        <v>0.42290573391950698</v>
      </c>
      <c r="AI4270">
        <v>105.50846282801</v>
      </c>
      <c r="AJ4270">
        <v>85.530280027769393</v>
      </c>
      <c r="AK4270">
        <v>0.44022398626793602</v>
      </c>
      <c r="AL4270">
        <v>66.825805815519502</v>
      </c>
      <c r="AM4270">
        <v>93.957866027389102</v>
      </c>
      <c r="AN4270">
        <v>1.0000000143397001</v>
      </c>
    </row>
    <row r="4271" spans="1:40" x14ac:dyDescent="0.25">
      <c r="A4271" t="str">
        <f>"20190304164456072"</f>
        <v>20190304164456072</v>
      </c>
      <c r="B4271" t="str">
        <f>"1551689096064682"</f>
        <v>1551689096064682</v>
      </c>
      <c r="C4271" t="s">
        <v>40</v>
      </c>
      <c r="D4271">
        <v>4.8083830000000001</v>
      </c>
      <c r="E4271">
        <v>0.56068969999999996</v>
      </c>
      <c r="F4271" t="s">
        <v>41</v>
      </c>
      <c r="G4271">
        <v>-336.60820000000001</v>
      </c>
      <c r="H4271">
        <v>1.0112380000000001</v>
      </c>
      <c r="I4271">
        <v>141.4478</v>
      </c>
      <c r="J4271">
        <v>-336.20359999999999</v>
      </c>
      <c r="K4271">
        <v>1.1107659999999999</v>
      </c>
      <c r="L4271">
        <v>141.41149999999999</v>
      </c>
      <c r="M4271">
        <v>-0.99989939999999999</v>
      </c>
      <c r="N4271">
        <v>-1.417734E-2</v>
      </c>
      <c r="O4271">
        <v>-6.4694699999999895E-4</v>
      </c>
      <c r="P4271">
        <v>-0.92266389999999998</v>
      </c>
      <c r="Q4271">
        <v>0.38035419999999998</v>
      </c>
      <c r="R4271">
        <v>-6.3420130000000005E-2</v>
      </c>
      <c r="S4271">
        <v>-3.4365839999999999</v>
      </c>
      <c r="T4271">
        <v>-0.42237829999999899</v>
      </c>
      <c r="U4271">
        <v>0.15269469999999999</v>
      </c>
      <c r="V4271">
        <v>-6.2807909999999995E-2</v>
      </c>
      <c r="W4271">
        <v>0.39340029999999998</v>
      </c>
      <c r="X4271">
        <v>0.91721929999999996</v>
      </c>
      <c r="Y4271">
        <v>4.4656460000000002E-2</v>
      </c>
      <c r="Z4271">
        <v>3.120753E-3</v>
      </c>
      <c r="AA4271">
        <v>0.99899749999999998</v>
      </c>
      <c r="AB4271">
        <v>39</v>
      </c>
      <c r="AC4271">
        <v>-0.404600000000016</v>
      </c>
      <c r="AD4271">
        <v>-9.9528000000000005E-2</v>
      </c>
      <c r="AE4271">
        <v>3.6300000000011302E-2</v>
      </c>
      <c r="AF4271">
        <v>3.4491313951130802E-2</v>
      </c>
      <c r="AG4271">
        <v>-9.9528000000000005E-2</v>
      </c>
      <c r="AH4271">
        <v>0.38166563899507699</v>
      </c>
      <c r="AI4271">
        <v>104.558887051019</v>
      </c>
      <c r="AJ4271">
        <v>84.836178720076006</v>
      </c>
      <c r="AK4271">
        <v>0.395934506593699</v>
      </c>
      <c r="AL4271">
        <v>66.833756298551293</v>
      </c>
      <c r="AM4271">
        <v>93.917295735054907</v>
      </c>
      <c r="AN4271">
        <v>0.99999993694557199</v>
      </c>
    </row>
    <row r="4272" spans="1:40" x14ac:dyDescent="0.25">
      <c r="A4272" t="str">
        <f>"20190304164456092"</f>
        <v>20190304164456092</v>
      </c>
      <c r="B4272" t="str">
        <f>"1551689096084202"</f>
        <v>1551689096084202</v>
      </c>
      <c r="C4272" t="s">
        <v>40</v>
      </c>
      <c r="D4272">
        <v>4.7828939999999998</v>
      </c>
      <c r="E4272">
        <v>0.56010090000000001</v>
      </c>
      <c r="F4272" t="s">
        <v>41</v>
      </c>
      <c r="G4272">
        <v>-336.96210000000002</v>
      </c>
      <c r="H4272">
        <v>1.0206770000000001</v>
      </c>
      <c r="I4272">
        <v>141.446</v>
      </c>
      <c r="J4272">
        <v>-336.57389999999998</v>
      </c>
      <c r="K4272">
        <v>1.110765</v>
      </c>
      <c r="L4272">
        <v>141.41130000000001</v>
      </c>
      <c r="M4272">
        <v>-0.99989939999999999</v>
      </c>
      <c r="N4272">
        <v>-1.417527E-2</v>
      </c>
      <c r="O4272">
        <v>-6.4717059999999996E-4</v>
      </c>
      <c r="P4272">
        <v>-0.92295000000000005</v>
      </c>
      <c r="Q4272">
        <v>0.37968079999999998</v>
      </c>
      <c r="R4272">
        <v>-6.3292219999999996E-2</v>
      </c>
      <c r="S4272">
        <v>-3.4300540000000002</v>
      </c>
      <c r="T4272">
        <v>-0.40741709999999998</v>
      </c>
      <c r="U4272">
        <v>0.15531919999999999</v>
      </c>
      <c r="V4272">
        <v>-6.267963E-2</v>
      </c>
      <c r="W4272">
        <v>0.39272859999999998</v>
      </c>
      <c r="X4272">
        <v>0.91751590000000005</v>
      </c>
      <c r="Y4272">
        <v>4.552076E-2</v>
      </c>
      <c r="Z4272">
        <v>3.0841129999999999E-3</v>
      </c>
      <c r="AA4272">
        <v>0.99895860000000003</v>
      </c>
      <c r="AB4272">
        <v>39</v>
      </c>
      <c r="AC4272">
        <v>-0.38820000000004001</v>
      </c>
      <c r="AD4272">
        <v>-9.0087999999999904E-2</v>
      </c>
      <c r="AE4272">
        <v>3.4699999999986603E-2</v>
      </c>
      <c r="AF4272">
        <v>3.31785931792924E-2</v>
      </c>
      <c r="AG4272">
        <v>-9.0087999999999904E-2</v>
      </c>
      <c r="AH4272">
        <v>0.368489887135239</v>
      </c>
      <c r="AI4272">
        <v>103.684864215587</v>
      </c>
      <c r="AJ4272">
        <v>84.8549984736608</v>
      </c>
      <c r="AK4272">
        <v>0.38079057723412502</v>
      </c>
      <c r="AL4272">
        <v>66.875611215458605</v>
      </c>
      <c r="AM4272">
        <v>93.908059987058806</v>
      </c>
      <c r="AN4272">
        <v>0.999999958013852</v>
      </c>
    </row>
    <row r="4273" spans="1:40" x14ac:dyDescent="0.25">
      <c r="A4273" t="str">
        <f>"20190304164456109"</f>
        <v>20190304164456109</v>
      </c>
      <c r="B4273" t="str">
        <f>"1551689096093962"</f>
        <v>1551689096093962</v>
      </c>
      <c r="C4273" t="s">
        <v>40</v>
      </c>
      <c r="D4273">
        <v>4.772532</v>
      </c>
      <c r="E4273">
        <v>0.55982679999999996</v>
      </c>
      <c r="F4273" t="s">
        <v>41</v>
      </c>
      <c r="G4273">
        <v>-337.31279999999998</v>
      </c>
      <c r="H4273">
        <v>1.0242929999999999</v>
      </c>
      <c r="I4273">
        <v>141.44399999999999</v>
      </c>
      <c r="J4273">
        <v>-336.85840000000002</v>
      </c>
      <c r="K4273">
        <v>1.110765</v>
      </c>
      <c r="L4273">
        <v>141.4111</v>
      </c>
      <c r="M4273">
        <v>-0.99989939999999999</v>
      </c>
      <c r="N4273">
        <v>-1.4173689999999999E-2</v>
      </c>
      <c r="O4273">
        <v>-6.471596E-4</v>
      </c>
      <c r="P4273">
        <v>-0.9231087</v>
      </c>
      <c r="Q4273">
        <v>0.37933810000000001</v>
      </c>
      <c r="R4273">
        <v>-6.3033859999999997E-2</v>
      </c>
      <c r="S4273">
        <v>-3.4257200000000001</v>
      </c>
      <c r="T4273">
        <v>-0.40083049999999998</v>
      </c>
      <c r="U4273">
        <v>0.151474</v>
      </c>
      <c r="V4273">
        <v>-6.2421360000000002E-2</v>
      </c>
      <c r="W4273">
        <v>0.39238659999999997</v>
      </c>
      <c r="X4273">
        <v>0.91767980000000005</v>
      </c>
      <c r="Y4273">
        <v>4.4476870000000002E-2</v>
      </c>
      <c r="Z4273">
        <v>2.9747939999999998E-3</v>
      </c>
      <c r="AA4273">
        <v>0.99900599999999995</v>
      </c>
      <c r="AB4273">
        <v>39</v>
      </c>
      <c r="AC4273">
        <v>-0.454399999999964</v>
      </c>
      <c r="AD4273">
        <v>-8.6471999999999799E-2</v>
      </c>
      <c r="AE4273">
        <v>3.2899999999983699E-2</v>
      </c>
      <c r="AF4273">
        <v>3.2039857029708803E-2</v>
      </c>
      <c r="AG4273">
        <v>-8.6471999999999799E-2</v>
      </c>
      <c r="AH4273">
        <v>0.43857882172120999</v>
      </c>
      <c r="AI4273">
        <v>101.124708457514</v>
      </c>
      <c r="AJ4273">
        <v>85.821746971001303</v>
      </c>
      <c r="AK4273">
        <v>0.44816887674720202</v>
      </c>
      <c r="AL4273">
        <v>66.896916237681907</v>
      </c>
      <c r="AM4273">
        <v>93.891313519421303</v>
      </c>
      <c r="AN4273">
        <v>0.99999994268592296</v>
      </c>
    </row>
    <row r="4274" spans="1:40" x14ac:dyDescent="0.25">
      <c r="A4274" t="str">
        <f>"20190304164456126"</f>
        <v>20190304164456126</v>
      </c>
      <c r="B4274" t="str">
        <f>"1551689096114459"</f>
        <v>1551689096114459</v>
      </c>
      <c r="C4274" t="s">
        <v>40</v>
      </c>
      <c r="D4274">
        <v>4.8079519999999896</v>
      </c>
      <c r="E4274">
        <v>0.55945</v>
      </c>
      <c r="F4274" t="s">
        <v>41</v>
      </c>
      <c r="G4274">
        <v>-337.6583</v>
      </c>
      <c r="H4274">
        <v>1.0178290000000001</v>
      </c>
      <c r="I4274">
        <v>141.44640000000001</v>
      </c>
      <c r="J4274">
        <v>-337.14339999999999</v>
      </c>
      <c r="K4274">
        <v>1.1107659999999999</v>
      </c>
      <c r="L4274">
        <v>141.4109</v>
      </c>
      <c r="M4274">
        <v>-0.99989939999999999</v>
      </c>
      <c r="N4274">
        <v>-1.41721E-2</v>
      </c>
      <c r="O4274">
        <v>-6.4714839999999998E-4</v>
      </c>
      <c r="P4274">
        <v>-0.92323889999999997</v>
      </c>
      <c r="Q4274">
        <v>0.37909379999999998</v>
      </c>
      <c r="R4274">
        <v>-6.2593309999999999E-2</v>
      </c>
      <c r="S4274">
        <v>-3.423645</v>
      </c>
      <c r="T4274">
        <v>-0.39781889999999998</v>
      </c>
      <c r="U4274">
        <v>0.15060419999999999</v>
      </c>
      <c r="V4274">
        <v>-6.1980710000000001E-2</v>
      </c>
      <c r="W4274">
        <v>0.39214270000000001</v>
      </c>
      <c r="X4274">
        <v>0.91781400000000002</v>
      </c>
      <c r="Y4274">
        <v>4.4256419999999998E-2</v>
      </c>
      <c r="Z4274">
        <v>2.9421130000000001E-3</v>
      </c>
      <c r="AA4274">
        <v>0.99901589999999996</v>
      </c>
      <c r="AB4274">
        <v>39</v>
      </c>
      <c r="AC4274">
        <v>-0.51490000000001102</v>
      </c>
      <c r="AD4274">
        <v>-9.2936999999999798E-2</v>
      </c>
      <c r="AE4274">
        <v>3.5500000000013097E-2</v>
      </c>
      <c r="AF4274">
        <v>3.4707861029357703E-2</v>
      </c>
      <c r="AG4274">
        <v>-9.2936999999999798E-2</v>
      </c>
      <c r="AH4274">
        <v>0.49870665026675198</v>
      </c>
      <c r="AI4274">
        <v>100.53142241261899</v>
      </c>
      <c r="AJ4274">
        <v>86.018876852406805</v>
      </c>
      <c r="AK4274">
        <v>0.50847836198457597</v>
      </c>
      <c r="AL4274">
        <v>66.9121102247192</v>
      </c>
      <c r="AM4274">
        <v>93.863363883916804</v>
      </c>
      <c r="AN4274">
        <v>1.0000000220856899</v>
      </c>
    </row>
    <row r="4275" spans="1:40" x14ac:dyDescent="0.25">
      <c r="A4275" t="str">
        <f>"20190304164456149"</f>
        <v>20190304164456149</v>
      </c>
      <c r="B4275" t="str">
        <f>"1551689096144715"</f>
        <v>1551689096144715</v>
      </c>
      <c r="C4275" t="s">
        <v>40</v>
      </c>
      <c r="D4275">
        <v>4.8005209999999998</v>
      </c>
      <c r="E4275">
        <v>0.55914059999999999</v>
      </c>
      <c r="F4275" t="s">
        <v>41</v>
      </c>
      <c r="G4275">
        <v>-338.00400000000002</v>
      </c>
      <c r="H4275">
        <v>1.01231</v>
      </c>
      <c r="I4275">
        <v>141.4485</v>
      </c>
      <c r="J4275">
        <v>-337.55689999999998</v>
      </c>
      <c r="K4275">
        <v>1.1107659999999999</v>
      </c>
      <c r="L4275">
        <v>141.41069999999999</v>
      </c>
      <c r="M4275">
        <v>-0.99989950000000005</v>
      </c>
      <c r="N4275">
        <v>-1.416978E-2</v>
      </c>
      <c r="O4275">
        <v>-6.473704E-4</v>
      </c>
      <c r="P4275">
        <v>-0.92316860000000001</v>
      </c>
      <c r="Q4275">
        <v>0.37932670000000002</v>
      </c>
      <c r="R4275">
        <v>-6.2217939999999999E-2</v>
      </c>
      <c r="S4275">
        <v>-3.4202270000000001</v>
      </c>
      <c r="T4275">
        <v>-0.39133800000000002</v>
      </c>
      <c r="U4275">
        <v>0.14909359999999999</v>
      </c>
      <c r="V4275">
        <v>-6.1605199999999999E-2</v>
      </c>
      <c r="W4275">
        <v>0.39237250000000001</v>
      </c>
      <c r="X4275">
        <v>0.91774109999999998</v>
      </c>
      <c r="Y4275">
        <v>4.3872559999999998E-2</v>
      </c>
      <c r="Z4275">
        <v>2.8773660000000001E-3</v>
      </c>
      <c r="AA4275">
        <v>0.99903299999999995</v>
      </c>
      <c r="AB4275">
        <v>39</v>
      </c>
      <c r="AC4275">
        <v>-0.44710000000003403</v>
      </c>
      <c r="AD4275">
        <v>-9.8455999999999794E-2</v>
      </c>
      <c r="AE4275">
        <v>3.7800000000004198E-2</v>
      </c>
      <c r="AF4275">
        <v>3.6339759331718201E-2</v>
      </c>
      <c r="AG4275">
        <v>-9.8455999999999794E-2</v>
      </c>
      <c r="AH4275">
        <v>0.42653829879072602</v>
      </c>
      <c r="AI4275">
        <v>102.952356571237</v>
      </c>
      <c r="AJ4275">
        <v>85.130334179726901</v>
      </c>
      <c r="AK4275">
        <v>0.43925969810531601</v>
      </c>
      <c r="AL4275">
        <v>66.897797242397999</v>
      </c>
      <c r="AM4275">
        <v>93.840332059280499</v>
      </c>
      <c r="AN4275">
        <v>1.0000000530262401</v>
      </c>
    </row>
    <row r="4276" spans="1:40" x14ac:dyDescent="0.25">
      <c r="A4276" t="str">
        <f>"20190304164456171"</f>
        <v>20190304164456171</v>
      </c>
      <c r="B4276" t="str">
        <f>"1551689096164234"</f>
        <v>1551689096164234</v>
      </c>
      <c r="C4276" t="s">
        <v>40</v>
      </c>
      <c r="D4276">
        <v>4.6111469999999999</v>
      </c>
      <c r="E4276">
        <v>0.55905190000000005</v>
      </c>
      <c r="F4276" t="s">
        <v>41</v>
      </c>
      <c r="G4276">
        <v>-338.3569</v>
      </c>
      <c r="H4276">
        <v>1.0218780000000001</v>
      </c>
      <c r="I4276">
        <v>141.44550000000001</v>
      </c>
      <c r="J4276">
        <v>-337.94080000000002</v>
      </c>
      <c r="K4276">
        <v>1.1107629999999999</v>
      </c>
      <c r="L4276">
        <v>141.41040000000001</v>
      </c>
      <c r="M4276">
        <v>-0.99989950000000005</v>
      </c>
      <c r="N4276">
        <v>-1.4167620000000001E-2</v>
      </c>
      <c r="O4276">
        <v>-6.4759330000000001E-4</v>
      </c>
      <c r="P4276">
        <v>-0.9230507</v>
      </c>
      <c r="Q4276">
        <v>0.3797431</v>
      </c>
      <c r="R4276">
        <v>-6.1422360000000002E-2</v>
      </c>
      <c r="S4276">
        <v>-3.4155579999999999</v>
      </c>
      <c r="T4276">
        <v>-0.3795094</v>
      </c>
      <c r="U4276">
        <v>0.1481171</v>
      </c>
      <c r="V4276">
        <v>-6.080932E-2</v>
      </c>
      <c r="W4276">
        <v>0.39278560000000001</v>
      </c>
      <c r="X4276">
        <v>0.91761740000000003</v>
      </c>
      <c r="Y4276">
        <v>4.3666009999999998E-2</v>
      </c>
      <c r="Z4276">
        <v>2.7904480000000001E-3</v>
      </c>
      <c r="AA4276">
        <v>0.99904230000000005</v>
      </c>
      <c r="AB4276">
        <v>39</v>
      </c>
      <c r="AC4276">
        <v>-0.41609999999997099</v>
      </c>
      <c r="AD4276">
        <v>-8.8884999999999798E-2</v>
      </c>
      <c r="AE4276">
        <v>3.5099999999999902E-2</v>
      </c>
      <c r="AF4276">
        <v>3.3836398100481599E-2</v>
      </c>
      <c r="AG4276">
        <v>-8.8884999999999798E-2</v>
      </c>
      <c r="AH4276">
        <v>0.39804237471690401</v>
      </c>
      <c r="AI4276">
        <v>102.544131291586</v>
      </c>
      <c r="AJ4276">
        <v>85.141137465308205</v>
      </c>
      <c r="AK4276">
        <v>0.40924708567280799</v>
      </c>
      <c r="AL4276">
        <v>66.872060938118494</v>
      </c>
      <c r="AM4276">
        <v>93.791373803613894</v>
      </c>
      <c r="AN4276">
        <v>0.99999999687449104</v>
      </c>
    </row>
    <row r="4277" spans="1:40" x14ac:dyDescent="0.25">
      <c r="A4277" t="str">
        <f>"20190304164456187"</f>
        <v>20190304164456187</v>
      </c>
      <c r="B4277" t="str">
        <f>"1551689096174971"</f>
        <v>1551689096174971</v>
      </c>
      <c r="C4277" t="s">
        <v>40</v>
      </c>
      <c r="D4277">
        <v>4.8330140000000004</v>
      </c>
      <c r="E4277">
        <v>0.55894580000000005</v>
      </c>
      <c r="F4277" t="s">
        <v>41</v>
      </c>
      <c r="G4277">
        <v>-338.7079</v>
      </c>
      <c r="H4277">
        <v>1.028329</v>
      </c>
      <c r="I4277">
        <v>141.4444</v>
      </c>
      <c r="J4277">
        <v>-338.21440000000001</v>
      </c>
      <c r="K4277">
        <v>1.1107629999999999</v>
      </c>
      <c r="L4277">
        <v>141.4102</v>
      </c>
      <c r="M4277">
        <v>-0.99989950000000005</v>
      </c>
      <c r="N4277">
        <v>-1.4166069999999999E-2</v>
      </c>
      <c r="O4277">
        <v>-6.4758239999999998E-4</v>
      </c>
      <c r="P4277">
        <v>-0.92305579999999998</v>
      </c>
      <c r="Q4277">
        <v>0.3797722</v>
      </c>
      <c r="R4277">
        <v>-6.1163629999999997E-2</v>
      </c>
      <c r="S4277">
        <v>-3.4109189999999998</v>
      </c>
      <c r="T4277">
        <v>-0.36655149999999997</v>
      </c>
      <c r="U4277">
        <v>0.1505127</v>
      </c>
      <c r="V4277">
        <v>-6.0551269999999997E-2</v>
      </c>
      <c r="W4277">
        <v>0.39281280000000002</v>
      </c>
      <c r="X4277">
        <v>0.91762290000000002</v>
      </c>
      <c r="Y4277">
        <v>4.4438749999999999E-2</v>
      </c>
      <c r="Z4277">
        <v>2.7559479999999998E-3</v>
      </c>
      <c r="AA4277">
        <v>0.99900829999999996</v>
      </c>
      <c r="AB4277">
        <v>39</v>
      </c>
      <c r="AC4277">
        <v>-0.49349999999998301</v>
      </c>
      <c r="AD4277">
        <v>-8.2433999999999896E-2</v>
      </c>
      <c r="AE4277">
        <v>3.4199999999998398E-2</v>
      </c>
      <c r="AF4277">
        <v>3.3586936658124997E-2</v>
      </c>
      <c r="AG4277">
        <v>-8.2433999999999896E-2</v>
      </c>
      <c r="AH4277">
        <v>0.48014468783896702</v>
      </c>
      <c r="AI4277">
        <v>99.718598245669597</v>
      </c>
      <c r="AJ4277">
        <v>85.998581020266798</v>
      </c>
      <c r="AK4277">
        <v>0.48832608770170799</v>
      </c>
      <c r="AL4277">
        <v>66.870368058146198</v>
      </c>
      <c r="AM4277">
        <v>93.775308821649006</v>
      </c>
      <c r="AN4277">
        <v>1.0000000693734199</v>
      </c>
    </row>
    <row r="4278" spans="1:40" x14ac:dyDescent="0.25">
      <c r="A4278" t="str">
        <f>"20190304164456204"</f>
        <v>20190304164456204</v>
      </c>
      <c r="B4278" t="str">
        <f>"1551689096194491"</f>
        <v>1551689096194491</v>
      </c>
      <c r="C4278" t="s">
        <v>40</v>
      </c>
      <c r="D4278">
        <v>4.7680089999999904</v>
      </c>
      <c r="E4278">
        <v>0.55883629999999995</v>
      </c>
      <c r="F4278" t="s">
        <v>41</v>
      </c>
      <c r="G4278">
        <v>-339.05200000000002</v>
      </c>
      <c r="H4278">
        <v>1.021261</v>
      </c>
      <c r="I4278">
        <v>141.44759999999999</v>
      </c>
      <c r="J4278">
        <v>-338.51319999999998</v>
      </c>
      <c r="K4278">
        <v>1.1107640000000001</v>
      </c>
      <c r="L4278">
        <v>141.41</v>
      </c>
      <c r="M4278">
        <v>-0.9998996</v>
      </c>
      <c r="N4278">
        <v>-1.4164380000000001E-2</v>
      </c>
      <c r="O4278">
        <v>-6.4768970000000003E-4</v>
      </c>
      <c r="P4278">
        <v>-0.9230353</v>
      </c>
      <c r="Q4278">
        <v>0.37987919999999997</v>
      </c>
      <c r="R4278">
        <v>-6.0812169999999999E-2</v>
      </c>
      <c r="S4278">
        <v>-3.4100039999999998</v>
      </c>
      <c r="T4278">
        <v>-0.36443219999999998</v>
      </c>
      <c r="U4278">
        <v>0.15078739999999999</v>
      </c>
      <c r="V4278">
        <v>-6.019915E-2</v>
      </c>
      <c r="W4278">
        <v>0.39291809999999999</v>
      </c>
      <c r="X4278">
        <v>0.91760090000000005</v>
      </c>
      <c r="Y4278">
        <v>4.4533379999999997E-2</v>
      </c>
      <c r="Z4278">
        <v>2.7481889999999998E-3</v>
      </c>
      <c r="AA4278">
        <v>0.99900409999999995</v>
      </c>
      <c r="AB4278">
        <v>39</v>
      </c>
      <c r="AC4278">
        <v>-0.53879999999997996</v>
      </c>
      <c r="AD4278">
        <v>-8.9502999999999805E-2</v>
      </c>
      <c r="AE4278">
        <v>3.7599999999997601E-2</v>
      </c>
      <c r="AF4278">
        <v>3.6934751504769901E-2</v>
      </c>
      <c r="AG4278">
        <v>-8.9502999999999805E-2</v>
      </c>
      <c r="AH4278">
        <v>0.52437585096254102</v>
      </c>
      <c r="AI4278">
        <v>99.662689889126298</v>
      </c>
      <c r="AJ4278">
        <v>85.970988881487798</v>
      </c>
      <c r="AK4278">
        <v>0.53324009221963797</v>
      </c>
      <c r="AL4278">
        <v>66.863805391011496</v>
      </c>
      <c r="AM4278">
        <v>93.753507178280302</v>
      </c>
      <c r="AN4278">
        <v>0.99999999132457096</v>
      </c>
    </row>
    <row r="4279" spans="1:40" x14ac:dyDescent="0.25">
      <c r="A4279" t="str">
        <f>"20190304164456226"</f>
        <v>20190304164456226</v>
      </c>
      <c r="B4279" t="str">
        <f>"1551689096214010"</f>
        <v>1551689096214010</v>
      </c>
      <c r="C4279" t="s">
        <v>40</v>
      </c>
      <c r="D4279">
        <v>4.8798409999999999</v>
      </c>
      <c r="E4279">
        <v>0.55868130000000005</v>
      </c>
      <c r="F4279" t="s">
        <v>41</v>
      </c>
      <c r="G4279">
        <v>-339.3974</v>
      </c>
      <c r="H4279">
        <v>1.0173639999999999</v>
      </c>
      <c r="I4279">
        <v>141.4496</v>
      </c>
      <c r="J4279">
        <v>-338.89760000000001</v>
      </c>
      <c r="K4279">
        <v>1.1107659999999999</v>
      </c>
      <c r="L4279">
        <v>141.40979999999999</v>
      </c>
      <c r="M4279">
        <v>-0.99989969999999995</v>
      </c>
      <c r="N4279">
        <v>-1.4162060000000001E-2</v>
      </c>
      <c r="O4279">
        <v>-6.4767329999999997E-4</v>
      </c>
      <c r="P4279">
        <v>-0.92304140000000001</v>
      </c>
      <c r="Q4279">
        <v>0.37986720000000002</v>
      </c>
      <c r="R4279">
        <v>-6.0793809999999997E-2</v>
      </c>
      <c r="S4279">
        <v>-3.4083559999999999</v>
      </c>
      <c r="T4279">
        <v>-0.36006899999999997</v>
      </c>
      <c r="U4279">
        <v>0.1518707</v>
      </c>
      <c r="V4279">
        <v>-6.0180730000000002E-2</v>
      </c>
      <c r="W4279">
        <v>0.39290409999999998</v>
      </c>
      <c r="X4279">
        <v>0.91760810000000004</v>
      </c>
      <c r="Y4279">
        <v>4.4875690000000003E-2</v>
      </c>
      <c r="Z4279">
        <v>2.7406539999999999E-3</v>
      </c>
      <c r="AA4279">
        <v>0.99898880000000001</v>
      </c>
      <c r="AB4279">
        <v>39</v>
      </c>
      <c r="AC4279">
        <v>-0.49979999999999303</v>
      </c>
      <c r="AD4279">
        <v>-9.3401999999999999E-2</v>
      </c>
      <c r="AE4279">
        <v>3.9800000000013797E-2</v>
      </c>
      <c r="AF4279">
        <v>3.8777994981300502E-2</v>
      </c>
      <c r="AG4279">
        <v>-9.3401999999999999E-2</v>
      </c>
      <c r="AH4279">
        <v>0.48301186268669499</v>
      </c>
      <c r="AI4279">
        <v>100.910180991413</v>
      </c>
      <c r="AJ4279">
        <v>85.409925834377901</v>
      </c>
      <c r="AK4279">
        <v>0.49348568975689699</v>
      </c>
      <c r="AL4279">
        <v>66.864677618755195</v>
      </c>
      <c r="AM4279">
        <v>93.752332586675607</v>
      </c>
      <c r="AN4279">
        <v>0.99999998862287598</v>
      </c>
    </row>
    <row r="4280" spans="1:40" x14ac:dyDescent="0.25">
      <c r="A4280" t="str">
        <f>"20190304164456242"</f>
        <v>20190304164456242</v>
      </c>
      <c r="B4280" t="str">
        <f>"1551689096234507"</f>
        <v>1551689096234507</v>
      </c>
      <c r="C4280" t="s">
        <v>40</v>
      </c>
      <c r="D4280">
        <v>4.8873920000000002</v>
      </c>
      <c r="E4280">
        <v>0.55855690000000002</v>
      </c>
      <c r="F4280" t="s">
        <v>41</v>
      </c>
      <c r="G4280">
        <v>-339.74669999999998</v>
      </c>
      <c r="H4280">
        <v>1.0218989999999999</v>
      </c>
      <c r="I4280">
        <v>141.44799999999901</v>
      </c>
      <c r="J4280">
        <v>-339.17520000000002</v>
      </c>
      <c r="K4280">
        <v>1.1107670000000001</v>
      </c>
      <c r="L4280">
        <v>141.40960000000001</v>
      </c>
      <c r="M4280">
        <v>-0.9998996</v>
      </c>
      <c r="N4280">
        <v>-1.416039E-2</v>
      </c>
      <c r="O4280">
        <v>-6.4766149999999996E-4</v>
      </c>
      <c r="P4280">
        <v>-0.92312850000000002</v>
      </c>
      <c r="Q4280">
        <v>0.3797123</v>
      </c>
      <c r="R4280">
        <v>-6.0435799999999998E-2</v>
      </c>
      <c r="S4280">
        <v>-3.40686</v>
      </c>
      <c r="T4280">
        <v>-0.35654770000000002</v>
      </c>
      <c r="U4280">
        <v>0.1520386</v>
      </c>
      <c r="V4280">
        <v>-5.9822729999999998E-2</v>
      </c>
      <c r="W4280">
        <v>0.39274920000000002</v>
      </c>
      <c r="X4280">
        <v>0.91769780000000001</v>
      </c>
      <c r="Y4280">
        <v>4.4948839999999997E-2</v>
      </c>
      <c r="Z4280">
        <v>2.7223379999999999E-3</v>
      </c>
      <c r="AA4280">
        <v>0.99898560000000003</v>
      </c>
      <c r="AB4280">
        <v>39</v>
      </c>
      <c r="AC4280">
        <v>-0.57149999999995704</v>
      </c>
      <c r="AD4280">
        <v>-8.88680000000001E-2</v>
      </c>
      <c r="AE4280">
        <v>3.8399999999967301E-2</v>
      </c>
      <c r="AF4280">
        <v>3.78588505914213E-2</v>
      </c>
      <c r="AG4280">
        <v>-8.88680000000001E-2</v>
      </c>
      <c r="AH4280">
        <v>0.55804213066879405</v>
      </c>
      <c r="AI4280">
        <v>99.027942745644495</v>
      </c>
      <c r="AJ4280">
        <v>86.118870777586295</v>
      </c>
      <c r="AK4280">
        <v>0.56634073983201205</v>
      </c>
      <c r="AL4280">
        <v>66.874328157450606</v>
      </c>
      <c r="AM4280">
        <v>93.729710544713498</v>
      </c>
      <c r="AN4280">
        <v>0.99999997262506601</v>
      </c>
    </row>
    <row r="4281" spans="1:40" x14ac:dyDescent="0.25">
      <c r="A4281" t="str">
        <f>"20190304164456256"</f>
        <v>20190304164456256</v>
      </c>
      <c r="B4281" t="str">
        <f>"1551689096245243"</f>
        <v>1551689096245243</v>
      </c>
      <c r="C4281" t="s">
        <v>40</v>
      </c>
      <c r="D4281">
        <v>4.8926509999999999</v>
      </c>
      <c r="E4281">
        <v>0.55849259999999901</v>
      </c>
      <c r="F4281" t="s">
        <v>41</v>
      </c>
      <c r="G4281">
        <v>-340.09039999999999</v>
      </c>
      <c r="H4281">
        <v>1.015512</v>
      </c>
      <c r="I4281">
        <v>141.45070000000001</v>
      </c>
      <c r="J4281">
        <v>-339.42590000000001</v>
      </c>
      <c r="K4281">
        <v>1.110773</v>
      </c>
      <c r="L4281">
        <v>141.40940000000001</v>
      </c>
      <c r="M4281">
        <v>-0.99989969999999995</v>
      </c>
      <c r="N4281">
        <v>-1.415898E-2</v>
      </c>
      <c r="O4281">
        <v>-6.4788970000000004E-4</v>
      </c>
      <c r="P4281">
        <v>-0.92307870000000003</v>
      </c>
      <c r="Q4281">
        <v>0.37984760000000001</v>
      </c>
      <c r="R4281">
        <v>-6.0348400000000003E-2</v>
      </c>
      <c r="S4281">
        <v>-3.4056090000000001</v>
      </c>
      <c r="T4281">
        <v>-0.35447869999999998</v>
      </c>
      <c r="U4281">
        <v>0.15263370000000001</v>
      </c>
      <c r="V4281">
        <v>-5.9735030000000001E-2</v>
      </c>
      <c r="W4281">
        <v>0.39288250000000002</v>
      </c>
      <c r="X4281">
        <v>0.91764650000000003</v>
      </c>
      <c r="Y4281">
        <v>4.5141319999999999E-2</v>
      </c>
      <c r="Z4281">
        <v>2.7206159999999999E-3</v>
      </c>
      <c r="AA4281">
        <v>0.99897689999999995</v>
      </c>
      <c r="AB4281">
        <v>39</v>
      </c>
      <c r="AC4281">
        <v>-0.664499999999975</v>
      </c>
      <c r="AD4281">
        <v>-9.5260999999999998E-2</v>
      </c>
      <c r="AE4281">
        <v>4.1300000000006699E-2</v>
      </c>
      <c r="AF4281">
        <v>4.0893377048922902E-2</v>
      </c>
      <c r="AG4281">
        <v>-9.5260999999999998E-2</v>
      </c>
      <c r="AH4281">
        <v>0.65114273291482305</v>
      </c>
      <c r="AI4281">
        <v>98.307085611581897</v>
      </c>
      <c r="AJ4281">
        <v>86.406402682119094</v>
      </c>
      <c r="AK4281">
        <v>0.65934344998282202</v>
      </c>
      <c r="AL4281">
        <v>66.866024097468198</v>
      </c>
      <c r="AM4281">
        <v>93.724465810490003</v>
      </c>
      <c r="AN4281">
        <v>1.0000000157888</v>
      </c>
    </row>
    <row r="4282" spans="1:40" x14ac:dyDescent="0.25">
      <c r="A4282" t="str">
        <f>"20190304164456272"</f>
        <v>20190304164456272</v>
      </c>
      <c r="B4282" t="str">
        <f>"1551689096264763"</f>
        <v>1551689096264763</v>
      </c>
      <c r="C4282" t="s">
        <v>40</v>
      </c>
      <c r="D4282">
        <v>4.9105540000000003</v>
      </c>
      <c r="E4282">
        <v>0.55834839999999997</v>
      </c>
      <c r="F4282" t="s">
        <v>41</v>
      </c>
      <c r="G4282">
        <v>-340.43239999999997</v>
      </c>
      <c r="H4282">
        <v>1.0063690000000001</v>
      </c>
      <c r="I4282">
        <v>141.4546</v>
      </c>
      <c r="J4282">
        <v>-339.7</v>
      </c>
      <c r="K4282">
        <v>1.1107769999999999</v>
      </c>
      <c r="L4282">
        <v>141.4092</v>
      </c>
      <c r="M4282">
        <v>-0.99989969999999995</v>
      </c>
      <c r="N4282">
        <v>-1.415756E-2</v>
      </c>
      <c r="O4282">
        <v>-6.4799870000000002E-4</v>
      </c>
      <c r="P4282">
        <v>-0.9229598</v>
      </c>
      <c r="Q4282">
        <v>0.38015670000000001</v>
      </c>
      <c r="R4282">
        <v>-6.0220290000000003E-2</v>
      </c>
      <c r="S4282">
        <v>-3.4053040000000001</v>
      </c>
      <c r="T4282">
        <v>-0.35330830000000002</v>
      </c>
      <c r="U4282">
        <v>0.1517944</v>
      </c>
      <c r="V4282">
        <v>-5.9606649999999997E-2</v>
      </c>
      <c r="W4282">
        <v>0.39318809999999998</v>
      </c>
      <c r="X4282">
        <v>0.91752389999999995</v>
      </c>
      <c r="Y4282">
        <v>4.4902869999999998E-2</v>
      </c>
      <c r="Z4282">
        <v>2.698878E-3</v>
      </c>
      <c r="AA4282">
        <v>0.99898770000000003</v>
      </c>
      <c r="AB4282">
        <v>39</v>
      </c>
      <c r="AC4282">
        <v>-0.73239999999998395</v>
      </c>
      <c r="AD4282">
        <v>-0.104408</v>
      </c>
      <c r="AE4282">
        <v>4.5400000000000697E-2</v>
      </c>
      <c r="AF4282">
        <v>4.4964355016471599E-2</v>
      </c>
      <c r="AG4282">
        <v>-0.104408</v>
      </c>
      <c r="AH4282">
        <v>0.71783820728557302</v>
      </c>
      <c r="AI4282">
        <v>98.259551583058297</v>
      </c>
      <c r="AJ4282">
        <v>86.415757410485995</v>
      </c>
      <c r="AK4282">
        <v>0.72678367863141602</v>
      </c>
      <c r="AL4282">
        <v>66.846980969347797</v>
      </c>
      <c r="AM4282">
        <v>93.716979009894303</v>
      </c>
      <c r="AN4282">
        <v>0.99999997088852</v>
      </c>
    </row>
    <row r="4283" spans="1:40" x14ac:dyDescent="0.25">
      <c r="A4283" t="str">
        <f>"20190304164456295"</f>
        <v>20190304164456295</v>
      </c>
      <c r="B4283" t="str">
        <f>"1551689096284283"</f>
        <v>1551689096284283</v>
      </c>
      <c r="C4283" t="s">
        <v>40</v>
      </c>
      <c r="D4283">
        <v>4.9013869999999997</v>
      </c>
      <c r="E4283">
        <v>0.55820719999999902</v>
      </c>
      <c r="F4283" t="s">
        <v>41</v>
      </c>
      <c r="G4283">
        <v>-340.4461</v>
      </c>
      <c r="H4283">
        <v>1.033936</v>
      </c>
      <c r="I4283">
        <v>141.4427</v>
      </c>
      <c r="J4283">
        <v>-340.0754</v>
      </c>
      <c r="K4283">
        <v>1.110779</v>
      </c>
      <c r="L4283">
        <v>141.40899999999999</v>
      </c>
      <c r="M4283">
        <v>-0.9998996</v>
      </c>
      <c r="N4283">
        <v>-1.4155600000000001E-2</v>
      </c>
      <c r="O4283">
        <v>-6.4798470000000002E-4</v>
      </c>
      <c r="P4283">
        <v>-0.92274259999999997</v>
      </c>
      <c r="Q4283">
        <v>0.38062829999999997</v>
      </c>
      <c r="R4283">
        <v>-6.0566509999999997E-2</v>
      </c>
      <c r="S4283">
        <v>-3.404785</v>
      </c>
      <c r="T4283">
        <v>-0.35074539999999998</v>
      </c>
      <c r="U4283">
        <v>0.15151979999999901</v>
      </c>
      <c r="V4283">
        <v>-5.9953239999999998E-2</v>
      </c>
      <c r="W4283">
        <v>0.39365549999999999</v>
      </c>
      <c r="X4283">
        <v>0.91730089999999997</v>
      </c>
      <c r="Y4283">
        <v>4.4833289999999998E-2</v>
      </c>
      <c r="Z4283">
        <v>2.6778769999999999E-3</v>
      </c>
      <c r="AA4283">
        <v>0.99899090000000001</v>
      </c>
      <c r="AB4283">
        <v>39</v>
      </c>
      <c r="AC4283">
        <v>-0.37069999999999897</v>
      </c>
      <c r="AD4283">
        <v>-7.6843000000000203E-2</v>
      </c>
      <c r="AE4283">
        <v>3.3700000000010201E-2</v>
      </c>
      <c r="AF4283">
        <v>3.2552898506835903E-2</v>
      </c>
      <c r="AG4283">
        <v>-7.6843000000000203E-2</v>
      </c>
      <c r="AH4283">
        <v>0.35552640087411203</v>
      </c>
      <c r="AI4283">
        <v>102.146929703753</v>
      </c>
      <c r="AJ4283">
        <v>84.768440581058599</v>
      </c>
      <c r="AK4283">
        <v>0.36518975830203199</v>
      </c>
      <c r="AL4283">
        <v>66.817852424285803</v>
      </c>
      <c r="AM4283">
        <v>93.739436988454003</v>
      </c>
      <c r="AN4283">
        <v>0.99999999240377802</v>
      </c>
    </row>
    <row r="4284" spans="1:40" x14ac:dyDescent="0.25">
      <c r="A4284" t="str">
        <f>"20190304164456316"</f>
        <v>20190304164456316</v>
      </c>
      <c r="B4284" t="str">
        <f>"1551689096304779"</f>
        <v>1551689096304779</v>
      </c>
      <c r="C4284" t="s">
        <v>40</v>
      </c>
      <c r="D4284">
        <v>4.9018990000000002</v>
      </c>
      <c r="E4284">
        <v>0.55808169999999901</v>
      </c>
      <c r="F4284" t="s">
        <v>41</v>
      </c>
      <c r="G4284">
        <v>-341.1234</v>
      </c>
      <c r="H4284">
        <v>1.0038069999999999</v>
      </c>
      <c r="I4284">
        <v>141.4556</v>
      </c>
      <c r="J4284">
        <v>-340.45400000000001</v>
      </c>
      <c r="K4284">
        <v>1.110779</v>
      </c>
      <c r="L4284">
        <v>141.40870000000001</v>
      </c>
      <c r="M4284">
        <v>-0.9998996</v>
      </c>
      <c r="N4284">
        <v>-1.4153590000000001E-2</v>
      </c>
      <c r="O4284">
        <v>-6.4797059999999998E-4</v>
      </c>
      <c r="P4284">
        <v>-0.92281380000000002</v>
      </c>
      <c r="Q4284">
        <v>0.38048009999999999</v>
      </c>
      <c r="R4284">
        <v>-6.0415150000000001E-2</v>
      </c>
      <c r="S4284">
        <v>-3.4044490000000001</v>
      </c>
      <c r="T4284">
        <v>-0.34750520000000001</v>
      </c>
      <c r="U4284">
        <v>0.150589</v>
      </c>
      <c r="V4284">
        <v>-5.9801689999999998E-2</v>
      </c>
      <c r="W4284">
        <v>0.39350600000000002</v>
      </c>
      <c r="X4284">
        <v>0.91737500000000005</v>
      </c>
      <c r="Y4284">
        <v>4.4571270000000003E-2</v>
      </c>
      <c r="Z4284">
        <v>2.6410980000000001E-3</v>
      </c>
      <c r="AA4284">
        <v>0.99900270000000002</v>
      </c>
      <c r="AB4284">
        <v>39</v>
      </c>
      <c r="AC4284">
        <v>-0.669399999999996</v>
      </c>
      <c r="AD4284">
        <v>-0.106972</v>
      </c>
      <c r="AE4284">
        <v>4.6899999999993697E-2</v>
      </c>
      <c r="AF4284">
        <v>4.6160739443531398E-2</v>
      </c>
      <c r="AG4284">
        <v>-0.106972</v>
      </c>
      <c r="AH4284">
        <v>0.65278087207241697</v>
      </c>
      <c r="AI4284">
        <v>99.283636430690294</v>
      </c>
      <c r="AJ4284">
        <v>85.955120005730507</v>
      </c>
      <c r="AK4284">
        <v>0.66309628983549496</v>
      </c>
      <c r="AL4284">
        <v>66.827171650190294</v>
      </c>
      <c r="AM4284">
        <v>93.729710708412895</v>
      </c>
      <c r="AN4284">
        <v>1.0000000523939201</v>
      </c>
    </row>
    <row r="4285" spans="1:40" x14ac:dyDescent="0.25">
      <c r="A4285" t="str">
        <f>"20190304164456332"</f>
        <v>20190304164456332</v>
      </c>
      <c r="B4285" t="str">
        <f>"1551689096324299"</f>
        <v>1551689096324299</v>
      </c>
      <c r="C4285" t="s">
        <v>40</v>
      </c>
      <c r="D4285">
        <v>4.8918530000000002</v>
      </c>
      <c r="E4285">
        <v>0.55796449999999997</v>
      </c>
      <c r="F4285" t="s">
        <v>41</v>
      </c>
      <c r="G4285">
        <v>-341.4708</v>
      </c>
      <c r="H4285">
        <v>1.007147</v>
      </c>
      <c r="I4285">
        <v>141.4539</v>
      </c>
      <c r="J4285">
        <v>-340.73439999999999</v>
      </c>
      <c r="K4285">
        <v>1.110779</v>
      </c>
      <c r="L4285">
        <v>141.40860000000001</v>
      </c>
      <c r="M4285">
        <v>-0.9998996</v>
      </c>
      <c r="N4285">
        <v>-1.4152110000000001E-2</v>
      </c>
      <c r="O4285">
        <v>-6.4819879999999995E-4</v>
      </c>
      <c r="P4285">
        <v>-0.92283269999999995</v>
      </c>
      <c r="Q4285">
        <v>0.38048149999999997</v>
      </c>
      <c r="R4285">
        <v>-6.0113109999999997E-2</v>
      </c>
      <c r="S4285">
        <v>-3.4038390000000001</v>
      </c>
      <c r="T4285">
        <v>-0.34695169999999997</v>
      </c>
      <c r="U4285">
        <v>0.15063480000000001</v>
      </c>
      <c r="V4285">
        <v>-5.9499839999999998E-2</v>
      </c>
      <c r="W4285">
        <v>0.39350649999999998</v>
      </c>
      <c r="X4285">
        <v>0.91739440000000005</v>
      </c>
      <c r="Y4285">
        <v>4.4593389999999997E-2</v>
      </c>
      <c r="Z4285">
        <v>2.6390810000000002E-3</v>
      </c>
      <c r="AA4285">
        <v>0.99900169999999999</v>
      </c>
      <c r="AB4285">
        <v>39</v>
      </c>
      <c r="AC4285">
        <v>-0.73640000000000305</v>
      </c>
      <c r="AD4285">
        <v>-0.103632</v>
      </c>
      <c r="AE4285">
        <v>4.5299999999997398E-2</v>
      </c>
      <c r="AF4285">
        <v>4.4891673907291298E-2</v>
      </c>
      <c r="AG4285">
        <v>-0.103632</v>
      </c>
      <c r="AH4285">
        <v>0.72212322459253497</v>
      </c>
      <c r="AI4285">
        <v>98.151240757285507</v>
      </c>
      <c r="AJ4285">
        <v>86.442715582024107</v>
      </c>
      <c r="AK4285">
        <v>0.730901364963918</v>
      </c>
      <c r="AL4285">
        <v>66.827140204532597</v>
      </c>
      <c r="AM4285">
        <v>93.710859414666601</v>
      </c>
      <c r="AN4285">
        <v>1.0000000408268099</v>
      </c>
    </row>
    <row r="4286" spans="1:40" x14ac:dyDescent="0.25">
      <c r="A4286" t="str">
        <f>"20190304164456350"</f>
        <v>20190304164456350</v>
      </c>
      <c r="B4286" t="str">
        <f>"1551689096344425"</f>
        <v>1551689096344425</v>
      </c>
      <c r="C4286" t="s">
        <v>40</v>
      </c>
      <c r="D4286">
        <v>4.8899660000000003</v>
      </c>
      <c r="E4286">
        <v>0.55785929999999995</v>
      </c>
      <c r="F4286" t="s">
        <v>41</v>
      </c>
      <c r="G4286">
        <v>-341.48439999999999</v>
      </c>
      <c r="H4286">
        <v>1.0345279999999999</v>
      </c>
      <c r="I4286">
        <v>141.4418</v>
      </c>
      <c r="J4286">
        <v>-341.03870000000001</v>
      </c>
      <c r="K4286">
        <v>1.1107800000000001</v>
      </c>
      <c r="L4286">
        <v>141.4084</v>
      </c>
      <c r="M4286">
        <v>-0.99989969999999995</v>
      </c>
      <c r="N4286">
        <v>-1.415049E-2</v>
      </c>
      <c r="O4286">
        <v>-6.4830659999999996E-4</v>
      </c>
      <c r="P4286">
        <v>-0.92304439999999999</v>
      </c>
      <c r="Q4286">
        <v>0.38004840000000001</v>
      </c>
      <c r="R4286">
        <v>-5.9600119999999999E-2</v>
      </c>
      <c r="S4286">
        <v>-3.4032589999999998</v>
      </c>
      <c r="T4286">
        <v>-0.34600069999999999</v>
      </c>
      <c r="U4286">
        <v>0.15013119999999999</v>
      </c>
      <c r="V4286">
        <v>-5.8986719999999999E-2</v>
      </c>
      <c r="W4286">
        <v>0.39307500000000001</v>
      </c>
      <c r="X4286">
        <v>0.91761239999999999</v>
      </c>
      <c r="Y4286">
        <v>4.4455580000000001E-2</v>
      </c>
      <c r="Z4286">
        <v>2.6251299999999998E-3</v>
      </c>
      <c r="AA4286">
        <v>0.99900789999999995</v>
      </c>
      <c r="AB4286">
        <v>39</v>
      </c>
      <c r="AC4286">
        <v>-0.44569999999998799</v>
      </c>
      <c r="AD4286">
        <v>-7.6251999999999695E-2</v>
      </c>
      <c r="AE4286">
        <v>3.3400000000000298E-2</v>
      </c>
      <c r="AF4286">
        <v>3.2736148082763997E-2</v>
      </c>
      <c r="AG4286">
        <v>-7.6251999999999695E-2</v>
      </c>
      <c r="AH4286">
        <v>0.43307314765584798</v>
      </c>
      <c r="AI4286">
        <v>99.957985572152595</v>
      </c>
      <c r="AJ4286">
        <v>85.677213149744404</v>
      </c>
      <c r="AK4286">
        <v>0.44095166868472202</v>
      </c>
      <c r="AL4286">
        <v>66.854028134538197</v>
      </c>
      <c r="AM4286">
        <v>93.678074025618997</v>
      </c>
      <c r="AN4286">
        <v>0.99999995269755804</v>
      </c>
    </row>
    <row r="4287" spans="1:40" x14ac:dyDescent="0.25">
      <c r="A4287" t="str">
        <f>"20190304164456372"</f>
        <v>20190304164456372</v>
      </c>
      <c r="B4287" t="str">
        <f>"1551689096364906"</f>
        <v>1551689096364906</v>
      </c>
      <c r="C4287" t="s">
        <v>40</v>
      </c>
      <c r="D4287">
        <v>4.88218</v>
      </c>
      <c r="E4287">
        <v>0.55775249999999998</v>
      </c>
      <c r="F4287" t="s">
        <v>41</v>
      </c>
      <c r="G4287">
        <v>-341.82760000000002</v>
      </c>
      <c r="H4287">
        <v>1.0299750000000001</v>
      </c>
      <c r="I4287">
        <v>141.44319999999999</v>
      </c>
      <c r="J4287">
        <v>-341.41840000000002</v>
      </c>
      <c r="K4287">
        <v>1.110781</v>
      </c>
      <c r="L4287">
        <v>141.40809999999999</v>
      </c>
      <c r="M4287">
        <v>-0.99989969999999995</v>
      </c>
      <c r="N4287">
        <v>-1.414843E-2</v>
      </c>
      <c r="O4287">
        <v>-6.4841119999999996E-4</v>
      </c>
      <c r="P4287">
        <v>-0.92311299999999996</v>
      </c>
      <c r="Q4287">
        <v>0.37981110000000001</v>
      </c>
      <c r="R4287">
        <v>-6.0049409999999998E-2</v>
      </c>
      <c r="S4287">
        <v>-3.4032900000000001</v>
      </c>
      <c r="T4287">
        <v>-0.348564599999999</v>
      </c>
      <c r="U4287">
        <v>0.14936830000000001</v>
      </c>
      <c r="V4287">
        <v>-5.9435679999999998E-2</v>
      </c>
      <c r="W4287">
        <v>0.39283649999999998</v>
      </c>
      <c r="X4287">
        <v>0.91768559999999999</v>
      </c>
      <c r="Y4287">
        <v>4.4229440000000002E-2</v>
      </c>
      <c r="Z4287">
        <v>2.6290390000000001E-3</v>
      </c>
      <c r="AA4287">
        <v>0.99901799999999996</v>
      </c>
      <c r="AB4287">
        <v>39</v>
      </c>
      <c r="AC4287">
        <v>-0.40919999999999801</v>
      </c>
      <c r="AD4287">
        <v>-8.0805999999999906E-2</v>
      </c>
      <c r="AE4287">
        <v>3.5099999999999902E-2</v>
      </c>
      <c r="AF4287">
        <v>3.4047348621777697E-2</v>
      </c>
      <c r="AG4287">
        <v>-8.0805999999999906E-2</v>
      </c>
      <c r="AH4287">
        <v>0.393927885197705</v>
      </c>
      <c r="AI4287">
        <v>101.55031654814699</v>
      </c>
      <c r="AJ4287">
        <v>85.060178389521397</v>
      </c>
      <c r="AK4287">
        <v>0.40356908989726797</v>
      </c>
      <c r="AL4287">
        <v>66.868889459898995</v>
      </c>
      <c r="AM4287">
        <v>93.705696089529695</v>
      </c>
      <c r="AN4287">
        <v>0.99999998811833601</v>
      </c>
    </row>
    <row r="4288" spans="1:40" x14ac:dyDescent="0.25">
      <c r="A4288" t="str">
        <f>"20190304164456395"</f>
        <v>20190304164456395</v>
      </c>
      <c r="B4288" t="str">
        <f>"1551689096384427"</f>
        <v>1551689096384427</v>
      </c>
      <c r="C4288" t="s">
        <v>40</v>
      </c>
      <c r="D4288">
        <v>4.8728600000000002</v>
      </c>
      <c r="E4288">
        <v>0.55765549999999997</v>
      </c>
      <c r="F4288" t="s">
        <v>41</v>
      </c>
      <c r="G4288">
        <v>-342.17439999999999</v>
      </c>
      <c r="H4288">
        <v>1.032967</v>
      </c>
      <c r="I4288">
        <v>141.44069999999999</v>
      </c>
      <c r="J4288">
        <v>-341.79689999999999</v>
      </c>
      <c r="K4288">
        <v>1.1107819999999999</v>
      </c>
      <c r="L4288">
        <v>141.40790000000001</v>
      </c>
      <c r="M4288">
        <v>-0.99989980000000001</v>
      </c>
      <c r="N4288">
        <v>-1.414618E-2</v>
      </c>
      <c r="O4288">
        <v>-6.4863330000000002E-4</v>
      </c>
      <c r="P4288">
        <v>-0.92337429999999998</v>
      </c>
      <c r="Q4288">
        <v>0.37910369999999999</v>
      </c>
      <c r="R4288">
        <v>-6.0501520000000003E-2</v>
      </c>
      <c r="S4288">
        <v>-3.4035639999999998</v>
      </c>
      <c r="T4288">
        <v>-0.35030149999999999</v>
      </c>
      <c r="U4288">
        <v>0.1463776</v>
      </c>
      <c r="V4288">
        <v>-5.9887160000000002E-2</v>
      </c>
      <c r="W4288">
        <v>0.3921308</v>
      </c>
      <c r="X4288">
        <v>0.91795800000000005</v>
      </c>
      <c r="Y4288">
        <v>4.3352729999999999E-2</v>
      </c>
      <c r="Z4288">
        <v>2.5891909999999998E-3</v>
      </c>
      <c r="AA4288">
        <v>0.99905650000000001</v>
      </c>
      <c r="AB4288">
        <v>39</v>
      </c>
      <c r="AC4288">
        <v>-0.377499999999997</v>
      </c>
      <c r="AD4288">
        <v>-7.7814999999999898E-2</v>
      </c>
      <c r="AE4288">
        <v>3.27999999999804E-2</v>
      </c>
      <c r="AF4288">
        <v>3.1707693123964202E-2</v>
      </c>
      <c r="AG4288">
        <v>-7.7814999999999898E-2</v>
      </c>
      <c r="AH4288">
        <v>0.36220371183699102</v>
      </c>
      <c r="AI4288">
        <v>102.080154884069</v>
      </c>
      <c r="AJ4288">
        <v>84.9970213091174</v>
      </c>
      <c r="AK4288">
        <v>0.37182264710038498</v>
      </c>
      <c r="AL4288">
        <v>66.912849965114205</v>
      </c>
      <c r="AM4288">
        <v>93.732660794901506</v>
      </c>
      <c r="AN4288">
        <v>0.99999996300275196</v>
      </c>
    </row>
    <row r="4289" spans="1:40" x14ac:dyDescent="0.25">
      <c r="A4289" t="str">
        <f>"20190304164456416"</f>
        <v>20190304164456416</v>
      </c>
      <c r="B4289" t="str">
        <f>"1551689096404923"</f>
        <v>1551689096404923</v>
      </c>
      <c r="C4289" t="s">
        <v>40</v>
      </c>
      <c r="D4289">
        <v>4.8492129999999998</v>
      </c>
      <c r="E4289">
        <v>0.5576044</v>
      </c>
      <c r="F4289" t="s">
        <v>41</v>
      </c>
      <c r="G4289">
        <v>-342.84829999999999</v>
      </c>
      <c r="H4289">
        <v>1.0016430000000001</v>
      </c>
      <c r="I4289">
        <v>141.453</v>
      </c>
      <c r="J4289">
        <v>-342.17239999999998</v>
      </c>
      <c r="K4289">
        <v>1.110784</v>
      </c>
      <c r="L4289">
        <v>141.4076</v>
      </c>
      <c r="M4289">
        <v>-0.99989980000000001</v>
      </c>
      <c r="N4289">
        <v>-1.4143930000000001E-2</v>
      </c>
      <c r="O4289">
        <v>-6.4657479999999997E-4</v>
      </c>
      <c r="P4289">
        <v>-0.92349270000000006</v>
      </c>
      <c r="Q4289">
        <v>0.37865969999999999</v>
      </c>
      <c r="R4289">
        <v>-6.146766E-2</v>
      </c>
      <c r="S4289">
        <v>-3.4035340000000001</v>
      </c>
      <c r="T4289">
        <v>-0.35332249999999998</v>
      </c>
      <c r="U4289">
        <v>0.145889299999999</v>
      </c>
      <c r="V4289">
        <v>-6.0854760000000001E-2</v>
      </c>
      <c r="W4289">
        <v>0.39168649999999999</v>
      </c>
      <c r="X4289">
        <v>0.91808409999999996</v>
      </c>
      <c r="Y4289">
        <v>4.3204640000000002E-2</v>
      </c>
      <c r="Z4289">
        <v>2.5999370000000001E-3</v>
      </c>
      <c r="AA4289">
        <v>0.99906280000000003</v>
      </c>
      <c r="AB4289">
        <v>39</v>
      </c>
      <c r="AC4289">
        <v>-0.67590000000001205</v>
      </c>
      <c r="AD4289">
        <v>-0.109140999999999</v>
      </c>
      <c r="AE4289">
        <v>4.5400000000000697E-2</v>
      </c>
      <c r="AF4289">
        <v>4.4677360042934398E-2</v>
      </c>
      <c r="AG4289">
        <v>-0.109140999999999</v>
      </c>
      <c r="AH4289">
        <v>0.65877073272226705</v>
      </c>
      <c r="AI4289">
        <v>99.385784393179605</v>
      </c>
      <c r="AJ4289">
        <v>86.120182273738905</v>
      </c>
      <c r="AK4289">
        <v>0.66924338074637602</v>
      </c>
      <c r="AL4289">
        <v>66.940521244814903</v>
      </c>
      <c r="AM4289">
        <v>93.792275531954601</v>
      </c>
      <c r="AN4289">
        <v>1.0000000153848501</v>
      </c>
    </row>
    <row r="4290" spans="1:40" x14ac:dyDescent="0.25">
      <c r="A4290" t="str">
        <f>"20190304164456439"</f>
        <v>20190304164456439</v>
      </c>
      <c r="B4290" t="str">
        <f>"1551689096434203"</f>
        <v>1551689096434203</v>
      </c>
      <c r="C4290" t="s">
        <v>40</v>
      </c>
      <c r="D4290">
        <v>4.8837199999999896</v>
      </c>
      <c r="E4290">
        <v>0.55756649999999996</v>
      </c>
      <c r="F4290" t="s">
        <v>41</v>
      </c>
      <c r="G4290">
        <v>-343.19400000000002</v>
      </c>
      <c r="H4290">
        <v>1.0041739999999999</v>
      </c>
      <c r="I4290">
        <v>141.45060000000001</v>
      </c>
      <c r="J4290">
        <v>-342.56990000000002</v>
      </c>
      <c r="K4290">
        <v>1.1107739999999999</v>
      </c>
      <c r="L4290">
        <v>141.4074</v>
      </c>
      <c r="M4290">
        <v>-0.99989989999999995</v>
      </c>
      <c r="N4290">
        <v>-1.4141630000000001E-2</v>
      </c>
      <c r="O4290">
        <v>-6.4163580000000005E-4</v>
      </c>
      <c r="P4290">
        <v>-0.92348050000000004</v>
      </c>
      <c r="Q4290">
        <v>0.378608</v>
      </c>
      <c r="R4290">
        <v>-6.1968130000000003E-2</v>
      </c>
      <c r="S4290">
        <v>-3.4036249999999999</v>
      </c>
      <c r="T4290">
        <v>-0.3551917</v>
      </c>
      <c r="U4290">
        <v>0.1425476</v>
      </c>
      <c r="V4290">
        <v>-6.1357509999999997E-2</v>
      </c>
      <c r="W4290">
        <v>0.39163330000000002</v>
      </c>
      <c r="X4290">
        <v>0.91807329999999998</v>
      </c>
      <c r="Y4290">
        <v>4.2222830000000003E-2</v>
      </c>
      <c r="Z4290">
        <v>2.5535129999999999E-3</v>
      </c>
      <c r="AA4290">
        <v>0.99910500000000002</v>
      </c>
      <c r="AB4290">
        <v>39</v>
      </c>
      <c r="AC4290">
        <v>-0.62409999999999799</v>
      </c>
      <c r="AD4290">
        <v>-0.1066</v>
      </c>
      <c r="AE4290">
        <v>4.3200000000012999E-2</v>
      </c>
      <c r="AF4290">
        <v>4.2370232737899E-2</v>
      </c>
      <c r="AG4290">
        <v>-0.1066</v>
      </c>
      <c r="AH4290">
        <v>0.60646315500956305</v>
      </c>
      <c r="AI4290">
        <v>99.945470509208207</v>
      </c>
      <c r="AJ4290">
        <v>86.003554015848906</v>
      </c>
      <c r="AK4290">
        <v>0.61721661919168802</v>
      </c>
      <c r="AL4290">
        <v>66.943833296656905</v>
      </c>
      <c r="AM4290">
        <v>93.823557610310203</v>
      </c>
      <c r="AN4290">
        <v>0.99999998493758901</v>
      </c>
    </row>
    <row r="4291" spans="1:40" x14ac:dyDescent="0.25">
      <c r="A4291" t="str">
        <f>"20190304164456463"</f>
        <v>20190304164456463</v>
      </c>
      <c r="B4291" t="str">
        <f>"1551689096454342"</f>
        <v>1551689096454342</v>
      </c>
      <c r="C4291" t="s">
        <v>40</v>
      </c>
      <c r="D4291">
        <v>4.8747829999999999</v>
      </c>
      <c r="E4291">
        <v>0.55755559999999904</v>
      </c>
      <c r="F4291" t="s">
        <v>41</v>
      </c>
      <c r="G4291">
        <v>-343.541</v>
      </c>
      <c r="H4291">
        <v>1.0097510000000001</v>
      </c>
      <c r="I4291">
        <v>141.44759999999999</v>
      </c>
      <c r="J4291">
        <v>-342.96800000000002</v>
      </c>
      <c r="K4291">
        <v>1.1107720000000001</v>
      </c>
      <c r="L4291">
        <v>141.40710000000001</v>
      </c>
      <c r="M4291">
        <v>-0.99989980000000001</v>
      </c>
      <c r="N4291">
        <v>-1.4139290000000001E-2</v>
      </c>
      <c r="O4291">
        <v>-6.3070339999999996E-4</v>
      </c>
      <c r="P4291">
        <v>-0.9233806</v>
      </c>
      <c r="Q4291">
        <v>0.37876140000000003</v>
      </c>
      <c r="R4291">
        <v>-6.2511899999999995E-2</v>
      </c>
      <c r="S4291">
        <v>-3.4031370000000001</v>
      </c>
      <c r="T4291">
        <v>-0.3541012</v>
      </c>
      <c r="U4291">
        <v>0.1400757</v>
      </c>
      <c r="V4291">
        <v>-6.1907400000000001E-2</v>
      </c>
      <c r="W4291">
        <v>0.3917834</v>
      </c>
      <c r="X4291">
        <v>0.91797240000000002</v>
      </c>
      <c r="Y4291">
        <v>4.1499330000000001E-2</v>
      </c>
      <c r="Z4291">
        <v>2.5032639999999998E-3</v>
      </c>
      <c r="AA4291">
        <v>0.99913540000000001</v>
      </c>
      <c r="AB4291">
        <v>39</v>
      </c>
      <c r="AC4291">
        <v>-0.57299999999997897</v>
      </c>
      <c r="AD4291">
        <v>-0.101020999999999</v>
      </c>
      <c r="AE4291">
        <v>4.0499999999980198E-2</v>
      </c>
      <c r="AF4291">
        <v>3.9635577579611801E-2</v>
      </c>
      <c r="AG4291">
        <v>-0.101020999999999</v>
      </c>
      <c r="AH4291">
        <v>0.55578509685461697</v>
      </c>
      <c r="AI4291">
        <v>100.276229341461</v>
      </c>
      <c r="AJ4291">
        <v>85.920881672387196</v>
      </c>
      <c r="AK4291">
        <v>0.56628022686366597</v>
      </c>
      <c r="AL4291">
        <v>66.934487688934496</v>
      </c>
      <c r="AM4291">
        <v>93.858144317034998</v>
      </c>
      <c r="AN4291">
        <v>1.0000000429260301</v>
      </c>
    </row>
    <row r="4292" spans="1:40" x14ac:dyDescent="0.25">
      <c r="A4292" t="str">
        <f>"20190304164456485"</f>
        <v>20190304164456485</v>
      </c>
      <c r="B4292" t="str">
        <f>"1551689096474837"</f>
        <v>1551689096474837</v>
      </c>
      <c r="C4292" t="s">
        <v>40</v>
      </c>
      <c r="D4292">
        <v>4.7860199999999997</v>
      </c>
      <c r="E4292">
        <v>0.55756629999999996</v>
      </c>
      <c r="F4292" t="s">
        <v>41</v>
      </c>
      <c r="G4292">
        <v>-343.88760000000002</v>
      </c>
      <c r="H4292">
        <v>1.0152749999999999</v>
      </c>
      <c r="I4292">
        <v>141.44450000000001</v>
      </c>
      <c r="J4292">
        <v>-343.35469999999998</v>
      </c>
      <c r="K4292">
        <v>1.11077</v>
      </c>
      <c r="L4292">
        <v>141.40690000000001</v>
      </c>
      <c r="M4292">
        <v>-0.99989989999999995</v>
      </c>
      <c r="N4292">
        <v>-1.4137E-2</v>
      </c>
      <c r="O4292">
        <v>-6.137855E-4</v>
      </c>
      <c r="P4292">
        <v>-0.92336300000000004</v>
      </c>
      <c r="Q4292">
        <v>0.37873489999999999</v>
      </c>
      <c r="R4292">
        <v>-6.2933290000000003E-2</v>
      </c>
      <c r="S4292">
        <v>-3.4032290000000001</v>
      </c>
      <c r="T4292">
        <v>-0.35345710000000002</v>
      </c>
      <c r="U4292">
        <v>0.1370392</v>
      </c>
      <c r="V4292">
        <v>-6.2339789999999999E-2</v>
      </c>
      <c r="W4292">
        <v>0.39175569999999998</v>
      </c>
      <c r="X4292">
        <v>0.91795490000000002</v>
      </c>
      <c r="Y4292">
        <v>4.0597769999999998E-2</v>
      </c>
      <c r="Z4292">
        <v>2.4445959999999998E-3</v>
      </c>
      <c r="AA4292">
        <v>0.99917259999999997</v>
      </c>
      <c r="AB4292">
        <v>38</v>
      </c>
      <c r="AC4292">
        <v>-0.53290000000004001</v>
      </c>
      <c r="AD4292">
        <v>-9.5495000000000094E-2</v>
      </c>
      <c r="AE4292">
        <v>3.7599999999997601E-2</v>
      </c>
      <c r="AF4292">
        <v>3.6752747337744099E-2</v>
      </c>
      <c r="AG4292">
        <v>-9.5495000000000094E-2</v>
      </c>
      <c r="AH4292">
        <v>0.51637696920159104</v>
      </c>
      <c r="AI4292">
        <v>100.45163648477499</v>
      </c>
      <c r="AJ4292">
        <v>85.928880635352101</v>
      </c>
      <c r="AK4292">
        <v>0.52641735703117998</v>
      </c>
      <c r="AL4292">
        <v>66.936211335300996</v>
      </c>
      <c r="AM4292">
        <v>93.885082988854805</v>
      </c>
      <c r="AN4292">
        <v>0.99999998816687197</v>
      </c>
    </row>
    <row r="4293" spans="1:40" x14ac:dyDescent="0.25">
      <c r="A4293" t="str">
        <f>"20190304164456506"</f>
        <v>20190304164456506</v>
      </c>
      <c r="B4293" t="str">
        <f>"1551689096494358"</f>
        <v>1551689096494358</v>
      </c>
      <c r="C4293" t="s">
        <v>40</v>
      </c>
      <c r="D4293">
        <v>4.9551720000000001</v>
      </c>
      <c r="E4293">
        <v>0.55750140000000004</v>
      </c>
      <c r="F4293" t="s">
        <v>41</v>
      </c>
      <c r="G4293">
        <v>-344.23340000000002</v>
      </c>
      <c r="H4293">
        <v>1.0196160000000001</v>
      </c>
      <c r="I4293">
        <v>141.4418</v>
      </c>
      <c r="J4293">
        <v>-343.72219999999999</v>
      </c>
      <c r="K4293">
        <v>1.110757</v>
      </c>
      <c r="L4293">
        <v>141.4067</v>
      </c>
      <c r="M4293">
        <v>-0.99989989999999995</v>
      </c>
      <c r="N4293">
        <v>-1.4134799999999901E-2</v>
      </c>
      <c r="O4293">
        <v>-5.9174550000000003E-4</v>
      </c>
      <c r="P4293">
        <v>-0.92344219999999999</v>
      </c>
      <c r="Q4293">
        <v>0.37858259999999999</v>
      </c>
      <c r="R4293">
        <v>-6.2688960000000002E-2</v>
      </c>
      <c r="S4293">
        <v>-3.4029850000000001</v>
      </c>
      <c r="T4293">
        <v>-0.35301939999999998</v>
      </c>
      <c r="U4293">
        <v>0.1348724</v>
      </c>
      <c r="V4293">
        <v>-6.2110449999999998E-2</v>
      </c>
      <c r="W4293">
        <v>0.39160309999999998</v>
      </c>
      <c r="X4293">
        <v>0.91803559999999995</v>
      </c>
      <c r="Y4293">
        <v>3.9948039999999997E-2</v>
      </c>
      <c r="Z4293">
        <v>2.4018870000000001E-3</v>
      </c>
      <c r="AA4293">
        <v>0.9991989</v>
      </c>
      <c r="AB4293">
        <v>38</v>
      </c>
      <c r="AC4293">
        <v>-0.51120000000002996</v>
      </c>
      <c r="AD4293">
        <v>-9.1140999999999903E-2</v>
      </c>
      <c r="AE4293">
        <v>3.5099999999999902E-2</v>
      </c>
      <c r="AF4293">
        <v>3.4316823202484699E-2</v>
      </c>
      <c r="AG4293">
        <v>-9.1140999999999903E-2</v>
      </c>
      <c r="AH4293">
        <v>0.49550263473654499</v>
      </c>
      <c r="AI4293">
        <v>100.397925374637</v>
      </c>
      <c r="AJ4293">
        <v>86.038215763692705</v>
      </c>
      <c r="AK4293">
        <v>0.50498236332229296</v>
      </c>
      <c r="AL4293">
        <v>66.945714915837399</v>
      </c>
      <c r="AM4293">
        <v>93.870494570782895</v>
      </c>
      <c r="AN4293">
        <v>1.00000002939808</v>
      </c>
    </row>
    <row r="4294" spans="1:40" x14ac:dyDescent="0.25">
      <c r="A4294" t="str">
        <f>"20190304164456528"</f>
        <v>20190304164456528</v>
      </c>
      <c r="B4294" t="str">
        <f>"1551689096524613"</f>
        <v>1551689096524613</v>
      </c>
      <c r="C4294" t="s">
        <v>40</v>
      </c>
      <c r="D4294">
        <v>4.6594069999999999</v>
      </c>
      <c r="E4294">
        <v>0.47445150000000003</v>
      </c>
      <c r="F4294" t="s">
        <v>41</v>
      </c>
      <c r="G4294">
        <v>-344.5779</v>
      </c>
      <c r="H4294">
        <v>1.0218860000000001</v>
      </c>
      <c r="I4294">
        <v>141.44059999999999</v>
      </c>
      <c r="J4294">
        <v>-344.1046</v>
      </c>
      <c r="K4294">
        <v>1.110754</v>
      </c>
      <c r="L4294">
        <v>141.40649999999999</v>
      </c>
      <c r="M4294">
        <v>-0.99989989999999995</v>
      </c>
      <c r="N4294">
        <v>-1.4132469999999999E-2</v>
      </c>
      <c r="O4294">
        <v>-5.643477E-4</v>
      </c>
      <c r="P4294">
        <v>-0.92343059999999999</v>
      </c>
      <c r="Q4294">
        <v>0.37862059999999997</v>
      </c>
      <c r="R4294">
        <v>-6.2627139999999998E-2</v>
      </c>
      <c r="S4294">
        <v>-3.4027099999999999</v>
      </c>
      <c r="T4294">
        <v>-0.353495</v>
      </c>
      <c r="U4294">
        <v>0.13356019999999999</v>
      </c>
      <c r="V4294">
        <v>-6.206913E-2</v>
      </c>
      <c r="W4294">
        <v>0.39163940000000003</v>
      </c>
      <c r="X4294">
        <v>0.91802289999999998</v>
      </c>
      <c r="Y4294">
        <v>3.954104E-2</v>
      </c>
      <c r="Z4294">
        <v>2.3784660000000001E-3</v>
      </c>
      <c r="AA4294">
        <v>0.99921510000000002</v>
      </c>
      <c r="AB4294">
        <v>38</v>
      </c>
      <c r="AC4294">
        <v>-0.473299999999994</v>
      </c>
      <c r="AD4294">
        <v>-8.8867999999999905E-2</v>
      </c>
      <c r="AE4294">
        <v>3.40999999999951E-2</v>
      </c>
      <c r="AF4294">
        <v>3.3202621216000899E-2</v>
      </c>
      <c r="AG4294">
        <v>-8.8867999999999905E-2</v>
      </c>
      <c r="AH4294">
        <v>0.45724389705463803</v>
      </c>
      <c r="AI4294">
        <v>100.97046492643101</v>
      </c>
      <c r="AJ4294">
        <v>85.846774661683199</v>
      </c>
      <c r="AK4294">
        <v>0.46698170935629302</v>
      </c>
      <c r="AL4294">
        <v>66.943454323131604</v>
      </c>
      <c r="AM4294">
        <v>93.867980825913605</v>
      </c>
      <c r="AN4294">
        <v>1.0000000207278601</v>
      </c>
    </row>
    <row r="4295" spans="1:40" x14ac:dyDescent="0.25">
      <c r="A4295" t="str">
        <f>"20190304164456552"</f>
        <v>20190304164456552</v>
      </c>
      <c r="B4295" t="str">
        <f>"1551689096544920"</f>
        <v>1551689096544920</v>
      </c>
      <c r="C4295" t="s">
        <v>40</v>
      </c>
      <c r="D4295">
        <v>4.7180210000000002</v>
      </c>
      <c r="E4295">
        <v>0.4716052</v>
      </c>
      <c r="F4295" t="s">
        <v>42</v>
      </c>
      <c r="G4295">
        <v>-360.81599999999997</v>
      </c>
      <c r="H4295" s="1">
        <v>-4.0664529999999997E-6</v>
      </c>
      <c r="I4295">
        <v>138.8032</v>
      </c>
      <c r="J4295">
        <v>-344.5093</v>
      </c>
      <c r="K4295">
        <v>1.11076</v>
      </c>
      <c r="L4295">
        <v>141.40629999999999</v>
      </c>
      <c r="M4295">
        <v>-0.99990000000000001</v>
      </c>
      <c r="N4295">
        <v>-1.413002E-2</v>
      </c>
      <c r="O4295">
        <v>-5.3136139999999997E-4</v>
      </c>
      <c r="P4295">
        <v>-0.92316089999999995</v>
      </c>
      <c r="Q4295">
        <v>0.37929059999999998</v>
      </c>
      <c r="R4295">
        <v>-6.2550099999999997E-2</v>
      </c>
      <c r="S4295">
        <v>-3.3038940000000001</v>
      </c>
      <c r="T4295">
        <v>-0.21960080000000001</v>
      </c>
      <c r="U4295">
        <v>-0.51466369999999995</v>
      </c>
      <c r="V4295">
        <v>-6.2018959999999998E-2</v>
      </c>
      <c r="W4295">
        <v>0.39230409999999999</v>
      </c>
      <c r="X4295">
        <v>0.91774239999999996</v>
      </c>
      <c r="Y4295">
        <v>-0.15299299999999999</v>
      </c>
      <c r="Z4295">
        <v>-6.1098029999999996E-3</v>
      </c>
      <c r="AA4295">
        <v>0.98820839999999999</v>
      </c>
      <c r="AB4295">
        <v>38</v>
      </c>
      <c r="AC4295">
        <v>-16.3066999999999</v>
      </c>
      <c r="AD4295">
        <v>-1.1107640664530001</v>
      </c>
      <c r="AE4295">
        <v>-2.60309999999998</v>
      </c>
      <c r="AF4295">
        <v>-2.58274803771678</v>
      </c>
      <c r="AG4295">
        <v>-1.1107640664530001</v>
      </c>
      <c r="AH4295">
        <v>16.234625354651701</v>
      </c>
      <c r="AI4295">
        <v>93.865583851377295</v>
      </c>
      <c r="AJ4295">
        <v>99.039368288655396</v>
      </c>
      <c r="AK4295">
        <v>16.476269136049901</v>
      </c>
      <c r="AL4295">
        <v>66.902056238116302</v>
      </c>
      <c r="AM4295">
        <v>93.866041526280895</v>
      </c>
      <c r="AN4295">
        <v>0.99999998551702496</v>
      </c>
    </row>
    <row r="4296" spans="1:40" x14ac:dyDescent="0.25">
      <c r="A4296" t="str">
        <f>"20190304164456573"</f>
        <v>20190304164456573</v>
      </c>
      <c r="B4296" t="str">
        <f>"1551689096564420"</f>
        <v>1551689096564420</v>
      </c>
      <c r="C4296" t="s">
        <v>40</v>
      </c>
      <c r="D4296">
        <v>4.634525</v>
      </c>
      <c r="E4296">
        <v>0.47033970000000003</v>
      </c>
      <c r="F4296" t="s">
        <v>42</v>
      </c>
      <c r="G4296">
        <v>-362.45319999999998</v>
      </c>
      <c r="H4296" s="1">
        <v>-3.4191640000000001E-6</v>
      </c>
      <c r="I4296">
        <v>138.49250000000001</v>
      </c>
      <c r="J4296">
        <v>-344.8664</v>
      </c>
      <c r="K4296">
        <v>1.1107610000000001</v>
      </c>
      <c r="L4296">
        <v>141.40610000000001</v>
      </c>
      <c r="M4296">
        <v>-0.99990020000000002</v>
      </c>
      <c r="N4296">
        <v>-1.4127850000000001E-2</v>
      </c>
      <c r="O4296">
        <v>-4.9971640000000001E-4</v>
      </c>
      <c r="P4296">
        <v>-0.92314359999999995</v>
      </c>
      <c r="Q4296">
        <v>0.37952629999999998</v>
      </c>
      <c r="R4296">
        <v>-6.1368399999999997E-2</v>
      </c>
      <c r="S4296">
        <v>-3.2973020000000002</v>
      </c>
      <c r="T4296">
        <v>-0.2041094</v>
      </c>
      <c r="U4296">
        <v>-0.5354004</v>
      </c>
      <c r="V4296">
        <v>-6.0864010000000003E-2</v>
      </c>
      <c r="W4296">
        <v>0.39253779999999999</v>
      </c>
      <c r="X4296">
        <v>0.91771979999999997</v>
      </c>
      <c r="Y4296">
        <v>-0.15941659999999999</v>
      </c>
      <c r="Z4296">
        <v>-6.008495E-3</v>
      </c>
      <c r="AA4296">
        <v>0.98719310000000005</v>
      </c>
      <c r="AB4296">
        <v>38</v>
      </c>
      <c r="AC4296">
        <v>-17.586799999999901</v>
      </c>
      <c r="AD4296">
        <v>-1.110764419164</v>
      </c>
      <c r="AE4296">
        <v>-2.9136000000000002</v>
      </c>
      <c r="AF4296">
        <v>-2.8935760487948898</v>
      </c>
      <c r="AG4296">
        <v>-1.110764419164</v>
      </c>
      <c r="AH4296">
        <v>17.520231684313</v>
      </c>
      <c r="AI4296">
        <v>93.579279288347706</v>
      </c>
      <c r="AJ4296">
        <v>99.378100978341195</v>
      </c>
      <c r="AK4296">
        <v>17.792276364115001</v>
      </c>
      <c r="AL4296">
        <v>66.887498625648902</v>
      </c>
      <c r="AM4296">
        <v>93.794351500797802</v>
      </c>
      <c r="AN4296">
        <v>0.99999999172707998</v>
      </c>
    </row>
    <row r="4297" spans="1:40" x14ac:dyDescent="0.25">
      <c r="A4297" t="str">
        <f>"20190304164456595"</f>
        <v>20190304164456595</v>
      </c>
      <c r="B4297" t="str">
        <f>"1551689096584916"</f>
        <v>1551689096584916</v>
      </c>
      <c r="C4297" t="s">
        <v>40</v>
      </c>
      <c r="D4297">
        <v>4.6242799999999997</v>
      </c>
      <c r="E4297">
        <v>0.4704584</v>
      </c>
      <c r="F4297" t="s">
        <v>42</v>
      </c>
      <c r="G4297">
        <v>-362.2715</v>
      </c>
      <c r="H4297" s="1">
        <v>-3.4880980000000001E-6</v>
      </c>
      <c r="I4297">
        <v>138.5436</v>
      </c>
      <c r="J4297">
        <v>-345.24849999999998</v>
      </c>
      <c r="K4297">
        <v>1.1107659999999999</v>
      </c>
      <c r="L4297">
        <v>141.4059</v>
      </c>
      <c r="M4297">
        <v>-0.99990029999999996</v>
      </c>
      <c r="N4297">
        <v>-1.4125520000000001E-2</v>
      </c>
      <c r="O4297">
        <v>-4.6414580000000001E-4</v>
      </c>
      <c r="P4297">
        <v>-0.92308069999999998</v>
      </c>
      <c r="Q4297">
        <v>0.37965260000000001</v>
      </c>
      <c r="R4297">
        <v>-6.1532259999999998E-2</v>
      </c>
      <c r="S4297">
        <v>-3.300262</v>
      </c>
      <c r="T4297">
        <v>-0.21061859999999999</v>
      </c>
      <c r="U4297">
        <v>-0.54275509999999905</v>
      </c>
      <c r="V4297">
        <v>-6.105874E-2</v>
      </c>
      <c r="W4297">
        <v>0.39266109999999999</v>
      </c>
      <c r="X4297">
        <v>0.91765419999999998</v>
      </c>
      <c r="Y4297">
        <v>-0.16142860000000001</v>
      </c>
      <c r="Z4297">
        <v>-6.2379159999999996E-3</v>
      </c>
      <c r="AA4297">
        <v>0.98686470000000004</v>
      </c>
      <c r="AB4297">
        <v>38</v>
      </c>
      <c r="AC4297">
        <v>-17.023</v>
      </c>
      <c r="AD4297">
        <v>-1.1107694880979999</v>
      </c>
      <c r="AE4297">
        <v>-2.8622999999999998</v>
      </c>
      <c r="AF4297">
        <v>-2.8426274494858399</v>
      </c>
      <c r="AG4297">
        <v>-1.1107694880979999</v>
      </c>
      <c r="AH4297">
        <v>16.9541258655272</v>
      </c>
      <c r="AI4297">
        <v>93.696985016110006</v>
      </c>
      <c r="AJ4297">
        <v>99.518013324050798</v>
      </c>
      <c r="AK4297">
        <v>17.226628327574701</v>
      </c>
      <c r="AL4297">
        <v>66.879819234865195</v>
      </c>
      <c r="AM4297">
        <v>93.806726932616698</v>
      </c>
      <c r="AN4297">
        <v>1.00000006998061</v>
      </c>
    </row>
    <row r="4298" spans="1:40" x14ac:dyDescent="0.25">
      <c r="A4298" t="str">
        <f>"20190304164456618"</f>
        <v>20190304164456618</v>
      </c>
      <c r="B4298" t="str">
        <f>"1551689096604436"</f>
        <v>1551689096604436</v>
      </c>
      <c r="C4298" t="s">
        <v>40</v>
      </c>
      <c r="D4298">
        <v>4.6416529999999998</v>
      </c>
      <c r="E4298">
        <v>0.47054780000000002</v>
      </c>
      <c r="F4298" t="s">
        <v>42</v>
      </c>
      <c r="G4298">
        <v>-362.20080000000002</v>
      </c>
      <c r="H4298" s="1">
        <v>-3.5039539999999998E-6</v>
      </c>
      <c r="I4298">
        <v>138.62520000000001</v>
      </c>
      <c r="J4298">
        <v>-345.62699999999899</v>
      </c>
      <c r="K4298">
        <v>1.11077</v>
      </c>
      <c r="L4298">
        <v>141.4058</v>
      </c>
      <c r="M4298">
        <v>-0.99990020000000002</v>
      </c>
      <c r="N4298">
        <v>-1.4123190000000001E-2</v>
      </c>
      <c r="O4298">
        <v>-4.284631E-4</v>
      </c>
      <c r="P4298">
        <v>-0.92283369999999998</v>
      </c>
      <c r="Q4298">
        <v>0.3800866</v>
      </c>
      <c r="R4298">
        <v>-6.2548049999999994E-2</v>
      </c>
      <c r="S4298">
        <v>-3.3028870000000001</v>
      </c>
      <c r="T4298">
        <v>-0.216417</v>
      </c>
      <c r="U4298">
        <v>-0.5417786</v>
      </c>
      <c r="V4298">
        <v>-6.2106139999999997E-2</v>
      </c>
      <c r="W4298">
        <v>0.39308949999999998</v>
      </c>
      <c r="X4298">
        <v>0.9174004</v>
      </c>
      <c r="Y4298">
        <v>-0.16103580000000001</v>
      </c>
      <c r="Z4298">
        <v>-6.3596719999999898E-3</v>
      </c>
      <c r="AA4298">
        <v>0.98692800000000003</v>
      </c>
      <c r="AB4298">
        <v>38</v>
      </c>
      <c r="AC4298">
        <v>-16.573799999999999</v>
      </c>
      <c r="AD4298">
        <v>-1.1107735039540001</v>
      </c>
      <c r="AE4298">
        <v>-2.78059999999999</v>
      </c>
      <c r="AF4298">
        <v>-2.76143391573039</v>
      </c>
      <c r="AG4298">
        <v>-1.1107735039540001</v>
      </c>
      <c r="AH4298">
        <v>16.502893892000301</v>
      </c>
      <c r="AI4298">
        <v>93.797998991724697</v>
      </c>
      <c r="AJ4298">
        <v>99.499313039789698</v>
      </c>
      <c r="AK4298">
        <v>16.7691634215501</v>
      </c>
      <c r="AL4298">
        <v>66.853126038023902</v>
      </c>
      <c r="AM4298">
        <v>93.872898362609604</v>
      </c>
      <c r="AN4298">
        <v>1.00000001077805</v>
      </c>
    </row>
    <row r="4299" spans="1:40" x14ac:dyDescent="0.25">
      <c r="A4299" t="str">
        <f>"20190304164456641"</f>
        <v>20190304164456641</v>
      </c>
      <c r="B4299" t="str">
        <f>"1551689096634693"</f>
        <v>1551689096634693</v>
      </c>
      <c r="C4299" t="s">
        <v>40</v>
      </c>
      <c r="D4299">
        <v>4.5584410000000002</v>
      </c>
      <c r="E4299">
        <v>0.47072229999999998</v>
      </c>
      <c r="F4299" t="s">
        <v>42</v>
      </c>
      <c r="G4299">
        <v>-362.8075</v>
      </c>
      <c r="H4299" s="1">
        <v>-3.2506280000000002E-6</v>
      </c>
      <c r="I4299">
        <v>138.58600000000001</v>
      </c>
      <c r="J4299">
        <v>-346.03</v>
      </c>
      <c r="K4299">
        <v>1.1107689999999999</v>
      </c>
      <c r="L4299">
        <v>141.4057</v>
      </c>
      <c r="M4299">
        <v>-0.99990029999999996</v>
      </c>
      <c r="N4299">
        <v>-1.412071E-2</v>
      </c>
      <c r="O4299">
        <v>-3.9075580000000001E-4</v>
      </c>
      <c r="P4299">
        <v>-0.92267949999999999</v>
      </c>
      <c r="Q4299">
        <v>0.38029010000000002</v>
      </c>
      <c r="R4299">
        <v>-6.357662E-2</v>
      </c>
      <c r="S4299">
        <v>-3.3020629999999902</v>
      </c>
      <c r="T4299">
        <v>-0.21348909999999999</v>
      </c>
      <c r="U4299">
        <v>-0.54194639999999905</v>
      </c>
      <c r="V4299">
        <v>-6.3168499999999905E-2</v>
      </c>
      <c r="W4299">
        <v>0.393289</v>
      </c>
      <c r="X4299">
        <v>0.91724229999999995</v>
      </c>
      <c r="Y4299">
        <v>-0.1611707</v>
      </c>
      <c r="Z4299">
        <v>-6.2975560000000002E-3</v>
      </c>
      <c r="AA4299">
        <v>0.98690650000000002</v>
      </c>
      <c r="AB4299">
        <v>38</v>
      </c>
      <c r="AC4299">
        <v>-16.7775</v>
      </c>
      <c r="AD4299">
        <v>-1.110772250628</v>
      </c>
      <c r="AE4299">
        <v>-2.8196999999999801</v>
      </c>
      <c r="AF4299">
        <v>-2.8012021592876901</v>
      </c>
      <c r="AG4299">
        <v>-1.110772250628</v>
      </c>
      <c r="AH4299">
        <v>16.7073798144711</v>
      </c>
      <c r="AI4299">
        <v>93.751441137326495</v>
      </c>
      <c r="AJ4299">
        <v>99.517831831560102</v>
      </c>
      <c r="AK4299">
        <v>16.976957583588401</v>
      </c>
      <c r="AL4299">
        <v>66.840693167960893</v>
      </c>
      <c r="AM4299">
        <v>93.939616441618796</v>
      </c>
      <c r="AN4299">
        <v>0.99999996691126902</v>
      </c>
    </row>
    <row r="4300" spans="1:40" x14ac:dyDescent="0.25">
      <c r="A4300" t="str">
        <f>"20190304164456662"</f>
        <v>20190304164456662</v>
      </c>
      <c r="B4300" t="str">
        <f>"1551689096654059"</f>
        <v>1551689096654059</v>
      </c>
      <c r="C4300" t="s">
        <v>40</v>
      </c>
      <c r="D4300">
        <v>4.6294729999999999</v>
      </c>
      <c r="E4300">
        <v>0.47078900000000001</v>
      </c>
      <c r="F4300" t="s">
        <v>42</v>
      </c>
      <c r="G4300">
        <v>-363.25310000000002</v>
      </c>
      <c r="H4300" s="1">
        <v>-3.0627599999999999E-6</v>
      </c>
      <c r="I4300">
        <v>138.5675</v>
      </c>
      <c r="J4300">
        <v>-346.40100000000001</v>
      </c>
      <c r="K4300">
        <v>1.110765</v>
      </c>
      <c r="L4300">
        <v>141.40549999999999</v>
      </c>
      <c r="M4300">
        <v>-0.99990040000000002</v>
      </c>
      <c r="N4300">
        <v>-1.4118459999999999E-2</v>
      </c>
      <c r="O4300">
        <v>-3.5639299999999999E-4</v>
      </c>
      <c r="P4300">
        <v>-0.92279069999999996</v>
      </c>
      <c r="Q4300">
        <v>0.3797276</v>
      </c>
      <c r="R4300">
        <v>-6.5303529999999999E-2</v>
      </c>
      <c r="S4300">
        <v>-3.301666</v>
      </c>
      <c r="T4300">
        <v>-0.2129364</v>
      </c>
      <c r="U4300">
        <v>-0.54406739999999998</v>
      </c>
      <c r="V4300">
        <v>-6.49261E-2</v>
      </c>
      <c r="W4300">
        <v>0.39272679999999999</v>
      </c>
      <c r="X4300">
        <v>0.91736050000000002</v>
      </c>
      <c r="Y4300">
        <v>-0.16184089999999901</v>
      </c>
      <c r="Z4300">
        <v>-6.3124089999999997E-3</v>
      </c>
      <c r="AA4300">
        <v>0.98679669999999997</v>
      </c>
      <c r="AB4300">
        <v>38</v>
      </c>
      <c r="AC4300">
        <v>-16.8521</v>
      </c>
      <c r="AD4300">
        <v>-1.1107680627600001</v>
      </c>
      <c r="AE4300">
        <v>-2.8379999999999899</v>
      </c>
      <c r="AF4300">
        <v>-2.82007933426963</v>
      </c>
      <c r="AG4300">
        <v>-1.1107680627600001</v>
      </c>
      <c r="AH4300">
        <v>16.782211095133299</v>
      </c>
      <c r="AI4300">
        <v>93.734517660933804</v>
      </c>
      <c r="AJ4300">
        <v>99.538853316598207</v>
      </c>
      <c r="AK4300">
        <v>17.053716966762401</v>
      </c>
      <c r="AL4300">
        <v>66.875724689398993</v>
      </c>
      <c r="AM4300">
        <v>94.048352700863205</v>
      </c>
      <c r="AN4300">
        <v>1.00000001242985</v>
      </c>
    </row>
    <row r="4301" spans="1:40" x14ac:dyDescent="0.25">
      <c r="A4301" t="str">
        <f>"20190304164456686"</f>
        <v>20190304164456686</v>
      </c>
      <c r="B4301" t="str">
        <f>"1551689096674556"</f>
        <v>1551689096674556</v>
      </c>
      <c r="C4301" t="s">
        <v>40</v>
      </c>
      <c r="D4301">
        <v>4.6323220000000003</v>
      </c>
      <c r="E4301">
        <v>0.4706649</v>
      </c>
      <c r="F4301" t="s">
        <v>42</v>
      </c>
      <c r="G4301">
        <v>-363.33920000000001</v>
      </c>
      <c r="H4301" s="1">
        <v>-3.023058E-6</v>
      </c>
      <c r="I4301">
        <v>138.583</v>
      </c>
      <c r="J4301">
        <v>-346.78660000000002</v>
      </c>
      <c r="K4301">
        <v>1.1107560000000001</v>
      </c>
      <c r="L4301">
        <v>141.40539999999999</v>
      </c>
      <c r="M4301">
        <v>-0.99990040000000002</v>
      </c>
      <c r="N4301">
        <v>-1.4116149999999999E-2</v>
      </c>
      <c r="O4301">
        <v>-3.2096000000000002E-4</v>
      </c>
      <c r="P4301">
        <v>-0.92273890000000003</v>
      </c>
      <c r="Q4301">
        <v>0.37951210000000002</v>
      </c>
      <c r="R4301">
        <v>-6.7260669999999995E-2</v>
      </c>
      <c r="S4301">
        <v>-3.3011170000000001</v>
      </c>
      <c r="T4301">
        <v>-0.2164809</v>
      </c>
      <c r="U4301">
        <v>-0.55007930000000005</v>
      </c>
      <c r="V4301">
        <v>-6.6915169999999996E-2</v>
      </c>
      <c r="W4301">
        <v>0.39250849999999998</v>
      </c>
      <c r="X4301">
        <v>0.91731099999999999</v>
      </c>
      <c r="Y4301">
        <v>-0.16363429999999901</v>
      </c>
      <c r="Z4301">
        <v>-6.4710690000000003E-3</v>
      </c>
      <c r="AA4301">
        <v>0.98649980000000004</v>
      </c>
      <c r="AB4301">
        <v>38</v>
      </c>
      <c r="AC4301">
        <v>-16.552599999999899</v>
      </c>
      <c r="AD4301">
        <v>-1.11075902305799</v>
      </c>
      <c r="AE4301">
        <v>-2.82239999999998</v>
      </c>
      <c r="AF4301">
        <v>-2.80481321130824</v>
      </c>
      <c r="AG4301">
        <v>-1.11075902305799</v>
      </c>
      <c r="AH4301">
        <v>16.481385338854999</v>
      </c>
      <c r="AI4301">
        <v>93.801118516990996</v>
      </c>
      <c r="AJ4301">
        <v>99.658105924948003</v>
      </c>
      <c r="AK4301">
        <v>16.755202936564501</v>
      </c>
      <c r="AL4301">
        <v>66.889324492330203</v>
      </c>
      <c r="AM4301">
        <v>94.172170550294197</v>
      </c>
      <c r="AN4301">
        <v>1.0000000166346801</v>
      </c>
    </row>
    <row r="4302" spans="1:40" x14ac:dyDescent="0.25">
      <c r="A4302" t="str">
        <f>"20190304164456707"</f>
        <v>20190304164456707</v>
      </c>
      <c r="B4302" t="str">
        <f>"1551689096694075"</f>
        <v>1551689096694075</v>
      </c>
      <c r="C4302" t="s">
        <v>40</v>
      </c>
      <c r="D4302">
        <v>4.6551109999999998</v>
      </c>
      <c r="E4302">
        <v>0.47057399999999999</v>
      </c>
      <c r="F4302" t="s">
        <v>42</v>
      </c>
      <c r="G4302">
        <v>-363.58240000000001</v>
      </c>
      <c r="H4302" s="1">
        <v>-2.9212239999999999E-6</v>
      </c>
      <c r="I4302">
        <v>138.56899999999999</v>
      </c>
      <c r="J4302">
        <v>-347.15809999999999</v>
      </c>
      <c r="K4302">
        <v>1.1107560000000001</v>
      </c>
      <c r="L4302">
        <v>141.40530000000001</v>
      </c>
      <c r="M4302">
        <v>-0.99990049999999997</v>
      </c>
      <c r="N4302">
        <v>-1.411395E-2</v>
      </c>
      <c r="O4302">
        <v>-2.869627E-4</v>
      </c>
      <c r="P4302">
        <v>-0.92282660000000005</v>
      </c>
      <c r="Q4302">
        <v>0.3789883</v>
      </c>
      <c r="R4302">
        <v>-6.8986240000000004E-2</v>
      </c>
      <c r="S4302">
        <v>-3.3003230000000001</v>
      </c>
      <c r="T4302">
        <v>-0.21826219999999999</v>
      </c>
      <c r="U4302">
        <v>-0.55734249999999996</v>
      </c>
      <c r="V4302">
        <v>-6.867173E-2</v>
      </c>
      <c r="W4302">
        <v>0.39198430000000001</v>
      </c>
      <c r="X4302">
        <v>0.91740529999999998</v>
      </c>
      <c r="Y4302">
        <v>-0.16580549999999999</v>
      </c>
      <c r="Z4302">
        <v>-6.603378E-3</v>
      </c>
      <c r="AA4302">
        <v>0.98613640000000002</v>
      </c>
      <c r="AB4302">
        <v>38</v>
      </c>
      <c r="AC4302">
        <v>-16.424299999999999</v>
      </c>
      <c r="AD4302">
        <v>-1.1107589212240001</v>
      </c>
      <c r="AE4302">
        <v>-2.83630000000002</v>
      </c>
      <c r="AF4302">
        <v>-2.8190661137366799</v>
      </c>
      <c r="AG4302">
        <v>-1.1107589212240001</v>
      </c>
      <c r="AH4302">
        <v>16.352488050935101</v>
      </c>
      <c r="AI4302">
        <v>93.829584985010499</v>
      </c>
      <c r="AJ4302">
        <v>99.781289674303295</v>
      </c>
      <c r="AK4302">
        <v>16.630838361028999</v>
      </c>
      <c r="AL4302">
        <v>66.921974972397706</v>
      </c>
      <c r="AM4302">
        <v>94.280851842282601</v>
      </c>
      <c r="AN4302">
        <v>0.99999999120788596</v>
      </c>
    </row>
    <row r="4303" spans="1:40" x14ac:dyDescent="0.25">
      <c r="A4303" t="str">
        <f>"20190304164456730"</f>
        <v>20190304164456730</v>
      </c>
      <c r="B4303" t="str">
        <f>"1551689096724331"</f>
        <v>1551689096724331</v>
      </c>
      <c r="C4303" t="s">
        <v>40</v>
      </c>
      <c r="D4303">
        <v>4.6597650000000002</v>
      </c>
      <c r="E4303">
        <v>0.47043950000000001</v>
      </c>
      <c r="F4303" t="s">
        <v>42</v>
      </c>
      <c r="G4303">
        <v>-363.7611</v>
      </c>
      <c r="H4303" s="1">
        <v>-2.8455589999999998E-6</v>
      </c>
      <c r="I4303">
        <v>138.56319999999999</v>
      </c>
      <c r="J4303">
        <v>-347.5505</v>
      </c>
      <c r="K4303">
        <v>1.1107530000000001</v>
      </c>
      <c r="L4303">
        <v>141.40520000000001</v>
      </c>
      <c r="M4303">
        <v>-0.99990049999999997</v>
      </c>
      <c r="N4303">
        <v>-1.411163E-2</v>
      </c>
      <c r="O4303">
        <v>-2.5117960000000002E-4</v>
      </c>
      <c r="P4303">
        <v>-0.92278360000000004</v>
      </c>
      <c r="Q4303">
        <v>0.37875979999999998</v>
      </c>
      <c r="R4303">
        <v>-7.0793519999999999E-2</v>
      </c>
      <c r="S4303">
        <v>-3.2993160000000001</v>
      </c>
      <c r="T4303">
        <v>-0.22072910000000001</v>
      </c>
      <c r="U4303">
        <v>-0.56475830000000005</v>
      </c>
      <c r="V4303">
        <v>-7.0512069999999996E-2</v>
      </c>
      <c r="W4303">
        <v>0.39175310000000002</v>
      </c>
      <c r="X4303">
        <v>0.91736450000000003</v>
      </c>
      <c r="Y4303">
        <v>-0.16802919999999999</v>
      </c>
      <c r="Z4303">
        <v>-6.756644E-3</v>
      </c>
      <c r="AA4303">
        <v>0.98575880000000005</v>
      </c>
      <c r="AB4303">
        <v>38</v>
      </c>
      <c r="AC4303">
        <v>-16.210599999999999</v>
      </c>
      <c r="AD4303">
        <v>-1.1107558455589901</v>
      </c>
      <c r="AE4303">
        <v>-2.8420000000000099</v>
      </c>
      <c r="AF4303">
        <v>-2.8250594944662</v>
      </c>
      <c r="AG4303">
        <v>-1.1107558455589901</v>
      </c>
      <c r="AH4303">
        <v>16.137805179322601</v>
      </c>
      <c r="AI4303">
        <v>93.878626987245894</v>
      </c>
      <c r="AJ4303">
        <v>99.929496047493004</v>
      </c>
      <c r="AK4303">
        <v>16.420825061533598</v>
      </c>
      <c r="AL4303">
        <v>66.936374379073399</v>
      </c>
      <c r="AM4303">
        <v>94.395325805665294</v>
      </c>
      <c r="AN4303">
        <v>1.00000003461777</v>
      </c>
    </row>
    <row r="4304" spans="1:40" x14ac:dyDescent="0.25">
      <c r="A4304" t="str">
        <f>"20190304164456752"</f>
        <v>20190304164456752</v>
      </c>
      <c r="B4304" t="str">
        <f>"1551689096744827"</f>
        <v>1551689096744827</v>
      </c>
      <c r="C4304" t="s">
        <v>40</v>
      </c>
      <c r="D4304">
        <v>4.6751889999999996</v>
      </c>
      <c r="E4304">
        <v>0.47043499999999999</v>
      </c>
      <c r="F4304" t="s">
        <v>42</v>
      </c>
      <c r="G4304">
        <v>-364</v>
      </c>
      <c r="H4304" s="1">
        <v>-2.7448730000000001E-6</v>
      </c>
      <c r="I4304">
        <v>138.5531</v>
      </c>
      <c r="J4304">
        <v>-347.92739999999998</v>
      </c>
      <c r="K4304">
        <v>1.1107530000000001</v>
      </c>
      <c r="L4304">
        <v>141.40520000000001</v>
      </c>
      <c r="M4304">
        <v>-0.99990049999999997</v>
      </c>
      <c r="N4304">
        <v>-1.410936E-2</v>
      </c>
      <c r="O4304">
        <v>-2.167107E-4</v>
      </c>
      <c r="P4304">
        <v>-0.92271729999999996</v>
      </c>
      <c r="Q4304">
        <v>0.37850260000000002</v>
      </c>
      <c r="R4304">
        <v>-7.2996839999999993E-2</v>
      </c>
      <c r="S4304">
        <v>-3.2985229999999999</v>
      </c>
      <c r="T4304">
        <v>-0.22273480000000001</v>
      </c>
      <c r="U4304">
        <v>-0.57189939999999995</v>
      </c>
      <c r="V4304">
        <v>-7.2746699999999997E-2</v>
      </c>
      <c r="W4304">
        <v>0.39149329999999999</v>
      </c>
      <c r="X4304">
        <v>0.91730089999999997</v>
      </c>
      <c r="Y4304">
        <v>-0.1701616</v>
      </c>
      <c r="Z4304">
        <v>-6.895773E-3</v>
      </c>
      <c r="AA4304">
        <v>0.98539200000000005</v>
      </c>
      <c r="AB4304">
        <v>38</v>
      </c>
      <c r="AC4304">
        <v>-16.072600000000001</v>
      </c>
      <c r="AD4304">
        <v>-1.1107557448729899</v>
      </c>
      <c r="AE4304">
        <v>-2.8521000000000001</v>
      </c>
      <c r="AF4304">
        <v>-2.8354875904707399</v>
      </c>
      <c r="AG4304">
        <v>-1.1107557448729899</v>
      </c>
      <c r="AH4304">
        <v>15.9991384578717</v>
      </c>
      <c r="AI4304">
        <v>93.910694351035801</v>
      </c>
      <c r="AJ4304">
        <v>100.050033398972</v>
      </c>
      <c r="AK4304">
        <v>16.2863808009831</v>
      </c>
      <c r="AL4304">
        <v>66.952551489043401</v>
      </c>
      <c r="AM4304">
        <v>94.534361186869702</v>
      </c>
      <c r="AN4304">
        <v>1.0000000137232901</v>
      </c>
    </row>
    <row r="4305" spans="1:40" x14ac:dyDescent="0.25">
      <c r="A4305" t="str">
        <f>"20190304164456774"</f>
        <v>20190304164456774</v>
      </c>
      <c r="B4305" t="str">
        <f>"1551689096764347"</f>
        <v>1551689096764347</v>
      </c>
      <c r="C4305" t="s">
        <v>40</v>
      </c>
      <c r="D4305">
        <v>4.658722</v>
      </c>
      <c r="E4305">
        <v>0.47046310000000002</v>
      </c>
      <c r="F4305" t="s">
        <v>42</v>
      </c>
      <c r="G4305">
        <v>-364.2441</v>
      </c>
      <c r="H4305" s="1">
        <v>-2.6420950000000002E-6</v>
      </c>
      <c r="I4305">
        <v>138.54220000000001</v>
      </c>
      <c r="J4305">
        <v>-348.29410000000001</v>
      </c>
      <c r="K4305">
        <v>1.1107579999999999</v>
      </c>
      <c r="L4305">
        <v>141.4051</v>
      </c>
      <c r="M4305">
        <v>-0.99990049999999997</v>
      </c>
      <c r="N4305">
        <v>-1.4107110000000001E-2</v>
      </c>
      <c r="O4305">
        <v>-1.857207E-4</v>
      </c>
      <c r="P4305">
        <v>-0.92232840000000005</v>
      </c>
      <c r="Q4305">
        <v>0.37918819999999998</v>
      </c>
      <c r="R4305">
        <v>-7.4343350000000002E-2</v>
      </c>
      <c r="S4305">
        <v>-3.2976070000000002</v>
      </c>
      <c r="T4305">
        <v>-0.22448470000000001</v>
      </c>
      <c r="U4305">
        <v>-0.57859799999999995</v>
      </c>
      <c r="V4305">
        <v>-7.4122610000000005E-2</v>
      </c>
      <c r="W4305">
        <v>0.39217109999999999</v>
      </c>
      <c r="X4305">
        <v>0.91690110000000002</v>
      </c>
      <c r="Y4305">
        <v>-0.1721684</v>
      </c>
      <c r="Z4305">
        <v>-7.0245739999999996E-3</v>
      </c>
      <c r="AA4305">
        <v>0.98504250000000004</v>
      </c>
      <c r="AB4305">
        <v>38</v>
      </c>
      <c r="AC4305">
        <v>-15.9499999999999</v>
      </c>
      <c r="AD4305">
        <v>-1.11076064209499</v>
      </c>
      <c r="AE4305">
        <v>-2.86289999999999</v>
      </c>
      <c r="AF4305">
        <v>-2.84656316724586</v>
      </c>
      <c r="AG4305">
        <v>-1.11076064209499</v>
      </c>
      <c r="AH4305">
        <v>15.875940232705901</v>
      </c>
      <c r="AI4305">
        <v>93.939556882674296</v>
      </c>
      <c r="AJ4305">
        <v>100.165145394956</v>
      </c>
      <c r="AK4305">
        <v>16.167318557559199</v>
      </c>
      <c r="AL4305">
        <v>66.910340307576206</v>
      </c>
      <c r="AM4305">
        <v>94.621760628892304</v>
      </c>
      <c r="AN4305">
        <v>0.99999998008481505</v>
      </c>
    </row>
    <row r="4306" spans="1:40" x14ac:dyDescent="0.25">
      <c r="A4306" t="str">
        <f>"20190304164456796"</f>
        <v>20190304164456796</v>
      </c>
      <c r="B4306" t="str">
        <f>"1551689096784844"</f>
        <v>1551689096784844</v>
      </c>
      <c r="C4306" t="s">
        <v>40</v>
      </c>
      <c r="D4306">
        <v>4.6732060000000004</v>
      </c>
      <c r="E4306">
        <v>0.4705761</v>
      </c>
      <c r="F4306" t="s">
        <v>42</v>
      </c>
      <c r="G4306">
        <v>-364.69929999999999</v>
      </c>
      <c r="H4306" s="1">
        <v>-2.4525069999999998E-6</v>
      </c>
      <c r="I4306">
        <v>138.51009999999999</v>
      </c>
      <c r="J4306">
        <v>-348.66910000000001</v>
      </c>
      <c r="K4306">
        <v>1.110765</v>
      </c>
      <c r="L4306">
        <v>141.405</v>
      </c>
      <c r="M4306">
        <v>-0.99990060000000003</v>
      </c>
      <c r="N4306">
        <v>-1.4104800000000001E-2</v>
      </c>
      <c r="O4306">
        <v>-1.6145889999999999E-4</v>
      </c>
      <c r="P4306">
        <v>-0.92222599999999999</v>
      </c>
      <c r="Q4306">
        <v>0.37925239999999999</v>
      </c>
      <c r="R4306">
        <v>-7.5280429999999995E-2</v>
      </c>
      <c r="S4306">
        <v>-3.2975460000000001</v>
      </c>
      <c r="T4306">
        <v>-0.223271</v>
      </c>
      <c r="U4306">
        <v>-0.58189389999999996</v>
      </c>
      <c r="V4306">
        <v>-7.5086719999999996E-2</v>
      </c>
      <c r="W4306">
        <v>0.3922313</v>
      </c>
      <c r="X4306">
        <v>0.91679690000000003</v>
      </c>
      <c r="Y4306">
        <v>-0.17315220000000001</v>
      </c>
      <c r="Z4306">
        <v>-7.0341070000000004E-3</v>
      </c>
      <c r="AA4306">
        <v>0.98487000000000002</v>
      </c>
      <c r="AB4306">
        <v>38</v>
      </c>
      <c r="AC4306">
        <v>-16.030199999999901</v>
      </c>
      <c r="AD4306">
        <v>-1.1107674525069999</v>
      </c>
      <c r="AE4306">
        <v>-2.8948999999999998</v>
      </c>
      <c r="AF4306">
        <v>-2.8789251652418999</v>
      </c>
      <c r="AG4306">
        <v>-1.1107674525069999</v>
      </c>
      <c r="AH4306">
        <v>15.956473416357801</v>
      </c>
      <c r="AI4306">
        <v>93.918995225324807</v>
      </c>
      <c r="AJ4306">
        <v>100.227483532016</v>
      </c>
      <c r="AK4306">
        <v>16.252109350098099</v>
      </c>
      <c r="AL4306">
        <v>66.906590726963003</v>
      </c>
      <c r="AM4306">
        <v>94.682139916350707</v>
      </c>
      <c r="AN4306">
        <v>0.99999998203482898</v>
      </c>
    </row>
    <row r="4307" spans="1:40" x14ac:dyDescent="0.25">
      <c r="A4307" t="str">
        <f>"20190304164456819"</f>
        <v>20190304164456819</v>
      </c>
      <c r="B4307" t="str">
        <f>"1551689096815100"</f>
        <v>1551689096815100</v>
      </c>
      <c r="C4307" t="s">
        <v>40</v>
      </c>
      <c r="D4307">
        <v>4.6810519999999904</v>
      </c>
      <c r="E4307">
        <v>0.47076079999999998</v>
      </c>
      <c r="F4307" t="s">
        <v>42</v>
      </c>
      <c r="G4307">
        <v>-365.03199999999998</v>
      </c>
      <c r="H4307" s="1">
        <v>-2.310448E-6</v>
      </c>
      <c r="I4307">
        <v>138.50640000000001</v>
      </c>
      <c r="J4307">
        <v>-349.06509999999997</v>
      </c>
      <c r="K4307">
        <v>1.110776</v>
      </c>
      <c r="L4307">
        <v>141.405</v>
      </c>
      <c r="M4307">
        <v>-0.99990060000000003</v>
      </c>
      <c r="N4307">
        <v>-1.410221E-2</v>
      </c>
      <c r="O4307">
        <v>-1.4307529999999999E-4</v>
      </c>
      <c r="P4307">
        <v>-0.92217709999999997</v>
      </c>
      <c r="Q4307">
        <v>0.3793415</v>
      </c>
      <c r="R4307">
        <v>-7.5433109999999998E-2</v>
      </c>
      <c r="S4307">
        <v>-3.2973330000000001</v>
      </c>
      <c r="T4307">
        <v>-0.22383529999999999</v>
      </c>
      <c r="U4307">
        <v>-0.58410640000000003</v>
      </c>
      <c r="V4307">
        <v>-7.5262549999999998E-2</v>
      </c>
      <c r="W4307">
        <v>0.39231640000000001</v>
      </c>
      <c r="X4307">
        <v>0.91674610000000001</v>
      </c>
      <c r="Y4307">
        <v>-0.1738181</v>
      </c>
      <c r="Z4307">
        <v>-7.0767390000000003E-3</v>
      </c>
      <c r="AA4307">
        <v>0.98475239999999997</v>
      </c>
      <c r="AB4307">
        <v>38</v>
      </c>
      <c r="AC4307">
        <v>-15.966900000000001</v>
      </c>
      <c r="AD4307">
        <v>-1.110778310448</v>
      </c>
      <c r="AE4307">
        <v>-2.8985999999999801</v>
      </c>
      <c r="AF4307">
        <v>-2.8828086277298999</v>
      </c>
      <c r="AG4307">
        <v>-1.110778310448</v>
      </c>
      <c r="AH4307">
        <v>15.892852787085801</v>
      </c>
      <c r="AI4307">
        <v>93.934008418819701</v>
      </c>
      <c r="AJ4307">
        <v>100.281110898604</v>
      </c>
      <c r="AK4307">
        <v>16.190342298761198</v>
      </c>
      <c r="AL4307">
        <v>66.901290689926896</v>
      </c>
      <c r="AM4307">
        <v>94.693314026770494</v>
      </c>
      <c r="AN4307">
        <v>1.00000001050333</v>
      </c>
    </row>
    <row r="4308" spans="1:40" x14ac:dyDescent="0.25">
      <c r="A4308" t="str">
        <f>"20190304164456842"</f>
        <v>20190304164456842</v>
      </c>
      <c r="B4308" t="str">
        <f>"1551689096834620"</f>
        <v>1551689096834620</v>
      </c>
      <c r="C4308" t="s">
        <v>40</v>
      </c>
      <c r="D4308">
        <v>4.6210750000000003</v>
      </c>
      <c r="E4308">
        <v>0.47083799999999998</v>
      </c>
      <c r="F4308" t="s">
        <v>42</v>
      </c>
      <c r="G4308">
        <v>-365.32859999999999</v>
      </c>
      <c r="H4308" s="1">
        <v>-2.1806299999999999E-6</v>
      </c>
      <c r="I4308">
        <v>138.52080000000001</v>
      </c>
      <c r="J4308">
        <v>-349.44529999999997</v>
      </c>
      <c r="K4308">
        <v>1.1107830000000001</v>
      </c>
      <c r="L4308">
        <v>141.4049</v>
      </c>
      <c r="M4308">
        <v>-0.99990069999999998</v>
      </c>
      <c r="N4308">
        <v>-1.409998E-2</v>
      </c>
      <c r="O4308">
        <v>-1.3171980000000001E-4</v>
      </c>
      <c r="P4308">
        <v>-0.92208219999999996</v>
      </c>
      <c r="Q4308">
        <v>0.379359</v>
      </c>
      <c r="R4308">
        <v>-7.6493439999999996E-2</v>
      </c>
      <c r="S4308">
        <v>-3.2979430000000001</v>
      </c>
      <c r="T4308">
        <v>-0.22524630000000001</v>
      </c>
      <c r="U4308">
        <v>-0.58485410000000004</v>
      </c>
      <c r="V4308">
        <v>-7.6339130000000005E-2</v>
      </c>
      <c r="W4308">
        <v>0.3923295</v>
      </c>
      <c r="X4308">
        <v>0.91665149999999995</v>
      </c>
      <c r="Y4308">
        <v>-0.17400869999999999</v>
      </c>
      <c r="Z4308">
        <v>-7.1205299999999999E-3</v>
      </c>
      <c r="AA4308">
        <v>0.98471839999999999</v>
      </c>
      <c r="AB4308">
        <v>38</v>
      </c>
      <c r="AC4308">
        <v>-15.8833</v>
      </c>
      <c r="AD4308">
        <v>-1.11078518063</v>
      </c>
      <c r="AE4308">
        <v>-2.8840999999999801</v>
      </c>
      <c r="AF4308">
        <v>-2.8684265499719901</v>
      </c>
      <c r="AG4308">
        <v>-1.11078518063</v>
      </c>
      <c r="AH4308">
        <v>15.8088300945842</v>
      </c>
      <c r="AI4308">
        <v>93.954837957028801</v>
      </c>
      <c r="AJ4308">
        <v>100.28412433174699</v>
      </c>
      <c r="AK4308">
        <v>16.1053042054325</v>
      </c>
      <c r="AL4308">
        <v>66.900475315441099</v>
      </c>
      <c r="AM4308">
        <v>94.760631377175301</v>
      </c>
      <c r="AN4308">
        <v>1.0000000358958201</v>
      </c>
    </row>
    <row r="4309" spans="1:40" x14ac:dyDescent="0.25">
      <c r="A4309" t="str">
        <f>"20190304164456863"</f>
        <v>20190304164456863</v>
      </c>
      <c r="B4309" t="str">
        <f>"1551689096854140"</f>
        <v>1551689096854140</v>
      </c>
      <c r="C4309" t="s">
        <v>40</v>
      </c>
      <c r="D4309">
        <v>4.6761910000000002</v>
      </c>
      <c r="E4309">
        <v>0.4709275</v>
      </c>
      <c r="F4309" t="s">
        <v>42</v>
      </c>
      <c r="G4309">
        <v>-365.65309999999999</v>
      </c>
      <c r="H4309" s="1">
        <v>-2.042442E-6</v>
      </c>
      <c r="I4309">
        <v>138.51509999999999</v>
      </c>
      <c r="J4309">
        <v>-349.81650000000002</v>
      </c>
      <c r="K4309">
        <v>1.1107899999999999</v>
      </c>
      <c r="L4309">
        <v>141.4049</v>
      </c>
      <c r="M4309">
        <v>-0.99990069999999998</v>
      </c>
      <c r="N4309">
        <v>-1.409796E-2</v>
      </c>
      <c r="O4309">
        <v>-1.2811690000000001E-4</v>
      </c>
      <c r="P4309">
        <v>-0.92191800000000002</v>
      </c>
      <c r="Q4309">
        <v>0.37940299999999999</v>
      </c>
      <c r="R4309">
        <v>-7.8234780000000004E-2</v>
      </c>
      <c r="S4309">
        <v>-3.2977289999999999</v>
      </c>
      <c r="T4309">
        <v>-0.2260075</v>
      </c>
      <c r="U4309">
        <v>-0.58796689999999996</v>
      </c>
      <c r="V4309">
        <v>-7.8089909999999998E-2</v>
      </c>
      <c r="W4309">
        <v>0.3923681</v>
      </c>
      <c r="X4309">
        <v>0.91648750000000001</v>
      </c>
      <c r="Y4309">
        <v>-0.17491870000000001</v>
      </c>
      <c r="Z4309">
        <v>-7.1777560000000004E-3</v>
      </c>
      <c r="AA4309">
        <v>0.98455669999999995</v>
      </c>
      <c r="AB4309">
        <v>38</v>
      </c>
      <c r="AC4309">
        <v>-15.836599999999899</v>
      </c>
      <c r="AD4309">
        <v>-1.1107920424419999</v>
      </c>
      <c r="AE4309">
        <v>-2.8898000000000001</v>
      </c>
      <c r="AF4309">
        <v>-2.8740867425896601</v>
      </c>
      <c r="AG4309">
        <v>-1.1107920424419999</v>
      </c>
      <c r="AH4309">
        <v>15.7619244952561</v>
      </c>
      <c r="AI4309">
        <v>93.965968147279099</v>
      </c>
      <c r="AJ4309">
        <v>100.333987097845</v>
      </c>
      <c r="AK4309">
        <v>16.060277001335901</v>
      </c>
      <c r="AL4309">
        <v>66.898071219747195</v>
      </c>
      <c r="AM4309">
        <v>94.870160876503704</v>
      </c>
      <c r="AN4309">
        <v>1.0000000487988301</v>
      </c>
    </row>
    <row r="4310" spans="1:40" x14ac:dyDescent="0.25">
      <c r="A4310" t="str">
        <f>"20190304164456886"</f>
        <v>20190304164456886</v>
      </c>
      <c r="B4310" t="str">
        <f>"1551689096874636"</f>
        <v>1551689096874636</v>
      </c>
      <c r="C4310" t="s">
        <v>40</v>
      </c>
      <c r="D4310">
        <v>4.6956949999999997</v>
      </c>
      <c r="E4310">
        <v>0.47105200000000003</v>
      </c>
      <c r="F4310" t="s">
        <v>42</v>
      </c>
      <c r="G4310">
        <v>-365.97820000000002</v>
      </c>
      <c r="H4310" s="1">
        <v>-1.905432E-6</v>
      </c>
      <c r="I4310">
        <v>138.50120000000001</v>
      </c>
      <c r="J4310">
        <v>-350.1936</v>
      </c>
      <c r="K4310">
        <v>1.110795</v>
      </c>
      <c r="L4310">
        <v>141.40479999999999</v>
      </c>
      <c r="M4310">
        <v>-0.99990080000000003</v>
      </c>
      <c r="N4310">
        <v>-1.40959E-2</v>
      </c>
      <c r="O4310">
        <v>-1.411502E-4</v>
      </c>
      <c r="P4310">
        <v>-0.92168300000000003</v>
      </c>
      <c r="Q4310">
        <v>0.37970720000000002</v>
      </c>
      <c r="R4310">
        <v>-7.9517779999999996E-2</v>
      </c>
      <c r="S4310">
        <v>-3.2970280000000001</v>
      </c>
      <c r="T4310">
        <v>-0.2266048</v>
      </c>
      <c r="U4310">
        <v>-0.59234619999999905</v>
      </c>
      <c r="V4310">
        <v>-7.9370280000000001E-2</v>
      </c>
      <c r="W4310">
        <v>0.39266499999999999</v>
      </c>
      <c r="X4310">
        <v>0.91625029999999996</v>
      </c>
      <c r="Y4310">
        <v>-0.1762031</v>
      </c>
      <c r="Z4310">
        <v>-7.246097E-3</v>
      </c>
      <c r="AA4310">
        <v>0.98432710000000001</v>
      </c>
      <c r="AB4310">
        <v>38</v>
      </c>
      <c r="AC4310">
        <v>-15.784599999999999</v>
      </c>
      <c r="AD4310">
        <v>-1.1107969054319999</v>
      </c>
      <c r="AE4310">
        <v>-2.90359999999998</v>
      </c>
      <c r="AF4310">
        <v>-2.8875399850302799</v>
      </c>
      <c r="AG4310">
        <v>-1.1107969054319999</v>
      </c>
      <c r="AH4310">
        <v>15.7097575454086</v>
      </c>
      <c r="AI4310">
        <v>93.978086000930304</v>
      </c>
      <c r="AJ4310">
        <v>100.41502957055</v>
      </c>
      <c r="AK4310">
        <v>16.011503335595499</v>
      </c>
      <c r="AL4310">
        <v>66.879575237588696</v>
      </c>
      <c r="AM4310">
        <v>94.950894010819198</v>
      </c>
      <c r="AN4310">
        <v>1.00000002791118</v>
      </c>
    </row>
    <row r="4311" spans="1:40" x14ac:dyDescent="0.25">
      <c r="A4311" t="str">
        <f>"20190304164456908"</f>
        <v>20190304164456908</v>
      </c>
      <c r="B4311" t="str">
        <f>"1551689096904892"</f>
        <v>1551689096904892</v>
      </c>
      <c r="C4311" t="s">
        <v>40</v>
      </c>
      <c r="D4311">
        <v>4.6817669999999998</v>
      </c>
      <c r="E4311">
        <v>0.47120329999999999</v>
      </c>
      <c r="F4311" t="s">
        <v>42</v>
      </c>
      <c r="G4311">
        <v>-366.34449999999998</v>
      </c>
      <c r="H4311" s="1">
        <v>-1.7498110000000001E-6</v>
      </c>
      <c r="I4311">
        <v>138.49260000000001</v>
      </c>
      <c r="J4311">
        <v>-350.5729</v>
      </c>
      <c r="K4311">
        <v>1.1108070000000001</v>
      </c>
      <c r="L4311">
        <v>141.40469999999999</v>
      </c>
      <c r="M4311">
        <v>-0.99990060000000003</v>
      </c>
      <c r="N4311">
        <v>-1.409384E-2</v>
      </c>
      <c r="O4311">
        <v>-1.8268639999999999E-4</v>
      </c>
      <c r="P4311">
        <v>-0.92161720000000003</v>
      </c>
      <c r="Q4311">
        <v>0.37955299999999997</v>
      </c>
      <c r="R4311">
        <v>-8.1003560000000002E-2</v>
      </c>
      <c r="S4311">
        <v>-3.2969970000000002</v>
      </c>
      <c r="T4311">
        <v>-0.2267556</v>
      </c>
      <c r="U4311">
        <v>-0.59446719999999997</v>
      </c>
      <c r="V4311">
        <v>-8.0835000000000004E-2</v>
      </c>
      <c r="W4311">
        <v>0.39250489999999999</v>
      </c>
      <c r="X4311">
        <v>0.91619079999999997</v>
      </c>
      <c r="Y4311">
        <v>-0.17677509999999999</v>
      </c>
      <c r="Z4311">
        <v>-7.2709840000000003E-3</v>
      </c>
      <c r="AA4311">
        <v>0.9842244</v>
      </c>
      <c r="AB4311">
        <v>38</v>
      </c>
      <c r="AC4311">
        <v>-15.7715999999999</v>
      </c>
      <c r="AD4311">
        <v>-1.110808749811</v>
      </c>
      <c r="AE4311">
        <v>-2.9120999999999801</v>
      </c>
      <c r="AF4311">
        <v>-2.8953295794715399</v>
      </c>
      <c r="AG4311">
        <v>-1.110808749811</v>
      </c>
      <c r="AH4311">
        <v>15.6968344406071</v>
      </c>
      <c r="AI4311">
        <v>93.980935258477999</v>
      </c>
      <c r="AJ4311">
        <v>100.45091639131201</v>
      </c>
      <c r="AK4311">
        <v>16.0002325266931</v>
      </c>
      <c r="AL4311">
        <v>66.889548051190602</v>
      </c>
      <c r="AM4311">
        <v>95.042118168435707</v>
      </c>
      <c r="AN4311">
        <v>0.99999998787682498</v>
      </c>
    </row>
    <row r="4312" spans="1:40" x14ac:dyDescent="0.25">
      <c r="A4312" t="str">
        <f>"20190304164456932"</f>
        <v>20190304164456932</v>
      </c>
      <c r="B4312" t="str">
        <f>"1551689096924414"</f>
        <v>1551689096924414</v>
      </c>
      <c r="C4312" t="s">
        <v>40</v>
      </c>
      <c r="D4312">
        <v>4.6368150000000004</v>
      </c>
      <c r="E4312">
        <v>0.47113369999999999</v>
      </c>
      <c r="F4312" t="s">
        <v>42</v>
      </c>
      <c r="G4312">
        <v>-366.5718</v>
      </c>
      <c r="H4312" s="1">
        <v>-1.649307E-6</v>
      </c>
      <c r="I4312">
        <v>138.50960000000001</v>
      </c>
      <c r="J4312">
        <v>-350.96940000000001</v>
      </c>
      <c r="K4312">
        <v>1.1108359999999999</v>
      </c>
      <c r="L4312">
        <v>141.40459999999999</v>
      </c>
      <c r="M4312">
        <v>-0.99990080000000003</v>
      </c>
      <c r="N4312">
        <v>-1.4091660000000001E-2</v>
      </c>
      <c r="O4312">
        <v>-2.6349849999999998E-4</v>
      </c>
      <c r="P4312">
        <v>-0.9214618</v>
      </c>
      <c r="Q4312">
        <v>0.37954769999999999</v>
      </c>
      <c r="R4312">
        <v>-8.2776699999999995E-2</v>
      </c>
      <c r="S4312">
        <v>-3.296967</v>
      </c>
      <c r="T4312">
        <v>-0.2289108</v>
      </c>
      <c r="U4312">
        <v>-0.59658809999999995</v>
      </c>
      <c r="V4312">
        <v>-8.2560649999999999E-2</v>
      </c>
      <c r="W4312">
        <v>0.39248959999999999</v>
      </c>
      <c r="X4312">
        <v>0.91604350000000001</v>
      </c>
      <c r="Y4312">
        <v>-0.1773005</v>
      </c>
      <c r="Z4312">
        <v>-7.3449769999999999E-3</v>
      </c>
      <c r="AA4312">
        <v>0.98412940000000004</v>
      </c>
      <c r="AB4312">
        <v>38</v>
      </c>
      <c r="AC4312">
        <v>-15.6023999999999</v>
      </c>
      <c r="AD4312">
        <v>-1.110837649307</v>
      </c>
      <c r="AE4312">
        <v>-2.89499999999998</v>
      </c>
      <c r="AF4312">
        <v>-2.8767912934544002</v>
      </c>
      <c r="AG4312">
        <v>-1.110837649307</v>
      </c>
      <c r="AH4312">
        <v>15.5270758476992</v>
      </c>
      <c r="AI4312">
        <v>94.023831363367194</v>
      </c>
      <c r="AJ4312">
        <v>100.496496256112</v>
      </c>
      <c r="AK4312">
        <v>15.830349737432099</v>
      </c>
      <c r="AL4312">
        <v>66.8905019573983</v>
      </c>
      <c r="AM4312">
        <v>95.150007234003297</v>
      </c>
      <c r="AN4312">
        <v>1.0000000204644099</v>
      </c>
    </row>
    <row r="4313" spans="1:40" x14ac:dyDescent="0.25">
      <c r="A4313" t="str">
        <f>"20190304164456952"</f>
        <v>20190304164456952</v>
      </c>
      <c r="B4313" t="str">
        <f>"1551689096944907"</f>
        <v>1551689096944907</v>
      </c>
      <c r="C4313" t="s">
        <v>40</v>
      </c>
      <c r="D4313">
        <v>4.6446110000000003</v>
      </c>
      <c r="E4313">
        <v>0.45135799999999998</v>
      </c>
      <c r="F4313" t="s">
        <v>42</v>
      </c>
      <c r="G4313">
        <v>-366.92720000000003</v>
      </c>
      <c r="H4313" s="1">
        <v>-1.499056E-6</v>
      </c>
      <c r="I4313">
        <v>138.49709999999999</v>
      </c>
      <c r="J4313">
        <v>-351.32459999999998</v>
      </c>
      <c r="K4313">
        <v>1.110865</v>
      </c>
      <c r="L4313">
        <v>141.40440000000001</v>
      </c>
      <c r="M4313">
        <v>-0.99990080000000003</v>
      </c>
      <c r="N4313">
        <v>-1.40897E-2</v>
      </c>
      <c r="O4313">
        <v>-3.69866E-4</v>
      </c>
      <c r="P4313">
        <v>-0.92131540000000001</v>
      </c>
      <c r="Q4313">
        <v>0.37944260000000002</v>
      </c>
      <c r="R4313">
        <v>-8.4861409999999998E-2</v>
      </c>
      <c r="S4313">
        <v>-3.2962340000000001</v>
      </c>
      <c r="T4313">
        <v>-0.22945460000000001</v>
      </c>
      <c r="U4313">
        <v>-0.60054019999999997</v>
      </c>
      <c r="V4313">
        <v>-8.4576440000000003E-2</v>
      </c>
      <c r="W4313">
        <v>0.39237470000000002</v>
      </c>
      <c r="X4313">
        <v>0.91590879999999997</v>
      </c>
      <c r="Y4313">
        <v>-0.1783711</v>
      </c>
      <c r="Z4313">
        <v>-7.3987219999999999E-3</v>
      </c>
      <c r="AA4313">
        <v>0.98393549999999996</v>
      </c>
      <c r="AB4313">
        <v>38</v>
      </c>
      <c r="AC4313">
        <v>-15.602600000000001</v>
      </c>
      <c r="AD4313">
        <v>-1.110866499056</v>
      </c>
      <c r="AE4313">
        <v>-2.9073000000000202</v>
      </c>
      <c r="AF4313">
        <v>-2.8873830906054798</v>
      </c>
      <c r="AG4313">
        <v>-1.110866499056</v>
      </c>
      <c r="AH4313">
        <v>15.527604736795601</v>
      </c>
      <c r="AI4313">
        <v>94.023312608082705</v>
      </c>
      <c r="AJ4313">
        <v>100.533928053783</v>
      </c>
      <c r="AK4313">
        <v>15.8327986898336</v>
      </c>
      <c r="AL4313">
        <v>66.897659019716897</v>
      </c>
      <c r="AM4313">
        <v>95.275819573073505</v>
      </c>
      <c r="AN4313">
        <v>1.0000000046602999</v>
      </c>
    </row>
    <row r="4314" spans="1:40" x14ac:dyDescent="0.25">
      <c r="A4314" t="str">
        <f>"20190304164456975"</f>
        <v>20190304164456975</v>
      </c>
      <c r="B4314" t="str">
        <f>"1551689096964428"</f>
        <v>1551689096964428</v>
      </c>
      <c r="C4314" t="s">
        <v>40</v>
      </c>
      <c r="D4314">
        <v>4.6551650000000002</v>
      </c>
      <c r="E4314">
        <v>0.45025470000000001</v>
      </c>
      <c r="F4314" t="s">
        <v>42</v>
      </c>
      <c r="G4314">
        <v>-369.00040000000001</v>
      </c>
      <c r="H4314" s="1">
        <v>-9.4223190000000005E-7</v>
      </c>
      <c r="I4314">
        <v>137.30109999999999</v>
      </c>
      <c r="J4314">
        <v>-351.69150000000002</v>
      </c>
      <c r="K4314">
        <v>1.110897</v>
      </c>
      <c r="L4314">
        <v>141.4041</v>
      </c>
      <c r="M4314">
        <v>-0.99990060000000003</v>
      </c>
      <c r="N4314">
        <v>-1.4087519999999999E-2</v>
      </c>
      <c r="O4314">
        <v>-5.0817519999999999E-4</v>
      </c>
      <c r="P4314">
        <v>-0.92132700000000001</v>
      </c>
      <c r="Q4314">
        <v>0.37903730000000002</v>
      </c>
      <c r="R4314">
        <v>-8.6529369999999994E-2</v>
      </c>
      <c r="S4314">
        <v>-3.2709350000000001</v>
      </c>
      <c r="T4314">
        <v>-0.20556749999999999</v>
      </c>
      <c r="U4314">
        <v>-0.75930790000000004</v>
      </c>
      <c r="V4314">
        <v>-8.6146319999999998E-2</v>
      </c>
      <c r="W4314">
        <v>0.39196110000000001</v>
      </c>
      <c r="X4314">
        <v>0.91593959999999996</v>
      </c>
      <c r="Y4314">
        <v>-0.22511039999999999</v>
      </c>
      <c r="Z4314">
        <v>-8.5582109999999996E-3</v>
      </c>
      <c r="AA4314">
        <v>0.97429569999999999</v>
      </c>
      <c r="AB4314">
        <v>38</v>
      </c>
      <c r="AC4314">
        <v>-17.308899999999898</v>
      </c>
      <c r="AD4314">
        <v>-1.1108979422318901</v>
      </c>
      <c r="AE4314">
        <v>-4.1029999999999998</v>
      </c>
      <c r="AF4314">
        <v>-4.0782971940024</v>
      </c>
      <c r="AG4314">
        <v>-1.1108979422318901</v>
      </c>
      <c r="AH4314">
        <v>17.2437320785499</v>
      </c>
      <c r="AI4314">
        <v>93.587390037215997</v>
      </c>
      <c r="AJ4314">
        <v>103.306456107857</v>
      </c>
      <c r="AK4314">
        <v>17.754236064598</v>
      </c>
      <c r="AL4314">
        <v>66.923420600900698</v>
      </c>
      <c r="AM4314">
        <v>95.372999995353894</v>
      </c>
      <c r="AN4314">
        <v>1.0000000216054501</v>
      </c>
    </row>
    <row r="4315" spans="1:40" x14ac:dyDescent="0.25">
      <c r="A4315" t="str">
        <f>"20190304164456998"</f>
        <v>20190304164456998</v>
      </c>
      <c r="B4315" t="str">
        <f>"1551689096994684"</f>
        <v>1551689096994684</v>
      </c>
      <c r="C4315" t="s">
        <v>40</v>
      </c>
      <c r="D4315">
        <v>4.6415839999999999</v>
      </c>
      <c r="E4315">
        <v>0.44982729999999999</v>
      </c>
      <c r="F4315" t="s">
        <v>42</v>
      </c>
      <c r="G4315">
        <v>-368.68430000000001</v>
      </c>
      <c r="H4315" s="1">
        <v>-1.0267320000000001E-6</v>
      </c>
      <c r="I4315">
        <v>137.3878</v>
      </c>
      <c r="J4315">
        <v>-352.07729999999998</v>
      </c>
      <c r="K4315">
        <v>1.1109279999999999</v>
      </c>
      <c r="L4315">
        <v>141.40369999999999</v>
      </c>
      <c r="M4315">
        <v>-0.99990069999999998</v>
      </c>
      <c r="N4315">
        <v>-1.4085240000000001E-2</v>
      </c>
      <c r="O4315">
        <v>-6.8073369999999904E-4</v>
      </c>
      <c r="P4315">
        <v>-0.92112179999999999</v>
      </c>
      <c r="Q4315">
        <v>0.3791831</v>
      </c>
      <c r="R4315">
        <v>-8.8063539999999996E-2</v>
      </c>
      <c r="S4315">
        <v>-3.271515</v>
      </c>
      <c r="T4315">
        <v>-0.2138748</v>
      </c>
      <c r="U4315">
        <v>-0.77322389999999996</v>
      </c>
      <c r="V4315">
        <v>-8.754576E-2</v>
      </c>
      <c r="W4315">
        <v>0.39209620000000001</v>
      </c>
      <c r="X4315">
        <v>0.91574909999999998</v>
      </c>
      <c r="Y4315">
        <v>-0.2287846</v>
      </c>
      <c r="Z4315">
        <v>-8.9700249999999995E-3</v>
      </c>
      <c r="AA4315">
        <v>0.97343579999999996</v>
      </c>
      <c r="AB4315">
        <v>38</v>
      </c>
      <c r="AC4315">
        <v>-16.606999999999999</v>
      </c>
      <c r="AD4315">
        <v>-1.110929026732</v>
      </c>
      <c r="AE4315">
        <v>-4.0158999999999798</v>
      </c>
      <c r="AF4315">
        <v>-3.9877338773199802</v>
      </c>
      <c r="AG4315">
        <v>-1.110929026732</v>
      </c>
      <c r="AH4315">
        <v>16.539804084209599</v>
      </c>
      <c r="AI4315">
        <v>93.735882716219805</v>
      </c>
      <c r="AJ4315">
        <v>103.555269008032</v>
      </c>
      <c r="AK4315">
        <v>17.049964924386099</v>
      </c>
      <c r="AL4315">
        <v>66.915007156577801</v>
      </c>
      <c r="AM4315">
        <v>95.460889610679104</v>
      </c>
      <c r="AN4315">
        <v>1.00000005214961</v>
      </c>
    </row>
    <row r="4316" spans="1:40" x14ac:dyDescent="0.25">
      <c r="A4316" t="str">
        <f>"20190304164457021"</f>
        <v>20190304164457021</v>
      </c>
      <c r="B4316" t="str">
        <f>"1551689097014203"</f>
        <v>1551689097014203</v>
      </c>
      <c r="C4316" t="s">
        <v>40</v>
      </c>
      <c r="D4316">
        <v>4.6691820000000002</v>
      </c>
      <c r="E4316">
        <v>0.44993559999999999</v>
      </c>
      <c r="F4316" t="s">
        <v>42</v>
      </c>
      <c r="G4316">
        <v>-369.2604</v>
      </c>
      <c r="H4316" s="1">
        <v>-8.5557540000000003E-7</v>
      </c>
      <c r="I4316">
        <v>137.29419999999999</v>
      </c>
      <c r="J4316">
        <v>-352.46019999999999</v>
      </c>
      <c r="K4316">
        <v>1.1109500000000001</v>
      </c>
      <c r="L4316">
        <v>141.4033</v>
      </c>
      <c r="M4316">
        <v>-0.99990049999999997</v>
      </c>
      <c r="N4316">
        <v>-1.408303E-2</v>
      </c>
      <c r="O4316">
        <v>-8.7069179999999901E-4</v>
      </c>
      <c r="P4316">
        <v>-0.92106770000000004</v>
      </c>
      <c r="Q4316">
        <v>0.37900410000000001</v>
      </c>
      <c r="R4316">
        <v>-8.9387770000000005E-2</v>
      </c>
      <c r="S4316">
        <v>-3.2691650000000001</v>
      </c>
      <c r="T4316">
        <v>-0.21135999999999999</v>
      </c>
      <c r="U4316">
        <v>-0.78184509999999996</v>
      </c>
      <c r="V4316">
        <v>-8.8712669999999993E-2</v>
      </c>
      <c r="W4316">
        <v>0.3919106</v>
      </c>
      <c r="X4316">
        <v>0.91571619999999998</v>
      </c>
      <c r="Y4316">
        <v>-0.23119129999999999</v>
      </c>
      <c r="Z4316">
        <v>-8.9715360000000004E-3</v>
      </c>
      <c r="AA4316">
        <v>0.97286700000000004</v>
      </c>
      <c r="AB4316">
        <v>38</v>
      </c>
      <c r="AC4316">
        <v>-16.8002</v>
      </c>
      <c r="AD4316">
        <v>-1.1109508555754</v>
      </c>
      <c r="AE4316">
        <v>-4.1091000000000104</v>
      </c>
      <c r="AF4316">
        <v>-4.07764489347701</v>
      </c>
      <c r="AG4316">
        <v>-1.1109508555754</v>
      </c>
      <c r="AH4316">
        <v>16.734724520349801</v>
      </c>
      <c r="AI4316">
        <v>93.690400616642904</v>
      </c>
      <c r="AJ4316">
        <v>103.694049587888</v>
      </c>
      <c r="AK4316">
        <v>17.260139178256999</v>
      </c>
      <c r="AL4316">
        <v>66.926565323959807</v>
      </c>
      <c r="AM4316">
        <v>95.533427371552307</v>
      </c>
      <c r="AN4316">
        <v>1.00000000757666</v>
      </c>
    </row>
    <row r="4317" spans="1:40" x14ac:dyDescent="0.25">
      <c r="A4317" t="str">
        <f>"20190304164457042"</f>
        <v>20190304164457042</v>
      </c>
      <c r="B4317" t="str">
        <f>"1551689097034699"</f>
        <v>1551689097034699</v>
      </c>
      <c r="C4317" t="s">
        <v>40</v>
      </c>
      <c r="D4317">
        <v>4.6891619999999996</v>
      </c>
      <c r="E4317">
        <v>0.4498453</v>
      </c>
      <c r="F4317" t="s">
        <v>42</v>
      </c>
      <c r="G4317">
        <v>-369.75689999999997</v>
      </c>
      <c r="H4317" s="1">
        <v>-7.0064419999999899E-7</v>
      </c>
      <c r="I4317">
        <v>137.24160000000001</v>
      </c>
      <c r="J4317">
        <v>-352.83</v>
      </c>
      <c r="K4317">
        <v>1.1109579999999999</v>
      </c>
      <c r="L4317">
        <v>141.40280000000001</v>
      </c>
      <c r="M4317">
        <v>-0.99990040000000002</v>
      </c>
      <c r="N4317">
        <v>-1.4080860000000001E-2</v>
      </c>
      <c r="O4317">
        <v>-1.065793E-3</v>
      </c>
      <c r="P4317">
        <v>-0.92086409999999996</v>
      </c>
      <c r="Q4317">
        <v>0.37915690000000002</v>
      </c>
      <c r="R4317">
        <v>-9.0828000000000006E-2</v>
      </c>
      <c r="S4317">
        <v>-3.2671510000000001</v>
      </c>
      <c r="T4317">
        <v>-0.20984729999999999</v>
      </c>
      <c r="U4317">
        <v>-0.78608699999999998</v>
      </c>
      <c r="V4317">
        <v>-8.9984610000000007E-2</v>
      </c>
      <c r="W4317">
        <v>0.3920554</v>
      </c>
      <c r="X4317">
        <v>0.91553010000000001</v>
      </c>
      <c r="Y4317">
        <v>-0.23233570000000001</v>
      </c>
      <c r="Z4317">
        <v>-8.9573320000000001E-3</v>
      </c>
      <c r="AA4317">
        <v>0.97259439999999997</v>
      </c>
      <c r="AB4317">
        <v>38</v>
      </c>
      <c r="AC4317">
        <v>-16.9268999999999</v>
      </c>
      <c r="AD4317">
        <v>-1.1109587006442001</v>
      </c>
      <c r="AE4317">
        <v>-4.1612</v>
      </c>
      <c r="AF4317">
        <v>-4.1263931989159603</v>
      </c>
      <c r="AG4317">
        <v>-1.1109587006442001</v>
      </c>
      <c r="AH4317">
        <v>16.862826264125399</v>
      </c>
      <c r="AI4317">
        <v>93.661593037946403</v>
      </c>
      <c r="AJ4317">
        <v>103.750275261494</v>
      </c>
      <c r="AK4317">
        <v>17.395869040685302</v>
      </c>
      <c r="AL4317">
        <v>66.917547386558198</v>
      </c>
      <c r="AM4317">
        <v>95.613394826734094</v>
      </c>
      <c r="AN4317">
        <v>1.00000001535601</v>
      </c>
    </row>
    <row r="4318" spans="1:40" x14ac:dyDescent="0.25">
      <c r="A4318" t="str">
        <f>"20190304164457060"</f>
        <v>20190304164457060</v>
      </c>
      <c r="B4318" t="str">
        <f>"1551689097054220"</f>
        <v>1551689097054220</v>
      </c>
      <c r="C4318" t="s">
        <v>40</v>
      </c>
      <c r="D4318">
        <v>4.6427529999999999</v>
      </c>
      <c r="E4318">
        <v>0.44998280000000002</v>
      </c>
      <c r="F4318" t="s">
        <v>42</v>
      </c>
      <c r="G4318">
        <v>-370.33359999999999</v>
      </c>
      <c r="H4318" s="1">
        <v>-4.5661479999999998E-6</v>
      </c>
      <c r="I4318">
        <v>137.15270000000001</v>
      </c>
      <c r="J4318">
        <v>-353.11520000000002</v>
      </c>
      <c r="K4318">
        <v>1.110967</v>
      </c>
      <c r="L4318">
        <v>141.4023</v>
      </c>
      <c r="M4318">
        <v>-0.99990020000000002</v>
      </c>
      <c r="N4318">
        <v>-1.407917E-2</v>
      </c>
      <c r="O4318">
        <v>-1.220039E-3</v>
      </c>
      <c r="P4318">
        <v>-0.9207398</v>
      </c>
      <c r="Q4318">
        <v>0.37929770000000002</v>
      </c>
      <c r="R4318">
        <v>-9.1495859999999998E-2</v>
      </c>
      <c r="S4318">
        <v>-3.264923</v>
      </c>
      <c r="T4318">
        <v>-0.20722650000000001</v>
      </c>
      <c r="U4318">
        <v>-0.79273990000000005</v>
      </c>
      <c r="V4318">
        <v>-9.0518029999999999E-2</v>
      </c>
      <c r="W4318">
        <v>0.39219140000000002</v>
      </c>
      <c r="X4318">
        <v>0.91541930000000005</v>
      </c>
      <c r="Y4318">
        <v>-0.23421639999999999</v>
      </c>
      <c r="Z4318">
        <v>-8.934516E-3</v>
      </c>
      <c r="AA4318">
        <v>0.97214339999999999</v>
      </c>
      <c r="AB4318">
        <v>38</v>
      </c>
      <c r="AC4318">
        <v>-17.2183999999999</v>
      </c>
      <c r="AD4318">
        <v>-1.110971566148</v>
      </c>
      <c r="AE4318">
        <v>-4.2495999999999796</v>
      </c>
      <c r="AF4318">
        <v>-4.2120590784515199</v>
      </c>
      <c r="AG4318">
        <v>-1.110971566148</v>
      </c>
      <c r="AH4318">
        <v>17.156249468160599</v>
      </c>
      <c r="AI4318">
        <v>93.598505774741497</v>
      </c>
      <c r="AJ4318">
        <v>103.793952670884</v>
      </c>
      <c r="AK4318">
        <v>17.700638274223799</v>
      </c>
      <c r="AL4318">
        <v>66.909077651845806</v>
      </c>
      <c r="AM4318">
        <v>95.647135097042195</v>
      </c>
      <c r="AN4318">
        <v>1.0000000514007601</v>
      </c>
    </row>
    <row r="4319" spans="1:40" x14ac:dyDescent="0.25">
      <c r="A4319" t="str">
        <f>"20190304164457076"</f>
        <v>20190304164457076</v>
      </c>
      <c r="B4319" t="str">
        <f>"1551689097064956"</f>
        <v>1551689097064956</v>
      </c>
      <c r="C4319" t="s">
        <v>40</v>
      </c>
      <c r="D4319">
        <v>4.6797870000000001</v>
      </c>
      <c r="E4319">
        <v>0.44999929999999999</v>
      </c>
      <c r="F4319" t="s">
        <v>42</v>
      </c>
      <c r="G4319">
        <v>-370.72789999999998</v>
      </c>
      <c r="H4319" s="1">
        <v>-4.4035810000000002E-6</v>
      </c>
      <c r="I4319">
        <v>137.1156</v>
      </c>
      <c r="J4319">
        <v>-353.39249999999998</v>
      </c>
      <c r="K4319">
        <v>1.110981</v>
      </c>
      <c r="L4319">
        <v>141.40190000000001</v>
      </c>
      <c r="M4319">
        <v>-0.99990000000000001</v>
      </c>
      <c r="N4319">
        <v>-1.40775E-2</v>
      </c>
      <c r="O4319">
        <v>-1.3706879999999999E-3</v>
      </c>
      <c r="P4319">
        <v>-0.92051309999999997</v>
      </c>
      <c r="Q4319">
        <v>0.37950489999999998</v>
      </c>
      <c r="R4319">
        <v>-9.2908959999999999E-2</v>
      </c>
      <c r="S4319">
        <v>-3.2641300000000002</v>
      </c>
      <c r="T4319">
        <v>-0.2058953</v>
      </c>
      <c r="U4319">
        <v>-0.79443359999999996</v>
      </c>
      <c r="V4319">
        <v>-9.1798389999999994E-2</v>
      </c>
      <c r="W4319">
        <v>0.39239220000000002</v>
      </c>
      <c r="X4319">
        <v>0.91520570000000001</v>
      </c>
      <c r="Y4319">
        <v>-0.23460590000000001</v>
      </c>
      <c r="Z4319">
        <v>-8.8968369999999995E-3</v>
      </c>
      <c r="AA4319">
        <v>0.97204979999999996</v>
      </c>
      <c r="AB4319">
        <v>38</v>
      </c>
      <c r="AC4319">
        <v>-17.3353999999999</v>
      </c>
      <c r="AD4319">
        <v>-1.1109854035810001</v>
      </c>
      <c r="AE4319">
        <v>-4.2863000000000104</v>
      </c>
      <c r="AF4319">
        <v>-4.2460972645759201</v>
      </c>
      <c r="AG4319">
        <v>-1.1109854035810001</v>
      </c>
      <c r="AH4319">
        <v>17.274397252149399</v>
      </c>
      <c r="AI4319">
        <v>93.573761757452402</v>
      </c>
      <c r="AJ4319">
        <v>103.809691466262</v>
      </c>
      <c r="AK4319">
        <v>17.823255341611301</v>
      </c>
      <c r="AL4319">
        <v>66.896569494068302</v>
      </c>
      <c r="AM4319">
        <v>95.727813131012596</v>
      </c>
      <c r="AN4319">
        <v>1.0000000281699599</v>
      </c>
    </row>
    <row r="4320" spans="1:40" x14ac:dyDescent="0.25">
      <c r="A4320" t="str">
        <f>"20190304164457099"</f>
        <v>20190304164457099</v>
      </c>
      <c r="B4320" t="str">
        <f>"1551689097094236"</f>
        <v>1551689097094236</v>
      </c>
      <c r="C4320" t="s">
        <v>40</v>
      </c>
      <c r="D4320">
        <v>4.6926629999999996</v>
      </c>
      <c r="E4320">
        <v>0.45000839999999998</v>
      </c>
      <c r="F4320" t="s">
        <v>42</v>
      </c>
      <c r="G4320">
        <v>-371.10629999999998</v>
      </c>
      <c r="H4320" s="1">
        <v>-4.2507139999999998E-6</v>
      </c>
      <c r="I4320">
        <v>137.06229999999999</v>
      </c>
      <c r="J4320">
        <v>-353.76519999999999</v>
      </c>
      <c r="K4320">
        <v>1.1109910000000001</v>
      </c>
      <c r="L4320">
        <v>141.40110000000001</v>
      </c>
      <c r="M4320">
        <v>-0.99989980000000001</v>
      </c>
      <c r="N4320">
        <v>-1.4075219999999999E-2</v>
      </c>
      <c r="O4320">
        <v>-1.572124E-3</v>
      </c>
      <c r="P4320">
        <v>-0.92032939999999996</v>
      </c>
      <c r="Q4320">
        <v>0.37964629999999999</v>
      </c>
      <c r="R4320">
        <v>-9.4142240000000002E-2</v>
      </c>
      <c r="S4320">
        <v>-3.2627259999999998</v>
      </c>
      <c r="T4320">
        <v>-0.2046338</v>
      </c>
      <c r="U4320">
        <v>-0.79930109999999999</v>
      </c>
      <c r="V4320">
        <v>-9.2852970000000007E-2</v>
      </c>
      <c r="W4320">
        <v>0.39252730000000002</v>
      </c>
      <c r="X4320">
        <v>0.91504129999999995</v>
      </c>
      <c r="Y4320">
        <v>-0.23587759999999999</v>
      </c>
      <c r="Z4320">
        <v>-8.8932569999999999E-3</v>
      </c>
      <c r="AA4320">
        <v>0.97174210000000005</v>
      </c>
      <c r="AB4320">
        <v>38</v>
      </c>
      <c r="AC4320">
        <v>-17.341099999999901</v>
      </c>
      <c r="AD4320">
        <v>-1.110995250714</v>
      </c>
      <c r="AE4320">
        <v>-4.3388000000000204</v>
      </c>
      <c r="AF4320">
        <v>-4.2949391495501903</v>
      </c>
      <c r="AG4320">
        <v>-1.110995250714</v>
      </c>
      <c r="AH4320">
        <v>17.281147003970101</v>
      </c>
      <c r="AI4320">
        <v>93.570135688877201</v>
      </c>
      <c r="AJ4320">
        <v>103.957119577252</v>
      </c>
      <c r="AK4320">
        <v>17.841492496937398</v>
      </c>
      <c r="AL4320">
        <v>66.888152150746507</v>
      </c>
      <c r="AM4320">
        <v>95.794202961810996</v>
      </c>
      <c r="AN4320">
        <v>0.99999996799439905</v>
      </c>
    </row>
    <row r="4321" spans="1:40" x14ac:dyDescent="0.25">
      <c r="A4321" t="str">
        <f>"20190304164457121"</f>
        <v>20190304164457121</v>
      </c>
      <c r="B4321" t="str">
        <f>"1551689097114732"</f>
        <v>1551689097114732</v>
      </c>
      <c r="C4321" t="s">
        <v>40</v>
      </c>
      <c r="D4321">
        <v>4.6544369999999997</v>
      </c>
      <c r="E4321">
        <v>0.4500961</v>
      </c>
      <c r="F4321" t="s">
        <v>42</v>
      </c>
      <c r="G4321">
        <v>-371.51679999999999</v>
      </c>
      <c r="H4321" s="1">
        <v>-4.0798999999999997E-6</v>
      </c>
      <c r="I4321">
        <v>137.0324</v>
      </c>
      <c r="J4321">
        <v>-354.15600000000001</v>
      </c>
      <c r="K4321">
        <v>1.110995</v>
      </c>
      <c r="L4321">
        <v>141.40029999999999</v>
      </c>
      <c r="M4321">
        <v>-0.99989939999999999</v>
      </c>
      <c r="N4321">
        <v>-1.407285E-2</v>
      </c>
      <c r="O4321">
        <v>-1.7805760000000001E-3</v>
      </c>
      <c r="P4321">
        <v>-0.91994480000000001</v>
      </c>
      <c r="Q4321">
        <v>0.38031969999999998</v>
      </c>
      <c r="R4321">
        <v>-9.5178040000000005E-2</v>
      </c>
      <c r="S4321">
        <v>-3.2618100000000001</v>
      </c>
      <c r="T4321">
        <v>-0.20414270000000001</v>
      </c>
      <c r="U4321">
        <v>-0.80273439999999996</v>
      </c>
      <c r="V4321">
        <v>-9.3703629999999996E-2</v>
      </c>
      <c r="W4321">
        <v>0.39319159999999997</v>
      </c>
      <c r="X4321">
        <v>0.91466930000000002</v>
      </c>
      <c r="Y4321">
        <v>-0.2367032</v>
      </c>
      <c r="Z4321">
        <v>-8.8984049999999999E-3</v>
      </c>
      <c r="AA4321">
        <v>0.97154130000000005</v>
      </c>
      <c r="AB4321">
        <v>38</v>
      </c>
      <c r="AC4321">
        <v>-17.360799999999902</v>
      </c>
      <c r="AD4321">
        <v>-1.1109990799</v>
      </c>
      <c r="AE4321">
        <v>-4.3678999999999899</v>
      </c>
      <c r="AF4321">
        <v>-4.3203379282589998</v>
      </c>
      <c r="AG4321">
        <v>-1.1109990799</v>
      </c>
      <c r="AH4321">
        <v>17.301911988038999</v>
      </c>
      <c r="AI4321">
        <v>93.5648985961638</v>
      </c>
      <c r="AJ4321">
        <v>104.020222126684</v>
      </c>
      <c r="AK4321">
        <v>17.867730611684799</v>
      </c>
      <c r="AL4321">
        <v>66.846762759451394</v>
      </c>
      <c r="AM4321">
        <v>95.849281145037907</v>
      </c>
      <c r="AN4321">
        <v>0.99999996647411205</v>
      </c>
    </row>
    <row r="4322" spans="1:40" x14ac:dyDescent="0.25">
      <c r="A4322" t="str">
        <f>"20190304164457143"</f>
        <v>20190304164457143</v>
      </c>
      <c r="B4322" t="str">
        <f>"1551689097134255"</f>
        <v>1551689097134255</v>
      </c>
      <c r="C4322" t="s">
        <v>40</v>
      </c>
      <c r="D4322">
        <v>4.6726650000000003</v>
      </c>
      <c r="E4322">
        <v>0.45016869999999998</v>
      </c>
      <c r="F4322" t="s">
        <v>42</v>
      </c>
      <c r="G4322">
        <v>-372.14030000000002</v>
      </c>
      <c r="H4322" s="1">
        <v>-3.824484E-6</v>
      </c>
      <c r="I4322">
        <v>136.96440000000001</v>
      </c>
      <c r="J4322">
        <v>-354.51499999999999</v>
      </c>
      <c r="K4322">
        <v>1.110997</v>
      </c>
      <c r="L4322">
        <v>141.39949999999999</v>
      </c>
      <c r="M4322">
        <v>-0.99989910000000004</v>
      </c>
      <c r="N4322">
        <v>-1.407069E-2</v>
      </c>
      <c r="O4322">
        <v>-1.9705220000000002E-3</v>
      </c>
      <c r="P4322">
        <v>-0.91969900000000004</v>
      </c>
      <c r="Q4322">
        <v>0.38074069999999999</v>
      </c>
      <c r="R4322">
        <v>-9.5867659999999993E-2</v>
      </c>
      <c r="S4322">
        <v>-3.2611080000000001</v>
      </c>
      <c r="T4322">
        <v>-0.20145830000000001</v>
      </c>
      <c r="U4322">
        <v>-0.804367099999999</v>
      </c>
      <c r="V4322">
        <v>-9.4222790000000001E-2</v>
      </c>
      <c r="W4322">
        <v>0.39360640000000002</v>
      </c>
      <c r="X4322">
        <v>0.91443759999999996</v>
      </c>
      <c r="Y4322">
        <v>-0.23703769999999999</v>
      </c>
      <c r="Z4322">
        <v>-8.8086499999999995E-3</v>
      </c>
      <c r="AA4322">
        <v>0.97146049999999995</v>
      </c>
      <c r="AB4322">
        <v>38</v>
      </c>
      <c r="AC4322">
        <v>-17.625299999999999</v>
      </c>
      <c r="AD4322">
        <v>-1.1110008244839999</v>
      </c>
      <c r="AE4322">
        <v>-4.4350999999999701</v>
      </c>
      <c r="AF4322">
        <v>-4.38397516053438</v>
      </c>
      <c r="AG4322">
        <v>-1.1110008244839999</v>
      </c>
      <c r="AH4322">
        <v>17.568357823537902</v>
      </c>
      <c r="AI4322">
        <v>93.511109902068199</v>
      </c>
      <c r="AJ4322">
        <v>104.011334226093</v>
      </c>
      <c r="AK4322">
        <v>18.1411344092934</v>
      </c>
      <c r="AL4322">
        <v>66.820913588480906</v>
      </c>
      <c r="AM4322">
        <v>95.882942011512299</v>
      </c>
      <c r="AN4322">
        <v>1.0000000282850501</v>
      </c>
    </row>
    <row r="4323" spans="1:40" x14ac:dyDescent="0.25">
      <c r="A4323" t="str">
        <f>"20190304164457165"</f>
        <v>20190304164457165</v>
      </c>
      <c r="B4323" t="str">
        <f>"1551689097154748"</f>
        <v>1551689097154748</v>
      </c>
      <c r="C4323" t="s">
        <v>40</v>
      </c>
      <c r="D4323">
        <v>4.7193709999999998</v>
      </c>
      <c r="E4323">
        <v>0.45010919999999999</v>
      </c>
      <c r="F4323" t="s">
        <v>42</v>
      </c>
      <c r="G4323">
        <v>-372.5668</v>
      </c>
      <c r="H4323" s="1">
        <v>-3.6453640000000001E-6</v>
      </c>
      <c r="I4323">
        <v>136.9426</v>
      </c>
      <c r="J4323">
        <v>-354.8852</v>
      </c>
      <c r="K4323">
        <v>1.111005</v>
      </c>
      <c r="L4323">
        <v>141.39859999999999</v>
      </c>
      <c r="M4323">
        <v>-0.99989870000000003</v>
      </c>
      <c r="N4323">
        <v>-1.406845E-2</v>
      </c>
      <c r="O4323">
        <v>-2.1637750000000002E-3</v>
      </c>
      <c r="P4323">
        <v>-0.91930719999999999</v>
      </c>
      <c r="Q4323">
        <v>0.38140560000000001</v>
      </c>
      <c r="R4323">
        <v>-9.6974649999999996E-2</v>
      </c>
      <c r="S4323">
        <v>-3.2611080000000001</v>
      </c>
      <c r="T4323">
        <v>-0.20070479999999999</v>
      </c>
      <c r="U4323">
        <v>-0.80513000000000001</v>
      </c>
      <c r="V4323">
        <v>-9.5155480000000001E-2</v>
      </c>
      <c r="W4323">
        <v>0.39426329999999998</v>
      </c>
      <c r="X4323">
        <v>0.91405789999999998</v>
      </c>
      <c r="Y4323">
        <v>-0.2370679</v>
      </c>
      <c r="Z4323">
        <v>-8.7738539999999993E-3</v>
      </c>
      <c r="AA4323">
        <v>0.97145340000000002</v>
      </c>
      <c r="AB4323">
        <v>37</v>
      </c>
      <c r="AC4323">
        <v>-17.6816</v>
      </c>
      <c r="AD4323">
        <v>-1.111008645364</v>
      </c>
      <c r="AE4323">
        <v>-4.45599999999998</v>
      </c>
      <c r="AF4323">
        <v>-4.4013872502351896</v>
      </c>
      <c r="AG4323">
        <v>-1.111008645364</v>
      </c>
      <c r="AH4323">
        <v>17.625768171112199</v>
      </c>
      <c r="AI4323">
        <v>93.499582995316999</v>
      </c>
      <c r="AJ4323">
        <v>104.020777458439</v>
      </c>
      <c r="AK4323">
        <v>18.200941007497299</v>
      </c>
      <c r="AL4323">
        <v>66.779963614240401</v>
      </c>
      <c r="AM4323">
        <v>95.943211595205895</v>
      </c>
      <c r="AN4323">
        <v>0.999999979826665</v>
      </c>
    </row>
    <row r="4324" spans="1:40" x14ac:dyDescent="0.25">
      <c r="A4324" t="str">
        <f>"20190304164457187"</f>
        <v>20190304164457187</v>
      </c>
      <c r="B4324" t="str">
        <f>"1551689097185005"</f>
        <v>1551689097185005</v>
      </c>
      <c r="C4324" t="s">
        <v>40</v>
      </c>
      <c r="D4324">
        <v>4.7195999999999998</v>
      </c>
      <c r="E4324">
        <v>0.45012799999999997</v>
      </c>
      <c r="F4324" t="s">
        <v>42</v>
      </c>
      <c r="G4324">
        <v>-373.0652</v>
      </c>
      <c r="H4324" s="1">
        <v>-3.4399279999999998E-6</v>
      </c>
      <c r="I4324">
        <v>136.8956</v>
      </c>
      <c r="J4324">
        <v>-355.2663</v>
      </c>
      <c r="K4324">
        <v>1.111008</v>
      </c>
      <c r="L4324">
        <v>141.39760000000001</v>
      </c>
      <c r="M4324">
        <v>-0.99989830000000002</v>
      </c>
      <c r="N4324">
        <v>-1.4066230000000001E-2</v>
      </c>
      <c r="O4324">
        <v>-2.3546840000000001E-3</v>
      </c>
      <c r="P4324">
        <v>-0.91923120000000003</v>
      </c>
      <c r="Q4324">
        <v>0.38136199999999998</v>
      </c>
      <c r="R4324">
        <v>-9.7865779999999999E-2</v>
      </c>
      <c r="S4324">
        <v>-3.2608030000000001</v>
      </c>
      <c r="T4324">
        <v>-0.19927329999999999</v>
      </c>
      <c r="U4324">
        <v>-0.80766300000000002</v>
      </c>
      <c r="V4324">
        <v>-9.5868830000000002E-2</v>
      </c>
      <c r="W4324">
        <v>0.39421689999999998</v>
      </c>
      <c r="X4324">
        <v>0.91400340000000002</v>
      </c>
      <c r="Y4324">
        <v>-0.23762050000000001</v>
      </c>
      <c r="Z4324">
        <v>-8.7352450000000009E-3</v>
      </c>
      <c r="AA4324">
        <v>0.97131880000000004</v>
      </c>
      <c r="AB4324">
        <v>37</v>
      </c>
      <c r="AC4324">
        <v>-17.7989</v>
      </c>
      <c r="AD4324">
        <v>-1.111011439928</v>
      </c>
      <c r="AE4324">
        <v>-4.5019999999999998</v>
      </c>
      <c r="AF4324">
        <v>-4.44379938775071</v>
      </c>
      <c r="AG4324">
        <v>-1.111011439928</v>
      </c>
      <c r="AH4324">
        <v>17.744472209548999</v>
      </c>
      <c r="AI4324">
        <v>93.475651082638805</v>
      </c>
      <c r="AJ4324">
        <v>104.059584662394</v>
      </c>
      <c r="AK4324">
        <v>18.326155991196899</v>
      </c>
      <c r="AL4324">
        <v>66.782857078902296</v>
      </c>
      <c r="AM4324">
        <v>95.987797894696598</v>
      </c>
      <c r="AN4324">
        <v>1.0000000060113601</v>
      </c>
    </row>
    <row r="4325" spans="1:40" x14ac:dyDescent="0.25">
      <c r="A4325" t="str">
        <f>"20190304164457211"</f>
        <v>20190304164457211</v>
      </c>
      <c r="B4325" t="str">
        <f>"1551689097204524"</f>
        <v>1551689097204524</v>
      </c>
      <c r="C4325" t="s">
        <v>40</v>
      </c>
      <c r="D4325">
        <v>4.7436860000000003</v>
      </c>
      <c r="E4325">
        <v>0.45012269999999999</v>
      </c>
      <c r="F4325" t="s">
        <v>42</v>
      </c>
      <c r="G4325">
        <v>-373.31670000000003</v>
      </c>
      <c r="H4325" s="1">
        <v>-3.3272390000000001E-6</v>
      </c>
      <c r="I4325">
        <v>136.92259999999999</v>
      </c>
      <c r="J4325">
        <v>-355.649</v>
      </c>
      <c r="K4325">
        <v>1.1110120000000001</v>
      </c>
      <c r="L4325">
        <v>141.3965</v>
      </c>
      <c r="M4325">
        <v>-0.99989799999999995</v>
      </c>
      <c r="N4325">
        <v>-1.4063930000000001E-2</v>
      </c>
      <c r="O4325">
        <v>-2.5258839999999999E-3</v>
      </c>
      <c r="P4325">
        <v>-0.91891259999999997</v>
      </c>
      <c r="Q4325">
        <v>0.38181120000000002</v>
      </c>
      <c r="R4325">
        <v>-9.9095730000000007E-2</v>
      </c>
      <c r="S4325">
        <v>-3.2607729999999999</v>
      </c>
      <c r="T4325">
        <v>-0.20070289999999999</v>
      </c>
      <c r="U4325">
        <v>-0.80838009999999905</v>
      </c>
      <c r="V4325">
        <v>-9.6931680000000006E-2</v>
      </c>
      <c r="W4325">
        <v>0.3946616</v>
      </c>
      <c r="X4325">
        <v>0.91369929999999999</v>
      </c>
      <c r="Y4325">
        <v>-0.237651</v>
      </c>
      <c r="Z4325">
        <v>-8.7782119999999901E-3</v>
      </c>
      <c r="AA4325">
        <v>0.97131100000000004</v>
      </c>
      <c r="AB4325">
        <v>37</v>
      </c>
      <c r="AC4325">
        <v>-17.6677</v>
      </c>
      <c r="AD4325">
        <v>-1.111015327239</v>
      </c>
      <c r="AE4325">
        <v>-4.4739000000000102</v>
      </c>
      <c r="AF4325">
        <v>-4.4128561049869601</v>
      </c>
      <c r="AG4325">
        <v>-1.111015327239</v>
      </c>
      <c r="AH4325">
        <v>17.613491661336798</v>
      </c>
      <c r="AI4325">
        <v>93.501358620795997</v>
      </c>
      <c r="AJ4325">
        <v>104.06527350697201</v>
      </c>
      <c r="AK4325">
        <v>18.191831753967499</v>
      </c>
      <c r="AL4325">
        <v>66.755128666615505</v>
      </c>
      <c r="AM4325">
        <v>96.055691196304707</v>
      </c>
      <c r="AN4325">
        <v>0.999999969961335</v>
      </c>
    </row>
    <row r="4326" spans="1:40" x14ac:dyDescent="0.25">
      <c r="A4326" t="str">
        <f>"20190304164457232"</f>
        <v>20190304164457232</v>
      </c>
      <c r="B4326" t="str">
        <f>"1551689097224044"</f>
        <v>1551689097224044</v>
      </c>
      <c r="C4326" t="s">
        <v>40</v>
      </c>
      <c r="D4326">
        <v>4.7304890000000004</v>
      </c>
      <c r="E4326">
        <v>0.45014989999999999</v>
      </c>
      <c r="F4326" t="s">
        <v>42</v>
      </c>
      <c r="G4326">
        <v>-373.77850000000001</v>
      </c>
      <c r="H4326" s="1">
        <v>-3.1354819999999998E-6</v>
      </c>
      <c r="I4326">
        <v>136.88669999999999</v>
      </c>
      <c r="J4326">
        <v>-356.02300000000002</v>
      </c>
      <c r="K4326">
        <v>1.110992</v>
      </c>
      <c r="L4326">
        <v>141.3954</v>
      </c>
      <c r="M4326">
        <v>-0.9998977</v>
      </c>
      <c r="N4326">
        <v>-1.4061489999999999E-2</v>
      </c>
      <c r="O4326">
        <v>-2.6554999999999999E-3</v>
      </c>
      <c r="P4326">
        <v>-0.91858700000000004</v>
      </c>
      <c r="Q4326">
        <v>0.38235649999999999</v>
      </c>
      <c r="R4326">
        <v>-0.10000779999999999</v>
      </c>
      <c r="S4326">
        <v>-3.2603149999999999</v>
      </c>
      <c r="T4326">
        <v>-0.19979930000000001</v>
      </c>
      <c r="U4326">
        <v>-0.81098939999999997</v>
      </c>
      <c r="V4326">
        <v>-9.7703189999999995E-2</v>
      </c>
      <c r="W4326">
        <v>0.39520569999999999</v>
      </c>
      <c r="X4326">
        <v>0.91338189999999997</v>
      </c>
      <c r="Y4326">
        <v>-0.238292</v>
      </c>
      <c r="Z4326">
        <v>-8.764572E-3</v>
      </c>
      <c r="AA4326">
        <v>0.97115399999999996</v>
      </c>
      <c r="AB4326">
        <v>37</v>
      </c>
      <c r="AC4326">
        <v>-17.755499999999898</v>
      </c>
      <c r="AD4326">
        <v>-1.110995135482</v>
      </c>
      <c r="AE4326">
        <v>-4.5087000000000002</v>
      </c>
      <c r="AF4326">
        <v>-4.4451800178972798</v>
      </c>
      <c r="AG4326">
        <v>-1.110995135482</v>
      </c>
      <c r="AH4326">
        <v>17.7023010743493</v>
      </c>
      <c r="AI4326">
        <v>93.483306477718997</v>
      </c>
      <c r="AJ4326">
        <v>104.095948639792</v>
      </c>
      <c r="AK4326">
        <v>18.285661019210799</v>
      </c>
      <c r="AL4326">
        <v>66.721195772377797</v>
      </c>
      <c r="AM4326">
        <v>96.105632926492305</v>
      </c>
      <c r="AN4326">
        <v>0.99999997694813703</v>
      </c>
    </row>
    <row r="4327" spans="1:40" x14ac:dyDescent="0.25">
      <c r="A4327" t="str">
        <f>"20190304164457254"</f>
        <v>20190304164457254</v>
      </c>
      <c r="B4327" t="str">
        <f>"1551689097244540"</f>
        <v>1551689097244540</v>
      </c>
      <c r="C4327" t="s">
        <v>40</v>
      </c>
      <c r="D4327">
        <v>4.7365459999999997</v>
      </c>
      <c r="E4327">
        <v>0.45015729999999998</v>
      </c>
      <c r="F4327" t="s">
        <v>42</v>
      </c>
      <c r="G4327">
        <v>-374.27969999999999</v>
      </c>
      <c r="H4327" s="1">
        <v>-2.9305990000000001E-6</v>
      </c>
      <c r="I4327">
        <v>136.8297</v>
      </c>
      <c r="J4327">
        <v>-356.3734</v>
      </c>
      <c r="K4327">
        <v>1.1109629999999999</v>
      </c>
      <c r="L4327">
        <v>141.39439999999999</v>
      </c>
      <c r="M4327">
        <v>-0.99989749999999999</v>
      </c>
      <c r="N4327">
        <v>-1.405935E-2</v>
      </c>
      <c r="O4327">
        <v>-2.7416210000000001E-3</v>
      </c>
      <c r="P4327">
        <v>-0.91823529999999998</v>
      </c>
      <c r="Q4327">
        <v>0.38302190000000003</v>
      </c>
      <c r="R4327">
        <v>-0.1006903</v>
      </c>
      <c r="S4327">
        <v>-3.2596440000000002</v>
      </c>
      <c r="T4327">
        <v>-0.19836400000000001</v>
      </c>
      <c r="U4327">
        <v>-0.81517030000000001</v>
      </c>
      <c r="V4327">
        <v>-9.8278340000000006E-2</v>
      </c>
      <c r="W4327">
        <v>0.39587099999999997</v>
      </c>
      <c r="X4327">
        <v>0.91303210000000001</v>
      </c>
      <c r="Y4327">
        <v>-0.23943210000000001</v>
      </c>
      <c r="Z4327">
        <v>-8.7528009999999993E-3</v>
      </c>
      <c r="AA4327">
        <v>0.97087369999999995</v>
      </c>
      <c r="AB4327">
        <v>37</v>
      </c>
      <c r="AC4327">
        <v>-17.906299999999899</v>
      </c>
      <c r="AD4327">
        <v>-1.1109659305989901</v>
      </c>
      <c r="AE4327">
        <v>-4.5646999999999798</v>
      </c>
      <c r="AF4327">
        <v>-4.4993229746480399</v>
      </c>
      <c r="AG4327">
        <v>-1.1109659305989901</v>
      </c>
      <c r="AH4327">
        <v>17.854214830743398</v>
      </c>
      <c r="AI4327">
        <v>93.452919812020696</v>
      </c>
      <c r="AJ4327">
        <v>104.144227064818</v>
      </c>
      <c r="AK4327">
        <v>18.445897640166098</v>
      </c>
      <c r="AL4327">
        <v>66.679694013331002</v>
      </c>
      <c r="AM4327">
        <v>96.143635992711296</v>
      </c>
      <c r="AN4327">
        <v>1.0000000481922799</v>
      </c>
    </row>
    <row r="4328" spans="1:40" x14ac:dyDescent="0.25">
      <c r="A4328" t="str">
        <f>"20190304164457273"</f>
        <v>20190304164457273</v>
      </c>
      <c r="B4328" t="str">
        <f>"1551689097264061"</f>
        <v>1551689097264061</v>
      </c>
      <c r="C4328" t="s">
        <v>40</v>
      </c>
      <c r="D4328">
        <v>4.6860280000000003</v>
      </c>
      <c r="E4328">
        <v>0.4502794</v>
      </c>
      <c r="F4328" t="s">
        <v>42</v>
      </c>
      <c r="G4328">
        <v>-374.75130000000001</v>
      </c>
      <c r="H4328" s="1">
        <v>-2.7371430000000001E-6</v>
      </c>
      <c r="I4328">
        <v>136.77959999999999</v>
      </c>
      <c r="J4328">
        <v>-356.69330000000002</v>
      </c>
      <c r="K4328">
        <v>1.110935</v>
      </c>
      <c r="L4328">
        <v>141.39340000000001</v>
      </c>
      <c r="M4328">
        <v>-0.99989740000000005</v>
      </c>
      <c r="N4328">
        <v>-1.4057439999999999E-2</v>
      </c>
      <c r="O4328">
        <v>-2.789733E-3</v>
      </c>
      <c r="P4328">
        <v>-0.91800380000000004</v>
      </c>
      <c r="Q4328">
        <v>0.38344509999999998</v>
      </c>
      <c r="R4328">
        <v>-0.1011871</v>
      </c>
      <c r="S4328">
        <v>-3.2596129999999999</v>
      </c>
      <c r="T4328">
        <v>-0.1970479</v>
      </c>
      <c r="U4328">
        <v>-0.81848140000000003</v>
      </c>
      <c r="V4328">
        <v>-9.8703970000000002E-2</v>
      </c>
      <c r="W4328">
        <v>0.3962966</v>
      </c>
      <c r="X4328">
        <v>0.91280150000000004</v>
      </c>
      <c r="Y4328">
        <v>-0.2403198</v>
      </c>
      <c r="Z4328">
        <v>-8.7361130000000002E-3</v>
      </c>
      <c r="AA4328">
        <v>0.97065449999999998</v>
      </c>
      <c r="AB4328">
        <v>37</v>
      </c>
      <c r="AC4328">
        <v>-18.058</v>
      </c>
      <c r="AD4328">
        <v>-1.110937737143</v>
      </c>
      <c r="AE4328">
        <v>-4.6138000000000199</v>
      </c>
      <c r="AF4328">
        <v>-4.5472444081771499</v>
      </c>
      <c r="AG4328">
        <v>-1.110937737143</v>
      </c>
      <c r="AH4328">
        <v>18.0068267600683</v>
      </c>
      <c r="AI4328">
        <v>93.423213099085501</v>
      </c>
      <c r="AJ4328">
        <v>104.172534916651</v>
      </c>
      <c r="AK4328">
        <v>18.605306348744101</v>
      </c>
      <c r="AL4328">
        <v>66.653136336525904</v>
      </c>
      <c r="AM4328">
        <v>96.171585150735297</v>
      </c>
      <c r="AN4328">
        <v>1.00000002363378</v>
      </c>
    </row>
    <row r="4329" spans="1:40" x14ac:dyDescent="0.25">
      <c r="A4329" t="str">
        <f>"20190304164457305"</f>
        <v>20190304164457305</v>
      </c>
      <c r="B4329" t="str">
        <f>"1551689097294316"</f>
        <v>1551689097294316</v>
      </c>
      <c r="C4329" t="s">
        <v>40</v>
      </c>
      <c r="D4329">
        <v>4.7344499999999998</v>
      </c>
      <c r="E4329">
        <v>0.45038270000000002</v>
      </c>
      <c r="F4329" t="s">
        <v>42</v>
      </c>
      <c r="G4329">
        <v>-375.1234</v>
      </c>
      <c r="H4329" s="1">
        <v>-2.5807830000000001E-6</v>
      </c>
      <c r="I4329">
        <v>136.76130000000001</v>
      </c>
      <c r="J4329">
        <v>-357.19990000000001</v>
      </c>
      <c r="K4329">
        <v>1.1108880000000001</v>
      </c>
      <c r="L4329">
        <v>141.392</v>
      </c>
      <c r="M4329">
        <v>-0.99989729999999999</v>
      </c>
      <c r="N4329">
        <v>-1.405446E-2</v>
      </c>
      <c r="O4329">
        <v>-2.788118E-3</v>
      </c>
      <c r="P4329">
        <v>-0.91767750000000003</v>
      </c>
      <c r="Q4329">
        <v>0.38404050000000001</v>
      </c>
      <c r="R4329">
        <v>-0.1018862</v>
      </c>
      <c r="S4329">
        <v>-3.2597049999999999</v>
      </c>
      <c r="T4329">
        <v>-0.19649040000000001</v>
      </c>
      <c r="U4329">
        <v>-0.81927490000000003</v>
      </c>
      <c r="V4329">
        <v>-9.9356169999999994E-2</v>
      </c>
      <c r="W4329">
        <v>0.3968971</v>
      </c>
      <c r="X4329">
        <v>0.91246970000000005</v>
      </c>
      <c r="Y4329">
        <v>-0.24053939999999999</v>
      </c>
      <c r="Z4329">
        <v>-8.7238230000000003E-3</v>
      </c>
      <c r="AA4329">
        <v>0.97060020000000002</v>
      </c>
      <c r="AB4329">
        <v>37</v>
      </c>
      <c r="AC4329">
        <v>-17.923499999999901</v>
      </c>
      <c r="AD4329">
        <v>-1.1108905807829901</v>
      </c>
      <c r="AE4329">
        <v>-4.6306999999999903</v>
      </c>
      <c r="AF4329">
        <v>-4.5642678670351202</v>
      </c>
      <c r="AG4329">
        <v>-1.1108905807829901</v>
      </c>
      <c r="AH4329">
        <v>17.8719838344594</v>
      </c>
      <c r="AI4329">
        <v>93.446487919668201</v>
      </c>
      <c r="AJ4329">
        <v>104.326356136103</v>
      </c>
      <c r="AK4329">
        <v>18.479026630850999</v>
      </c>
      <c r="AL4329">
        <v>66.615654915943594</v>
      </c>
      <c r="AM4329">
        <v>96.2142881588574</v>
      </c>
      <c r="AN4329">
        <v>0.99999995496178296</v>
      </c>
    </row>
    <row r="4330" spans="1:40" x14ac:dyDescent="0.25">
      <c r="A4330" t="str">
        <f>"20190304164457322"</f>
        <v>20190304164457322</v>
      </c>
      <c r="B4330" t="str">
        <f>"1551689097314812"</f>
        <v>1551689097314812</v>
      </c>
      <c r="C4330" t="s">
        <v>40</v>
      </c>
      <c r="D4330">
        <v>4.7343039999999998</v>
      </c>
      <c r="E4330">
        <v>0.45045750000000001</v>
      </c>
      <c r="F4330" t="s">
        <v>42</v>
      </c>
      <c r="G4330">
        <v>-375.73559999999998</v>
      </c>
      <c r="H4330" s="1">
        <v>-2.326029E-6</v>
      </c>
      <c r="I4330">
        <v>136.71680000000001</v>
      </c>
      <c r="J4330">
        <v>-357.51499999999999</v>
      </c>
      <c r="K4330">
        <v>1.110849</v>
      </c>
      <c r="L4330">
        <v>141.3912</v>
      </c>
      <c r="M4330">
        <v>-0.99989749999999999</v>
      </c>
      <c r="N4330">
        <v>-1.405261E-2</v>
      </c>
      <c r="O4330">
        <v>-2.7421139999999999E-3</v>
      </c>
      <c r="P4330">
        <v>-0.91768320000000003</v>
      </c>
      <c r="Q4330">
        <v>0.38373289999999999</v>
      </c>
      <c r="R4330">
        <v>-0.10298889999999999</v>
      </c>
      <c r="S4330">
        <v>-3.2596129999999999</v>
      </c>
      <c r="T4330">
        <v>-0.19535739999999999</v>
      </c>
      <c r="U4330">
        <v>-0.82214359999999997</v>
      </c>
      <c r="V4330">
        <v>-0.1004685</v>
      </c>
      <c r="W4330">
        <v>0.39659549999999999</v>
      </c>
      <c r="X4330">
        <v>0.91247900000000004</v>
      </c>
      <c r="Y4330">
        <v>-0.2413971</v>
      </c>
      <c r="Z4330">
        <v>-8.7165850000000007E-3</v>
      </c>
      <c r="AA4330">
        <v>0.97038729999999995</v>
      </c>
      <c r="AB4330">
        <v>37</v>
      </c>
      <c r="AC4330">
        <v>-18.220599999999902</v>
      </c>
      <c r="AD4330">
        <v>-1.1108513260290001</v>
      </c>
      <c r="AE4330">
        <v>-4.6743999999999897</v>
      </c>
      <c r="AF4330">
        <v>-4.6083432849015997</v>
      </c>
      <c r="AG4330">
        <v>-1.1108513260290001</v>
      </c>
      <c r="AH4330">
        <v>18.169984070492202</v>
      </c>
      <c r="AI4330">
        <v>93.391401886264205</v>
      </c>
      <c r="AJ4330">
        <v>104.231499769325</v>
      </c>
      <c r="AK4330">
        <v>18.7781559164359</v>
      </c>
      <c r="AL4330">
        <v>66.634479439758607</v>
      </c>
      <c r="AM4330">
        <v>96.283242536282899</v>
      </c>
      <c r="AN4330">
        <v>0.99999991777674602</v>
      </c>
    </row>
    <row r="4331" spans="1:40" x14ac:dyDescent="0.25">
      <c r="A4331" t="str">
        <f>"20190304164457344"</f>
        <v>20190304164457344</v>
      </c>
      <c r="B4331" t="str">
        <f>"1551689097334332"</f>
        <v>1551689097334332</v>
      </c>
      <c r="C4331" t="s">
        <v>40</v>
      </c>
      <c r="D4331">
        <v>4.7450539999999997</v>
      </c>
      <c r="E4331">
        <v>0.45048389999999999</v>
      </c>
      <c r="F4331" t="s">
        <v>42</v>
      </c>
      <c r="G4331">
        <v>-375.91419999999999</v>
      </c>
      <c r="H4331" s="1">
        <v>-2.2488540000000002E-6</v>
      </c>
      <c r="I4331">
        <v>136.7199</v>
      </c>
      <c r="J4331">
        <v>-357.86579999999998</v>
      </c>
      <c r="K4331">
        <v>1.110811</v>
      </c>
      <c r="L4331">
        <v>141.3903</v>
      </c>
      <c r="M4331">
        <v>-0.99989779999999995</v>
      </c>
      <c r="N4331">
        <v>-1.405056E-2</v>
      </c>
      <c r="O4331">
        <v>-2.6533749999999999E-3</v>
      </c>
      <c r="P4331">
        <v>-0.91795360000000004</v>
      </c>
      <c r="Q4331">
        <v>0.38293969999999999</v>
      </c>
      <c r="R4331">
        <v>-0.1035296</v>
      </c>
      <c r="S4331">
        <v>-3.2584840000000002</v>
      </c>
      <c r="T4331">
        <v>-0.19673060000000001</v>
      </c>
      <c r="U4331">
        <v>-0.82725519999999997</v>
      </c>
      <c r="V4331">
        <v>-0.1010543</v>
      </c>
      <c r="W4331">
        <v>0.39581359999999999</v>
      </c>
      <c r="X4331">
        <v>0.91275390000000001</v>
      </c>
      <c r="Y4331">
        <v>-0.24298330000000001</v>
      </c>
      <c r="Z4331">
        <v>-8.8289679999999995E-3</v>
      </c>
      <c r="AA4331">
        <v>0.96999029999999997</v>
      </c>
      <c r="AB4331">
        <v>37</v>
      </c>
      <c r="AC4331">
        <v>-18.048400000000001</v>
      </c>
      <c r="AD4331">
        <v>-1.1108132488539999</v>
      </c>
      <c r="AE4331">
        <v>-4.6703999999999999</v>
      </c>
      <c r="AF4331">
        <v>-4.6061368451927098</v>
      </c>
      <c r="AG4331">
        <v>-1.1108132488539999</v>
      </c>
      <c r="AH4331">
        <v>17.996837220062201</v>
      </c>
      <c r="AI4331">
        <v>93.421942719956704</v>
      </c>
      <c r="AJ4331">
        <v>104.35618885380499</v>
      </c>
      <c r="AK4331">
        <v>18.610119629811301</v>
      </c>
      <c r="AL4331">
        <v>66.6832748611955</v>
      </c>
      <c r="AM4331">
        <v>96.317694658044999</v>
      </c>
      <c r="AN4331">
        <v>1.0000000297293199</v>
      </c>
    </row>
    <row r="4332" spans="1:40" x14ac:dyDescent="0.25">
      <c r="A4332" t="str">
        <f>"20190304164457366"</f>
        <v>20190304164457366</v>
      </c>
      <c r="B4332" t="str">
        <f>"1551689097354829"</f>
        <v>1551689097354829</v>
      </c>
      <c r="C4332" t="s">
        <v>40</v>
      </c>
      <c r="D4332">
        <v>4.7407500000000002</v>
      </c>
      <c r="E4332">
        <v>0.45049719999999999</v>
      </c>
      <c r="F4332" t="s">
        <v>42</v>
      </c>
      <c r="G4332">
        <v>-375.9144</v>
      </c>
      <c r="H4332" s="1">
        <v>-2.2364209999999998E-6</v>
      </c>
      <c r="I4332">
        <v>136.7895</v>
      </c>
      <c r="J4332">
        <v>-358.23390000000001</v>
      </c>
      <c r="K4332">
        <v>1.110768</v>
      </c>
      <c r="L4332">
        <v>141.38939999999999</v>
      </c>
      <c r="M4332">
        <v>-0.99989819999999996</v>
      </c>
      <c r="N4332">
        <v>-1.4048440000000001E-2</v>
      </c>
      <c r="O4332">
        <v>-2.523754E-3</v>
      </c>
      <c r="P4332">
        <v>-0.91809790000000002</v>
      </c>
      <c r="Q4332">
        <v>0.38259219999999999</v>
      </c>
      <c r="R4332">
        <v>-0.1035369</v>
      </c>
      <c r="S4332">
        <v>-3.2580870000000002</v>
      </c>
      <c r="T4332">
        <v>-0.2005208</v>
      </c>
      <c r="U4332">
        <v>-0.83050539999999995</v>
      </c>
      <c r="V4332">
        <v>-0.1011444</v>
      </c>
      <c r="W4332">
        <v>0.39547510000000002</v>
      </c>
      <c r="X4332">
        <v>0.9128906</v>
      </c>
      <c r="Y4332">
        <v>-0.24402550000000001</v>
      </c>
      <c r="Z4332">
        <v>-9.0096910000000002E-3</v>
      </c>
      <c r="AA4332">
        <v>0.96972700000000001</v>
      </c>
      <c r="AB4332">
        <v>37</v>
      </c>
      <c r="AC4332">
        <v>-17.680499999999899</v>
      </c>
      <c r="AD4332">
        <v>-1.1107702364209999</v>
      </c>
      <c r="AE4332">
        <v>-4.5998999999999901</v>
      </c>
      <c r="AF4332">
        <v>-4.5384822659821404</v>
      </c>
      <c r="AG4332">
        <v>-1.1107702364209999</v>
      </c>
      <c r="AH4332">
        <v>17.626892350261301</v>
      </c>
      <c r="AI4332">
        <v>93.492163110415007</v>
      </c>
      <c r="AJ4332">
        <v>104.438616174334</v>
      </c>
      <c r="AK4332">
        <v>18.2356509542285</v>
      </c>
      <c r="AL4332">
        <v>66.704391777151699</v>
      </c>
      <c r="AM4332">
        <v>96.322342700864894</v>
      </c>
      <c r="AN4332">
        <v>0.999999995969865</v>
      </c>
    </row>
    <row r="4333" spans="1:40" x14ac:dyDescent="0.25">
      <c r="A4333" t="str">
        <f>"20190304164457388"</f>
        <v>20190304164457388</v>
      </c>
      <c r="B4333" t="str">
        <f>"1551689097385084"</f>
        <v>1551689097385084</v>
      </c>
      <c r="C4333" t="s">
        <v>40</v>
      </c>
      <c r="D4333">
        <v>4.9531369999999999</v>
      </c>
      <c r="E4333">
        <v>0.4510284</v>
      </c>
      <c r="F4333" t="s">
        <v>42</v>
      </c>
      <c r="G4333">
        <v>-376.17410000000001</v>
      </c>
      <c r="H4333" s="1">
        <v>-2.1235070000000001E-6</v>
      </c>
      <c r="I4333">
        <v>136.79810000000001</v>
      </c>
      <c r="J4333">
        <v>-358.60849999999999</v>
      </c>
      <c r="K4333">
        <v>1.11073</v>
      </c>
      <c r="L4333">
        <v>141.3886</v>
      </c>
      <c r="M4333">
        <v>-0.99989859999999997</v>
      </c>
      <c r="N4333">
        <v>-1.404626E-2</v>
      </c>
      <c r="O4333">
        <v>-2.3635710000000001E-3</v>
      </c>
      <c r="P4333">
        <v>-0.91822029999999999</v>
      </c>
      <c r="Q4333">
        <v>0.38222820000000002</v>
      </c>
      <c r="R4333">
        <v>-0.10379330000000001</v>
      </c>
      <c r="S4333">
        <v>-3.2576290000000001</v>
      </c>
      <c r="T4333">
        <v>-0.20169690000000001</v>
      </c>
      <c r="U4333">
        <v>-0.83369450000000001</v>
      </c>
      <c r="V4333">
        <v>-0.1015161</v>
      </c>
      <c r="W4333">
        <v>0.39511859999999999</v>
      </c>
      <c r="X4333">
        <v>0.91300369999999997</v>
      </c>
      <c r="Y4333">
        <v>-0.24509629999999999</v>
      </c>
      <c r="Z4333">
        <v>-9.0998799999999994E-3</v>
      </c>
      <c r="AA4333">
        <v>0.96945599999999998</v>
      </c>
      <c r="AB4333">
        <v>37</v>
      </c>
      <c r="AC4333">
        <v>-17.5656</v>
      </c>
      <c r="AD4333">
        <v>-1.110732123507</v>
      </c>
      <c r="AE4333">
        <v>-4.5904999999999898</v>
      </c>
      <c r="AF4333">
        <v>-4.5320029798032202</v>
      </c>
      <c r="AG4333">
        <v>-1.110732123507</v>
      </c>
      <c r="AH4333">
        <v>17.510861629362001</v>
      </c>
      <c r="AI4333">
        <v>93.513991203276106</v>
      </c>
      <c r="AJ4333">
        <v>104.510384757089</v>
      </c>
      <c r="AK4333">
        <v>18.121894268033799</v>
      </c>
      <c r="AL4333">
        <v>66.726628744605307</v>
      </c>
      <c r="AM4333">
        <v>96.344608147374203</v>
      </c>
      <c r="AN4333">
        <v>0.99999999141942897</v>
      </c>
    </row>
    <row r="4334" spans="1:40" x14ac:dyDescent="0.25">
      <c r="A4334" t="str">
        <f>"20190304164457412"</f>
        <v>20190304164457412</v>
      </c>
      <c r="B4334" t="str">
        <f>"1551689097404604"</f>
        <v>1551689097404604</v>
      </c>
      <c r="C4334" t="s">
        <v>40</v>
      </c>
      <c r="D4334">
        <v>4.8459409999999998</v>
      </c>
      <c r="E4334">
        <v>0.49482569999999998</v>
      </c>
      <c r="F4334" t="s">
        <v>42</v>
      </c>
      <c r="G4334">
        <v>-376.31950000000001</v>
      </c>
      <c r="H4334" s="1">
        <v>-2.0511519999999999E-6</v>
      </c>
      <c r="I4334">
        <v>136.85429999999999</v>
      </c>
      <c r="J4334">
        <v>-358.99650000000003</v>
      </c>
      <c r="K4334">
        <v>1.1107049999999901</v>
      </c>
      <c r="L4334">
        <v>141.3878</v>
      </c>
      <c r="M4334">
        <v>-0.99989899999999998</v>
      </c>
      <c r="N4334">
        <v>-1.404379E-2</v>
      </c>
      <c r="O4334">
        <v>-2.1772580000000001E-3</v>
      </c>
      <c r="P4334">
        <v>-0.91819980000000001</v>
      </c>
      <c r="Q4334">
        <v>0.38222719999999999</v>
      </c>
      <c r="R4334">
        <v>-0.1039785</v>
      </c>
      <c r="S4334">
        <v>-3.257965</v>
      </c>
      <c r="T4334">
        <v>-0.20432159999999999</v>
      </c>
      <c r="U4334">
        <v>-0.83407589999999998</v>
      </c>
      <c r="V4334">
        <v>-0.1018459</v>
      </c>
      <c r="W4334">
        <v>0.39512209999999998</v>
      </c>
      <c r="X4334">
        <v>0.91296549999999999</v>
      </c>
      <c r="Y4334">
        <v>-0.24534600000000001</v>
      </c>
      <c r="Z4334">
        <v>-9.2122160000000005E-3</v>
      </c>
      <c r="AA4334">
        <v>0.96939180000000003</v>
      </c>
      <c r="AB4334">
        <v>37</v>
      </c>
      <c r="AC4334">
        <v>-17.322999999999901</v>
      </c>
      <c r="AD4334">
        <v>-1.1107070511520001</v>
      </c>
      <c r="AE4334">
        <v>-4.5335000000000001</v>
      </c>
      <c r="AF4334">
        <v>-4.4785375538756202</v>
      </c>
      <c r="AG4334">
        <v>-1.1107070511520001</v>
      </c>
      <c r="AH4334">
        <v>17.266397406360198</v>
      </c>
      <c r="AI4334">
        <v>93.563046070070001</v>
      </c>
      <c r="AJ4334">
        <v>104.540873054332</v>
      </c>
      <c r="AK4334">
        <v>17.872309536523701</v>
      </c>
      <c r="AL4334">
        <v>66.726411464188601</v>
      </c>
      <c r="AM4334">
        <v>96.365315407937899</v>
      </c>
      <c r="AN4334">
        <v>1.0000000327227301</v>
      </c>
    </row>
    <row r="4335" spans="1:40" x14ac:dyDescent="0.25">
      <c r="A4335" t="str">
        <f>"20190304164457432"</f>
        <v>20190304164457432</v>
      </c>
      <c r="B4335" t="str">
        <f>"1551689097424124"</f>
        <v>1551689097424124</v>
      </c>
      <c r="C4335" t="s">
        <v>40</v>
      </c>
      <c r="D4335">
        <v>4.8142440000000004</v>
      </c>
      <c r="E4335">
        <v>0.49981399999999998</v>
      </c>
      <c r="F4335" t="s">
        <v>42</v>
      </c>
      <c r="G4335">
        <v>-370.51280000000003</v>
      </c>
      <c r="H4335" s="1">
        <v>-4.0647710000000003E-6</v>
      </c>
      <c r="I4335">
        <v>139.66319999999999</v>
      </c>
      <c r="J4335">
        <v>-359.33670000000001</v>
      </c>
      <c r="K4335">
        <v>1.1106910000000001</v>
      </c>
      <c r="L4335">
        <v>141.38720000000001</v>
      </c>
      <c r="M4335">
        <v>-0.9998996</v>
      </c>
      <c r="N4335">
        <v>-1.404177E-2</v>
      </c>
      <c r="O4335">
        <v>-2.0025490000000002E-3</v>
      </c>
      <c r="P4335">
        <v>-0.91763629999999996</v>
      </c>
      <c r="Q4335">
        <v>0.38329980000000002</v>
      </c>
      <c r="R4335">
        <v>-0.1049996</v>
      </c>
      <c r="S4335">
        <v>-3.344849</v>
      </c>
      <c r="T4335">
        <v>-0.32259979999999999</v>
      </c>
      <c r="U4335">
        <v>-0.50088500000000002</v>
      </c>
      <c r="V4335">
        <v>-0.10301100000000001</v>
      </c>
      <c r="W4335">
        <v>0.39618969999999998</v>
      </c>
      <c r="X4335">
        <v>0.91237190000000001</v>
      </c>
      <c r="Y4335">
        <v>-0.14536459999999901</v>
      </c>
      <c r="Z4335">
        <v>-7.8204799999999994E-3</v>
      </c>
      <c r="AA4335">
        <v>0.98934719999999998</v>
      </c>
      <c r="AB4335">
        <v>37</v>
      </c>
      <c r="AC4335">
        <v>-11.1761</v>
      </c>
      <c r="AD4335">
        <v>-1.1106950647710001</v>
      </c>
      <c r="AE4335">
        <v>-1.72400000000001</v>
      </c>
      <c r="AF4335">
        <v>-1.6853548968908301</v>
      </c>
      <c r="AG4335">
        <v>-1.1106950647710001</v>
      </c>
      <c r="AH4335">
        <v>11.072710979602901</v>
      </c>
      <c r="AI4335">
        <v>95.663339388989201</v>
      </c>
      <c r="AJ4335">
        <v>98.654449121028406</v>
      </c>
      <c r="AK4335">
        <v>11.25517627997</v>
      </c>
      <c r="AL4335">
        <v>66.659807070042504</v>
      </c>
      <c r="AM4335">
        <v>96.441678809837001</v>
      </c>
      <c r="AN4335">
        <v>1.0000000142083401</v>
      </c>
    </row>
    <row r="4336" spans="1:40" x14ac:dyDescent="0.25">
      <c r="A4336" t="str">
        <f>"20190304164457455"</f>
        <v>20190304164457455</v>
      </c>
      <c r="B4336" t="str">
        <f>"1551689097444621"</f>
        <v>1551689097444621</v>
      </c>
      <c r="C4336" t="s">
        <v>40</v>
      </c>
      <c r="D4336">
        <v>4.7764249999999997</v>
      </c>
      <c r="E4336">
        <v>0.50209479999999995</v>
      </c>
      <c r="F4336" t="s">
        <v>42</v>
      </c>
      <c r="G4336">
        <v>-370.63940000000002</v>
      </c>
      <c r="H4336" s="1">
        <v>-4.0509950000000003E-6</v>
      </c>
      <c r="I4336">
        <v>139.81549999999999</v>
      </c>
      <c r="J4336">
        <v>-359.71339999999998</v>
      </c>
      <c r="K4336">
        <v>1.1106819999999999</v>
      </c>
      <c r="L4336">
        <v>141.38659999999999</v>
      </c>
      <c r="M4336">
        <v>-0.99989989999999995</v>
      </c>
      <c r="N4336">
        <v>-1.403975E-2</v>
      </c>
      <c r="O4336">
        <v>-1.8031080000000001E-3</v>
      </c>
      <c r="P4336">
        <v>-0.91711960000000003</v>
      </c>
      <c r="Q4336">
        <v>0.38409559999999998</v>
      </c>
      <c r="R4336">
        <v>-0.1065956</v>
      </c>
      <c r="S4336">
        <v>-3.3536380000000001</v>
      </c>
      <c r="T4336">
        <v>-0.32955630000000002</v>
      </c>
      <c r="U4336">
        <v>-0.46633910000000001</v>
      </c>
      <c r="V4336">
        <v>-0.1047768</v>
      </c>
      <c r="W4336">
        <v>0.39698030000000001</v>
      </c>
      <c r="X4336">
        <v>0.91182700000000005</v>
      </c>
      <c r="Y4336">
        <v>-0.13521729999999901</v>
      </c>
      <c r="Z4336">
        <v>-7.4019139999999999E-3</v>
      </c>
      <c r="AA4336">
        <v>0.99078829999999996</v>
      </c>
      <c r="AB4336">
        <v>37</v>
      </c>
      <c r="AC4336">
        <v>-10.926</v>
      </c>
      <c r="AD4336">
        <v>-1.1106860509949901</v>
      </c>
      <c r="AE4336">
        <v>-1.5710999999999999</v>
      </c>
      <c r="AF4336">
        <v>-1.53584514132761</v>
      </c>
      <c r="AG4336">
        <v>-1.1106860509949901</v>
      </c>
      <c r="AH4336">
        <v>10.8192760267452</v>
      </c>
      <c r="AI4336">
        <v>95.803562412079799</v>
      </c>
      <c r="AJ4336">
        <v>98.0794138436098</v>
      </c>
      <c r="AK4336">
        <v>10.9840419493426</v>
      </c>
      <c r="AL4336">
        <v>66.610462513068896</v>
      </c>
      <c r="AM4336">
        <v>96.555030097751199</v>
      </c>
      <c r="AN4336">
        <v>1.00000000716766</v>
      </c>
    </row>
    <row r="4337" spans="1:40" x14ac:dyDescent="0.25">
      <c r="A4337" t="str">
        <f>"20190304164457478"</f>
        <v>20190304164457478</v>
      </c>
      <c r="B4337" t="str">
        <f>"1551689097474877"</f>
        <v>1551689097474877</v>
      </c>
      <c r="C4337" t="s">
        <v>40</v>
      </c>
      <c r="D4337">
        <v>4.8276700000000003</v>
      </c>
      <c r="E4337">
        <v>0.50305500000000003</v>
      </c>
      <c r="F4337" t="s">
        <v>42</v>
      </c>
      <c r="G4337">
        <v>-370.82670000000002</v>
      </c>
      <c r="H4337" s="1">
        <v>-3.9894369999999998E-6</v>
      </c>
      <c r="I4337">
        <v>139.8861</v>
      </c>
      <c r="J4337">
        <v>-360.09690000000001</v>
      </c>
      <c r="K4337">
        <v>1.1106769999999999</v>
      </c>
      <c r="L4337">
        <v>141.3861</v>
      </c>
      <c r="M4337">
        <v>-0.99990020000000002</v>
      </c>
      <c r="N4337">
        <v>-1.403773E-2</v>
      </c>
      <c r="O4337">
        <v>-1.60113799999999E-3</v>
      </c>
      <c r="P4337">
        <v>-0.91670110000000005</v>
      </c>
      <c r="Q4337">
        <v>0.38463809999999998</v>
      </c>
      <c r="R4337">
        <v>-0.10822420000000001</v>
      </c>
      <c r="S4337">
        <v>-3.3590089999999901</v>
      </c>
      <c r="T4337">
        <v>-0.33570909999999998</v>
      </c>
      <c r="U4337">
        <v>-0.45352170000000003</v>
      </c>
      <c r="V4337">
        <v>-0.1065831</v>
      </c>
      <c r="W4337">
        <v>0.39751769999999997</v>
      </c>
      <c r="X4337">
        <v>0.91138350000000001</v>
      </c>
      <c r="Y4337">
        <v>-0.13148580000000001</v>
      </c>
      <c r="Z4337">
        <v>-7.3179209999999998E-3</v>
      </c>
      <c r="AA4337">
        <v>0.99129100000000003</v>
      </c>
      <c r="AB4337">
        <v>37</v>
      </c>
      <c r="AC4337">
        <v>-10.729799999999999</v>
      </c>
      <c r="AD4337">
        <v>-1.110680989437</v>
      </c>
      <c r="AE4337">
        <v>-1.5</v>
      </c>
      <c r="AF4337">
        <v>-1.4673946374679001</v>
      </c>
      <c r="AG4337">
        <v>-1.110680989437</v>
      </c>
      <c r="AH4337">
        <v>10.620569343114999</v>
      </c>
      <c r="AI4337">
        <v>95.914411955872495</v>
      </c>
      <c r="AJ4337">
        <v>97.866487299181301</v>
      </c>
      <c r="AK4337">
        <v>10.7788381773863</v>
      </c>
      <c r="AL4337">
        <v>66.576912667193994</v>
      </c>
      <c r="AM4337">
        <v>96.670241854853003</v>
      </c>
      <c r="AN4337">
        <v>1.0000000815455701</v>
      </c>
    </row>
    <row r="4338" spans="1:40" x14ac:dyDescent="0.25">
      <c r="A4338" t="str">
        <f>"20190304164457503"</f>
        <v>20190304164457503</v>
      </c>
      <c r="B4338" t="str">
        <f>"1551689097494396"</f>
        <v>1551689097494396</v>
      </c>
      <c r="C4338" t="s">
        <v>40</v>
      </c>
      <c r="D4338">
        <v>4.7594450000000004</v>
      </c>
      <c r="E4338">
        <v>0.50330839999999999</v>
      </c>
      <c r="F4338" t="s">
        <v>42</v>
      </c>
      <c r="G4338">
        <v>-371.1404</v>
      </c>
      <c r="H4338" s="1">
        <v>-3.8601910000000003E-6</v>
      </c>
      <c r="I4338">
        <v>139.90610000000001</v>
      </c>
      <c r="J4338">
        <v>-360.50259999999997</v>
      </c>
      <c r="K4338">
        <v>1.1106720000000001</v>
      </c>
      <c r="L4338">
        <v>141.38570000000001</v>
      </c>
      <c r="M4338">
        <v>-0.99990060000000003</v>
      </c>
      <c r="N4338">
        <v>-1.4035499999999999E-2</v>
      </c>
      <c r="O4338">
        <v>-1.3933909999999999E-3</v>
      </c>
      <c r="P4338">
        <v>-0.91627720000000001</v>
      </c>
      <c r="Q4338">
        <v>0.3850809</v>
      </c>
      <c r="R4338">
        <v>-0.1102205</v>
      </c>
      <c r="S4338">
        <v>-3.3612669999999998</v>
      </c>
      <c r="T4338">
        <v>-0.33805479999999999</v>
      </c>
      <c r="U4338">
        <v>-0.45045469999999999</v>
      </c>
      <c r="V4338">
        <v>-0.1087654</v>
      </c>
      <c r="W4338">
        <v>0.39795429999999998</v>
      </c>
      <c r="X4338">
        <v>0.91093489999999999</v>
      </c>
      <c r="Y4338">
        <v>-0.13070979999999999</v>
      </c>
      <c r="Z4338">
        <v>-7.3317529999999999E-3</v>
      </c>
      <c r="AA4338">
        <v>0.99139359999999999</v>
      </c>
      <c r="AB4338">
        <v>37</v>
      </c>
      <c r="AC4338">
        <v>-10.6378</v>
      </c>
      <c r="AD4338">
        <v>-1.1106758601909901</v>
      </c>
      <c r="AE4338">
        <v>-1.4796</v>
      </c>
      <c r="AF4338">
        <v>-1.4492756029104901</v>
      </c>
      <c r="AG4338">
        <v>-1.1106758601909901</v>
      </c>
      <c r="AH4338">
        <v>10.527270484103999</v>
      </c>
      <c r="AI4338">
        <v>95.966823291732695</v>
      </c>
      <c r="AJ4338">
        <v>97.838562529616993</v>
      </c>
      <c r="AK4338">
        <v>10.684447785687899</v>
      </c>
      <c r="AL4338">
        <v>66.549645086737002</v>
      </c>
      <c r="AM4338">
        <v>96.808867470690501</v>
      </c>
      <c r="AN4338">
        <v>0.99999996458182905</v>
      </c>
    </row>
    <row r="4339" spans="1:40" x14ac:dyDescent="0.25">
      <c r="A4339" t="str">
        <f>"20190304164457524"</f>
        <v>20190304164457524</v>
      </c>
      <c r="B4339" t="str">
        <f>"1551689097514891"</f>
        <v>1551689097514891</v>
      </c>
      <c r="C4339" t="s">
        <v>40</v>
      </c>
      <c r="D4339">
        <v>4.7809439999999999</v>
      </c>
      <c r="E4339">
        <v>0.50364690000000001</v>
      </c>
      <c r="F4339" t="s">
        <v>42</v>
      </c>
      <c r="G4339">
        <v>-371.55720000000002</v>
      </c>
      <c r="H4339" s="1">
        <v>-3.6770239999999999E-6</v>
      </c>
      <c r="I4339">
        <v>139.88980000000001</v>
      </c>
      <c r="J4339">
        <v>-360.84519999999998</v>
      </c>
      <c r="K4339">
        <v>1.1106750000000001</v>
      </c>
      <c r="L4339">
        <v>141.3853</v>
      </c>
      <c r="M4339">
        <v>-0.99990089999999998</v>
      </c>
      <c r="N4339">
        <v>-1.403359E-2</v>
      </c>
      <c r="O4339">
        <v>-1.2268489999999999E-3</v>
      </c>
      <c r="P4339">
        <v>-0.91602790000000001</v>
      </c>
      <c r="Q4339">
        <v>0.38496550000000002</v>
      </c>
      <c r="R4339">
        <v>-0.112670699999999</v>
      </c>
      <c r="S4339">
        <v>-3.3613279999999999</v>
      </c>
      <c r="T4339">
        <v>-0.3377194</v>
      </c>
      <c r="U4339">
        <v>-0.45483400000000002</v>
      </c>
      <c r="V4339">
        <v>-0.11136799999999999</v>
      </c>
      <c r="W4339">
        <v>0.39783439999999998</v>
      </c>
      <c r="X4339">
        <v>0.91067279999999995</v>
      </c>
      <c r="Y4339">
        <v>-0.1321339</v>
      </c>
      <c r="Z4339">
        <v>-7.4201299999999996E-3</v>
      </c>
      <c r="AA4339">
        <v>0.99120410000000003</v>
      </c>
      <c r="AB4339">
        <v>37</v>
      </c>
      <c r="AC4339">
        <v>-10.712</v>
      </c>
      <c r="AD4339">
        <v>-1.110678677024</v>
      </c>
      <c r="AE4339">
        <v>-1.4954999999999901</v>
      </c>
      <c r="AF4339">
        <v>-1.46688704450388</v>
      </c>
      <c r="AG4339">
        <v>-1.110678677024</v>
      </c>
      <c r="AH4339">
        <v>10.6020270004609</v>
      </c>
      <c r="AI4339">
        <v>95.924515525636195</v>
      </c>
      <c r="AJ4339">
        <v>97.877381044352106</v>
      </c>
      <c r="AK4339">
        <v>10.760499116836201</v>
      </c>
      <c r="AL4339">
        <v>66.557133883954094</v>
      </c>
      <c r="AM4339">
        <v>96.972195957080203</v>
      </c>
      <c r="AN4339">
        <v>0.99999999495359904</v>
      </c>
    </row>
    <row r="4340" spans="1:40" x14ac:dyDescent="0.25">
      <c r="A4340" t="str">
        <f>"20190304164457545"</f>
        <v>20190304164457545</v>
      </c>
      <c r="B4340" t="str">
        <f>"1551689097534412"</f>
        <v>1551689097534412</v>
      </c>
      <c r="C4340" t="s">
        <v>40</v>
      </c>
      <c r="D4340">
        <v>4.7778580000000002</v>
      </c>
      <c r="E4340">
        <v>0.50374399999999997</v>
      </c>
      <c r="F4340" t="s">
        <v>42</v>
      </c>
      <c r="G4340">
        <v>-371.81169999999997</v>
      </c>
      <c r="H4340" s="1">
        <v>-3.5662350000000002E-6</v>
      </c>
      <c r="I4340">
        <v>139.88380000000001</v>
      </c>
      <c r="J4340">
        <v>-361.20299999999997</v>
      </c>
      <c r="K4340">
        <v>1.110681</v>
      </c>
      <c r="L4340">
        <v>141.38509999999999</v>
      </c>
      <c r="M4340">
        <v>-0.99990100000000004</v>
      </c>
      <c r="N4340">
        <v>-1.403157E-2</v>
      </c>
      <c r="O4340">
        <v>-1.0670619999999999E-3</v>
      </c>
      <c r="P4340">
        <v>-0.91570589999999996</v>
      </c>
      <c r="Q4340">
        <v>0.38497150000000002</v>
      </c>
      <c r="R4340">
        <v>-0.1152382</v>
      </c>
      <c r="S4340">
        <v>-3.3614809999999999</v>
      </c>
      <c r="T4340">
        <v>-0.34044730000000001</v>
      </c>
      <c r="U4340">
        <v>-0.46023560000000002</v>
      </c>
      <c r="V4340">
        <v>-0.1140871</v>
      </c>
      <c r="W4340">
        <v>0.39783400000000002</v>
      </c>
      <c r="X4340">
        <v>0.91033629999999999</v>
      </c>
      <c r="Y4340">
        <v>-0.13382859999999999</v>
      </c>
      <c r="Z4340">
        <v>-7.5821539999999998E-3</v>
      </c>
      <c r="AA4340">
        <v>0.99097550000000001</v>
      </c>
      <c r="AB4340">
        <v>37</v>
      </c>
      <c r="AC4340">
        <v>-10.608699999999899</v>
      </c>
      <c r="AD4340">
        <v>-1.110684566235</v>
      </c>
      <c r="AE4340">
        <v>-1.5012999999999801</v>
      </c>
      <c r="AF4340">
        <v>-1.47413686148151</v>
      </c>
      <c r="AG4340">
        <v>-1.110684566235</v>
      </c>
      <c r="AH4340">
        <v>10.497490393326901</v>
      </c>
      <c r="AI4340">
        <v>95.981439235910003</v>
      </c>
      <c r="AJ4340">
        <v>97.993634908898898</v>
      </c>
      <c r="AK4340">
        <v>10.6585179199568</v>
      </c>
      <c r="AL4340">
        <v>66.557158207461498</v>
      </c>
      <c r="AM4340">
        <v>97.143300890102196</v>
      </c>
      <c r="AN4340">
        <v>0.99999996852004902</v>
      </c>
    </row>
    <row r="4341" spans="1:40" x14ac:dyDescent="0.25">
      <c r="A4341" t="str">
        <f>"20190304164457567"</f>
        <v>20190304164457567</v>
      </c>
      <c r="B4341" t="str">
        <f>"1551689097554913"</f>
        <v>1551689097554913</v>
      </c>
      <c r="C4341" t="s">
        <v>40</v>
      </c>
      <c r="D4341">
        <v>4.8168220000000002</v>
      </c>
      <c r="E4341">
        <v>0.50392340000000002</v>
      </c>
      <c r="F4341" t="s">
        <v>42</v>
      </c>
      <c r="G4341">
        <v>-372.13139999999999</v>
      </c>
      <c r="H4341" s="1">
        <v>-3.4235119999999998E-6</v>
      </c>
      <c r="I4341">
        <v>139.8629</v>
      </c>
      <c r="J4341">
        <v>-361.56020000000001</v>
      </c>
      <c r="K4341">
        <v>1.1106879999999999</v>
      </c>
      <c r="L4341">
        <v>141.38480000000001</v>
      </c>
      <c r="M4341">
        <v>-0.99990120000000005</v>
      </c>
      <c r="N4341">
        <v>-1.4029460000000001E-2</v>
      </c>
      <c r="O4341">
        <v>-9.2715850000000004E-4</v>
      </c>
      <c r="P4341">
        <v>-0.91519870000000003</v>
      </c>
      <c r="Q4341">
        <v>0.3854687</v>
      </c>
      <c r="R4341">
        <v>-0.1175814</v>
      </c>
      <c r="S4341">
        <v>-3.3608699999999998</v>
      </c>
      <c r="T4341">
        <v>-0.34157510000000002</v>
      </c>
      <c r="U4341">
        <v>-0.4681091</v>
      </c>
      <c r="V4341">
        <v>-0.1165689</v>
      </c>
      <c r="W4341">
        <v>0.39832040000000002</v>
      </c>
      <c r="X4341">
        <v>0.90980910000000004</v>
      </c>
      <c r="Y4341">
        <v>-0.13624990000000001</v>
      </c>
      <c r="Z4341">
        <v>-7.7555590000000004E-3</v>
      </c>
      <c r="AA4341">
        <v>0.99064419999999997</v>
      </c>
      <c r="AB4341">
        <v>37</v>
      </c>
      <c r="AC4341">
        <v>-10.5711999999999</v>
      </c>
      <c r="AD4341">
        <v>-1.11069142351199</v>
      </c>
      <c r="AE4341">
        <v>-1.52190000000001</v>
      </c>
      <c r="AF4341">
        <v>-1.4959187531815501</v>
      </c>
      <c r="AG4341">
        <v>-1.11069142351199</v>
      </c>
      <c r="AH4341">
        <v>10.459486665748701</v>
      </c>
      <c r="AI4341">
        <v>96.000904475941098</v>
      </c>
      <c r="AJ4341">
        <v>98.139262496502496</v>
      </c>
      <c r="AK4341">
        <v>10.624136184432</v>
      </c>
      <c r="AL4341">
        <v>66.526780113254006</v>
      </c>
      <c r="AM4341">
        <v>97.301218497899001</v>
      </c>
      <c r="AN4341">
        <v>1.00000002397308</v>
      </c>
    </row>
    <row r="4342" spans="1:40" x14ac:dyDescent="0.25">
      <c r="A4342" t="str">
        <f>"20190304164457590"</f>
        <v>20190304164457590</v>
      </c>
      <c r="B4342" t="str">
        <f>"1551689097584194"</f>
        <v>1551689097584194</v>
      </c>
      <c r="C4342" t="s">
        <v>40</v>
      </c>
      <c r="D4342">
        <v>4.7785120000000001</v>
      </c>
      <c r="E4342">
        <v>0.50430169999999996</v>
      </c>
      <c r="F4342" t="s">
        <v>42</v>
      </c>
      <c r="G4342">
        <v>-372.56619999999998</v>
      </c>
      <c r="H4342" s="1">
        <v>-3.2269080000000002E-6</v>
      </c>
      <c r="I4342">
        <v>139.82480000000001</v>
      </c>
      <c r="J4342">
        <v>-361.94220000000001</v>
      </c>
      <c r="K4342">
        <v>1.1107009999999999</v>
      </c>
      <c r="L4342">
        <v>141.38460000000001</v>
      </c>
      <c r="M4342">
        <v>-0.99990129999999999</v>
      </c>
      <c r="N4342">
        <v>-1.402715E-2</v>
      </c>
      <c r="O4342">
        <v>-8.0454539999999996E-4</v>
      </c>
      <c r="P4342">
        <v>-0.91481239999999997</v>
      </c>
      <c r="Q4342">
        <v>0.38576660000000002</v>
      </c>
      <c r="R4342">
        <v>-0.1195944</v>
      </c>
      <c r="S4342">
        <v>-3.3595890000000002</v>
      </c>
      <c r="T4342">
        <v>-0.33904220000000002</v>
      </c>
      <c r="U4342">
        <v>-0.47616579999999997</v>
      </c>
      <c r="V4342">
        <v>-0.1187117</v>
      </c>
      <c r="W4342">
        <v>0.39860600000000002</v>
      </c>
      <c r="X4342">
        <v>0.90940679999999996</v>
      </c>
      <c r="Y4342">
        <v>-0.13874819999999999</v>
      </c>
      <c r="Z4342">
        <v>-7.8602689999999996E-3</v>
      </c>
      <c r="AA4342">
        <v>0.99029650000000002</v>
      </c>
      <c r="AB4342">
        <v>37</v>
      </c>
      <c r="AC4342">
        <v>-10.623999999999899</v>
      </c>
      <c r="AD4342">
        <v>-1.1107042269080001</v>
      </c>
      <c r="AE4342">
        <v>-1.5597999999999901</v>
      </c>
      <c r="AF4342">
        <v>-1.5348294377377101</v>
      </c>
      <c r="AG4342">
        <v>-1.1107042269080001</v>
      </c>
      <c r="AH4342">
        <v>10.5127714593241</v>
      </c>
      <c r="AI4342">
        <v>95.9682801647064</v>
      </c>
      <c r="AJ4342">
        <v>98.3063073696065</v>
      </c>
      <c r="AK4342">
        <v>10.6821219352054</v>
      </c>
      <c r="AL4342">
        <v>66.508937548899695</v>
      </c>
      <c r="AM4342">
        <v>97.437195325278196</v>
      </c>
      <c r="AN4342">
        <v>0.99999996941956404</v>
      </c>
    </row>
    <row r="4343" spans="1:40" x14ac:dyDescent="0.25">
      <c r="A4343" t="str">
        <f>"20190304164457612"</f>
        <v>20190304164457612</v>
      </c>
      <c r="B4343" t="str">
        <f>"1551689097604691"</f>
        <v>1551689097604691</v>
      </c>
      <c r="C4343" t="s">
        <v>40</v>
      </c>
      <c r="D4343">
        <v>4.8002070000000003</v>
      </c>
      <c r="E4343">
        <v>0.50459049999999905</v>
      </c>
      <c r="F4343" t="s">
        <v>42</v>
      </c>
      <c r="G4343">
        <v>-372.97250000000003</v>
      </c>
      <c r="H4343" s="1">
        <v>-3.0468420000000001E-6</v>
      </c>
      <c r="I4343">
        <v>139.8032</v>
      </c>
      <c r="J4343">
        <v>-362.30689999999998</v>
      </c>
      <c r="K4343">
        <v>1.110722</v>
      </c>
      <c r="L4343">
        <v>141.3844</v>
      </c>
      <c r="M4343">
        <v>-0.99990140000000005</v>
      </c>
      <c r="N4343">
        <v>-1.4024989999999999E-2</v>
      </c>
      <c r="O4343">
        <v>-7.2004549999999995E-4</v>
      </c>
      <c r="P4343">
        <v>-0.91446329999999998</v>
      </c>
      <c r="Q4343">
        <v>0.38558700000000001</v>
      </c>
      <c r="R4343">
        <v>-0.1227997</v>
      </c>
      <c r="S4343">
        <v>-3.35907</v>
      </c>
      <c r="T4343">
        <v>-0.33824569999999998</v>
      </c>
      <c r="U4343">
        <v>-0.48155209999999998</v>
      </c>
      <c r="V4343">
        <v>-0.12201770000000001</v>
      </c>
      <c r="W4343">
        <v>0.39841359999999998</v>
      </c>
      <c r="X4343">
        <v>0.90905360000000002</v>
      </c>
      <c r="Y4343">
        <v>-0.140403</v>
      </c>
      <c r="Z4343">
        <v>-7.9460899999999994E-3</v>
      </c>
      <c r="AA4343">
        <v>0.99006249999999996</v>
      </c>
      <c r="AB4343">
        <v>37</v>
      </c>
      <c r="AC4343">
        <v>-10.6656</v>
      </c>
      <c r="AD4343">
        <v>-1.110725046842</v>
      </c>
      <c r="AE4343">
        <v>-1.5811999999999899</v>
      </c>
      <c r="AF4343">
        <v>-1.55699614352185</v>
      </c>
      <c r="AG4343">
        <v>-1.110725046842</v>
      </c>
      <c r="AH4343">
        <v>10.554728219714701</v>
      </c>
      <c r="AI4343">
        <v>95.943547594485494</v>
      </c>
      <c r="AJ4343">
        <v>98.391550019938407</v>
      </c>
      <c r="AK4343">
        <v>10.726613394388099</v>
      </c>
      <c r="AL4343">
        <v>66.520959685678505</v>
      </c>
      <c r="AM4343">
        <v>97.644832645124197</v>
      </c>
      <c r="AN4343">
        <v>1.0000000817256001</v>
      </c>
    </row>
    <row r="4344" spans="1:40" x14ac:dyDescent="0.25">
      <c r="A4344" t="str">
        <f>"20190304164457633"</f>
        <v>20190304164457633</v>
      </c>
      <c r="B4344" t="str">
        <f>"1551689097624210"</f>
        <v>1551689097624210</v>
      </c>
      <c r="C4344" t="s">
        <v>40</v>
      </c>
      <c r="D4344">
        <v>4.7473999999999998</v>
      </c>
      <c r="E4344">
        <v>0.50492609999999905</v>
      </c>
      <c r="F4344" t="s">
        <v>42</v>
      </c>
      <c r="G4344">
        <v>-373.26429999999999</v>
      </c>
      <c r="H4344" s="1">
        <v>-2.917353E-6</v>
      </c>
      <c r="I4344">
        <v>139.78710000000001</v>
      </c>
      <c r="J4344">
        <v>-362.66</v>
      </c>
      <c r="K4344">
        <v>1.110743</v>
      </c>
      <c r="L4344">
        <v>141.38409999999999</v>
      </c>
      <c r="M4344">
        <v>-0.99990140000000005</v>
      </c>
      <c r="N4344">
        <v>-1.4022919999999999E-2</v>
      </c>
      <c r="O4344">
        <v>-6.6584679999999897E-4</v>
      </c>
      <c r="P4344">
        <v>-0.91415029999999997</v>
      </c>
      <c r="Q4344">
        <v>0.38534930000000001</v>
      </c>
      <c r="R4344">
        <v>-0.12583710000000001</v>
      </c>
      <c r="S4344">
        <v>-3.3584290000000001</v>
      </c>
      <c r="T4344">
        <v>-0.3404354</v>
      </c>
      <c r="U4344">
        <v>-0.48953249999999998</v>
      </c>
      <c r="V4344">
        <v>-0.12512889999999999</v>
      </c>
      <c r="W4344">
        <v>0.3981634</v>
      </c>
      <c r="X4344">
        <v>0.9087402</v>
      </c>
      <c r="Y4344">
        <v>-0.1427639</v>
      </c>
      <c r="Z4344">
        <v>-8.1311219999999993E-3</v>
      </c>
      <c r="AA4344">
        <v>0.98972340000000003</v>
      </c>
      <c r="AB4344">
        <v>37</v>
      </c>
      <c r="AC4344">
        <v>-10.604299999999901</v>
      </c>
      <c r="AD4344">
        <v>-1.1107459173530001</v>
      </c>
      <c r="AE4344">
        <v>-1.59699999999998</v>
      </c>
      <c r="AF4344">
        <v>-1.5730620362483401</v>
      </c>
      <c r="AG4344">
        <v>-1.1107459173530001</v>
      </c>
      <c r="AH4344">
        <v>10.4927926554218</v>
      </c>
      <c r="AI4344">
        <v>95.976414783476599</v>
      </c>
      <c r="AJ4344">
        <v>98.526189627576599</v>
      </c>
      <c r="AK4344">
        <v>10.6680353567316</v>
      </c>
      <c r="AL4344">
        <v>66.536587222104103</v>
      </c>
      <c r="AM4344">
        <v>97.8400365205772</v>
      </c>
      <c r="AN4344">
        <v>1.0000000429053999</v>
      </c>
    </row>
    <row r="4345" spans="1:40" x14ac:dyDescent="0.25">
      <c r="A4345" t="str">
        <f>"20190304164457656"</f>
        <v>20190304164457656</v>
      </c>
      <c r="B4345" t="str">
        <f>"1551689097644707"</f>
        <v>1551689097644707</v>
      </c>
      <c r="C4345" t="s">
        <v>40</v>
      </c>
      <c r="D4345">
        <v>4.7814940000000004</v>
      </c>
      <c r="E4345">
        <v>0.50526139999999997</v>
      </c>
      <c r="F4345" t="s">
        <v>42</v>
      </c>
      <c r="G4345">
        <v>-373.52300000000002</v>
      </c>
      <c r="H4345" s="1">
        <v>-2.8037719999999998E-6</v>
      </c>
      <c r="I4345">
        <v>139.77719999999999</v>
      </c>
      <c r="J4345">
        <v>-363.02850000000001</v>
      </c>
      <c r="K4345">
        <v>1.1107739999999999</v>
      </c>
      <c r="L4345">
        <v>141.38390000000001</v>
      </c>
      <c r="M4345">
        <v>-0.99990159999999995</v>
      </c>
      <c r="N4345">
        <v>-1.402077E-2</v>
      </c>
      <c r="O4345">
        <v>-6.345058E-4</v>
      </c>
      <c r="P4345">
        <v>-0.91392209999999996</v>
      </c>
      <c r="Q4345">
        <v>0.38505139999999999</v>
      </c>
      <c r="R4345">
        <v>-0.128383199999999</v>
      </c>
      <c r="S4345">
        <v>-3.3580930000000002</v>
      </c>
      <c r="T4345">
        <v>-0.34336729999999999</v>
      </c>
      <c r="U4345">
        <v>-0.49671939999999998</v>
      </c>
      <c r="V4345">
        <v>-0.12772539999999999</v>
      </c>
      <c r="W4345">
        <v>0.39785369999999998</v>
      </c>
      <c r="X4345">
        <v>0.90851459999999995</v>
      </c>
      <c r="Y4345">
        <v>-0.14485689999999901</v>
      </c>
      <c r="Z4345">
        <v>-8.3154030000000007E-3</v>
      </c>
      <c r="AA4345">
        <v>0.98941769999999996</v>
      </c>
      <c r="AB4345">
        <v>37</v>
      </c>
      <c r="AC4345">
        <v>-10.4945</v>
      </c>
      <c r="AD4345">
        <v>-1.1107768037719901</v>
      </c>
      <c r="AE4345">
        <v>-1.60670000000001</v>
      </c>
      <c r="AF4345">
        <v>-1.5827152998013301</v>
      </c>
      <c r="AG4345">
        <v>-1.1107768037719901</v>
      </c>
      <c r="AH4345">
        <v>10.381874173390999</v>
      </c>
      <c r="AI4345">
        <v>96.037720285068204</v>
      </c>
      <c r="AJ4345">
        <v>98.667994106202002</v>
      </c>
      <c r="AK4345">
        <v>10.5604035993018</v>
      </c>
      <c r="AL4345">
        <v>66.555930232587897</v>
      </c>
      <c r="AM4345">
        <v>98.002597409869296</v>
      </c>
      <c r="AN4345">
        <v>1.0000000614110001</v>
      </c>
    </row>
    <row r="4346" spans="1:40" x14ac:dyDescent="0.25">
      <c r="A4346" t="str">
        <f>"20190304164457679"</f>
        <v>20190304164457679</v>
      </c>
      <c r="B4346" t="str">
        <f>"1551689097674963"</f>
        <v>1551689097674963</v>
      </c>
      <c r="C4346" t="s">
        <v>40</v>
      </c>
      <c r="D4346">
        <v>4.8039329999999998</v>
      </c>
      <c r="E4346">
        <v>0.50560550000000004</v>
      </c>
      <c r="F4346" t="s">
        <v>42</v>
      </c>
      <c r="G4346">
        <v>-373.81040000000002</v>
      </c>
      <c r="H4346" s="1">
        <v>-2.677386E-6</v>
      </c>
      <c r="I4346">
        <v>139.76560000000001</v>
      </c>
      <c r="J4346">
        <v>-363.40649999999999</v>
      </c>
      <c r="K4346">
        <v>1.110798</v>
      </c>
      <c r="L4346">
        <v>141.3837</v>
      </c>
      <c r="M4346">
        <v>-0.9999015</v>
      </c>
      <c r="N4346">
        <v>-1.4018539999999999E-2</v>
      </c>
      <c r="O4346">
        <v>-6.2516929999999996E-4</v>
      </c>
      <c r="P4346">
        <v>-0.9139777</v>
      </c>
      <c r="Q4346">
        <v>0.38401770000000002</v>
      </c>
      <c r="R4346">
        <v>-0.1310537</v>
      </c>
      <c r="S4346">
        <v>-3.3575129999999902</v>
      </c>
      <c r="T4346">
        <v>-0.34590159999999998</v>
      </c>
      <c r="U4346">
        <v>-0.50392150000000002</v>
      </c>
      <c r="V4346">
        <v>-0.1304236</v>
      </c>
      <c r="W4346">
        <v>0.39681309999999997</v>
      </c>
      <c r="X4346">
        <v>0.90858629999999996</v>
      </c>
      <c r="Y4346">
        <v>-0.14694279999999901</v>
      </c>
      <c r="Z4346">
        <v>-8.4911569999999992E-3</v>
      </c>
      <c r="AA4346">
        <v>0.9891086</v>
      </c>
      <c r="AB4346">
        <v>37</v>
      </c>
      <c r="AC4346">
        <v>-10.4039</v>
      </c>
      <c r="AD4346">
        <v>-1.110800677386</v>
      </c>
      <c r="AE4346">
        <v>-1.6180999999999901</v>
      </c>
      <c r="AF4346">
        <v>-1.5938550487209899</v>
      </c>
      <c r="AG4346">
        <v>-1.110800677386</v>
      </c>
      <c r="AH4346">
        <v>10.290376534969701</v>
      </c>
      <c r="AI4346">
        <v>96.088920978362395</v>
      </c>
      <c r="AJ4346">
        <v>98.804462000268998</v>
      </c>
      <c r="AK4346">
        <v>10.472158387489699</v>
      </c>
      <c r="AL4346">
        <v>66.620899663078902</v>
      </c>
      <c r="AM4346">
        <v>98.168757524034305</v>
      </c>
      <c r="AN4346">
        <v>1.0000000081581299</v>
      </c>
    </row>
    <row r="4347" spans="1:40" x14ac:dyDescent="0.25">
      <c r="A4347" t="str">
        <f>"20190304164457702"</f>
        <v>20190304164457702</v>
      </c>
      <c r="B4347" t="str">
        <f>"1551689097694481"</f>
        <v>1551689097694481</v>
      </c>
      <c r="C4347" t="s">
        <v>40</v>
      </c>
      <c r="D4347">
        <v>5.0248970000000002</v>
      </c>
      <c r="E4347">
        <v>0.5231384</v>
      </c>
      <c r="F4347" t="s">
        <v>42</v>
      </c>
      <c r="G4347">
        <v>-374.0453</v>
      </c>
      <c r="H4347" s="1">
        <v>-2.5754240000000002E-6</v>
      </c>
      <c r="I4347">
        <v>139.7612</v>
      </c>
      <c r="J4347">
        <v>-363.78550000000001</v>
      </c>
      <c r="K4347">
        <v>1.1108129999999901</v>
      </c>
      <c r="L4347">
        <v>141.38339999999999</v>
      </c>
      <c r="M4347">
        <v>-0.9999017</v>
      </c>
      <c r="N4347">
        <v>-1.4016249999999999E-2</v>
      </c>
      <c r="O4347">
        <v>-6.3665680000000004E-4</v>
      </c>
      <c r="P4347">
        <v>-0.91366409999999998</v>
      </c>
      <c r="Q4347">
        <v>0.38356489999999999</v>
      </c>
      <c r="R4347">
        <v>-0.13452159999999999</v>
      </c>
      <c r="S4347">
        <v>-3.3561709999999998</v>
      </c>
      <c r="T4347">
        <v>-0.3504176</v>
      </c>
      <c r="U4347">
        <v>-0.511795</v>
      </c>
      <c r="V4347">
        <v>-0.13389889999999999</v>
      </c>
      <c r="W4347">
        <v>0.3963487</v>
      </c>
      <c r="X4347">
        <v>0.90828350000000002</v>
      </c>
      <c r="Y4347">
        <v>-0.1492223</v>
      </c>
      <c r="Z4347">
        <v>-8.7226639999999998E-3</v>
      </c>
      <c r="AA4347">
        <v>0.98876520000000001</v>
      </c>
      <c r="AB4347">
        <v>37</v>
      </c>
      <c r="AC4347">
        <v>-10.259799999999901</v>
      </c>
      <c r="AD4347">
        <v>-1.1108155754239999</v>
      </c>
      <c r="AE4347">
        <v>-1.6221999999999901</v>
      </c>
      <c r="AF4347">
        <v>-1.5973988548307201</v>
      </c>
      <c r="AG4347">
        <v>-1.1108155754239999</v>
      </c>
      <c r="AH4347">
        <v>10.1448125028141</v>
      </c>
      <c r="AI4347">
        <v>96.173298207118506</v>
      </c>
      <c r="AJ4347">
        <v>98.948303979619197</v>
      </c>
      <c r="AK4347">
        <v>10.329705468273101</v>
      </c>
      <c r="AL4347">
        <v>66.649885923204806</v>
      </c>
      <c r="AM4347">
        <v>98.386125243672794</v>
      </c>
      <c r="AN4347">
        <v>1.00000006189257</v>
      </c>
    </row>
    <row r="4348" spans="1:40" x14ac:dyDescent="0.25">
      <c r="A4348" t="str">
        <f>"20190304164457724"</f>
        <v>20190304164457724</v>
      </c>
      <c r="B4348" t="str">
        <f>"1551689097714978"</f>
        <v>1551689097714978</v>
      </c>
      <c r="C4348" t="s">
        <v>40</v>
      </c>
      <c r="D4348">
        <v>4.8555789999999996</v>
      </c>
      <c r="E4348">
        <v>0.56368289999999999</v>
      </c>
      <c r="F4348" t="s">
        <v>42</v>
      </c>
      <c r="G4348">
        <v>-373.6979</v>
      </c>
      <c r="H4348" s="1">
        <v>-2.8549879999999999E-6</v>
      </c>
      <c r="I4348">
        <v>140.2518</v>
      </c>
      <c r="J4348">
        <v>-364.1447</v>
      </c>
      <c r="K4348">
        <v>1.1108279999999999</v>
      </c>
      <c r="L4348">
        <v>141.38319999999999</v>
      </c>
      <c r="M4348">
        <v>-0.9999017</v>
      </c>
      <c r="N4348">
        <v>-1.401407E-2</v>
      </c>
      <c r="O4348">
        <v>-6.7010429999999905E-4</v>
      </c>
      <c r="P4348">
        <v>-0.91299540000000001</v>
      </c>
      <c r="Q4348">
        <v>0.38416529999999999</v>
      </c>
      <c r="R4348">
        <v>-0.13732</v>
      </c>
      <c r="S4348">
        <v>-3.3858950000000001</v>
      </c>
      <c r="T4348">
        <v>-0.37943389999999999</v>
      </c>
      <c r="U4348">
        <v>-0.38650509999999999</v>
      </c>
      <c r="V4348">
        <v>-0.13668540000000001</v>
      </c>
      <c r="W4348">
        <v>0.39693119999999998</v>
      </c>
      <c r="X4348">
        <v>0.90761380000000003</v>
      </c>
      <c r="Y4348">
        <v>-0.1119724</v>
      </c>
      <c r="Z4348">
        <v>-6.9589739999999997E-3</v>
      </c>
      <c r="AA4348">
        <v>0.99368699999999999</v>
      </c>
      <c r="AB4348">
        <v>37</v>
      </c>
      <c r="AC4348">
        <v>-9.5532000000000004</v>
      </c>
      <c r="AD4348">
        <v>-1.1108308549879999</v>
      </c>
      <c r="AE4348">
        <v>-1.13139999999998</v>
      </c>
      <c r="AF4348">
        <v>-1.1101945330851799</v>
      </c>
      <c r="AG4348">
        <v>-1.1108308549879999</v>
      </c>
      <c r="AH4348">
        <v>9.4282431969308593</v>
      </c>
      <c r="AI4348">
        <v>96.6738925681247</v>
      </c>
      <c r="AJ4348">
        <v>96.715767578285494</v>
      </c>
      <c r="AK4348">
        <v>9.5581508080882802</v>
      </c>
      <c r="AL4348">
        <v>66.613528456162499</v>
      </c>
      <c r="AM4348">
        <v>98.564307205897606</v>
      </c>
      <c r="AN4348">
        <v>1.0000000430285101</v>
      </c>
    </row>
    <row r="4349" spans="1:40" x14ac:dyDescent="0.25">
      <c r="A4349" t="str">
        <f>"20190304164457745"</f>
        <v>20190304164457745</v>
      </c>
      <c r="B4349" t="str">
        <f>"1551689097734498"</f>
        <v>1551689097734498</v>
      </c>
      <c r="C4349" t="s">
        <v>40</v>
      </c>
      <c r="D4349">
        <v>4.852055</v>
      </c>
      <c r="E4349">
        <v>0.56534390000000001</v>
      </c>
      <c r="F4349" t="s">
        <v>41</v>
      </c>
      <c r="G4349">
        <v>-365.01979999999998</v>
      </c>
      <c r="H4349">
        <v>1.006972</v>
      </c>
      <c r="I4349">
        <v>141.36340000000001</v>
      </c>
      <c r="J4349">
        <v>-364.4907</v>
      </c>
      <c r="K4349">
        <v>1.1108559999999901</v>
      </c>
      <c r="L4349">
        <v>141.38290000000001</v>
      </c>
      <c r="M4349">
        <v>-0.99990159999999995</v>
      </c>
      <c r="N4349">
        <v>-1.401201E-2</v>
      </c>
      <c r="O4349">
        <v>-7.2650509999999896E-4</v>
      </c>
      <c r="P4349">
        <v>-0.9125839</v>
      </c>
      <c r="Q4349">
        <v>0.3843858</v>
      </c>
      <c r="R4349">
        <v>-0.13942189999999999</v>
      </c>
      <c r="S4349">
        <v>-3.4462589999999902</v>
      </c>
      <c r="T4349">
        <v>-0.40902820000000001</v>
      </c>
      <c r="U4349">
        <v>-7.8216549999999996E-2</v>
      </c>
      <c r="V4349">
        <v>-0.1387581</v>
      </c>
      <c r="W4349">
        <v>0.3971365</v>
      </c>
      <c r="X4349">
        <v>0.9072093</v>
      </c>
      <c r="Y4349">
        <v>-2.1796699999999999E-2</v>
      </c>
      <c r="Z4349">
        <v>-1.366377E-3</v>
      </c>
      <c r="AA4349">
        <v>0.99976149999999997</v>
      </c>
      <c r="AB4349">
        <v>37</v>
      </c>
      <c r="AC4349">
        <v>-0.52909999999997104</v>
      </c>
      <c r="AD4349">
        <v>-0.103883999999999</v>
      </c>
      <c r="AE4349">
        <v>-1.9499999999993599E-2</v>
      </c>
      <c r="AF4349">
        <v>-1.8406942377188901E-2</v>
      </c>
      <c r="AG4349">
        <v>-0.103883999999999</v>
      </c>
      <c r="AH4349">
        <v>0.50949957861504502</v>
      </c>
      <c r="AI4349">
        <v>101.516997030025</v>
      </c>
      <c r="AJ4349">
        <v>92.069053004023601</v>
      </c>
      <c r="AK4349">
        <v>0.52030810256288096</v>
      </c>
      <c r="AL4349">
        <v>66.600710177156202</v>
      </c>
      <c r="AM4349">
        <v>98.696023875890404</v>
      </c>
      <c r="AN4349">
        <v>0.999999961977174</v>
      </c>
    </row>
    <row r="4350" spans="1:40" x14ac:dyDescent="0.25">
      <c r="A4350" t="str">
        <f>"20190304164457767"</f>
        <v>20190304164457767</v>
      </c>
      <c r="B4350" t="str">
        <f>"1551689097764754"</f>
        <v>1551689097764754</v>
      </c>
      <c r="C4350" t="s">
        <v>40</v>
      </c>
      <c r="D4350">
        <v>4.832325</v>
      </c>
      <c r="E4350">
        <v>0.56869619999999999</v>
      </c>
      <c r="F4350" t="s">
        <v>41</v>
      </c>
      <c r="G4350">
        <v>-365.34809999999999</v>
      </c>
      <c r="H4350">
        <v>1.0093319999999999</v>
      </c>
      <c r="I4350">
        <v>141.3657</v>
      </c>
      <c r="J4350">
        <v>-364.85489999999999</v>
      </c>
      <c r="K4350">
        <v>1.110886</v>
      </c>
      <c r="L4350">
        <v>141.3826</v>
      </c>
      <c r="M4350">
        <v>-0.9999015</v>
      </c>
      <c r="N4350">
        <v>-1.4009870000000001E-2</v>
      </c>
      <c r="O4350">
        <v>-8.111196E-4</v>
      </c>
      <c r="P4350">
        <v>-0.91219360000000005</v>
      </c>
      <c r="Q4350">
        <v>0.38432349999999998</v>
      </c>
      <c r="R4350">
        <v>-0.14212</v>
      </c>
      <c r="S4350">
        <v>-3.448639</v>
      </c>
      <c r="T4350">
        <v>-0.40836749999999999</v>
      </c>
      <c r="U4350">
        <v>-7.0098880000000002E-2</v>
      </c>
      <c r="V4350">
        <v>-0.1414059</v>
      </c>
      <c r="W4350">
        <v>0.39705770000000001</v>
      </c>
      <c r="X4350">
        <v>0.9068349</v>
      </c>
      <c r="Y4350">
        <v>-1.9364340000000001E-2</v>
      </c>
      <c r="Z4350">
        <v>-1.194217E-3</v>
      </c>
      <c r="AA4350">
        <v>0.99981180000000003</v>
      </c>
      <c r="AB4350">
        <v>37</v>
      </c>
      <c r="AC4350">
        <v>-0.49320000000000103</v>
      </c>
      <c r="AD4350">
        <v>-0.10155400000000001</v>
      </c>
      <c r="AE4350">
        <v>-1.6899999999992501E-2</v>
      </c>
      <c r="AF4350">
        <v>-1.5829552747850601E-2</v>
      </c>
      <c r="AG4350">
        <v>-0.10155400000000001</v>
      </c>
      <c r="AH4350">
        <v>0.47317527163312501</v>
      </c>
      <c r="AI4350">
        <v>102.10662534447501</v>
      </c>
      <c r="AJ4350">
        <v>91.916052037586496</v>
      </c>
      <c r="AK4350">
        <v>0.48420928051956902</v>
      </c>
      <c r="AL4350">
        <v>66.605630288060496</v>
      </c>
      <c r="AM4350">
        <v>98.862953898655107</v>
      </c>
      <c r="AN4350">
        <v>0.99999999077105495</v>
      </c>
    </row>
    <row r="4351" spans="1:40" x14ac:dyDescent="0.25">
      <c r="A4351" t="str">
        <f>"20190304164457795"</f>
        <v>20190304164457795</v>
      </c>
      <c r="B4351" t="str">
        <f>"1551689097784274"</f>
        <v>1551689097784274</v>
      </c>
      <c r="C4351" t="s">
        <v>40</v>
      </c>
      <c r="D4351">
        <v>4.5456709999999996</v>
      </c>
      <c r="E4351">
        <v>0.57017479999999998</v>
      </c>
      <c r="F4351" t="s">
        <v>41</v>
      </c>
      <c r="G4351">
        <v>-365.68040000000002</v>
      </c>
      <c r="H4351">
        <v>1.020934</v>
      </c>
      <c r="I4351">
        <v>141.3715</v>
      </c>
      <c r="J4351">
        <v>-365.30700000000002</v>
      </c>
      <c r="K4351">
        <v>1.110919</v>
      </c>
      <c r="L4351">
        <v>141.38200000000001</v>
      </c>
      <c r="M4351">
        <v>-0.9999017</v>
      </c>
      <c r="N4351">
        <v>-1.4007199999999999E-2</v>
      </c>
      <c r="O4351">
        <v>-9.4925040000000003E-4</v>
      </c>
      <c r="P4351">
        <v>-0.91173570000000004</v>
      </c>
      <c r="Q4351">
        <v>0.38417600000000002</v>
      </c>
      <c r="R4351">
        <v>-0.14542040000000001</v>
      </c>
      <c r="S4351">
        <v>-3.439575</v>
      </c>
      <c r="T4351">
        <v>-0.37476579999999998</v>
      </c>
      <c r="U4351">
        <v>-4.560852E-2</v>
      </c>
      <c r="V4351">
        <v>-0.14461370000000001</v>
      </c>
      <c r="W4351">
        <v>0.39688970000000001</v>
      </c>
      <c r="X4351">
        <v>0.9064025</v>
      </c>
      <c r="Y4351">
        <v>-1.223202E-2</v>
      </c>
      <c r="Z4351">
        <v>-6.6049299999999995E-4</v>
      </c>
      <c r="AA4351">
        <v>0.99992499999999995</v>
      </c>
      <c r="AB4351">
        <v>37</v>
      </c>
      <c r="AC4351">
        <v>-0.37340000000006002</v>
      </c>
      <c r="AD4351">
        <v>-8.9984999999999898E-2</v>
      </c>
      <c r="AE4351">
        <v>-1.05000000000075E-2</v>
      </c>
      <c r="AF4351">
        <v>-9.5890626014636295E-3</v>
      </c>
      <c r="AG4351">
        <v>-8.9984999999999898E-2</v>
      </c>
      <c r="AH4351">
        <v>0.35292950046167199</v>
      </c>
      <c r="AI4351">
        <v>104.298659003174</v>
      </c>
      <c r="AJ4351">
        <v>91.556338256706795</v>
      </c>
      <c r="AK4351">
        <v>0.36434665175173497</v>
      </c>
      <c r="AL4351">
        <v>66.616118558344894</v>
      </c>
      <c r="AM4351">
        <v>99.064961864346202</v>
      </c>
      <c r="AN4351">
        <v>1.00000002410001</v>
      </c>
    </row>
    <row r="4352" spans="1:40" x14ac:dyDescent="0.25">
      <c r="A4352" t="str">
        <f>"20190304164457813"</f>
        <v>20190304164457813</v>
      </c>
      <c r="B4352" t="str">
        <f>"1551689097804770"</f>
        <v>1551689097804770</v>
      </c>
      <c r="C4352" t="s">
        <v>40</v>
      </c>
      <c r="D4352">
        <v>4.8196110000000001</v>
      </c>
      <c r="E4352">
        <v>0.56972809999999996</v>
      </c>
      <c r="F4352" t="s">
        <v>41</v>
      </c>
      <c r="G4352">
        <v>-366.32580000000002</v>
      </c>
      <c r="H4352">
        <v>1.0052080000000001</v>
      </c>
      <c r="I4352">
        <v>141.37029999999999</v>
      </c>
      <c r="J4352">
        <v>-365.6078</v>
      </c>
      <c r="K4352">
        <v>1.1109249999999999</v>
      </c>
      <c r="L4352">
        <v>141.38159999999999</v>
      </c>
      <c r="M4352">
        <v>-0.99990140000000005</v>
      </c>
      <c r="N4352">
        <v>-1.4005419999999999E-2</v>
      </c>
      <c r="O4352">
        <v>-1.0603159999999999E-3</v>
      </c>
      <c r="P4352">
        <v>-0.91155830000000004</v>
      </c>
      <c r="Q4352">
        <v>0.38365630000000001</v>
      </c>
      <c r="R4352">
        <v>-0.14788319999999999</v>
      </c>
      <c r="S4352">
        <v>-3.4342350000000001</v>
      </c>
      <c r="T4352">
        <v>-0.35637439999999998</v>
      </c>
      <c r="U4352">
        <v>-3.988647E-2</v>
      </c>
      <c r="V4352">
        <v>-0.14699470000000001</v>
      </c>
      <c r="W4352">
        <v>0.39635870000000001</v>
      </c>
      <c r="X4352">
        <v>0.90625180000000005</v>
      </c>
      <c r="Y4352">
        <v>-1.0493499999999999E-2</v>
      </c>
      <c r="Z4352">
        <v>-5.2178230000000003E-4</v>
      </c>
      <c r="AA4352">
        <v>0.99994479999999997</v>
      </c>
      <c r="AB4352">
        <v>37</v>
      </c>
      <c r="AC4352">
        <v>-0.71800000000001696</v>
      </c>
      <c r="AD4352">
        <v>-0.10571699999999901</v>
      </c>
      <c r="AE4352">
        <v>-1.1300000000005601E-2</v>
      </c>
      <c r="AF4352">
        <v>-1.03150468034265E-2</v>
      </c>
      <c r="AG4352">
        <v>-0.10571699999999901</v>
      </c>
      <c r="AH4352">
        <v>0.70277973635440105</v>
      </c>
      <c r="AI4352">
        <v>98.553779587368595</v>
      </c>
      <c r="AJ4352">
        <v>90.840898196288805</v>
      </c>
      <c r="AK4352">
        <v>0.71076145232413901</v>
      </c>
      <c r="AL4352">
        <v>66.649260147394202</v>
      </c>
      <c r="AM4352">
        <v>99.213179464400795</v>
      </c>
      <c r="AN4352">
        <v>0.99999999294851005</v>
      </c>
    </row>
    <row r="4353" spans="1:40" x14ac:dyDescent="0.25">
      <c r="A4353" t="str">
        <f>"20190304164457836"</f>
        <v>20190304164457836</v>
      </c>
      <c r="B4353" t="str">
        <f>"1551689097824289"</f>
        <v>1551689097824289</v>
      </c>
      <c r="C4353" t="s">
        <v>40</v>
      </c>
      <c r="D4353">
        <v>4.8293809999999997</v>
      </c>
      <c r="E4353">
        <v>0.56954349999999998</v>
      </c>
      <c r="F4353" t="s">
        <v>41</v>
      </c>
      <c r="G4353">
        <v>-366.34109999999998</v>
      </c>
      <c r="H4353">
        <v>1.032054</v>
      </c>
      <c r="I4353">
        <v>141.37110000000001</v>
      </c>
      <c r="J4353">
        <v>-365.9522</v>
      </c>
      <c r="K4353">
        <v>1.1109469999999999</v>
      </c>
      <c r="L4353">
        <v>141.3811</v>
      </c>
      <c r="M4353">
        <v>-0.99990129999999999</v>
      </c>
      <c r="N4353">
        <v>-1.4003369999999999E-2</v>
      </c>
      <c r="O4353">
        <v>-1.202217E-3</v>
      </c>
      <c r="P4353">
        <v>-0.9113696</v>
      </c>
      <c r="Q4353">
        <v>0.38357200000000002</v>
      </c>
      <c r="R4353">
        <v>-0.14925929999999901</v>
      </c>
      <c r="S4353">
        <v>-3.4385680000000001</v>
      </c>
      <c r="T4353">
        <v>-0.36983779999999999</v>
      </c>
      <c r="U4353">
        <v>-5.0033569999999999E-2</v>
      </c>
      <c r="V4353">
        <v>-0.1482578</v>
      </c>
      <c r="W4353">
        <v>0.3962637</v>
      </c>
      <c r="X4353">
        <v>0.90608759999999999</v>
      </c>
      <c r="Y4353">
        <v>-1.326567E-2</v>
      </c>
      <c r="Z4353">
        <v>-6.92371E-4</v>
      </c>
      <c r="AA4353">
        <v>0.99991180000000002</v>
      </c>
      <c r="AB4353">
        <v>37</v>
      </c>
      <c r="AC4353">
        <v>-0.38889999999997799</v>
      </c>
      <c r="AD4353">
        <v>-7.8892999999999797E-2</v>
      </c>
      <c r="AE4353">
        <v>-9.9999999999908998E-3</v>
      </c>
      <c r="AF4353">
        <v>-9.1558628922777194E-3</v>
      </c>
      <c r="AG4353">
        <v>-7.8892999999999797E-2</v>
      </c>
      <c r="AH4353">
        <v>0.37354924345170598</v>
      </c>
      <c r="AI4353">
        <v>101.922047865407</v>
      </c>
      <c r="AJ4353">
        <v>91.404064649501805</v>
      </c>
      <c r="AK4353">
        <v>0.38189916543198099</v>
      </c>
      <c r="AL4353">
        <v>66.655189294202302</v>
      </c>
      <c r="AM4353">
        <v>99.292626234024894</v>
      </c>
      <c r="AN4353">
        <v>1.0000000170361401</v>
      </c>
    </row>
    <row r="4354" spans="1:40" x14ac:dyDescent="0.25">
      <c r="A4354" t="str">
        <f>"20190304164457857"</f>
        <v>20190304164457857</v>
      </c>
      <c r="B4354" t="str">
        <f>"1551689097854546"</f>
        <v>1551689097854546</v>
      </c>
      <c r="C4354" t="s">
        <v>40</v>
      </c>
      <c r="D4354">
        <v>4.8539409999999998</v>
      </c>
      <c r="E4354">
        <v>0.56935449999999999</v>
      </c>
      <c r="F4354" t="s">
        <v>41</v>
      </c>
      <c r="G4354">
        <v>-366.97480000000002</v>
      </c>
      <c r="H4354">
        <v>0.99906159999999999</v>
      </c>
      <c r="I4354">
        <v>141.36449999999999</v>
      </c>
      <c r="J4354">
        <v>-366.3184</v>
      </c>
      <c r="K4354">
        <v>1.110959</v>
      </c>
      <c r="L4354">
        <v>141.38050000000001</v>
      </c>
      <c r="M4354">
        <v>-0.99990120000000005</v>
      </c>
      <c r="N4354">
        <v>-1.4001130000000001E-2</v>
      </c>
      <c r="O4354">
        <v>-1.3650239999999901E-3</v>
      </c>
      <c r="P4354">
        <v>-0.9108328</v>
      </c>
      <c r="Q4354">
        <v>0.38372869999999998</v>
      </c>
      <c r="R4354">
        <v>-0.152106399999999</v>
      </c>
      <c r="S4354">
        <v>-3.4410400000000001</v>
      </c>
      <c r="T4354">
        <v>-0.37649120000000003</v>
      </c>
      <c r="U4354">
        <v>-5.5999760000000003E-2</v>
      </c>
      <c r="V4354">
        <v>-0.15097079999999999</v>
      </c>
      <c r="W4354">
        <v>0.39640560000000002</v>
      </c>
      <c r="X4354">
        <v>0.90557739999999998</v>
      </c>
      <c r="Y4354">
        <v>-1.4813359999999999E-2</v>
      </c>
      <c r="Z4354">
        <v>-7.8214470000000005E-4</v>
      </c>
      <c r="AA4354">
        <v>0.99988999999999995</v>
      </c>
      <c r="AB4354">
        <v>36</v>
      </c>
      <c r="AC4354">
        <v>-0.65640000000001897</v>
      </c>
      <c r="AD4354">
        <v>-0.11189739999999999</v>
      </c>
      <c r="AE4354">
        <v>-1.6000000000019499E-2</v>
      </c>
      <c r="AF4354">
        <v>-1.4677610452841E-2</v>
      </c>
      <c r="AG4354">
        <v>-0.11189739999999999</v>
      </c>
      <c r="AH4354">
        <v>0.63789470943856397</v>
      </c>
      <c r="AI4354">
        <v>99.946830734632599</v>
      </c>
      <c r="AJ4354">
        <v>91.3181121505216</v>
      </c>
      <c r="AK4354">
        <v>0.64780098850269996</v>
      </c>
      <c r="AL4354">
        <v>66.646333510289793</v>
      </c>
      <c r="AM4354">
        <v>99.464860508737203</v>
      </c>
      <c r="AN4354">
        <v>1.00000000477738</v>
      </c>
    </row>
    <row r="4355" spans="1:40" x14ac:dyDescent="0.25">
      <c r="A4355" t="str">
        <f>"20190304164457880"</f>
        <v>20190304164457880</v>
      </c>
      <c r="B4355" t="str">
        <f>"1551689097874066"</f>
        <v>1551689097874066</v>
      </c>
      <c r="C4355" t="s">
        <v>40</v>
      </c>
      <c r="D4355">
        <v>4.8657199999999996</v>
      </c>
      <c r="E4355">
        <v>0.56936359999999997</v>
      </c>
      <c r="F4355" t="s">
        <v>41</v>
      </c>
      <c r="G4355">
        <v>-367.30180000000001</v>
      </c>
      <c r="H4355">
        <v>1.0019070000000001</v>
      </c>
      <c r="I4355">
        <v>141.36170000000001</v>
      </c>
      <c r="J4355">
        <v>-366.69659999999999</v>
      </c>
      <c r="K4355">
        <v>1.110976</v>
      </c>
      <c r="L4355">
        <v>141.37979999999999</v>
      </c>
      <c r="M4355">
        <v>-0.99990080000000003</v>
      </c>
      <c r="N4355">
        <v>-1.3998699999999999E-2</v>
      </c>
      <c r="O4355">
        <v>-1.5398059999999999E-3</v>
      </c>
      <c r="P4355">
        <v>-0.9101418</v>
      </c>
      <c r="Q4355">
        <v>0.38463700000000001</v>
      </c>
      <c r="R4355">
        <v>-0.153936299999999</v>
      </c>
      <c r="S4355">
        <v>-3.443451</v>
      </c>
      <c r="T4355">
        <v>-0.38189030000000002</v>
      </c>
      <c r="U4355">
        <v>-6.6375729999999994E-2</v>
      </c>
      <c r="V4355">
        <v>-0.1526516</v>
      </c>
      <c r="W4355">
        <v>0.3972984</v>
      </c>
      <c r="X4355">
        <v>0.90490409999999999</v>
      </c>
      <c r="Y4355">
        <v>-1.7618169999999999E-2</v>
      </c>
      <c r="Z4355">
        <v>-9.4890510000000003E-4</v>
      </c>
      <c r="AA4355">
        <v>0.99984430000000002</v>
      </c>
      <c r="AB4355">
        <v>36</v>
      </c>
      <c r="AC4355">
        <v>-0.60520000000002405</v>
      </c>
      <c r="AD4355">
        <v>-0.109069</v>
      </c>
      <c r="AE4355">
        <v>-1.80999999999755E-2</v>
      </c>
      <c r="AF4355">
        <v>-1.6628402648728498E-2</v>
      </c>
      <c r="AG4355">
        <v>-0.109069</v>
      </c>
      <c r="AH4355">
        <v>0.58620473153391095</v>
      </c>
      <c r="AI4355">
        <v>100.53576389825</v>
      </c>
      <c r="AJ4355">
        <v>91.624828027748805</v>
      </c>
      <c r="AK4355">
        <v>0.59649688834762005</v>
      </c>
      <c r="AL4355">
        <v>66.590602809780407</v>
      </c>
      <c r="AM4355">
        <v>99.575285174099207</v>
      </c>
      <c r="AN4355">
        <v>0.99999997991096401</v>
      </c>
    </row>
    <row r="4356" spans="1:40" x14ac:dyDescent="0.25">
      <c r="A4356" t="str">
        <f>"20190304164457903"</f>
        <v>20190304164457903</v>
      </c>
      <c r="B4356" t="str">
        <f>"1551689097894562"</f>
        <v>1551689097894562</v>
      </c>
      <c r="C4356" t="s">
        <v>40</v>
      </c>
      <c r="D4356">
        <v>4.8616479999999997</v>
      </c>
      <c r="E4356">
        <v>0.56930119999999995</v>
      </c>
      <c r="F4356" t="s">
        <v>41</v>
      </c>
      <c r="G4356">
        <v>-367.63010000000003</v>
      </c>
      <c r="H4356">
        <v>1.007876</v>
      </c>
      <c r="I4356">
        <v>141.36019999999999</v>
      </c>
      <c r="J4356">
        <v>-367.06400000000002</v>
      </c>
      <c r="K4356">
        <v>1.1109819999999999</v>
      </c>
      <c r="L4356">
        <v>141.37909999999999</v>
      </c>
      <c r="M4356">
        <v>-0.99990060000000003</v>
      </c>
      <c r="N4356">
        <v>-1.399646E-2</v>
      </c>
      <c r="O4356">
        <v>-1.711682E-3</v>
      </c>
      <c r="P4356">
        <v>-0.90985859999999996</v>
      </c>
      <c r="Q4356">
        <v>0.38465100000000002</v>
      </c>
      <c r="R4356">
        <v>-0.1555667</v>
      </c>
      <c r="S4356">
        <v>-3.4447329999999998</v>
      </c>
      <c r="T4356">
        <v>-0.38048949999999998</v>
      </c>
      <c r="U4356">
        <v>-7.2708129999999996E-2</v>
      </c>
      <c r="V4356">
        <v>-0.15413279999999999</v>
      </c>
      <c r="W4356">
        <v>0.39730369999999998</v>
      </c>
      <c r="X4356">
        <v>0.90465070000000003</v>
      </c>
      <c r="Y4356">
        <v>-1.9266720000000001E-2</v>
      </c>
      <c r="Z4356">
        <v>-1.031452E-3</v>
      </c>
      <c r="AA4356">
        <v>0.99981390000000003</v>
      </c>
      <c r="AB4356">
        <v>36</v>
      </c>
      <c r="AC4356">
        <v>-0.56610000000000504</v>
      </c>
      <c r="AD4356">
        <v>-0.103105999999999</v>
      </c>
      <c r="AE4356">
        <v>-1.8900000000002099E-2</v>
      </c>
      <c r="AF4356">
        <v>-1.7355795660103802E-2</v>
      </c>
      <c r="AG4356">
        <v>-0.103105999999999</v>
      </c>
      <c r="AH4356">
        <v>0.54797395685123895</v>
      </c>
      <c r="AI4356">
        <v>100.650884453061</v>
      </c>
      <c r="AJ4356">
        <v>91.814103591987006</v>
      </c>
      <c r="AK4356">
        <v>0.557859774733937</v>
      </c>
      <c r="AL4356">
        <v>66.590272887825293</v>
      </c>
      <c r="AM4356">
        <v>99.6691072028121</v>
      </c>
      <c r="AN4356">
        <v>1.0000000195400001</v>
      </c>
    </row>
    <row r="4357" spans="1:40" x14ac:dyDescent="0.25">
      <c r="A4357" t="str">
        <f>"20190304164457925"</f>
        <v>20190304164457925</v>
      </c>
      <c r="B4357" t="str">
        <f>"1551689097914083"</f>
        <v>1551689097914083</v>
      </c>
      <c r="C4357" t="s">
        <v>40</v>
      </c>
      <c r="D4357">
        <v>5.0520060000000004</v>
      </c>
      <c r="E4357">
        <v>0.569457199999999</v>
      </c>
      <c r="F4357" t="s">
        <v>41</v>
      </c>
      <c r="G4357">
        <v>-367.95690000000002</v>
      </c>
      <c r="H4357">
        <v>1.0113289999999999</v>
      </c>
      <c r="I4357">
        <v>141.3588</v>
      </c>
      <c r="J4357">
        <v>-367.42070000000001</v>
      </c>
      <c r="K4357">
        <v>1.1109880000000001</v>
      </c>
      <c r="L4357">
        <v>141.3783</v>
      </c>
      <c r="M4357">
        <v>-0.99990029999999996</v>
      </c>
      <c r="N4357">
        <v>-1.3994329999999999E-2</v>
      </c>
      <c r="O4357">
        <v>-1.8775689999999999E-3</v>
      </c>
      <c r="P4357">
        <v>-0.90985760000000004</v>
      </c>
      <c r="Q4357">
        <v>0.38406899999999999</v>
      </c>
      <c r="R4357">
        <v>-0.1570039</v>
      </c>
      <c r="S4357">
        <v>-3.4461979999999999</v>
      </c>
      <c r="T4357">
        <v>-0.38472070000000003</v>
      </c>
      <c r="U4357">
        <v>-7.9666139999999996E-2</v>
      </c>
      <c r="V4357">
        <v>-0.1554239</v>
      </c>
      <c r="W4357">
        <v>0.39671810000000002</v>
      </c>
      <c r="X4357">
        <v>0.90468680000000001</v>
      </c>
      <c r="Y4357">
        <v>-2.1095059999999999E-2</v>
      </c>
      <c r="Z4357">
        <v>-1.139108E-3</v>
      </c>
      <c r="AA4357">
        <v>0.99977680000000002</v>
      </c>
      <c r="AB4357">
        <v>36</v>
      </c>
      <c r="AC4357">
        <v>-0.536200000000008</v>
      </c>
      <c r="AD4357">
        <v>-9.9658999999999706E-2</v>
      </c>
      <c r="AE4357">
        <v>-1.9499999999993599E-2</v>
      </c>
      <c r="AF4357">
        <v>-1.78763981845434E-2</v>
      </c>
      <c r="AG4357">
        <v>-9.9658999999999706E-2</v>
      </c>
      <c r="AH4357">
        <v>0.51835305324098402</v>
      </c>
      <c r="AI4357">
        <v>100.87662726914201</v>
      </c>
      <c r="AJ4357">
        <v>91.975171925928194</v>
      </c>
      <c r="AK4357">
        <v>0.52814900330995895</v>
      </c>
      <c r="AL4357">
        <v>66.626829845047794</v>
      </c>
      <c r="AM4357">
        <v>99.748171512574402</v>
      </c>
      <c r="AN4357">
        <v>1.00000002282652</v>
      </c>
    </row>
    <row r="4358" spans="1:40" x14ac:dyDescent="0.25">
      <c r="A4358" t="str">
        <f>"20190304164457947"</f>
        <v>20190304164457947</v>
      </c>
      <c r="B4358" t="str">
        <f>"1551689097934578"</f>
        <v>1551689097934578</v>
      </c>
      <c r="C4358" t="s">
        <v>40</v>
      </c>
      <c r="D4358">
        <v>4.8770309999999997</v>
      </c>
      <c r="E4358">
        <v>0.5695557</v>
      </c>
      <c r="F4358" t="s">
        <v>41</v>
      </c>
      <c r="G4358">
        <v>-368.28309999999999</v>
      </c>
      <c r="H4358">
        <v>1.0143249999999999</v>
      </c>
      <c r="I4358">
        <v>141.3578</v>
      </c>
      <c r="J4358">
        <v>-367.77289999999999</v>
      </c>
      <c r="K4358">
        <v>1.110997</v>
      </c>
      <c r="L4358">
        <v>141.3775</v>
      </c>
      <c r="M4358">
        <v>-0.99990020000000002</v>
      </c>
      <c r="N4358">
        <v>-1.399224E-2</v>
      </c>
      <c r="O4358">
        <v>-2.039978E-3</v>
      </c>
      <c r="P4358">
        <v>-0.90972019999999998</v>
      </c>
      <c r="Q4358">
        <v>0.38363659999999999</v>
      </c>
      <c r="R4358">
        <v>-0.15884770000000001</v>
      </c>
      <c r="S4358">
        <v>-3.4460449999999998</v>
      </c>
      <c r="T4358">
        <v>-0.3863047</v>
      </c>
      <c r="U4358">
        <v>-8.2641599999999996E-2</v>
      </c>
      <c r="V4358">
        <v>-0.1571234</v>
      </c>
      <c r="W4358">
        <v>0.39627990000000002</v>
      </c>
      <c r="X4358">
        <v>0.90458519999999998</v>
      </c>
      <c r="Y4358">
        <v>-2.1791270000000001E-2</v>
      </c>
      <c r="Z4358">
        <v>-1.170971E-3</v>
      </c>
      <c r="AA4358">
        <v>0.99976189999999998</v>
      </c>
      <c r="AB4358">
        <v>36</v>
      </c>
      <c r="AC4358">
        <v>-0.51019999999999699</v>
      </c>
      <c r="AD4358">
        <v>-9.6671999999999994E-2</v>
      </c>
      <c r="AE4358">
        <v>-1.97000000000002E-2</v>
      </c>
      <c r="AF4358">
        <v>-1.8013306767391799E-2</v>
      </c>
      <c r="AG4358">
        <v>-9.6671999999999994E-2</v>
      </c>
      <c r="AH4358">
        <v>0.49258074718538603</v>
      </c>
      <c r="AI4358">
        <v>101.096295247361</v>
      </c>
      <c r="AJ4358">
        <v>92.094330227965301</v>
      </c>
      <c r="AK4358">
        <v>0.50230045520824396</v>
      </c>
      <c r="AL4358">
        <v>66.654176755748793</v>
      </c>
      <c r="AM4358">
        <v>99.853770900519805</v>
      </c>
      <c r="AN4358">
        <v>0.99999995301530298</v>
      </c>
    </row>
    <row r="4359" spans="1:40" x14ac:dyDescent="0.25">
      <c r="A4359" t="str">
        <f>"20190304164457969"</f>
        <v>20190304164457969</v>
      </c>
      <c r="B4359" t="str">
        <f>"1551689097964834"</f>
        <v>1551689097964834</v>
      </c>
      <c r="C4359" t="s">
        <v>40</v>
      </c>
      <c r="D4359">
        <v>4.822991</v>
      </c>
      <c r="E4359">
        <v>0.57009730000000003</v>
      </c>
      <c r="F4359" t="s">
        <v>41</v>
      </c>
      <c r="G4359">
        <v>-368.60890000000001</v>
      </c>
      <c r="H4359">
        <v>1.0167550000000001</v>
      </c>
      <c r="I4359">
        <v>141.35679999999999</v>
      </c>
      <c r="J4359">
        <v>-368.14210000000003</v>
      </c>
      <c r="K4359">
        <v>1.1110040000000001</v>
      </c>
      <c r="L4359">
        <v>141.3766</v>
      </c>
      <c r="M4359">
        <v>-0.99989969999999995</v>
      </c>
      <c r="N4359">
        <v>-1.399005E-2</v>
      </c>
      <c r="O4359">
        <v>-2.2088049999999999E-3</v>
      </c>
      <c r="P4359">
        <v>-0.90935049999999995</v>
      </c>
      <c r="Q4359">
        <v>0.38394070000000002</v>
      </c>
      <c r="R4359">
        <v>-0.16022249999999999</v>
      </c>
      <c r="S4359">
        <v>-3.4465330000000001</v>
      </c>
      <c r="T4359">
        <v>-0.38847890000000002</v>
      </c>
      <c r="U4359">
        <v>-8.5845950000000004E-2</v>
      </c>
      <c r="V4359">
        <v>-0.15834860000000001</v>
      </c>
      <c r="W4359">
        <v>0.39657629999999999</v>
      </c>
      <c r="X4359">
        <v>0.90424170000000004</v>
      </c>
      <c r="Y4359">
        <v>-2.2542030000000001E-2</v>
      </c>
      <c r="Z4359">
        <v>-1.207163E-3</v>
      </c>
      <c r="AA4359">
        <v>0.9997452</v>
      </c>
      <c r="AB4359">
        <v>36</v>
      </c>
      <c r="AC4359">
        <v>-0.46679999999997701</v>
      </c>
      <c r="AD4359">
        <v>-9.4249000000000194E-2</v>
      </c>
      <c r="AE4359">
        <v>-1.9800000000003599E-2</v>
      </c>
      <c r="AF4359">
        <v>-1.8034900854154299E-2</v>
      </c>
      <c r="AG4359">
        <v>-9.4249000000000194E-2</v>
      </c>
      <c r="AH4359">
        <v>0.44858854587857799</v>
      </c>
      <c r="AI4359">
        <v>101.85602704686001</v>
      </c>
      <c r="AJ4359">
        <v>92.302260098979005</v>
      </c>
      <c r="AK4359">
        <v>0.45873719616276598</v>
      </c>
      <c r="AL4359">
        <v>66.635680970512297</v>
      </c>
      <c r="AM4359">
        <v>99.932780907582</v>
      </c>
      <c r="AN4359">
        <v>1.0000000464312599</v>
      </c>
    </row>
    <row r="4360" spans="1:40" x14ac:dyDescent="0.25">
      <c r="A4360" t="str">
        <f>"20190304164457992"</f>
        <v>20190304164457992</v>
      </c>
      <c r="B4360" t="str">
        <f>"1551689097984354"</f>
        <v>1551689097984354</v>
      </c>
      <c r="C4360" t="s">
        <v>40</v>
      </c>
      <c r="D4360">
        <v>4.8339800000000004</v>
      </c>
      <c r="E4360">
        <v>0.57030449999999999</v>
      </c>
      <c r="F4360" t="s">
        <v>41</v>
      </c>
      <c r="G4360">
        <v>-368.93669999999997</v>
      </c>
      <c r="H4360">
        <v>1.0229060000000001</v>
      </c>
      <c r="I4360">
        <v>141.35730000000001</v>
      </c>
      <c r="J4360">
        <v>-368.50709999999998</v>
      </c>
      <c r="K4360">
        <v>1.111002</v>
      </c>
      <c r="L4360">
        <v>141.37559999999999</v>
      </c>
      <c r="M4360">
        <v>-0.99989939999999999</v>
      </c>
      <c r="N4360">
        <v>-1.3987889999999999E-2</v>
      </c>
      <c r="O4360">
        <v>-2.3753490000000001E-3</v>
      </c>
      <c r="P4360">
        <v>-0.90887249999999997</v>
      </c>
      <c r="Q4360">
        <v>0.38475759999999998</v>
      </c>
      <c r="R4360">
        <v>-0.16097449999999999</v>
      </c>
      <c r="S4360">
        <v>-3.445557</v>
      </c>
      <c r="T4360">
        <v>-0.38201560000000001</v>
      </c>
      <c r="U4360">
        <v>-8.3923339999999999E-2</v>
      </c>
      <c r="V4360">
        <v>-0.15895210000000001</v>
      </c>
      <c r="W4360">
        <v>0.39738329999999999</v>
      </c>
      <c r="X4360">
        <v>0.90378139999999996</v>
      </c>
      <c r="Y4360">
        <v>-2.1835210000000001E-2</v>
      </c>
      <c r="Z4360">
        <v>-1.130472E-3</v>
      </c>
      <c r="AA4360">
        <v>0.99976089999999995</v>
      </c>
      <c r="AB4360">
        <v>36</v>
      </c>
      <c r="AC4360">
        <v>-0.42959999999999299</v>
      </c>
      <c r="AD4360">
        <v>-8.8096000000000105E-2</v>
      </c>
      <c r="AE4360">
        <v>-1.8299999999982199E-2</v>
      </c>
      <c r="AF4360">
        <v>-1.6583305137966801E-2</v>
      </c>
      <c r="AG4360">
        <v>-8.8096000000000105E-2</v>
      </c>
      <c r="AH4360">
        <v>0.41233429818984202</v>
      </c>
      <c r="AI4360">
        <v>102.05057432455099</v>
      </c>
      <c r="AJ4360">
        <v>92.303086611344398</v>
      </c>
      <c r="AK4360">
        <v>0.42196621273392099</v>
      </c>
      <c r="AL4360">
        <v>66.585303430833406</v>
      </c>
      <c r="AM4360">
        <v>99.974854449674197</v>
      </c>
      <c r="AN4360">
        <v>1.0000000380996199</v>
      </c>
    </row>
    <row r="4361" spans="1:40" x14ac:dyDescent="0.25">
      <c r="A4361" t="str">
        <f>"20190304164458014"</f>
        <v>20190304164458014</v>
      </c>
      <c r="B4361" t="str">
        <f>"1551689098004850"</f>
        <v>1551689098004850</v>
      </c>
      <c r="C4361" t="s">
        <v>40</v>
      </c>
      <c r="D4361">
        <v>4.8375430000000001</v>
      </c>
      <c r="E4361">
        <v>0.57041149999999996</v>
      </c>
      <c r="F4361" t="s">
        <v>41</v>
      </c>
      <c r="G4361">
        <v>-369.26440000000002</v>
      </c>
      <c r="H4361">
        <v>1.0274299999999901</v>
      </c>
      <c r="I4361">
        <v>141.357</v>
      </c>
      <c r="J4361">
        <v>-368.8664</v>
      </c>
      <c r="K4361">
        <v>1.111003</v>
      </c>
      <c r="L4361">
        <v>141.37459999999999</v>
      </c>
      <c r="M4361">
        <v>-0.99989899999999998</v>
      </c>
      <c r="N4361">
        <v>-1.398579E-2</v>
      </c>
      <c r="O4361">
        <v>-2.5387809999999999E-3</v>
      </c>
      <c r="P4361">
        <v>-0.90895749999999997</v>
      </c>
      <c r="Q4361">
        <v>0.38432169999999999</v>
      </c>
      <c r="R4361">
        <v>-0.1615336</v>
      </c>
      <c r="S4361">
        <v>-3.4466860000000001</v>
      </c>
      <c r="T4361">
        <v>-0.38039089999999998</v>
      </c>
      <c r="U4361">
        <v>-8.5327150000000004E-2</v>
      </c>
      <c r="V4361">
        <v>-0.15936320000000001</v>
      </c>
      <c r="W4361">
        <v>0.39694699999999999</v>
      </c>
      <c r="X4361">
        <v>0.9039007</v>
      </c>
      <c r="Y4361">
        <v>-2.2071110000000001E-2</v>
      </c>
      <c r="Z4361">
        <v>-1.1250699999999999E-3</v>
      </c>
      <c r="AA4361">
        <v>0.99975579999999997</v>
      </c>
      <c r="AB4361">
        <v>36</v>
      </c>
      <c r="AC4361">
        <v>-0.398000000000024</v>
      </c>
      <c r="AD4361">
        <v>-8.3573000000000106E-2</v>
      </c>
      <c r="AE4361">
        <v>-1.75999999999874E-2</v>
      </c>
      <c r="AF4361">
        <v>-1.5890139283836899E-2</v>
      </c>
      <c r="AG4361">
        <v>-8.3573000000000106E-2</v>
      </c>
      <c r="AH4361">
        <v>0.381265233316262</v>
      </c>
      <c r="AI4361">
        <v>102.353247529355</v>
      </c>
      <c r="AJ4361">
        <v>92.386557286248205</v>
      </c>
      <c r="AK4361">
        <v>0.39064065455500602</v>
      </c>
      <c r="AL4361">
        <v>66.612541406353202</v>
      </c>
      <c r="AM4361">
        <v>99.998839251661195</v>
      </c>
      <c r="AN4361">
        <v>1.00000001289186</v>
      </c>
    </row>
    <row r="4362" spans="1:40" x14ac:dyDescent="0.25">
      <c r="A4362" t="str">
        <f>"20190304164458036"</f>
        <v>20190304164458036</v>
      </c>
      <c r="B4362" t="str">
        <f>"1551689098024370"</f>
        <v>1551689098024370</v>
      </c>
      <c r="C4362" t="s">
        <v>40</v>
      </c>
      <c r="D4362">
        <v>5.2990750000000002</v>
      </c>
      <c r="E4362">
        <v>0.57048339999999997</v>
      </c>
      <c r="F4362" t="s">
        <v>41</v>
      </c>
      <c r="G4362">
        <v>-369.89490000000001</v>
      </c>
      <c r="H4362">
        <v>0.99650249999999996</v>
      </c>
      <c r="I4362">
        <v>141.34899999999999</v>
      </c>
      <c r="J4362">
        <v>-369.21589999999998</v>
      </c>
      <c r="K4362">
        <v>1.1109990000000001</v>
      </c>
      <c r="L4362">
        <v>141.37350000000001</v>
      </c>
      <c r="M4362">
        <v>-0.99989870000000003</v>
      </c>
      <c r="N4362">
        <v>-1.3983529999999999E-2</v>
      </c>
      <c r="O4362">
        <v>-2.6979119999999998E-3</v>
      </c>
      <c r="P4362">
        <v>-0.90922190000000003</v>
      </c>
      <c r="Q4362">
        <v>0.3832372</v>
      </c>
      <c r="R4362">
        <v>-0.1626185</v>
      </c>
      <c r="S4362">
        <v>-3.4473880000000001</v>
      </c>
      <c r="T4362">
        <v>-0.38385750000000002</v>
      </c>
      <c r="U4362">
        <v>-8.6578370000000002E-2</v>
      </c>
      <c r="V4362">
        <v>-0.1603029</v>
      </c>
      <c r="W4362">
        <v>0.39586440000000001</v>
      </c>
      <c r="X4362">
        <v>0.90420929999999999</v>
      </c>
      <c r="Y4362">
        <v>-2.2266689999999999E-2</v>
      </c>
      <c r="Z4362">
        <v>-1.1301029999999999E-3</v>
      </c>
      <c r="AA4362">
        <v>0.99975139999999996</v>
      </c>
      <c r="AB4362">
        <v>36</v>
      </c>
      <c r="AC4362">
        <v>-0.67900000000003002</v>
      </c>
      <c r="AD4362">
        <v>-0.1144965</v>
      </c>
      <c r="AE4362">
        <v>-2.4500000000017501E-2</v>
      </c>
      <c r="AF4362">
        <v>-2.2041914799115301E-2</v>
      </c>
      <c r="AG4362">
        <v>-0.1144965</v>
      </c>
      <c r="AH4362">
        <v>0.66031242432260895</v>
      </c>
      <c r="AI4362">
        <v>99.831761926171197</v>
      </c>
      <c r="AJ4362">
        <v>91.911882729270204</v>
      </c>
      <c r="AK4362">
        <v>0.67052799511658101</v>
      </c>
      <c r="AL4362">
        <v>66.680105864542398</v>
      </c>
      <c r="AM4362">
        <v>100.053236052941</v>
      </c>
      <c r="AN4362">
        <v>1.00000005057112</v>
      </c>
    </row>
    <row r="4363" spans="1:40" x14ac:dyDescent="0.25">
      <c r="A4363" t="str">
        <f>"20190304164458059"</f>
        <v>20190304164458059</v>
      </c>
      <c r="B4363" t="str">
        <f>"1551689098054627"</f>
        <v>1551689098054627</v>
      </c>
      <c r="C4363" t="s">
        <v>40</v>
      </c>
      <c r="D4363">
        <v>4.8933179999999998</v>
      </c>
      <c r="E4363">
        <v>0.51500059999999903</v>
      </c>
      <c r="F4363" t="s">
        <v>41</v>
      </c>
      <c r="G4363">
        <v>-370.21929999999998</v>
      </c>
      <c r="H4363">
        <v>0.9987684</v>
      </c>
      <c r="I4363">
        <v>141.3477</v>
      </c>
      <c r="J4363">
        <v>-369.59059999999999</v>
      </c>
      <c r="K4363">
        <v>1.1109910000000001</v>
      </c>
      <c r="L4363">
        <v>141.3723</v>
      </c>
      <c r="M4363">
        <v>-0.99989819999999996</v>
      </c>
      <c r="N4363">
        <v>-1.39814E-2</v>
      </c>
      <c r="O4363">
        <v>-2.8682450000000002E-3</v>
      </c>
      <c r="P4363">
        <v>-0.90924870000000002</v>
      </c>
      <c r="Q4363">
        <v>0.38277709999999998</v>
      </c>
      <c r="R4363">
        <v>-0.163550799999999</v>
      </c>
      <c r="S4363">
        <v>-3.446075</v>
      </c>
      <c r="T4363">
        <v>-0.38544919999999999</v>
      </c>
      <c r="U4363">
        <v>-8.9019780000000007E-2</v>
      </c>
      <c r="V4363">
        <v>-0.16108020000000001</v>
      </c>
      <c r="W4363">
        <v>0.39540239999999999</v>
      </c>
      <c r="X4363">
        <v>0.90427329999999995</v>
      </c>
      <c r="Y4363">
        <v>-2.2809570000000001E-2</v>
      </c>
      <c r="Z4363">
        <v>-1.1517400000000001E-3</v>
      </c>
      <c r="AA4363">
        <v>0.99973920000000005</v>
      </c>
      <c r="AB4363">
        <v>36</v>
      </c>
      <c r="AC4363">
        <v>-0.62869999999998005</v>
      </c>
      <c r="AD4363">
        <v>-0.11222259999999901</v>
      </c>
      <c r="AE4363">
        <v>-2.4599999999992399E-2</v>
      </c>
      <c r="AF4363">
        <v>-2.2093586128854401E-2</v>
      </c>
      <c r="AG4363">
        <v>-0.11222259999999901</v>
      </c>
      <c r="AH4363">
        <v>0.60938151526147499</v>
      </c>
      <c r="AI4363">
        <v>100.427874452823</v>
      </c>
      <c r="AJ4363">
        <v>92.076392197189506</v>
      </c>
      <c r="AK4363">
        <v>0.62002247510970498</v>
      </c>
      <c r="AL4363">
        <v>66.708928028606707</v>
      </c>
      <c r="AM4363">
        <v>100.100282017369</v>
      </c>
      <c r="AN4363">
        <v>1.0000000449253399</v>
      </c>
    </row>
    <row r="4364" spans="1:40" x14ac:dyDescent="0.25">
      <c r="A4364" t="str">
        <f>"20190304164458081"</f>
        <v>20190304164458081</v>
      </c>
      <c r="B4364" t="str">
        <f>"1551689098074147"</f>
        <v>1551689098074147</v>
      </c>
      <c r="C4364" t="s">
        <v>40</v>
      </c>
      <c r="D4364">
        <v>4.7993420000000002</v>
      </c>
      <c r="E4364">
        <v>0.50856080000000004</v>
      </c>
      <c r="F4364" t="s">
        <v>42</v>
      </c>
      <c r="G4364">
        <v>-383.34769999999997</v>
      </c>
      <c r="H4364" s="1">
        <v>-2.9031479999999998E-6</v>
      </c>
      <c r="I4364">
        <v>139.23830000000001</v>
      </c>
      <c r="J4364">
        <v>-369.95100000000002</v>
      </c>
      <c r="K4364">
        <v>1.111002</v>
      </c>
      <c r="L4364">
        <v>141.37110000000001</v>
      </c>
      <c r="M4364">
        <v>-0.9998977</v>
      </c>
      <c r="N4364">
        <v>-1.3979449999999999E-2</v>
      </c>
      <c r="O4364">
        <v>-3.031784E-3</v>
      </c>
      <c r="P4364">
        <v>-0.90902879999999997</v>
      </c>
      <c r="Q4364">
        <v>0.38320700000000002</v>
      </c>
      <c r="R4364">
        <v>-0.16376589999999999</v>
      </c>
      <c r="S4364">
        <v>-3.3196720000000002</v>
      </c>
      <c r="T4364">
        <v>-0.26809119999999997</v>
      </c>
      <c r="U4364">
        <v>-0.51493840000000002</v>
      </c>
      <c r="V4364">
        <v>-0.1611477</v>
      </c>
      <c r="W4364">
        <v>0.3958276</v>
      </c>
      <c r="X4364">
        <v>0.90407510000000002</v>
      </c>
      <c r="Y4364">
        <v>-0.14973349999999999</v>
      </c>
      <c r="Z4364">
        <v>-6.8545019999999898E-3</v>
      </c>
      <c r="AA4364">
        <v>0.98870270000000005</v>
      </c>
      <c r="AB4364">
        <v>36</v>
      </c>
      <c r="AC4364">
        <v>-13.396699999999999</v>
      </c>
      <c r="AD4364">
        <v>-1.111004903148</v>
      </c>
      <c r="AE4364">
        <v>-2.1328</v>
      </c>
      <c r="AF4364">
        <v>-2.07823042641837</v>
      </c>
      <c r="AG4364">
        <v>-1.111004903148</v>
      </c>
      <c r="AH4364">
        <v>13.3138018270486</v>
      </c>
      <c r="AI4364">
        <v>94.713328930658506</v>
      </c>
      <c r="AJ4364">
        <v>98.872042391112402</v>
      </c>
      <c r="AK4364">
        <v>13.5207504484785</v>
      </c>
      <c r="AL4364">
        <v>66.682398876123301</v>
      </c>
      <c r="AM4364">
        <v>100.106596833559</v>
      </c>
      <c r="AN4364">
        <v>0.99999992828852702</v>
      </c>
    </row>
    <row r="4365" spans="1:40" x14ac:dyDescent="0.25">
      <c r="A4365" t="str">
        <f>"20190304164458104"</f>
        <v>20190304164458104</v>
      </c>
      <c r="B4365" t="str">
        <f>"1551689098094642"</f>
        <v>1551689098094642</v>
      </c>
      <c r="C4365" t="s">
        <v>40</v>
      </c>
      <c r="D4365">
        <v>4.7865539999999998</v>
      </c>
      <c r="E4365">
        <v>0.50590609999999903</v>
      </c>
      <c r="F4365" t="s">
        <v>42</v>
      </c>
      <c r="G4365">
        <v>-382.37189999999998</v>
      </c>
      <c r="H4365" s="1">
        <v>-3.3209080000000001E-6</v>
      </c>
      <c r="I4365">
        <v>139.2431</v>
      </c>
      <c r="J4365">
        <v>-370.3168</v>
      </c>
      <c r="K4365">
        <v>1.1110169999999999</v>
      </c>
      <c r="L4365">
        <v>141.3698</v>
      </c>
      <c r="M4365">
        <v>-0.99989720000000004</v>
      </c>
      <c r="N4365">
        <v>-1.3977460000000001E-2</v>
      </c>
      <c r="O4365">
        <v>-3.1980609999999999E-3</v>
      </c>
      <c r="P4365">
        <v>-0.90856060000000005</v>
      </c>
      <c r="Q4365">
        <v>0.38418289999999999</v>
      </c>
      <c r="R4365">
        <v>-0.16407649999999999</v>
      </c>
      <c r="S4365">
        <v>-3.322937</v>
      </c>
      <c r="T4365">
        <v>-0.29722609999999999</v>
      </c>
      <c r="U4365">
        <v>-0.56929019999999997</v>
      </c>
      <c r="V4365">
        <v>-0.16130920000000001</v>
      </c>
      <c r="W4365">
        <v>0.39679560000000003</v>
      </c>
      <c r="X4365">
        <v>0.90362189999999998</v>
      </c>
      <c r="Y4365">
        <v>-0.16497410000000001</v>
      </c>
      <c r="Z4365">
        <v>-8.2354079999999996E-3</v>
      </c>
      <c r="AA4365">
        <v>0.98626349999999996</v>
      </c>
      <c r="AB4365">
        <v>36</v>
      </c>
      <c r="AC4365">
        <v>-12.0550999999999</v>
      </c>
      <c r="AD4365">
        <v>-1.1110203209079901</v>
      </c>
      <c r="AE4365">
        <v>-2.1267</v>
      </c>
      <c r="AF4365">
        <v>-2.0710720806071001</v>
      </c>
      <c r="AG4365">
        <v>-1.1110203209079901</v>
      </c>
      <c r="AH4365">
        <v>11.9632934203074</v>
      </c>
      <c r="AI4365">
        <v>95.228459142325406</v>
      </c>
      <c r="AJ4365">
        <v>99.821635229335996</v>
      </c>
      <c r="AK4365">
        <v>12.1919684701409</v>
      </c>
      <c r="AL4365">
        <v>66.621991126734898</v>
      </c>
      <c r="AM4365">
        <v>100.121485357244</v>
      </c>
      <c r="AN4365">
        <v>0.99999997217180403</v>
      </c>
    </row>
    <row r="4366" spans="1:40" x14ac:dyDescent="0.25">
      <c r="A4366" t="str">
        <f>"20190304164458126"</f>
        <v>20190304164458126</v>
      </c>
      <c r="B4366" t="str">
        <f>"1551689098114162"</f>
        <v>1551689098114162</v>
      </c>
      <c r="C4366" t="s">
        <v>40</v>
      </c>
      <c r="D4366">
        <v>4.7642490000000004</v>
      </c>
      <c r="E4366">
        <v>0.50442790000000004</v>
      </c>
      <c r="F4366" t="s">
        <v>42</v>
      </c>
      <c r="G4366">
        <v>-382.1284</v>
      </c>
      <c r="H4366" s="1">
        <v>-3.4216209999999999E-6</v>
      </c>
      <c r="I4366">
        <v>139.26419999999999</v>
      </c>
      <c r="J4366">
        <v>-370.6721</v>
      </c>
      <c r="K4366">
        <v>1.111035</v>
      </c>
      <c r="L4366">
        <v>141.36850000000001</v>
      </c>
      <c r="M4366">
        <v>-0.99989660000000002</v>
      </c>
      <c r="N4366">
        <v>-1.397552E-2</v>
      </c>
      <c r="O4366">
        <v>-3.361724E-3</v>
      </c>
      <c r="P4366">
        <v>-0.90809600000000001</v>
      </c>
      <c r="Q4366">
        <v>0.38524320000000001</v>
      </c>
      <c r="R4366">
        <v>-0.16416349999999999</v>
      </c>
      <c r="S4366">
        <v>-3.327118</v>
      </c>
      <c r="T4366">
        <v>-0.31295509999999999</v>
      </c>
      <c r="U4366">
        <v>-0.59310909999999994</v>
      </c>
      <c r="V4366">
        <v>-0.16124939999999999</v>
      </c>
      <c r="W4366">
        <v>0.39784760000000002</v>
      </c>
      <c r="X4366">
        <v>0.90316989999999997</v>
      </c>
      <c r="Y4366">
        <v>-0.171352799999999</v>
      </c>
      <c r="Z4366">
        <v>-8.9219030000000001E-3</v>
      </c>
      <c r="AA4366">
        <v>0.98516939999999997</v>
      </c>
      <c r="AB4366">
        <v>36</v>
      </c>
      <c r="AC4366">
        <v>-11.456300000000001</v>
      </c>
      <c r="AD4366">
        <v>-1.1110384216210001</v>
      </c>
      <c r="AE4366">
        <v>-2.1043000000000198</v>
      </c>
      <c r="AF4366">
        <v>-2.0471459428496401</v>
      </c>
      <c r="AG4366">
        <v>-1.1110384216210001</v>
      </c>
      <c r="AH4366">
        <v>11.3599541225288</v>
      </c>
      <c r="AI4366">
        <v>95.497935032122399</v>
      </c>
      <c r="AJ4366">
        <v>100.215474463801</v>
      </c>
      <c r="AK4366">
        <v>11.596282617787599</v>
      </c>
      <c r="AL4366">
        <v>66.556309038485594</v>
      </c>
      <c r="AM4366">
        <v>100.12276955439</v>
      </c>
      <c r="AN4366">
        <v>0.99999997504606397</v>
      </c>
    </row>
    <row r="4367" spans="1:40" x14ac:dyDescent="0.25">
      <c r="A4367" t="str">
        <f>"20190304164458148"</f>
        <v>20190304164458148</v>
      </c>
      <c r="B4367" t="str">
        <f>"1551689098144418"</f>
        <v>1551689098144418</v>
      </c>
      <c r="C4367" t="s">
        <v>40</v>
      </c>
      <c r="D4367">
        <v>4.7599769999999904</v>
      </c>
      <c r="E4367">
        <v>0.50314139999999996</v>
      </c>
      <c r="F4367" t="s">
        <v>42</v>
      </c>
      <c r="G4367">
        <v>-382.29379999999998</v>
      </c>
      <c r="H4367" s="1">
        <v>-3.3521200000000002E-6</v>
      </c>
      <c r="I4367">
        <v>139.256</v>
      </c>
      <c r="J4367">
        <v>-371.0222</v>
      </c>
      <c r="K4367">
        <v>1.1110469999999999</v>
      </c>
      <c r="L4367">
        <v>141.3672</v>
      </c>
      <c r="M4367">
        <v>-0.99989620000000001</v>
      </c>
      <c r="N4367">
        <v>-1.3973620000000001E-2</v>
      </c>
      <c r="O4367">
        <v>-3.527564E-3</v>
      </c>
      <c r="P4367">
        <v>-0.90765370000000001</v>
      </c>
      <c r="Q4367">
        <v>0.38613920000000002</v>
      </c>
      <c r="R4367">
        <v>-0.1645036</v>
      </c>
      <c r="S4367">
        <v>-3.329285</v>
      </c>
      <c r="T4367">
        <v>-0.31828269999999997</v>
      </c>
      <c r="U4367">
        <v>-0.60516359999999902</v>
      </c>
      <c r="V4367">
        <v>-0.16144339999999999</v>
      </c>
      <c r="W4367">
        <v>0.39873500000000001</v>
      </c>
      <c r="X4367">
        <v>0.90274390000000004</v>
      </c>
      <c r="Y4367">
        <v>-0.17449249999999999</v>
      </c>
      <c r="Z4367">
        <v>-9.2019609999999998E-3</v>
      </c>
      <c r="AA4367">
        <v>0.98461549999999998</v>
      </c>
      <c r="AB4367">
        <v>36</v>
      </c>
      <c r="AC4367">
        <v>-11.2715999999999</v>
      </c>
      <c r="AD4367">
        <v>-1.1110503521199999</v>
      </c>
      <c r="AE4367">
        <v>-2.11119999999999</v>
      </c>
      <c r="AF4367">
        <v>-2.05215831794193</v>
      </c>
      <c r="AG4367">
        <v>-1.1110503521199999</v>
      </c>
      <c r="AH4367">
        <v>11.174088100251801</v>
      </c>
      <c r="AI4367">
        <v>95.585502001902299</v>
      </c>
      <c r="AJ4367">
        <v>100.40659421402999</v>
      </c>
      <c r="AK4367">
        <v>11.4151667319857</v>
      </c>
      <c r="AL4367">
        <v>66.500880493162299</v>
      </c>
      <c r="AM4367">
        <v>100.139379317679</v>
      </c>
      <c r="AN4367">
        <v>1.00000006030788</v>
      </c>
    </row>
    <row r="4368" spans="1:40" x14ac:dyDescent="0.25">
      <c r="A4368" t="str">
        <f>"20190304164458171"</f>
        <v>20190304164458171</v>
      </c>
      <c r="B4368" t="str">
        <f>"1551689098164914"</f>
        <v>1551689098164914</v>
      </c>
      <c r="C4368" t="s">
        <v>40</v>
      </c>
      <c r="D4368">
        <v>4.7728320000000002</v>
      </c>
      <c r="E4368">
        <v>0.5025809</v>
      </c>
      <c r="F4368" t="s">
        <v>42</v>
      </c>
      <c r="G4368">
        <v>-382.40980000000002</v>
      </c>
      <c r="H4368" s="1">
        <v>-3.3027530000000001E-6</v>
      </c>
      <c r="I4368">
        <v>139.25399999999999</v>
      </c>
      <c r="J4368">
        <v>-371.40019999999998</v>
      </c>
      <c r="K4368">
        <v>1.111051</v>
      </c>
      <c r="L4368">
        <v>141.3657</v>
      </c>
      <c r="M4368">
        <v>-0.9998956</v>
      </c>
      <c r="N4368">
        <v>-1.397144E-2</v>
      </c>
      <c r="O4368">
        <v>-3.7153920000000001E-3</v>
      </c>
      <c r="P4368">
        <v>-0.90746550000000004</v>
      </c>
      <c r="Q4368">
        <v>0.38639190000000001</v>
      </c>
      <c r="R4368">
        <v>-0.1649475</v>
      </c>
      <c r="S4368">
        <v>-3.3314210000000002</v>
      </c>
      <c r="T4368">
        <v>-0.32503759999999998</v>
      </c>
      <c r="U4368">
        <v>-0.61819460000000004</v>
      </c>
      <c r="V4368">
        <v>-0.16172320000000001</v>
      </c>
      <c r="W4368">
        <v>0.39898109999999998</v>
      </c>
      <c r="X4368">
        <v>0.90258499999999997</v>
      </c>
      <c r="Y4368">
        <v>-0.177871</v>
      </c>
      <c r="Z4368">
        <v>-9.533092E-3</v>
      </c>
      <c r="AA4368">
        <v>0.98400770000000004</v>
      </c>
      <c r="AB4368">
        <v>36</v>
      </c>
      <c r="AC4368">
        <v>-11.009600000000001</v>
      </c>
      <c r="AD4368">
        <v>-1.111054302753</v>
      </c>
      <c r="AE4368">
        <v>-2.1117000000000101</v>
      </c>
      <c r="AF4368">
        <v>-2.0506334135477999</v>
      </c>
      <c r="AG4368">
        <v>-1.111054302753</v>
      </c>
      <c r="AH4368">
        <v>10.9102014112398</v>
      </c>
      <c r="AI4368">
        <v>95.715345598047705</v>
      </c>
      <c r="AJ4368">
        <v>100.64487040439801</v>
      </c>
      <c r="AK4368">
        <v>11.1567035406631</v>
      </c>
      <c r="AL4368">
        <v>66.485502363421503</v>
      </c>
      <c r="AM4368">
        <v>100.15833734829</v>
      </c>
      <c r="AN4368">
        <v>0.99999999690022401</v>
      </c>
    </row>
    <row r="4369" spans="1:40" x14ac:dyDescent="0.25">
      <c r="A4369" t="str">
        <f>"20190304164458193"</f>
        <v>20190304164458193</v>
      </c>
      <c r="B4369" t="str">
        <f>"1551689098184434"</f>
        <v>1551689098184434</v>
      </c>
      <c r="C4369" t="s">
        <v>40</v>
      </c>
      <c r="D4369">
        <v>4.7899929999999999</v>
      </c>
      <c r="E4369">
        <v>0.50205739999999999</v>
      </c>
      <c r="F4369" t="s">
        <v>42</v>
      </c>
      <c r="G4369">
        <v>-382.59859999999998</v>
      </c>
      <c r="H4369" s="1">
        <v>-3.2203700000000001E-6</v>
      </c>
      <c r="I4369">
        <v>139.26179999999999</v>
      </c>
      <c r="J4369">
        <v>-371.75130000000001</v>
      </c>
      <c r="K4369">
        <v>1.111049</v>
      </c>
      <c r="L4369">
        <v>141.36420000000001</v>
      </c>
      <c r="M4369">
        <v>-0.99989490000000003</v>
      </c>
      <c r="N4369">
        <v>-1.3969399999999899E-2</v>
      </c>
      <c r="O4369">
        <v>-3.9035210000000001E-3</v>
      </c>
      <c r="P4369">
        <v>-0.90756630000000005</v>
      </c>
      <c r="Q4369">
        <v>0.38584200000000002</v>
      </c>
      <c r="R4369">
        <v>-0.16567889999999999</v>
      </c>
      <c r="S4369">
        <v>-3.3329469999999999</v>
      </c>
      <c r="T4369">
        <v>-0.33068380000000003</v>
      </c>
      <c r="U4369">
        <v>-0.62615969999999999</v>
      </c>
      <c r="V4369">
        <v>-0.16229180000000001</v>
      </c>
      <c r="W4369">
        <v>0.39842709999999998</v>
      </c>
      <c r="X4369">
        <v>0.90272770000000002</v>
      </c>
      <c r="Y4369">
        <v>-0.1798382</v>
      </c>
      <c r="Z4369">
        <v>-9.7644510000000004E-3</v>
      </c>
      <c r="AA4369">
        <v>0.98364779999999996</v>
      </c>
      <c r="AB4369">
        <v>36</v>
      </c>
      <c r="AC4369">
        <v>-10.847299999999899</v>
      </c>
      <c r="AD4369">
        <v>-1.11105222037</v>
      </c>
      <c r="AE4369">
        <v>-2.10240000000001</v>
      </c>
      <c r="AF4369">
        <v>-2.03941589066961</v>
      </c>
      <c r="AG4369">
        <v>-1.11105222037</v>
      </c>
      <c r="AH4369">
        <v>10.7467603879411</v>
      </c>
      <c r="AI4369">
        <v>95.799761003902503</v>
      </c>
      <c r="AJ4369">
        <v>100.745263997051</v>
      </c>
      <c r="AK4369">
        <v>10.994840292033601</v>
      </c>
      <c r="AL4369">
        <v>66.520115363750193</v>
      </c>
      <c r="AM4369">
        <v>100.191727746431</v>
      </c>
      <c r="AN4369">
        <v>1.0000000413544601</v>
      </c>
    </row>
    <row r="4370" spans="1:40" x14ac:dyDescent="0.25">
      <c r="A4370" t="str">
        <f>"20190304164458215"</f>
        <v>20190304164458215</v>
      </c>
      <c r="B4370" t="str">
        <f>"1551689098204930"</f>
        <v>1551689098204930</v>
      </c>
      <c r="C4370" t="s">
        <v>40</v>
      </c>
      <c r="D4370">
        <v>4.8084550000000004</v>
      </c>
      <c r="E4370">
        <v>0.50159140000000002</v>
      </c>
      <c r="F4370" t="s">
        <v>42</v>
      </c>
      <c r="G4370">
        <v>-382.70670000000001</v>
      </c>
      <c r="H4370" s="1">
        <v>-3.1712689999999998E-6</v>
      </c>
      <c r="I4370">
        <v>139.27699999999999</v>
      </c>
      <c r="J4370">
        <v>-372.0958</v>
      </c>
      <c r="K4370">
        <v>1.111048</v>
      </c>
      <c r="L4370">
        <v>141.36259999999999</v>
      </c>
      <c r="M4370">
        <v>-0.99989399999999995</v>
      </c>
      <c r="N4370">
        <v>-1.3967500000000001E-2</v>
      </c>
      <c r="O4370">
        <v>-4.1097479999999999E-3</v>
      </c>
      <c r="P4370">
        <v>-0.90775209999999995</v>
      </c>
      <c r="Q4370">
        <v>0.3848953</v>
      </c>
      <c r="R4370">
        <v>-0.16685829999999999</v>
      </c>
      <c r="S4370">
        <v>-3.3333439999999999</v>
      </c>
      <c r="T4370">
        <v>-0.3380533</v>
      </c>
      <c r="U4370">
        <v>-0.6350403</v>
      </c>
      <c r="V4370">
        <v>-0.16329659999999999</v>
      </c>
      <c r="W4370">
        <v>0.39747660000000001</v>
      </c>
      <c r="X4370">
        <v>0.90296549999999998</v>
      </c>
      <c r="Y4370">
        <v>-0.18209210000000001</v>
      </c>
      <c r="Z4370">
        <v>-1.005985E-2</v>
      </c>
      <c r="AA4370">
        <v>0.9832301</v>
      </c>
      <c r="AB4370">
        <v>36</v>
      </c>
      <c r="AC4370">
        <v>-10.610900000000001</v>
      </c>
      <c r="AD4370">
        <v>-1.1110511712690001</v>
      </c>
      <c r="AE4370">
        <v>-2.0855999999999701</v>
      </c>
      <c r="AF4370">
        <v>-2.0206400192424598</v>
      </c>
      <c r="AG4370">
        <v>-1.1110511712690001</v>
      </c>
      <c r="AH4370">
        <v>10.5084546868391</v>
      </c>
      <c r="AI4370">
        <v>95.927622007191601</v>
      </c>
      <c r="AJ4370">
        <v>100.884387919067</v>
      </c>
      <c r="AK4370">
        <v>10.7584869148916</v>
      </c>
      <c r="AL4370">
        <v>66.579478460355801</v>
      </c>
      <c r="AM4370">
        <v>100.250850288664</v>
      </c>
      <c r="AN4370">
        <v>1.0000000606546799</v>
      </c>
    </row>
    <row r="4371" spans="1:40" x14ac:dyDescent="0.25">
      <c r="A4371" t="str">
        <f>"20190304164458238"</f>
        <v>20190304164458238</v>
      </c>
      <c r="B4371" t="str">
        <f>"1551689098224451"</f>
        <v>1551689098224451</v>
      </c>
      <c r="C4371" t="s">
        <v>40</v>
      </c>
      <c r="D4371">
        <v>4.7826089999999999</v>
      </c>
      <c r="E4371">
        <v>0.50116090000000002</v>
      </c>
      <c r="F4371" t="s">
        <v>42</v>
      </c>
      <c r="G4371">
        <v>-382.8494</v>
      </c>
      <c r="H4371" s="1">
        <v>-3.107957E-6</v>
      </c>
      <c r="I4371">
        <v>139.28890000000001</v>
      </c>
      <c r="J4371">
        <v>-372.45620000000002</v>
      </c>
      <c r="K4371">
        <v>1.1110660000000001</v>
      </c>
      <c r="L4371">
        <v>141.36089999999999</v>
      </c>
      <c r="M4371">
        <v>-0.99989309999999998</v>
      </c>
      <c r="N4371">
        <v>-1.396557E-2</v>
      </c>
      <c r="O4371">
        <v>-4.3584330000000001E-3</v>
      </c>
      <c r="P4371">
        <v>-0.90774290000000002</v>
      </c>
      <c r="Q4371">
        <v>0.38415519999999997</v>
      </c>
      <c r="R4371">
        <v>-0.16860610000000001</v>
      </c>
      <c r="S4371">
        <v>-3.332703</v>
      </c>
      <c r="T4371">
        <v>-0.344335</v>
      </c>
      <c r="U4371">
        <v>-0.64265439999999996</v>
      </c>
      <c r="V4371">
        <v>-0.16484019999999999</v>
      </c>
      <c r="W4371">
        <v>0.3967251</v>
      </c>
      <c r="X4371">
        <v>0.90301540000000002</v>
      </c>
      <c r="Y4371">
        <v>-0.18400320000000001</v>
      </c>
      <c r="Z4371">
        <v>-1.0310100000000001E-2</v>
      </c>
      <c r="AA4371">
        <v>0.98287159999999996</v>
      </c>
      <c r="AB4371">
        <v>36</v>
      </c>
      <c r="AC4371">
        <v>-10.393199999999901</v>
      </c>
      <c r="AD4371">
        <v>-1.1110691079570001</v>
      </c>
      <c r="AE4371">
        <v>-2.0719999999999699</v>
      </c>
      <c r="AF4371">
        <v>-2.0046438041057</v>
      </c>
      <c r="AG4371">
        <v>-1.1110691079570001</v>
      </c>
      <c r="AH4371">
        <v>10.2890408700931</v>
      </c>
      <c r="AI4371">
        <v>96.0503436529049</v>
      </c>
      <c r="AJ4371">
        <v>101.02498602343699</v>
      </c>
      <c r="AK4371">
        <v>10.5412254207204</v>
      </c>
      <c r="AL4371">
        <v>66.626391229914006</v>
      </c>
      <c r="AM4371">
        <v>100.345106506127</v>
      </c>
      <c r="AN4371">
        <v>0.99999995457160396</v>
      </c>
    </row>
    <row r="4372" spans="1:40" x14ac:dyDescent="0.25">
      <c r="A4372" t="str">
        <f>"20190304164458260"</f>
        <v>20190304164458260</v>
      </c>
      <c r="B4372" t="str">
        <f>"1551689098254706"</f>
        <v>1551689098254706</v>
      </c>
      <c r="C4372" t="s">
        <v>40</v>
      </c>
      <c r="D4372">
        <v>4.7796430000000001</v>
      </c>
      <c r="E4372">
        <v>0.50047989999999998</v>
      </c>
      <c r="F4372" t="s">
        <v>42</v>
      </c>
      <c r="G4372">
        <v>-383.0077</v>
      </c>
      <c r="H4372" s="1">
        <v>-3.0389689999999998E-6</v>
      </c>
      <c r="I4372">
        <v>139.29499999999999</v>
      </c>
      <c r="J4372">
        <v>-372.82409999999999</v>
      </c>
      <c r="K4372">
        <v>1.1110930000000001</v>
      </c>
      <c r="L4372">
        <v>141.35900000000001</v>
      </c>
      <c r="M4372">
        <v>-0.9998918</v>
      </c>
      <c r="N4372">
        <v>-1.396358E-2</v>
      </c>
      <c r="O4372">
        <v>-4.643777E-3</v>
      </c>
      <c r="P4372">
        <v>-0.90732869999999999</v>
      </c>
      <c r="Q4372">
        <v>0.3843916</v>
      </c>
      <c r="R4372">
        <v>-0.17028789999999999</v>
      </c>
      <c r="S4372">
        <v>-3.3321839999999998</v>
      </c>
      <c r="T4372">
        <v>-0.35088160000000002</v>
      </c>
      <c r="U4372">
        <v>-0.65237429999999996</v>
      </c>
      <c r="V4372">
        <v>-0.166290299999999</v>
      </c>
      <c r="W4372">
        <v>0.3969435</v>
      </c>
      <c r="X4372">
        <v>0.9026535</v>
      </c>
      <c r="Y4372">
        <v>-0.18646199999999999</v>
      </c>
      <c r="Z4372">
        <v>-1.0598049999999999E-2</v>
      </c>
      <c r="AA4372">
        <v>0.98240499999999997</v>
      </c>
      <c r="AB4372">
        <v>36</v>
      </c>
      <c r="AC4372">
        <v>-10.1836</v>
      </c>
      <c r="AD4372">
        <v>-1.1110960389689899</v>
      </c>
      <c r="AE4372">
        <v>-2.06400000000002</v>
      </c>
      <c r="AF4372">
        <v>-1.99388371359286</v>
      </c>
      <c r="AG4372">
        <v>-1.1110960389689899</v>
      </c>
      <c r="AH4372">
        <v>10.0778408483823</v>
      </c>
      <c r="AI4372">
        <v>96.172825746573906</v>
      </c>
      <c r="AJ4372">
        <v>101.19134209600701</v>
      </c>
      <c r="AK4372">
        <v>10.333101317439301</v>
      </c>
      <c r="AL4372">
        <v>66.612758917350305</v>
      </c>
      <c r="AM4372">
        <v>100.438213502569</v>
      </c>
      <c r="AN4372">
        <v>0.99999997356429404</v>
      </c>
    </row>
    <row r="4373" spans="1:40" x14ac:dyDescent="0.25">
      <c r="A4373" t="str">
        <f>"20190304164458283"</f>
        <v>20190304164458283</v>
      </c>
      <c r="B4373" t="str">
        <f>"1551689098274226"</f>
        <v>1551689098274226</v>
      </c>
      <c r="C4373" t="s">
        <v>40</v>
      </c>
      <c r="D4373">
        <v>4.9235980000000001</v>
      </c>
      <c r="E4373">
        <v>0.50030920000000001</v>
      </c>
      <c r="F4373" t="s">
        <v>42</v>
      </c>
      <c r="G4373">
        <v>-383.28449999999998</v>
      </c>
      <c r="H4373" s="1">
        <v>-2.9224600000000001E-6</v>
      </c>
      <c r="I4373">
        <v>139.2824</v>
      </c>
      <c r="J4373">
        <v>-373.19240000000002</v>
      </c>
      <c r="K4373">
        <v>1.111124</v>
      </c>
      <c r="L4373">
        <v>141.357</v>
      </c>
      <c r="M4373">
        <v>-0.99989030000000001</v>
      </c>
      <c r="N4373">
        <v>-1.3961609999999999E-2</v>
      </c>
      <c r="O4373">
        <v>-4.9680490000000004E-3</v>
      </c>
      <c r="P4373">
        <v>-0.90698590000000001</v>
      </c>
      <c r="Q4373">
        <v>0.38433440000000002</v>
      </c>
      <c r="R4373">
        <v>-0.17223150000000001</v>
      </c>
      <c r="S4373">
        <v>-3.332214</v>
      </c>
      <c r="T4373">
        <v>-0.35394920000000002</v>
      </c>
      <c r="U4373">
        <v>-0.66149899999999995</v>
      </c>
      <c r="V4373">
        <v>-0.16796989999999901</v>
      </c>
      <c r="W4373">
        <v>0.39686739999999998</v>
      </c>
      <c r="X4373">
        <v>0.90237590000000001</v>
      </c>
      <c r="Y4373">
        <v>-0.1887008</v>
      </c>
      <c r="Z4373">
        <v>-1.07796E-2</v>
      </c>
      <c r="AA4373">
        <v>0.9819755</v>
      </c>
      <c r="AB4373">
        <v>36</v>
      </c>
      <c r="AC4373">
        <v>-10.092099999999901</v>
      </c>
      <c r="AD4373">
        <v>-1.11112692246</v>
      </c>
      <c r="AE4373">
        <v>-2.0746000000000002</v>
      </c>
      <c r="AF4373">
        <v>-2.0011574964605199</v>
      </c>
      <c r="AG4373">
        <v>-1.11112692246</v>
      </c>
      <c r="AH4373">
        <v>9.9861417974210696</v>
      </c>
      <c r="AI4373">
        <v>96.226224769735893</v>
      </c>
      <c r="AJ4373">
        <v>101.331607311685</v>
      </c>
      <c r="AK4373">
        <v>10.2451091922758</v>
      </c>
      <c r="AL4373">
        <v>66.617508562618099</v>
      </c>
      <c r="AM4373">
        <v>100.54446218344</v>
      </c>
      <c r="AN4373">
        <v>0.99999994269478798</v>
      </c>
    </row>
    <row r="4374" spans="1:40" x14ac:dyDescent="0.25">
      <c r="A4374" t="str">
        <f>"20190304164458305"</f>
        <v>20190304164458305</v>
      </c>
      <c r="B4374" t="str">
        <f>"1551689098294722"</f>
        <v>1551689098294722</v>
      </c>
      <c r="C4374" t="s">
        <v>40</v>
      </c>
      <c r="D4374">
        <v>4.9749910000000002</v>
      </c>
      <c r="E4374">
        <v>0.4607058</v>
      </c>
      <c r="F4374" t="s">
        <v>42</v>
      </c>
      <c r="G4374">
        <v>-383.62130000000002</v>
      </c>
      <c r="H4374" s="1">
        <v>-2.7807290000000001E-6</v>
      </c>
      <c r="I4374">
        <v>139.26679999999999</v>
      </c>
      <c r="J4374">
        <v>-373.53769999999997</v>
      </c>
      <c r="K4374">
        <v>1.111159</v>
      </c>
      <c r="L4374">
        <v>141.35489999999999</v>
      </c>
      <c r="M4374">
        <v>-0.99988849999999996</v>
      </c>
      <c r="N4374">
        <v>-1.395977E-2</v>
      </c>
      <c r="O4374">
        <v>-5.3176609999999996E-3</v>
      </c>
      <c r="P4374">
        <v>-0.90675030000000001</v>
      </c>
      <c r="Q4374">
        <v>0.38391540000000002</v>
      </c>
      <c r="R4374">
        <v>-0.17439360000000001</v>
      </c>
      <c r="S4374">
        <v>-3.331299</v>
      </c>
      <c r="T4374">
        <v>-0.35492960000000001</v>
      </c>
      <c r="U4374">
        <v>-0.66763309999999998</v>
      </c>
      <c r="V4374">
        <v>-0.1698479</v>
      </c>
      <c r="W4374">
        <v>0.3964297</v>
      </c>
      <c r="X4374">
        <v>0.90221689999999999</v>
      </c>
      <c r="Y4374">
        <v>-0.19013430000000001</v>
      </c>
      <c r="Z4374">
        <v>-1.085994E-2</v>
      </c>
      <c r="AA4374">
        <v>0.98169799999999996</v>
      </c>
      <c r="AB4374">
        <v>36</v>
      </c>
      <c r="AC4374">
        <v>-10.083600000000001</v>
      </c>
      <c r="AD4374">
        <v>-1.111161780729</v>
      </c>
      <c r="AE4374">
        <v>-2.0880999999999901</v>
      </c>
      <c r="AF4374">
        <v>-2.0110284151010198</v>
      </c>
      <c r="AG4374">
        <v>-1.111161780729</v>
      </c>
      <c r="AH4374">
        <v>9.9783777644501495</v>
      </c>
      <c r="AI4374">
        <v>96.229857779335205</v>
      </c>
      <c r="AJ4374">
        <v>101.394672755835</v>
      </c>
      <c r="AK4374">
        <v>10.239479410564201</v>
      </c>
      <c r="AL4374">
        <v>66.644831202745607</v>
      </c>
      <c r="AM4374">
        <v>100.661503575864</v>
      </c>
      <c r="AN4374">
        <v>1.0000000754110501</v>
      </c>
    </row>
    <row r="4375" spans="1:40" x14ac:dyDescent="0.25">
      <c r="A4375" t="str">
        <f>"20190304164458326"</f>
        <v>20190304164458326</v>
      </c>
      <c r="B4375" t="str">
        <f>"1551689098314242"</f>
        <v>1551689098314242</v>
      </c>
      <c r="C4375" t="s">
        <v>40</v>
      </c>
      <c r="D4375">
        <v>4.7620069999999997</v>
      </c>
      <c r="E4375">
        <v>0.45211820000000003</v>
      </c>
      <c r="F4375" t="s">
        <v>42</v>
      </c>
      <c r="G4375">
        <v>-385.24130000000002</v>
      </c>
      <c r="H4375" s="1">
        <v>-2.3408859999999999E-6</v>
      </c>
      <c r="I4375">
        <v>137.82839999999999</v>
      </c>
      <c r="J4375">
        <v>-373.89449999999999</v>
      </c>
      <c r="K4375">
        <v>1.111202</v>
      </c>
      <c r="L4375">
        <v>141.3526</v>
      </c>
      <c r="M4375">
        <v>-0.99988630000000001</v>
      </c>
      <c r="N4375">
        <v>-1.3957900000000001E-2</v>
      </c>
      <c r="O4375">
        <v>-5.7331070000000003E-3</v>
      </c>
      <c r="P4375">
        <v>-0.9065588</v>
      </c>
      <c r="Q4375">
        <v>0.38357750000000002</v>
      </c>
      <c r="R4375">
        <v>-0.17612429999999901</v>
      </c>
      <c r="S4375">
        <v>-3.2508240000000002</v>
      </c>
      <c r="T4375">
        <v>-0.30863889999999999</v>
      </c>
      <c r="U4375">
        <v>-0.97950740000000003</v>
      </c>
      <c r="V4375">
        <v>-0.17124300000000001</v>
      </c>
      <c r="W4375">
        <v>0.39606980000000003</v>
      </c>
      <c r="X4375">
        <v>0.9021112</v>
      </c>
      <c r="Y4375">
        <v>-0.28167690000000001</v>
      </c>
      <c r="Z4375">
        <v>-1.461372E-2</v>
      </c>
      <c r="AA4375">
        <v>0.95939799999999997</v>
      </c>
      <c r="AB4375">
        <v>36</v>
      </c>
      <c r="AC4375">
        <v>-11.3468</v>
      </c>
      <c r="AD4375">
        <v>-1.111204340886</v>
      </c>
      <c r="AE4375">
        <v>-3.5242</v>
      </c>
      <c r="AF4375">
        <v>-3.4290899884808299</v>
      </c>
      <c r="AG4375">
        <v>-1.111204340886</v>
      </c>
      <c r="AH4375">
        <v>11.268259604868099</v>
      </c>
      <c r="AI4375">
        <v>95.389446846816696</v>
      </c>
      <c r="AJ4375">
        <v>106.925743143598</v>
      </c>
      <c r="AK4375">
        <v>11.830769533678099</v>
      </c>
      <c r="AL4375">
        <v>66.667289384992998</v>
      </c>
      <c r="AM4375">
        <v>100.748273521353</v>
      </c>
      <c r="AN4375">
        <v>1.00000003434323</v>
      </c>
    </row>
    <row r="4376" spans="1:40" x14ac:dyDescent="0.25">
      <c r="A4376" t="str">
        <f>"20190304164458350"</f>
        <v>20190304164458350</v>
      </c>
      <c r="B4376" t="str">
        <f>"1551689098344499"</f>
        <v>1551689098344499</v>
      </c>
      <c r="C4376" t="s">
        <v>40</v>
      </c>
      <c r="D4376">
        <v>4.7379189999999998</v>
      </c>
      <c r="E4376">
        <v>0.44752380000000003</v>
      </c>
      <c r="F4376" t="s">
        <v>42</v>
      </c>
      <c r="G4376">
        <v>-386.22070000000002</v>
      </c>
      <c r="H4376" s="1">
        <v>-2.0075039999999999E-6</v>
      </c>
      <c r="I4376">
        <v>137.33920000000001</v>
      </c>
      <c r="J4376">
        <v>-374.25749999999999</v>
      </c>
      <c r="K4376">
        <v>1.1112599999999999</v>
      </c>
      <c r="L4376">
        <v>141.35</v>
      </c>
      <c r="M4376">
        <v>-0.99988319999999997</v>
      </c>
      <c r="N4376">
        <v>-1.3956059999999999E-2</v>
      </c>
      <c r="O4376">
        <v>-6.2154510000000003E-3</v>
      </c>
      <c r="P4376">
        <v>-0.90583809999999998</v>
      </c>
      <c r="Q4376">
        <v>0.38396550000000002</v>
      </c>
      <c r="R4376">
        <v>-0.1789636</v>
      </c>
      <c r="S4376">
        <v>-3.22818</v>
      </c>
      <c r="T4376">
        <v>-0.29102040000000001</v>
      </c>
      <c r="U4376">
        <v>-1.0510710000000001</v>
      </c>
      <c r="V4376">
        <v>-0.17369670000000001</v>
      </c>
      <c r="W4376">
        <v>0.39642480000000002</v>
      </c>
      <c r="X4376">
        <v>0.90148589999999995</v>
      </c>
      <c r="Y4376">
        <v>-0.30240020000000001</v>
      </c>
      <c r="Z4376">
        <v>-1.496981E-2</v>
      </c>
      <c r="AA4376">
        <v>0.95306349999999995</v>
      </c>
      <c r="AB4376">
        <v>36</v>
      </c>
      <c r="AC4376">
        <v>-11.963200000000001</v>
      </c>
      <c r="AD4376">
        <v>-1.1112620075040001</v>
      </c>
      <c r="AE4376">
        <v>-4.0107999999999802</v>
      </c>
      <c r="AF4376">
        <v>-3.9060604310843199</v>
      </c>
      <c r="AG4376">
        <v>-1.1112620075040001</v>
      </c>
      <c r="AH4376">
        <v>11.895629377091501</v>
      </c>
      <c r="AI4376">
        <v>95.072013263660807</v>
      </c>
      <c r="AJ4376">
        <v>108.178161728682</v>
      </c>
      <c r="AK4376">
        <v>12.569733872191801</v>
      </c>
      <c r="AL4376">
        <v>66.645135062269105</v>
      </c>
      <c r="AM4376">
        <v>100.90599828689901</v>
      </c>
      <c r="AN4376">
        <v>0.99999999677236895</v>
      </c>
    </row>
    <row r="4377" spans="1:40" x14ac:dyDescent="0.25">
      <c r="A4377" t="str">
        <f>"20190304164458383"</f>
        <v>20190304164458383</v>
      </c>
      <c r="B4377" t="str">
        <f>"1551689098374754"</f>
        <v>1551689098374754</v>
      </c>
      <c r="C4377" t="s">
        <v>40</v>
      </c>
      <c r="D4377">
        <v>4.6941610000000003</v>
      </c>
      <c r="E4377">
        <v>0.44562429999999997</v>
      </c>
      <c r="F4377" t="s">
        <v>42</v>
      </c>
      <c r="G4377">
        <v>-387.02170000000001</v>
      </c>
      <c r="H4377" s="1">
        <v>-1.725093E-6</v>
      </c>
      <c r="I4377">
        <v>136.99420000000001</v>
      </c>
      <c r="J4377">
        <v>-374.78519999999997</v>
      </c>
      <c r="K4377">
        <v>1.1113379999999999</v>
      </c>
      <c r="L4377">
        <v>141.3459</v>
      </c>
      <c r="M4377">
        <v>-0.99987800000000004</v>
      </c>
      <c r="N4377">
        <v>-1.3953510000000001E-2</v>
      </c>
      <c r="O4377">
        <v>-7.0308840000000003E-3</v>
      </c>
      <c r="P4377">
        <v>-0.90490879999999996</v>
      </c>
      <c r="Q4377">
        <v>0.38438</v>
      </c>
      <c r="R4377">
        <v>-0.18273610000000001</v>
      </c>
      <c r="S4377">
        <v>-3.2137449999999999</v>
      </c>
      <c r="T4377">
        <v>-0.27979359999999998</v>
      </c>
      <c r="U4377">
        <v>-1.096695</v>
      </c>
      <c r="V4377">
        <v>-0.176811</v>
      </c>
      <c r="W4377">
        <v>0.39678989999999997</v>
      </c>
      <c r="X4377">
        <v>0.90071950000000001</v>
      </c>
      <c r="Y4377">
        <v>-0.3150638</v>
      </c>
      <c r="Z4377">
        <v>-1.5078569999999999E-2</v>
      </c>
      <c r="AA4377">
        <v>0.94895070000000004</v>
      </c>
      <c r="AB4377">
        <v>36</v>
      </c>
      <c r="AC4377">
        <v>-12.236499999999999</v>
      </c>
      <c r="AD4377">
        <v>-1.1113397250929999</v>
      </c>
      <c r="AE4377">
        <v>-4.3516999999999904</v>
      </c>
      <c r="AF4377">
        <v>-4.2345433035046298</v>
      </c>
      <c r="AG4377">
        <v>-1.1113397250929999</v>
      </c>
      <c r="AH4377">
        <v>12.177626415991</v>
      </c>
      <c r="AI4377">
        <v>94.926606769502698</v>
      </c>
      <c r="AJ4377">
        <v>109.174169164163</v>
      </c>
      <c r="AK4377">
        <v>12.9406730157773</v>
      </c>
      <c r="AL4377">
        <v>66.6223472646885</v>
      </c>
      <c r="AM4377">
        <v>101.105932869491</v>
      </c>
      <c r="AN4377">
        <v>0.99999998607162899</v>
      </c>
    </row>
    <row r="4378" spans="1:40" x14ac:dyDescent="0.25">
      <c r="A4378" t="str">
        <f>"20190304164458404"</f>
        <v>20190304164458404</v>
      </c>
      <c r="B4378" t="str">
        <f>"1551689098394275"</f>
        <v>1551689098394275</v>
      </c>
      <c r="C4378" t="s">
        <v>40</v>
      </c>
      <c r="D4378">
        <v>4.7027830000000002</v>
      </c>
      <c r="E4378">
        <v>0.44493850000000001</v>
      </c>
      <c r="F4378" t="s">
        <v>42</v>
      </c>
      <c r="G4378">
        <v>-387.73360000000002</v>
      </c>
      <c r="H4378" s="1">
        <v>-1.502508E-6</v>
      </c>
      <c r="I4378">
        <v>136.81549999999999</v>
      </c>
      <c r="J4378">
        <v>-375.1275</v>
      </c>
      <c r="K4378">
        <v>1.111383</v>
      </c>
      <c r="L4378">
        <v>141.34289999999999</v>
      </c>
      <c r="M4378">
        <v>-0.99987360000000003</v>
      </c>
      <c r="N4378">
        <v>-1.395188E-2</v>
      </c>
      <c r="O4378">
        <v>-7.6228839999999999E-3</v>
      </c>
      <c r="P4378">
        <v>-0.90451579999999998</v>
      </c>
      <c r="Q4378">
        <v>0.38394800000000001</v>
      </c>
      <c r="R4378">
        <v>-0.18556729999999999</v>
      </c>
      <c r="S4378">
        <v>-3.2056269999999998</v>
      </c>
      <c r="T4378">
        <v>-0.27513470000000001</v>
      </c>
      <c r="U4378">
        <v>-1.121567</v>
      </c>
      <c r="V4378">
        <v>-0.17915429999999999</v>
      </c>
      <c r="W4378">
        <v>0.3963294</v>
      </c>
      <c r="X4378">
        <v>0.90045919999999902</v>
      </c>
      <c r="Y4378">
        <v>-0.32181470000000001</v>
      </c>
      <c r="Z4378">
        <v>-1.517259E-2</v>
      </c>
      <c r="AA4378">
        <v>0.94668110000000005</v>
      </c>
      <c r="AB4378">
        <v>36</v>
      </c>
      <c r="AC4378">
        <v>-12.6061</v>
      </c>
      <c r="AD4378">
        <v>-1.111384502508</v>
      </c>
      <c r="AE4378">
        <v>-4.5274000000000001</v>
      </c>
      <c r="AF4378">
        <v>-4.4008659934243699</v>
      </c>
      <c r="AG4378">
        <v>-1.111384502508</v>
      </c>
      <c r="AH4378">
        <v>12.553820708386899</v>
      </c>
      <c r="AI4378">
        <v>94.775673537799705</v>
      </c>
      <c r="AJ4378">
        <v>109.31861964623801</v>
      </c>
      <c r="AK4378">
        <v>13.3492026497022</v>
      </c>
      <c r="AL4378">
        <v>66.651089178600699</v>
      </c>
      <c r="AM4378">
        <v>101.252560224259</v>
      </c>
      <c r="AN4378">
        <v>1.0000000136887399</v>
      </c>
    </row>
    <row r="4379" spans="1:40" x14ac:dyDescent="0.25">
      <c r="A4379" t="str">
        <f>"20190304164458426"</f>
        <v>20190304164458426</v>
      </c>
      <c r="B4379" t="str">
        <f>"1551689098414770"</f>
        <v>1551689098414770</v>
      </c>
      <c r="C4379" t="s">
        <v>40</v>
      </c>
      <c r="D4379">
        <v>4.6970260000000001</v>
      </c>
      <c r="E4379">
        <v>0.44453280000000001</v>
      </c>
      <c r="F4379" t="s">
        <v>42</v>
      </c>
      <c r="G4379">
        <v>-388.04329999999999</v>
      </c>
      <c r="H4379" s="1">
        <v>-1.409638E-6</v>
      </c>
      <c r="I4379">
        <v>136.76849999999999</v>
      </c>
      <c r="J4379">
        <v>-375.48250000000002</v>
      </c>
      <c r="K4379">
        <v>1.1114170000000001</v>
      </c>
      <c r="L4379">
        <v>141.33949999999999</v>
      </c>
      <c r="M4379">
        <v>-0.99986850000000005</v>
      </c>
      <c r="N4379">
        <v>-1.395014E-2</v>
      </c>
      <c r="O4379">
        <v>-8.2834850000000002E-3</v>
      </c>
      <c r="P4379">
        <v>-0.903833</v>
      </c>
      <c r="Q4379">
        <v>0.38404050000000001</v>
      </c>
      <c r="R4379">
        <v>-0.18867709999999999</v>
      </c>
      <c r="S4379">
        <v>-3.2010190000000001</v>
      </c>
      <c r="T4379">
        <v>-0.27544489999999999</v>
      </c>
      <c r="U4379">
        <v>-1.1336980000000001</v>
      </c>
      <c r="V4379">
        <v>-0.18171390000000001</v>
      </c>
      <c r="W4379">
        <v>0.39639029999999997</v>
      </c>
      <c r="X4379">
        <v>0.89991929999999998</v>
      </c>
      <c r="Y4379">
        <v>-0.32479029999999998</v>
      </c>
      <c r="Z4379">
        <v>-1.529693E-2</v>
      </c>
      <c r="AA4379">
        <v>0.94566240000000001</v>
      </c>
      <c r="AB4379">
        <v>36</v>
      </c>
      <c r="AC4379">
        <v>-12.560799999999899</v>
      </c>
      <c r="AD4379">
        <v>-1.111418409638</v>
      </c>
      <c r="AE4379">
        <v>-4.57099999999999</v>
      </c>
      <c r="AF4379">
        <v>-4.4361159639023704</v>
      </c>
      <c r="AG4379">
        <v>-1.111418409638</v>
      </c>
      <c r="AH4379">
        <v>12.5117343823963</v>
      </c>
      <c r="AI4379">
        <v>94.785834917811201</v>
      </c>
      <c r="AJ4379">
        <v>109.522289259158</v>
      </c>
      <c r="AK4379">
        <v>13.3213315018473</v>
      </c>
      <c r="AL4379">
        <v>66.647287719070306</v>
      </c>
      <c r="AM4379">
        <v>101.41580440848099</v>
      </c>
      <c r="AN4379">
        <v>0.99999997894989401</v>
      </c>
    </row>
    <row r="4380" spans="1:40" x14ac:dyDescent="0.25">
      <c r="A4380" t="str">
        <f>"20190304164458449"</f>
        <v>20190304164458449</v>
      </c>
      <c r="B4380" t="str">
        <f>"1551689098445028"</f>
        <v>1551689098445028</v>
      </c>
      <c r="C4380" t="s">
        <v>40</v>
      </c>
      <c r="D4380">
        <v>4.6977699999999896</v>
      </c>
      <c r="E4380">
        <v>0.4440191</v>
      </c>
      <c r="F4380" t="s">
        <v>42</v>
      </c>
      <c r="G4380">
        <v>-388.38850000000002</v>
      </c>
      <c r="H4380" s="1">
        <v>-1.3069459999999999E-6</v>
      </c>
      <c r="I4380">
        <v>136.71289999999999</v>
      </c>
      <c r="J4380">
        <v>-375.85210000000001</v>
      </c>
      <c r="K4380">
        <v>1.1114580000000001</v>
      </c>
      <c r="L4380">
        <v>141.3357</v>
      </c>
      <c r="M4380">
        <v>-0.99986209999999998</v>
      </c>
      <c r="N4380">
        <v>-1.394837E-2</v>
      </c>
      <c r="O4380">
        <v>-9.0192689999999999E-3</v>
      </c>
      <c r="P4380">
        <v>-0.90317270000000005</v>
      </c>
      <c r="Q4380">
        <v>0.38410060000000001</v>
      </c>
      <c r="R4380">
        <v>-0.19169220000000001</v>
      </c>
      <c r="S4380">
        <v>-3.19693</v>
      </c>
      <c r="T4380">
        <v>-0.27530769999999999</v>
      </c>
      <c r="U4380">
        <v>-1.146042</v>
      </c>
      <c r="V4380">
        <v>-0.18410940000000001</v>
      </c>
      <c r="W4380">
        <v>0.39641999999999999</v>
      </c>
      <c r="X4380">
        <v>0.89941919999999898</v>
      </c>
      <c r="Y4380">
        <v>-0.32770379999999999</v>
      </c>
      <c r="Z4380">
        <v>-1.539018E-2</v>
      </c>
      <c r="AA4380">
        <v>0.94465509999999997</v>
      </c>
      <c r="AB4380">
        <v>36</v>
      </c>
      <c r="AC4380">
        <v>-12.5364</v>
      </c>
      <c r="AD4380">
        <v>-1.1114593069459999</v>
      </c>
      <c r="AE4380">
        <v>-4.6228000000000096</v>
      </c>
      <c r="AF4380">
        <v>-4.4785426916423097</v>
      </c>
      <c r="AG4380">
        <v>-1.1114593069459999</v>
      </c>
      <c r="AH4380">
        <v>12.491156299688299</v>
      </c>
      <c r="AI4380">
        <v>94.787853439340395</v>
      </c>
      <c r="AJ4380">
        <v>109.724639230243</v>
      </c>
      <c r="AK4380">
        <v>13.3162183871812</v>
      </c>
      <c r="AL4380">
        <v>66.645434518806198</v>
      </c>
      <c r="AM4380">
        <v>101.56852517557699</v>
      </c>
      <c r="AN4380">
        <v>0.99999999244849902</v>
      </c>
    </row>
    <row r="4381" spans="1:40" x14ac:dyDescent="0.25">
      <c r="A4381" t="str">
        <f>"20190304164458473"</f>
        <v>20190304164458473</v>
      </c>
      <c r="B4381" t="str">
        <f>"1551689098464546"</f>
        <v>1551689098464546</v>
      </c>
      <c r="C4381" t="s">
        <v>40</v>
      </c>
      <c r="D4381">
        <v>4.7012859999999996</v>
      </c>
      <c r="E4381">
        <v>0.44369249999999999</v>
      </c>
      <c r="F4381" t="s">
        <v>42</v>
      </c>
      <c r="G4381">
        <v>-388.7253</v>
      </c>
      <c r="H4381" s="1">
        <v>-1.2051680000000001E-6</v>
      </c>
      <c r="I4381">
        <v>136.66470000000001</v>
      </c>
      <c r="J4381">
        <v>-376.21800000000002</v>
      </c>
      <c r="K4381">
        <v>1.111499</v>
      </c>
      <c r="L4381">
        <v>141.33170000000001</v>
      </c>
      <c r="M4381">
        <v>-0.99985480000000004</v>
      </c>
      <c r="N4381">
        <v>-1.394655E-2</v>
      </c>
      <c r="O4381">
        <v>-9.7924440000000008E-3</v>
      </c>
      <c r="P4381">
        <v>-0.90230880000000002</v>
      </c>
      <c r="Q4381">
        <v>0.38429039999999998</v>
      </c>
      <c r="R4381">
        <v>-0.19534580000000001</v>
      </c>
      <c r="S4381">
        <v>-3.1929630000000002</v>
      </c>
      <c r="T4381">
        <v>-0.27567930000000002</v>
      </c>
      <c r="U4381">
        <v>-1.1585540000000001</v>
      </c>
      <c r="V4381">
        <v>-0.1871101</v>
      </c>
      <c r="W4381">
        <v>0.39657579999999998</v>
      </c>
      <c r="X4381">
        <v>0.89873099999999995</v>
      </c>
      <c r="Y4381">
        <v>-0.33060669999999998</v>
      </c>
      <c r="Z4381">
        <v>-1.550357E-2</v>
      </c>
      <c r="AA4381">
        <v>0.94364130000000002</v>
      </c>
      <c r="AB4381">
        <v>36</v>
      </c>
      <c r="AC4381">
        <v>-12.507299999999899</v>
      </c>
      <c r="AD4381">
        <v>-1.1115002051680001</v>
      </c>
      <c r="AE4381">
        <v>-4.6669999999999998</v>
      </c>
      <c r="AF4381">
        <v>-4.5130016664076802</v>
      </c>
      <c r="AG4381">
        <v>-1.1115002051680001</v>
      </c>
      <c r="AH4381">
        <v>12.465987752248701</v>
      </c>
      <c r="AI4381">
        <v>94.792341948376105</v>
      </c>
      <c r="AJ4381">
        <v>109.901532381696</v>
      </c>
      <c r="AK4381">
        <v>13.304265007368899</v>
      </c>
      <c r="AL4381">
        <v>66.635710595244902</v>
      </c>
      <c r="AM4381">
        <v>101.760619145771</v>
      </c>
      <c r="AN4381">
        <v>0.99999998251432398</v>
      </c>
    </row>
    <row r="4382" spans="1:40" x14ac:dyDescent="0.25">
      <c r="A4382" t="str">
        <f>"20190304164458493"</f>
        <v>20190304164458493</v>
      </c>
      <c r="B4382" t="str">
        <f>"1551689098485042"</f>
        <v>1551689098485042</v>
      </c>
      <c r="C4382" t="s">
        <v>40</v>
      </c>
      <c r="D4382">
        <v>4.6965019999999997</v>
      </c>
      <c r="E4382">
        <v>0.44390879999999999</v>
      </c>
      <c r="F4382" t="s">
        <v>42</v>
      </c>
      <c r="G4382">
        <v>-389.07029999999997</v>
      </c>
      <c r="H4382" s="1">
        <v>-1.1022640000000001E-6</v>
      </c>
      <c r="I4382">
        <v>136.61009999999999</v>
      </c>
      <c r="J4382">
        <v>-376.5532</v>
      </c>
      <c r="K4382">
        <v>1.1115360000000001</v>
      </c>
      <c r="L4382">
        <v>141.32769999999999</v>
      </c>
      <c r="M4382">
        <v>-0.99984729999999999</v>
      </c>
      <c r="N4382">
        <v>-1.394492E-2</v>
      </c>
      <c r="O4382">
        <v>-1.0542589999999999E-2</v>
      </c>
      <c r="P4382">
        <v>-0.90148090000000003</v>
      </c>
      <c r="Q4382">
        <v>0.38435390000000003</v>
      </c>
      <c r="R4382">
        <v>-0.1990085</v>
      </c>
      <c r="S4382">
        <v>-3.18866</v>
      </c>
      <c r="T4382">
        <v>-0.27576460000000003</v>
      </c>
      <c r="U4382">
        <v>-1.1714020000000001</v>
      </c>
      <c r="V4382">
        <v>-0.19014039999999999</v>
      </c>
      <c r="W4382">
        <v>0.39660649999999997</v>
      </c>
      <c r="X4382">
        <v>0.89808120000000002</v>
      </c>
      <c r="Y4382">
        <v>-0.333648</v>
      </c>
      <c r="Z4382">
        <v>-1.5613139999999999E-2</v>
      </c>
      <c r="AA4382">
        <v>0.94256839999999997</v>
      </c>
      <c r="AB4382">
        <v>36</v>
      </c>
      <c r="AC4382">
        <v>-12.5170999999999</v>
      </c>
      <c r="AD4382">
        <v>-1.1115371022639999</v>
      </c>
      <c r="AE4382">
        <v>-4.7176</v>
      </c>
      <c r="AF4382">
        <v>-4.5539180394135101</v>
      </c>
      <c r="AG4382">
        <v>-1.1115371022639999</v>
      </c>
      <c r="AH4382">
        <v>12.479972068808401</v>
      </c>
      <c r="AI4382">
        <v>94.782762198558103</v>
      </c>
      <c r="AJ4382">
        <v>110.046929690783</v>
      </c>
      <c r="AK4382">
        <v>13.3312935260477</v>
      </c>
      <c r="AL4382">
        <v>66.633794043187507</v>
      </c>
      <c r="AM4382">
        <v>101.954050165439</v>
      </c>
      <c r="AN4382">
        <v>0.99999996467392405</v>
      </c>
    </row>
    <row r="4383" spans="1:40" x14ac:dyDescent="0.25">
      <c r="A4383" t="str">
        <f>"20190304164458519"</f>
        <v>20190304164458519</v>
      </c>
      <c r="B4383" t="str">
        <f>"1551689098514322"</f>
        <v>1551689098514322</v>
      </c>
      <c r="C4383" t="s">
        <v>40</v>
      </c>
      <c r="D4383">
        <v>4.6770389999999997</v>
      </c>
      <c r="E4383">
        <v>0.44364510000000001</v>
      </c>
      <c r="F4383" t="s">
        <v>42</v>
      </c>
      <c r="G4383">
        <v>-389.29410000000001</v>
      </c>
      <c r="H4383" s="1">
        <v>-1.0288819999999999E-6</v>
      </c>
      <c r="I4383">
        <v>136.59970000000001</v>
      </c>
      <c r="J4383">
        <v>-376.92180000000002</v>
      </c>
      <c r="K4383">
        <v>1.11159599999999</v>
      </c>
      <c r="L4383">
        <v>141.3229</v>
      </c>
      <c r="M4383">
        <v>-0.99983759999999999</v>
      </c>
      <c r="N4383">
        <v>-1.3943240000000001E-2</v>
      </c>
      <c r="O4383">
        <v>-1.142406E-2</v>
      </c>
      <c r="P4383">
        <v>-0.90068919999999997</v>
      </c>
      <c r="Q4383">
        <v>0.38437159999999998</v>
      </c>
      <c r="R4383">
        <v>-0.2025277</v>
      </c>
      <c r="S4383">
        <v>-3.185425</v>
      </c>
      <c r="T4383">
        <v>-0.27790239999999999</v>
      </c>
      <c r="U4383">
        <v>-1.182053</v>
      </c>
      <c r="V4383">
        <v>-0.19291839999999999</v>
      </c>
      <c r="W4383">
        <v>0.39658719999999997</v>
      </c>
      <c r="X4383">
        <v>0.89749709999999905</v>
      </c>
      <c r="Y4383">
        <v>-0.3358738</v>
      </c>
      <c r="Z4383">
        <v>-1.5767840000000002E-2</v>
      </c>
      <c r="AA4383">
        <v>0.94177500000000003</v>
      </c>
      <c r="AB4383">
        <v>36</v>
      </c>
      <c r="AC4383">
        <v>-12.3722999999999</v>
      </c>
      <c r="AD4383">
        <v>-1.1115970288819901</v>
      </c>
      <c r="AE4383">
        <v>-4.7231999999999896</v>
      </c>
      <c r="AF4383">
        <v>-4.5494829407032098</v>
      </c>
      <c r="AG4383">
        <v>-1.1115970288819901</v>
      </c>
      <c r="AH4383">
        <v>12.3385253769572</v>
      </c>
      <c r="AI4383">
        <v>94.831643447187901</v>
      </c>
      <c r="AJ4383">
        <v>110.240028711815</v>
      </c>
      <c r="AK4383">
        <v>13.1974486723831</v>
      </c>
      <c r="AL4383">
        <v>66.6349990259436</v>
      </c>
      <c r="AM4383">
        <v>102.13122725534301</v>
      </c>
      <c r="AN4383">
        <v>0.99999998038540405</v>
      </c>
    </row>
    <row r="4384" spans="1:40" x14ac:dyDescent="0.25">
      <c r="A4384" t="str">
        <f>"20190304164458540"</f>
        <v>20190304164458540</v>
      </c>
      <c r="B4384" t="str">
        <f>"1551689098534818"</f>
        <v>1551689098534818</v>
      </c>
      <c r="C4384" t="s">
        <v>40</v>
      </c>
      <c r="D4384">
        <v>4.6827449999999997</v>
      </c>
      <c r="E4384">
        <v>0.443469</v>
      </c>
      <c r="F4384" t="s">
        <v>42</v>
      </c>
      <c r="G4384">
        <v>-389.6671</v>
      </c>
      <c r="H4384" s="1">
        <v>-9.2174169999999997E-7</v>
      </c>
      <c r="I4384">
        <v>136.52529999999999</v>
      </c>
      <c r="J4384">
        <v>-377.27760000000001</v>
      </c>
      <c r="K4384">
        <v>1.1116600000000001</v>
      </c>
      <c r="L4384">
        <v>141.31790000000001</v>
      </c>
      <c r="M4384">
        <v>-0.99982680000000002</v>
      </c>
      <c r="N4384">
        <v>-1.3941790000000001E-2</v>
      </c>
      <c r="O4384">
        <v>-1.2337249999999999E-2</v>
      </c>
      <c r="P4384">
        <v>-0.89964480000000002</v>
      </c>
      <c r="Q4384">
        <v>0.38530769999999998</v>
      </c>
      <c r="R4384">
        <v>-0.205371</v>
      </c>
      <c r="S4384">
        <v>-3.1800229999999998</v>
      </c>
      <c r="T4384">
        <v>-0.27735029999999999</v>
      </c>
      <c r="U4384">
        <v>-1.197006</v>
      </c>
      <c r="V4384">
        <v>-0.1950046</v>
      </c>
      <c r="W4384">
        <v>0.39748090000000003</v>
      </c>
      <c r="X4384">
        <v>0.89665049999999902</v>
      </c>
      <c r="Y4384">
        <v>-0.33940969999999998</v>
      </c>
      <c r="Z4384">
        <v>-1.586367E-2</v>
      </c>
      <c r="AA4384">
        <v>0.94050480000000003</v>
      </c>
      <c r="AB4384">
        <v>36</v>
      </c>
      <c r="AC4384">
        <v>-12.3894999999999</v>
      </c>
      <c r="AD4384">
        <v>-1.1116609217416999</v>
      </c>
      <c r="AE4384">
        <v>-4.7926000000000197</v>
      </c>
      <c r="AF4384">
        <v>-4.6071049583215302</v>
      </c>
      <c r="AG4384">
        <v>-1.1116609217416999</v>
      </c>
      <c r="AH4384">
        <v>12.361126602176499</v>
      </c>
      <c r="AI4384">
        <v>94.816892365877095</v>
      </c>
      <c r="AJ4384">
        <v>110.440884730771</v>
      </c>
      <c r="AK4384">
        <v>13.2385292603428</v>
      </c>
      <c r="AL4384">
        <v>66.579208202266102</v>
      </c>
      <c r="AM4384">
        <v>102.26969021757201</v>
      </c>
      <c r="AN4384">
        <v>0.99999998951810998</v>
      </c>
    </row>
    <row r="4385" spans="1:40" x14ac:dyDescent="0.25">
      <c r="A4385" t="str">
        <f>"20190304164458562"</f>
        <v>20190304164458562</v>
      </c>
      <c r="B4385" t="str">
        <f>"1551689098554338"</f>
        <v>1551689098554338</v>
      </c>
      <c r="C4385" t="s">
        <v>40</v>
      </c>
      <c r="D4385">
        <v>4.6876509999999998</v>
      </c>
      <c r="E4385">
        <v>0.44339030000000001</v>
      </c>
      <c r="F4385" t="s">
        <v>42</v>
      </c>
      <c r="G4385">
        <v>-390.1705</v>
      </c>
      <c r="H4385" s="1">
        <v>-4.7684010000000002E-6</v>
      </c>
      <c r="I4385">
        <v>136.40690000000001</v>
      </c>
      <c r="J4385">
        <v>-377.6377</v>
      </c>
      <c r="K4385">
        <v>1.1117220000000001</v>
      </c>
      <c r="L4385">
        <v>141.3125</v>
      </c>
      <c r="M4385">
        <v>-0.99981410000000004</v>
      </c>
      <c r="N4385">
        <v>-1.394043E-2</v>
      </c>
      <c r="O4385">
        <v>-1.3325399999999999E-2</v>
      </c>
      <c r="P4385">
        <v>-0.8987617</v>
      </c>
      <c r="Q4385">
        <v>0.38568010000000003</v>
      </c>
      <c r="R4385">
        <v>-0.2085149</v>
      </c>
      <c r="S4385">
        <v>-3.1757810000000002</v>
      </c>
      <c r="T4385">
        <v>-0.27382590000000001</v>
      </c>
      <c r="U4385">
        <v>-1.2096709999999999</v>
      </c>
      <c r="V4385">
        <v>-0.197327</v>
      </c>
      <c r="W4385">
        <v>0.39780949999999998</v>
      </c>
      <c r="X4385">
        <v>0.89599649999999997</v>
      </c>
      <c r="Y4385">
        <v>-0.34219379999999999</v>
      </c>
      <c r="Z4385">
        <v>-1.577166E-2</v>
      </c>
      <c r="AA4385">
        <v>0.93949709999999997</v>
      </c>
      <c r="AB4385">
        <v>35</v>
      </c>
      <c r="AC4385">
        <v>-12.5328</v>
      </c>
      <c r="AD4385">
        <v>-1.1117267684009999</v>
      </c>
      <c r="AE4385">
        <v>-4.90559999999999</v>
      </c>
      <c r="AF4385">
        <v>-4.70603312206923</v>
      </c>
      <c r="AG4385">
        <v>-1.1117267684009999</v>
      </c>
      <c r="AH4385">
        <v>12.5116920412969</v>
      </c>
      <c r="AI4385">
        <v>94.754154121417898</v>
      </c>
      <c r="AJ4385">
        <v>110.612827887853</v>
      </c>
      <c r="AK4385">
        <v>13.4136170323237</v>
      </c>
      <c r="AL4385">
        <v>66.558689905589205</v>
      </c>
      <c r="AM4385">
        <v>102.420090697894</v>
      </c>
      <c r="AN4385">
        <v>1.0000000356157399</v>
      </c>
    </row>
    <row r="4386" spans="1:40" x14ac:dyDescent="0.25">
      <c r="A4386" t="str">
        <f>"20190304164458583"</f>
        <v>20190304164458583</v>
      </c>
      <c r="B4386" t="str">
        <f>"1551689098574835"</f>
        <v>1551689098574835</v>
      </c>
      <c r="C4386" t="s">
        <v>40</v>
      </c>
      <c r="D4386">
        <v>4.7032109999999996</v>
      </c>
      <c r="E4386">
        <v>0.44332290000000002</v>
      </c>
      <c r="F4386" t="s">
        <v>42</v>
      </c>
      <c r="G4386">
        <v>-390.63170000000002</v>
      </c>
      <c r="H4386" s="1">
        <v>-4.5898139999999996E-6</v>
      </c>
      <c r="I4386">
        <v>136.29820000000001</v>
      </c>
      <c r="J4386">
        <v>-377.96980000000002</v>
      </c>
      <c r="K4386">
        <v>1.111796</v>
      </c>
      <c r="L4386">
        <v>141.30709999999999</v>
      </c>
      <c r="M4386">
        <v>-0.99980040000000003</v>
      </c>
      <c r="N4386">
        <v>-1.393935E-2</v>
      </c>
      <c r="O4386">
        <v>-1.431821E-2</v>
      </c>
      <c r="P4386">
        <v>-0.89810809999999996</v>
      </c>
      <c r="Q4386">
        <v>0.38586160000000003</v>
      </c>
      <c r="R4386">
        <v>-0.21098149999999999</v>
      </c>
      <c r="S4386">
        <v>-3.1705019999999999</v>
      </c>
      <c r="T4386">
        <v>-0.271258</v>
      </c>
      <c r="U4386">
        <v>-1.223465</v>
      </c>
      <c r="V4386">
        <v>-0.1989707</v>
      </c>
      <c r="W4386">
        <v>0.39794950000000001</v>
      </c>
      <c r="X4386">
        <v>0.89557070000000005</v>
      </c>
      <c r="Y4386">
        <v>-0.34535310000000002</v>
      </c>
      <c r="Z4386">
        <v>-1.5745680000000001E-2</v>
      </c>
      <c r="AA4386">
        <v>0.93834070000000003</v>
      </c>
      <c r="AB4386">
        <v>35</v>
      </c>
      <c r="AC4386">
        <v>-12.661899999999999</v>
      </c>
      <c r="AD4386">
        <v>-1.111800589814</v>
      </c>
      <c r="AE4386">
        <v>-5.0088999999999801</v>
      </c>
      <c r="AF4386">
        <v>-4.7951053248827904</v>
      </c>
      <c r="AG4386">
        <v>-1.111800589814</v>
      </c>
      <c r="AH4386">
        <v>12.648006128122599</v>
      </c>
      <c r="AI4386">
        <v>94.698835489964495</v>
      </c>
      <c r="AJ4386">
        <v>110.76269310369899</v>
      </c>
      <c r="AK4386">
        <v>13.572074073083201</v>
      </c>
      <c r="AL4386">
        <v>66.549946028852801</v>
      </c>
      <c r="AM4386">
        <v>102.526063525297</v>
      </c>
      <c r="AN4386">
        <v>1.0000000113536101</v>
      </c>
    </row>
    <row r="4387" spans="1:40" x14ac:dyDescent="0.25">
      <c r="A4387" t="str">
        <f>"20190304164458606"</f>
        <v>20190304164458606</v>
      </c>
      <c r="B4387" t="str">
        <f>"1551689098594354"</f>
        <v>1551689098594354</v>
      </c>
      <c r="C4387" t="s">
        <v>40</v>
      </c>
      <c r="D4387">
        <v>4.7173879999999997</v>
      </c>
      <c r="E4387">
        <v>0.44320710000000002</v>
      </c>
      <c r="F4387" t="s">
        <v>42</v>
      </c>
      <c r="G4387">
        <v>-391.00549999999998</v>
      </c>
      <c r="H4387" s="1">
        <v>-4.4427639999999999E-6</v>
      </c>
      <c r="I4387">
        <v>136.22319999999999</v>
      </c>
      <c r="J4387">
        <v>-378.32240000000002</v>
      </c>
      <c r="K4387">
        <v>1.1118870000000001</v>
      </c>
      <c r="L4387">
        <v>141.30090000000001</v>
      </c>
      <c r="M4387">
        <v>-0.99978299999999998</v>
      </c>
      <c r="N4387">
        <v>-1.393869E-2</v>
      </c>
      <c r="O4387">
        <v>-1.5491990000000001E-2</v>
      </c>
      <c r="P4387">
        <v>-0.89725699999999997</v>
      </c>
      <c r="Q4387">
        <v>0.3860112</v>
      </c>
      <c r="R4387">
        <v>-0.21430189999999999</v>
      </c>
      <c r="S4387">
        <v>-3.16629</v>
      </c>
      <c r="T4387">
        <v>-0.2700495</v>
      </c>
      <c r="U4387">
        <v>-1.2348330000000001</v>
      </c>
      <c r="V4387">
        <v>-0.2013335</v>
      </c>
      <c r="W4387">
        <v>0.3980418</v>
      </c>
      <c r="X4387">
        <v>0.89500149999999901</v>
      </c>
      <c r="Y4387">
        <v>-0.3476011</v>
      </c>
      <c r="Z4387">
        <v>-1.572511E-2</v>
      </c>
      <c r="AA4387">
        <v>0.93751070000000003</v>
      </c>
      <c r="AB4387">
        <v>35</v>
      </c>
      <c r="AC4387">
        <v>-12.6830999999999</v>
      </c>
      <c r="AD4387">
        <v>-1.1118914427640001</v>
      </c>
      <c r="AE4387">
        <v>-5.0777000000000196</v>
      </c>
      <c r="AF4387">
        <v>-4.8484694589017998</v>
      </c>
      <c r="AG4387">
        <v>-1.1118914427640001</v>
      </c>
      <c r="AH4387">
        <v>12.676283118836499</v>
      </c>
      <c r="AI4387">
        <v>94.683562450670294</v>
      </c>
      <c r="AJ4387">
        <v>110.93102909750399</v>
      </c>
      <c r="AK4387">
        <v>13.617346010999899</v>
      </c>
      <c r="AL4387">
        <v>66.5441828269295</v>
      </c>
      <c r="AM4387">
        <v>102.677834190262</v>
      </c>
      <c r="AN4387">
        <v>1.0000000688858599</v>
      </c>
    </row>
    <row r="4388" spans="1:40" x14ac:dyDescent="0.25">
      <c r="A4388" t="str">
        <f>"20190304164458628"</f>
        <v>20190304164458628</v>
      </c>
      <c r="B4388" t="str">
        <f>"1551689098624611"</f>
        <v>1551689098624611</v>
      </c>
      <c r="C4388" t="s">
        <v>40</v>
      </c>
      <c r="D4388">
        <v>4.7307329999999999</v>
      </c>
      <c r="E4388">
        <v>0.44310329999999898</v>
      </c>
      <c r="F4388" t="s">
        <v>42</v>
      </c>
      <c r="G4388">
        <v>-391.35359999999997</v>
      </c>
      <c r="H4388" s="1">
        <v>-4.3057960000000002E-6</v>
      </c>
      <c r="I4388">
        <v>136.1534</v>
      </c>
      <c r="J4388">
        <v>-378.6748</v>
      </c>
      <c r="K4388">
        <v>1.1120099999999999</v>
      </c>
      <c r="L4388">
        <v>141.29419999999999</v>
      </c>
      <c r="M4388">
        <v>-0.99976140000000002</v>
      </c>
      <c r="N4388">
        <v>-1.393868E-2</v>
      </c>
      <c r="O4388">
        <v>-1.6821329999999999E-2</v>
      </c>
      <c r="P4388">
        <v>-0.89614740000000004</v>
      </c>
      <c r="Q4388">
        <v>0.38670949999999998</v>
      </c>
      <c r="R4388">
        <v>-0.21765989999999999</v>
      </c>
      <c r="S4388">
        <v>-3.1613159999999998</v>
      </c>
      <c r="T4388">
        <v>-0.26974019999999999</v>
      </c>
      <c r="U4388">
        <v>-1.2487490000000001</v>
      </c>
      <c r="V4388">
        <v>-0.203628</v>
      </c>
      <c r="W4388">
        <v>0.39866499999999999</v>
      </c>
      <c r="X4388">
        <v>0.89420460000000002</v>
      </c>
      <c r="Y4388">
        <v>-0.35042180000000001</v>
      </c>
      <c r="Z4388">
        <v>-1.5766200000000001E-2</v>
      </c>
      <c r="AA4388">
        <v>0.93645929999999999</v>
      </c>
      <c r="AB4388">
        <v>35</v>
      </c>
      <c r="AC4388">
        <v>-12.678799999999899</v>
      </c>
      <c r="AD4388">
        <v>-1.1120143057959999</v>
      </c>
      <c r="AE4388">
        <v>-5.1407999999999801</v>
      </c>
      <c r="AF4388">
        <v>-4.8944430856284802</v>
      </c>
      <c r="AG4388">
        <v>-1.1120143057959999</v>
      </c>
      <c r="AH4388">
        <v>12.679722512387499</v>
      </c>
      <c r="AI4388">
        <v>94.677318512909295</v>
      </c>
      <c r="AJ4388">
        <v>111.106864349033</v>
      </c>
      <c r="AK4388">
        <v>13.6369905743861</v>
      </c>
      <c r="AL4388">
        <v>66.505252466507898</v>
      </c>
      <c r="AM4388">
        <v>102.82861532319799</v>
      </c>
      <c r="AN4388">
        <v>1.00000000563508</v>
      </c>
    </row>
    <row r="4389" spans="1:40" x14ac:dyDescent="0.25">
      <c r="A4389" t="str">
        <f>"20190304164458650"</f>
        <v>20190304164458650</v>
      </c>
      <c r="B4389" t="str">
        <f>"1551689098645107"</f>
        <v>1551689098645107</v>
      </c>
      <c r="C4389" t="s">
        <v>40</v>
      </c>
      <c r="D4389">
        <v>4.7393419999999997</v>
      </c>
      <c r="E4389">
        <v>0.44301049999999997</v>
      </c>
      <c r="F4389" t="s">
        <v>42</v>
      </c>
      <c r="G4389">
        <v>-391.76029999999997</v>
      </c>
      <c r="H4389" s="1">
        <v>-4.1470479999999999E-6</v>
      </c>
      <c r="I4389">
        <v>136.06479999999999</v>
      </c>
      <c r="J4389">
        <v>-379.04109999999997</v>
      </c>
      <c r="K4389">
        <v>1.1121639999999999</v>
      </c>
      <c r="L4389">
        <v>141.28649999999999</v>
      </c>
      <c r="M4389">
        <v>-0.9997336</v>
      </c>
      <c r="N4389">
        <v>-1.393933E-2</v>
      </c>
      <c r="O4389">
        <v>-1.8401440000000002E-2</v>
      </c>
      <c r="P4389">
        <v>-0.89510100000000004</v>
      </c>
      <c r="Q4389">
        <v>0.38704070000000002</v>
      </c>
      <c r="R4389">
        <v>-0.22134670000000001</v>
      </c>
      <c r="S4389">
        <v>-3.1569820000000002</v>
      </c>
      <c r="T4389">
        <v>-0.26828289999999999</v>
      </c>
      <c r="U4389">
        <v>-1.2615970000000001</v>
      </c>
      <c r="V4389">
        <v>-0.20606150000000001</v>
      </c>
      <c r="W4389">
        <v>0.3989047</v>
      </c>
      <c r="X4389">
        <v>0.89354</v>
      </c>
      <c r="Y4389">
        <v>-0.35267799999999999</v>
      </c>
      <c r="Z4389">
        <v>-1.5706000000000001E-2</v>
      </c>
      <c r="AA4389">
        <v>0.93561289999999997</v>
      </c>
      <c r="AB4389">
        <v>35</v>
      </c>
      <c r="AC4389">
        <v>-12.719200000000001</v>
      </c>
      <c r="AD4389">
        <v>-1.1121681470479901</v>
      </c>
      <c r="AE4389">
        <v>-5.2216999999999896</v>
      </c>
      <c r="AF4389">
        <v>-4.9543251736818803</v>
      </c>
      <c r="AG4389">
        <v>-1.1121681470479901</v>
      </c>
      <c r="AH4389">
        <v>12.7298505502359</v>
      </c>
      <c r="AI4389">
        <v>94.654648130430203</v>
      </c>
      <c r="AJ4389">
        <v>111.265469018913</v>
      </c>
      <c r="AK4389">
        <v>13.7051578227041</v>
      </c>
      <c r="AL4389">
        <v>66.490276585824702</v>
      </c>
      <c r="AM4389">
        <v>102.98609094408999</v>
      </c>
      <c r="AN4389">
        <v>1.0000000165321601</v>
      </c>
    </row>
    <row r="4390" spans="1:40" x14ac:dyDescent="0.25">
      <c r="A4390" t="str">
        <f>"20190304164458672"</f>
        <v>20190304164458672</v>
      </c>
      <c r="B4390" t="str">
        <f>"1551689098664628"</f>
        <v>1551689098664628</v>
      </c>
      <c r="C4390" t="s">
        <v>40</v>
      </c>
      <c r="D4390">
        <v>4.745851</v>
      </c>
      <c r="E4390">
        <v>0.44300200000000001</v>
      </c>
      <c r="F4390" t="s">
        <v>42</v>
      </c>
      <c r="G4390">
        <v>-392.12720000000002</v>
      </c>
      <c r="H4390" s="1">
        <v>-4.0030109999999997E-6</v>
      </c>
      <c r="I4390">
        <v>135.9896</v>
      </c>
      <c r="J4390">
        <v>-379.37689999999998</v>
      </c>
      <c r="K4390">
        <v>1.1123259999999999</v>
      </c>
      <c r="L4390">
        <v>141.27869999999999</v>
      </c>
      <c r="M4390">
        <v>-0.99970139999999996</v>
      </c>
      <c r="N4390">
        <v>-1.394139E-2</v>
      </c>
      <c r="O4390">
        <v>-2.0066480000000001E-2</v>
      </c>
      <c r="P4390">
        <v>-0.89399450000000003</v>
      </c>
      <c r="Q4390">
        <v>0.38739970000000001</v>
      </c>
      <c r="R4390">
        <v>-0.22515660000000001</v>
      </c>
      <c r="S4390">
        <v>-3.1519170000000001</v>
      </c>
      <c r="T4390">
        <v>-0.26787699999999998</v>
      </c>
      <c r="U4390">
        <v>-1.275803</v>
      </c>
      <c r="V4390">
        <v>-0.20856050000000001</v>
      </c>
      <c r="W4390">
        <v>0.39916259999999998</v>
      </c>
      <c r="X4390">
        <v>0.89284470000000005</v>
      </c>
      <c r="Y4390">
        <v>-0.35526229999999998</v>
      </c>
      <c r="Z4390">
        <v>-1.57086E-2</v>
      </c>
      <c r="AA4390">
        <v>0.93463459999999998</v>
      </c>
      <c r="AB4390">
        <v>35</v>
      </c>
      <c r="AC4390">
        <v>-12.750299999999999</v>
      </c>
      <c r="AD4390">
        <v>-1.1123300030109999</v>
      </c>
      <c r="AE4390">
        <v>-5.2890999999999897</v>
      </c>
      <c r="AF4390">
        <v>-4.9996914405823603</v>
      </c>
      <c r="AG4390">
        <v>-1.1123300030109999</v>
      </c>
      <c r="AH4390">
        <v>12.7709495989403</v>
      </c>
      <c r="AI4390">
        <v>94.636808696834294</v>
      </c>
      <c r="AJ4390">
        <v>111.379816673557</v>
      </c>
      <c r="AK4390">
        <v>13.759772752313401</v>
      </c>
      <c r="AL4390">
        <v>66.474160030120203</v>
      </c>
      <c r="AM4390">
        <v>103.148023279618</v>
      </c>
      <c r="AN4390">
        <v>0.99999996085854903</v>
      </c>
    </row>
    <row r="4391" spans="1:40" x14ac:dyDescent="0.25">
      <c r="A4391" t="str">
        <f>"20190304164458695"</f>
        <v>20190304164458695</v>
      </c>
      <c r="B4391" t="str">
        <f>"1551689098684146"</f>
        <v>1551689098684146</v>
      </c>
      <c r="C4391" t="s">
        <v>40</v>
      </c>
      <c r="D4391">
        <v>4.8135240000000001</v>
      </c>
      <c r="E4391">
        <v>0.44292189999999998</v>
      </c>
      <c r="F4391" t="s">
        <v>42</v>
      </c>
      <c r="G4391">
        <v>-392.43029999999999</v>
      </c>
      <c r="H4391" s="1">
        <v>-3.8819720000000003E-6</v>
      </c>
      <c r="I4391">
        <v>135.93889999999999</v>
      </c>
      <c r="J4391">
        <v>-379.72460000000001</v>
      </c>
      <c r="K4391">
        <v>1.1125229999999999</v>
      </c>
      <c r="L4391">
        <v>141.26990000000001</v>
      </c>
      <c r="M4391">
        <v>-0.99965979999999999</v>
      </c>
      <c r="N4391">
        <v>-1.394478E-2</v>
      </c>
      <c r="O4391">
        <v>-2.2039940000000001E-2</v>
      </c>
      <c r="P4391">
        <v>-0.89240929999999996</v>
      </c>
      <c r="Q4391">
        <v>0.38813639999999999</v>
      </c>
      <c r="R4391">
        <v>-0.23012150000000001</v>
      </c>
      <c r="S4391">
        <v>-3.147675</v>
      </c>
      <c r="T4391">
        <v>-0.2682252</v>
      </c>
      <c r="U4391">
        <v>-1.287628</v>
      </c>
      <c r="V4391">
        <v>-0.211982</v>
      </c>
      <c r="W4391">
        <v>0.39977370000000001</v>
      </c>
      <c r="X4391">
        <v>0.89176489999999997</v>
      </c>
      <c r="Y4391">
        <v>-0.35686190000000001</v>
      </c>
      <c r="Z4391">
        <v>-1.5677389999999999E-2</v>
      </c>
      <c r="AA4391">
        <v>0.93402560000000001</v>
      </c>
      <c r="AB4391">
        <v>35</v>
      </c>
      <c r="AC4391">
        <v>-12.705699999999901</v>
      </c>
      <c r="AD4391">
        <v>-1.112526881972</v>
      </c>
      <c r="AE4391">
        <v>-5.3310000000000102</v>
      </c>
      <c r="AF4391">
        <v>-5.0169378122606298</v>
      </c>
      <c r="AG4391">
        <v>-1.112526881972</v>
      </c>
      <c r="AH4391">
        <v>12.737082661747399</v>
      </c>
      <c r="AI4391">
        <v>94.646132191158102</v>
      </c>
      <c r="AJ4391">
        <v>111.49870528580399</v>
      </c>
      <c r="AK4391">
        <v>13.734651644923</v>
      </c>
      <c r="AL4391">
        <v>66.435968068678505</v>
      </c>
      <c r="AM4391">
        <v>103.371641969705</v>
      </c>
      <c r="AN4391">
        <v>1.00000000820385</v>
      </c>
    </row>
    <row r="4392" spans="1:40" x14ac:dyDescent="0.25">
      <c r="A4392" t="str">
        <f>"20190304164458717"</f>
        <v>20190304164458717</v>
      </c>
      <c r="B4392" t="str">
        <f>"1551689098714402"</f>
        <v>1551689098714402</v>
      </c>
      <c r="C4392" t="s">
        <v>40</v>
      </c>
      <c r="D4392">
        <v>4.7596189999999998</v>
      </c>
      <c r="E4392">
        <v>0.41478310000000002</v>
      </c>
      <c r="F4392" t="s">
        <v>42</v>
      </c>
      <c r="G4392">
        <v>-392.82470000000001</v>
      </c>
      <c r="H4392" s="1">
        <v>-3.7303040000000002E-6</v>
      </c>
      <c r="I4392">
        <v>135.84010000000001</v>
      </c>
      <c r="J4392">
        <v>-380.08390000000003</v>
      </c>
      <c r="K4392">
        <v>1.112749</v>
      </c>
      <c r="L4392">
        <v>141.25970000000001</v>
      </c>
      <c r="M4392">
        <v>-0.99960590000000005</v>
      </c>
      <c r="N4392">
        <v>-1.394976E-2</v>
      </c>
      <c r="O4392">
        <v>-2.4365629999999999E-2</v>
      </c>
      <c r="P4392">
        <v>-0.89082629999999996</v>
      </c>
      <c r="Q4392">
        <v>0.3890554</v>
      </c>
      <c r="R4392">
        <v>-0.2346587</v>
      </c>
      <c r="S4392">
        <v>-3.1418759999999999</v>
      </c>
      <c r="T4392">
        <v>-0.26682499999999998</v>
      </c>
      <c r="U4392">
        <v>-1.3022309999999999</v>
      </c>
      <c r="V4392">
        <v>-0.21468499999999999</v>
      </c>
      <c r="W4392">
        <v>0.400559</v>
      </c>
      <c r="X4392">
        <v>0.89076529999999998</v>
      </c>
      <c r="Y4392">
        <v>-0.35901110000000003</v>
      </c>
      <c r="Z4392">
        <v>-1.5570199999999999E-2</v>
      </c>
      <c r="AA4392">
        <v>0.93320340000000002</v>
      </c>
      <c r="AB4392">
        <v>35</v>
      </c>
      <c r="AC4392">
        <v>-12.740799999999901</v>
      </c>
      <c r="AD4392">
        <v>-1.1127527303039999</v>
      </c>
      <c r="AE4392">
        <v>-5.4196</v>
      </c>
      <c r="AF4392">
        <v>-5.0747443762952704</v>
      </c>
      <c r="AG4392">
        <v>-1.1127527303039999</v>
      </c>
      <c r="AH4392">
        <v>12.786491683102099</v>
      </c>
      <c r="AI4392">
        <v>94.624468646672398</v>
      </c>
      <c r="AJ4392">
        <v>111.64729886968399</v>
      </c>
      <c r="AK4392">
        <v>13.8016527519561</v>
      </c>
      <c r="AL4392">
        <v>66.386870849479095</v>
      </c>
      <c r="AM4392">
        <v>103.550538373759</v>
      </c>
      <c r="AN4392">
        <v>0.99999999069504497</v>
      </c>
    </row>
    <row r="4393" spans="1:40" x14ac:dyDescent="0.25">
      <c r="A4393" t="str">
        <f>"20190304164458740"</f>
        <v>20190304164458740</v>
      </c>
      <c r="B4393" t="str">
        <f>"1551689098734899"</f>
        <v>1551689098734899</v>
      </c>
      <c r="C4393" t="s">
        <v>40</v>
      </c>
      <c r="D4393">
        <v>4.778543</v>
      </c>
      <c r="E4393">
        <v>0.41441840000000002</v>
      </c>
      <c r="F4393" t="s">
        <v>41</v>
      </c>
      <c r="G4393">
        <v>-381.05509999999998</v>
      </c>
      <c r="H4393">
        <v>1.0265340000000001</v>
      </c>
      <c r="I4393">
        <v>140.77690000000001</v>
      </c>
      <c r="J4393">
        <v>-380.44229999999999</v>
      </c>
      <c r="K4393">
        <v>1.112954</v>
      </c>
      <c r="L4393">
        <v>141.2484</v>
      </c>
      <c r="M4393">
        <v>-0.9995404</v>
      </c>
      <c r="N4393">
        <v>-1.3954680000000001E-2</v>
      </c>
      <c r="O4393">
        <v>-2.6914049999999998E-2</v>
      </c>
      <c r="P4393">
        <v>-0.88952609999999999</v>
      </c>
      <c r="Q4393">
        <v>0.38944970000000001</v>
      </c>
      <c r="R4393">
        <v>-0.238899</v>
      </c>
      <c r="S4393">
        <v>-3.083313</v>
      </c>
      <c r="T4393">
        <v>-0.27368369999999997</v>
      </c>
      <c r="U4393">
        <v>-1.533234</v>
      </c>
      <c r="V4393">
        <v>-0.21687409999999999</v>
      </c>
      <c r="W4393">
        <v>0.40083210000000002</v>
      </c>
      <c r="X4393">
        <v>0.89011189999999996</v>
      </c>
      <c r="Y4393">
        <v>-0.41948659999999999</v>
      </c>
      <c r="Z4393">
        <v>-1.8760289999999999E-2</v>
      </c>
      <c r="AA4393">
        <v>0.90756769999999998</v>
      </c>
      <c r="AB4393">
        <v>35</v>
      </c>
      <c r="AC4393">
        <v>-0.61279999999999202</v>
      </c>
      <c r="AD4393">
        <v>-8.64199999999999E-2</v>
      </c>
      <c r="AE4393">
        <v>-0.47149999999999098</v>
      </c>
      <c r="AF4393">
        <v>-0.44922275450842197</v>
      </c>
      <c r="AG4393">
        <v>-8.64199999999999E-2</v>
      </c>
      <c r="AH4393">
        <v>0.61755443430214296</v>
      </c>
      <c r="AI4393">
        <v>96.456451424816194</v>
      </c>
      <c r="AJ4393">
        <v>126.032971331239</v>
      </c>
      <c r="AK4393">
        <v>0.76853300442751005</v>
      </c>
      <c r="AL4393">
        <v>66.369791897518795</v>
      </c>
      <c r="AM4393">
        <v>103.693207496428</v>
      </c>
      <c r="AN4393">
        <v>0.99999997108141403</v>
      </c>
    </row>
    <row r="4394" spans="1:40" x14ac:dyDescent="0.25">
      <c r="A4394" t="str">
        <f>"20190304164458763"</f>
        <v>20190304164458763</v>
      </c>
      <c r="B4394" t="str">
        <f>"1551689098754419"</f>
        <v>1551689098754419</v>
      </c>
      <c r="C4394" t="s">
        <v>40</v>
      </c>
      <c r="D4394">
        <v>4.7687559999999998</v>
      </c>
      <c r="E4394">
        <v>0.414408</v>
      </c>
      <c r="F4394" t="s">
        <v>41</v>
      </c>
      <c r="G4394">
        <v>-381.37150000000003</v>
      </c>
      <c r="H4394">
        <v>1.0274529999999999</v>
      </c>
      <c r="I4394">
        <v>140.78149999999999</v>
      </c>
      <c r="J4394">
        <v>-380.79899999999998</v>
      </c>
      <c r="K4394">
        <v>1.1131420000000001</v>
      </c>
      <c r="L4394">
        <v>141.2362</v>
      </c>
      <c r="M4394">
        <v>-0.99946230000000003</v>
      </c>
      <c r="N4394">
        <v>-1.3959020000000001E-2</v>
      </c>
      <c r="O4394">
        <v>-2.9670350000000002E-2</v>
      </c>
      <c r="P4394">
        <v>-0.88860899999999998</v>
      </c>
      <c r="Q4394">
        <v>0.38871099999999997</v>
      </c>
      <c r="R4394">
        <v>-0.2434711</v>
      </c>
      <c r="S4394">
        <v>-3.080902</v>
      </c>
      <c r="T4394">
        <v>-0.28349999999999997</v>
      </c>
      <c r="U4394">
        <v>-1.5482640000000001</v>
      </c>
      <c r="V4394">
        <v>-0.21918070000000001</v>
      </c>
      <c r="W4394">
        <v>0.39998309999999998</v>
      </c>
      <c r="X4394">
        <v>0.88992879999999996</v>
      </c>
      <c r="Y4394">
        <v>-0.42071350000000002</v>
      </c>
      <c r="Z4394">
        <v>-1.9167050000000001E-2</v>
      </c>
      <c r="AA4394">
        <v>0.90699110000000005</v>
      </c>
      <c r="AB4394">
        <v>35</v>
      </c>
      <c r="AC4394">
        <v>-0.57249999999999002</v>
      </c>
      <c r="AD4394">
        <v>-8.5688999999999904E-2</v>
      </c>
      <c r="AE4394">
        <v>-0.45470000000000199</v>
      </c>
      <c r="AF4394">
        <v>-0.43158313512882901</v>
      </c>
      <c r="AG4394">
        <v>-8.5688999999999904E-2</v>
      </c>
      <c r="AH4394">
        <v>0.57780297499951805</v>
      </c>
      <c r="AI4394">
        <v>96.775861871998501</v>
      </c>
      <c r="AJ4394">
        <v>126.757459821281</v>
      </c>
      <c r="AK4394">
        <v>0.726266400962431</v>
      </c>
      <c r="AL4394">
        <v>66.422877125443094</v>
      </c>
      <c r="AM4394">
        <v>103.836014352319</v>
      </c>
      <c r="AN4394">
        <v>0.99999996430376903</v>
      </c>
    </row>
    <row r="4395" spans="1:40" x14ac:dyDescent="0.25">
      <c r="A4395" t="str">
        <f>"20190304164458784"</f>
        <v>20190304164458784</v>
      </c>
      <c r="B4395" t="str">
        <f>"1551689098774914"</f>
        <v>1551689098774914</v>
      </c>
      <c r="C4395" t="s">
        <v>40</v>
      </c>
      <c r="D4395">
        <v>4.7847350000000004</v>
      </c>
      <c r="E4395">
        <v>0.41457680000000002</v>
      </c>
      <c r="F4395" t="s">
        <v>41</v>
      </c>
      <c r="G4395">
        <v>-381.6884</v>
      </c>
      <c r="H4395">
        <v>1.027925</v>
      </c>
      <c r="I4395">
        <v>140.78469999999999</v>
      </c>
      <c r="J4395">
        <v>-381.13080000000002</v>
      </c>
      <c r="K4395">
        <v>1.113313</v>
      </c>
      <c r="L4395">
        <v>141.22370000000001</v>
      </c>
      <c r="M4395">
        <v>-0.99937659999999995</v>
      </c>
      <c r="N4395">
        <v>-1.3963039999999999E-2</v>
      </c>
      <c r="O4395">
        <v>-3.2425629999999997E-2</v>
      </c>
      <c r="P4395">
        <v>-0.88778559999999995</v>
      </c>
      <c r="Q4395">
        <v>0.38740219999999997</v>
      </c>
      <c r="R4395">
        <v>-0.24850800000000001</v>
      </c>
      <c r="S4395">
        <v>-3.0772710000000001</v>
      </c>
      <c r="T4395">
        <v>-0.29481960000000001</v>
      </c>
      <c r="U4395">
        <v>-1.5613859999999999</v>
      </c>
      <c r="V4395">
        <v>-0.2219266</v>
      </c>
      <c r="W4395">
        <v>0.39857320000000002</v>
      </c>
      <c r="X4395">
        <v>0.88988089999999997</v>
      </c>
      <c r="Y4395">
        <v>-0.4216104</v>
      </c>
      <c r="Z4395">
        <v>-1.963266E-2</v>
      </c>
      <c r="AA4395">
        <v>0.9065645</v>
      </c>
      <c r="AB4395">
        <v>35</v>
      </c>
      <c r="AC4395">
        <v>-0.557599999999979</v>
      </c>
      <c r="AD4395">
        <v>-8.5388000000000006E-2</v>
      </c>
      <c r="AE4395">
        <v>-0.43900000000002098</v>
      </c>
      <c r="AF4395">
        <v>-0.41468349579307501</v>
      </c>
      <c r="AG4395">
        <v>-8.5388000000000006E-2</v>
      </c>
      <c r="AH4395">
        <v>0.56338689277661402</v>
      </c>
      <c r="AI4395">
        <v>96.959194717860797</v>
      </c>
      <c r="AJ4395">
        <v>126.35509619877099</v>
      </c>
      <c r="AK4395">
        <v>0.70473988334679505</v>
      </c>
      <c r="AL4395">
        <v>66.510987768446398</v>
      </c>
      <c r="AM4395">
        <v>104.003295881093</v>
      </c>
      <c r="AN4395">
        <v>1.0000000138653</v>
      </c>
    </row>
    <row r="4396" spans="1:40" x14ac:dyDescent="0.25">
      <c r="A4396" t="str">
        <f>"20190304164458807"</f>
        <v>20190304164458807</v>
      </c>
      <c r="B4396" t="str">
        <f>"1551689098794435"</f>
        <v>1551689098794435</v>
      </c>
      <c r="C4396" t="s">
        <v>40</v>
      </c>
      <c r="D4396">
        <v>4.8181929999999999</v>
      </c>
      <c r="E4396">
        <v>0.41478559999999998</v>
      </c>
      <c r="F4396" t="s">
        <v>41</v>
      </c>
      <c r="G4396">
        <v>-382.02420000000001</v>
      </c>
      <c r="H4396">
        <v>1.024527</v>
      </c>
      <c r="I4396">
        <v>140.7663</v>
      </c>
      <c r="J4396">
        <v>-381.47579999999999</v>
      </c>
      <c r="K4396">
        <v>1.1134820000000001</v>
      </c>
      <c r="L4396">
        <v>141.2097</v>
      </c>
      <c r="M4396">
        <v>-0.99927330000000003</v>
      </c>
      <c r="N4396">
        <v>-1.396731E-2</v>
      </c>
      <c r="O4396">
        <v>-3.5465910000000003E-2</v>
      </c>
      <c r="P4396">
        <v>-0.88648719999999903</v>
      </c>
      <c r="Q4396">
        <v>0.38680029999999999</v>
      </c>
      <c r="R4396">
        <v>-0.25401950000000001</v>
      </c>
      <c r="S4396">
        <v>-3.071869</v>
      </c>
      <c r="T4396">
        <v>-0.30527929999999998</v>
      </c>
      <c r="U4396">
        <v>-1.5736540000000001</v>
      </c>
      <c r="V4396">
        <v>-0.22491330000000001</v>
      </c>
      <c r="W4396">
        <v>0.39786149999999998</v>
      </c>
      <c r="X4396">
        <v>0.88944939999999995</v>
      </c>
      <c r="Y4396">
        <v>-0.42226170000000002</v>
      </c>
      <c r="Z4396">
        <v>-2.0009559999999999E-2</v>
      </c>
      <c r="AA4396">
        <v>0.90625310000000003</v>
      </c>
      <c r="AB4396">
        <v>35</v>
      </c>
      <c r="AC4396">
        <v>-0.54840000000001499</v>
      </c>
      <c r="AD4396">
        <v>-8.8954999999999895E-2</v>
      </c>
      <c r="AE4396">
        <v>-0.44339999999999602</v>
      </c>
      <c r="AF4396">
        <v>-0.41703439693862998</v>
      </c>
      <c r="AG4396">
        <v>-8.8954999999999895E-2</v>
      </c>
      <c r="AH4396">
        <v>0.554952510607998</v>
      </c>
      <c r="AI4396">
        <v>97.302282833124806</v>
      </c>
      <c r="AJ4396">
        <v>126.92404284994799</v>
      </c>
      <c r="AK4396">
        <v>0.69985924962458501</v>
      </c>
      <c r="AL4396">
        <v>66.555441597193095</v>
      </c>
      <c r="AM4396">
        <v>104.190797509311</v>
      </c>
      <c r="AN4396">
        <v>1.00000000042975</v>
      </c>
    </row>
    <row r="4397" spans="1:40" x14ac:dyDescent="0.25">
      <c r="A4397" t="str">
        <f>"20190304164458830"</f>
        <v>20190304164458830</v>
      </c>
      <c r="B4397" t="str">
        <f>"1551689098824691"</f>
        <v>1551689098824691</v>
      </c>
      <c r="C4397" t="s">
        <v>40</v>
      </c>
      <c r="D4397">
        <v>4.7941180000000001</v>
      </c>
      <c r="E4397">
        <v>0.41491990000000001</v>
      </c>
      <c r="F4397" t="s">
        <v>41</v>
      </c>
      <c r="G4397">
        <v>-382.38549999999998</v>
      </c>
      <c r="H4397">
        <v>1.0209170000000001</v>
      </c>
      <c r="I4397">
        <v>140.73840000000001</v>
      </c>
      <c r="J4397">
        <v>-381.8494</v>
      </c>
      <c r="K4397">
        <v>1.1136509999999999</v>
      </c>
      <c r="L4397">
        <v>141.19309999999999</v>
      </c>
      <c r="M4397">
        <v>-0.99914429999999999</v>
      </c>
      <c r="N4397">
        <v>-1.3972109999999999E-2</v>
      </c>
      <c r="O4397">
        <v>-3.8932710000000002E-2</v>
      </c>
      <c r="P4397">
        <v>-0.88462730000000001</v>
      </c>
      <c r="Q4397">
        <v>0.38745390000000002</v>
      </c>
      <c r="R4397">
        <v>-0.25945030000000002</v>
      </c>
      <c r="S4397">
        <v>-3.0653380000000001</v>
      </c>
      <c r="T4397">
        <v>-0.31190069999999998</v>
      </c>
      <c r="U4397">
        <v>-1.5874330000000001</v>
      </c>
      <c r="V4397">
        <v>-0.2274776</v>
      </c>
      <c r="W4397">
        <v>0.39839649999999999</v>
      </c>
      <c r="X4397">
        <v>0.88855740000000005</v>
      </c>
      <c r="Y4397">
        <v>-0.42305280000000001</v>
      </c>
      <c r="Z4397">
        <v>-2.014384E-2</v>
      </c>
      <c r="AA4397">
        <v>0.90588109999999999</v>
      </c>
      <c r="AB4397">
        <v>35</v>
      </c>
      <c r="AC4397">
        <v>-0.53609999999997604</v>
      </c>
      <c r="AD4397">
        <v>-9.2733999999999803E-2</v>
      </c>
      <c r="AE4397">
        <v>-0.45469999999997401</v>
      </c>
      <c r="AF4397">
        <v>-0.42606666043469998</v>
      </c>
      <c r="AG4397">
        <v>-9.2733999999999803E-2</v>
      </c>
      <c r="AH4397">
        <v>0.54393205648726195</v>
      </c>
      <c r="AI4397">
        <v>97.644254652913801</v>
      </c>
      <c r="AJ4397">
        <v>128.07190381820399</v>
      </c>
      <c r="AK4397">
        <v>0.69713304036205304</v>
      </c>
      <c r="AL4397">
        <v>66.522026876175005</v>
      </c>
      <c r="AM4397">
        <v>104.359754441601</v>
      </c>
      <c r="AN4397">
        <v>1.0000000414043799</v>
      </c>
    </row>
    <row r="4398" spans="1:40" x14ac:dyDescent="0.25">
      <c r="A4398" t="str">
        <f>"20190304164458852"</f>
        <v>20190304164458852</v>
      </c>
      <c r="B4398" t="str">
        <f>"1551689098844211"</f>
        <v>1551689098844211</v>
      </c>
      <c r="C4398" t="s">
        <v>40</v>
      </c>
      <c r="D4398">
        <v>4.8181469999999997</v>
      </c>
      <c r="E4398">
        <v>0.41472310000000001</v>
      </c>
      <c r="F4398" t="s">
        <v>42</v>
      </c>
      <c r="G4398">
        <v>-392.76960000000003</v>
      </c>
      <c r="H4398" s="1">
        <v>-3.820949E-6</v>
      </c>
      <c r="I4398">
        <v>135.4624</v>
      </c>
      <c r="J4398">
        <v>-382.1866</v>
      </c>
      <c r="K4398">
        <v>1.1137919999999999</v>
      </c>
      <c r="L4398">
        <v>141.17689999999999</v>
      </c>
      <c r="M4398">
        <v>-0.99901130000000005</v>
      </c>
      <c r="N4398">
        <v>-1.3976260000000001E-2</v>
      </c>
      <c r="O4398">
        <v>-4.2203659999999997E-2</v>
      </c>
      <c r="P4398">
        <v>-0.88308869999999895</v>
      </c>
      <c r="Q4398">
        <v>0.3875672</v>
      </c>
      <c r="R4398">
        <v>-0.26447379999999998</v>
      </c>
      <c r="S4398">
        <v>-3.057312</v>
      </c>
      <c r="T4398">
        <v>-0.31179030000000002</v>
      </c>
      <c r="U4398">
        <v>-1.6044160000000001</v>
      </c>
      <c r="V4398">
        <v>-0.22977520000000001</v>
      </c>
      <c r="W4398">
        <v>0.39840920000000002</v>
      </c>
      <c r="X4398">
        <v>0.88796030000000004</v>
      </c>
      <c r="Y4398">
        <v>-0.42501250000000002</v>
      </c>
      <c r="Z4398">
        <v>-2.0001519999999998E-2</v>
      </c>
      <c r="AA4398">
        <v>0.90496650000000001</v>
      </c>
      <c r="AB4398">
        <v>35</v>
      </c>
      <c r="AC4398">
        <v>-10.583</v>
      </c>
      <c r="AD4398">
        <v>-1.113795820949</v>
      </c>
      <c r="AE4398">
        <v>-5.7144999999999797</v>
      </c>
      <c r="AF4398">
        <v>-5.2179741048361796</v>
      </c>
      <c r="AG4398">
        <v>-1.113795820949</v>
      </c>
      <c r="AH4398">
        <v>10.722808316640499</v>
      </c>
      <c r="AI4398">
        <v>95.335944894117205</v>
      </c>
      <c r="AJ4398">
        <v>115.948658601867</v>
      </c>
      <c r="AK4398">
        <v>11.976911667242099</v>
      </c>
      <c r="AL4398">
        <v>66.521232852370005</v>
      </c>
      <c r="AM4398">
        <v>104.508046714293</v>
      </c>
      <c r="AN4398">
        <v>1.0000000137778799</v>
      </c>
    </row>
    <row r="4399" spans="1:40" x14ac:dyDescent="0.25">
      <c r="A4399" t="str">
        <f>"20190304164458873"</f>
        <v>20190304164458873</v>
      </c>
      <c r="B4399" t="str">
        <f>"1551689098864707"</f>
        <v>1551689098864707</v>
      </c>
      <c r="C4399" t="s">
        <v>40</v>
      </c>
      <c r="D4399">
        <v>4.8357809999999999</v>
      </c>
      <c r="E4399">
        <v>0.41488900000000001</v>
      </c>
      <c r="F4399" t="s">
        <v>42</v>
      </c>
      <c r="G4399">
        <v>-393.18349999999998</v>
      </c>
      <c r="H4399" s="1">
        <v>-3.6671969999999999E-6</v>
      </c>
      <c r="I4399">
        <v>135.328</v>
      </c>
      <c r="J4399">
        <v>-382.51609999999999</v>
      </c>
      <c r="K4399">
        <v>1.1139239999999999</v>
      </c>
      <c r="L4399">
        <v>141.15989999999999</v>
      </c>
      <c r="M4399">
        <v>-0.99886549999999996</v>
      </c>
      <c r="N4399">
        <v>-1.398025E-2</v>
      </c>
      <c r="O4399">
        <v>-4.5521440000000003E-2</v>
      </c>
      <c r="P4399">
        <v>-0.88141539999999996</v>
      </c>
      <c r="Q4399">
        <v>0.38796160000000002</v>
      </c>
      <c r="R4399">
        <v>-0.26943080000000003</v>
      </c>
      <c r="S4399">
        <v>-3.0472109999999999</v>
      </c>
      <c r="T4399">
        <v>-0.30862840000000002</v>
      </c>
      <c r="U4399">
        <v>-1.6206969999999901</v>
      </c>
      <c r="V4399">
        <v>-0.2319668</v>
      </c>
      <c r="W4399">
        <v>0.39870739999999999</v>
      </c>
      <c r="X4399">
        <v>0.8872563</v>
      </c>
      <c r="Y4399">
        <v>-0.42704920000000002</v>
      </c>
      <c r="Z4399">
        <v>-1.9712750000000001E-2</v>
      </c>
      <c r="AA4399">
        <v>0.90401350000000003</v>
      </c>
      <c r="AB4399">
        <v>35</v>
      </c>
      <c r="AC4399">
        <v>-10.667399999999899</v>
      </c>
      <c r="AD4399">
        <v>-1.113927667197</v>
      </c>
      <c r="AE4399">
        <v>-5.8318999999999903</v>
      </c>
      <c r="AF4399">
        <v>-5.2957519426901403</v>
      </c>
      <c r="AG4399">
        <v>-1.113927667197</v>
      </c>
      <c r="AH4399">
        <v>10.830915321390799</v>
      </c>
      <c r="AI4399">
        <v>95.278801054336995</v>
      </c>
      <c r="AJ4399">
        <v>116.05621830291599</v>
      </c>
      <c r="AK4399">
        <v>12.107623639071001</v>
      </c>
      <c r="AL4399">
        <v>66.502602467557594</v>
      </c>
      <c r="AM4399">
        <v>104.651622633004</v>
      </c>
      <c r="AN4399">
        <v>0.99999996450334405</v>
      </c>
    </row>
    <row r="4400" spans="1:40" x14ac:dyDescent="0.25">
      <c r="A4400" t="str">
        <f>"20190304164458896"</f>
        <v>20190304164458896</v>
      </c>
      <c r="B4400" t="str">
        <f>"1551689098884227"</f>
        <v>1551689098884227</v>
      </c>
      <c r="C4400" t="s">
        <v>40</v>
      </c>
      <c r="D4400">
        <v>4.8297129999999999</v>
      </c>
      <c r="E4400">
        <v>0.41505880000000001</v>
      </c>
      <c r="F4400" t="s">
        <v>42</v>
      </c>
      <c r="G4400">
        <v>-393.46949999999998</v>
      </c>
      <c r="H4400" s="1">
        <v>-3.5552139999999998E-6</v>
      </c>
      <c r="I4400">
        <v>135.26759999999999</v>
      </c>
      <c r="J4400">
        <v>-382.86509999999998</v>
      </c>
      <c r="K4400">
        <v>1.114047</v>
      </c>
      <c r="L4400">
        <v>141.1405</v>
      </c>
      <c r="M4400">
        <v>-0.99869319999999895</v>
      </c>
      <c r="N4400">
        <v>-1.398433E-2</v>
      </c>
      <c r="O4400">
        <v>-4.9157090000000001E-2</v>
      </c>
      <c r="P4400">
        <v>-0.88002259999999999</v>
      </c>
      <c r="Q4400">
        <v>0.38771919999999999</v>
      </c>
      <c r="R4400">
        <v>-0.27428920000000001</v>
      </c>
      <c r="S4400">
        <v>-3.039825</v>
      </c>
      <c r="T4400">
        <v>-0.3091412</v>
      </c>
      <c r="U4400">
        <v>-1.6352390000000001</v>
      </c>
      <c r="V4400">
        <v>-0.23375979999999999</v>
      </c>
      <c r="W4400">
        <v>0.39837860000000003</v>
      </c>
      <c r="X4400">
        <v>0.88693339999999998</v>
      </c>
      <c r="Y4400">
        <v>-0.42802960000000001</v>
      </c>
      <c r="Z4400">
        <v>-1.9519189999999999E-2</v>
      </c>
      <c r="AA4400">
        <v>0.90355390000000002</v>
      </c>
      <c r="AB4400">
        <v>35</v>
      </c>
      <c r="AC4400">
        <v>-10.604399999999901</v>
      </c>
      <c r="AD4400">
        <v>-1.1140505552140001</v>
      </c>
      <c r="AE4400">
        <v>-5.8729000000000102</v>
      </c>
      <c r="AF4400">
        <v>-5.2997042908430503</v>
      </c>
      <c r="AG4400">
        <v>-1.1140505552140001</v>
      </c>
      <c r="AH4400">
        <v>10.7891736536144</v>
      </c>
      <c r="AI4400">
        <v>95.294989320189103</v>
      </c>
      <c r="AJ4400">
        <v>116.160536845773</v>
      </c>
      <c r="AK4400">
        <v>12.072043834322301</v>
      </c>
      <c r="AL4400">
        <v>66.5231441173934</v>
      </c>
      <c r="AM4400">
        <v>104.765085316384</v>
      </c>
      <c r="AN4400">
        <v>1.0000000045347801</v>
      </c>
    </row>
    <row r="4401" spans="1:40" x14ac:dyDescent="0.25">
      <c r="A4401" t="str">
        <f>"20190304164458920"</f>
        <v>20190304164458920</v>
      </c>
      <c r="B4401" t="str">
        <f>"1551689098914483"</f>
        <v>1551689098914483</v>
      </c>
      <c r="C4401" t="s">
        <v>40</v>
      </c>
      <c r="D4401">
        <v>4.9288559999999997</v>
      </c>
      <c r="E4401">
        <v>0.4149582</v>
      </c>
      <c r="F4401" t="s">
        <v>41</v>
      </c>
      <c r="G4401">
        <v>-383.84410000000003</v>
      </c>
      <c r="H4401">
        <v>1.013509</v>
      </c>
      <c r="I4401">
        <v>140.6079</v>
      </c>
      <c r="J4401">
        <v>-383.23309999999998</v>
      </c>
      <c r="K4401">
        <v>1.114168</v>
      </c>
      <c r="L4401">
        <v>141.11850000000001</v>
      </c>
      <c r="M4401">
        <v>-0.99849080000000001</v>
      </c>
      <c r="N4401">
        <v>-1.398862E-2</v>
      </c>
      <c r="O4401">
        <v>-5.3108959999999997E-2</v>
      </c>
      <c r="P4401">
        <v>-0.87843389999999999</v>
      </c>
      <c r="Q4401">
        <v>0.38731900000000002</v>
      </c>
      <c r="R4401">
        <v>-0.27988879999999999</v>
      </c>
      <c r="S4401">
        <v>-3.0319210000000001</v>
      </c>
      <c r="T4401">
        <v>-0.31134610000000001</v>
      </c>
      <c r="U4401">
        <v>-1.6499630000000001</v>
      </c>
      <c r="V4401">
        <v>-0.2360169</v>
      </c>
      <c r="W4401">
        <v>0.39789089999999999</v>
      </c>
      <c r="X4401">
        <v>0.88655450000000002</v>
      </c>
      <c r="Y4401">
        <v>-0.42881259999999999</v>
      </c>
      <c r="Z4401">
        <v>-1.937359E-2</v>
      </c>
      <c r="AA4401">
        <v>0.90318569999999998</v>
      </c>
      <c r="AB4401">
        <v>35</v>
      </c>
      <c r="AC4401">
        <v>-0.61100000000004595</v>
      </c>
      <c r="AD4401">
        <v>-0.100659</v>
      </c>
      <c r="AE4401">
        <v>-0.51060000000001005</v>
      </c>
      <c r="AF4401">
        <v>-0.46991695762767399</v>
      </c>
      <c r="AG4401">
        <v>-0.100659</v>
      </c>
      <c r="AH4401">
        <v>0.62723405085818695</v>
      </c>
      <c r="AI4401">
        <v>97.318693236014099</v>
      </c>
      <c r="AJ4401">
        <v>126.840153485187</v>
      </c>
      <c r="AK4401">
        <v>0.79017512989401295</v>
      </c>
      <c r="AL4401">
        <v>66.553605835527904</v>
      </c>
      <c r="AM4401">
        <v>104.90742255543</v>
      </c>
      <c r="AN4401">
        <v>1.0000000134293301</v>
      </c>
    </row>
    <row r="4402" spans="1:40" x14ac:dyDescent="0.25">
      <c r="A4402" t="str">
        <f>"20190304164458941"</f>
        <v>20190304164458941</v>
      </c>
      <c r="B4402" t="str">
        <f>"1551689098934979"</f>
        <v>1551689098934979</v>
      </c>
      <c r="C4402" t="s">
        <v>40</v>
      </c>
      <c r="D4402">
        <v>4.84795</v>
      </c>
      <c r="E4402">
        <v>0.41510580000000002</v>
      </c>
      <c r="F4402" t="s">
        <v>41</v>
      </c>
      <c r="G4402">
        <v>-384.15839999999997</v>
      </c>
      <c r="H4402">
        <v>1.0189459999999999</v>
      </c>
      <c r="I4402">
        <v>140.60740000000001</v>
      </c>
      <c r="J4402">
        <v>-383.5804</v>
      </c>
      <c r="K4402">
        <v>1.114263</v>
      </c>
      <c r="L4402">
        <v>141.09639999999999</v>
      </c>
      <c r="M4402">
        <v>-0.99828090000000003</v>
      </c>
      <c r="N4402">
        <v>-1.3992009999999999E-2</v>
      </c>
      <c r="O4402">
        <v>-5.6917969999999998E-2</v>
      </c>
      <c r="P4402">
        <v>-0.87655669999999897</v>
      </c>
      <c r="Q4402">
        <v>0.38761319999999999</v>
      </c>
      <c r="R4402">
        <v>-0.2853154</v>
      </c>
      <c r="S4402">
        <v>-3.0206599999999999</v>
      </c>
      <c r="T4402">
        <v>-0.31082870000000001</v>
      </c>
      <c r="U4402">
        <v>-1.66832</v>
      </c>
      <c r="V4402">
        <v>-0.23823220000000001</v>
      </c>
      <c r="W4402">
        <v>0.39810519999999999</v>
      </c>
      <c r="X4402">
        <v>0.88586549999999997</v>
      </c>
      <c r="Y4402">
        <v>-0.43099900000000002</v>
      </c>
      <c r="Z4402">
        <v>-1.9191469999999999E-2</v>
      </c>
      <c r="AA4402">
        <v>0.90214830000000001</v>
      </c>
      <c r="AB4402">
        <v>35</v>
      </c>
      <c r="AC4402">
        <v>-0.57799999999997398</v>
      </c>
      <c r="AD4402">
        <v>-9.5317000000000096E-2</v>
      </c>
      <c r="AE4402">
        <v>-0.48899999999997501</v>
      </c>
      <c r="AF4402">
        <v>-0.44820128723066099</v>
      </c>
      <c r="AG4402">
        <v>-9.5317000000000096E-2</v>
      </c>
      <c r="AH4402">
        <v>0.59546032763198198</v>
      </c>
      <c r="AI4402">
        <v>97.288134744184603</v>
      </c>
      <c r="AJ4402">
        <v>126.96867200547401</v>
      </c>
      <c r="AK4402">
        <v>0.75136058330724897</v>
      </c>
      <c r="AL4402">
        <v>66.5402214894102</v>
      </c>
      <c r="AM4402">
        <v>105.05220116537799</v>
      </c>
      <c r="AN4402">
        <v>1.0000000077370601</v>
      </c>
    </row>
    <row r="4403" spans="1:40" x14ac:dyDescent="0.25">
      <c r="A4403" t="str">
        <f>"20190304164458963"</f>
        <v>20190304164458963</v>
      </c>
      <c r="B4403" t="str">
        <f>"1551689098954499"</f>
        <v>1551689098954499</v>
      </c>
      <c r="C4403" t="s">
        <v>40</v>
      </c>
      <c r="D4403">
        <v>4.8522319999999999</v>
      </c>
      <c r="E4403">
        <v>0.41515669999999999</v>
      </c>
      <c r="F4403" t="s">
        <v>41</v>
      </c>
      <c r="G4403">
        <v>-384.47070000000002</v>
      </c>
      <c r="H4403">
        <v>1.021892</v>
      </c>
      <c r="I4403">
        <v>140.5993</v>
      </c>
      <c r="J4403">
        <v>-383.9049</v>
      </c>
      <c r="K4403">
        <v>1.114331</v>
      </c>
      <c r="L4403">
        <v>141.0744</v>
      </c>
      <c r="M4403">
        <v>-0.9980677</v>
      </c>
      <c r="N4403">
        <v>-1.399474E-2</v>
      </c>
      <c r="O4403">
        <v>-6.0538080000000001E-2</v>
      </c>
      <c r="P4403">
        <v>-0.87454140000000002</v>
      </c>
      <c r="Q4403">
        <v>0.38832620000000001</v>
      </c>
      <c r="R4403">
        <v>-0.29048249999999998</v>
      </c>
      <c r="S4403">
        <v>-3.0128170000000001</v>
      </c>
      <c r="T4403">
        <v>-0.312550299999999</v>
      </c>
      <c r="U4403">
        <v>-1.6831670000000001</v>
      </c>
      <c r="V4403">
        <v>-0.2403565</v>
      </c>
      <c r="W4403">
        <v>0.3987482</v>
      </c>
      <c r="X4403">
        <v>0.88500210000000001</v>
      </c>
      <c r="Y4403">
        <v>-0.43210270000000001</v>
      </c>
      <c r="Z4403">
        <v>-1.9060069999999998E-2</v>
      </c>
      <c r="AA4403">
        <v>0.90162299999999995</v>
      </c>
      <c r="AB4403">
        <v>35</v>
      </c>
      <c r="AC4403">
        <v>-0.56580000000002395</v>
      </c>
      <c r="AD4403">
        <v>-9.2438999999999896E-2</v>
      </c>
      <c r="AE4403">
        <v>-0.47509999999999702</v>
      </c>
      <c r="AF4403">
        <v>-0.43319127427230703</v>
      </c>
      <c r="AG4403">
        <v>-9.2438999999999896E-2</v>
      </c>
      <c r="AH4403">
        <v>0.58437840238906402</v>
      </c>
      <c r="AI4403">
        <v>97.242121416674706</v>
      </c>
      <c r="AJ4403">
        <v>126.549006505774</v>
      </c>
      <c r="AK4403">
        <v>0.73327877782290996</v>
      </c>
      <c r="AL4403">
        <v>66.500055423195207</v>
      </c>
      <c r="AM4403">
        <v>105.194377846686</v>
      </c>
      <c r="AN4403">
        <v>1.00000004554994</v>
      </c>
    </row>
    <row r="4404" spans="1:40" x14ac:dyDescent="0.25">
      <c r="A4404" t="str">
        <f>"20190304164458984"</f>
        <v>20190304164458984</v>
      </c>
      <c r="B4404" t="str">
        <f>"1551689098974995"</f>
        <v>1551689098974995</v>
      </c>
      <c r="C4404" t="s">
        <v>40</v>
      </c>
      <c r="D4404">
        <v>4.8533949999999999</v>
      </c>
      <c r="E4404">
        <v>0.41515819999999998</v>
      </c>
      <c r="F4404" t="s">
        <v>41</v>
      </c>
      <c r="G4404">
        <v>-384.77980000000002</v>
      </c>
      <c r="H4404">
        <v>1.023509</v>
      </c>
      <c r="I4404">
        <v>140.5797</v>
      </c>
      <c r="J4404">
        <v>-384.2484</v>
      </c>
      <c r="K4404">
        <v>1.114404</v>
      </c>
      <c r="L4404">
        <v>141.04990000000001</v>
      </c>
      <c r="M4404">
        <v>-0.9978245</v>
      </c>
      <c r="N4404">
        <v>-1.399712E-2</v>
      </c>
      <c r="O4404">
        <v>-6.4423309999999998E-2</v>
      </c>
      <c r="P4404">
        <v>-0.87288489999999996</v>
      </c>
      <c r="Q4404">
        <v>0.38874069999999999</v>
      </c>
      <c r="R4404">
        <v>-0.29487770000000002</v>
      </c>
      <c r="S4404">
        <v>-3.0045470000000001</v>
      </c>
      <c r="T4404">
        <v>-0.3118919</v>
      </c>
      <c r="U4404">
        <v>-1.699066</v>
      </c>
      <c r="V4404">
        <v>-0.2414482</v>
      </c>
      <c r="W4404">
        <v>0.39911059999999998</v>
      </c>
      <c r="X4404">
        <v>0.88454140000000003</v>
      </c>
      <c r="Y4404">
        <v>-0.43328489999999997</v>
      </c>
      <c r="Z4404">
        <v>-1.8796440000000001E-2</v>
      </c>
      <c r="AA4404">
        <v>0.901061</v>
      </c>
      <c r="AB4404">
        <v>35</v>
      </c>
      <c r="AC4404">
        <v>-0.53140000000001897</v>
      </c>
      <c r="AD4404">
        <v>-9.0895000000000101E-2</v>
      </c>
      <c r="AE4404">
        <v>-0.470200000000005</v>
      </c>
      <c r="AF4404">
        <v>-0.42796237149267202</v>
      </c>
      <c r="AG4404">
        <v>-9.0895000000000101E-2</v>
      </c>
      <c r="AH4404">
        <v>0.55154003894441395</v>
      </c>
      <c r="AI4404">
        <v>97.418338044272701</v>
      </c>
      <c r="AJ4404">
        <v>127.809342648149</v>
      </c>
      <c r="AK4404">
        <v>0.70399581461642102</v>
      </c>
      <c r="AL4404">
        <v>66.477410350948503</v>
      </c>
      <c r="AM4404">
        <v>105.267756953865</v>
      </c>
      <c r="AN4404">
        <v>0.99999999631477998</v>
      </c>
    </row>
    <row r="4405" spans="1:40" x14ac:dyDescent="0.25">
      <c r="A4405" t="str">
        <f>"20190304164459008"</f>
        <v>20190304164459008</v>
      </c>
      <c r="B4405" t="str">
        <f>"1551689099004275"</f>
        <v>1551689099004275</v>
      </c>
      <c r="C4405" t="s">
        <v>40</v>
      </c>
      <c r="D4405">
        <v>5.1450940000000003</v>
      </c>
      <c r="E4405">
        <v>0.41542319999999999</v>
      </c>
      <c r="F4405" t="s">
        <v>41</v>
      </c>
      <c r="G4405">
        <v>-385.09210000000002</v>
      </c>
      <c r="H4405">
        <v>1.0265979999999999</v>
      </c>
      <c r="I4405">
        <v>140.5676</v>
      </c>
      <c r="J4405">
        <v>-384.60250000000002</v>
      </c>
      <c r="K4405">
        <v>1.114471</v>
      </c>
      <c r="L4405">
        <v>141.0231</v>
      </c>
      <c r="M4405">
        <v>-0.99755519999999998</v>
      </c>
      <c r="N4405">
        <v>-1.3999299999999999E-2</v>
      </c>
      <c r="O4405">
        <v>-6.8467739999999999E-2</v>
      </c>
      <c r="P4405">
        <v>-0.87133669999999996</v>
      </c>
      <c r="Q4405">
        <v>0.3892256</v>
      </c>
      <c r="R4405">
        <v>-0.29879139999999998</v>
      </c>
      <c r="S4405">
        <v>-2.9967959999999998</v>
      </c>
      <c r="T4405">
        <v>-0.3118689</v>
      </c>
      <c r="U4405">
        <v>-1.71382099999999</v>
      </c>
      <c r="V4405">
        <v>-0.24190690000000001</v>
      </c>
      <c r="W4405">
        <v>0.39955649999999998</v>
      </c>
      <c r="X4405">
        <v>0.88421479999999997</v>
      </c>
      <c r="Y4405">
        <v>-0.43399009999999999</v>
      </c>
      <c r="Z4405">
        <v>-1.852179E-2</v>
      </c>
      <c r="AA4405">
        <v>0.90072719999999995</v>
      </c>
      <c r="AB4405">
        <v>35</v>
      </c>
      <c r="AC4405">
        <v>-0.48959999999999498</v>
      </c>
      <c r="AD4405">
        <v>-8.7873000000000007E-2</v>
      </c>
      <c r="AE4405">
        <v>-0.45550000000000002</v>
      </c>
      <c r="AF4405">
        <v>-0.41376132104781499</v>
      </c>
      <c r="AG4405">
        <v>-8.7873000000000007E-2</v>
      </c>
      <c r="AH4405">
        <v>0.51082054561360002</v>
      </c>
      <c r="AI4405">
        <v>97.613790108488402</v>
      </c>
      <c r="AJ4405">
        <v>129.00724763381999</v>
      </c>
      <c r="AK4405">
        <v>0.663217705391834</v>
      </c>
      <c r="AL4405">
        <v>66.449545885386797</v>
      </c>
      <c r="AM4405">
        <v>105.30078994993499</v>
      </c>
      <c r="AN4405">
        <v>1.0000000787494401</v>
      </c>
    </row>
    <row r="4406" spans="1:40" x14ac:dyDescent="0.25">
      <c r="A4406" t="str">
        <f>"20190304164459031"</f>
        <v>20190304164459031</v>
      </c>
      <c r="B4406" t="str">
        <f>"1551689099024771"</f>
        <v>1551689099024771</v>
      </c>
      <c r="C4406" t="s">
        <v>40</v>
      </c>
      <c r="D4406">
        <v>4.9767169999999998</v>
      </c>
      <c r="E4406">
        <v>0.47737970000000002</v>
      </c>
      <c r="F4406" t="s">
        <v>41</v>
      </c>
      <c r="G4406">
        <v>-385.4597</v>
      </c>
      <c r="H4406">
        <v>1.025736</v>
      </c>
      <c r="I4406">
        <v>140.52760000000001</v>
      </c>
      <c r="J4406">
        <v>-384.9579</v>
      </c>
      <c r="K4406">
        <v>1.114522</v>
      </c>
      <c r="L4406">
        <v>140.9948</v>
      </c>
      <c r="M4406">
        <v>-0.99726619999999999</v>
      </c>
      <c r="N4406">
        <v>-1.4001080000000001E-2</v>
      </c>
      <c r="O4406">
        <v>-7.2554629999999995E-2</v>
      </c>
      <c r="P4406">
        <v>-0.87010169999999998</v>
      </c>
      <c r="Q4406">
        <v>0.38943889999999998</v>
      </c>
      <c r="R4406">
        <v>-0.30209390000000003</v>
      </c>
      <c r="S4406">
        <v>-2.9887389999999998</v>
      </c>
      <c r="T4406">
        <v>-0.30936910000000001</v>
      </c>
      <c r="U4406">
        <v>-1.7276309999999999</v>
      </c>
      <c r="V4406">
        <v>-0.24168590000000001</v>
      </c>
      <c r="W4406">
        <v>0.39974789999999999</v>
      </c>
      <c r="X4406">
        <v>0.88418869999999905</v>
      </c>
      <c r="Y4406">
        <v>-0.43450699999999998</v>
      </c>
      <c r="Z4406">
        <v>-1.8123630000000002E-2</v>
      </c>
      <c r="AA4406">
        <v>0.90048609999999896</v>
      </c>
      <c r="AB4406">
        <v>35</v>
      </c>
      <c r="AC4406">
        <v>-0.50180000000000202</v>
      </c>
      <c r="AD4406">
        <v>-8.8786000000000004E-2</v>
      </c>
      <c r="AE4406">
        <v>-0.46719999999999101</v>
      </c>
      <c r="AF4406">
        <v>-0.42247232749859898</v>
      </c>
      <c r="AG4406">
        <v>-8.8786000000000004E-2</v>
      </c>
      <c r="AH4406">
        <v>0.52556464649050905</v>
      </c>
      <c r="AI4406">
        <v>97.500894704180794</v>
      </c>
      <c r="AJ4406">
        <v>128.79387488098601</v>
      </c>
      <c r="AK4406">
        <v>0.68013529458393596</v>
      </c>
      <c r="AL4406">
        <v>66.437581999438606</v>
      </c>
      <c r="AM4406">
        <v>105.28789600634801</v>
      </c>
      <c r="AN4406">
        <v>1.00000005751045</v>
      </c>
    </row>
    <row r="4407" spans="1:40" x14ac:dyDescent="0.25">
      <c r="A4407" t="str">
        <f>"20190304164459053"</f>
        <v>20190304164459053</v>
      </c>
      <c r="B4407" t="str">
        <f>"1551689099044291"</f>
        <v>1551689099044291</v>
      </c>
      <c r="C4407" t="s">
        <v>40</v>
      </c>
      <c r="D4407">
        <v>4.9855499999999999</v>
      </c>
      <c r="E4407">
        <v>0.52725049999999996</v>
      </c>
      <c r="F4407" t="s">
        <v>42</v>
      </c>
      <c r="G4407">
        <v>-396.57069999999999</v>
      </c>
      <c r="H4407" s="1">
        <v>-2.04333E-6</v>
      </c>
      <c r="I4407">
        <v>136.29069999999999</v>
      </c>
      <c r="J4407">
        <v>-385.29649999999998</v>
      </c>
      <c r="K4407">
        <v>1.11454599999999</v>
      </c>
      <c r="L4407">
        <v>140.9665</v>
      </c>
      <c r="M4407">
        <v>-0.99697389999999997</v>
      </c>
      <c r="N4407">
        <v>-1.400234E-2</v>
      </c>
      <c r="O4407">
        <v>-7.6464969999999993E-2</v>
      </c>
      <c r="P4407">
        <v>-0.86845799999999995</v>
      </c>
      <c r="Q4407">
        <v>0.38979970000000003</v>
      </c>
      <c r="R4407">
        <v>-0.3063284</v>
      </c>
      <c r="S4407">
        <v>-3.1410830000000001</v>
      </c>
      <c r="T4407">
        <v>-0.3014597</v>
      </c>
      <c r="U4407">
        <v>-1.272354</v>
      </c>
      <c r="V4407">
        <v>-0.24257590000000001</v>
      </c>
      <c r="W4407">
        <v>0.40007880000000001</v>
      </c>
      <c r="X4407">
        <v>0.883795199999999</v>
      </c>
      <c r="Y4407">
        <v>-0.302295599999999</v>
      </c>
      <c r="Z4407">
        <v>-1.014749E-2</v>
      </c>
      <c r="AA4407">
        <v>0.95316020000000001</v>
      </c>
      <c r="AB4407">
        <v>35</v>
      </c>
      <c r="AC4407">
        <v>-11.2742</v>
      </c>
      <c r="AD4407">
        <v>-1.1145480433299999</v>
      </c>
      <c r="AE4407">
        <v>-4.6757999999999997</v>
      </c>
      <c r="AF4407">
        <v>-3.7685174752266501</v>
      </c>
      <c r="AG4407">
        <v>-1.1145480433299999</v>
      </c>
      <c r="AH4407">
        <v>11.502837303004799</v>
      </c>
      <c r="AI4407">
        <v>95.260833489568299</v>
      </c>
      <c r="AJ4407">
        <v>108.139641404287</v>
      </c>
      <c r="AK4407">
        <v>12.155624513836299</v>
      </c>
      <c r="AL4407">
        <v>66.416896124572105</v>
      </c>
      <c r="AM4407">
        <v>105.348053756094</v>
      </c>
      <c r="AN4407">
        <v>1.00000003450664</v>
      </c>
    </row>
    <row r="4408" spans="1:40" x14ac:dyDescent="0.25">
      <c r="A4408" t="str">
        <f>"20190304164459075"</f>
        <v>20190304164459075</v>
      </c>
      <c r="B4408" t="str">
        <f>"1551689099064788"</f>
        <v>1551689099064788</v>
      </c>
      <c r="C4408" t="s">
        <v>40</v>
      </c>
      <c r="D4408">
        <v>4.9014559999999996</v>
      </c>
      <c r="E4408">
        <v>0.52925100000000003</v>
      </c>
      <c r="F4408" t="s">
        <v>42</v>
      </c>
      <c r="G4408">
        <v>-393.37549999999999</v>
      </c>
      <c r="H4408" s="1">
        <v>-2.9858869999999999E-6</v>
      </c>
      <c r="I4408">
        <v>138.7047</v>
      </c>
      <c r="J4408">
        <v>-385.6361</v>
      </c>
      <c r="K4408">
        <v>1.1145640000000001</v>
      </c>
      <c r="L4408">
        <v>140.9366</v>
      </c>
      <c r="M4408">
        <v>-0.99666480000000002</v>
      </c>
      <c r="N4408">
        <v>-1.400304E-2</v>
      </c>
      <c r="O4408">
        <v>-8.0395190000000005E-2</v>
      </c>
      <c r="P4408">
        <v>-0.86692860000000005</v>
      </c>
      <c r="Q4408">
        <v>0.39007730000000002</v>
      </c>
      <c r="R4408">
        <v>-0.31028129999999998</v>
      </c>
      <c r="S4408">
        <v>-3.3317570000000001</v>
      </c>
      <c r="T4408">
        <v>-0.45963799999999999</v>
      </c>
      <c r="U4408">
        <v>-0.932724</v>
      </c>
      <c r="V4408">
        <v>-0.24315419999999999</v>
      </c>
      <c r="W4408">
        <v>0.40033570000000002</v>
      </c>
      <c r="X4408">
        <v>0.88351990000000002</v>
      </c>
      <c r="Y4408">
        <v>-0.19001000000000001</v>
      </c>
      <c r="Z4408">
        <v>-4.4733480000000003E-3</v>
      </c>
      <c r="AA4408">
        <v>0.98177190000000003</v>
      </c>
      <c r="AB4408">
        <v>35</v>
      </c>
      <c r="AC4408">
        <v>-7.7393999999999803</v>
      </c>
      <c r="AD4408">
        <v>-1.114566985887</v>
      </c>
      <c r="AE4408">
        <v>-2.2318999999999898</v>
      </c>
      <c r="AF4408">
        <v>-1.57229760889943</v>
      </c>
      <c r="AG4408">
        <v>-1.114566985887</v>
      </c>
      <c r="AH4408">
        <v>7.7454908867077998</v>
      </c>
      <c r="AI4408">
        <v>98.027065911090901</v>
      </c>
      <c r="AJ4408">
        <v>101.47484984660301</v>
      </c>
      <c r="AK4408">
        <v>7.9816670196803896</v>
      </c>
      <c r="AL4408">
        <v>66.4008342612739</v>
      </c>
      <c r="AM4408">
        <v>105.387478302877</v>
      </c>
      <c r="AN4408">
        <v>1.00000002568406</v>
      </c>
    </row>
    <row r="4409" spans="1:40" x14ac:dyDescent="0.25">
      <c r="A4409" t="str">
        <f>"20190304164459096"</f>
        <v>20190304164459096</v>
      </c>
      <c r="B4409" t="str">
        <f>"1551689099084307"</f>
        <v>1551689099084307</v>
      </c>
      <c r="C4409" t="s">
        <v>40</v>
      </c>
      <c r="D4409">
        <v>4.8851630000000004</v>
      </c>
      <c r="E4409">
        <v>0.52976919999999905</v>
      </c>
      <c r="F4409" t="s">
        <v>42</v>
      </c>
      <c r="G4409">
        <v>-393.34699999999998</v>
      </c>
      <c r="H4409" s="1">
        <v>-2.9852260000000001E-6</v>
      </c>
      <c r="I4409">
        <v>138.7773</v>
      </c>
      <c r="J4409">
        <v>-385.97640000000001</v>
      </c>
      <c r="K4409">
        <v>1.1145700000000001</v>
      </c>
      <c r="L4409">
        <v>140.90530000000001</v>
      </c>
      <c r="M4409">
        <v>-0.99633879999999997</v>
      </c>
      <c r="N4409">
        <v>-1.4003470000000001E-2</v>
      </c>
      <c r="O4409">
        <v>-8.4337609999999993E-2</v>
      </c>
      <c r="P4409">
        <v>-0.86623629999999996</v>
      </c>
      <c r="Q4409">
        <v>0.38875589999999999</v>
      </c>
      <c r="R4409">
        <v>-0.31385269999999998</v>
      </c>
      <c r="S4409">
        <v>-3.3428960000000001</v>
      </c>
      <c r="T4409">
        <v>-0.48319849999999998</v>
      </c>
      <c r="U4409">
        <v>-0.9360657</v>
      </c>
      <c r="V4409">
        <v>-0.2432541</v>
      </c>
      <c r="W4409">
        <v>0.39901310000000001</v>
      </c>
      <c r="X4409">
        <v>0.8840905</v>
      </c>
      <c r="Y4409">
        <v>-0.18614910000000001</v>
      </c>
      <c r="Z4409">
        <v>-3.7709179999999998E-3</v>
      </c>
      <c r="AA4409">
        <v>0.98251429999999995</v>
      </c>
      <c r="AB4409">
        <v>35</v>
      </c>
      <c r="AC4409">
        <v>-7.3705999999999596</v>
      </c>
      <c r="AD4409">
        <v>-1.114572985226</v>
      </c>
      <c r="AE4409">
        <v>-2.1280000000000099</v>
      </c>
      <c r="AF4409">
        <v>-1.4677562830556801</v>
      </c>
      <c r="AG4409">
        <v>-1.114572985226</v>
      </c>
      <c r="AH4409">
        <v>7.36829569660358</v>
      </c>
      <c r="AI4409">
        <v>98.438362743349202</v>
      </c>
      <c r="AJ4409">
        <v>101.26579054763999</v>
      </c>
      <c r="AK4409">
        <v>7.59528557188154</v>
      </c>
      <c r="AL4409">
        <v>66.4835032107502</v>
      </c>
      <c r="AM4409">
        <v>105.384036153873</v>
      </c>
      <c r="AN4409">
        <v>1.0000000116643299</v>
      </c>
    </row>
    <row r="4410" spans="1:40" x14ac:dyDescent="0.25">
      <c r="A4410" t="str">
        <f>"20190304164459121"</f>
        <v>20190304164459121</v>
      </c>
      <c r="B4410" t="str">
        <f>"1551689099114563"</f>
        <v>1551689099114563</v>
      </c>
      <c r="C4410" t="s">
        <v>40</v>
      </c>
      <c r="D4410">
        <v>4.8822239999999999</v>
      </c>
      <c r="E4410">
        <v>0.53004430000000002</v>
      </c>
      <c r="F4410" t="s">
        <v>42</v>
      </c>
      <c r="G4410">
        <v>-393.48520000000002</v>
      </c>
      <c r="H4410" s="1">
        <v>-2.9257799999999999E-6</v>
      </c>
      <c r="I4410">
        <v>138.77809999999999</v>
      </c>
      <c r="J4410">
        <v>-386.3365</v>
      </c>
      <c r="K4410">
        <v>1.114579</v>
      </c>
      <c r="L4410">
        <v>140.8707</v>
      </c>
      <c r="M4410">
        <v>-0.99597670000000005</v>
      </c>
      <c r="N4410">
        <v>-1.400378E-2</v>
      </c>
      <c r="O4410">
        <v>-8.8511619999999999E-2</v>
      </c>
      <c r="P4410">
        <v>-0.86527030000000005</v>
      </c>
      <c r="Q4410">
        <v>0.38801469999999999</v>
      </c>
      <c r="R4410">
        <v>-0.31741439999999999</v>
      </c>
      <c r="S4410">
        <v>-3.3429259999999998</v>
      </c>
      <c r="T4410">
        <v>-0.49620639999999999</v>
      </c>
      <c r="U4410">
        <v>-0.94696040000000004</v>
      </c>
      <c r="V4410">
        <v>-0.24316070000000001</v>
      </c>
      <c r="W4410">
        <v>0.39827230000000002</v>
      </c>
      <c r="X4410">
        <v>0.88445010000000002</v>
      </c>
      <c r="Y4410">
        <v>-0.18498419999999999</v>
      </c>
      <c r="Z4410">
        <v>-3.1706600000000001E-3</v>
      </c>
      <c r="AA4410">
        <v>0.98273639999999995</v>
      </c>
      <c r="AB4410">
        <v>35</v>
      </c>
      <c r="AC4410">
        <v>-7.1487000000000096</v>
      </c>
      <c r="AD4410">
        <v>-1.11458192578</v>
      </c>
      <c r="AE4410">
        <v>-2.0926</v>
      </c>
      <c r="AF4410">
        <v>-1.41979026504559</v>
      </c>
      <c r="AG4410">
        <v>-1.11458192578</v>
      </c>
      <c r="AH4410">
        <v>7.1458743258569903</v>
      </c>
      <c r="AI4410">
        <v>98.697965300821707</v>
      </c>
      <c r="AJ4410">
        <v>101.23756237651899</v>
      </c>
      <c r="AK4410">
        <v>7.37032001658923</v>
      </c>
      <c r="AL4410">
        <v>66.529783182150098</v>
      </c>
      <c r="AM4410">
        <v>105.37245223565</v>
      </c>
      <c r="AN4410">
        <v>0.99999996518089396</v>
      </c>
    </row>
    <row r="4411" spans="1:40" x14ac:dyDescent="0.25">
      <c r="A4411" t="str">
        <f>"20190304164459142"</f>
        <v>20190304164459142</v>
      </c>
      <c r="B4411" t="str">
        <f>"1551689099135059"</f>
        <v>1551689099135059</v>
      </c>
      <c r="C4411" t="s">
        <v>40</v>
      </c>
      <c r="D4411">
        <v>4.9100989999999998</v>
      </c>
      <c r="E4411">
        <v>0.53016949999999996</v>
      </c>
      <c r="F4411" t="s">
        <v>42</v>
      </c>
      <c r="G4411">
        <v>-393.69479999999999</v>
      </c>
      <c r="H4411" s="1">
        <v>-2.8400130000000001E-6</v>
      </c>
      <c r="I4411">
        <v>138.75479999999999</v>
      </c>
      <c r="J4411">
        <v>-386.6728</v>
      </c>
      <c r="K4411">
        <v>1.1145879999999999</v>
      </c>
      <c r="L4411">
        <v>140.83699999999999</v>
      </c>
      <c r="M4411">
        <v>-0.99562260000000002</v>
      </c>
      <c r="N4411">
        <v>-1.4003899999999901E-2</v>
      </c>
      <c r="O4411">
        <v>-9.240872E-2</v>
      </c>
      <c r="P4411">
        <v>-0.86411990000000005</v>
      </c>
      <c r="Q4411">
        <v>0.38857609999999998</v>
      </c>
      <c r="R4411">
        <v>-0.31985180000000002</v>
      </c>
      <c r="S4411">
        <v>-3.3416139999999999</v>
      </c>
      <c r="T4411">
        <v>-0.50616229999999995</v>
      </c>
      <c r="U4411">
        <v>-0.96084590000000003</v>
      </c>
      <c r="V4411">
        <v>-0.24221960000000001</v>
      </c>
      <c r="W4411">
        <v>0.398839</v>
      </c>
      <c r="X4411">
        <v>0.88445300000000004</v>
      </c>
      <c r="Y4411">
        <v>-0.1850041</v>
      </c>
      <c r="Z4411">
        <v>-2.669009E-3</v>
      </c>
      <c r="AA4411">
        <v>0.98273410000000005</v>
      </c>
      <c r="AB4411">
        <v>35</v>
      </c>
      <c r="AC4411">
        <v>-7.0219999999999896</v>
      </c>
      <c r="AD4411">
        <v>-1.114590840013</v>
      </c>
      <c r="AE4411">
        <v>-2.0822000000000198</v>
      </c>
      <c r="AF4411">
        <v>-1.3920924268744701</v>
      </c>
      <c r="AG4411">
        <v>-1.114590840013</v>
      </c>
      <c r="AH4411">
        <v>7.0217671652713802</v>
      </c>
      <c r="AI4411">
        <v>98.850075595963006</v>
      </c>
      <c r="AJ4411">
        <v>101.213701599937</v>
      </c>
      <c r="AK4411">
        <v>7.2446841331341298</v>
      </c>
      <c r="AL4411">
        <v>66.494381093167604</v>
      </c>
      <c r="AM4411">
        <v>105.31570764553901</v>
      </c>
      <c r="AN4411">
        <v>0.99999999587707999</v>
      </c>
    </row>
    <row r="4412" spans="1:40" x14ac:dyDescent="0.25">
      <c r="A4412" t="str">
        <f>"20190304164459164"</f>
        <v>20190304164459164</v>
      </c>
      <c r="B4412" t="str">
        <f>"1551689099154580"</f>
        <v>1551689099154580</v>
      </c>
      <c r="C4412" t="s">
        <v>40</v>
      </c>
      <c r="D4412">
        <v>4.9207960000000002</v>
      </c>
      <c r="E4412">
        <v>0.53030719999999898</v>
      </c>
      <c r="F4412" t="s">
        <v>42</v>
      </c>
      <c r="G4412">
        <v>-394.00790000000001</v>
      </c>
      <c r="H4412" s="1">
        <v>-2.71519E-6</v>
      </c>
      <c r="I4412">
        <v>138.7012</v>
      </c>
      <c r="J4412">
        <v>-387.00729999999999</v>
      </c>
      <c r="K4412">
        <v>1.1145959999999999</v>
      </c>
      <c r="L4412">
        <v>140.8022</v>
      </c>
      <c r="M4412">
        <v>-0.99525540000000001</v>
      </c>
      <c r="N4412">
        <v>-1.4003750000000001E-2</v>
      </c>
      <c r="O4412">
        <v>-9.6285250000000003E-2</v>
      </c>
      <c r="P4412">
        <v>-0.86291689999999999</v>
      </c>
      <c r="Q4412">
        <v>0.38957520000000001</v>
      </c>
      <c r="R4412">
        <v>-0.32187870000000002</v>
      </c>
      <c r="S4412">
        <v>-3.3399960000000002</v>
      </c>
      <c r="T4412">
        <v>-0.5075172</v>
      </c>
      <c r="U4412">
        <v>-0.97247309999999998</v>
      </c>
      <c r="V4412">
        <v>-0.24089740000000001</v>
      </c>
      <c r="W4412">
        <v>0.3998467</v>
      </c>
      <c r="X4412">
        <v>0.88435909999999995</v>
      </c>
      <c r="Y4412">
        <v>-0.18449479999999999</v>
      </c>
      <c r="Z4412">
        <v>-2.1136530000000001E-3</v>
      </c>
      <c r="AA4412">
        <v>0.98283120000000002</v>
      </c>
      <c r="AB4412">
        <v>35</v>
      </c>
      <c r="AC4412">
        <v>-7.0006000000000101</v>
      </c>
      <c r="AD4412">
        <v>-1.1145987151900001</v>
      </c>
      <c r="AE4412">
        <v>-2.1009999999999902</v>
      </c>
      <c r="AF4412">
        <v>-1.3849100795337299</v>
      </c>
      <c r="AG4412">
        <v>-1.1145987151900001</v>
      </c>
      <c r="AH4412">
        <v>7.0074263334126297</v>
      </c>
      <c r="AI4412">
        <v>98.868990953172201</v>
      </c>
      <c r="AJ4412">
        <v>101.179559960056</v>
      </c>
      <c r="AK4412">
        <v>7.2294073092129896</v>
      </c>
      <c r="AL4412">
        <v>66.431404176440594</v>
      </c>
      <c r="AM4412">
        <v>105.237542316027</v>
      </c>
      <c r="AN4412">
        <v>0.99999997929022899</v>
      </c>
    </row>
    <row r="4413" spans="1:40" x14ac:dyDescent="0.25">
      <c r="A4413" t="str">
        <f>"20190304164459186"</f>
        <v>20190304164459186</v>
      </c>
      <c r="B4413" t="str">
        <f>"1551689099175076"</f>
        <v>1551689099175076</v>
      </c>
      <c r="C4413" t="s">
        <v>40</v>
      </c>
      <c r="D4413">
        <v>4.9183329999999996</v>
      </c>
      <c r="E4413">
        <v>0.53038569999999996</v>
      </c>
      <c r="F4413" t="s">
        <v>42</v>
      </c>
      <c r="G4413">
        <v>-394.3449</v>
      </c>
      <c r="H4413" s="1">
        <v>-2.581837E-6</v>
      </c>
      <c r="I4413">
        <v>138.63800000000001</v>
      </c>
      <c r="J4413">
        <v>-387.34230000000002</v>
      </c>
      <c r="K4413">
        <v>1.114601</v>
      </c>
      <c r="L4413">
        <v>140.76599999999999</v>
      </c>
      <c r="M4413">
        <v>-0.99487199999999998</v>
      </c>
      <c r="N4413">
        <v>-1.40035E-2</v>
      </c>
      <c r="O4413">
        <v>-0.10016799999999999</v>
      </c>
      <c r="P4413">
        <v>-0.86161489999999996</v>
      </c>
      <c r="Q4413">
        <v>0.39068249999999999</v>
      </c>
      <c r="R4413">
        <v>-0.32401770000000002</v>
      </c>
      <c r="S4413">
        <v>-3.338257</v>
      </c>
      <c r="T4413">
        <v>-0.50709020000000005</v>
      </c>
      <c r="U4413">
        <v>-0.98455809999999999</v>
      </c>
      <c r="V4413">
        <v>-0.23969270000000001</v>
      </c>
      <c r="W4413">
        <v>0.40096179999999998</v>
      </c>
      <c r="X4413">
        <v>0.88418149999999995</v>
      </c>
      <c r="Y4413">
        <v>-0.1841148</v>
      </c>
      <c r="Z4413">
        <v>-1.569111E-3</v>
      </c>
      <c r="AA4413">
        <v>0.98290350000000004</v>
      </c>
      <c r="AB4413">
        <v>35</v>
      </c>
      <c r="AC4413">
        <v>-7.00259999999997</v>
      </c>
      <c r="AD4413">
        <v>-1.1146035818369999</v>
      </c>
      <c r="AE4413">
        <v>-2.1279999999999801</v>
      </c>
      <c r="AF4413">
        <v>-1.38369755481103</v>
      </c>
      <c r="AG4413">
        <v>-1.1146035818369999</v>
      </c>
      <c r="AH4413">
        <v>7.0177869410020604</v>
      </c>
      <c r="AI4413">
        <v>98.856912431811296</v>
      </c>
      <c r="AJ4413">
        <v>101.153941289249</v>
      </c>
      <c r="AK4413">
        <v>7.2392191303436197</v>
      </c>
      <c r="AL4413">
        <v>66.361679481736303</v>
      </c>
      <c r="AM4413">
        <v>105.167764312824</v>
      </c>
      <c r="AN4413">
        <v>0.99999994021738803</v>
      </c>
    </row>
    <row r="4414" spans="1:40" x14ac:dyDescent="0.25">
      <c r="A4414" t="str">
        <f>"20190304164459209"</f>
        <v>20190304164459209</v>
      </c>
      <c r="B4414" t="str">
        <f>"1551689099204355"</f>
        <v>1551689099204355</v>
      </c>
      <c r="C4414" t="s">
        <v>40</v>
      </c>
      <c r="D4414">
        <v>5.0179519999999904</v>
      </c>
      <c r="E4414">
        <v>0.5300376</v>
      </c>
      <c r="F4414" t="s">
        <v>42</v>
      </c>
      <c r="G4414">
        <v>-394.69880000000001</v>
      </c>
      <c r="H4414" s="1">
        <v>-2.4419740000000002E-6</v>
      </c>
      <c r="I4414">
        <v>138.57050000000001</v>
      </c>
      <c r="J4414">
        <v>-387.69560000000001</v>
      </c>
      <c r="K4414">
        <v>1.114603</v>
      </c>
      <c r="L4414">
        <v>140.72640000000001</v>
      </c>
      <c r="M4414">
        <v>-0.99445130000000004</v>
      </c>
      <c r="N4414">
        <v>-1.4002819999999999E-2</v>
      </c>
      <c r="O4414">
        <v>-0.1042609</v>
      </c>
      <c r="P4414">
        <v>-0.86027279999999995</v>
      </c>
      <c r="Q4414">
        <v>0.39147019999999999</v>
      </c>
      <c r="R4414">
        <v>-0.32662140000000001</v>
      </c>
      <c r="S4414">
        <v>-3.3366389999999999</v>
      </c>
      <c r="T4414">
        <v>-0.50554500000000002</v>
      </c>
      <c r="U4414">
        <v>-0.99572749999999999</v>
      </c>
      <c r="V4414">
        <v>-0.2387658</v>
      </c>
      <c r="W4414">
        <v>0.40175620000000001</v>
      </c>
      <c r="X4414">
        <v>0.88407179999999996</v>
      </c>
      <c r="Y4414">
        <v>-0.18327599999999999</v>
      </c>
      <c r="Z4414">
        <v>-9.6473279999999999E-4</v>
      </c>
      <c r="AA4414">
        <v>0.98306099999999996</v>
      </c>
      <c r="AB4414">
        <v>35</v>
      </c>
      <c r="AC4414">
        <v>-7.0031999999999899</v>
      </c>
      <c r="AD4414">
        <v>-1.1146054419739999</v>
      </c>
      <c r="AE4414">
        <v>-2.1558999999999999</v>
      </c>
      <c r="AF4414">
        <v>-1.38194095550387</v>
      </c>
      <c r="AG4414">
        <v>-1.1146054419739999</v>
      </c>
      <c r="AH4414">
        <v>7.0272266545738296</v>
      </c>
      <c r="AI4414">
        <v>98.846067291837102</v>
      </c>
      <c r="AJ4414">
        <v>101.125544757733</v>
      </c>
      <c r="AK4414">
        <v>7.2480356339169498</v>
      </c>
      <c r="AL4414">
        <v>66.311988225601496</v>
      </c>
      <c r="AM4414">
        <v>105.11358681151199</v>
      </c>
      <c r="AN4414">
        <v>1.0000000495216499</v>
      </c>
    </row>
    <row r="4415" spans="1:40" x14ac:dyDescent="0.25">
      <c r="A4415" t="str">
        <f>"20190304164459231"</f>
        <v>20190304164459231</v>
      </c>
      <c r="B4415" t="str">
        <f>"1551689099224852"</f>
        <v>1551689099224852</v>
      </c>
      <c r="C4415" t="s">
        <v>40</v>
      </c>
      <c r="D4415">
        <v>5.0504899999999999</v>
      </c>
      <c r="E4415">
        <v>0.47666649999999999</v>
      </c>
      <c r="F4415" t="s">
        <v>42</v>
      </c>
      <c r="G4415">
        <v>-395.03219999999999</v>
      </c>
      <c r="H4415" s="1">
        <v>-2.311554E-6</v>
      </c>
      <c r="I4415">
        <v>138.49950000000001</v>
      </c>
      <c r="J4415">
        <v>-388.03300000000002</v>
      </c>
      <c r="K4415">
        <v>1.1146069999999999</v>
      </c>
      <c r="L4415">
        <v>140.68719999999999</v>
      </c>
      <c r="M4415">
        <v>-0.99403359999999996</v>
      </c>
      <c r="N4415">
        <v>-1.4002000000000001E-2</v>
      </c>
      <c r="O4415">
        <v>-0.1081728</v>
      </c>
      <c r="P4415">
        <v>-0.85928559999999998</v>
      </c>
      <c r="Q4415">
        <v>0.39213249999999999</v>
      </c>
      <c r="R4415">
        <v>-0.32842100000000002</v>
      </c>
      <c r="S4415">
        <v>-3.3335569999999999</v>
      </c>
      <c r="T4415">
        <v>-0.50644420000000001</v>
      </c>
      <c r="U4415">
        <v>-1.0117799999999999</v>
      </c>
      <c r="V4415">
        <v>-0.23716290000000001</v>
      </c>
      <c r="W4415">
        <v>0.4024356</v>
      </c>
      <c r="X4415">
        <v>0.88419419999999904</v>
      </c>
      <c r="Y4415">
        <v>-0.18401980000000001</v>
      </c>
      <c r="Z4415">
        <v>-5.051252E-4</v>
      </c>
      <c r="AA4415">
        <v>0.98292239999999997</v>
      </c>
      <c r="AB4415">
        <v>35</v>
      </c>
      <c r="AC4415">
        <v>-6.9991999999999699</v>
      </c>
      <c r="AD4415">
        <v>-1.1146093115539999</v>
      </c>
      <c r="AE4415">
        <v>-2.1876999999999698</v>
      </c>
      <c r="AF4415">
        <v>-1.38565054527345</v>
      </c>
      <c r="AG4415">
        <v>-1.1146093115539999</v>
      </c>
      <c r="AH4415">
        <v>7.0323271175578901</v>
      </c>
      <c r="AI4415">
        <v>98.839148387016607</v>
      </c>
      <c r="AJ4415">
        <v>101.146773786106</v>
      </c>
      <c r="AK4415">
        <v>7.2536891330797699</v>
      </c>
      <c r="AL4415">
        <v>66.269472306411103</v>
      </c>
      <c r="AM4415">
        <v>105.014737620684</v>
      </c>
      <c r="AN4415">
        <v>1.0000000182987001</v>
      </c>
    </row>
    <row r="4416" spans="1:40" x14ac:dyDescent="0.25">
      <c r="A4416" t="str">
        <f>"20190304164459253"</f>
        <v>20190304164459253</v>
      </c>
      <c r="B4416" t="str">
        <f>"1551689099244371"</f>
        <v>1551689099244371</v>
      </c>
      <c r="C4416" t="s">
        <v>40</v>
      </c>
      <c r="D4416">
        <v>5.0429370000000002</v>
      </c>
      <c r="E4416">
        <v>0.45833990000000002</v>
      </c>
      <c r="F4416" t="s">
        <v>42</v>
      </c>
      <c r="G4416">
        <v>-396.75459999999998</v>
      </c>
      <c r="H4416" s="1">
        <v>-1.8781930000000001E-6</v>
      </c>
      <c r="I4416">
        <v>136.77690000000001</v>
      </c>
      <c r="J4416">
        <v>-388.3612</v>
      </c>
      <c r="K4416">
        <v>1.114609</v>
      </c>
      <c r="L4416">
        <v>140.64779999999999</v>
      </c>
      <c r="M4416">
        <v>-0.9936121</v>
      </c>
      <c r="N4416">
        <v>-1.4001120000000001E-2</v>
      </c>
      <c r="O4416">
        <v>-0.1119777</v>
      </c>
      <c r="P4416">
        <v>-0.85822809999999905</v>
      </c>
      <c r="Q4416">
        <v>0.39267370000000001</v>
      </c>
      <c r="R4416">
        <v>-0.33053329999999997</v>
      </c>
      <c r="S4416">
        <v>-3.1367189999999998</v>
      </c>
      <c r="T4416">
        <v>-0.40086709999999998</v>
      </c>
      <c r="U4416">
        <v>-1.4062809999999999</v>
      </c>
      <c r="V4416">
        <v>-0.23597380000000001</v>
      </c>
      <c r="W4416">
        <v>0.4029894</v>
      </c>
      <c r="X4416">
        <v>0.88426009999999999</v>
      </c>
      <c r="Y4416">
        <v>-0.30263859999999998</v>
      </c>
      <c r="Z4416">
        <v>-8.6100810000000003E-3</v>
      </c>
      <c r="AA4416">
        <v>0.95306650000000004</v>
      </c>
      <c r="AB4416">
        <v>35</v>
      </c>
      <c r="AC4416">
        <v>-8.3933999999999802</v>
      </c>
      <c r="AD4416">
        <v>-1.114610878193</v>
      </c>
      <c r="AE4416">
        <v>-3.87089999999997</v>
      </c>
      <c r="AF4416">
        <v>-2.86492291147714</v>
      </c>
      <c r="AG4416">
        <v>-1.114610878193</v>
      </c>
      <c r="AH4416">
        <v>8.6483350321714898</v>
      </c>
      <c r="AI4416">
        <v>96.975094372896805</v>
      </c>
      <c r="AJ4416">
        <v>108.328418905625</v>
      </c>
      <c r="AK4416">
        <v>9.1784442868700502</v>
      </c>
      <c r="AL4416">
        <v>66.234806371938802</v>
      </c>
      <c r="AM4416">
        <v>104.94176750544</v>
      </c>
      <c r="AN4416">
        <v>1.0000000076254001</v>
      </c>
    </row>
    <row r="4417" spans="1:40" x14ac:dyDescent="0.25">
      <c r="A4417" t="str">
        <f>"20190304164459276"</f>
        <v>20190304164459276</v>
      </c>
      <c r="B4417" t="str">
        <f>"1551689099264868"</f>
        <v>1551689099264868</v>
      </c>
      <c r="C4417" t="s">
        <v>40</v>
      </c>
      <c r="D4417">
        <v>4.9953589999999997</v>
      </c>
      <c r="E4417">
        <v>0.45114979999999899</v>
      </c>
      <c r="F4417" t="s">
        <v>42</v>
      </c>
      <c r="G4417">
        <v>-397.83420000000001</v>
      </c>
      <c r="H4417" s="1">
        <v>-1.720897E-6</v>
      </c>
      <c r="I4417">
        <v>135.86609999999999</v>
      </c>
      <c r="J4417">
        <v>-388.70589999999999</v>
      </c>
      <c r="K4417">
        <v>1.1146039999999999</v>
      </c>
      <c r="L4417">
        <v>140.60489999999999</v>
      </c>
      <c r="M4417">
        <v>-0.99315339999999996</v>
      </c>
      <c r="N4417">
        <v>-1.400002E-2</v>
      </c>
      <c r="O4417">
        <v>-0.1159757</v>
      </c>
      <c r="P4417">
        <v>-0.8569504</v>
      </c>
      <c r="Q4417">
        <v>0.39336900000000002</v>
      </c>
      <c r="R4417">
        <v>-0.33301209999999998</v>
      </c>
      <c r="S4417">
        <v>-3.0647579999999999</v>
      </c>
      <c r="T4417">
        <v>-0.36060540000000002</v>
      </c>
      <c r="U4417">
        <v>-1.546967</v>
      </c>
      <c r="V4417">
        <v>-0.2350034</v>
      </c>
      <c r="W4417">
        <v>0.40369369999999999</v>
      </c>
      <c r="X4417">
        <v>0.88419720000000002</v>
      </c>
      <c r="Y4417">
        <v>-0.34238410000000002</v>
      </c>
      <c r="Z4417">
        <v>-1.030239E-2</v>
      </c>
      <c r="AA4417">
        <v>0.93950359999999999</v>
      </c>
      <c r="AB4417">
        <v>34</v>
      </c>
      <c r="AC4417">
        <v>-9.1283000000000207</v>
      </c>
      <c r="AD4417">
        <v>-1.1146057208969999</v>
      </c>
      <c r="AE4417">
        <v>-4.7387999999999897</v>
      </c>
      <c r="AF4417">
        <v>-3.60570500498517</v>
      </c>
      <c r="AG4417">
        <v>-1.1146057208969999</v>
      </c>
      <c r="AH4417">
        <v>9.5047031617027393</v>
      </c>
      <c r="AI4417">
        <v>96.257160521165105</v>
      </c>
      <c r="AJ4417">
        <v>110.77474611313799</v>
      </c>
      <c r="AK4417">
        <v>10.2265750223676</v>
      </c>
      <c r="AL4417">
        <v>66.190705076582205</v>
      </c>
      <c r="AM4417">
        <v>104.884066083831</v>
      </c>
      <c r="AN4417">
        <v>0.99999994495954303</v>
      </c>
    </row>
    <row r="4418" spans="1:40" x14ac:dyDescent="0.25">
      <c r="A4418" t="str">
        <f>"20190304164459299"</f>
        <v>20190304164459299</v>
      </c>
      <c r="B4418" t="str">
        <f>"1551689099294148"</f>
        <v>1551689099294148</v>
      </c>
      <c r="C4418" t="s">
        <v>40</v>
      </c>
      <c r="D4418">
        <v>4.936312</v>
      </c>
      <c r="E4418">
        <v>0.44752789999999998</v>
      </c>
      <c r="F4418" t="s">
        <v>42</v>
      </c>
      <c r="G4418">
        <v>-398.45600000000002</v>
      </c>
      <c r="H4418" s="1">
        <v>-1.6227309999999999E-6</v>
      </c>
      <c r="I4418">
        <v>135.43969999999999</v>
      </c>
      <c r="J4418">
        <v>-389.04809999999998</v>
      </c>
      <c r="K4418">
        <v>1.1145959999999999</v>
      </c>
      <c r="L4418">
        <v>140.56100000000001</v>
      </c>
      <c r="M4418">
        <v>-0.9926817</v>
      </c>
      <c r="N4418">
        <v>-1.399866E-2</v>
      </c>
      <c r="O4418">
        <v>-0.1199457</v>
      </c>
      <c r="P4418">
        <v>-0.855631699999999</v>
      </c>
      <c r="Q4418">
        <v>0.39375500000000002</v>
      </c>
      <c r="R4418">
        <v>-0.33593390000000001</v>
      </c>
      <c r="S4418">
        <v>-3.0352169999999998</v>
      </c>
      <c r="T4418">
        <v>-0.3469777</v>
      </c>
      <c r="U4418">
        <v>-1.60791</v>
      </c>
      <c r="V4418">
        <v>-0.23450119999999999</v>
      </c>
      <c r="W4418">
        <v>0.40408539999999998</v>
      </c>
      <c r="X4418">
        <v>0.88415169999999998</v>
      </c>
      <c r="Y4418">
        <v>-0.35713909999999999</v>
      </c>
      <c r="Z4418">
        <v>-1.063777E-2</v>
      </c>
      <c r="AA4418">
        <v>0.93399069999999995</v>
      </c>
      <c r="AB4418">
        <v>34</v>
      </c>
      <c r="AC4418">
        <v>-9.4078999999999802</v>
      </c>
      <c r="AD4418">
        <v>-1.1145976227309999</v>
      </c>
      <c r="AE4418">
        <v>-5.1213000000000104</v>
      </c>
      <c r="AF4418">
        <v>-3.9133984405540798</v>
      </c>
      <c r="AG4418">
        <v>-1.1145976227309999</v>
      </c>
      <c r="AH4418">
        <v>9.8476765177019505</v>
      </c>
      <c r="AI4418">
        <v>96.004453546625001</v>
      </c>
      <c r="AJ4418">
        <v>111.672530165735</v>
      </c>
      <c r="AK4418">
        <v>10.6552216313142</v>
      </c>
      <c r="AL4418">
        <v>66.166174367221302</v>
      </c>
      <c r="AM4418">
        <v>104.854397077542</v>
      </c>
      <c r="AN4418">
        <v>1.00000002595374</v>
      </c>
    </row>
    <row r="4419" spans="1:40" x14ac:dyDescent="0.25">
      <c r="A4419" t="str">
        <f>"20190304164459321"</f>
        <v>20190304164459321</v>
      </c>
      <c r="B4419" t="str">
        <f>"1551689099314643"</f>
        <v>1551689099314643</v>
      </c>
      <c r="C4419" t="s">
        <v>40</v>
      </c>
      <c r="D4419">
        <v>4.9573080000000003</v>
      </c>
      <c r="E4419">
        <v>0.44630829999999999</v>
      </c>
      <c r="F4419" t="s">
        <v>42</v>
      </c>
      <c r="G4419">
        <v>-398.9477</v>
      </c>
      <c r="H4419" s="1">
        <v>-1.5291579999999901E-6</v>
      </c>
      <c r="I4419">
        <v>135.16249999999999</v>
      </c>
      <c r="J4419">
        <v>-389.3895</v>
      </c>
      <c r="K4419">
        <v>1.1145940000000001</v>
      </c>
      <c r="L4419">
        <v>140.51570000000001</v>
      </c>
      <c r="M4419">
        <v>-0.99219520000000005</v>
      </c>
      <c r="N4419">
        <v>-1.399746E-2</v>
      </c>
      <c r="O4419">
        <v>-0.1239068</v>
      </c>
      <c r="P4419">
        <v>-0.85430799999999996</v>
      </c>
      <c r="Q4419">
        <v>0.39416370000000001</v>
      </c>
      <c r="R4419">
        <v>-0.33881109999999998</v>
      </c>
      <c r="S4419">
        <v>-3.016632</v>
      </c>
      <c r="T4419">
        <v>-0.33964050000000001</v>
      </c>
      <c r="U4419">
        <v>-1.6450039999999999</v>
      </c>
      <c r="V4419">
        <v>-0.23396600000000001</v>
      </c>
      <c r="W4419">
        <v>0.40450019999999998</v>
      </c>
      <c r="X4419">
        <v>0.8841038</v>
      </c>
      <c r="Y4419">
        <v>-0.36470330000000001</v>
      </c>
      <c r="Z4419">
        <v>-1.0624460000000001E-2</v>
      </c>
      <c r="AA4419">
        <v>0.93106319999999998</v>
      </c>
      <c r="AB4419">
        <v>34</v>
      </c>
      <c r="AC4419">
        <v>-9.5581999999999994</v>
      </c>
      <c r="AD4419">
        <v>-1.1145955291580001</v>
      </c>
      <c r="AE4419">
        <v>-5.35320000000001</v>
      </c>
      <c r="AF4419">
        <v>-4.0852101387695399</v>
      </c>
      <c r="AG4419">
        <v>-1.1145955291580001</v>
      </c>
      <c r="AH4419">
        <v>10.0439236660939</v>
      </c>
      <c r="AI4419">
        <v>95.869081624988695</v>
      </c>
      <c r="AJ4419">
        <v>112.13327103341</v>
      </c>
      <c r="AK4419">
        <v>10.9000764988988</v>
      </c>
      <c r="AL4419">
        <v>66.140189486644701</v>
      </c>
      <c r="AM4419">
        <v>104.82275670571499</v>
      </c>
      <c r="AN4419">
        <v>1.0000000150652399</v>
      </c>
    </row>
    <row r="4420" spans="1:40" x14ac:dyDescent="0.25">
      <c r="A4420" t="str">
        <f>"20190304164459343"</f>
        <v>20190304164459343</v>
      </c>
      <c r="B4420" t="str">
        <f>"1551689099334162"</f>
        <v>1551689099334162</v>
      </c>
      <c r="C4420" t="s">
        <v>40</v>
      </c>
      <c r="D4420">
        <v>4.9503810000000001</v>
      </c>
      <c r="E4420">
        <v>0.44542749999999998</v>
      </c>
      <c r="F4420" t="s">
        <v>42</v>
      </c>
      <c r="G4420">
        <v>-399.298</v>
      </c>
      <c r="H4420" s="1">
        <v>-1.446152E-6</v>
      </c>
      <c r="I4420">
        <v>135.0265</v>
      </c>
      <c r="J4420">
        <v>-389.73689999999999</v>
      </c>
      <c r="K4420">
        <v>1.1145860000000001</v>
      </c>
      <c r="L4420">
        <v>140.4683</v>
      </c>
      <c r="M4420">
        <v>-0.99168319999999999</v>
      </c>
      <c r="N4420">
        <v>-1.399625E-2</v>
      </c>
      <c r="O4420">
        <v>-0.12793950000000001</v>
      </c>
      <c r="P4420">
        <v>-0.85283449999999905</v>
      </c>
      <c r="Q4420">
        <v>0.39410580000000001</v>
      </c>
      <c r="R4420">
        <v>-0.3425704</v>
      </c>
      <c r="S4420">
        <v>-3.00705</v>
      </c>
      <c r="T4420">
        <v>-0.33826020000000001</v>
      </c>
      <c r="U4420">
        <v>-1.6658630000000001</v>
      </c>
      <c r="V4420">
        <v>-0.2342581</v>
      </c>
      <c r="W4420">
        <v>0.40444089999999999</v>
      </c>
      <c r="X4420">
        <v>0.88405359999999999</v>
      </c>
      <c r="Y4420">
        <v>-0.36713230000000002</v>
      </c>
      <c r="Z4420">
        <v>-1.0395740000000001E-2</v>
      </c>
      <c r="AA4420">
        <v>0.93011060000000001</v>
      </c>
      <c r="AB4420">
        <v>34</v>
      </c>
      <c r="AC4420">
        <v>-9.5611000000000104</v>
      </c>
      <c r="AD4420">
        <v>-1.114587446152</v>
      </c>
      <c r="AE4420">
        <v>-5.4417999999999997</v>
      </c>
      <c r="AF4420">
        <v>-4.1313018866537696</v>
      </c>
      <c r="AG4420">
        <v>-1.114587446152</v>
      </c>
      <c r="AH4420">
        <v>10.0753805524788</v>
      </c>
      <c r="AI4420">
        <v>95.844125612893606</v>
      </c>
      <c r="AJ4420">
        <v>112.29555631596</v>
      </c>
      <c r="AK4420">
        <v>10.946380850813499</v>
      </c>
      <c r="AL4420">
        <v>66.143905040030802</v>
      </c>
      <c r="AM4420">
        <v>104.84125183327301</v>
      </c>
      <c r="AN4420">
        <v>1.00000003334068</v>
      </c>
    </row>
    <row r="4421" spans="1:40" x14ac:dyDescent="0.25">
      <c r="A4421" t="str">
        <f>"20190304164459365"</f>
        <v>20190304164459365</v>
      </c>
      <c r="B4421" t="str">
        <f>"1551689099354660"</f>
        <v>1551689099354660</v>
      </c>
      <c r="C4421" t="s">
        <v>40</v>
      </c>
      <c r="D4421">
        <v>4.9441319999999997</v>
      </c>
      <c r="E4421">
        <v>0.44472669999999997</v>
      </c>
      <c r="F4421" t="s">
        <v>42</v>
      </c>
      <c r="G4421">
        <v>-399.54579999999999</v>
      </c>
      <c r="H4421" s="1">
        <v>-1.3817679999999901E-6</v>
      </c>
      <c r="I4421">
        <v>134.95150000000001</v>
      </c>
      <c r="J4421">
        <v>-390.05720000000002</v>
      </c>
      <c r="K4421">
        <v>1.114581</v>
      </c>
      <c r="L4421">
        <v>140.42330000000001</v>
      </c>
      <c r="M4421">
        <v>-0.99119659999999998</v>
      </c>
      <c r="N4421">
        <v>-1.399505E-2</v>
      </c>
      <c r="O4421">
        <v>-0.13165769999999999</v>
      </c>
      <c r="P4421">
        <v>-0.85141</v>
      </c>
      <c r="Q4421">
        <v>0.39407140000000002</v>
      </c>
      <c r="R4421">
        <v>-0.34613480000000002</v>
      </c>
      <c r="S4421">
        <v>-2.997833</v>
      </c>
      <c r="T4421">
        <v>-0.34064529999999998</v>
      </c>
      <c r="U4421">
        <v>-1.68605</v>
      </c>
      <c r="V4421">
        <v>-0.23463580000000001</v>
      </c>
      <c r="W4421">
        <v>0.40440379999999998</v>
      </c>
      <c r="X4421">
        <v>0.88397039999999905</v>
      </c>
      <c r="Y4421">
        <v>-0.36960759999999998</v>
      </c>
      <c r="Z4421">
        <v>-1.0262530000000001E-2</v>
      </c>
      <c r="AA4421">
        <v>0.92913129999999999</v>
      </c>
      <c r="AB4421">
        <v>34</v>
      </c>
      <c r="AC4421">
        <v>-9.4885999999999608</v>
      </c>
      <c r="AD4421">
        <v>-1.1145823817680001</v>
      </c>
      <c r="AE4421">
        <v>-5.4718</v>
      </c>
      <c r="AF4421">
        <v>-4.1320049181799297</v>
      </c>
      <c r="AG4421">
        <v>-1.1145823817680001</v>
      </c>
      <c r="AH4421">
        <v>10.022681152137601</v>
      </c>
      <c r="AI4421">
        <v>95.870047760251794</v>
      </c>
      <c r="AJ4421">
        <v>112.404660814698</v>
      </c>
      <c r="AK4421">
        <v>10.8981602120278</v>
      </c>
      <c r="AL4421">
        <v>66.146229184153199</v>
      </c>
      <c r="AM4421">
        <v>104.865459322021</v>
      </c>
      <c r="AN4421">
        <v>1.00000003008611</v>
      </c>
    </row>
    <row r="4422" spans="1:40" x14ac:dyDescent="0.25">
      <c r="A4422" t="str">
        <f>"20190304164459387"</f>
        <v>20190304164459387</v>
      </c>
      <c r="B4422" t="str">
        <f>"1551689099384915"</f>
        <v>1551689099384915</v>
      </c>
      <c r="C4422" t="s">
        <v>40</v>
      </c>
      <c r="D4422">
        <v>4.9703410000000003</v>
      </c>
      <c r="E4422">
        <v>0.44413320000000001</v>
      </c>
      <c r="F4422" t="s">
        <v>42</v>
      </c>
      <c r="G4422">
        <v>-399.79050000000001</v>
      </c>
      <c r="H4422" s="1">
        <v>-1.3181839999999999E-6</v>
      </c>
      <c r="I4422">
        <v>134.8775</v>
      </c>
      <c r="J4422">
        <v>-390.399</v>
      </c>
      <c r="K4422">
        <v>1.114576</v>
      </c>
      <c r="L4422">
        <v>140.37389999999999</v>
      </c>
      <c r="M4422">
        <v>-0.99066100000000001</v>
      </c>
      <c r="N4422">
        <v>-1.3993810000000001E-2</v>
      </c>
      <c r="O4422">
        <v>-0.13562750000000001</v>
      </c>
      <c r="P4422">
        <v>-0.84989619999999999</v>
      </c>
      <c r="Q4422">
        <v>0.39367479999999999</v>
      </c>
      <c r="R4422">
        <v>-0.35028100000000001</v>
      </c>
      <c r="S4422">
        <v>-2.9895019999999999</v>
      </c>
      <c r="T4422">
        <v>-0.34233400000000003</v>
      </c>
      <c r="U4422">
        <v>-1.7033229999999999</v>
      </c>
      <c r="V4422">
        <v>-0.2353749</v>
      </c>
      <c r="W4422">
        <v>0.40400170000000002</v>
      </c>
      <c r="X4422">
        <v>0.88395769999999996</v>
      </c>
      <c r="Y4422">
        <v>-0.37104730000000002</v>
      </c>
      <c r="Z4422">
        <v>-1.002836E-2</v>
      </c>
      <c r="AA4422">
        <v>0.92855980000000005</v>
      </c>
      <c r="AB4422">
        <v>34</v>
      </c>
      <c r="AC4422">
        <v>-9.3915000000000006</v>
      </c>
      <c r="AD4422">
        <v>-1.114577318184</v>
      </c>
      <c r="AE4422">
        <v>-5.4963999999999897</v>
      </c>
      <c r="AF4422">
        <v>-4.12841971961479</v>
      </c>
      <c r="AG4422">
        <v>-1.114577318184</v>
      </c>
      <c r="AH4422">
        <v>9.9458951468667394</v>
      </c>
      <c r="AI4422">
        <v>95.9091676578593</v>
      </c>
      <c r="AJ4422">
        <v>112.542741300025</v>
      </c>
      <c r="AK4422">
        <v>10.8262164328994</v>
      </c>
      <c r="AL4422">
        <v>66.1714155028764</v>
      </c>
      <c r="AM4422">
        <v>104.910407451111</v>
      </c>
      <c r="AN4422">
        <v>0.999999966271094</v>
      </c>
    </row>
    <row r="4423" spans="1:40" x14ac:dyDescent="0.25">
      <c r="A4423" t="str">
        <f>"20190304164459410"</f>
        <v>20190304164459410</v>
      </c>
      <c r="B4423" t="str">
        <f>"1551689099404439"</f>
        <v>1551689099404439</v>
      </c>
      <c r="C4423" t="s">
        <v>40</v>
      </c>
      <c r="D4423">
        <v>4.9441769999999998</v>
      </c>
      <c r="E4423">
        <v>0.44361089999999997</v>
      </c>
      <c r="F4423" t="s">
        <v>48</v>
      </c>
      <c r="G4423">
        <v>-399.96719999999999</v>
      </c>
      <c r="H4423" s="1">
        <v>-2.8247709999999999E-6</v>
      </c>
      <c r="I4423">
        <v>134.84880000000001</v>
      </c>
      <c r="J4423">
        <v>-390.73829999999998</v>
      </c>
      <c r="K4423">
        <v>1.114579</v>
      </c>
      <c r="L4423">
        <v>140.3235</v>
      </c>
      <c r="M4423">
        <v>-0.99011249999999995</v>
      </c>
      <c r="N4423">
        <v>-1.3992579999999999E-2</v>
      </c>
      <c r="O4423">
        <v>-0.13957649999999999</v>
      </c>
      <c r="P4423">
        <v>-0.84855910000000001</v>
      </c>
      <c r="Q4423">
        <v>0.3933526</v>
      </c>
      <c r="R4423">
        <v>-0.35386630000000002</v>
      </c>
      <c r="S4423">
        <v>-2.981201</v>
      </c>
      <c r="T4423">
        <v>-0.347275099999999</v>
      </c>
      <c r="U4423">
        <v>-1.7215119999999999</v>
      </c>
      <c r="V4423">
        <v>-0.23555719999999999</v>
      </c>
      <c r="W4423">
        <v>0.40367969999999997</v>
      </c>
      <c r="X4423">
        <v>0.88405630000000002</v>
      </c>
      <c r="Y4423">
        <v>-0.37268269999999998</v>
      </c>
      <c r="Z4423">
        <v>-9.8528190000000005E-3</v>
      </c>
      <c r="AA4423">
        <v>0.92790649999999997</v>
      </c>
      <c r="AB4423">
        <v>34</v>
      </c>
      <c r="AC4423">
        <v>-9.2289000000000101</v>
      </c>
      <c r="AD4423">
        <v>-1.114581824771</v>
      </c>
      <c r="AE4423">
        <v>-5.4746999999999799</v>
      </c>
      <c r="AF4423">
        <v>-4.0887226194520601</v>
      </c>
      <c r="AG4423">
        <v>-1.114581824771</v>
      </c>
      <c r="AH4423">
        <v>9.7970575034201204</v>
      </c>
      <c r="AI4423">
        <v>95.993554810083396</v>
      </c>
      <c r="AJ4423">
        <v>112.652822116279</v>
      </c>
      <c r="AK4423">
        <v>10.674374971315601</v>
      </c>
      <c r="AL4423">
        <v>66.191583681246797</v>
      </c>
      <c r="AM4423">
        <v>104.919850776041</v>
      </c>
      <c r="AN4423">
        <v>1.0000000181168001</v>
      </c>
    </row>
    <row r="4424" spans="1:40" x14ac:dyDescent="0.25">
      <c r="A4424" t="str">
        <f>"20190304164459432"</f>
        <v>20190304164459432</v>
      </c>
      <c r="B4424" t="str">
        <f>"1551689099424931"</f>
        <v>1551689099424931</v>
      </c>
      <c r="C4424" t="s">
        <v>40</v>
      </c>
      <c r="D4424">
        <v>4.9445420000000002</v>
      </c>
      <c r="E4424">
        <v>0.44323649999999998</v>
      </c>
      <c r="F4424" t="s">
        <v>48</v>
      </c>
      <c r="G4424">
        <v>-400.22109999999998</v>
      </c>
      <c r="H4424" s="1">
        <v>-2.9308150000000002E-6</v>
      </c>
      <c r="I4424">
        <v>134.7757</v>
      </c>
      <c r="J4424">
        <v>-391.07729999999998</v>
      </c>
      <c r="K4424">
        <v>1.1145860000000001</v>
      </c>
      <c r="L4424">
        <v>140.27180000000001</v>
      </c>
      <c r="M4424">
        <v>-0.98954589999999998</v>
      </c>
      <c r="N4424">
        <v>-1.3991450000000001E-2</v>
      </c>
      <c r="O4424">
        <v>-0.14353859999999999</v>
      </c>
      <c r="P4424">
        <v>-0.8473562</v>
      </c>
      <c r="Q4424">
        <v>0.39315800000000001</v>
      </c>
      <c r="R4424">
        <v>-0.35695169999999998</v>
      </c>
      <c r="S4424">
        <v>-2.9722599999999999</v>
      </c>
      <c r="T4424">
        <v>-0.3493521</v>
      </c>
      <c r="U4424">
        <v>-1.738907</v>
      </c>
      <c r="V4424">
        <v>-0.2352224</v>
      </c>
      <c r="W4424">
        <v>0.40348780000000001</v>
      </c>
      <c r="X4424">
        <v>0.88423300000000005</v>
      </c>
      <c r="Y4424">
        <v>-0.37422250000000001</v>
      </c>
      <c r="Z4424">
        <v>-9.6218599999999994E-3</v>
      </c>
      <c r="AA4424">
        <v>0.92728900000000003</v>
      </c>
      <c r="AB4424">
        <v>34</v>
      </c>
      <c r="AC4424">
        <v>-9.1438000000000006</v>
      </c>
      <c r="AD4424">
        <v>-1.1145889308149901</v>
      </c>
      <c r="AE4424">
        <v>-5.49610000000001</v>
      </c>
      <c r="AF4424">
        <v>-4.0820032949007601</v>
      </c>
      <c r="AG4424">
        <v>-1.1145889308149901</v>
      </c>
      <c r="AH4424">
        <v>9.7318508658442404</v>
      </c>
      <c r="AI4424">
        <v>96.028967516992495</v>
      </c>
      <c r="AJ4424">
        <v>112.75550519106901</v>
      </c>
      <c r="AK4424">
        <v>10.6119734573409</v>
      </c>
      <c r="AL4424">
        <v>66.203600188506599</v>
      </c>
      <c r="AM4424">
        <v>104.89674376746601</v>
      </c>
      <c r="AN4424">
        <v>0.99999999024980002</v>
      </c>
    </row>
    <row r="4425" spans="1:40" x14ac:dyDescent="0.25">
      <c r="A4425" t="str">
        <f>"20190304164459454"</f>
        <v>20190304164459454</v>
      </c>
      <c r="B4425" t="str">
        <f>"1551689099444452"</f>
        <v>1551689099444452</v>
      </c>
      <c r="C4425" t="s">
        <v>40</v>
      </c>
      <c r="D4425">
        <v>4.8634240000000002</v>
      </c>
      <c r="E4425">
        <v>0.44274590000000003</v>
      </c>
      <c r="F4425" t="s">
        <v>48</v>
      </c>
      <c r="G4425">
        <v>-400.4905</v>
      </c>
      <c r="H4425" s="1">
        <v>-3.0456870000000002E-6</v>
      </c>
      <c r="I4425">
        <v>134.70269999999999</v>
      </c>
      <c r="J4425">
        <v>-391.40159999999997</v>
      </c>
      <c r="K4425">
        <v>1.114601</v>
      </c>
      <c r="L4425">
        <v>140.22110000000001</v>
      </c>
      <c r="M4425">
        <v>-0.98898390000000003</v>
      </c>
      <c r="N4425">
        <v>-1.399065E-2</v>
      </c>
      <c r="O4425">
        <v>-0.14736050000000001</v>
      </c>
      <c r="P4425">
        <v>-0.8455724</v>
      </c>
      <c r="Q4425">
        <v>0.39378990000000003</v>
      </c>
      <c r="R4425">
        <v>-0.36046790000000001</v>
      </c>
      <c r="S4425">
        <v>-2.9644780000000002</v>
      </c>
      <c r="T4425">
        <v>-0.35101680000000002</v>
      </c>
      <c r="U4425">
        <v>-1.75387599999999</v>
      </c>
      <c r="V4425">
        <v>-0.23554330000000001</v>
      </c>
      <c r="W4425">
        <v>0.4041033</v>
      </c>
      <c r="X4425">
        <v>0.88386640000000005</v>
      </c>
      <c r="Y4425">
        <v>-0.37517309999999998</v>
      </c>
      <c r="Z4425">
        <v>-9.356708E-3</v>
      </c>
      <c r="AA4425">
        <v>0.9269075</v>
      </c>
      <c r="AB4425">
        <v>34</v>
      </c>
      <c r="AC4425">
        <v>-9.0889000000000202</v>
      </c>
      <c r="AD4425">
        <v>-1.1146040456869999</v>
      </c>
      <c r="AE4425">
        <v>-5.5184000000000104</v>
      </c>
      <c r="AF4425">
        <v>-4.07390189310805</v>
      </c>
      <c r="AG4425">
        <v>-1.1146040456869999</v>
      </c>
      <c r="AH4425">
        <v>9.6963829568538795</v>
      </c>
      <c r="AI4425">
        <v>96.0494410356374</v>
      </c>
      <c r="AJ4425">
        <v>112.789543209858</v>
      </c>
      <c r="AK4425">
        <v>10.5763349634595</v>
      </c>
      <c r="AL4425">
        <v>66.165051689393394</v>
      </c>
      <c r="AM4425">
        <v>104.92207202514</v>
      </c>
      <c r="AN4425">
        <v>0.99999996814736902</v>
      </c>
    </row>
    <row r="4426" spans="1:40" x14ac:dyDescent="0.25">
      <c r="A4426" t="str">
        <f>"20190304164459477"</f>
        <v>20190304164459477</v>
      </c>
      <c r="B4426" t="str">
        <f>"1551689099464561"</f>
        <v>1551689099464561</v>
      </c>
      <c r="C4426" t="s">
        <v>40</v>
      </c>
      <c r="D4426">
        <v>4.9289249999999996</v>
      </c>
      <c r="E4426">
        <v>0.42273539999999998</v>
      </c>
      <c r="F4426" t="s">
        <v>41</v>
      </c>
      <c r="G4426">
        <v>-392.3648</v>
      </c>
      <c r="H4426">
        <v>1.000542</v>
      </c>
      <c r="I4426">
        <v>139.64429999999999</v>
      </c>
      <c r="J4426">
        <v>-391.73939999999999</v>
      </c>
      <c r="K4426">
        <v>1.114633</v>
      </c>
      <c r="L4426">
        <v>140.16659999999999</v>
      </c>
      <c r="M4426">
        <v>-0.98837319999999995</v>
      </c>
      <c r="N4426">
        <v>-1.3990549999999999E-2</v>
      </c>
      <c r="O4426">
        <v>-0.1514026</v>
      </c>
      <c r="P4426">
        <v>-0.84375979999999995</v>
      </c>
      <c r="Q4426">
        <v>0.39415879999999998</v>
      </c>
      <c r="R4426">
        <v>-0.36429149999999999</v>
      </c>
      <c r="S4426">
        <v>-2.9561459999999999</v>
      </c>
      <c r="T4426">
        <v>-0.35004210000000002</v>
      </c>
      <c r="U4426">
        <v>-1.7705379999999999</v>
      </c>
      <c r="V4426">
        <v>-0.23599300000000001</v>
      </c>
      <c r="W4426">
        <v>0.40444609999999998</v>
      </c>
      <c r="X4426">
        <v>0.88358959999999998</v>
      </c>
      <c r="Y4426">
        <v>-0.37639929999999999</v>
      </c>
      <c r="Z4426">
        <v>-9.0534929999999993E-3</v>
      </c>
      <c r="AA4426">
        <v>0.9264133</v>
      </c>
      <c r="AB4426">
        <v>34</v>
      </c>
      <c r="AC4426">
        <v>-0.62540000000001295</v>
      </c>
      <c r="AD4426">
        <v>-0.114090999999999</v>
      </c>
      <c r="AE4426">
        <v>-0.52230000000000099</v>
      </c>
      <c r="AF4426">
        <v>-0.41347486245619602</v>
      </c>
      <c r="AG4426">
        <v>-0.114090999999999</v>
      </c>
      <c r="AH4426">
        <v>0.68386662006333299</v>
      </c>
      <c r="AI4426">
        <v>98.124988904267795</v>
      </c>
      <c r="AJ4426">
        <v>121.15771641947801</v>
      </c>
      <c r="AK4426">
        <v>0.807249510499089</v>
      </c>
      <c r="AL4426">
        <v>66.143577475183903</v>
      </c>
      <c r="AM4426">
        <v>104.953760318573</v>
      </c>
      <c r="AN4426">
        <v>0.99999996254118395</v>
      </c>
    </row>
    <row r="4427" spans="1:40" x14ac:dyDescent="0.25">
      <c r="A4427" t="str">
        <f>"20190304164459500"</f>
        <v>20190304164459500</v>
      </c>
      <c r="B4427" t="str">
        <f>"1551689099494797"</f>
        <v>1551689099494797</v>
      </c>
      <c r="C4427" t="s">
        <v>40</v>
      </c>
      <c r="D4427">
        <v>4.8865069999999999</v>
      </c>
      <c r="E4427">
        <v>0.41505150000000002</v>
      </c>
      <c r="F4427" t="s">
        <v>41</v>
      </c>
      <c r="G4427">
        <v>-392.6454</v>
      </c>
      <c r="H4427">
        <v>1.003269</v>
      </c>
      <c r="I4427">
        <v>139.56049999999999</v>
      </c>
      <c r="J4427">
        <v>-392.09199999999998</v>
      </c>
      <c r="K4427">
        <v>1.1146799999999999</v>
      </c>
      <c r="L4427">
        <v>140.10810000000001</v>
      </c>
      <c r="M4427">
        <v>-0.98770780000000002</v>
      </c>
      <c r="N4427">
        <v>-1.399125E-2</v>
      </c>
      <c r="O4427">
        <v>-0.1556844</v>
      </c>
      <c r="P4427">
        <v>-0.84193929999999995</v>
      </c>
      <c r="Q4427">
        <v>0.39451350000000002</v>
      </c>
      <c r="R4427">
        <v>-0.36810009999999999</v>
      </c>
      <c r="S4427">
        <v>-2.8873289999999998</v>
      </c>
      <c r="T4427">
        <v>-0.35492319999999999</v>
      </c>
      <c r="U4427">
        <v>-1.9317629999999999</v>
      </c>
      <c r="V4427">
        <v>-0.23622840000000001</v>
      </c>
      <c r="W4427">
        <v>0.40477180000000001</v>
      </c>
      <c r="X4427">
        <v>0.88337759999999999</v>
      </c>
      <c r="Y4427">
        <v>-0.41804259999999899</v>
      </c>
      <c r="Z4427">
        <v>-1.139798E-2</v>
      </c>
      <c r="AA4427">
        <v>0.90835600000000005</v>
      </c>
      <c r="AB4427">
        <v>34</v>
      </c>
      <c r="AC4427">
        <v>-0.55340000000001</v>
      </c>
      <c r="AD4427">
        <v>-0.111410999999999</v>
      </c>
      <c r="AE4427">
        <v>-0.54760000000001696</v>
      </c>
      <c r="AF4427">
        <v>-0.445631642491567</v>
      </c>
      <c r="AG4427">
        <v>-0.111410999999999</v>
      </c>
      <c r="AH4427">
        <v>0.61923113689121301</v>
      </c>
      <c r="AI4427">
        <v>98.308395586520504</v>
      </c>
      <c r="AJ4427">
        <v>125.74079721459201</v>
      </c>
      <c r="AK4427">
        <v>0.77100400297684302</v>
      </c>
      <c r="AL4427">
        <v>66.123172902587598</v>
      </c>
      <c r="AM4427">
        <v>104.97143822940799</v>
      </c>
      <c r="AN4427">
        <v>1.00000002561177</v>
      </c>
    </row>
    <row r="4428" spans="1:40" x14ac:dyDescent="0.25">
      <c r="A4428" t="str">
        <f>"20190304164459523"</f>
        <v>20190304164459523</v>
      </c>
      <c r="B4428" t="str">
        <f>"1551689099514317"</f>
        <v>1551689099514317</v>
      </c>
      <c r="C4428" t="s">
        <v>40</v>
      </c>
      <c r="D4428">
        <v>4.8936140000000004</v>
      </c>
      <c r="E4428">
        <v>0.41339700000000001</v>
      </c>
      <c r="F4428" t="s">
        <v>41</v>
      </c>
      <c r="G4428">
        <v>-392.94369999999998</v>
      </c>
      <c r="H4428">
        <v>1.008178</v>
      </c>
      <c r="I4428">
        <v>139.51079999999999</v>
      </c>
      <c r="J4428">
        <v>-392.4196</v>
      </c>
      <c r="K4428">
        <v>1.114735</v>
      </c>
      <c r="L4428">
        <v>140.05240000000001</v>
      </c>
      <c r="M4428">
        <v>-0.98705889999999996</v>
      </c>
      <c r="N4428">
        <v>-1.3992360000000001E-2</v>
      </c>
      <c r="O4428">
        <v>-0.15974630000000001</v>
      </c>
      <c r="P4428">
        <v>-0.84054859999999898</v>
      </c>
      <c r="Q4428">
        <v>0.3945784</v>
      </c>
      <c r="R4428">
        <v>-0.37119540000000001</v>
      </c>
      <c r="S4428">
        <v>-2.8548279999999999</v>
      </c>
      <c r="T4428">
        <v>-0.35696600000000001</v>
      </c>
      <c r="U4428">
        <v>-2.0026549999999999</v>
      </c>
      <c r="V4428">
        <v>-0.23590069999999999</v>
      </c>
      <c r="W4428">
        <v>0.4048119</v>
      </c>
      <c r="X4428">
        <v>0.88344679999999998</v>
      </c>
      <c r="Y4428">
        <v>-0.43419770000000002</v>
      </c>
      <c r="Z4428">
        <v>-1.2111230000000001E-2</v>
      </c>
      <c r="AA4428">
        <v>0.90073619999999999</v>
      </c>
      <c r="AB4428">
        <v>34</v>
      </c>
      <c r="AC4428">
        <v>-0.52409999999997503</v>
      </c>
      <c r="AD4428">
        <v>-0.106557</v>
      </c>
      <c r="AE4428">
        <v>-0.54160000000001596</v>
      </c>
      <c r="AF4428">
        <v>-0.44207525633556299</v>
      </c>
      <c r="AG4428">
        <v>-0.106557</v>
      </c>
      <c r="AH4428">
        <v>0.59206018068353405</v>
      </c>
      <c r="AI4428">
        <v>98.206123221217595</v>
      </c>
      <c r="AJ4428">
        <v>126.747698035029</v>
      </c>
      <c r="AK4428">
        <v>0.74653880278534301</v>
      </c>
      <c r="AL4428">
        <v>66.120660434277099</v>
      </c>
      <c r="AM4428">
        <v>104.950481590575</v>
      </c>
      <c r="AN4428">
        <v>1.0000000315361599</v>
      </c>
    </row>
    <row r="4429" spans="1:40" x14ac:dyDescent="0.25">
      <c r="A4429" t="str">
        <f>"20190304164459544"</f>
        <v>20190304164459544</v>
      </c>
      <c r="B4429" t="str">
        <f>"1551689099534812"</f>
        <v>1551689099534812</v>
      </c>
      <c r="C4429" t="s">
        <v>40</v>
      </c>
      <c r="D4429">
        <v>4.8803599999999996</v>
      </c>
      <c r="E4429">
        <v>0.41207080000000001</v>
      </c>
      <c r="F4429" t="s">
        <v>41</v>
      </c>
      <c r="G4429">
        <v>-393.24360000000001</v>
      </c>
      <c r="H4429">
        <v>1.011368</v>
      </c>
      <c r="I4429">
        <v>139.46520000000001</v>
      </c>
      <c r="J4429">
        <v>-392.75459999999998</v>
      </c>
      <c r="K4429">
        <v>1.114811</v>
      </c>
      <c r="L4429">
        <v>139.9939</v>
      </c>
      <c r="M4429">
        <v>-0.98635689999999998</v>
      </c>
      <c r="N4429">
        <v>-1.399487E-2</v>
      </c>
      <c r="O4429">
        <v>-0.16402530000000001</v>
      </c>
      <c r="P4429">
        <v>-0.83849300000000004</v>
      </c>
      <c r="Q4429">
        <v>0.3951653</v>
      </c>
      <c r="R4429">
        <v>-0.3751987</v>
      </c>
      <c r="S4429">
        <v>-2.842133</v>
      </c>
      <c r="T4429">
        <v>-0.3565199</v>
      </c>
      <c r="U4429">
        <v>-2.025131</v>
      </c>
      <c r="V4429">
        <v>-0.23641100000000001</v>
      </c>
      <c r="W4429">
        <v>0.40534690000000001</v>
      </c>
      <c r="X4429">
        <v>0.88306499999999999</v>
      </c>
      <c r="Y4429">
        <v>-0.43692690000000001</v>
      </c>
      <c r="Z4429">
        <v>-1.188636E-2</v>
      </c>
      <c r="AA4429">
        <v>0.89941849999999901</v>
      </c>
      <c r="AB4429">
        <v>34</v>
      </c>
      <c r="AC4429">
        <v>-0.48900000000003202</v>
      </c>
      <c r="AD4429">
        <v>-0.10344299999999899</v>
      </c>
      <c r="AE4429">
        <v>-0.52869999999998596</v>
      </c>
      <c r="AF4429">
        <v>-0.43240061787683998</v>
      </c>
      <c r="AG4429">
        <v>-0.10344299999999899</v>
      </c>
      <c r="AH4429">
        <v>0.55760024039065303</v>
      </c>
      <c r="AI4429">
        <v>98.340174356781404</v>
      </c>
      <c r="AJ4429">
        <v>127.79239927229401</v>
      </c>
      <c r="AK4429">
        <v>0.71315410443535099</v>
      </c>
      <c r="AL4429">
        <v>66.087133315084401</v>
      </c>
      <c r="AM4429">
        <v>104.987555773683</v>
      </c>
      <c r="AN4429">
        <v>1.0000000322428</v>
      </c>
    </row>
    <row r="4430" spans="1:40" x14ac:dyDescent="0.25">
      <c r="A4430" t="str">
        <f>"20190304164459566"</f>
        <v>20190304164459566</v>
      </c>
      <c r="B4430" t="str">
        <f>"1551689099554333"</f>
        <v>1551689099554333</v>
      </c>
      <c r="C4430" t="s">
        <v>40</v>
      </c>
      <c r="D4430">
        <v>4.8697089999999896</v>
      </c>
      <c r="E4430">
        <v>0.41121999999999997</v>
      </c>
      <c r="F4430" t="s">
        <v>41</v>
      </c>
      <c r="G4430">
        <v>-393.54480000000001</v>
      </c>
      <c r="H4430">
        <v>1.0152749999999999</v>
      </c>
      <c r="I4430">
        <v>139.4229</v>
      </c>
      <c r="J4430">
        <v>-393.08019999999999</v>
      </c>
      <c r="K4430">
        <v>1.1149129999999901</v>
      </c>
      <c r="L4430">
        <v>139.93539999999999</v>
      </c>
      <c r="M4430">
        <v>-0.98562930000000004</v>
      </c>
      <c r="N4430">
        <v>-1.3999370000000001E-2</v>
      </c>
      <c r="O4430">
        <v>-0.16834180000000001</v>
      </c>
      <c r="P4430">
        <v>-0.83697069999999996</v>
      </c>
      <c r="Q4430">
        <v>0.39363809999999999</v>
      </c>
      <c r="R4430">
        <v>-0.38017010000000001</v>
      </c>
      <c r="S4430">
        <v>-2.8302610000000001</v>
      </c>
      <c r="T4430">
        <v>-0.356512</v>
      </c>
      <c r="U4430">
        <v>-2.0462950000000002</v>
      </c>
      <c r="V4430">
        <v>-0.237763</v>
      </c>
      <c r="W4430">
        <v>0.40375660000000002</v>
      </c>
      <c r="X4430">
        <v>0.88343050000000001</v>
      </c>
      <c r="Y4430">
        <v>-0.43920609999999999</v>
      </c>
      <c r="Z4430">
        <v>-1.1636820000000001E-2</v>
      </c>
      <c r="AA4430">
        <v>0.89831099999999997</v>
      </c>
      <c r="AB4430">
        <v>34</v>
      </c>
      <c r="AC4430">
        <v>-0.464600000000018</v>
      </c>
      <c r="AD4430">
        <v>-9.9637999999999893E-2</v>
      </c>
      <c r="AE4430">
        <v>-0.51249999999998797</v>
      </c>
      <c r="AF4430">
        <v>-0.41828696006955302</v>
      </c>
      <c r="AG4430">
        <v>-9.9637999999999893E-2</v>
      </c>
      <c r="AH4430">
        <v>0.53318966977312499</v>
      </c>
      <c r="AI4430">
        <v>98.364117729697497</v>
      </c>
      <c r="AJ4430">
        <v>128.11416184213999</v>
      </c>
      <c r="AK4430">
        <v>0.68496929563375397</v>
      </c>
      <c r="AL4430">
        <v>66.186768328265799</v>
      </c>
      <c r="AM4430">
        <v>105.063428107288</v>
      </c>
      <c r="AN4430">
        <v>1.0000000422713999</v>
      </c>
    </row>
    <row r="4431" spans="1:40" x14ac:dyDescent="0.25">
      <c r="A4431" t="str">
        <f>"20190304164459588"</f>
        <v>20190304164459588</v>
      </c>
      <c r="B4431" t="str">
        <f>"1551689099584201"</f>
        <v>1551689099584201</v>
      </c>
      <c r="C4431" t="s">
        <v>40</v>
      </c>
      <c r="D4431">
        <v>4.8923370000000004</v>
      </c>
      <c r="E4431">
        <v>0.41015449999999998</v>
      </c>
      <c r="F4431" t="s">
        <v>41</v>
      </c>
      <c r="G4431">
        <v>-393.84739999999999</v>
      </c>
      <c r="H4431">
        <v>1.015503</v>
      </c>
      <c r="I4431">
        <v>139.37389999999999</v>
      </c>
      <c r="J4431">
        <v>-393.40519999999998</v>
      </c>
      <c r="K4431">
        <v>1.115051</v>
      </c>
      <c r="L4431">
        <v>139.87549999999999</v>
      </c>
      <c r="M4431">
        <v>-0.98485089999999997</v>
      </c>
      <c r="N4431">
        <v>-1.4006090000000001E-2</v>
      </c>
      <c r="O4431">
        <v>-0.17283750000000001</v>
      </c>
      <c r="P4431">
        <v>-0.83536619999999995</v>
      </c>
      <c r="Q4431">
        <v>0.3924569</v>
      </c>
      <c r="R4431">
        <v>-0.38489119999999999</v>
      </c>
      <c r="S4431">
        <v>-2.8186040000000001</v>
      </c>
      <c r="T4431">
        <v>-0.36525960000000002</v>
      </c>
      <c r="U4431">
        <v>-2.064133</v>
      </c>
      <c r="V4431">
        <v>-0.23875289999999999</v>
      </c>
      <c r="W4431">
        <v>0.40249800000000002</v>
      </c>
      <c r="X4431">
        <v>0.88373769999999996</v>
      </c>
      <c r="Y4431">
        <v>-0.44051020000000002</v>
      </c>
      <c r="Z4431">
        <v>-1.144803E-2</v>
      </c>
      <c r="AA4431">
        <v>0.89767459999999899</v>
      </c>
      <c r="AB4431">
        <v>34</v>
      </c>
      <c r="AC4431">
        <v>-0.44220000000001303</v>
      </c>
      <c r="AD4431">
        <v>-9.95479999999999E-2</v>
      </c>
      <c r="AE4431">
        <v>-0.50159999999999605</v>
      </c>
      <c r="AF4431">
        <v>-0.40855870490220197</v>
      </c>
      <c r="AG4431">
        <v>-9.95479999999999E-2</v>
      </c>
      <c r="AH4431">
        <v>0.51092417146787295</v>
      </c>
      <c r="AI4431">
        <v>98.652323044213304</v>
      </c>
      <c r="AJ4431">
        <v>128.64745468133299</v>
      </c>
      <c r="AK4431">
        <v>0.66172012863860896</v>
      </c>
      <c r="AL4431">
        <v>66.265565178264893</v>
      </c>
      <c r="AM4431">
        <v>105.118259575122</v>
      </c>
      <c r="AN4431">
        <v>0.999999954831849</v>
      </c>
    </row>
    <row r="4432" spans="1:40" x14ac:dyDescent="0.25">
      <c r="A4432" t="str">
        <f>"20190304164459611"</f>
        <v>20190304164459611</v>
      </c>
      <c r="B4432" t="str">
        <f>"1551689099604697"</f>
        <v>1551689099604697</v>
      </c>
      <c r="C4432" t="s">
        <v>40</v>
      </c>
      <c r="D4432">
        <v>4.8995069999999998</v>
      </c>
      <c r="E4432">
        <v>0.40962969999999999</v>
      </c>
      <c r="F4432" t="s">
        <v>41</v>
      </c>
      <c r="G4432">
        <v>-394.17680000000001</v>
      </c>
      <c r="H4432">
        <v>1.0135670000000001</v>
      </c>
      <c r="I4432">
        <v>139.30170000000001</v>
      </c>
      <c r="J4432">
        <v>-393.74669999999998</v>
      </c>
      <c r="K4432">
        <v>1.1152260000000001</v>
      </c>
      <c r="L4432">
        <v>139.81059999999999</v>
      </c>
      <c r="M4432">
        <v>-0.98396689999999998</v>
      </c>
      <c r="N4432">
        <v>-1.401559E-2</v>
      </c>
      <c r="O4432">
        <v>-0.1777997</v>
      </c>
      <c r="P4432">
        <v>-0.83337689999999998</v>
      </c>
      <c r="Q4432">
        <v>0.39187660000000002</v>
      </c>
      <c r="R4432">
        <v>-0.38976420000000001</v>
      </c>
      <c r="S4432">
        <v>-2.8034059999999998</v>
      </c>
      <c r="T4432">
        <v>-0.36874600000000002</v>
      </c>
      <c r="U4432">
        <v>-2.0858310000000002</v>
      </c>
      <c r="V4432">
        <v>-0.23958270000000001</v>
      </c>
      <c r="W4432">
        <v>0.40181820000000001</v>
      </c>
      <c r="X4432">
        <v>0.88382249999999996</v>
      </c>
      <c r="Y4432">
        <v>-0.44276209999999999</v>
      </c>
      <c r="Z4432">
        <v>-1.118393E-2</v>
      </c>
      <c r="AA4432">
        <v>0.89656939999999996</v>
      </c>
      <c r="AB4432">
        <v>34</v>
      </c>
      <c r="AC4432">
        <v>-0.43010000000003801</v>
      </c>
      <c r="AD4432">
        <v>-0.101658999999999</v>
      </c>
      <c r="AE4432">
        <v>-0.50889999999998203</v>
      </c>
      <c r="AF4432">
        <v>-0.41465842189595098</v>
      </c>
      <c r="AG4432">
        <v>-0.101658999999999</v>
      </c>
      <c r="AH4432">
        <v>0.50205023794341797</v>
      </c>
      <c r="AI4432">
        <v>98.873516475019201</v>
      </c>
      <c r="AJ4432">
        <v>129.55432698391701</v>
      </c>
      <c r="AK4432">
        <v>0.65903763211920097</v>
      </c>
      <c r="AL4432">
        <v>66.308107091706901</v>
      </c>
      <c r="AM4432">
        <v>105.166998651857</v>
      </c>
      <c r="AN4432">
        <v>0.999999973748389</v>
      </c>
    </row>
    <row r="4433" spans="1:40" x14ac:dyDescent="0.25">
      <c r="A4433" t="str">
        <f>"20190304164459633"</f>
        <v>20190304164459633</v>
      </c>
      <c r="B4433" t="str">
        <f>"1551689099624217"</f>
        <v>1551689099624217</v>
      </c>
      <c r="C4433" t="s">
        <v>40</v>
      </c>
      <c r="D4433">
        <v>4.9796009999999997</v>
      </c>
      <c r="E4433">
        <v>0.40940919999999997</v>
      </c>
      <c r="F4433" t="s">
        <v>48</v>
      </c>
      <c r="G4433">
        <v>-402.11090000000002</v>
      </c>
      <c r="H4433" s="1">
        <v>-3.3313819999999999E-6</v>
      </c>
      <c r="I4433">
        <v>133.49930000000001</v>
      </c>
      <c r="J4433">
        <v>-394.06990000000002</v>
      </c>
      <c r="K4433">
        <v>1.1154170000000001</v>
      </c>
      <c r="L4433">
        <v>139.7473</v>
      </c>
      <c r="M4433">
        <v>-0.98305569999999998</v>
      </c>
      <c r="N4433">
        <v>-1.402746E-2</v>
      </c>
      <c r="O4433">
        <v>-0.18276980000000001</v>
      </c>
      <c r="P4433">
        <v>-0.83102119999999902</v>
      </c>
      <c r="Q4433">
        <v>0.39170440000000001</v>
      </c>
      <c r="R4433">
        <v>-0.39493210000000001</v>
      </c>
      <c r="S4433">
        <v>-2.7900999999999998</v>
      </c>
      <c r="T4433">
        <v>-0.37201149999999999</v>
      </c>
      <c r="U4433">
        <v>-2.1053009999999999</v>
      </c>
      <c r="V4433">
        <v>-0.2407898</v>
      </c>
      <c r="W4433">
        <v>0.40152650000000001</v>
      </c>
      <c r="X4433">
        <v>0.88362700000000005</v>
      </c>
      <c r="Y4433">
        <v>-0.44425720000000002</v>
      </c>
      <c r="Z4433">
        <v>-1.085562E-2</v>
      </c>
      <c r="AA4433">
        <v>0.89583359999999901</v>
      </c>
      <c r="AB4433">
        <v>34</v>
      </c>
      <c r="AC4433">
        <v>-8.0409999999999897</v>
      </c>
      <c r="AD4433">
        <v>-1.1154203313819999</v>
      </c>
      <c r="AE4433">
        <v>-6.2479999999999896</v>
      </c>
      <c r="AF4433">
        <v>-4.6175371926702402</v>
      </c>
      <c r="AG4433">
        <v>-1.1154203313819999</v>
      </c>
      <c r="AH4433">
        <v>8.9403181032238894</v>
      </c>
      <c r="AI4433">
        <v>96.325461345311993</v>
      </c>
      <c r="AJ4433">
        <v>117.31565988141899</v>
      </c>
      <c r="AK4433">
        <v>10.1239863704069</v>
      </c>
      <c r="AL4433">
        <v>66.326357054775997</v>
      </c>
      <c r="AM4433">
        <v>105.24308481147</v>
      </c>
      <c r="AN4433">
        <v>0.999999966557644</v>
      </c>
    </row>
    <row r="4434" spans="1:40" x14ac:dyDescent="0.25">
      <c r="A4434" t="str">
        <f>"20190304164459656"</f>
        <v>20190304164459656</v>
      </c>
      <c r="B4434" t="str">
        <f>"1551689099644713"</f>
        <v>1551689099644713</v>
      </c>
      <c r="C4434" t="s">
        <v>40</v>
      </c>
      <c r="D4434">
        <v>4.9120049999999997</v>
      </c>
      <c r="E4434">
        <v>0.4089565</v>
      </c>
      <c r="F4434" t="s">
        <v>48</v>
      </c>
      <c r="G4434">
        <v>-402.38139999999999</v>
      </c>
      <c r="H4434" s="1">
        <v>-3.4249079999999998E-6</v>
      </c>
      <c r="I4434">
        <v>133.38480000000001</v>
      </c>
      <c r="J4434">
        <v>-394.39710000000002</v>
      </c>
      <c r="K4434">
        <v>1.11565</v>
      </c>
      <c r="L4434">
        <v>139.68109999999999</v>
      </c>
      <c r="M4434">
        <v>-0.98204340000000001</v>
      </c>
      <c r="N4434">
        <v>-1.404305E-2</v>
      </c>
      <c r="O4434">
        <v>-0.1881322</v>
      </c>
      <c r="P4434">
        <v>-0.82879519999999995</v>
      </c>
      <c r="Q4434">
        <v>0.39104949999999999</v>
      </c>
      <c r="R4434">
        <v>-0.40022360000000001</v>
      </c>
      <c r="S4434">
        <v>-2.7757869999999998</v>
      </c>
      <c r="T4434">
        <v>-0.37251400000000001</v>
      </c>
      <c r="U4434">
        <v>-2.1248629999999999</v>
      </c>
      <c r="V4434">
        <v>-0.24177270000000001</v>
      </c>
      <c r="W4434">
        <v>0.40073900000000001</v>
      </c>
      <c r="X4434">
        <v>0.8837161</v>
      </c>
      <c r="Y4434">
        <v>-0.4455886</v>
      </c>
      <c r="Z4434">
        <v>-1.0437439999999999E-2</v>
      </c>
      <c r="AA4434">
        <v>0.89517690000000005</v>
      </c>
      <c r="AB4434">
        <v>34</v>
      </c>
      <c r="AC4434">
        <v>-7.9842999999999602</v>
      </c>
      <c r="AD4434">
        <v>-1.1156534249079999</v>
      </c>
      <c r="AE4434">
        <v>-6.2962999999999703</v>
      </c>
      <c r="AF4434">
        <v>-4.6259085071350103</v>
      </c>
      <c r="AG4434">
        <v>-1.1156534249079999</v>
      </c>
      <c r="AH4434">
        <v>8.9189846266148098</v>
      </c>
      <c r="AI4434">
        <v>96.336202649749197</v>
      </c>
      <c r="AJ4434">
        <v>117.413902655577</v>
      </c>
      <c r="AK4434">
        <v>10.1090058289964</v>
      </c>
      <c r="AL4434">
        <v>66.375614055442497</v>
      </c>
      <c r="AM4434">
        <v>105.300924842223</v>
      </c>
      <c r="AN4434">
        <v>0.99999996499274901</v>
      </c>
    </row>
    <row r="4435" spans="1:40" x14ac:dyDescent="0.25">
      <c r="A4435" t="str">
        <f>"20190304164459678"</f>
        <v>20190304164459678</v>
      </c>
      <c r="B4435" t="str">
        <f>"1551689099674555"</f>
        <v>1551689099674555</v>
      </c>
      <c r="C4435" t="s">
        <v>40</v>
      </c>
      <c r="D4435">
        <v>4.9062449999999904</v>
      </c>
      <c r="E4435">
        <v>0.40814820000000002</v>
      </c>
      <c r="F4435" t="s">
        <v>41</v>
      </c>
      <c r="G4435">
        <v>-395.2783</v>
      </c>
      <c r="H4435">
        <v>0.99601039999999996</v>
      </c>
      <c r="I4435">
        <v>138.9958</v>
      </c>
      <c r="J4435">
        <v>-394.7269</v>
      </c>
      <c r="K4435">
        <v>1.115917</v>
      </c>
      <c r="L4435">
        <v>139.6121</v>
      </c>
      <c r="M4435">
        <v>-0.98092049999999997</v>
      </c>
      <c r="N4435">
        <v>-1.406078E-2</v>
      </c>
      <c r="O4435">
        <v>-0.19390009999999999</v>
      </c>
      <c r="P4435">
        <v>-0.82598169999999904</v>
      </c>
      <c r="Q4435">
        <v>0.3914956</v>
      </c>
      <c r="R4435">
        <v>-0.40556750000000003</v>
      </c>
      <c r="S4435">
        <v>-2.7599490000000002</v>
      </c>
      <c r="T4435">
        <v>-0.37468580000000001</v>
      </c>
      <c r="U4435">
        <v>-2.1465299999999998</v>
      </c>
      <c r="V4435">
        <v>-0.2425957</v>
      </c>
      <c r="W4435">
        <v>0.40103260000000002</v>
      </c>
      <c r="X4435">
        <v>0.88335730000000001</v>
      </c>
      <c r="Y4435">
        <v>-0.44719249999999999</v>
      </c>
      <c r="Z4435">
        <v>-1.0015E-2</v>
      </c>
      <c r="AA4435">
        <v>0.89438169999999995</v>
      </c>
      <c r="AB4435">
        <v>34</v>
      </c>
      <c r="AC4435">
        <v>-0.551400000000001</v>
      </c>
      <c r="AD4435">
        <v>-0.1199066</v>
      </c>
      <c r="AE4435">
        <v>-0.61629999999999496</v>
      </c>
      <c r="AF4435">
        <v>-0.48742636951546398</v>
      </c>
      <c r="AG4435">
        <v>-0.1199066</v>
      </c>
      <c r="AH4435">
        <v>0.64684623479066605</v>
      </c>
      <c r="AI4435">
        <v>98.421171371079097</v>
      </c>
      <c r="AJ4435">
        <v>126.999591502162</v>
      </c>
      <c r="AK4435">
        <v>0.81876254792549497</v>
      </c>
      <c r="AL4435">
        <v>66.357252065569597</v>
      </c>
      <c r="AM4435">
        <v>105.356497294402</v>
      </c>
      <c r="AN4435">
        <v>0.99999996969226901</v>
      </c>
    </row>
    <row r="4436" spans="1:40" x14ac:dyDescent="0.25">
      <c r="A4436" t="str">
        <f>"20190304164459701"</f>
        <v>20190304164459701</v>
      </c>
      <c r="B4436" t="str">
        <f>"1551689099695050"</f>
        <v>1551689099695050</v>
      </c>
      <c r="C4436" t="s">
        <v>40</v>
      </c>
      <c r="D4436">
        <v>4.9169939999999999</v>
      </c>
      <c r="E4436">
        <v>0.40759380000000001</v>
      </c>
      <c r="F4436" t="s">
        <v>41</v>
      </c>
      <c r="G4436">
        <v>-395.57380000000001</v>
      </c>
      <c r="H4436">
        <v>1.000802</v>
      </c>
      <c r="I4436">
        <v>138.94139999999999</v>
      </c>
      <c r="J4436">
        <v>-395.07260000000002</v>
      </c>
      <c r="K4436">
        <v>1.1161939999999999</v>
      </c>
      <c r="L4436">
        <v>139.53729999999999</v>
      </c>
      <c r="M4436">
        <v>-0.97963610000000001</v>
      </c>
      <c r="N4436">
        <v>-1.407913E-2</v>
      </c>
      <c r="O4436">
        <v>-0.2002871</v>
      </c>
      <c r="P4436">
        <v>-0.82302209999999998</v>
      </c>
      <c r="Q4436">
        <v>0.39169549999999997</v>
      </c>
      <c r="R4436">
        <v>-0.41135060000000001</v>
      </c>
      <c r="S4436">
        <v>-2.74234</v>
      </c>
      <c r="T4436">
        <v>-0.37275019999999998</v>
      </c>
      <c r="U4436">
        <v>-2.1717070000000001</v>
      </c>
      <c r="V4436">
        <v>-0.24332980000000001</v>
      </c>
      <c r="W4436">
        <v>0.4010763</v>
      </c>
      <c r="X4436">
        <v>0.88313560000000002</v>
      </c>
      <c r="Y4436">
        <v>-0.44924229999999998</v>
      </c>
      <c r="Z4436">
        <v>-9.5172020000000006E-3</v>
      </c>
      <c r="AA4436">
        <v>0.89335929999999997</v>
      </c>
      <c r="AB4436">
        <v>34</v>
      </c>
      <c r="AC4436">
        <v>-0.50119999999998299</v>
      </c>
      <c r="AD4436">
        <v>-0.11539199999999999</v>
      </c>
      <c r="AE4436">
        <v>-0.59589999999999999</v>
      </c>
      <c r="AF4436">
        <v>-0.473040414151846</v>
      </c>
      <c r="AG4436">
        <v>-0.11539199999999999</v>
      </c>
      <c r="AH4436">
        <v>0.59728775869732598</v>
      </c>
      <c r="AI4436">
        <v>98.611957353985005</v>
      </c>
      <c r="AJ4436">
        <v>128.37854653680799</v>
      </c>
      <c r="AK4436">
        <v>0.770607042385823</v>
      </c>
      <c r="AL4436">
        <v>66.354520531599206</v>
      </c>
      <c r="AM4436">
        <v>105.404445881957</v>
      </c>
      <c r="AN4436">
        <v>1.00000003898854</v>
      </c>
    </row>
    <row r="4437" spans="1:40" x14ac:dyDescent="0.25">
      <c r="A4437" t="str">
        <f>"20190304164459723"</f>
        <v>20190304164459723</v>
      </c>
      <c r="B4437" t="str">
        <f>"1551689099714574"</f>
        <v>1551689099714574</v>
      </c>
      <c r="C4437" t="s">
        <v>40</v>
      </c>
      <c r="D4437">
        <v>4.9005039999999997</v>
      </c>
      <c r="E4437">
        <v>0.40709610000000002</v>
      </c>
      <c r="F4437" t="s">
        <v>41</v>
      </c>
      <c r="G4437">
        <v>-395.87220000000002</v>
      </c>
      <c r="H4437">
        <v>1.0069380000000001</v>
      </c>
      <c r="I4437">
        <v>138.89349999999999</v>
      </c>
      <c r="J4437">
        <v>-395.38929999999999</v>
      </c>
      <c r="K4437">
        <v>1.1164510000000001</v>
      </c>
      <c r="L4437">
        <v>139.46639999999999</v>
      </c>
      <c r="M4437">
        <v>-0.97835329999999998</v>
      </c>
      <c r="N4437">
        <v>-1.408859E-2</v>
      </c>
      <c r="O4437">
        <v>-0.2064617</v>
      </c>
      <c r="P4437">
        <v>-0.81979190000000002</v>
      </c>
      <c r="Q4437">
        <v>0.39193670000000003</v>
      </c>
      <c r="R4437">
        <v>-0.41752470000000003</v>
      </c>
      <c r="S4437">
        <v>-2.7251280000000002</v>
      </c>
      <c r="T4437">
        <v>-0.37238359999999998</v>
      </c>
      <c r="U4437">
        <v>-2.1952060000000002</v>
      </c>
      <c r="V4437">
        <v>-0.24468100000000001</v>
      </c>
      <c r="W4437">
        <v>0.40115400000000001</v>
      </c>
      <c r="X4437">
        <v>0.88272680000000003</v>
      </c>
      <c r="Y4437">
        <v>-0.4510574</v>
      </c>
      <c r="Z4437">
        <v>-9.0377879999999997E-3</v>
      </c>
      <c r="AA4437">
        <v>0.89244920000000005</v>
      </c>
      <c r="AB4437">
        <v>34</v>
      </c>
      <c r="AC4437">
        <v>-0.48290000000002897</v>
      </c>
      <c r="AD4437">
        <v>-0.109513</v>
      </c>
      <c r="AE4437">
        <v>-0.57290000000000396</v>
      </c>
      <c r="AF4437">
        <v>-0.45120506210650102</v>
      </c>
      <c r="AG4437">
        <v>-0.109513</v>
      </c>
      <c r="AH4437">
        <v>0.57843055360191897</v>
      </c>
      <c r="AI4437">
        <v>98.490515364305594</v>
      </c>
      <c r="AJ4437">
        <v>127.956030988794</v>
      </c>
      <c r="AK4437">
        <v>0.74172839407680402</v>
      </c>
      <c r="AL4437">
        <v>66.3496586499936</v>
      </c>
      <c r="AM4437">
        <v>105.49271841410901</v>
      </c>
      <c r="AN4437">
        <v>0.99999996345761899</v>
      </c>
    </row>
    <row r="4438" spans="1:40" x14ac:dyDescent="0.25">
      <c r="A4438" t="str">
        <f>"20190304164459744"</f>
        <v>20190304164459744</v>
      </c>
      <c r="B4438" t="str">
        <f>"1551689099735065"</f>
        <v>1551689099735065</v>
      </c>
      <c r="C4438" t="s">
        <v>40</v>
      </c>
      <c r="D4438">
        <v>4.9001479999999997</v>
      </c>
      <c r="E4438">
        <v>0.40665820000000003</v>
      </c>
      <c r="F4438" t="s">
        <v>41</v>
      </c>
      <c r="G4438">
        <v>-396.16419999999999</v>
      </c>
      <c r="H4438">
        <v>1.0101639999999901</v>
      </c>
      <c r="I4438">
        <v>138.83099999999999</v>
      </c>
      <c r="J4438">
        <v>-395.70819999999998</v>
      </c>
      <c r="K4438">
        <v>1.1167199999999999</v>
      </c>
      <c r="L4438">
        <v>139.39259999999999</v>
      </c>
      <c r="M4438">
        <v>-0.97694420000000004</v>
      </c>
      <c r="N4438">
        <v>-1.409207E-2</v>
      </c>
      <c r="O4438">
        <v>-0.213029</v>
      </c>
      <c r="P4438">
        <v>-0.81621279999999996</v>
      </c>
      <c r="Q4438">
        <v>0.39260440000000002</v>
      </c>
      <c r="R4438">
        <v>-0.42386170000000001</v>
      </c>
      <c r="S4438">
        <v>-2.7065429999999999</v>
      </c>
      <c r="T4438">
        <v>-0.37122919999999998</v>
      </c>
      <c r="U4438">
        <v>-2.2195130000000001</v>
      </c>
      <c r="V4438">
        <v>-0.24593809999999999</v>
      </c>
      <c r="W4438">
        <v>0.40163969999999999</v>
      </c>
      <c r="X4438">
        <v>0.88215650000000001</v>
      </c>
      <c r="Y4438">
        <v>-0.45288840000000002</v>
      </c>
      <c r="Z4438">
        <v>-8.5141000000000001E-3</v>
      </c>
      <c r="AA4438">
        <v>0.89152659999999995</v>
      </c>
      <c r="AB4438">
        <v>34</v>
      </c>
      <c r="AC4438">
        <v>-0.456000000000017</v>
      </c>
      <c r="AD4438">
        <v>-0.106556</v>
      </c>
      <c r="AE4438">
        <v>-0.56159999999997001</v>
      </c>
      <c r="AF4438">
        <v>-0.44196658917586001</v>
      </c>
      <c r="AG4438">
        <v>-0.106556</v>
      </c>
      <c r="AH4438">
        <v>0.55317803595654702</v>
      </c>
      <c r="AI4438">
        <v>98.558296749388305</v>
      </c>
      <c r="AJ4438">
        <v>128.62342212103701</v>
      </c>
      <c r="AK4438">
        <v>0.71602694540672596</v>
      </c>
      <c r="AL4438">
        <v>66.319276973104607</v>
      </c>
      <c r="AM4438">
        <v>105.57804035638701</v>
      </c>
      <c r="AN4438">
        <v>1.0000000440699699</v>
      </c>
    </row>
    <row r="4439" spans="1:40" x14ac:dyDescent="0.25">
      <c r="A4439" t="str">
        <f>"20190304164459768"</f>
        <v>20190304164459768</v>
      </c>
      <c r="B4439" t="str">
        <f>"1551689099764346"</f>
        <v>1551689099764346</v>
      </c>
      <c r="C4439" t="s">
        <v>40</v>
      </c>
      <c r="D4439">
        <v>4.9220430000000004</v>
      </c>
      <c r="E4439">
        <v>0.40603030000000001</v>
      </c>
      <c r="F4439" t="s">
        <v>41</v>
      </c>
      <c r="G4439">
        <v>-396.45609999999999</v>
      </c>
      <c r="H4439">
        <v>1.0140690000000001</v>
      </c>
      <c r="I4439">
        <v>138.76820000000001</v>
      </c>
      <c r="J4439">
        <v>-396.03699999999998</v>
      </c>
      <c r="K4439">
        <v>1.117024</v>
      </c>
      <c r="L4439">
        <v>139.31379999999999</v>
      </c>
      <c r="M4439">
        <v>-0.97535459999999996</v>
      </c>
      <c r="N4439">
        <v>-1.409259E-2</v>
      </c>
      <c r="O4439">
        <v>-0.220193</v>
      </c>
      <c r="P4439">
        <v>-0.81216929999999998</v>
      </c>
      <c r="Q4439">
        <v>0.393401</v>
      </c>
      <c r="R4439">
        <v>-0.43083280000000002</v>
      </c>
      <c r="S4439">
        <v>-2.687592</v>
      </c>
      <c r="T4439">
        <v>-0.36885190000000001</v>
      </c>
      <c r="U4439">
        <v>-2.2440639999999998</v>
      </c>
      <c r="V4439">
        <v>-0.2474182</v>
      </c>
      <c r="W4439">
        <v>0.40222609999999998</v>
      </c>
      <c r="X4439">
        <v>0.88147520000000001</v>
      </c>
      <c r="Y4439">
        <v>-0.45428259999999998</v>
      </c>
      <c r="Z4439">
        <v>-7.8981079999999992E-3</v>
      </c>
      <c r="AA4439">
        <v>0.89082260000000002</v>
      </c>
      <c r="AB4439">
        <v>34</v>
      </c>
      <c r="AC4439">
        <v>-0.41910000000001402</v>
      </c>
      <c r="AD4439">
        <v>-0.10295499999999901</v>
      </c>
      <c r="AE4439">
        <v>-0.54559999999997899</v>
      </c>
      <c r="AF4439">
        <v>-0.43027847869892</v>
      </c>
      <c r="AG4439">
        <v>-0.10295499999999901</v>
      </c>
      <c r="AH4439">
        <v>0.51737469191638996</v>
      </c>
      <c r="AI4439">
        <v>98.698698770623096</v>
      </c>
      <c r="AJ4439">
        <v>129.74885370453899</v>
      </c>
      <c r="AK4439">
        <v>0.68074655569605103</v>
      </c>
      <c r="AL4439">
        <v>66.282584932758695</v>
      </c>
      <c r="AM4439">
        <v>105.678714623166</v>
      </c>
      <c r="AN4439">
        <v>1.0000000647137399</v>
      </c>
    </row>
    <row r="4440" spans="1:40" x14ac:dyDescent="0.25">
      <c r="A4440" t="str">
        <f>"20190304164459789"</f>
        <v>20190304164459789</v>
      </c>
      <c r="B4440" t="str">
        <f>"1551689099784685"</f>
        <v>1551689099784685</v>
      </c>
      <c r="C4440" t="s">
        <v>40</v>
      </c>
      <c r="D4440">
        <v>4.9275029999999997</v>
      </c>
      <c r="E4440">
        <v>0.40570790000000001</v>
      </c>
      <c r="F4440" t="s">
        <v>41</v>
      </c>
      <c r="G4440">
        <v>-396.7491</v>
      </c>
      <c r="H4440">
        <v>1.019096</v>
      </c>
      <c r="I4440">
        <v>138.7072</v>
      </c>
      <c r="J4440">
        <v>-396.3562</v>
      </c>
      <c r="K4440">
        <v>1.117337</v>
      </c>
      <c r="L4440">
        <v>139.2345</v>
      </c>
      <c r="M4440">
        <v>-0.9736688</v>
      </c>
      <c r="N4440">
        <v>-1.409417E-2</v>
      </c>
      <c r="O4440">
        <v>-0.22753139999999999</v>
      </c>
      <c r="P4440">
        <v>-0.80777100000000002</v>
      </c>
      <c r="Q4440">
        <v>0.3947775</v>
      </c>
      <c r="R4440">
        <v>-0.43778600000000001</v>
      </c>
      <c r="S4440">
        <v>-2.6666259999999999</v>
      </c>
      <c r="T4440">
        <v>-0.36674790000000002</v>
      </c>
      <c r="U4440">
        <v>-2.2711489999999999</v>
      </c>
      <c r="V4440">
        <v>-0.24883739999999999</v>
      </c>
      <c r="W4440">
        <v>0.40338099999999999</v>
      </c>
      <c r="X4440">
        <v>0.88054750000000004</v>
      </c>
      <c r="Y4440">
        <v>-0.45631539999999998</v>
      </c>
      <c r="Z4440">
        <v>-7.3177839999999999E-3</v>
      </c>
      <c r="AA4440">
        <v>0.88978799999999902</v>
      </c>
      <c r="AB4440">
        <v>34</v>
      </c>
      <c r="AC4440">
        <v>-0.39289999999999697</v>
      </c>
      <c r="AD4440">
        <v>-9.8240999999999995E-2</v>
      </c>
      <c r="AE4440">
        <v>-0.52729999999999599</v>
      </c>
      <c r="AF4440">
        <v>-0.41480239340895703</v>
      </c>
      <c r="AG4440">
        <v>-9.8240999999999995E-2</v>
      </c>
      <c r="AH4440">
        <v>0.49160920750766601</v>
      </c>
      <c r="AI4440">
        <v>98.683764845098096</v>
      </c>
      <c r="AJ4440">
        <v>130.156484663725</v>
      </c>
      <c r="AK4440">
        <v>0.65068574025032599</v>
      </c>
      <c r="AL4440">
        <v>66.210290316260199</v>
      </c>
      <c r="AM4440">
        <v>105.779971159212</v>
      </c>
      <c r="AN4440">
        <v>1.000000091278</v>
      </c>
    </row>
    <row r="4441" spans="1:40" x14ac:dyDescent="0.25">
      <c r="A4441" t="str">
        <f>"20190304164459812"</f>
        <v>20190304164459812</v>
      </c>
      <c r="B4441" t="str">
        <f>"1551689099804205"</f>
        <v>1551689099804205</v>
      </c>
      <c r="C4441" t="s">
        <v>40</v>
      </c>
      <c r="D4441">
        <v>4.9350930000000002</v>
      </c>
      <c r="E4441">
        <v>0.40537810000000002</v>
      </c>
      <c r="F4441" t="s">
        <v>41</v>
      </c>
      <c r="G4441">
        <v>-397.04579999999999</v>
      </c>
      <c r="H4441">
        <v>1.0228379999999999</v>
      </c>
      <c r="I4441">
        <v>138.63650000000001</v>
      </c>
      <c r="J4441">
        <v>-396.6841</v>
      </c>
      <c r="K4441">
        <v>1.1176870000000001</v>
      </c>
      <c r="L4441">
        <v>139.15010000000001</v>
      </c>
      <c r="M4441">
        <v>-0.97177829999999998</v>
      </c>
      <c r="N4441">
        <v>-1.4099820000000001E-2</v>
      </c>
      <c r="O4441">
        <v>-0.23547470000000001</v>
      </c>
      <c r="P4441">
        <v>-0.8028556</v>
      </c>
      <c r="Q4441">
        <v>0.39693430000000002</v>
      </c>
      <c r="R4441">
        <v>-0.44482179999999999</v>
      </c>
      <c r="S4441">
        <v>-2.6466669999999999</v>
      </c>
      <c r="T4441">
        <v>-0.362676</v>
      </c>
      <c r="U4441">
        <v>-2.2963100000000001</v>
      </c>
      <c r="V4441">
        <v>-0.2499603</v>
      </c>
      <c r="W4441">
        <v>0.40530509999999997</v>
      </c>
      <c r="X4441">
        <v>0.87934509999999899</v>
      </c>
      <c r="Y4441">
        <v>-0.457262</v>
      </c>
      <c r="Z4441">
        <v>-6.6133729999999996E-3</v>
      </c>
      <c r="AA4441">
        <v>0.88930739999999997</v>
      </c>
      <c r="AB4441">
        <v>34</v>
      </c>
      <c r="AC4441">
        <v>-0.36169999999998398</v>
      </c>
      <c r="AD4441">
        <v>-9.48490000000001E-2</v>
      </c>
      <c r="AE4441">
        <v>-0.51359999999999595</v>
      </c>
      <c r="AF4441">
        <v>-0.40474783370968398</v>
      </c>
      <c r="AG4441">
        <v>-9.48490000000001E-2</v>
      </c>
      <c r="AH4441">
        <v>0.46194749088970299</v>
      </c>
      <c r="AI4441">
        <v>98.778954535992796</v>
      </c>
      <c r="AJ4441">
        <v>131.224102076636</v>
      </c>
      <c r="AK4441">
        <v>0.62146007597670705</v>
      </c>
      <c r="AL4441">
        <v>66.089754605860705</v>
      </c>
      <c r="AM4441">
        <v>105.868189589162</v>
      </c>
      <c r="AN4441">
        <v>1.0000000902780499</v>
      </c>
    </row>
    <row r="4442" spans="1:40" x14ac:dyDescent="0.25">
      <c r="A4442" t="str">
        <f>"20190304164459833"</f>
        <v>20190304164459833</v>
      </c>
      <c r="B4442" t="str">
        <f>"1551689099824707"</f>
        <v>1551689099824707</v>
      </c>
      <c r="C4442" t="s">
        <v>40</v>
      </c>
      <c r="D4442">
        <v>4.766203</v>
      </c>
      <c r="E4442">
        <v>0.40516760000000002</v>
      </c>
      <c r="F4442" t="s">
        <v>41</v>
      </c>
      <c r="G4442">
        <v>-397.38380000000001</v>
      </c>
      <c r="H4442">
        <v>1.0227550000000001</v>
      </c>
      <c r="I4442">
        <v>138.53129999999999</v>
      </c>
      <c r="J4442">
        <v>-396.9941</v>
      </c>
      <c r="K4442">
        <v>1.1180159999999999</v>
      </c>
      <c r="L4442">
        <v>139.06720000000001</v>
      </c>
      <c r="M4442">
        <v>-0.96983059999999999</v>
      </c>
      <c r="N4442">
        <v>-1.4109679999999999E-2</v>
      </c>
      <c r="O4442">
        <v>-0.24337210000000001</v>
      </c>
      <c r="P4442">
        <v>-0.79826779999999997</v>
      </c>
      <c r="Q4442">
        <v>0.39866790000000002</v>
      </c>
      <c r="R4442">
        <v>-0.4514784</v>
      </c>
      <c r="S4442">
        <v>-2.6262509999999999</v>
      </c>
      <c r="T4442">
        <v>-0.3563153</v>
      </c>
      <c r="U4442">
        <v>-2.3221129999999999</v>
      </c>
      <c r="V4442">
        <v>-0.25068240000000003</v>
      </c>
      <c r="W4442">
        <v>0.40682669999999999</v>
      </c>
      <c r="X4442">
        <v>0.87843629999999995</v>
      </c>
      <c r="Y4442">
        <v>-0.45844220000000002</v>
      </c>
      <c r="Z4442">
        <v>-5.9529600000000002E-3</v>
      </c>
      <c r="AA4442">
        <v>0.8887043</v>
      </c>
      <c r="AB4442">
        <v>34</v>
      </c>
      <c r="AC4442">
        <v>-0.38970000000000399</v>
      </c>
      <c r="AD4442">
        <v>-9.5260999999999998E-2</v>
      </c>
      <c r="AE4442">
        <v>-0.53590000000002602</v>
      </c>
      <c r="AF4442">
        <v>-0.41632740288661202</v>
      </c>
      <c r="AG4442">
        <v>-9.5260999999999998E-2</v>
      </c>
      <c r="AH4442">
        <v>0.498121113524915</v>
      </c>
      <c r="AI4442">
        <v>98.3478525622874</v>
      </c>
      <c r="AJ4442">
        <v>129.88872700747601</v>
      </c>
      <c r="AK4442">
        <v>0.65614617902919503</v>
      </c>
      <c r="AL4442">
        <v>65.994351205974297</v>
      </c>
      <c r="AM4442">
        <v>105.92733982166899</v>
      </c>
      <c r="AN4442">
        <v>0.99999998133016998</v>
      </c>
    </row>
    <row r="4443" spans="1:40" x14ac:dyDescent="0.25">
      <c r="A4443" t="str">
        <f>"20190304164459856"</f>
        <v>20190304164459856</v>
      </c>
      <c r="B4443" t="str">
        <f>"1551689099854957"</f>
        <v>1551689099854957</v>
      </c>
      <c r="C4443" t="s">
        <v>40</v>
      </c>
      <c r="D4443">
        <v>4.9323269999999999</v>
      </c>
      <c r="E4443">
        <v>0.4053464</v>
      </c>
      <c r="F4443" t="s">
        <v>41</v>
      </c>
      <c r="G4443">
        <v>-397.69720000000001</v>
      </c>
      <c r="H4443">
        <v>1.023515</v>
      </c>
      <c r="I4443">
        <v>138.4342</v>
      </c>
      <c r="J4443">
        <v>-397.3245</v>
      </c>
      <c r="K4443">
        <v>1.11836</v>
      </c>
      <c r="L4443">
        <v>138.9753</v>
      </c>
      <c r="M4443">
        <v>-0.96756299999999995</v>
      </c>
      <c r="N4443">
        <v>-1.412572E-2</v>
      </c>
      <c r="O4443">
        <v>-0.25223449999999997</v>
      </c>
      <c r="P4443">
        <v>-0.79322199999999998</v>
      </c>
      <c r="Q4443">
        <v>0.39926440000000002</v>
      </c>
      <c r="R4443">
        <v>-0.45976850000000002</v>
      </c>
      <c r="S4443">
        <v>-2.6057130000000002</v>
      </c>
      <c r="T4443">
        <v>-0.35018369999999999</v>
      </c>
      <c r="U4443">
        <v>-2.3468930000000001</v>
      </c>
      <c r="V4443">
        <v>-0.25223570000000001</v>
      </c>
      <c r="W4443">
        <v>0.40719300000000003</v>
      </c>
      <c r="X4443">
        <v>0.87782179999999999</v>
      </c>
      <c r="Y4443">
        <v>-0.45854549999999999</v>
      </c>
      <c r="Z4443">
        <v>-5.1606070000000002E-3</v>
      </c>
      <c r="AA4443">
        <v>0.888656</v>
      </c>
      <c r="AB4443">
        <v>34</v>
      </c>
      <c r="AC4443">
        <v>-0.37270000000000802</v>
      </c>
      <c r="AD4443">
        <v>-9.4844999999999999E-2</v>
      </c>
      <c r="AE4443">
        <v>-0.54110000000000003</v>
      </c>
      <c r="AF4443">
        <v>-0.42081455563464198</v>
      </c>
      <c r="AG4443">
        <v>-9.4844999999999999E-2</v>
      </c>
      <c r="AH4443">
        <v>0.48699648793558098</v>
      </c>
      <c r="AI4443">
        <v>98.382839481800403</v>
      </c>
      <c r="AJ4443">
        <v>130.830355950642</v>
      </c>
      <c r="AK4443">
        <v>0.65057362651783801</v>
      </c>
      <c r="AL4443">
        <v>65.9713762831107</v>
      </c>
      <c r="AM4443">
        <v>106.03161924454101</v>
      </c>
      <c r="AN4443">
        <v>1.00000005007936</v>
      </c>
    </row>
    <row r="4444" spans="1:40" x14ac:dyDescent="0.25">
      <c r="A4444" t="str">
        <f>"20190304164459891"</f>
        <v>20190304164459891</v>
      </c>
      <c r="B4444" t="str">
        <f>"1551689099884247"</f>
        <v>1551689099884247</v>
      </c>
      <c r="C4444" t="s">
        <v>40</v>
      </c>
      <c r="D4444">
        <v>4.9179750000000002</v>
      </c>
      <c r="E4444">
        <v>0.4054121</v>
      </c>
      <c r="F4444" t="s">
        <v>41</v>
      </c>
      <c r="G4444">
        <v>-398.1318</v>
      </c>
      <c r="H4444">
        <v>1.0093110000000001</v>
      </c>
      <c r="I4444">
        <v>138.2346</v>
      </c>
      <c r="J4444">
        <v>-397.80509999999998</v>
      </c>
      <c r="K4444">
        <v>1.118819</v>
      </c>
      <c r="L4444">
        <v>138.83519999999999</v>
      </c>
      <c r="M4444">
        <v>-0.96392069999999996</v>
      </c>
      <c r="N4444">
        <v>-1.415552E-2</v>
      </c>
      <c r="O4444">
        <v>-0.26581259999999901</v>
      </c>
      <c r="P4444">
        <v>-0.78670600000000002</v>
      </c>
      <c r="Q4444">
        <v>0.39739790000000003</v>
      </c>
      <c r="R4444">
        <v>-0.47240700000000002</v>
      </c>
      <c r="S4444">
        <v>-2.5836489999999999</v>
      </c>
      <c r="T4444">
        <v>-0.34894899999999901</v>
      </c>
      <c r="U4444">
        <v>-2.3704990000000001</v>
      </c>
      <c r="V4444">
        <v>-0.25414769999999998</v>
      </c>
      <c r="W4444">
        <v>0.40503430000000001</v>
      </c>
      <c r="X4444">
        <v>0.87826879999999996</v>
      </c>
      <c r="Y4444">
        <v>-0.4543201</v>
      </c>
      <c r="Z4444">
        <v>-3.649013E-3</v>
      </c>
      <c r="AA4444">
        <v>0.89083099999999904</v>
      </c>
      <c r="AB4444">
        <v>34</v>
      </c>
      <c r="AC4444">
        <v>-0.32670000000001598</v>
      </c>
      <c r="AD4444">
        <v>-0.109507999999999</v>
      </c>
      <c r="AE4444">
        <v>-0.60059999999998503</v>
      </c>
      <c r="AF4444">
        <v>-0.47982964182677501</v>
      </c>
      <c r="AG4444">
        <v>-0.109507999999999</v>
      </c>
      <c r="AH4444">
        <v>0.46273653306053802</v>
      </c>
      <c r="AI4444">
        <v>99.329071005523403</v>
      </c>
      <c r="AJ4444">
        <v>136.03892509485499</v>
      </c>
      <c r="AK4444">
        <v>0.67553947794965996</v>
      </c>
      <c r="AL4444">
        <v>66.106722445454906</v>
      </c>
      <c r="AM4444">
        <v>106.139041312833</v>
      </c>
      <c r="AN4444">
        <v>0.99999996132260904</v>
      </c>
    </row>
    <row r="4445" spans="1:40" x14ac:dyDescent="0.25">
      <c r="A4445" t="str">
        <f>"20190304164459912"</f>
        <v>20190304164459912</v>
      </c>
      <c r="B4445" t="str">
        <f>"1551689099904733"</f>
        <v>1551689099904733</v>
      </c>
      <c r="C4445" t="s">
        <v>40</v>
      </c>
      <c r="D4445">
        <v>4.9340760000000001</v>
      </c>
      <c r="E4445">
        <v>0.40012599999999998</v>
      </c>
      <c r="F4445" t="s">
        <v>41</v>
      </c>
      <c r="G4445">
        <v>-398.4667</v>
      </c>
      <c r="H4445">
        <v>1.0264180000000001</v>
      </c>
      <c r="I4445">
        <v>138.20869999999999</v>
      </c>
      <c r="J4445">
        <v>-398.11239999999998</v>
      </c>
      <c r="K4445">
        <v>1.1190880000000001</v>
      </c>
      <c r="L4445">
        <v>138.7415</v>
      </c>
      <c r="M4445">
        <v>-0.96137779999999995</v>
      </c>
      <c r="N4445">
        <v>-1.4174630000000001E-2</v>
      </c>
      <c r="O4445">
        <v>-0.27486719999999998</v>
      </c>
      <c r="P4445">
        <v>-0.78255859999999899</v>
      </c>
      <c r="Q4445">
        <v>0.3967791</v>
      </c>
      <c r="R4445">
        <v>-0.47975909999999999</v>
      </c>
      <c r="S4445">
        <v>-2.5456850000000002</v>
      </c>
      <c r="T4445">
        <v>-0.3555044</v>
      </c>
      <c r="U4445">
        <v>-2.4100950000000001</v>
      </c>
      <c r="V4445">
        <v>-0.2542914</v>
      </c>
      <c r="W4445">
        <v>0.40426820000000002</v>
      </c>
      <c r="X4445">
        <v>0.87858019999999903</v>
      </c>
      <c r="Y4445">
        <v>-0.45982319999999999</v>
      </c>
      <c r="Z4445">
        <v>-3.0989939999999999E-3</v>
      </c>
      <c r="AA4445">
        <v>0.88800509999999999</v>
      </c>
      <c r="AB4445">
        <v>34</v>
      </c>
      <c r="AC4445">
        <v>-0.35430000000002299</v>
      </c>
      <c r="AD4445">
        <v>-9.2669999999999794E-2</v>
      </c>
      <c r="AE4445">
        <v>-0.53280000000000804</v>
      </c>
      <c r="AF4445">
        <v>-0.40635453210490002</v>
      </c>
      <c r="AG4445">
        <v>-9.2669999999999794E-2</v>
      </c>
      <c r="AH4445">
        <v>0.47710643596758501</v>
      </c>
      <c r="AI4445">
        <v>98.411344806477601</v>
      </c>
      <c r="AJ4445">
        <v>130.42124396907499</v>
      </c>
      <c r="AK4445">
        <v>0.63351581345999897</v>
      </c>
      <c r="AL4445">
        <v>66.154723862922694</v>
      </c>
      <c r="AM4445">
        <v>106.142265993313</v>
      </c>
      <c r="AN4445">
        <v>1.0000000307386101</v>
      </c>
    </row>
    <row r="4446" spans="1:40" x14ac:dyDescent="0.25">
      <c r="A4446" t="str">
        <f>"20190304164459934"</f>
        <v>20190304164459934</v>
      </c>
      <c r="B4446" t="str">
        <f>"1551689099924253"</f>
        <v>1551689099924253</v>
      </c>
      <c r="C4446" t="s">
        <v>40</v>
      </c>
      <c r="D4446">
        <v>4.9188400000000003</v>
      </c>
      <c r="E4446">
        <v>0.39984459999999999</v>
      </c>
      <c r="F4446" t="s">
        <v>41</v>
      </c>
      <c r="G4446">
        <v>-398.75020000000001</v>
      </c>
      <c r="H4446">
        <v>1.0217959999999999</v>
      </c>
      <c r="I4446">
        <v>138.11340000000001</v>
      </c>
      <c r="J4446">
        <v>-398.42039999999997</v>
      </c>
      <c r="K4446">
        <v>1.1193439999999999</v>
      </c>
      <c r="L4446">
        <v>138.64420000000001</v>
      </c>
      <c r="M4446">
        <v>-0.95864839999999996</v>
      </c>
      <c r="N4446">
        <v>-1.4194139999999999E-2</v>
      </c>
      <c r="O4446">
        <v>-0.28423929999999997</v>
      </c>
      <c r="P4446">
        <v>-0.77775909999999904</v>
      </c>
      <c r="Q4446">
        <v>0.39664670000000002</v>
      </c>
      <c r="R4446">
        <v>-0.48760910000000002</v>
      </c>
      <c r="S4446">
        <v>-2.511047</v>
      </c>
      <c r="T4446">
        <v>-0.3830383</v>
      </c>
      <c r="U4446">
        <v>-2.4740449999999998</v>
      </c>
      <c r="V4446">
        <v>-0.25479649999999998</v>
      </c>
      <c r="W4446">
        <v>0.4039838</v>
      </c>
      <c r="X4446">
        <v>0.87856469999999898</v>
      </c>
      <c r="Y4446">
        <v>-0.46862569999999998</v>
      </c>
      <c r="Z4446">
        <v>-2.4710629999999999E-3</v>
      </c>
      <c r="AA4446">
        <v>0.88339330000000005</v>
      </c>
      <c r="AB4446">
        <v>34</v>
      </c>
      <c r="AC4446">
        <v>-0.32980000000003401</v>
      </c>
      <c r="AD4446">
        <v>-9.7548000000000204E-2</v>
      </c>
      <c r="AE4446">
        <v>-0.53079999999999905</v>
      </c>
      <c r="AF4446">
        <v>-0.40527500505152497</v>
      </c>
      <c r="AG4446">
        <v>-9.7548000000000204E-2</v>
      </c>
      <c r="AH4446">
        <v>0.45597290297470999</v>
      </c>
      <c r="AI4446">
        <v>99.084804925986802</v>
      </c>
      <c r="AJ4446">
        <v>131.63113565793901</v>
      </c>
      <c r="AK4446">
        <v>0.61779829254433705</v>
      </c>
      <c r="AL4446">
        <v>66.172538770568906</v>
      </c>
      <c r="AM4446">
        <v>106.172925220819</v>
      </c>
      <c r="AN4446">
        <v>1.00000004958038</v>
      </c>
    </row>
    <row r="4447" spans="1:40" x14ac:dyDescent="0.25">
      <c r="A4447" t="str">
        <f>"20190304164459957"</f>
        <v>20190304164459957</v>
      </c>
      <c r="B4447" t="str">
        <f>"1551689099944749"</f>
        <v>1551689099944749</v>
      </c>
      <c r="C4447" t="s">
        <v>40</v>
      </c>
      <c r="D4447">
        <v>4.9513439999999997</v>
      </c>
      <c r="E4447">
        <v>0.39987109999999998</v>
      </c>
      <c r="F4447" t="s">
        <v>41</v>
      </c>
      <c r="G4447">
        <v>-399.0607</v>
      </c>
      <c r="H4447">
        <v>1.0199180000000001</v>
      </c>
      <c r="I4447">
        <v>138</v>
      </c>
      <c r="J4447">
        <v>-398.74450000000002</v>
      </c>
      <c r="K4447">
        <v>1.11961</v>
      </c>
      <c r="L4447">
        <v>138.5376</v>
      </c>
      <c r="M4447">
        <v>-0.9555612</v>
      </c>
      <c r="N4447">
        <v>-1.4221040000000001E-2</v>
      </c>
      <c r="O4447">
        <v>-0.294450299999999</v>
      </c>
      <c r="P4447">
        <v>-0.77251599999999998</v>
      </c>
      <c r="Q4447">
        <v>0.39656750000000002</v>
      </c>
      <c r="R4447">
        <v>-0.49593710000000002</v>
      </c>
      <c r="S4447">
        <v>-2.486145</v>
      </c>
      <c r="T4447">
        <v>-0.38604509999999997</v>
      </c>
      <c r="U4447">
        <v>-2.5009160000000001</v>
      </c>
      <c r="V4447">
        <v>-0.25512190000000001</v>
      </c>
      <c r="W4447">
        <v>0.40375559999999999</v>
      </c>
      <c r="X4447">
        <v>0.87857510000000005</v>
      </c>
      <c r="Y4447">
        <v>-0.46840169999999998</v>
      </c>
      <c r="Z4447">
        <v>-1.3676020000000001E-3</v>
      </c>
      <c r="AA4447">
        <v>0.88351460000000004</v>
      </c>
      <c r="AB4447">
        <v>34</v>
      </c>
      <c r="AC4447">
        <v>-0.31619999999998</v>
      </c>
      <c r="AD4447">
        <v>-9.9691999999999795E-2</v>
      </c>
      <c r="AE4447">
        <v>-0.53759999999999697</v>
      </c>
      <c r="AF4447">
        <v>-0.41016756095130602</v>
      </c>
      <c r="AG4447">
        <v>-9.9691999999999795E-2</v>
      </c>
      <c r="AH4447">
        <v>0.44901937022805599</v>
      </c>
      <c r="AI4447">
        <v>99.309390769098599</v>
      </c>
      <c r="AJ4447">
        <v>132.41089020702901</v>
      </c>
      <c r="AK4447">
        <v>0.61627454738999499</v>
      </c>
      <c r="AL4447">
        <v>66.186829567366203</v>
      </c>
      <c r="AM4447">
        <v>106.192316285711</v>
      </c>
      <c r="AN4447">
        <v>0.99999998736549001</v>
      </c>
    </row>
    <row r="4448" spans="1:40" x14ac:dyDescent="0.25">
      <c r="A4448" t="str">
        <f>"20190304164459980"</f>
        <v>20190304164459980</v>
      </c>
      <c r="B4448" t="str">
        <f>"1551689099974537"</f>
        <v>1551689099974537</v>
      </c>
      <c r="C4448" t="s">
        <v>40</v>
      </c>
      <c r="D4448">
        <v>4.938618</v>
      </c>
      <c r="E4448">
        <v>0.39958070000000001</v>
      </c>
      <c r="F4448" t="s">
        <v>41</v>
      </c>
      <c r="G4448">
        <v>-399.5068</v>
      </c>
      <c r="H4448">
        <v>0.99899789999999999</v>
      </c>
      <c r="I4448">
        <v>137.75399999999999</v>
      </c>
      <c r="J4448">
        <v>-399.05810000000002</v>
      </c>
      <c r="K4448">
        <v>1.1198669999999999</v>
      </c>
      <c r="L4448">
        <v>138.43049999999999</v>
      </c>
      <c r="M4448">
        <v>-0.95237110000000003</v>
      </c>
      <c r="N4448">
        <v>-1.4251410000000001E-2</v>
      </c>
      <c r="O4448">
        <v>-0.3046082</v>
      </c>
      <c r="P4448">
        <v>-0.76727860000000003</v>
      </c>
      <c r="Q4448">
        <v>0.39618170000000003</v>
      </c>
      <c r="R4448">
        <v>-0.50430489999999994</v>
      </c>
      <c r="S4448">
        <v>-2.4602360000000001</v>
      </c>
      <c r="T4448">
        <v>-0.38921460000000002</v>
      </c>
      <c r="U4448">
        <v>-2.528076</v>
      </c>
      <c r="V4448">
        <v>-0.2555055</v>
      </c>
      <c r="W4448">
        <v>0.40323379999999998</v>
      </c>
      <c r="X4448">
        <v>0.87870329999999996</v>
      </c>
      <c r="Y4448">
        <v>-0.46841699999999997</v>
      </c>
      <c r="Z4448">
        <v>-2.6442110000000002E-4</v>
      </c>
      <c r="AA4448">
        <v>0.8835075</v>
      </c>
      <c r="AB4448">
        <v>33</v>
      </c>
      <c r="AC4448">
        <v>-0.44869999999997301</v>
      </c>
      <c r="AD4448">
        <v>-0.12086909999999999</v>
      </c>
      <c r="AE4448">
        <v>-0.67650000000000399</v>
      </c>
      <c r="AF4448">
        <v>-0.49664259857215998</v>
      </c>
      <c r="AG4448">
        <v>-0.12086909999999999</v>
      </c>
      <c r="AH4448">
        <v>0.61972178405300005</v>
      </c>
      <c r="AI4448">
        <v>98.6537305424457</v>
      </c>
      <c r="AJ4448">
        <v>128.70854857446699</v>
      </c>
      <c r="AK4448">
        <v>0.80331706049426799</v>
      </c>
      <c r="AL4448">
        <v>66.219505378541797</v>
      </c>
      <c r="AM4448">
        <v>106.213142994686</v>
      </c>
      <c r="AN4448">
        <v>1.0000000237117801</v>
      </c>
    </row>
    <row r="4449" spans="1:40" x14ac:dyDescent="0.25">
      <c r="A4449" t="str">
        <f>"20190304164500001"</f>
        <v>20190304164500001</v>
      </c>
      <c r="B4449" t="str">
        <f>"1551689099995032"</f>
        <v>1551689099995032</v>
      </c>
      <c r="C4449" t="s">
        <v>40</v>
      </c>
      <c r="D4449">
        <v>4.9288220000000003</v>
      </c>
      <c r="E4449">
        <v>0.3991188</v>
      </c>
      <c r="F4449" t="s">
        <v>41</v>
      </c>
      <c r="G4449">
        <v>-399.78579999999999</v>
      </c>
      <c r="H4449">
        <v>1.0027109999999999</v>
      </c>
      <c r="I4449">
        <v>137.66409999999999</v>
      </c>
      <c r="J4449">
        <v>-399.36669999999998</v>
      </c>
      <c r="K4449">
        <v>1.1201019999999999</v>
      </c>
      <c r="L4449">
        <v>138.32140000000001</v>
      </c>
      <c r="M4449">
        <v>-0.94903870000000001</v>
      </c>
      <c r="N4449">
        <v>-1.428158E-2</v>
      </c>
      <c r="O4449">
        <v>-0.314836</v>
      </c>
      <c r="P4449">
        <v>-0.76150790000000002</v>
      </c>
      <c r="Q4449">
        <v>0.39699760000000001</v>
      </c>
      <c r="R4449">
        <v>-0.51234629999999903</v>
      </c>
      <c r="S4449">
        <v>-2.4296570000000002</v>
      </c>
      <c r="T4449">
        <v>-0.39116440000000002</v>
      </c>
      <c r="U4449">
        <v>-2.5594790000000001</v>
      </c>
      <c r="V4449">
        <v>-0.25567659999999998</v>
      </c>
      <c r="W4449">
        <v>0.4039258</v>
      </c>
      <c r="X4449">
        <v>0.87833559999999999</v>
      </c>
      <c r="Y4449">
        <v>-0.46990500000000002</v>
      </c>
      <c r="Z4449">
        <v>7.3550639999999995E-4</v>
      </c>
      <c r="AA4449">
        <v>0.88271669999999902</v>
      </c>
      <c r="AB4449">
        <v>33</v>
      </c>
      <c r="AC4449">
        <v>-0.41910000000001402</v>
      </c>
      <c r="AD4449">
        <v>-0.117391</v>
      </c>
      <c r="AE4449">
        <v>-0.65730000000001998</v>
      </c>
      <c r="AF4449">
        <v>-0.48099783708896598</v>
      </c>
      <c r="AG4449">
        <v>-0.117391</v>
      </c>
      <c r="AH4449">
        <v>0.59133564109197601</v>
      </c>
      <c r="AI4449">
        <v>98.755016641109606</v>
      </c>
      <c r="AJ4449">
        <v>129.12522269613399</v>
      </c>
      <c r="AK4449">
        <v>0.77124406421762604</v>
      </c>
      <c r="AL4449">
        <v>66.176170281569497</v>
      </c>
      <c r="AM4449">
        <v>106.229863474594</v>
      </c>
      <c r="AN4449">
        <v>1.0000000009602801</v>
      </c>
    </row>
    <row r="4450" spans="1:40" x14ac:dyDescent="0.25">
      <c r="A4450" t="str">
        <f>"20190304164500024"</f>
        <v>20190304164500024</v>
      </c>
      <c r="B4450" t="str">
        <f>"1551689100014553"</f>
        <v>1551689100014553</v>
      </c>
      <c r="C4450" t="s">
        <v>40</v>
      </c>
      <c r="D4450">
        <v>4.9718390000000001</v>
      </c>
      <c r="E4450">
        <v>0.3988333</v>
      </c>
      <c r="F4450" t="s">
        <v>41</v>
      </c>
      <c r="G4450">
        <v>-400.06220000000002</v>
      </c>
      <c r="H4450">
        <v>1.0073749999999999</v>
      </c>
      <c r="I4450">
        <v>137.56899999999999</v>
      </c>
      <c r="J4450">
        <v>-399.6782</v>
      </c>
      <c r="K4450">
        <v>1.1203160000000001</v>
      </c>
      <c r="L4450">
        <v>138.2072</v>
      </c>
      <c r="M4450">
        <v>-0.94547729999999996</v>
      </c>
      <c r="N4450">
        <v>-1.431026E-2</v>
      </c>
      <c r="O4450">
        <v>-0.32537339999999998</v>
      </c>
      <c r="P4450">
        <v>-0.75409630000000005</v>
      </c>
      <c r="Q4450">
        <v>0.39922570000000002</v>
      </c>
      <c r="R4450">
        <v>-0.5214955</v>
      </c>
      <c r="S4450">
        <v>-2.397125</v>
      </c>
      <c r="T4450">
        <v>-0.38854460000000002</v>
      </c>
      <c r="U4450">
        <v>-2.5936430000000001</v>
      </c>
      <c r="V4450">
        <v>-0.25715399999999999</v>
      </c>
      <c r="W4450">
        <v>0.40599580000000002</v>
      </c>
      <c r="X4450">
        <v>0.87694879999999997</v>
      </c>
      <c r="Y4450">
        <v>-0.47191290000000002</v>
      </c>
      <c r="Z4450">
        <v>1.629803E-3</v>
      </c>
      <c r="AA4450">
        <v>0.88164370000000003</v>
      </c>
      <c r="AB4450">
        <v>33</v>
      </c>
      <c r="AC4450">
        <v>-0.384000000000014</v>
      </c>
      <c r="AD4450">
        <v>-0.112941</v>
      </c>
      <c r="AE4450">
        <v>-0.63820000000001098</v>
      </c>
      <c r="AF4450">
        <v>-0.46775401357756402</v>
      </c>
      <c r="AG4450">
        <v>-0.112941</v>
      </c>
      <c r="AH4450">
        <v>0.557946008910158</v>
      </c>
      <c r="AI4450">
        <v>98.817565505990402</v>
      </c>
      <c r="AJ4450">
        <v>129.97478480115799</v>
      </c>
      <c r="AK4450">
        <v>0.73678574603319702</v>
      </c>
      <c r="AL4450">
        <v>66.046455426731697</v>
      </c>
      <c r="AM4450">
        <v>106.34309912742199</v>
      </c>
      <c r="AN4450">
        <v>0.99999998357753905</v>
      </c>
    </row>
    <row r="4451" spans="1:40" x14ac:dyDescent="0.25">
      <c r="A4451" t="str">
        <f>"20190304164500046"</f>
        <v>20190304164500046</v>
      </c>
      <c r="B4451" t="str">
        <f>"1551689100035049"</f>
        <v>1551689100035049</v>
      </c>
      <c r="C4451" t="s">
        <v>40</v>
      </c>
      <c r="D4451">
        <v>4.9480570000000004</v>
      </c>
      <c r="E4451">
        <v>0.39878249999999998</v>
      </c>
      <c r="F4451" t="s">
        <v>41</v>
      </c>
      <c r="G4451">
        <v>-400.33859999999999</v>
      </c>
      <c r="H4451">
        <v>1.0135110000000001</v>
      </c>
      <c r="I4451">
        <v>137.47319999999999</v>
      </c>
      <c r="J4451">
        <v>-399.97660000000002</v>
      </c>
      <c r="K4451">
        <v>1.120503</v>
      </c>
      <c r="L4451">
        <v>138.09399999999999</v>
      </c>
      <c r="M4451">
        <v>-0.9418782</v>
      </c>
      <c r="N4451">
        <v>-1.4336720000000001E-2</v>
      </c>
      <c r="O4451">
        <v>-0.33564860000000002</v>
      </c>
      <c r="P4451">
        <v>-0.74629799999999902</v>
      </c>
      <c r="Q4451">
        <v>0.4000783</v>
      </c>
      <c r="R4451">
        <v>-0.53195559999999997</v>
      </c>
      <c r="S4451">
        <v>-2.363159</v>
      </c>
      <c r="T4451">
        <v>-0.38222309999999998</v>
      </c>
      <c r="U4451">
        <v>-2.6281129999999999</v>
      </c>
      <c r="V4451">
        <v>-0.26019959999999998</v>
      </c>
      <c r="W4451">
        <v>0.40667239999999999</v>
      </c>
      <c r="X4451">
        <v>0.87573609999999902</v>
      </c>
      <c r="Y4451">
        <v>-0.47443930000000001</v>
      </c>
      <c r="Z4451">
        <v>2.3473069999999999E-3</v>
      </c>
      <c r="AA4451">
        <v>0.88028510000000004</v>
      </c>
      <c r="AB4451">
        <v>33</v>
      </c>
      <c r="AC4451">
        <v>-0.36199999999996602</v>
      </c>
      <c r="AD4451">
        <v>-0.106991999999999</v>
      </c>
      <c r="AE4451">
        <v>-0.62080000000000202</v>
      </c>
      <c r="AF4451">
        <v>-0.45321486975827402</v>
      </c>
      <c r="AG4451">
        <v>-0.106991999999999</v>
      </c>
      <c r="AH4451">
        <v>0.53747341709417495</v>
      </c>
      <c r="AI4451">
        <v>98.653012074006895</v>
      </c>
      <c r="AJ4451">
        <v>130.13866365382901</v>
      </c>
      <c r="AK4451">
        <v>0.71114603304588397</v>
      </c>
      <c r="AL4451">
        <v>66.004029004093198</v>
      </c>
      <c r="AM4451">
        <v>106.547790983239</v>
      </c>
      <c r="AN4451">
        <v>0.99999999480256496</v>
      </c>
    </row>
    <row r="4452" spans="1:40" x14ac:dyDescent="0.25">
      <c r="A4452" t="str">
        <f>"20190304164500069"</f>
        <v>20190304164500069</v>
      </c>
      <c r="B4452" t="str">
        <f>"1551689100065304"</f>
        <v>1551689100065304</v>
      </c>
      <c r="C4452" t="s">
        <v>40</v>
      </c>
      <c r="D4452">
        <v>4.9705729999999999</v>
      </c>
      <c r="E4452">
        <v>0.39576630000000002</v>
      </c>
      <c r="F4452" t="s">
        <v>41</v>
      </c>
      <c r="G4452">
        <v>-400.61090000000002</v>
      </c>
      <c r="H4452">
        <v>1.0163169999999999</v>
      </c>
      <c r="I4452">
        <v>137.37</v>
      </c>
      <c r="J4452">
        <v>-400.2867</v>
      </c>
      <c r="K4452">
        <v>1.12066</v>
      </c>
      <c r="L4452">
        <v>137.97219999999999</v>
      </c>
      <c r="M4452">
        <v>-0.93794920000000004</v>
      </c>
      <c r="N4452">
        <v>-1.4362710000000001E-2</v>
      </c>
      <c r="O4452">
        <v>-0.34647529999999999</v>
      </c>
      <c r="P4452">
        <v>-0.73865159999999996</v>
      </c>
      <c r="Q4452">
        <v>0.39974989999999999</v>
      </c>
      <c r="R4452">
        <v>-0.54276530000000001</v>
      </c>
      <c r="S4452">
        <v>-2.329895</v>
      </c>
      <c r="T4452">
        <v>-0.38268020000000003</v>
      </c>
      <c r="U4452">
        <v>-2.6587070000000002</v>
      </c>
      <c r="V4452">
        <v>-0.2629707</v>
      </c>
      <c r="W4452">
        <v>0.40619280000000002</v>
      </c>
      <c r="X4452">
        <v>0.87513079999999999</v>
      </c>
      <c r="Y4452">
        <v>-0.47558859999999997</v>
      </c>
      <c r="Z4452">
        <v>3.397742E-3</v>
      </c>
      <c r="AA4452">
        <v>0.87966129999999998</v>
      </c>
      <c r="AB4452">
        <v>33</v>
      </c>
      <c r="AC4452">
        <v>-0.32420000000001797</v>
      </c>
      <c r="AD4452">
        <v>-0.10434300000000001</v>
      </c>
      <c r="AE4452">
        <v>-0.60219999999998197</v>
      </c>
      <c r="AF4452">
        <v>-0.44225826913001298</v>
      </c>
      <c r="AG4452">
        <v>-0.10434300000000001</v>
      </c>
      <c r="AH4452">
        <v>0.50111925739595697</v>
      </c>
      <c r="AI4452">
        <v>98.873197779801004</v>
      </c>
      <c r="AJ4452">
        <v>131.42972198773199</v>
      </c>
      <c r="AK4452">
        <v>0.67646163852501695</v>
      </c>
      <c r="AL4452">
        <v>66.034105488583904</v>
      </c>
      <c r="AM4452">
        <v>106.725156461472</v>
      </c>
      <c r="AN4452">
        <v>1.00000004846948</v>
      </c>
    </row>
    <row r="4453" spans="1:40" x14ac:dyDescent="0.25">
      <c r="A4453" t="str">
        <f>"20190304164500090"</f>
        <v>20190304164500090</v>
      </c>
      <c r="B4453" t="str">
        <f>"1551689100084824"</f>
        <v>1551689100084824</v>
      </c>
      <c r="C4453" t="s">
        <v>40</v>
      </c>
      <c r="D4453">
        <v>4.9823060000000003</v>
      </c>
      <c r="E4453">
        <v>0.3968486</v>
      </c>
      <c r="F4453" t="s">
        <v>41</v>
      </c>
      <c r="G4453">
        <v>-400.88330000000002</v>
      </c>
      <c r="H4453">
        <v>1.01152</v>
      </c>
      <c r="I4453">
        <v>137.2663</v>
      </c>
      <c r="J4453">
        <v>-400.59370000000001</v>
      </c>
      <c r="K4453">
        <v>1.120779</v>
      </c>
      <c r="L4453">
        <v>137.8476</v>
      </c>
      <c r="M4453">
        <v>-0.93387569999999998</v>
      </c>
      <c r="N4453">
        <v>-1.438528E-2</v>
      </c>
      <c r="O4453">
        <v>-0.35730820000000002</v>
      </c>
      <c r="P4453">
        <v>-0.73136400000000001</v>
      </c>
      <c r="Q4453">
        <v>0.40038380000000001</v>
      </c>
      <c r="R4453">
        <v>-0.55208669999999904</v>
      </c>
      <c r="S4453">
        <v>-2.2936709999999998</v>
      </c>
      <c r="T4453">
        <v>-0.41962179999999999</v>
      </c>
      <c r="U4453">
        <v>-2.7148279999999998</v>
      </c>
      <c r="V4453">
        <v>-0.26421060000000002</v>
      </c>
      <c r="W4453">
        <v>0.40672819999999998</v>
      </c>
      <c r="X4453">
        <v>0.87450839999999996</v>
      </c>
      <c r="Y4453">
        <v>-0.48109459999999998</v>
      </c>
      <c r="Z4453">
        <v>5.2905419999999996E-3</v>
      </c>
      <c r="AA4453">
        <v>0.87665269999999995</v>
      </c>
      <c r="AB4453">
        <v>33</v>
      </c>
      <c r="AC4453">
        <v>-0.28960000000000702</v>
      </c>
      <c r="AD4453">
        <v>-0.109259</v>
      </c>
      <c r="AE4453">
        <v>-0.58129999999999804</v>
      </c>
      <c r="AF4453">
        <v>-0.42733613456098901</v>
      </c>
      <c r="AG4453">
        <v>-0.109259</v>
      </c>
      <c r="AH4453">
        <v>0.46504115707100002</v>
      </c>
      <c r="AI4453">
        <v>99.814806163759002</v>
      </c>
      <c r="AJ4453">
        <v>132.58055873524299</v>
      </c>
      <c r="AK4453">
        <v>0.64095005948393702</v>
      </c>
      <c r="AL4453">
        <v>66.000529678720397</v>
      </c>
      <c r="AM4453">
        <v>106.81086425869201</v>
      </c>
      <c r="AN4453">
        <v>1.0000000057490801</v>
      </c>
    </row>
    <row r="4454" spans="1:40" x14ac:dyDescent="0.25">
      <c r="A4454" t="str">
        <f>"20190304164500113"</f>
        <v>20190304164500113</v>
      </c>
      <c r="B4454" t="str">
        <f>"1551689100104345"</f>
        <v>1551689100104345</v>
      </c>
      <c r="C4454" t="s">
        <v>40</v>
      </c>
      <c r="D4454">
        <v>4.9799309999999997</v>
      </c>
      <c r="E4454">
        <v>0.39686919999999998</v>
      </c>
      <c r="F4454" t="s">
        <v>41</v>
      </c>
      <c r="G4454">
        <v>-401.15809999999999</v>
      </c>
      <c r="H4454">
        <v>1.0158689999999999</v>
      </c>
      <c r="I4454">
        <v>137.1653</v>
      </c>
      <c r="J4454">
        <v>-400.88839999999999</v>
      </c>
      <c r="K4454">
        <v>1.120859</v>
      </c>
      <c r="L4454">
        <v>137.72399999999999</v>
      </c>
      <c r="M4454">
        <v>-0.92979840000000002</v>
      </c>
      <c r="N4454">
        <v>-1.439875E-2</v>
      </c>
      <c r="O4454">
        <v>-0.3677878</v>
      </c>
      <c r="P4454">
        <v>-0.72521990000000003</v>
      </c>
      <c r="Q4454">
        <v>0.40056700000000001</v>
      </c>
      <c r="R4454">
        <v>-0.56000229999999995</v>
      </c>
      <c r="S4454">
        <v>-2.2649840000000001</v>
      </c>
      <c r="T4454">
        <v>-0.42105340000000002</v>
      </c>
      <c r="U4454">
        <v>-2.7387700000000001</v>
      </c>
      <c r="V4454">
        <v>-0.26401340000000001</v>
      </c>
      <c r="W4454">
        <v>0.40686939999999999</v>
      </c>
      <c r="X4454">
        <v>0.87450229999999995</v>
      </c>
      <c r="Y4454">
        <v>-0.48050219999999999</v>
      </c>
      <c r="Z4454">
        <v>6.5992029999999997E-3</v>
      </c>
      <c r="AA4454">
        <v>0.87696869999999905</v>
      </c>
      <c r="AB4454">
        <v>33</v>
      </c>
      <c r="AC4454">
        <v>-0.2697</v>
      </c>
      <c r="AD4454">
        <v>-0.104989999999999</v>
      </c>
      <c r="AE4454">
        <v>-0.55869999999998698</v>
      </c>
      <c r="AF4454">
        <v>-0.40862663256401799</v>
      </c>
      <c r="AG4454">
        <v>-0.104989999999999</v>
      </c>
      <c r="AH4454">
        <v>0.44359262217822099</v>
      </c>
      <c r="AI4454">
        <v>99.875035435627694</v>
      </c>
      <c r="AJ4454">
        <v>132.650510037701</v>
      </c>
      <c r="AK4454">
        <v>0.61218709508740798</v>
      </c>
      <c r="AL4454">
        <v>65.9916742006737</v>
      </c>
      <c r="AM4454">
        <v>106.799134700309</v>
      </c>
      <c r="AN4454">
        <v>1.0000000283706001</v>
      </c>
    </row>
    <row r="4455" spans="1:40" x14ac:dyDescent="0.25">
      <c r="A4455" t="str">
        <f>"20190304164500136"</f>
        <v>20190304164500136</v>
      </c>
      <c r="B4455" t="str">
        <f>"1551689100124840"</f>
        <v>1551689100124840</v>
      </c>
      <c r="C4455" t="s">
        <v>40</v>
      </c>
      <c r="D4455">
        <v>5.0742609999999999</v>
      </c>
      <c r="E4455">
        <v>0.3970031</v>
      </c>
      <c r="F4455" t="s">
        <v>41</v>
      </c>
      <c r="G4455">
        <v>-401.42970000000003</v>
      </c>
      <c r="H4455">
        <v>1.0183530000000001</v>
      </c>
      <c r="I4455">
        <v>137.05459999999999</v>
      </c>
      <c r="J4455">
        <v>-401.18979999999999</v>
      </c>
      <c r="K4455">
        <v>1.1209070000000001</v>
      </c>
      <c r="L4455">
        <v>137.5933</v>
      </c>
      <c r="M4455">
        <v>-0.92546890000000004</v>
      </c>
      <c r="N4455">
        <v>-1.440044E-2</v>
      </c>
      <c r="O4455">
        <v>-0.37855030000000001</v>
      </c>
      <c r="P4455">
        <v>-0.71885030000000005</v>
      </c>
      <c r="Q4455">
        <v>0.40037630000000002</v>
      </c>
      <c r="R4455">
        <v>-0.56828959999999995</v>
      </c>
      <c r="S4455">
        <v>-2.2351380000000001</v>
      </c>
      <c r="T4455">
        <v>-0.42329450000000002</v>
      </c>
      <c r="U4455">
        <v>-2.76532</v>
      </c>
      <c r="V4455">
        <v>-0.26392670000000001</v>
      </c>
      <c r="W4455">
        <v>0.40664280000000003</v>
      </c>
      <c r="X4455">
        <v>0.87463380000000002</v>
      </c>
      <c r="Y4455">
        <v>-0.48022029999999899</v>
      </c>
      <c r="Z4455">
        <v>7.9626519999999902E-3</v>
      </c>
      <c r="AA4455">
        <v>0.8771118</v>
      </c>
      <c r="AB4455">
        <v>33</v>
      </c>
      <c r="AC4455">
        <v>-0.239900000000034</v>
      </c>
      <c r="AD4455">
        <v>-0.10255399999999899</v>
      </c>
      <c r="AE4455">
        <v>-0.53870000000000495</v>
      </c>
      <c r="AF4455">
        <v>-0.39580730910140099</v>
      </c>
      <c r="AG4455">
        <v>-0.10255399999999899</v>
      </c>
      <c r="AH4455">
        <v>0.413483745008487</v>
      </c>
      <c r="AI4455">
        <v>100.157766583164</v>
      </c>
      <c r="AJ4455">
        <v>133.74875156522899</v>
      </c>
      <c r="AK4455">
        <v>0.581506282201951</v>
      </c>
      <c r="AL4455">
        <v>66.005884930843806</v>
      </c>
      <c r="AM4455">
        <v>106.79154580321899</v>
      </c>
      <c r="AN4455">
        <v>0.999999976933584</v>
      </c>
    </row>
    <row r="4456" spans="1:40" x14ac:dyDescent="0.25">
      <c r="A4456" t="str">
        <f>"20190304164500159"</f>
        <v>20190304164500159</v>
      </c>
      <c r="B4456" t="str">
        <f>"1551689100155097"</f>
        <v>1551689100155097</v>
      </c>
      <c r="C4456" t="s">
        <v>40</v>
      </c>
      <c r="D4456">
        <v>5.0734089999999998</v>
      </c>
      <c r="E4456">
        <v>0.40140690000000001</v>
      </c>
      <c r="F4456" t="s">
        <v>41</v>
      </c>
      <c r="G4456">
        <v>-401.8843</v>
      </c>
      <c r="H4456">
        <v>0.98663820000000002</v>
      </c>
      <c r="I4456">
        <v>136.71459999999999</v>
      </c>
      <c r="J4456">
        <v>-401.49540000000002</v>
      </c>
      <c r="K4456">
        <v>1.120933</v>
      </c>
      <c r="L4456">
        <v>137.4564</v>
      </c>
      <c r="M4456">
        <v>-0.92093069999999999</v>
      </c>
      <c r="N4456">
        <v>-1.4395369999999999E-2</v>
      </c>
      <c r="O4456">
        <v>-0.38946069999999999</v>
      </c>
      <c r="P4456">
        <v>-0.71326820000000002</v>
      </c>
      <c r="Q4456">
        <v>0.3992021</v>
      </c>
      <c r="R4456">
        <v>-0.57609580000000005</v>
      </c>
      <c r="S4456">
        <v>-2.2047119999999998</v>
      </c>
      <c r="T4456">
        <v>-0.42628199999999999</v>
      </c>
      <c r="U4456">
        <v>-2.7904659999999999</v>
      </c>
      <c r="V4456">
        <v>-0.2628762</v>
      </c>
      <c r="W4456">
        <v>0.40547860000000002</v>
      </c>
      <c r="X4456">
        <v>0.87549030000000005</v>
      </c>
      <c r="Y4456">
        <v>-0.47963539999999999</v>
      </c>
      <c r="Z4456">
        <v>9.4260609999999995E-3</v>
      </c>
      <c r="AA4456">
        <v>0.87741729999999996</v>
      </c>
      <c r="AB4456">
        <v>33</v>
      </c>
      <c r="AC4456">
        <v>-0.38889999999997799</v>
      </c>
      <c r="AD4456">
        <v>-0.13429479999999999</v>
      </c>
      <c r="AE4456">
        <v>-0.74180000000001201</v>
      </c>
      <c r="AF4456">
        <v>-0.51841233339837101</v>
      </c>
      <c r="AG4456">
        <v>-0.13429479999999999</v>
      </c>
      <c r="AH4456">
        <v>0.63089912889414901</v>
      </c>
      <c r="AI4456">
        <v>99.339389131493803</v>
      </c>
      <c r="AJ4456">
        <v>129.410082016281</v>
      </c>
      <c r="AK4456">
        <v>0.82753861031735598</v>
      </c>
      <c r="AL4456">
        <v>66.078878569938098</v>
      </c>
      <c r="AM4456">
        <v>106.71299913767299</v>
      </c>
      <c r="AN4456">
        <v>1.0000000284892401</v>
      </c>
    </row>
    <row r="4457" spans="1:40" x14ac:dyDescent="0.25">
      <c r="A4457" t="str">
        <f>"20190304164500182"</f>
        <v>20190304164500182</v>
      </c>
      <c r="B4457" t="str">
        <f>"1551689100174616"</f>
        <v>1551689100174616</v>
      </c>
      <c r="C4457" t="s">
        <v>40</v>
      </c>
      <c r="D4457">
        <v>5.0880080000000003</v>
      </c>
      <c r="E4457">
        <v>0.49251339999999999</v>
      </c>
      <c r="F4457" t="s">
        <v>41</v>
      </c>
      <c r="G4457">
        <v>-402.16019999999997</v>
      </c>
      <c r="H4457">
        <v>0.98898889999999995</v>
      </c>
      <c r="I4457">
        <v>136.6131</v>
      </c>
      <c r="J4457">
        <v>-401.80500000000001</v>
      </c>
      <c r="K4457">
        <v>1.1209389999999999</v>
      </c>
      <c r="L4457">
        <v>137.3133</v>
      </c>
      <c r="M4457">
        <v>-0.91618230000000001</v>
      </c>
      <c r="N4457">
        <v>-1.438525E-2</v>
      </c>
      <c r="O4457">
        <v>-0.40050340000000001</v>
      </c>
      <c r="P4457">
        <v>-0.70787559999999905</v>
      </c>
      <c r="Q4457">
        <v>0.39866750000000001</v>
      </c>
      <c r="R4457">
        <v>-0.58307519999999902</v>
      </c>
      <c r="S4457">
        <v>-2.1982119999999998</v>
      </c>
      <c r="T4457">
        <v>-0.43624269999999998</v>
      </c>
      <c r="U4457">
        <v>-2.7881010000000002</v>
      </c>
      <c r="V4457">
        <v>-0.26082</v>
      </c>
      <c r="W4457">
        <v>0.40498849999999997</v>
      </c>
      <c r="X4457">
        <v>0.87633169999999905</v>
      </c>
      <c r="Y4457">
        <v>-0.47003909999999999</v>
      </c>
      <c r="Z4457">
        <v>1.197637E-2</v>
      </c>
      <c r="AA4457">
        <v>0.88256440000000003</v>
      </c>
      <c r="AB4457">
        <v>33</v>
      </c>
      <c r="AC4457">
        <v>-0.35519999999996799</v>
      </c>
      <c r="AD4457">
        <v>-0.13195009999999899</v>
      </c>
      <c r="AE4457">
        <v>-0.70019999999999505</v>
      </c>
      <c r="AF4457">
        <v>-0.48558883398762398</v>
      </c>
      <c r="AG4457">
        <v>-0.13195009999999899</v>
      </c>
      <c r="AH4457">
        <v>0.58927963969738595</v>
      </c>
      <c r="AI4457">
        <v>99.804209194815499</v>
      </c>
      <c r="AJ4457">
        <v>129.48982038303501</v>
      </c>
      <c r="AK4457">
        <v>0.77489214626640202</v>
      </c>
      <c r="AL4457">
        <v>66.109593581840798</v>
      </c>
      <c r="AM4457">
        <v>106.574427827767</v>
      </c>
      <c r="AN4457">
        <v>1.0000000029785601</v>
      </c>
    </row>
    <row r="4458" spans="1:40" x14ac:dyDescent="0.25">
      <c r="A4458" t="str">
        <f>"20190304164500202"</f>
        <v>20190304164500202</v>
      </c>
      <c r="B4458" t="str">
        <f>"1551689100195113"</f>
        <v>1551689100195113</v>
      </c>
      <c r="C4458" t="s">
        <v>40</v>
      </c>
      <c r="D4458">
        <v>5.0258989999999999</v>
      </c>
      <c r="E4458">
        <v>0.4969075</v>
      </c>
      <c r="F4458" t="s">
        <v>48</v>
      </c>
      <c r="G4458">
        <v>-408.4683</v>
      </c>
      <c r="H4458" s="1">
        <v>-6.2242069999999996E-6</v>
      </c>
      <c r="I4458">
        <v>131.61680000000001</v>
      </c>
      <c r="J4458">
        <v>-402.08479999999997</v>
      </c>
      <c r="K4458">
        <v>1.1209169999999999</v>
      </c>
      <c r="L4458">
        <v>137.18020000000001</v>
      </c>
      <c r="M4458">
        <v>-0.91176789999999996</v>
      </c>
      <c r="N4458">
        <v>-1.436757E-2</v>
      </c>
      <c r="O4458">
        <v>-0.41045419999999999</v>
      </c>
      <c r="P4458">
        <v>-0.70328349999999995</v>
      </c>
      <c r="Q4458">
        <v>0.3979625</v>
      </c>
      <c r="R4458">
        <v>-0.58908190000000005</v>
      </c>
      <c r="S4458">
        <v>-2.6332089999999999</v>
      </c>
      <c r="T4458">
        <v>-0.44297619999999999</v>
      </c>
      <c r="U4458">
        <v>-2.25116</v>
      </c>
      <c r="V4458">
        <v>-0.25854240000000001</v>
      </c>
      <c r="W4458">
        <v>0.40434100000000001</v>
      </c>
      <c r="X4458">
        <v>0.87730509999999995</v>
      </c>
      <c r="Y4458">
        <v>-0.28052539999999998</v>
      </c>
      <c r="Z4458">
        <v>2.7873800000000001E-2</v>
      </c>
      <c r="AA4458">
        <v>0.95944180000000001</v>
      </c>
      <c r="AB4458">
        <v>33</v>
      </c>
      <c r="AC4458">
        <v>-6.3835000000000202</v>
      </c>
      <c r="AD4458">
        <v>-1.120923224207</v>
      </c>
      <c r="AE4458">
        <v>-5.5633999999999997</v>
      </c>
      <c r="AF4458">
        <v>-2.4104089259900898</v>
      </c>
      <c r="AG4458">
        <v>-1.120923224207</v>
      </c>
      <c r="AH4458">
        <v>7.9650503535929698</v>
      </c>
      <c r="AI4458">
        <v>97.671422954991897</v>
      </c>
      <c r="AJ4458">
        <v>106.83703216555899</v>
      </c>
      <c r="AK4458">
        <v>8.3969379657307801</v>
      </c>
      <c r="AL4458">
        <v>66.1501632985984</v>
      </c>
      <c r="AM4458">
        <v>106.4202805733</v>
      </c>
      <c r="AN4458">
        <v>1.0000000276823799</v>
      </c>
    </row>
    <row r="4459" spans="1:40" x14ac:dyDescent="0.25">
      <c r="A4459" t="str">
        <f>"20190304164500236"</f>
        <v>20190304164500236</v>
      </c>
      <c r="B4459" t="str">
        <f>"1551689100224393"</f>
        <v>1551689100224393</v>
      </c>
      <c r="C4459" t="s">
        <v>40</v>
      </c>
      <c r="D4459">
        <v>5.0378410000000002</v>
      </c>
      <c r="E4459">
        <v>0.49942999999999999</v>
      </c>
      <c r="F4459" t="s">
        <v>48</v>
      </c>
      <c r="G4459">
        <v>-408.49680000000001</v>
      </c>
      <c r="H4459" s="1">
        <v>-6.2881349999999999E-6</v>
      </c>
      <c r="I4459">
        <v>131.71209999999999</v>
      </c>
      <c r="J4459">
        <v>-402.51479999999998</v>
      </c>
      <c r="K4459">
        <v>1.1208530000000001</v>
      </c>
      <c r="L4459">
        <v>136.96879999999999</v>
      </c>
      <c r="M4459">
        <v>-0.90478650000000005</v>
      </c>
      <c r="N4459">
        <v>-1.4315339999999999E-2</v>
      </c>
      <c r="O4459">
        <v>-0.42562539999999999</v>
      </c>
      <c r="P4459">
        <v>-0.69382730000000004</v>
      </c>
      <c r="Q4459">
        <v>0.3983526</v>
      </c>
      <c r="R4459">
        <v>-0.59993260000000004</v>
      </c>
      <c r="S4459">
        <v>-2.6406860000000001</v>
      </c>
      <c r="T4459">
        <v>-0.46164119999999997</v>
      </c>
      <c r="U4459">
        <v>-2.2519840000000002</v>
      </c>
      <c r="V4459">
        <v>-0.2575694</v>
      </c>
      <c r="W4459">
        <v>0.40473609999999999</v>
      </c>
      <c r="X4459">
        <v>0.87740910000000005</v>
      </c>
      <c r="Y4459">
        <v>-0.26355149999999999</v>
      </c>
      <c r="Z4459">
        <v>3.2453009999999997E-2</v>
      </c>
      <c r="AA4459">
        <v>0.96409929999999999</v>
      </c>
      <c r="AB4459">
        <v>33</v>
      </c>
      <c r="AC4459">
        <v>-5.9820000000000197</v>
      </c>
      <c r="AD4459">
        <v>-1.1208592881349999</v>
      </c>
      <c r="AE4459">
        <v>-5.2566999999999897</v>
      </c>
      <c r="AF4459">
        <v>-2.1673889523722298</v>
      </c>
      <c r="AG4459">
        <v>-1.1208592881349999</v>
      </c>
      <c r="AH4459">
        <v>7.5019819824607401</v>
      </c>
      <c r="AI4459">
        <v>98.168330201522394</v>
      </c>
      <c r="AJ4459">
        <v>106.11447357262</v>
      </c>
      <c r="AK4459">
        <v>7.88882970280316</v>
      </c>
      <c r="AL4459">
        <v>66.125409578442799</v>
      </c>
      <c r="AM4459">
        <v>106.359959667166</v>
      </c>
      <c r="AN4459">
        <v>1.0000000176111801</v>
      </c>
    </row>
    <row r="4460" spans="1:40" x14ac:dyDescent="0.25">
      <c r="A4460" t="str">
        <f>"20190304164500258"</f>
        <v>20190304164500258</v>
      </c>
      <c r="B4460" t="str">
        <f>"1551689100254649"</f>
        <v>1551689100254649</v>
      </c>
      <c r="C4460" t="s">
        <v>40</v>
      </c>
      <c r="D4460">
        <v>5.0437289999999999</v>
      </c>
      <c r="E4460">
        <v>0.50077020000000005</v>
      </c>
      <c r="F4460" t="s">
        <v>48</v>
      </c>
      <c r="G4460">
        <v>-408.74970000000002</v>
      </c>
      <c r="H4460" s="1">
        <v>-6.3843859999999901E-6</v>
      </c>
      <c r="I4460">
        <v>131.5487</v>
      </c>
      <c r="J4460">
        <v>-402.80930000000001</v>
      </c>
      <c r="K4460">
        <v>1.120789</v>
      </c>
      <c r="L4460">
        <v>136.8184</v>
      </c>
      <c r="M4460">
        <v>-0.89987870000000003</v>
      </c>
      <c r="N4460">
        <v>-1.4261029999999999E-2</v>
      </c>
      <c r="O4460">
        <v>-0.43590679999999998</v>
      </c>
      <c r="P4460">
        <v>-0.68758450000000004</v>
      </c>
      <c r="Q4460">
        <v>0.39859539999999999</v>
      </c>
      <c r="R4460">
        <v>-0.60691790000000001</v>
      </c>
      <c r="S4460">
        <v>-2.622986</v>
      </c>
      <c r="T4460">
        <v>-0.47153640000000002</v>
      </c>
      <c r="U4460">
        <v>-2.2801819999999999</v>
      </c>
      <c r="V4460">
        <v>-0.25644840000000002</v>
      </c>
      <c r="W4460">
        <v>0.4049951</v>
      </c>
      <c r="X4460">
        <v>0.87761789999999995</v>
      </c>
      <c r="Y4460">
        <v>-0.26180799999999999</v>
      </c>
      <c r="Z4460">
        <v>3.4740859999999998E-2</v>
      </c>
      <c r="AA4460">
        <v>0.96449450000000003</v>
      </c>
      <c r="AB4460">
        <v>33</v>
      </c>
      <c r="AC4460">
        <v>-5.9404000000000101</v>
      </c>
      <c r="AD4460">
        <v>-1.1207953843859999</v>
      </c>
      <c r="AE4460">
        <v>-5.2697000000000003</v>
      </c>
      <c r="AF4460">
        <v>-2.1107998740363998</v>
      </c>
      <c r="AG4460">
        <v>-1.1207953843859999</v>
      </c>
      <c r="AH4460">
        <v>7.4942229312973998</v>
      </c>
      <c r="AI4460">
        <v>98.1916577709124</v>
      </c>
      <c r="AJ4460">
        <v>105.73024217516399</v>
      </c>
      <c r="AK4460">
        <v>7.8660686334328904</v>
      </c>
      <c r="AL4460">
        <v>66.109179807429697</v>
      </c>
      <c r="AM4460">
        <v>106.28887093345899</v>
      </c>
      <c r="AN4460">
        <v>0.99999999564348996</v>
      </c>
    </row>
    <row r="4461" spans="1:40" x14ac:dyDescent="0.25">
      <c r="A4461" t="str">
        <f>"20190304164500281"</f>
        <v>20190304164500281</v>
      </c>
      <c r="B4461" t="str">
        <f>"1551689100274168"</f>
        <v>1551689100274168</v>
      </c>
      <c r="C4461" t="s">
        <v>40</v>
      </c>
      <c r="D4461">
        <v>5.0569579999999998</v>
      </c>
      <c r="E4461">
        <v>0.50145059999999997</v>
      </c>
      <c r="F4461" t="s">
        <v>48</v>
      </c>
      <c r="G4461">
        <v>-408.92579999999998</v>
      </c>
      <c r="H4461" s="1">
        <v>-6.441988E-6</v>
      </c>
      <c r="I4461">
        <v>131.41470000000001</v>
      </c>
      <c r="J4461">
        <v>-403.10660000000001</v>
      </c>
      <c r="K4461">
        <v>1.1207119999999999</v>
      </c>
      <c r="L4461">
        <v>136.6626</v>
      </c>
      <c r="M4461">
        <v>-0.89482709999999999</v>
      </c>
      <c r="N4461">
        <v>-1.419862E-2</v>
      </c>
      <c r="O4461">
        <v>-0.44618730000000001</v>
      </c>
      <c r="P4461">
        <v>-0.68120040000000004</v>
      </c>
      <c r="Q4461">
        <v>0.398837</v>
      </c>
      <c r="R4461">
        <v>-0.61391770000000001</v>
      </c>
      <c r="S4461">
        <v>-2.6070250000000001</v>
      </c>
      <c r="T4461">
        <v>-0.47771390000000002</v>
      </c>
      <c r="U4461">
        <v>-2.303207</v>
      </c>
      <c r="V4461">
        <v>-0.25536310000000001</v>
      </c>
      <c r="W4461">
        <v>0.40525220000000001</v>
      </c>
      <c r="X4461">
        <v>0.87781569999999998</v>
      </c>
      <c r="Y4461">
        <v>-0.2585884</v>
      </c>
      <c r="Z4461">
        <v>3.6877010000000002E-2</v>
      </c>
      <c r="AA4461">
        <v>0.96528349999999996</v>
      </c>
      <c r="AB4461">
        <v>33</v>
      </c>
      <c r="AC4461">
        <v>-5.8191999999999604</v>
      </c>
      <c r="AD4461">
        <v>-1.1207184419880001</v>
      </c>
      <c r="AE4461">
        <v>-5.24789999999998</v>
      </c>
      <c r="AF4461">
        <v>-2.0576325216072</v>
      </c>
      <c r="AG4461">
        <v>-1.1207184419880001</v>
      </c>
      <c r="AH4461">
        <v>7.3981549884511901</v>
      </c>
      <c r="AI4461">
        <v>98.303493416800094</v>
      </c>
      <c r="AJ4461">
        <v>105.542727166757</v>
      </c>
      <c r="AK4461">
        <v>7.76031949428197</v>
      </c>
      <c r="AL4461">
        <v>66.093068528482604</v>
      </c>
      <c r="AM4461">
        <v>106.22010539788501</v>
      </c>
      <c r="AN4461">
        <v>1.00000003080646</v>
      </c>
    </row>
    <row r="4462" spans="1:40" x14ac:dyDescent="0.25">
      <c r="A4462" t="str">
        <f>"20190304164500303"</f>
        <v>20190304164500303</v>
      </c>
      <c r="B4462" t="str">
        <f>"1551689100294664"</f>
        <v>1551689100294664</v>
      </c>
      <c r="C4462" t="s">
        <v>40</v>
      </c>
      <c r="D4462">
        <v>5.0376599999999998</v>
      </c>
      <c r="E4462">
        <v>0.50202420000000003</v>
      </c>
      <c r="F4462" t="s">
        <v>48</v>
      </c>
      <c r="G4462">
        <v>-409.11540000000002</v>
      </c>
      <c r="H4462" s="1">
        <v>-6.4898269999999998E-6</v>
      </c>
      <c r="I4462">
        <v>131.24019999999999</v>
      </c>
      <c r="J4462">
        <v>-403.38650000000001</v>
      </c>
      <c r="K4462">
        <v>1.120622</v>
      </c>
      <c r="L4462">
        <v>136.512</v>
      </c>
      <c r="M4462">
        <v>-0.88998849999999996</v>
      </c>
      <c r="N4462">
        <v>-1.4121979999999999E-2</v>
      </c>
      <c r="O4462">
        <v>-0.45576410000000001</v>
      </c>
      <c r="P4462">
        <v>-0.6750507</v>
      </c>
      <c r="Q4462">
        <v>0.39959800000000001</v>
      </c>
      <c r="R4462">
        <v>-0.62018390000000001</v>
      </c>
      <c r="S4462">
        <v>-2.584381</v>
      </c>
      <c r="T4462">
        <v>-0.48202319999999999</v>
      </c>
      <c r="U4462">
        <v>-2.3321529999999999</v>
      </c>
      <c r="V4462">
        <v>-0.25418639999999998</v>
      </c>
      <c r="W4462">
        <v>0.40602110000000002</v>
      </c>
      <c r="X4462">
        <v>0.87780179999999997</v>
      </c>
      <c r="Y4462">
        <v>-0.25847799999999999</v>
      </c>
      <c r="Z4462">
        <v>3.8576760000000002E-2</v>
      </c>
      <c r="AA4462">
        <v>0.96524659999999995</v>
      </c>
      <c r="AB4462">
        <v>33</v>
      </c>
      <c r="AC4462">
        <v>-5.7289000000000003</v>
      </c>
      <c r="AD4462">
        <v>-1.120628489827</v>
      </c>
      <c r="AE4462">
        <v>-5.2718000000000096</v>
      </c>
      <c r="AF4462">
        <v>-2.0387810823548298</v>
      </c>
      <c r="AG4462">
        <v>-1.120628489827</v>
      </c>
      <c r="AH4462">
        <v>7.3498217818371696</v>
      </c>
      <c r="AI4462">
        <v>98.358231504115196</v>
      </c>
      <c r="AJ4462">
        <v>105.503583926365</v>
      </c>
      <c r="AK4462">
        <v>7.7092358077015604</v>
      </c>
      <c r="AL4462">
        <v>66.044867854623206</v>
      </c>
      <c r="AM4462">
        <v>106.149510731023</v>
      </c>
      <c r="AN4462">
        <v>0.99999992983670205</v>
      </c>
    </row>
    <row r="4463" spans="1:40" x14ac:dyDescent="0.25">
      <c r="A4463" t="str">
        <f>"20190304164500325"</f>
        <v>20190304164500325</v>
      </c>
      <c r="B4463" t="str">
        <f>"1551689100314185"</f>
        <v>1551689100314185</v>
      </c>
      <c r="C4463" t="s">
        <v>40</v>
      </c>
      <c r="D4463">
        <v>5.0691030000000001</v>
      </c>
      <c r="E4463">
        <v>0.50270409999999999</v>
      </c>
      <c r="F4463" t="s">
        <v>48</v>
      </c>
      <c r="G4463">
        <v>-409.32049999999998</v>
      </c>
      <c r="H4463" s="1">
        <v>-6.5373640000000001E-6</v>
      </c>
      <c r="I4463">
        <v>131.05279999999999</v>
      </c>
      <c r="J4463">
        <v>-403.67500000000001</v>
      </c>
      <c r="K4463">
        <v>1.1205099999999999</v>
      </c>
      <c r="L4463">
        <v>136.35290000000001</v>
      </c>
      <c r="M4463">
        <v>-0.88493169999999899</v>
      </c>
      <c r="N4463">
        <v>-1.402376E-2</v>
      </c>
      <c r="O4463">
        <v>-0.46550979999999997</v>
      </c>
      <c r="P4463">
        <v>-0.66882419999999998</v>
      </c>
      <c r="Q4463">
        <v>0.40072350000000001</v>
      </c>
      <c r="R4463">
        <v>-0.62617509999999998</v>
      </c>
      <c r="S4463">
        <v>-2.563812</v>
      </c>
      <c r="T4463">
        <v>-0.48417759999999999</v>
      </c>
      <c r="U4463">
        <v>-2.3587039999999999</v>
      </c>
      <c r="V4463">
        <v>-0.252600299999999</v>
      </c>
      <c r="W4463">
        <v>0.40715519999999999</v>
      </c>
      <c r="X4463">
        <v>0.87773449999999997</v>
      </c>
      <c r="Y4463">
        <v>-0.25723679999999999</v>
      </c>
      <c r="Z4463">
        <v>4.0201590000000002E-2</v>
      </c>
      <c r="AA4463">
        <v>0.96551180000000003</v>
      </c>
      <c r="AB4463">
        <v>33</v>
      </c>
      <c r="AC4463">
        <v>-5.64549999999997</v>
      </c>
      <c r="AD4463">
        <v>-1.120516537364</v>
      </c>
      <c r="AE4463">
        <v>-5.3001000000000102</v>
      </c>
      <c r="AF4463">
        <v>-2.0200948907371701</v>
      </c>
      <c r="AG4463">
        <v>-1.120516537364</v>
      </c>
      <c r="AH4463">
        <v>7.31078359297722</v>
      </c>
      <c r="AI4463">
        <v>98.403689021926198</v>
      </c>
      <c r="AJ4463">
        <v>105.446388820118</v>
      </c>
      <c r="AK4463">
        <v>7.6670657634738903</v>
      </c>
      <c r="AL4463">
        <v>65.973747796070299</v>
      </c>
      <c r="AM4463">
        <v>106.055113822995</v>
      </c>
      <c r="AN4463">
        <v>1.0000000604686801</v>
      </c>
    </row>
    <row r="4464" spans="1:40" x14ac:dyDescent="0.25">
      <c r="A4464" t="str">
        <f>"20190304164500349"</f>
        <v>20190304164500349</v>
      </c>
      <c r="B4464" t="str">
        <f>"1551689100344441"</f>
        <v>1551689100344441</v>
      </c>
      <c r="C4464" t="s">
        <v>40</v>
      </c>
      <c r="D4464">
        <v>5.0645020000000001</v>
      </c>
      <c r="E4464">
        <v>0.50365979999999999</v>
      </c>
      <c r="F4464" t="s">
        <v>48</v>
      </c>
      <c r="G4464">
        <v>-409.54410000000001</v>
      </c>
      <c r="H4464" s="1">
        <v>-6.5863960000000001E-6</v>
      </c>
      <c r="I4464">
        <v>130.84639999999999</v>
      </c>
      <c r="J4464">
        <v>-403.96620000000001</v>
      </c>
      <c r="K4464">
        <v>1.120379</v>
      </c>
      <c r="L4464">
        <v>136.18819999999999</v>
      </c>
      <c r="M4464">
        <v>-0.87976790000000005</v>
      </c>
      <c r="N4464">
        <v>-1.390781E-2</v>
      </c>
      <c r="O4464">
        <v>-0.47520030000000002</v>
      </c>
      <c r="P4464">
        <v>-0.66304839999999998</v>
      </c>
      <c r="Q4464">
        <v>0.40219070000000001</v>
      </c>
      <c r="R4464">
        <v>-0.63135549999999996</v>
      </c>
      <c r="S4464">
        <v>-2.542786</v>
      </c>
      <c r="T4464">
        <v>-0.48546430000000002</v>
      </c>
      <c r="U4464">
        <v>-2.3856809999999999</v>
      </c>
      <c r="V4464">
        <v>-0.25010640000000001</v>
      </c>
      <c r="W4464">
        <v>0.4086475</v>
      </c>
      <c r="X4464">
        <v>0.87775509999999901</v>
      </c>
      <c r="Y4464">
        <v>-0.25614730000000002</v>
      </c>
      <c r="Z4464">
        <v>4.1740260000000001E-2</v>
      </c>
      <c r="AA4464">
        <v>0.96573620000000004</v>
      </c>
      <c r="AB4464">
        <v>33</v>
      </c>
      <c r="AC4464">
        <v>-5.5778999999999996</v>
      </c>
      <c r="AD4464">
        <v>-1.1203855863959999</v>
      </c>
      <c r="AE4464">
        <v>-5.3418000000000001</v>
      </c>
      <c r="AF4464">
        <v>-2.0068881312675799</v>
      </c>
      <c r="AG4464">
        <v>-1.1203855863959999</v>
      </c>
      <c r="AH4464">
        <v>7.2929247135127397</v>
      </c>
      <c r="AI4464">
        <v>98.425416165612006</v>
      </c>
      <c r="AJ4464">
        <v>105.38599310759599</v>
      </c>
      <c r="AK4464">
        <v>7.6465426638835599</v>
      </c>
      <c r="AL4464">
        <v>65.880098935662403</v>
      </c>
      <c r="AM4464">
        <v>105.90430367088</v>
      </c>
      <c r="AN4464">
        <v>1.0000000030766001</v>
      </c>
    </row>
    <row r="4465" spans="1:40" x14ac:dyDescent="0.25">
      <c r="A4465" t="str">
        <f>"20190304164500371"</f>
        <v>20190304164500371</v>
      </c>
      <c r="B4465" t="str">
        <f>"1551689100364937"</f>
        <v>1551689100364937</v>
      </c>
      <c r="C4465" t="s">
        <v>40</v>
      </c>
      <c r="D4465">
        <v>5.0727769999999897</v>
      </c>
      <c r="E4465">
        <v>0.50432310000000002</v>
      </c>
      <c r="F4465" t="s">
        <v>48</v>
      </c>
      <c r="G4465">
        <v>-409.78489999999999</v>
      </c>
      <c r="H4465" s="1">
        <v>-6.6431449999999997E-6</v>
      </c>
      <c r="I4465">
        <v>130.63329999999999</v>
      </c>
      <c r="J4465">
        <v>-404.25839999999999</v>
      </c>
      <c r="K4465">
        <v>1.1202289999999999</v>
      </c>
      <c r="L4465">
        <v>136.01900000000001</v>
      </c>
      <c r="M4465">
        <v>-0.87453689999999995</v>
      </c>
      <c r="N4465">
        <v>-1.378002E-2</v>
      </c>
      <c r="O4465">
        <v>-0.48476340000000001</v>
      </c>
      <c r="P4465">
        <v>-0.65666559999999996</v>
      </c>
      <c r="Q4465">
        <v>0.40356589999999998</v>
      </c>
      <c r="R4465">
        <v>-0.63712250000000004</v>
      </c>
      <c r="S4465">
        <v>-2.5245359999999999</v>
      </c>
      <c r="T4465">
        <v>-0.48609910000000001</v>
      </c>
      <c r="U4465">
        <v>-2.4100950000000001</v>
      </c>
      <c r="V4465">
        <v>-0.24849650000000001</v>
      </c>
      <c r="W4465">
        <v>0.41002319999999998</v>
      </c>
      <c r="X4465">
        <v>0.87757079999999998</v>
      </c>
      <c r="Y4465">
        <v>-0.25407790000000002</v>
      </c>
      <c r="Z4465">
        <v>4.3269519999999999E-2</v>
      </c>
      <c r="AA4465">
        <v>0.96621539999999995</v>
      </c>
      <c r="AB4465">
        <v>33</v>
      </c>
      <c r="AC4465">
        <v>-5.5264999999999898</v>
      </c>
      <c r="AD4465">
        <v>-1.120235643145</v>
      </c>
      <c r="AE4465">
        <v>-5.3857000000000097</v>
      </c>
      <c r="AF4465">
        <v>-1.9892197840658401</v>
      </c>
      <c r="AG4465">
        <v>-1.120235643145</v>
      </c>
      <c r="AH4465">
        <v>7.29097273651821</v>
      </c>
      <c r="AI4465">
        <v>98.431503048966505</v>
      </c>
      <c r="AJ4465">
        <v>105.260770204595</v>
      </c>
      <c r="AK4465">
        <v>7.6400397047491397</v>
      </c>
      <c r="AL4465">
        <v>65.793708370133302</v>
      </c>
      <c r="AM4465">
        <v>105.810214984209</v>
      </c>
      <c r="AN4465">
        <v>1.0000000220315599</v>
      </c>
    </row>
    <row r="4466" spans="1:40" x14ac:dyDescent="0.25">
      <c r="A4466" t="str">
        <f>"20190304164500393"</f>
        <v>20190304164500393</v>
      </c>
      <c r="B4466" t="str">
        <f>"1551689100384458"</f>
        <v>1551689100384458</v>
      </c>
      <c r="C4466" t="s">
        <v>40</v>
      </c>
      <c r="D4466">
        <v>5.1140100000000004</v>
      </c>
      <c r="E4466">
        <v>0.50489859999999998</v>
      </c>
      <c r="F4466" t="s">
        <v>48</v>
      </c>
      <c r="G4466">
        <v>-410.0446</v>
      </c>
      <c r="H4466" s="1">
        <v>-6.6392559999999997E-6</v>
      </c>
      <c r="I4466">
        <v>130.39570000000001</v>
      </c>
      <c r="J4466">
        <v>-404.52780000000001</v>
      </c>
      <c r="K4466">
        <v>1.120082</v>
      </c>
      <c r="L4466">
        <v>135.85929999999999</v>
      </c>
      <c r="M4466">
        <v>-0.86968650000000003</v>
      </c>
      <c r="N4466">
        <v>-1.3656299999999901E-2</v>
      </c>
      <c r="O4466">
        <v>-0.49341600000000002</v>
      </c>
      <c r="P4466">
        <v>-0.65049760000000001</v>
      </c>
      <c r="Q4466">
        <v>0.4044452</v>
      </c>
      <c r="R4466">
        <v>-0.64286659999999995</v>
      </c>
      <c r="S4466">
        <v>-2.5047299999999999</v>
      </c>
      <c r="T4466">
        <v>-0.48492809999999997</v>
      </c>
      <c r="U4466">
        <v>-2.4342190000000001</v>
      </c>
      <c r="V4466">
        <v>-0.2476401</v>
      </c>
      <c r="W4466">
        <v>0.41089320000000001</v>
      </c>
      <c r="X4466">
        <v>0.87740589999999996</v>
      </c>
      <c r="Y4466">
        <v>-0.25315599999999999</v>
      </c>
      <c r="Z4466">
        <v>4.4418289999999999E-2</v>
      </c>
      <c r="AA4466">
        <v>0.96640519999999996</v>
      </c>
      <c r="AB4466">
        <v>33</v>
      </c>
      <c r="AC4466">
        <v>-5.5167999999999804</v>
      </c>
      <c r="AD4466">
        <v>-1.1200886392560001</v>
      </c>
      <c r="AE4466">
        <v>-5.46359999999998</v>
      </c>
      <c r="AF4466">
        <v>-1.9883514539603899</v>
      </c>
      <c r="AG4466">
        <v>-1.1200886392560001</v>
      </c>
      <c r="AH4466">
        <v>7.34162637526551</v>
      </c>
      <c r="AI4466">
        <v>98.377255476975904</v>
      </c>
      <c r="AJ4466">
        <v>105.15402668362501</v>
      </c>
      <c r="AK4466">
        <v>7.6881478847802498</v>
      </c>
      <c r="AL4466">
        <v>65.739042823245697</v>
      </c>
      <c r="AM4466">
        <v>105.76125315254301</v>
      </c>
      <c r="AN4466">
        <v>0.99999997714452904</v>
      </c>
    </row>
    <row r="4467" spans="1:40" x14ac:dyDescent="0.25">
      <c r="A4467" t="str">
        <f>"20190304164500437"</f>
        <v>20190304164500437</v>
      </c>
      <c r="B4467" t="str">
        <f>"1551689100434232"</f>
        <v>1551689100434232</v>
      </c>
      <c r="C4467" t="s">
        <v>40</v>
      </c>
      <c r="D4467">
        <v>5.0366410000000004</v>
      </c>
      <c r="E4467">
        <v>0.41785729999999999</v>
      </c>
      <c r="F4467" t="s">
        <v>48</v>
      </c>
      <c r="G4467">
        <v>-410.26780000000002</v>
      </c>
      <c r="H4467" s="1">
        <v>-6.5326750000000001E-6</v>
      </c>
      <c r="I4467">
        <v>130.19669999999999</v>
      </c>
      <c r="J4467">
        <v>-405.07709999999997</v>
      </c>
      <c r="K4467">
        <v>1.1197060000000001</v>
      </c>
      <c r="L4467">
        <v>135.52279999999999</v>
      </c>
      <c r="M4467">
        <v>-0.85978840000000001</v>
      </c>
      <c r="N4467">
        <v>-1.3390249999999999E-2</v>
      </c>
      <c r="O4467">
        <v>-0.51047500000000001</v>
      </c>
      <c r="P4467">
        <v>-0.63639129999999999</v>
      </c>
      <c r="Q4467">
        <v>0.40361979999999997</v>
      </c>
      <c r="R4467">
        <v>-0.65734119999999996</v>
      </c>
      <c r="S4467">
        <v>-2.4880369999999998</v>
      </c>
      <c r="T4467">
        <v>-0.48550520000000003</v>
      </c>
      <c r="U4467">
        <v>-2.4544830000000002</v>
      </c>
      <c r="V4467">
        <v>-0.2494528</v>
      </c>
      <c r="W4467">
        <v>0.40999360000000001</v>
      </c>
      <c r="X4467">
        <v>0.87731329999999996</v>
      </c>
      <c r="Y4467">
        <v>-0.24151</v>
      </c>
      <c r="Z4467">
        <v>4.7719400000000002E-2</v>
      </c>
      <c r="AA4467">
        <v>0.96922430000000004</v>
      </c>
      <c r="AB4467">
        <v>33</v>
      </c>
      <c r="AC4467">
        <v>-5.1907000000000396</v>
      </c>
      <c r="AD4467">
        <v>-1.1197125326749999</v>
      </c>
      <c r="AE4467">
        <v>-5.3260999999999896</v>
      </c>
      <c r="AF4467">
        <v>-1.8869958110087099</v>
      </c>
      <c r="AG4467">
        <v>-1.1197125326749999</v>
      </c>
      <c r="AH4467">
        <v>7.0231898076433001</v>
      </c>
      <c r="AI4467">
        <v>98.753099515057301</v>
      </c>
      <c r="AJ4467">
        <v>105.039099506208</v>
      </c>
      <c r="AK4467">
        <v>7.3579687700328398</v>
      </c>
      <c r="AL4467">
        <v>65.795568238055495</v>
      </c>
      <c r="AM4467">
        <v>105.872422566152</v>
      </c>
      <c r="AN4467">
        <v>1.0000000389128401</v>
      </c>
    </row>
    <row r="4468" spans="1:40" x14ac:dyDescent="0.25">
      <c r="A4468" t="str">
        <f>"20190304164500459"</f>
        <v>20190304164500459</v>
      </c>
      <c r="B4468" t="str">
        <f>"1551689100454730"</f>
        <v>1551689100454730</v>
      </c>
      <c r="C4468" t="s">
        <v>40</v>
      </c>
      <c r="D4468">
        <v>4.9705649999999997</v>
      </c>
      <c r="E4468">
        <v>0.41933569999999998</v>
      </c>
      <c r="F4468" t="s">
        <v>41</v>
      </c>
      <c r="G4468">
        <v>-405.66329999999999</v>
      </c>
      <c r="H4468">
        <v>1.0247740000000001</v>
      </c>
      <c r="I4468">
        <v>134.613</v>
      </c>
      <c r="J4468">
        <v>-405.3596</v>
      </c>
      <c r="K4468">
        <v>1.1195010000000001</v>
      </c>
      <c r="L4468">
        <v>135.3442</v>
      </c>
      <c r="M4468">
        <v>-0.85470659999999898</v>
      </c>
      <c r="N4468">
        <v>-1.3255380000000001E-2</v>
      </c>
      <c r="O4468">
        <v>-0.51894200000000001</v>
      </c>
      <c r="P4468">
        <v>-0.62931619999999899</v>
      </c>
      <c r="Q4468">
        <v>0.4019837</v>
      </c>
      <c r="R4468">
        <v>-0.66510930000000001</v>
      </c>
      <c r="S4468">
        <v>-1.885559</v>
      </c>
      <c r="T4468">
        <v>-0.30534329999999998</v>
      </c>
      <c r="U4468">
        <v>-2.9258730000000002</v>
      </c>
      <c r="V4468">
        <v>-0.25080819999999998</v>
      </c>
      <c r="W4468">
        <v>0.40832420000000003</v>
      </c>
      <c r="X4468">
        <v>0.87770530000000002</v>
      </c>
      <c r="Y4468">
        <v>-0.43687720000000002</v>
      </c>
      <c r="Z4468">
        <v>1.8738069999999999E-2</v>
      </c>
      <c r="AA4468">
        <v>0.89932599999999996</v>
      </c>
      <c r="AB4468">
        <v>33</v>
      </c>
      <c r="AC4468">
        <v>-0.30369999999999198</v>
      </c>
      <c r="AD4468">
        <v>-9.4726999999999895E-2</v>
      </c>
      <c r="AE4468">
        <v>-0.73120000000000096</v>
      </c>
      <c r="AF4468">
        <v>-0.460803967973899</v>
      </c>
      <c r="AG4468">
        <v>-9.4726999999999895E-2</v>
      </c>
      <c r="AH4468">
        <v>0.63006231775743005</v>
      </c>
      <c r="AI4468">
        <v>96.919197168899004</v>
      </c>
      <c r="AJ4468">
        <v>126.180338736121</v>
      </c>
      <c r="AK4468">
        <v>0.78631547465845797</v>
      </c>
      <c r="AL4468">
        <v>65.900392933176306</v>
      </c>
      <c r="AM4468">
        <v>105.94752372945899</v>
      </c>
      <c r="AN4468">
        <v>0.99999999957048402</v>
      </c>
    </row>
    <row r="4469" spans="1:40" x14ac:dyDescent="0.25">
      <c r="A4469" t="str">
        <f>"20190304164500493"</f>
        <v>20190304164500493</v>
      </c>
      <c r="B4469" t="str">
        <f>"1551689100484985"</f>
        <v>1551689100484985</v>
      </c>
      <c r="C4469" t="s">
        <v>40</v>
      </c>
      <c r="D4469">
        <v>4.9836559999999999</v>
      </c>
      <c r="E4469">
        <v>0.42499880000000001</v>
      </c>
      <c r="F4469" t="s">
        <v>41</v>
      </c>
      <c r="G4469">
        <v>-405.91669999999999</v>
      </c>
      <c r="H4469">
        <v>1.025414</v>
      </c>
      <c r="I4469">
        <v>134.4657</v>
      </c>
      <c r="J4469">
        <v>-405.77620000000002</v>
      </c>
      <c r="K4469">
        <v>1.119192</v>
      </c>
      <c r="L4469">
        <v>135.07470000000001</v>
      </c>
      <c r="M4469">
        <v>-0.84724080000000002</v>
      </c>
      <c r="N4469">
        <v>-1.3059869999999999E-2</v>
      </c>
      <c r="O4469">
        <v>-0.53104869999999904</v>
      </c>
      <c r="P4469">
        <v>-0.61963359999999901</v>
      </c>
      <c r="Q4469">
        <v>0.40063009999999999</v>
      </c>
      <c r="R4469">
        <v>-0.67494460000000001</v>
      </c>
      <c r="S4469">
        <v>-1.862671</v>
      </c>
      <c r="T4469">
        <v>-0.31462489999999999</v>
      </c>
      <c r="U4469">
        <v>-2.9382480000000002</v>
      </c>
      <c r="V4469">
        <v>-0.2513822</v>
      </c>
      <c r="W4469">
        <v>0.40695949999999997</v>
      </c>
      <c r="X4469">
        <v>0.87817479999999903</v>
      </c>
      <c r="Y4469">
        <v>-0.43082870000000001</v>
      </c>
      <c r="Z4469">
        <v>2.1167910000000002E-2</v>
      </c>
      <c r="AA4469">
        <v>0.90218540000000003</v>
      </c>
      <c r="AB4469">
        <v>33</v>
      </c>
      <c r="AC4469">
        <v>-0.14049999999997401</v>
      </c>
      <c r="AD4469">
        <v>-9.3777999999999903E-2</v>
      </c>
      <c r="AE4469">
        <v>-0.60900000000000798</v>
      </c>
      <c r="AF4469">
        <v>-0.43167628014118098</v>
      </c>
      <c r="AG4469">
        <v>-9.3777999999999903E-2</v>
      </c>
      <c r="AH4469">
        <v>0.432741086031532</v>
      </c>
      <c r="AI4469">
        <v>98.722509642527299</v>
      </c>
      <c r="AJ4469">
        <v>134.929421995615</v>
      </c>
      <c r="AK4469">
        <v>0.61838788123658905</v>
      </c>
      <c r="AL4469">
        <v>65.986022403844899</v>
      </c>
      <c r="AM4469">
        <v>105.974050732723</v>
      </c>
      <c r="AN4469">
        <v>1.0000000122360599</v>
      </c>
    </row>
    <row r="4470" spans="1:40" x14ac:dyDescent="0.25">
      <c r="A4470" t="str">
        <f>"20190304164500516"</f>
        <v>20190304164500516</v>
      </c>
      <c r="B4470" t="str">
        <f>"1551689100504508"</f>
        <v>1551689100504508</v>
      </c>
      <c r="C4470" t="s">
        <v>40</v>
      </c>
      <c r="D4470">
        <v>4.9425439999999998</v>
      </c>
      <c r="E4470">
        <v>0.42705939999999998</v>
      </c>
      <c r="F4470" t="s">
        <v>48</v>
      </c>
      <c r="G4470">
        <v>-411.96230000000003</v>
      </c>
      <c r="H4470" s="1">
        <v>-4.5178979999999999E-6</v>
      </c>
      <c r="I4470">
        <v>125.2688</v>
      </c>
      <c r="J4470">
        <v>-406.04239999999999</v>
      </c>
      <c r="K4470">
        <v>1.1189849999999999</v>
      </c>
      <c r="L4470">
        <v>134.898</v>
      </c>
      <c r="M4470">
        <v>-0.84253199999999995</v>
      </c>
      <c r="N4470">
        <v>-1.293644E-2</v>
      </c>
      <c r="O4470">
        <v>-0.53849089999999999</v>
      </c>
      <c r="P4470">
        <v>-0.6136298</v>
      </c>
      <c r="Q4470">
        <v>0.40031820000000001</v>
      </c>
      <c r="R4470">
        <v>-0.68059080000000005</v>
      </c>
      <c r="S4470">
        <v>-1.8552550000000001</v>
      </c>
      <c r="T4470">
        <v>-0.33565349999999999</v>
      </c>
      <c r="U4470">
        <v>-2.9408569999999998</v>
      </c>
      <c r="V4470">
        <v>-0.2513764</v>
      </c>
      <c r="W4470">
        <v>0.40665859999999998</v>
      </c>
      <c r="X4470">
        <v>0.87831589999999904</v>
      </c>
      <c r="Y4470">
        <v>-0.42489290000000002</v>
      </c>
      <c r="Z4470">
        <v>2.4362479999999999E-2</v>
      </c>
      <c r="AA4470">
        <v>0.90491580000000005</v>
      </c>
      <c r="AB4470">
        <v>33</v>
      </c>
      <c r="AC4470">
        <v>-5.9199000000000401</v>
      </c>
      <c r="AD4470">
        <v>-1.1189895178980001</v>
      </c>
      <c r="AE4470">
        <v>-9.6291999999999902</v>
      </c>
      <c r="AF4470">
        <v>-4.8777066539187697</v>
      </c>
      <c r="AG4470">
        <v>-1.1189895178980001</v>
      </c>
      <c r="AH4470">
        <v>10.0750558159351</v>
      </c>
      <c r="AI4470">
        <v>95.708668232268707</v>
      </c>
      <c r="AJ4470">
        <v>115.833338536033</v>
      </c>
      <c r="AK4470">
        <v>11.2494848520747</v>
      </c>
      <c r="AL4470">
        <v>66.004896294040705</v>
      </c>
      <c r="AM4470">
        <v>105.971265716426</v>
      </c>
      <c r="AN4470">
        <v>1.00000006581186</v>
      </c>
    </row>
    <row r="4471" spans="1:40" x14ac:dyDescent="0.25">
      <c r="A4471" t="str">
        <f>"20190304164500537"</f>
        <v>20190304164500537</v>
      </c>
      <c r="B4471" t="str">
        <f>"1551689100534761"</f>
        <v>1551689100534761</v>
      </c>
      <c r="C4471" t="s">
        <v>40</v>
      </c>
      <c r="D4471">
        <v>4.8977510000000004</v>
      </c>
      <c r="E4471">
        <v>0.42953970000000002</v>
      </c>
      <c r="F4471" t="s">
        <v>41</v>
      </c>
      <c r="G4471">
        <v>-406.62580000000003</v>
      </c>
      <c r="H4471">
        <v>1.011112</v>
      </c>
      <c r="I4471">
        <v>133.96459999999999</v>
      </c>
      <c r="J4471">
        <v>-406.30930000000001</v>
      </c>
      <c r="K4471">
        <v>1.1187549999999999</v>
      </c>
      <c r="L4471">
        <v>134.71780000000001</v>
      </c>
      <c r="M4471">
        <v>-0.83787630000000002</v>
      </c>
      <c r="N4471">
        <v>-1.2813099999999999E-2</v>
      </c>
      <c r="O4471">
        <v>-0.54570959999999902</v>
      </c>
      <c r="P4471">
        <v>-0.60725739999999995</v>
      </c>
      <c r="Q4471">
        <v>0.400507</v>
      </c>
      <c r="R4471">
        <v>-0.68617220000000001</v>
      </c>
      <c r="S4471">
        <v>-1.8422240000000001</v>
      </c>
      <c r="T4471">
        <v>-0.34063520000000003</v>
      </c>
      <c r="U4471">
        <v>-2.9473880000000001</v>
      </c>
      <c r="V4471">
        <v>-0.25171569999999999</v>
      </c>
      <c r="W4471">
        <v>0.40685929999999998</v>
      </c>
      <c r="X4471">
        <v>0.87812570000000001</v>
      </c>
      <c r="Y4471">
        <v>-0.42093009999999997</v>
      </c>
      <c r="Z4471">
        <v>2.590371E-2</v>
      </c>
      <c r="AA4471">
        <v>0.9067231</v>
      </c>
      <c r="AB4471">
        <v>33</v>
      </c>
      <c r="AC4471">
        <v>-0.31650000000001899</v>
      </c>
      <c r="AD4471">
        <v>-0.107642999999999</v>
      </c>
      <c r="AE4471">
        <v>-0.75320000000002096</v>
      </c>
      <c r="AF4471">
        <v>-0.45058714104887598</v>
      </c>
      <c r="AG4471">
        <v>-0.107642999999999</v>
      </c>
      <c r="AH4471">
        <v>0.664732611130331</v>
      </c>
      <c r="AI4471">
        <v>97.634521979430701</v>
      </c>
      <c r="AJ4471">
        <v>124.13127263140299</v>
      </c>
      <c r="AK4471">
        <v>0.81023776228200295</v>
      </c>
      <c r="AL4471">
        <v>65.992307333512898</v>
      </c>
      <c r="AM4471">
        <v>105.995008264763</v>
      </c>
      <c r="AN4471">
        <v>1.00000001431173</v>
      </c>
    </row>
    <row r="4472" spans="1:40" x14ac:dyDescent="0.25">
      <c r="A4472" t="str">
        <f>"20190304164500561"</f>
        <v>20190304164500561</v>
      </c>
      <c r="B4472" t="str">
        <f>"1551689100554280"</f>
        <v>1551689100554280</v>
      </c>
      <c r="C4472" t="s">
        <v>40</v>
      </c>
      <c r="D4472">
        <v>4.8895140000000001</v>
      </c>
      <c r="E4472">
        <v>0.43117450000000002</v>
      </c>
      <c r="F4472" t="s">
        <v>41</v>
      </c>
      <c r="G4472">
        <v>-406.87430000000001</v>
      </c>
      <c r="H4472">
        <v>1.012375</v>
      </c>
      <c r="I4472">
        <v>133.80770000000001</v>
      </c>
      <c r="J4472">
        <v>-406.59129999999999</v>
      </c>
      <c r="K4472">
        <v>1.118527</v>
      </c>
      <c r="L4472">
        <v>134.5239</v>
      </c>
      <c r="M4472">
        <v>-0.83300289999999999</v>
      </c>
      <c r="N4472">
        <v>-1.269002E-2</v>
      </c>
      <c r="O4472">
        <v>-0.55312320000000004</v>
      </c>
      <c r="P4472">
        <v>-0.60119679999999998</v>
      </c>
      <c r="Q4472">
        <v>0.4008428</v>
      </c>
      <c r="R4472">
        <v>-0.69129419999999897</v>
      </c>
      <c r="S4472">
        <v>-1.8318179999999999</v>
      </c>
      <c r="T4472">
        <v>-0.3449506</v>
      </c>
      <c r="U4472">
        <v>-2.9522550000000001</v>
      </c>
      <c r="V4472">
        <v>-0.25126890000000002</v>
      </c>
      <c r="W4472">
        <v>0.40722829999999999</v>
      </c>
      <c r="X4472">
        <v>0.87808259999999905</v>
      </c>
      <c r="Y4472">
        <v>-0.41589979999999999</v>
      </c>
      <c r="Z4472">
        <v>2.7481100000000001E-2</v>
      </c>
      <c r="AA4472">
        <v>0.9089952</v>
      </c>
      <c r="AB4472">
        <v>33</v>
      </c>
      <c r="AC4472">
        <v>-0.28300000000001502</v>
      </c>
      <c r="AD4472">
        <v>-0.106152</v>
      </c>
      <c r="AE4472">
        <v>-0.71619999999998596</v>
      </c>
      <c r="AF4472">
        <v>-0.43189180003741401</v>
      </c>
      <c r="AG4472">
        <v>-0.106152</v>
      </c>
      <c r="AH4472">
        <v>0.62015389270655696</v>
      </c>
      <c r="AI4472">
        <v>97.995663676986496</v>
      </c>
      <c r="AJ4472">
        <v>124.854387781515</v>
      </c>
      <c r="AK4472">
        <v>0.763144563423375</v>
      </c>
      <c r="AL4472">
        <v>65.969160556050795</v>
      </c>
      <c r="AM4472">
        <v>105.968809292093</v>
      </c>
      <c r="AN4472">
        <v>1.0000000004254299</v>
      </c>
    </row>
    <row r="4473" spans="1:40" x14ac:dyDescent="0.25">
      <c r="A4473" t="str">
        <f>"20190304164500583"</f>
        <v>20190304164500583</v>
      </c>
      <c r="B4473" t="str">
        <f>"1551689100574778"</f>
        <v>1551689100574778</v>
      </c>
      <c r="C4473" t="s">
        <v>40</v>
      </c>
      <c r="D4473">
        <v>4.8835100000000002</v>
      </c>
      <c r="E4473">
        <v>0.43184600000000001</v>
      </c>
      <c r="F4473" t="s">
        <v>41</v>
      </c>
      <c r="G4473">
        <v>-407.12619999999998</v>
      </c>
      <c r="H4473">
        <v>1.01688</v>
      </c>
      <c r="I4473">
        <v>133.6516</v>
      </c>
      <c r="J4473">
        <v>-406.86239999999998</v>
      </c>
      <c r="K4473">
        <v>1.1183299999999901</v>
      </c>
      <c r="L4473">
        <v>134.33439999999999</v>
      </c>
      <c r="M4473">
        <v>-0.82835689999999995</v>
      </c>
      <c r="N4473">
        <v>-1.258336E-2</v>
      </c>
      <c r="O4473">
        <v>-0.56005939999999999</v>
      </c>
      <c r="P4473">
        <v>-0.59621040000000003</v>
      </c>
      <c r="Q4473">
        <v>0.4010049</v>
      </c>
      <c r="R4473">
        <v>-0.69550559999999995</v>
      </c>
      <c r="S4473">
        <v>-1.815582</v>
      </c>
      <c r="T4473">
        <v>-0.3450087</v>
      </c>
      <c r="U4473">
        <v>-2.9608150000000002</v>
      </c>
      <c r="V4473">
        <v>-0.24997359999999999</v>
      </c>
      <c r="W4473">
        <v>0.40744170000000002</v>
      </c>
      <c r="X4473">
        <v>0.8783533</v>
      </c>
      <c r="Y4473">
        <v>-0.41313420000000001</v>
      </c>
      <c r="Z4473">
        <v>2.8437770000000001E-2</v>
      </c>
      <c r="AA4473">
        <v>0.91022599999999998</v>
      </c>
      <c r="AB4473">
        <v>33</v>
      </c>
      <c r="AC4473">
        <v>-0.26380000000000298</v>
      </c>
      <c r="AD4473">
        <v>-0.101449999999999</v>
      </c>
      <c r="AE4473">
        <v>-0.68279999999998597</v>
      </c>
      <c r="AF4473">
        <v>-0.41001566449339999</v>
      </c>
      <c r="AG4473">
        <v>-0.101449999999999</v>
      </c>
      <c r="AH4473">
        <v>0.58965030980593802</v>
      </c>
      <c r="AI4473">
        <v>98.040257582594904</v>
      </c>
      <c r="AJ4473">
        <v>124.812972392821</v>
      </c>
      <c r="AK4473">
        <v>0.72532229766098</v>
      </c>
      <c r="AL4473">
        <v>65.9557733649158</v>
      </c>
      <c r="AM4473">
        <v>105.88600615483099</v>
      </c>
      <c r="AN4473">
        <v>1.00000002960836</v>
      </c>
    </row>
    <row r="4474" spans="1:40" x14ac:dyDescent="0.25">
      <c r="A4474" t="str">
        <f>"20190304164500615"</f>
        <v>20190304164500615</v>
      </c>
      <c r="B4474" t="str">
        <f>"1551689100605033"</f>
        <v>1551689100605033</v>
      </c>
      <c r="C4474" t="s">
        <v>40</v>
      </c>
      <c r="D4474">
        <v>4.8384980000000004</v>
      </c>
      <c r="E4474">
        <v>0.44622679999999998</v>
      </c>
      <c r="F4474" t="s">
        <v>41</v>
      </c>
      <c r="G4474">
        <v>-407.40989999999999</v>
      </c>
      <c r="H4474">
        <v>1.013252</v>
      </c>
      <c r="I4474">
        <v>133.42920000000001</v>
      </c>
      <c r="J4474">
        <v>-407.25229999999999</v>
      </c>
      <c r="K4474">
        <v>1.1181000000000001</v>
      </c>
      <c r="L4474">
        <v>134.0565</v>
      </c>
      <c r="M4474">
        <v>-0.82170639999999995</v>
      </c>
      <c r="N4474">
        <v>-1.244196E-2</v>
      </c>
      <c r="O4474">
        <v>-0.56977529999999998</v>
      </c>
      <c r="P4474">
        <v>-0.58808340000000003</v>
      </c>
      <c r="Q4474">
        <v>0.40167799999999998</v>
      </c>
      <c r="R4474">
        <v>-0.70200620000000002</v>
      </c>
      <c r="S4474">
        <v>-1.7969059999999999</v>
      </c>
      <c r="T4474">
        <v>-0.34486640000000002</v>
      </c>
      <c r="U4474">
        <v>-2.9719389999999999</v>
      </c>
      <c r="V4474">
        <v>-0.2493001</v>
      </c>
      <c r="W4474">
        <v>0.40814080000000003</v>
      </c>
      <c r="X4474">
        <v>0.87822009999999995</v>
      </c>
      <c r="Y4474">
        <v>-0.4081574</v>
      </c>
      <c r="Z4474">
        <v>2.9790830000000001E-2</v>
      </c>
      <c r="AA4474">
        <v>0.91242529999999999</v>
      </c>
      <c r="AB4474">
        <v>33</v>
      </c>
      <c r="AC4474">
        <v>-0.15760000000000199</v>
      </c>
      <c r="AD4474">
        <v>-0.104848</v>
      </c>
      <c r="AE4474">
        <v>-0.62729999999999098</v>
      </c>
      <c r="AF4474">
        <v>-0.414792951393544</v>
      </c>
      <c r="AG4474">
        <v>-0.104848</v>
      </c>
      <c r="AH4474">
        <v>0.47449012162495302</v>
      </c>
      <c r="AI4474">
        <v>99.445436157163996</v>
      </c>
      <c r="AJ4474">
        <v>131.15952221447901</v>
      </c>
      <c r="AK4474">
        <v>0.63889527400774404</v>
      </c>
      <c r="AL4474">
        <v>65.911903798330698</v>
      </c>
      <c r="AM4474">
        <v>105.84763919201001</v>
      </c>
      <c r="AN4474">
        <v>0.99999999826432995</v>
      </c>
    </row>
    <row r="4475" spans="1:40" x14ac:dyDescent="0.25">
      <c r="A4475" t="str">
        <f>"20190304164500638"</f>
        <v>20190304164500638</v>
      </c>
      <c r="B4475" t="str">
        <f>"1551689100634315"</f>
        <v>1551689100634315</v>
      </c>
      <c r="C4475" t="s">
        <v>40</v>
      </c>
      <c r="D4475">
        <v>4.792141</v>
      </c>
      <c r="E4475">
        <v>0.4473743</v>
      </c>
      <c r="F4475" t="s">
        <v>41</v>
      </c>
      <c r="G4475">
        <v>-407.86829999999998</v>
      </c>
      <c r="H4475">
        <v>0.99636930000000001</v>
      </c>
      <c r="I4475">
        <v>133.08680000000001</v>
      </c>
      <c r="J4475">
        <v>-407.5188</v>
      </c>
      <c r="K4475">
        <v>1.1179889999999999</v>
      </c>
      <c r="L4475">
        <v>133.86240000000001</v>
      </c>
      <c r="M4475">
        <v>-0.81716339999999998</v>
      </c>
      <c r="N4475">
        <v>-1.235384E-2</v>
      </c>
      <c r="O4475">
        <v>-0.576273699999999</v>
      </c>
      <c r="P4475">
        <v>-0.58174380000000003</v>
      </c>
      <c r="Q4475">
        <v>0.40288740000000001</v>
      </c>
      <c r="R4475">
        <v>-0.70658049999999994</v>
      </c>
      <c r="S4475">
        <v>-1.8584590000000001</v>
      </c>
      <c r="T4475">
        <v>-0.3672996</v>
      </c>
      <c r="U4475">
        <v>-2.926758</v>
      </c>
      <c r="V4475">
        <v>-0.24958060000000001</v>
      </c>
      <c r="W4475">
        <v>0.4093311</v>
      </c>
      <c r="X4475">
        <v>0.87758619999999898</v>
      </c>
      <c r="Y4475">
        <v>-0.38089119999999999</v>
      </c>
      <c r="Z4475">
        <v>3.4660940000000001E-2</v>
      </c>
      <c r="AA4475">
        <v>0.92396990000000001</v>
      </c>
      <c r="AB4475">
        <v>33</v>
      </c>
      <c r="AC4475">
        <v>-0.349499999999977</v>
      </c>
      <c r="AD4475">
        <v>-0.121619699999999</v>
      </c>
      <c r="AE4475">
        <v>-0.77559999999999696</v>
      </c>
      <c r="AF4475">
        <v>-0.42375638664279602</v>
      </c>
      <c r="AG4475">
        <v>-0.121619699999999</v>
      </c>
      <c r="AH4475">
        <v>0.71793890122753001</v>
      </c>
      <c r="AI4475">
        <v>98.300026473061607</v>
      </c>
      <c r="AJ4475">
        <v>120.550811720084</v>
      </c>
      <c r="AK4475">
        <v>0.84249456529074596</v>
      </c>
      <c r="AL4475">
        <v>65.837177059656099</v>
      </c>
      <c r="AM4475">
        <v>105.87545508454799</v>
      </c>
      <c r="AN4475">
        <v>0.99999998187700401</v>
      </c>
    </row>
    <row r="4476" spans="1:40" x14ac:dyDescent="0.25">
      <c r="A4476" t="str">
        <f>"20190304164500660"</f>
        <v>20190304164500660</v>
      </c>
      <c r="B4476" t="str">
        <f>"1551689100654809"</f>
        <v>1551689100654809</v>
      </c>
      <c r="C4476" t="s">
        <v>40</v>
      </c>
      <c r="D4476">
        <v>4.7659330000000004</v>
      </c>
      <c r="E4476">
        <v>0.44818760000000002</v>
      </c>
      <c r="F4476" t="s">
        <v>48</v>
      </c>
      <c r="G4476">
        <v>-413.17259999999999</v>
      </c>
      <c r="H4476" s="1">
        <v>-4.216669E-6</v>
      </c>
      <c r="I4476">
        <v>124.8865</v>
      </c>
      <c r="J4476">
        <v>-407.78930000000003</v>
      </c>
      <c r="K4476">
        <v>1.117901</v>
      </c>
      <c r="L4476">
        <v>133.66220000000001</v>
      </c>
      <c r="M4476">
        <v>-0.81252199999999997</v>
      </c>
      <c r="N4476">
        <v>-1.2272979999999999E-2</v>
      </c>
      <c r="O4476">
        <v>-0.58280129999999997</v>
      </c>
      <c r="P4476">
        <v>-0.57569380000000003</v>
      </c>
      <c r="Q4476">
        <v>0.40381349999999999</v>
      </c>
      <c r="R4476">
        <v>-0.7109934</v>
      </c>
      <c r="S4476">
        <v>-1.8474729999999999</v>
      </c>
      <c r="T4476">
        <v>-0.3653245</v>
      </c>
      <c r="U4476">
        <v>-2.9330440000000002</v>
      </c>
      <c r="V4476">
        <v>-0.24953710000000001</v>
      </c>
      <c r="W4476">
        <v>0.41023670000000001</v>
      </c>
      <c r="X4476">
        <v>0.87717559999999895</v>
      </c>
      <c r="Y4476">
        <v>-0.3768918</v>
      </c>
      <c r="Z4476">
        <v>3.5419970000000002E-2</v>
      </c>
      <c r="AA4476">
        <v>0.92557979999999995</v>
      </c>
      <c r="AB4476">
        <v>33</v>
      </c>
      <c r="AC4476">
        <v>-5.3832999999999602</v>
      </c>
      <c r="AD4476">
        <v>-1.117905216669</v>
      </c>
      <c r="AE4476">
        <v>-8.7757000000000094</v>
      </c>
      <c r="AF4476">
        <v>-3.9468207516393101</v>
      </c>
      <c r="AG4476">
        <v>-1.117905216669</v>
      </c>
      <c r="AH4476">
        <v>9.3786742496850799</v>
      </c>
      <c r="AI4476">
        <v>96.269627164405804</v>
      </c>
      <c r="AJ4476">
        <v>112.822783402689</v>
      </c>
      <c r="AK4476">
        <v>10.2365344135958</v>
      </c>
      <c r="AL4476">
        <v>65.780294532809805</v>
      </c>
      <c r="AM4476">
        <v>105.879882895354</v>
      </c>
      <c r="AN4476">
        <v>0.99999997376932903</v>
      </c>
    </row>
    <row r="4477" spans="1:40" x14ac:dyDescent="0.25">
      <c r="A4477" t="str">
        <f>"20190304164500683"</f>
        <v>20190304164500683</v>
      </c>
      <c r="B4477" t="str">
        <f>"1551689100674333"</f>
        <v>1551689100674333</v>
      </c>
      <c r="C4477" t="s">
        <v>40</v>
      </c>
      <c r="D4477">
        <v>4.7319630000000004</v>
      </c>
      <c r="E4477">
        <v>0.44858749999999997</v>
      </c>
      <c r="F4477" t="s">
        <v>48</v>
      </c>
      <c r="G4477">
        <v>-413.4008</v>
      </c>
      <c r="H4477" s="1">
        <v>-4.1089099999999996E-6</v>
      </c>
      <c r="I4477">
        <v>124.66759999999999</v>
      </c>
      <c r="J4477">
        <v>-408.0496</v>
      </c>
      <c r="K4477">
        <v>1.1178319999999999</v>
      </c>
      <c r="L4477">
        <v>133.46639999999999</v>
      </c>
      <c r="M4477">
        <v>-0.80800019999999995</v>
      </c>
      <c r="N4477">
        <v>-1.219691E-2</v>
      </c>
      <c r="O4477">
        <v>-0.58905600000000002</v>
      </c>
      <c r="P4477">
        <v>-0.56956649999999998</v>
      </c>
      <c r="Q4477">
        <v>0.40316030000000003</v>
      </c>
      <c r="R4477">
        <v>-0.71627919999999901</v>
      </c>
      <c r="S4477">
        <v>-1.834991</v>
      </c>
      <c r="T4477">
        <v>-0.36556080000000002</v>
      </c>
      <c r="U4477">
        <v>-2.9412989999999999</v>
      </c>
      <c r="V4477">
        <v>-0.25052419999999997</v>
      </c>
      <c r="W4477">
        <v>0.40953729999999999</v>
      </c>
      <c r="X4477">
        <v>0.87722099999999903</v>
      </c>
      <c r="Y4477">
        <v>-0.3737724</v>
      </c>
      <c r="Z4477">
        <v>3.6349659999999999E-2</v>
      </c>
      <c r="AA4477">
        <v>0.92680790000000002</v>
      </c>
      <c r="AB4477">
        <v>33</v>
      </c>
      <c r="AC4477">
        <v>-5.3512000000000004</v>
      </c>
      <c r="AD4477">
        <v>-1.11783610891</v>
      </c>
      <c r="AE4477">
        <v>-8.7988</v>
      </c>
      <c r="AF4477">
        <v>-3.9114838718512202</v>
      </c>
      <c r="AG4477">
        <v>-1.11783610891</v>
      </c>
      <c r="AH4477">
        <v>9.3967486764487695</v>
      </c>
      <c r="AI4477">
        <v>96.2673913611128</v>
      </c>
      <c r="AJ4477">
        <v>112.599973599092</v>
      </c>
      <c r="AK4477">
        <v>10.239538531324399</v>
      </c>
      <c r="AL4477">
        <v>65.824226143668099</v>
      </c>
      <c r="AM4477">
        <v>105.93873082779101</v>
      </c>
      <c r="AN4477">
        <v>0.99999992885896205</v>
      </c>
    </row>
    <row r="4478" spans="1:40" x14ac:dyDescent="0.25">
      <c r="A4478" t="str">
        <f>"20190304164500704"</f>
        <v>20190304164500704</v>
      </c>
      <c r="B4478" t="str">
        <f>"1551689100694825"</f>
        <v>1551689100694825</v>
      </c>
      <c r="C4478" t="s">
        <v>40</v>
      </c>
      <c r="D4478">
        <v>4.7134689999999999</v>
      </c>
      <c r="E4478">
        <v>0.4525904</v>
      </c>
      <c r="F4478" t="s">
        <v>48</v>
      </c>
      <c r="G4478">
        <v>-413.54070000000002</v>
      </c>
      <c r="H4478" s="1">
        <v>-4.0192189999999999E-6</v>
      </c>
      <c r="I4478">
        <v>124.5339</v>
      </c>
      <c r="J4478">
        <v>-408.30579999999998</v>
      </c>
      <c r="K4478">
        <v>1.117796</v>
      </c>
      <c r="L4478">
        <v>133.2706</v>
      </c>
      <c r="M4478">
        <v>-0.80347489999999999</v>
      </c>
      <c r="N4478">
        <v>-1.2124609999999999E-2</v>
      </c>
      <c r="O4478">
        <v>-0.5952153</v>
      </c>
      <c r="P4478">
        <v>-0.56347499999999995</v>
      </c>
      <c r="Q4478">
        <v>0.40260420000000002</v>
      </c>
      <c r="R4478">
        <v>-0.72139180000000003</v>
      </c>
      <c r="S4478">
        <v>-1.8152470000000001</v>
      </c>
      <c r="T4478">
        <v>-0.36953039999999998</v>
      </c>
      <c r="U4478">
        <v>-2.952896</v>
      </c>
      <c r="V4478">
        <v>-0.25145770000000001</v>
      </c>
      <c r="W4478">
        <v>0.40892479999999998</v>
      </c>
      <c r="X4478">
        <v>0.87723980000000001</v>
      </c>
      <c r="Y4478">
        <v>-0.372838</v>
      </c>
      <c r="Z4478">
        <v>3.763292E-2</v>
      </c>
      <c r="AA4478">
        <v>0.92713299999999998</v>
      </c>
      <c r="AB4478">
        <v>33</v>
      </c>
      <c r="AC4478">
        <v>-5.2349000000000396</v>
      </c>
      <c r="AD4478">
        <v>-1.1178000192190001</v>
      </c>
      <c r="AE4478">
        <v>-8.7366999999999901</v>
      </c>
      <c r="AF4478">
        <v>-3.8576478659261899</v>
      </c>
      <c r="AG4478">
        <v>-1.1178000192190001</v>
      </c>
      <c r="AH4478">
        <v>9.2950599548689006</v>
      </c>
      <c r="AI4478">
        <v>96.337957329298007</v>
      </c>
      <c r="AJ4478">
        <v>112.539491129486</v>
      </c>
      <c r="AK4478">
        <v>10.125663608132401</v>
      </c>
      <c r="AL4478">
        <v>65.862691418360299</v>
      </c>
      <c r="AM4478">
        <v>105.994763479601</v>
      </c>
      <c r="AN4478">
        <v>1.00000006682418</v>
      </c>
    </row>
    <row r="4479" spans="1:40" x14ac:dyDescent="0.25">
      <c r="A4479" t="str">
        <f>"20190304164500727"</f>
        <v>20190304164500727</v>
      </c>
      <c r="B4479" t="str">
        <f>"1551689100714346"</f>
        <v>1551689100714346</v>
      </c>
      <c r="C4479" t="s">
        <v>40</v>
      </c>
      <c r="D4479">
        <v>4.680669</v>
      </c>
      <c r="E4479">
        <v>0.45317259999999998</v>
      </c>
      <c r="F4479" t="s">
        <v>48</v>
      </c>
      <c r="G4479">
        <v>-413.60390000000001</v>
      </c>
      <c r="H4479" s="1">
        <v>-4.0827099999999997E-6</v>
      </c>
      <c r="I4479">
        <v>124.67359999999999</v>
      </c>
      <c r="J4479">
        <v>-408.56720000000001</v>
      </c>
      <c r="K4479">
        <v>1.117785</v>
      </c>
      <c r="L4479">
        <v>133.0677</v>
      </c>
      <c r="M4479">
        <v>-0.79875929999999995</v>
      </c>
      <c r="N4479">
        <v>-1.205562E-2</v>
      </c>
      <c r="O4479">
        <v>-0.60153009999999996</v>
      </c>
      <c r="P4479">
        <v>-0.55660100000000001</v>
      </c>
      <c r="Q4479">
        <v>0.40390150000000002</v>
      </c>
      <c r="R4479">
        <v>-0.72598830000000003</v>
      </c>
      <c r="S4479">
        <v>-1.819183</v>
      </c>
      <c r="T4479">
        <v>-0.38381389999999999</v>
      </c>
      <c r="U4479">
        <v>-2.9519039999999999</v>
      </c>
      <c r="V4479">
        <v>-0.25231239999999999</v>
      </c>
      <c r="W4479">
        <v>0.41014499999999998</v>
      </c>
      <c r="X4479">
        <v>0.87642430000000004</v>
      </c>
      <c r="Y4479">
        <v>-0.36456719999999998</v>
      </c>
      <c r="Z4479">
        <v>4.0641450000000003E-2</v>
      </c>
      <c r="AA4479">
        <v>0.9302897</v>
      </c>
      <c r="AB4479">
        <v>33</v>
      </c>
      <c r="AC4479">
        <v>-5.03669999999999</v>
      </c>
      <c r="AD4479">
        <v>-1.1177890827099899</v>
      </c>
      <c r="AE4479">
        <v>-8.3940999999999999</v>
      </c>
      <c r="AF4479">
        <v>-3.6281011433878998</v>
      </c>
      <c r="AG4479">
        <v>-1.1177890827099899</v>
      </c>
      <c r="AH4479">
        <v>8.9562980756503201</v>
      </c>
      <c r="AI4479">
        <v>96.598320517012496</v>
      </c>
      <c r="AJ4479">
        <v>112.05234629888901</v>
      </c>
      <c r="AK4479">
        <v>9.7276844911816394</v>
      </c>
      <c r="AL4479">
        <v>65.786056482316098</v>
      </c>
      <c r="AM4479">
        <v>106.060496528261</v>
      </c>
      <c r="AN4479">
        <v>1.0000000109246201</v>
      </c>
    </row>
    <row r="4480" spans="1:40" x14ac:dyDescent="0.25">
      <c r="A4480" t="str">
        <f>"20190304164500750"</f>
        <v>20190304164500750</v>
      </c>
      <c r="B4480" t="str">
        <f>"1551689100744604"</f>
        <v>1551689100744604</v>
      </c>
      <c r="C4480" t="s">
        <v>40</v>
      </c>
      <c r="D4480">
        <v>4.6581609999999998</v>
      </c>
      <c r="E4480">
        <v>0.45377729999999999</v>
      </c>
      <c r="F4480" t="s">
        <v>48</v>
      </c>
      <c r="G4480">
        <v>-413.78899999999999</v>
      </c>
      <c r="H4480" s="1">
        <v>-3.9269170000000003E-6</v>
      </c>
      <c r="I4480">
        <v>124.443</v>
      </c>
      <c r="J4480">
        <v>-408.83870000000002</v>
      </c>
      <c r="K4480">
        <v>1.117815</v>
      </c>
      <c r="L4480">
        <v>132.85339999999999</v>
      </c>
      <c r="M4480">
        <v>-0.79371769999999997</v>
      </c>
      <c r="N4480">
        <v>-1.1985880000000001E-2</v>
      </c>
      <c r="O4480">
        <v>-0.60816840000000005</v>
      </c>
      <c r="P4480">
        <v>-0.55082929999999997</v>
      </c>
      <c r="Q4480">
        <v>0.40558620000000001</v>
      </c>
      <c r="R4480">
        <v>-0.72944330000000002</v>
      </c>
      <c r="S4480">
        <v>-1.7972109999999999</v>
      </c>
      <c r="T4480">
        <v>-0.3847141</v>
      </c>
      <c r="U4480">
        <v>-2.9683839999999999</v>
      </c>
      <c r="V4480">
        <v>-0.2512606</v>
      </c>
      <c r="W4480">
        <v>0.41176770000000001</v>
      </c>
      <c r="X4480">
        <v>0.87596540000000001</v>
      </c>
      <c r="Y4480">
        <v>-0.36416690000000002</v>
      </c>
      <c r="Z4480">
        <v>4.156294E-2</v>
      </c>
      <c r="AA4480">
        <v>0.93040579999999995</v>
      </c>
      <c r="AB4480">
        <v>33</v>
      </c>
      <c r="AC4480">
        <v>-4.9502999999999604</v>
      </c>
      <c r="AD4480">
        <v>-1.117818926917</v>
      </c>
      <c r="AE4480">
        <v>-8.4103999999999903</v>
      </c>
      <c r="AF4480">
        <v>-3.61766760679444</v>
      </c>
      <c r="AG4480">
        <v>-1.117818926917</v>
      </c>
      <c r="AH4480">
        <v>8.9276018268057502</v>
      </c>
      <c r="AI4480">
        <v>96.619212328209201</v>
      </c>
      <c r="AJ4480">
        <v>112.058912184269</v>
      </c>
      <c r="AK4480">
        <v>9.6973765753738306</v>
      </c>
      <c r="AL4480">
        <v>65.684071412105396</v>
      </c>
      <c r="AM4480">
        <v>106.004929511787</v>
      </c>
      <c r="AN4480">
        <v>0.99999995493640403</v>
      </c>
    </row>
    <row r="4481" spans="1:40" x14ac:dyDescent="0.25">
      <c r="A4481" t="str">
        <f>"20190304164500772"</f>
        <v>20190304164500772</v>
      </c>
      <c r="B4481" t="str">
        <f>"1551689100765097"</f>
        <v>1551689100765097</v>
      </c>
      <c r="C4481" t="s">
        <v>40</v>
      </c>
      <c r="D4481">
        <v>4.634042</v>
      </c>
      <c r="E4481">
        <v>0.45339849999999998</v>
      </c>
      <c r="F4481" t="s">
        <v>48</v>
      </c>
      <c r="G4481">
        <v>-414.07729999999998</v>
      </c>
      <c r="H4481" s="1">
        <v>-3.6390070000000002E-6</v>
      </c>
      <c r="I4481">
        <v>124.05329999999999</v>
      </c>
      <c r="J4481">
        <v>-409.09089999999998</v>
      </c>
      <c r="K4481">
        <v>1.1178600000000001</v>
      </c>
      <c r="L4481">
        <v>132.6508</v>
      </c>
      <c r="M4481">
        <v>-0.78886590000000001</v>
      </c>
      <c r="N4481">
        <v>-1.1927139999999999E-2</v>
      </c>
      <c r="O4481">
        <v>-0.61444969999999999</v>
      </c>
      <c r="P4481">
        <v>-0.54632069999999999</v>
      </c>
      <c r="Q4481">
        <v>0.40580490000000002</v>
      </c>
      <c r="R4481">
        <v>-0.73270500000000005</v>
      </c>
      <c r="S4481">
        <v>-1.7755430000000001</v>
      </c>
      <c r="T4481">
        <v>-0.37886069999999999</v>
      </c>
      <c r="U4481">
        <v>-2.9826199999999998</v>
      </c>
      <c r="V4481">
        <v>-0.2496708</v>
      </c>
      <c r="W4481">
        <v>0.41192980000000001</v>
      </c>
      <c r="X4481">
        <v>0.87634369999999995</v>
      </c>
      <c r="Y4481">
        <v>-0.36372989999999999</v>
      </c>
      <c r="Z4481">
        <v>4.1568250000000001E-2</v>
      </c>
      <c r="AA4481">
        <v>0.93057650000000003</v>
      </c>
      <c r="AB4481">
        <v>33</v>
      </c>
      <c r="AC4481">
        <v>-4.9863999999999997</v>
      </c>
      <c r="AD4481">
        <v>-1.117863639007</v>
      </c>
      <c r="AE4481">
        <v>-8.5975000000000001</v>
      </c>
      <c r="AF4481">
        <v>-3.6721923083360402</v>
      </c>
      <c r="AG4481">
        <v>-1.117863639007</v>
      </c>
      <c r="AH4481">
        <v>9.1018456164041908</v>
      </c>
      <c r="AI4481">
        <v>96.4978005702351</v>
      </c>
      <c r="AJ4481">
        <v>111.971897327893</v>
      </c>
      <c r="AK4481">
        <v>9.8781683064054207</v>
      </c>
      <c r="AL4481">
        <v>65.673879739511804</v>
      </c>
      <c r="AM4481">
        <v>105.902281655439</v>
      </c>
      <c r="AN4481">
        <v>0.99999997451518396</v>
      </c>
    </row>
    <row r="4482" spans="1:40" x14ac:dyDescent="0.25">
      <c r="A4482" t="str">
        <f>"20190304164500795"</f>
        <v>20190304164500795</v>
      </c>
      <c r="B4482" t="str">
        <f>"1551689100784617"</f>
        <v>1551689100784617</v>
      </c>
      <c r="C4482" t="s">
        <v>40</v>
      </c>
      <c r="D4482">
        <v>4.6443589999999997</v>
      </c>
      <c r="E4482">
        <v>0.45344630000000002</v>
      </c>
      <c r="F4482" t="s">
        <v>48</v>
      </c>
      <c r="G4482">
        <v>-414.27030000000002</v>
      </c>
      <c r="H4482" s="1">
        <v>-3.446302E-6</v>
      </c>
      <c r="I4482">
        <v>123.7923</v>
      </c>
      <c r="J4482">
        <v>-409.3433</v>
      </c>
      <c r="K4482">
        <v>1.11796299999999</v>
      </c>
      <c r="L4482">
        <v>132.44450000000001</v>
      </c>
      <c r="M4482">
        <v>-0.78380850000000002</v>
      </c>
      <c r="N4482">
        <v>-1.1879300000000001E-2</v>
      </c>
      <c r="O4482">
        <v>-0.62088889999999997</v>
      </c>
      <c r="P4482">
        <v>-0.54208310000000004</v>
      </c>
      <c r="Q4482">
        <v>0.40449970000000002</v>
      </c>
      <c r="R4482">
        <v>-0.73656359999999999</v>
      </c>
      <c r="S4482">
        <v>-1.7524409999999999</v>
      </c>
      <c r="T4482">
        <v>-0.3782259</v>
      </c>
      <c r="U4482">
        <v>-2.9972379999999998</v>
      </c>
      <c r="V4482">
        <v>-0.24818789999999999</v>
      </c>
      <c r="W4482">
        <v>0.41055720000000001</v>
      </c>
      <c r="X4482">
        <v>0.87740839999999998</v>
      </c>
      <c r="Y4482">
        <v>-0.36344979999999999</v>
      </c>
      <c r="Z4482">
        <v>4.2258759999999999E-2</v>
      </c>
      <c r="AA4482">
        <v>0.93065489999999995</v>
      </c>
      <c r="AB4482">
        <v>33</v>
      </c>
      <c r="AC4482">
        <v>-4.92700000000002</v>
      </c>
      <c r="AD4482">
        <v>-1.11796644630199</v>
      </c>
      <c r="AE4482">
        <v>-8.6522000000000006</v>
      </c>
      <c r="AF4482">
        <v>-3.6764604278199799</v>
      </c>
      <c r="AG4482">
        <v>-1.11796644630199</v>
      </c>
      <c r="AH4482">
        <v>9.1195572515135996</v>
      </c>
      <c r="AI4482">
        <v>96.486583708298497</v>
      </c>
      <c r="AJ4482">
        <v>111.95634655283</v>
      </c>
      <c r="AK4482">
        <v>9.8960868385447096</v>
      </c>
      <c r="AL4482">
        <v>65.760157296979003</v>
      </c>
      <c r="AM4482">
        <v>105.79433770214</v>
      </c>
      <c r="AN4482">
        <v>0.99999997428440401</v>
      </c>
    </row>
    <row r="4483" spans="1:40" x14ac:dyDescent="0.25">
      <c r="A4483" t="str">
        <f>"20190304164500816"</f>
        <v>20190304164500816</v>
      </c>
      <c r="B4483" t="str">
        <f>"1551689100814873"</f>
        <v>1551689100814873</v>
      </c>
      <c r="C4483" t="s">
        <v>40</v>
      </c>
      <c r="D4483">
        <v>4.6143429999999999</v>
      </c>
      <c r="E4483">
        <v>0.45380219999999999</v>
      </c>
      <c r="F4483" t="s">
        <v>48</v>
      </c>
      <c r="G4483">
        <v>-414.3707</v>
      </c>
      <c r="H4483" s="1">
        <v>-3.3822279999999999E-6</v>
      </c>
      <c r="I4483">
        <v>123.7135</v>
      </c>
      <c r="J4483">
        <v>-409.59789999999998</v>
      </c>
      <c r="K4483">
        <v>1.118109</v>
      </c>
      <c r="L4483">
        <v>132.23249999999999</v>
      </c>
      <c r="M4483">
        <v>-0.77845869999999995</v>
      </c>
      <c r="N4483">
        <v>-1.184264E-2</v>
      </c>
      <c r="O4483">
        <v>-0.62758400000000003</v>
      </c>
      <c r="P4483">
        <v>-0.53657699999999997</v>
      </c>
      <c r="Q4483">
        <v>0.40454699999999999</v>
      </c>
      <c r="R4483">
        <v>-0.74055839999999995</v>
      </c>
      <c r="S4483">
        <v>-1.732788</v>
      </c>
      <c r="T4483">
        <v>-0.38532690000000003</v>
      </c>
      <c r="U4483">
        <v>-3.009293</v>
      </c>
      <c r="V4483">
        <v>-0.24733559999999999</v>
      </c>
      <c r="W4483">
        <v>0.41050189999999998</v>
      </c>
      <c r="X4483">
        <v>0.87767489999999904</v>
      </c>
      <c r="Y4483">
        <v>-0.36169259999999998</v>
      </c>
      <c r="Z4483">
        <v>4.4111200000000003E-2</v>
      </c>
      <c r="AA4483">
        <v>0.93125329999999995</v>
      </c>
      <c r="AB4483">
        <v>33</v>
      </c>
      <c r="AC4483">
        <v>-4.7728000000000099</v>
      </c>
      <c r="AD4483">
        <v>-1.1181123822279999</v>
      </c>
      <c r="AE4483">
        <v>-8.5189999999999895</v>
      </c>
      <c r="AF4483">
        <v>-3.58954933393697</v>
      </c>
      <c r="AG4483">
        <v>-1.1181123822279999</v>
      </c>
      <c r="AH4483">
        <v>8.9451715083144396</v>
      </c>
      <c r="AI4483">
        <v>96.617000230869195</v>
      </c>
      <c r="AJ4483">
        <v>111.864775028835</v>
      </c>
      <c r="AK4483">
        <v>9.7031506755908605</v>
      </c>
      <c r="AL4483">
        <v>65.763631940643293</v>
      </c>
      <c r="AM4483">
        <v>105.738248391521</v>
      </c>
      <c r="AN4483">
        <v>0.99999996951048897</v>
      </c>
    </row>
    <row r="4484" spans="1:40" x14ac:dyDescent="0.25">
      <c r="A4484" t="str">
        <f>"20190304164500839"</f>
        <v>20190304164500839</v>
      </c>
      <c r="B4484" t="str">
        <f>"1551689100834393"</f>
        <v>1551689100834393</v>
      </c>
      <c r="C4484" t="s">
        <v>40</v>
      </c>
      <c r="D4484">
        <v>4.6066940000000001</v>
      </c>
      <c r="E4484">
        <v>0.45408320000000002</v>
      </c>
      <c r="F4484" t="s">
        <v>48</v>
      </c>
      <c r="G4484">
        <v>-414.53339999999997</v>
      </c>
      <c r="H4484" s="1">
        <v>-3.2430499999999998E-6</v>
      </c>
      <c r="I4484">
        <v>123.53019999999999</v>
      </c>
      <c r="J4484">
        <v>-409.8501</v>
      </c>
      <c r="K4484">
        <v>1.118268</v>
      </c>
      <c r="L4484">
        <v>132.01849999999999</v>
      </c>
      <c r="M4484">
        <v>-0.77292229999999995</v>
      </c>
      <c r="N4484">
        <v>-1.181397E-2</v>
      </c>
      <c r="O4484">
        <v>-0.63439100000000004</v>
      </c>
      <c r="P4484">
        <v>-0.52918669999999901</v>
      </c>
      <c r="Q4484">
        <v>0.4055762</v>
      </c>
      <c r="R4484">
        <v>-0.74529860000000003</v>
      </c>
      <c r="S4484">
        <v>-1.7136229999999999</v>
      </c>
      <c r="T4484">
        <v>-0.38820759999999899</v>
      </c>
      <c r="U4484">
        <v>-3.021423</v>
      </c>
      <c r="V4484">
        <v>-0.24812000000000001</v>
      </c>
      <c r="W4484">
        <v>0.41138710000000001</v>
      </c>
      <c r="X4484">
        <v>0.87703880000000001</v>
      </c>
      <c r="Y4484">
        <v>-0.35962759999999999</v>
      </c>
      <c r="Z4484">
        <v>4.5425170000000001E-2</v>
      </c>
      <c r="AA4484">
        <v>0.93198959999999997</v>
      </c>
      <c r="AB4484">
        <v>33</v>
      </c>
      <c r="AC4484">
        <v>-4.6832999999999698</v>
      </c>
      <c r="AD4484">
        <v>-1.1182712430499999</v>
      </c>
      <c r="AE4484">
        <v>-8.48829999999999</v>
      </c>
      <c r="AF4484">
        <v>-3.5428625346931901</v>
      </c>
      <c r="AG4484">
        <v>-1.1182712430499999</v>
      </c>
      <c r="AH4484">
        <v>8.8871056133215909</v>
      </c>
      <c r="AI4484">
        <v>96.666776424925601</v>
      </c>
      <c r="AJ4484">
        <v>111.734797505065</v>
      </c>
      <c r="AK4484">
        <v>9.6323959477949899</v>
      </c>
      <c r="AL4484">
        <v>65.707999105027994</v>
      </c>
      <c r="AM4484">
        <v>105.7965543998</v>
      </c>
      <c r="AN4484">
        <v>0.99999996857592399</v>
      </c>
    </row>
    <row r="4485" spans="1:40" x14ac:dyDescent="0.25">
      <c r="A4485" t="str">
        <f>"20190304164500861"</f>
        <v>20190304164500861</v>
      </c>
      <c r="B4485" t="str">
        <f>"1551689100854889"</f>
        <v>1551689100854889</v>
      </c>
      <c r="C4485" t="s">
        <v>40</v>
      </c>
      <c r="D4485">
        <v>4.6340110000000001</v>
      </c>
      <c r="E4485">
        <v>0.45414399999999999</v>
      </c>
      <c r="F4485" t="s">
        <v>48</v>
      </c>
      <c r="G4485">
        <v>-414.73809999999997</v>
      </c>
      <c r="H4485" s="1">
        <v>-3.0288909999999999E-6</v>
      </c>
      <c r="I4485">
        <v>123.2381</v>
      </c>
      <c r="J4485">
        <v>-410.09949999999998</v>
      </c>
      <c r="K4485">
        <v>1.1184449999999999</v>
      </c>
      <c r="L4485">
        <v>131.80289999999999</v>
      </c>
      <c r="M4485">
        <v>-0.76718649999999999</v>
      </c>
      <c r="N4485">
        <v>-1.179123E-2</v>
      </c>
      <c r="O4485">
        <v>-0.64131609999999994</v>
      </c>
      <c r="P4485">
        <v>-0.52092059999999996</v>
      </c>
      <c r="Q4485">
        <v>0.4065067</v>
      </c>
      <c r="R4485">
        <v>-0.75059580000000004</v>
      </c>
      <c r="S4485">
        <v>-1.689972</v>
      </c>
      <c r="T4485">
        <v>-0.38662449999999998</v>
      </c>
      <c r="U4485">
        <v>-3.0356749999999999</v>
      </c>
      <c r="V4485">
        <v>-0.24974089999999999</v>
      </c>
      <c r="W4485">
        <v>0.41215299999999999</v>
      </c>
      <c r="X4485">
        <v>0.87621879999999996</v>
      </c>
      <c r="Y4485">
        <v>-0.35866389999999998</v>
      </c>
      <c r="Z4485">
        <v>4.6074490000000003E-2</v>
      </c>
      <c r="AA4485">
        <v>0.93232899999999996</v>
      </c>
      <c r="AB4485">
        <v>33</v>
      </c>
      <c r="AC4485">
        <v>-4.6385999999999896</v>
      </c>
      <c r="AD4485">
        <v>-1.1184480288909999</v>
      </c>
      <c r="AE4485">
        <v>-8.5647999999999893</v>
      </c>
      <c r="AF4485">
        <v>-3.5494385903097698</v>
      </c>
      <c r="AG4485">
        <v>-1.1184480288909999</v>
      </c>
      <c r="AH4485">
        <v>8.93424135581418</v>
      </c>
      <c r="AI4485">
        <v>96.636045182167194</v>
      </c>
      <c r="AJ4485">
        <v>111.667174072687</v>
      </c>
      <c r="AK4485">
        <v>9.6783319277472</v>
      </c>
      <c r="AL4485">
        <v>65.659845137362097</v>
      </c>
      <c r="AM4485">
        <v>105.908673298479</v>
      </c>
      <c r="AN4485">
        <v>0.99999999900762404</v>
      </c>
    </row>
    <row r="4486" spans="1:40" x14ac:dyDescent="0.25">
      <c r="A4486" t="str">
        <f>"20190304164500884"</f>
        <v>20190304164500884</v>
      </c>
      <c r="B4486" t="str">
        <f>"1551689100874410"</f>
        <v>1551689100874410</v>
      </c>
      <c r="C4486" t="s">
        <v>40</v>
      </c>
      <c r="D4486">
        <v>4.6414460000000002</v>
      </c>
      <c r="E4486">
        <v>0.48396699999999998</v>
      </c>
      <c r="F4486" t="s">
        <v>48</v>
      </c>
      <c r="G4486">
        <v>-414.92489999999998</v>
      </c>
      <c r="H4486" s="1">
        <v>-2.8143739999999998E-6</v>
      </c>
      <c r="I4486">
        <v>122.94159999999999</v>
      </c>
      <c r="J4486">
        <v>-410.34690000000001</v>
      </c>
      <c r="K4486">
        <v>1.1186339999999999</v>
      </c>
      <c r="L4486">
        <v>131.5849</v>
      </c>
      <c r="M4486">
        <v>-0.76121319999999904</v>
      </c>
      <c r="N4486">
        <v>-1.177661E-2</v>
      </c>
      <c r="O4486">
        <v>-0.64839480000000005</v>
      </c>
      <c r="P4486">
        <v>-0.51279249999999998</v>
      </c>
      <c r="Q4486">
        <v>0.40608699999999998</v>
      </c>
      <c r="R4486">
        <v>-0.75639780000000001</v>
      </c>
      <c r="S4486">
        <v>-1.6619870000000001</v>
      </c>
      <c r="T4486">
        <v>-0.38521899999999998</v>
      </c>
      <c r="U4486">
        <v>-3.0520320000000001</v>
      </c>
      <c r="V4486">
        <v>-0.2514419</v>
      </c>
      <c r="W4486">
        <v>0.41156999999999999</v>
      </c>
      <c r="X4486">
        <v>0.87600639999999996</v>
      </c>
      <c r="Y4486">
        <v>-0.3587301</v>
      </c>
      <c r="Z4486">
        <v>4.6702149999999998E-2</v>
      </c>
      <c r="AA4486">
        <v>0.93227230000000005</v>
      </c>
      <c r="AB4486">
        <v>33</v>
      </c>
      <c r="AC4486">
        <v>-4.5779999999999701</v>
      </c>
      <c r="AD4486">
        <v>-1.118636814374</v>
      </c>
      <c r="AE4486">
        <v>-8.6433</v>
      </c>
      <c r="AF4486">
        <v>-3.5646651888274201</v>
      </c>
      <c r="AG4486">
        <v>-1.118636814374</v>
      </c>
      <c r="AH4486">
        <v>8.9723712982866299</v>
      </c>
      <c r="AI4486">
        <v>96.609179832881495</v>
      </c>
      <c r="AJ4486">
        <v>111.667605095271</v>
      </c>
      <c r="AK4486">
        <v>9.71913745891211</v>
      </c>
      <c r="AL4486">
        <v>65.696503412210305</v>
      </c>
      <c r="AM4486">
        <v>106.01517484586201</v>
      </c>
      <c r="AN4486">
        <v>1.00000005340828</v>
      </c>
    </row>
    <row r="4487" spans="1:40" x14ac:dyDescent="0.25">
      <c r="A4487" t="str">
        <f>"20190304164500906"</f>
        <v>20190304164500906</v>
      </c>
      <c r="B4487" t="str">
        <f>"1551689100894905"</f>
        <v>1551689100894905</v>
      </c>
      <c r="C4487" t="s">
        <v>40</v>
      </c>
      <c r="D4487">
        <v>4.6523789999999998</v>
      </c>
      <c r="E4487">
        <v>0.49143829999999999</v>
      </c>
      <c r="F4487" t="s">
        <v>48</v>
      </c>
      <c r="G4487">
        <v>-415.03309999999999</v>
      </c>
      <c r="H4487" s="1">
        <v>-3.5040140000000002E-6</v>
      </c>
      <c r="I4487">
        <v>124.0502</v>
      </c>
      <c r="J4487">
        <v>-410.5883</v>
      </c>
      <c r="K4487">
        <v>1.118841</v>
      </c>
      <c r="L4487">
        <v>131.36799999999999</v>
      </c>
      <c r="M4487">
        <v>-0.7550905</v>
      </c>
      <c r="N4487">
        <v>-1.1770910000000001E-2</v>
      </c>
      <c r="O4487">
        <v>-0.65551479999999995</v>
      </c>
      <c r="P4487">
        <v>-0.50479700000000005</v>
      </c>
      <c r="Q4487">
        <v>0.4056495</v>
      </c>
      <c r="R4487">
        <v>-0.76198980000000005</v>
      </c>
      <c r="S4487">
        <v>-1.8382259999999999</v>
      </c>
      <c r="T4487">
        <v>-0.43880029999999998</v>
      </c>
      <c r="U4487">
        <v>-2.9555660000000001</v>
      </c>
      <c r="V4487">
        <v>-0.252820399999999</v>
      </c>
      <c r="W4487">
        <v>0.41097630000000002</v>
      </c>
      <c r="X4487">
        <v>0.87588829999999995</v>
      </c>
      <c r="Y4487">
        <v>-0.2959369</v>
      </c>
      <c r="Z4487">
        <v>5.8821640000000001E-2</v>
      </c>
      <c r="AA4487">
        <v>0.95339470000000004</v>
      </c>
      <c r="AB4487">
        <v>33</v>
      </c>
      <c r="AC4487">
        <v>-4.4447999999999803</v>
      </c>
      <c r="AD4487">
        <v>-1.118844504014</v>
      </c>
      <c r="AE4487">
        <v>-7.3177999999999903</v>
      </c>
      <c r="AF4487">
        <v>-2.5682929179959499</v>
      </c>
      <c r="AG4487">
        <v>-1.118844504014</v>
      </c>
      <c r="AH4487">
        <v>8.01681914778551</v>
      </c>
      <c r="AI4487">
        <v>97.570717336577403</v>
      </c>
      <c r="AJ4487">
        <v>107.763540522981</v>
      </c>
      <c r="AK4487">
        <v>8.4921923426810597</v>
      </c>
      <c r="AL4487">
        <v>65.733820636361202</v>
      </c>
      <c r="AM4487">
        <v>106.10049712198899</v>
      </c>
      <c r="AN4487">
        <v>0.99999999394737005</v>
      </c>
    </row>
    <row r="4488" spans="1:40" x14ac:dyDescent="0.25">
      <c r="A4488" t="str">
        <f>"20190304164500929"</f>
        <v>20190304164500929</v>
      </c>
      <c r="B4488" t="str">
        <f>"1551689100925162"</f>
        <v>1551689100925162</v>
      </c>
      <c r="C4488" t="s">
        <v>40</v>
      </c>
      <c r="D4488">
        <v>4.6137980000000001</v>
      </c>
      <c r="E4488">
        <v>0.49616559999999998</v>
      </c>
      <c r="F4488" t="s">
        <v>48</v>
      </c>
      <c r="G4488">
        <v>-415.137</v>
      </c>
      <c r="H4488" s="1">
        <v>-3.554245E-6</v>
      </c>
      <c r="I4488">
        <v>124.152</v>
      </c>
      <c r="J4488">
        <v>-410.83519999999999</v>
      </c>
      <c r="K4488">
        <v>1.1190560000000001</v>
      </c>
      <c r="L4488">
        <v>131.14160000000001</v>
      </c>
      <c r="M4488">
        <v>-0.74851789999999996</v>
      </c>
      <c r="N4488">
        <v>-1.17722E-2</v>
      </c>
      <c r="O4488">
        <v>-0.66301019999999999</v>
      </c>
      <c r="P4488">
        <v>-0.49685839999999998</v>
      </c>
      <c r="Q4488">
        <v>0.40583239999999998</v>
      </c>
      <c r="R4488">
        <v>-0.76709340000000004</v>
      </c>
      <c r="S4488">
        <v>-1.8589169999999999</v>
      </c>
      <c r="T4488">
        <v>-0.45724199999999998</v>
      </c>
      <c r="U4488">
        <v>-2.9489589999999999</v>
      </c>
      <c r="V4488">
        <v>-0.2533396</v>
      </c>
      <c r="W4488">
        <v>0.41101490000000002</v>
      </c>
      <c r="X4488">
        <v>0.875720099999999</v>
      </c>
      <c r="Y4488">
        <v>-0.28084179999999997</v>
      </c>
      <c r="Z4488">
        <v>6.3417539999999994E-2</v>
      </c>
      <c r="AA4488">
        <v>0.95765659999999997</v>
      </c>
      <c r="AB4488">
        <v>33</v>
      </c>
      <c r="AC4488">
        <v>-4.3017999999999503</v>
      </c>
      <c r="AD4488">
        <v>-1.1190595542449999</v>
      </c>
      <c r="AE4488">
        <v>-6.9896000000000003</v>
      </c>
      <c r="AF4488">
        <v>-2.3364314027261601</v>
      </c>
      <c r="AG4488">
        <v>-1.1190595542449999</v>
      </c>
      <c r="AH4488">
        <v>7.71133215747696</v>
      </c>
      <c r="AI4488">
        <v>97.906884943680595</v>
      </c>
      <c r="AJ4488">
        <v>106.856112761487</v>
      </c>
      <c r="AK4488">
        <v>8.1348540016726893</v>
      </c>
      <c r="AL4488">
        <v>65.731393446497407</v>
      </c>
      <c r="AM4488">
        <v>106.134780560313</v>
      </c>
      <c r="AN4488">
        <v>0.99999994724708796</v>
      </c>
    </row>
    <row r="4489" spans="1:40" x14ac:dyDescent="0.25">
      <c r="A4489" t="str">
        <f>"20190304164500951"</f>
        <v>20190304164500951</v>
      </c>
      <c r="B4489" t="str">
        <f>"1551689100944684"</f>
        <v>1551689100944684</v>
      </c>
      <c r="C4489" t="s">
        <v>40</v>
      </c>
      <c r="D4489">
        <v>4.6481879999999904</v>
      </c>
      <c r="E4489">
        <v>0.49757449999999998</v>
      </c>
      <c r="F4489" t="s">
        <v>48</v>
      </c>
      <c r="G4489">
        <v>-415.32470000000001</v>
      </c>
      <c r="H4489" s="1">
        <v>-3.4395369999999998E-6</v>
      </c>
      <c r="I4489">
        <v>124.0127</v>
      </c>
      <c r="J4489">
        <v>-411.08280000000002</v>
      </c>
      <c r="K4489">
        <v>1.1192899999999999</v>
      </c>
      <c r="L4489">
        <v>130.90969999999999</v>
      </c>
      <c r="M4489">
        <v>-0.74160190000000004</v>
      </c>
      <c r="N4489">
        <v>-1.177855E-2</v>
      </c>
      <c r="O4489">
        <v>-0.67073689999999997</v>
      </c>
      <c r="P4489">
        <v>-0.48909320000000001</v>
      </c>
      <c r="Q4489">
        <v>0.40559430000000002</v>
      </c>
      <c r="R4489">
        <v>-0.7721924</v>
      </c>
      <c r="S4489">
        <v>-1.8590089999999999</v>
      </c>
      <c r="T4489">
        <v>-0.46337970000000001</v>
      </c>
      <c r="U4489">
        <v>-2.9519350000000002</v>
      </c>
      <c r="V4489">
        <v>-0.2534093</v>
      </c>
      <c r="W4489">
        <v>0.41064580000000001</v>
      </c>
      <c r="X4489">
        <v>0.87587309999999996</v>
      </c>
      <c r="Y4489">
        <v>-0.27141559999999998</v>
      </c>
      <c r="Z4489">
        <v>6.5922410000000001E-2</v>
      </c>
      <c r="AA4489">
        <v>0.960202</v>
      </c>
      <c r="AB4489">
        <v>33</v>
      </c>
      <c r="AC4489">
        <v>-4.2418999999999798</v>
      </c>
      <c r="AD4489">
        <v>-1.119293439537</v>
      </c>
      <c r="AE4489">
        <v>-6.8969999999999896</v>
      </c>
      <c r="AF4489">
        <v>-2.2272271338773799</v>
      </c>
      <c r="AG4489">
        <v>-1.119293439537</v>
      </c>
      <c r="AH4489">
        <v>7.6266756018869604</v>
      </c>
      <c r="AI4489">
        <v>98.018836729351904</v>
      </c>
      <c r="AJ4489">
        <v>106.279450911639</v>
      </c>
      <c r="AK4489">
        <v>8.0236861383087597</v>
      </c>
      <c r="AL4489">
        <v>65.754589740117396</v>
      </c>
      <c r="AM4489">
        <v>106.136316092857</v>
      </c>
      <c r="AN4489">
        <v>0.99999996684386905</v>
      </c>
    </row>
    <row r="4490" spans="1:40" x14ac:dyDescent="0.25">
      <c r="A4490" t="str">
        <f>"20190304164500973"</f>
        <v>20190304164500973</v>
      </c>
      <c r="B4490" t="str">
        <f>"1551689100965177"</f>
        <v>1551689100965177</v>
      </c>
      <c r="C4490" t="s">
        <v>40</v>
      </c>
      <c r="D4490">
        <v>4.6894</v>
      </c>
      <c r="E4490">
        <v>0.49572909999999998</v>
      </c>
      <c r="F4490" t="s">
        <v>48</v>
      </c>
      <c r="G4490">
        <v>-415.49619999999999</v>
      </c>
      <c r="H4490" s="1">
        <v>-3.2707669999999998E-6</v>
      </c>
      <c r="I4490">
        <v>123.7847</v>
      </c>
      <c r="J4490">
        <v>-411.32209999999998</v>
      </c>
      <c r="K4490">
        <v>1.1195059999999999</v>
      </c>
      <c r="L4490">
        <v>130.6807</v>
      </c>
      <c r="M4490">
        <v>-0.7346007</v>
      </c>
      <c r="N4490">
        <v>-1.178828E-2</v>
      </c>
      <c r="O4490">
        <v>-0.67839740000000004</v>
      </c>
      <c r="P4490">
        <v>-0.48121550000000002</v>
      </c>
      <c r="Q4490">
        <v>0.40540209999999999</v>
      </c>
      <c r="R4490">
        <v>-0.77722669999999905</v>
      </c>
      <c r="S4490">
        <v>-1.83728</v>
      </c>
      <c r="T4490">
        <v>-0.46595320000000001</v>
      </c>
      <c r="U4490">
        <v>-2.9660799999999998</v>
      </c>
      <c r="V4490">
        <v>-0.25351380000000001</v>
      </c>
      <c r="W4490">
        <v>0.41033069999999999</v>
      </c>
      <c r="X4490">
        <v>0.87599059999999995</v>
      </c>
      <c r="Y4490">
        <v>-0.26862740000000002</v>
      </c>
      <c r="Z4490">
        <v>6.7535999999999999E-2</v>
      </c>
      <c r="AA4490">
        <v>0.96087370000000005</v>
      </c>
      <c r="AB4490">
        <v>34</v>
      </c>
      <c r="AC4490">
        <v>-4.1741000000000099</v>
      </c>
      <c r="AD4490">
        <v>-1.11950927076699</v>
      </c>
      <c r="AE4490">
        <v>-6.8959999999999999</v>
      </c>
      <c r="AF4490">
        <v>-2.1919836709620499</v>
      </c>
      <c r="AG4490">
        <v>-1.11950927076699</v>
      </c>
      <c r="AH4490">
        <v>7.5985020013147402</v>
      </c>
      <c r="AI4490">
        <v>98.057276203969593</v>
      </c>
      <c r="AJ4490">
        <v>106.091568803868</v>
      </c>
      <c r="AK4490">
        <v>7.9871976365357096</v>
      </c>
      <c r="AL4490">
        <v>65.774390242448305</v>
      </c>
      <c r="AM4490">
        <v>106.140571291147</v>
      </c>
      <c r="AN4490">
        <v>1.00000003072064</v>
      </c>
    </row>
    <row r="4491" spans="1:40" x14ac:dyDescent="0.25">
      <c r="A4491" t="str">
        <f>"20190304164500996"</f>
        <v>20190304164500996</v>
      </c>
      <c r="B4491" t="str">
        <f>"1551689100984697"</f>
        <v>1551689100984697</v>
      </c>
      <c r="C4491" t="s">
        <v>40</v>
      </c>
      <c r="D4491">
        <v>4.6791600000000004</v>
      </c>
      <c r="E4491">
        <v>0.4936355</v>
      </c>
      <c r="F4491" t="s">
        <v>48</v>
      </c>
      <c r="G4491">
        <v>-415.65350000000001</v>
      </c>
      <c r="H4491" s="1">
        <v>-3.0422880000000002E-6</v>
      </c>
      <c r="I4491">
        <v>123.4597</v>
      </c>
      <c r="J4491">
        <v>-411.55520000000001</v>
      </c>
      <c r="K4491">
        <v>1.1197060000000001</v>
      </c>
      <c r="L4491">
        <v>130.45230000000001</v>
      </c>
      <c r="M4491">
        <v>-0.72746029999999995</v>
      </c>
      <c r="N4491">
        <v>-1.180062E-2</v>
      </c>
      <c r="O4491">
        <v>-0.6860484</v>
      </c>
      <c r="P4491">
        <v>-0.47325699999999998</v>
      </c>
      <c r="Q4491">
        <v>0.40605000000000002</v>
      </c>
      <c r="R4491">
        <v>-0.78176159999999995</v>
      </c>
      <c r="S4491">
        <v>-1.7940670000000001</v>
      </c>
      <c r="T4491">
        <v>-0.46370030000000001</v>
      </c>
      <c r="U4491">
        <v>-2.990936</v>
      </c>
      <c r="V4491">
        <v>-0.25325890000000001</v>
      </c>
      <c r="W4491">
        <v>0.41087279999999998</v>
      </c>
      <c r="X4491">
        <v>0.87581019999999898</v>
      </c>
      <c r="Y4491">
        <v>-0.27227010000000001</v>
      </c>
      <c r="Z4491">
        <v>6.8043939999999997E-2</v>
      </c>
      <c r="AA4491">
        <v>0.95981190000000005</v>
      </c>
      <c r="AB4491">
        <v>34</v>
      </c>
      <c r="AC4491">
        <v>-4.0982999999999903</v>
      </c>
      <c r="AD4491">
        <v>-1.1197090422879901</v>
      </c>
      <c r="AE4491">
        <v>-6.9926000000000004</v>
      </c>
      <c r="AF4491">
        <v>-2.2327526879096098</v>
      </c>
      <c r="AG4491">
        <v>-1.1197090422879901</v>
      </c>
      <c r="AH4491">
        <v>7.6334681555619399</v>
      </c>
      <c r="AI4491">
        <v>98.013741875463595</v>
      </c>
      <c r="AJ4491">
        <v>106.30394391951801</v>
      </c>
      <c r="AK4491">
        <v>8.0317351168179894</v>
      </c>
      <c r="AL4491">
        <v>65.740325915184798</v>
      </c>
      <c r="AM4491">
        <v>106.128335134259</v>
      </c>
      <c r="AN4491">
        <v>1.00000001731654</v>
      </c>
    </row>
    <row r="4492" spans="1:40" x14ac:dyDescent="0.25">
      <c r="A4492" t="str">
        <f>"20190304164501017"</f>
        <v>20190304164501017</v>
      </c>
      <c r="B4492" t="str">
        <f>"1551689101014953"</f>
        <v>1551689101014953</v>
      </c>
      <c r="C4492" t="s">
        <v>40</v>
      </c>
      <c r="D4492">
        <v>4.744586</v>
      </c>
      <c r="E4492">
        <v>0.4919113</v>
      </c>
      <c r="F4492" t="s">
        <v>48</v>
      </c>
      <c r="G4492">
        <v>-415.84359999999998</v>
      </c>
      <c r="H4492" s="1">
        <v>-2.768865E-6</v>
      </c>
      <c r="I4492">
        <v>123.0712</v>
      </c>
      <c r="J4492">
        <v>-411.78410000000002</v>
      </c>
      <c r="K4492">
        <v>1.1198709999999901</v>
      </c>
      <c r="L4492">
        <v>130.22319999999999</v>
      </c>
      <c r="M4492">
        <v>-0.72016829999999998</v>
      </c>
      <c r="N4492">
        <v>-1.1813799999999999E-2</v>
      </c>
      <c r="O4492">
        <v>-0.69369930000000002</v>
      </c>
      <c r="P4492">
        <v>-0.46518789999999999</v>
      </c>
      <c r="Q4492">
        <v>0.40543129999999999</v>
      </c>
      <c r="R4492">
        <v>-0.78690919999999998</v>
      </c>
      <c r="S4492">
        <v>-1.7515259999999999</v>
      </c>
      <c r="T4492">
        <v>-0.45733119999999999</v>
      </c>
      <c r="U4492">
        <v>-3.0147249999999999</v>
      </c>
      <c r="V4492">
        <v>-0.25341249999999998</v>
      </c>
      <c r="W4492">
        <v>0.41015580000000001</v>
      </c>
      <c r="X4492">
        <v>0.87610180000000004</v>
      </c>
      <c r="Y4492">
        <v>-0.27548129999999998</v>
      </c>
      <c r="Z4492">
        <v>6.7882799999999993E-2</v>
      </c>
      <c r="AA4492">
        <v>0.9589067</v>
      </c>
      <c r="AB4492">
        <v>34</v>
      </c>
      <c r="AC4492">
        <v>-4.0594999999999501</v>
      </c>
      <c r="AD4492">
        <v>-1.11987376886499</v>
      </c>
      <c r="AE4492">
        <v>-7.1519999999999797</v>
      </c>
      <c r="AF4492">
        <v>-2.2922273247990899</v>
      </c>
      <c r="AG4492">
        <v>-1.11987376886499</v>
      </c>
      <c r="AH4492">
        <v>7.7418463807630804</v>
      </c>
      <c r="AI4492">
        <v>97.896553389573597</v>
      </c>
      <c r="AJ4492">
        <v>106.493113967695</v>
      </c>
      <c r="AK4492">
        <v>8.1513562521878509</v>
      </c>
      <c r="AL4492">
        <v>65.785378219018796</v>
      </c>
      <c r="AM4492">
        <v>106.13251609078399</v>
      </c>
      <c r="AN4492">
        <v>1.0000000196965599</v>
      </c>
    </row>
    <row r="4493" spans="1:40" x14ac:dyDescent="0.25">
      <c r="A4493" t="str">
        <f>"20190304164501040"</f>
        <v>20190304164501040</v>
      </c>
      <c r="B4493" t="str">
        <f>"1551689101034473"</f>
        <v>1551689101034473</v>
      </c>
      <c r="C4493" t="s">
        <v>40</v>
      </c>
      <c r="D4493">
        <v>4.7521709999999997</v>
      </c>
      <c r="E4493">
        <v>0.4912494</v>
      </c>
      <c r="F4493" t="s">
        <v>48</v>
      </c>
      <c r="G4493">
        <v>-415.9803</v>
      </c>
      <c r="H4493" s="1">
        <v>-2.5615450000000001E-6</v>
      </c>
      <c r="I4493">
        <v>122.77500000000001</v>
      </c>
      <c r="J4493">
        <v>-412.02080000000001</v>
      </c>
      <c r="K4493">
        <v>1.1200300000000001</v>
      </c>
      <c r="L4493">
        <v>129.98099999999999</v>
      </c>
      <c r="M4493">
        <v>-0.71234379999999997</v>
      </c>
      <c r="N4493">
        <v>-1.1825509999999999E-2</v>
      </c>
      <c r="O4493">
        <v>-0.70173129999999995</v>
      </c>
      <c r="P4493">
        <v>-0.45654109999999998</v>
      </c>
      <c r="Q4493">
        <v>0.40430959999999999</v>
      </c>
      <c r="R4493">
        <v>-0.79253019999999996</v>
      </c>
      <c r="S4493">
        <v>-1.7106319999999999</v>
      </c>
      <c r="T4493">
        <v>-0.45652690000000001</v>
      </c>
      <c r="U4493">
        <v>-3.036346</v>
      </c>
      <c r="V4493">
        <v>-0.25373179999999901</v>
      </c>
      <c r="W4493">
        <v>0.40894350000000002</v>
      </c>
      <c r="X4493">
        <v>0.87657589999999996</v>
      </c>
      <c r="Y4493">
        <v>-0.2774373</v>
      </c>
      <c r="Z4493">
        <v>6.8771680000000002E-2</v>
      </c>
      <c r="AA4493">
        <v>0.9582792</v>
      </c>
      <c r="AB4493">
        <v>34</v>
      </c>
      <c r="AC4493">
        <v>-3.95949999999999</v>
      </c>
      <c r="AD4493">
        <v>-1.12003256154499</v>
      </c>
      <c r="AE4493">
        <v>-7.20599999999998</v>
      </c>
      <c r="AF4493">
        <v>-2.3119084134381902</v>
      </c>
      <c r="AG4493">
        <v>-1.12003256154499</v>
      </c>
      <c r="AH4493">
        <v>7.7342327283355097</v>
      </c>
      <c r="AI4493">
        <v>97.899287174565998</v>
      </c>
      <c r="AJ4493">
        <v>106.642399889665</v>
      </c>
      <c r="AK4493">
        <v>8.1497085436905898</v>
      </c>
      <c r="AL4493">
        <v>65.861514599458005</v>
      </c>
      <c r="AM4493">
        <v>106.14350317232</v>
      </c>
      <c r="AN4493">
        <v>0.99999996049214901</v>
      </c>
    </row>
    <row r="4494" spans="1:40" x14ac:dyDescent="0.25">
      <c r="A4494" t="str">
        <f>"20190304164501062"</f>
        <v>20190304164501062</v>
      </c>
      <c r="B4494" t="str">
        <f>"1551689101054969"</f>
        <v>1551689101054969</v>
      </c>
      <c r="C4494" t="s">
        <v>40</v>
      </c>
      <c r="D4494">
        <v>4.7733670000000004</v>
      </c>
      <c r="E4494">
        <v>0.49090410000000001</v>
      </c>
      <c r="F4494" t="s">
        <v>48</v>
      </c>
      <c r="G4494">
        <v>-416.08449999999999</v>
      </c>
      <c r="H4494" s="1">
        <v>-2.3984720000000001E-6</v>
      </c>
      <c r="I4494">
        <v>122.54130000000001</v>
      </c>
      <c r="J4494">
        <v>-412.24430000000001</v>
      </c>
      <c r="K4494">
        <v>1.1201559999999999</v>
      </c>
      <c r="L4494">
        <v>129.74709999999999</v>
      </c>
      <c r="M4494">
        <v>-0.70470239999999995</v>
      </c>
      <c r="N4494">
        <v>-1.183089E-2</v>
      </c>
      <c r="O4494">
        <v>-0.70940449999999999</v>
      </c>
      <c r="P4494">
        <v>-0.44792670000000001</v>
      </c>
      <c r="Q4494">
        <v>0.40342830000000002</v>
      </c>
      <c r="R4494">
        <v>-0.79787710000000001</v>
      </c>
      <c r="S4494">
        <v>-1.6703490000000001</v>
      </c>
      <c r="T4494">
        <v>-0.4603758</v>
      </c>
      <c r="U4494">
        <v>-3.0579990000000001</v>
      </c>
      <c r="V4494">
        <v>-0.25416709999999998</v>
      </c>
      <c r="W4494">
        <v>0.40797889999999998</v>
      </c>
      <c r="X4494">
        <v>0.87689919999999999</v>
      </c>
      <c r="Y4494">
        <v>-0.27965440000000003</v>
      </c>
      <c r="Z4494">
        <v>7.0382159999999999E-2</v>
      </c>
      <c r="AA4494">
        <v>0.95751750000000002</v>
      </c>
      <c r="AB4494">
        <v>34</v>
      </c>
      <c r="AC4494">
        <v>-3.8401999999999799</v>
      </c>
      <c r="AD4494">
        <v>-1.1201583984719901</v>
      </c>
      <c r="AE4494">
        <v>-7.2057999999999804</v>
      </c>
      <c r="AF4494">
        <v>-2.3103722750062801</v>
      </c>
      <c r="AG4494">
        <v>-1.1201583984719901</v>
      </c>
      <c r="AH4494">
        <v>7.6741427717138304</v>
      </c>
      <c r="AI4494">
        <v>97.956604649541404</v>
      </c>
      <c r="AJ4494">
        <v>106.75491155687401</v>
      </c>
      <c r="AK4494">
        <v>8.0922828773735294</v>
      </c>
      <c r="AL4494">
        <v>65.922063236298598</v>
      </c>
      <c r="AM4494">
        <v>106.16410247202001</v>
      </c>
      <c r="AN4494">
        <v>0.99999995226412797</v>
      </c>
    </row>
    <row r="4495" spans="1:40" x14ac:dyDescent="0.25">
      <c r="A4495" t="str">
        <f>"20190304164501084"</f>
        <v>20190304164501084</v>
      </c>
      <c r="B4495" t="str">
        <f>"1551689101074489"</f>
        <v>1551689101074489</v>
      </c>
      <c r="C4495" t="s">
        <v>40</v>
      </c>
      <c r="D4495">
        <v>4.7766140000000004</v>
      </c>
      <c r="E4495">
        <v>0.49075679999999999</v>
      </c>
      <c r="F4495" t="s">
        <v>48</v>
      </c>
      <c r="G4495">
        <v>-416.18540000000002</v>
      </c>
      <c r="H4495" s="1">
        <v>-2.2395459999999999E-6</v>
      </c>
      <c r="I4495">
        <v>122.3133</v>
      </c>
      <c r="J4495">
        <v>-412.46769999999998</v>
      </c>
      <c r="K4495">
        <v>1.1202589999999999</v>
      </c>
      <c r="L4495">
        <v>129.50819999999999</v>
      </c>
      <c r="M4495">
        <v>-0.69682599999999995</v>
      </c>
      <c r="N4495">
        <v>-1.183152E-2</v>
      </c>
      <c r="O4495">
        <v>-0.71714279999999997</v>
      </c>
      <c r="P4495">
        <v>-0.43833729999999999</v>
      </c>
      <c r="Q4495">
        <v>0.40269179999999999</v>
      </c>
      <c r="R4495">
        <v>-0.80355480000000001</v>
      </c>
      <c r="S4495">
        <v>-1.6320190000000001</v>
      </c>
      <c r="T4495">
        <v>-0.46386050000000001</v>
      </c>
      <c r="U4495">
        <v>-3.0783390000000002</v>
      </c>
      <c r="V4495">
        <v>-0.25534879999999999</v>
      </c>
      <c r="W4495">
        <v>0.40714509999999998</v>
      </c>
      <c r="X4495">
        <v>0.87694349999999999</v>
      </c>
      <c r="Y4495">
        <v>-0.28102579999999999</v>
      </c>
      <c r="Z4495">
        <v>7.2002479999999994E-2</v>
      </c>
      <c r="AA4495">
        <v>0.95699540000000005</v>
      </c>
      <c r="AB4495">
        <v>34</v>
      </c>
      <c r="AC4495">
        <v>-3.71770000000003</v>
      </c>
      <c r="AD4495">
        <v>-1.1202612395460001</v>
      </c>
      <c r="AE4495">
        <v>-7.1948999999999899</v>
      </c>
      <c r="AF4495">
        <v>-2.3035583969822002</v>
      </c>
      <c r="AG4495">
        <v>-1.1202612395460001</v>
      </c>
      <c r="AH4495">
        <v>7.6053778844198998</v>
      </c>
      <c r="AI4495">
        <v>98.024335597705402</v>
      </c>
      <c r="AJ4495">
        <v>106.850797664604</v>
      </c>
      <c r="AK4495">
        <v>8.0251566525495104</v>
      </c>
      <c r="AL4495">
        <v>65.974380397401504</v>
      </c>
      <c r="AM4495">
        <v>106.23452709321</v>
      </c>
      <c r="AN4495">
        <v>1.0000000221538401</v>
      </c>
    </row>
    <row r="4496" spans="1:40" x14ac:dyDescent="0.25">
      <c r="A4496" t="str">
        <f>"20190304164501106"</f>
        <v>20190304164501106</v>
      </c>
      <c r="B4496" t="str">
        <f>"1551689101094985"</f>
        <v>1551689101094985</v>
      </c>
      <c r="C4496" t="s">
        <v>40</v>
      </c>
      <c r="D4496">
        <v>4.7730949999999996</v>
      </c>
      <c r="E4496">
        <v>0.49070209999999997</v>
      </c>
      <c r="F4496" t="s">
        <v>48</v>
      </c>
      <c r="G4496">
        <v>-416.29390000000001</v>
      </c>
      <c r="H4496" s="1">
        <v>-2.0773480000000001E-6</v>
      </c>
      <c r="I4496">
        <v>122.0819</v>
      </c>
      <c r="J4496">
        <v>-412.69189999999998</v>
      </c>
      <c r="K4496">
        <v>1.120352</v>
      </c>
      <c r="L4496">
        <v>129.26300000000001</v>
      </c>
      <c r="M4496">
        <v>-0.68868660000000004</v>
      </c>
      <c r="N4496">
        <v>-1.1824670000000001E-2</v>
      </c>
      <c r="O4496">
        <v>-0.72496280000000002</v>
      </c>
      <c r="P4496">
        <v>-0.42839549999999998</v>
      </c>
      <c r="Q4496">
        <v>0.40304259999999997</v>
      </c>
      <c r="R4496">
        <v>-0.80872390000000005</v>
      </c>
      <c r="S4496">
        <v>-1.5956729999999999</v>
      </c>
      <c r="T4496">
        <v>-0.46719769999999999</v>
      </c>
      <c r="U4496">
        <v>-3.0970759999999999</v>
      </c>
      <c r="V4496">
        <v>-0.25625789999999998</v>
      </c>
      <c r="W4496">
        <v>0.40740159999999997</v>
      </c>
      <c r="X4496">
        <v>0.87655910000000004</v>
      </c>
      <c r="Y4496">
        <v>-0.28147800000000001</v>
      </c>
      <c r="Z4496">
        <v>7.3684340000000001E-2</v>
      </c>
      <c r="AA4496">
        <v>0.95673439999999998</v>
      </c>
      <c r="AB4496">
        <v>34</v>
      </c>
      <c r="AC4496">
        <v>-3.6020000000000301</v>
      </c>
      <c r="AD4496">
        <v>-1.1203540773479901</v>
      </c>
      <c r="AE4496">
        <v>-7.1810999999999998</v>
      </c>
      <c r="AF4496">
        <v>-2.2898426546691302</v>
      </c>
      <c r="AG4496">
        <v>-1.1203540773479901</v>
      </c>
      <c r="AH4496">
        <v>7.5405711125530503</v>
      </c>
      <c r="AI4496">
        <v>98.091312987502704</v>
      </c>
      <c r="AJ4496">
        <v>106.891944242031</v>
      </c>
      <c r="AK4496">
        <v>7.9598231981145098</v>
      </c>
      <c r="AL4496">
        <v>65.9582888356193</v>
      </c>
      <c r="AM4496">
        <v>106.296030589697</v>
      </c>
      <c r="AN4496">
        <v>1.0000000153938899</v>
      </c>
    </row>
    <row r="4497" spans="1:40" x14ac:dyDescent="0.25">
      <c r="A4497" t="str">
        <f>"20190304164501130"</f>
        <v>20190304164501130</v>
      </c>
      <c r="B4497" t="str">
        <f>"1551689101124265"</f>
        <v>1551689101124265</v>
      </c>
      <c r="C4497" t="s">
        <v>40</v>
      </c>
      <c r="D4497">
        <v>4.8147010000000003</v>
      </c>
      <c r="E4497">
        <v>0.4908497</v>
      </c>
      <c r="F4497" t="s">
        <v>48</v>
      </c>
      <c r="G4497">
        <v>-416.4427</v>
      </c>
      <c r="H4497" s="1">
        <v>-1.863298E-6</v>
      </c>
      <c r="I4497">
        <v>121.7777</v>
      </c>
      <c r="J4497">
        <v>-412.91930000000002</v>
      </c>
      <c r="K4497">
        <v>1.1204229999999999</v>
      </c>
      <c r="L4497">
        <v>129.0087</v>
      </c>
      <c r="M4497">
        <v>-0.68019839999999998</v>
      </c>
      <c r="N4497">
        <v>-1.181245E-2</v>
      </c>
      <c r="O4497">
        <v>-0.7329331</v>
      </c>
      <c r="P4497">
        <v>-0.41849209999999898</v>
      </c>
      <c r="Q4497">
        <v>0.40327819999999998</v>
      </c>
      <c r="R4497">
        <v>-0.8137761</v>
      </c>
      <c r="S4497">
        <v>-1.560913</v>
      </c>
      <c r="T4497">
        <v>-0.4662462</v>
      </c>
      <c r="U4497">
        <v>-3.1150669999999998</v>
      </c>
      <c r="V4497">
        <v>-0.25677</v>
      </c>
      <c r="W4497">
        <v>0.407557</v>
      </c>
      <c r="X4497">
        <v>0.87633689999999997</v>
      </c>
      <c r="Y4497">
        <v>-0.28107959999999999</v>
      </c>
      <c r="Z4497">
        <v>7.4678809999999998E-2</v>
      </c>
      <c r="AA4497">
        <v>0.95677440000000002</v>
      </c>
      <c r="AB4497">
        <v>34</v>
      </c>
      <c r="AC4497">
        <v>-3.5233999999999801</v>
      </c>
      <c r="AD4497">
        <v>-1.1204248632979901</v>
      </c>
      <c r="AE4497">
        <v>-7.2309999999999999</v>
      </c>
      <c r="AF4497">
        <v>-2.2917950267003002</v>
      </c>
      <c r="AG4497">
        <v>-1.1204248632979901</v>
      </c>
      <c r="AH4497">
        <v>7.5504903447896696</v>
      </c>
      <c r="AI4497">
        <v>98.081638725415999</v>
      </c>
      <c r="AJ4497">
        <v>106.884580828194</v>
      </c>
      <c r="AK4497">
        <v>7.9697917642474501</v>
      </c>
      <c r="AL4497">
        <v>65.948537291662007</v>
      </c>
      <c r="AM4497">
        <v>106.33078249713201</v>
      </c>
      <c r="AN4497">
        <v>0.99999995172530398</v>
      </c>
    </row>
    <row r="4498" spans="1:40" x14ac:dyDescent="0.25">
      <c r="A4498" t="str">
        <f>"20190304164501152"</f>
        <v>20190304164501152</v>
      </c>
      <c r="B4498" t="str">
        <f>"1551689101144761"</f>
        <v>1551689101144761</v>
      </c>
      <c r="C4498" t="s">
        <v>40</v>
      </c>
      <c r="D4498">
        <v>4.859286</v>
      </c>
      <c r="E4498">
        <v>0.4911431</v>
      </c>
      <c r="F4498" t="s">
        <v>48</v>
      </c>
      <c r="G4498">
        <v>-416.57850000000002</v>
      </c>
      <c r="H4498" s="1">
        <v>-1.666199E-6</v>
      </c>
      <c r="I4498">
        <v>121.4974</v>
      </c>
      <c r="J4498">
        <v>-413.1395</v>
      </c>
      <c r="K4498">
        <v>1.1204879999999999</v>
      </c>
      <c r="L4498">
        <v>128.75659999999999</v>
      </c>
      <c r="M4498">
        <v>-0.67174599999999995</v>
      </c>
      <c r="N4498">
        <v>-1.179583E-2</v>
      </c>
      <c r="O4498">
        <v>-0.74068769999999995</v>
      </c>
      <c r="P4498">
        <v>-0.40934520000000002</v>
      </c>
      <c r="Q4498">
        <v>0.4028833</v>
      </c>
      <c r="R4498">
        <v>-0.81860980000000005</v>
      </c>
      <c r="S4498">
        <v>-1.526367</v>
      </c>
      <c r="T4498">
        <v>-0.46736070000000002</v>
      </c>
      <c r="U4498">
        <v>-3.1331790000000002</v>
      </c>
      <c r="V4498">
        <v>-0.25673659999999998</v>
      </c>
      <c r="W4498">
        <v>0.4071033</v>
      </c>
      <c r="X4498">
        <v>0.87655759999999905</v>
      </c>
      <c r="Y4498">
        <v>-0.28081679999999998</v>
      </c>
      <c r="Z4498">
        <v>7.5996530000000007E-2</v>
      </c>
      <c r="AA4498">
        <v>0.95674780000000004</v>
      </c>
      <c r="AB4498">
        <v>34</v>
      </c>
      <c r="AC4498">
        <v>-3.43900000000002</v>
      </c>
      <c r="AD4498">
        <v>-1.120489666199</v>
      </c>
      <c r="AE4498">
        <v>-7.2591999999999901</v>
      </c>
      <c r="AF4498">
        <v>-2.28481702714872</v>
      </c>
      <c r="AG4498">
        <v>-1.120489666199</v>
      </c>
      <c r="AH4498">
        <v>7.54073972396895</v>
      </c>
      <c r="AI4498">
        <v>98.093594123553203</v>
      </c>
      <c r="AJ4498">
        <v>106.856619883695</v>
      </c>
      <c r="AK4498">
        <v>7.95855775403124</v>
      </c>
      <c r="AL4498">
        <v>65.977002002040706</v>
      </c>
      <c r="AM4498">
        <v>106.324879084911</v>
      </c>
      <c r="AN4498">
        <v>1.0000000023841</v>
      </c>
    </row>
    <row r="4499" spans="1:40" x14ac:dyDescent="0.25">
      <c r="A4499" t="str">
        <f>"20190304164501175"</f>
        <v>20190304164501175</v>
      </c>
      <c r="B4499" t="str">
        <f>"1551689101164282"</f>
        <v>1551689101164282</v>
      </c>
      <c r="C4499" t="s">
        <v>40</v>
      </c>
      <c r="D4499">
        <v>4.853097</v>
      </c>
      <c r="E4499">
        <v>0.49141669999999998</v>
      </c>
      <c r="F4499" t="s">
        <v>48</v>
      </c>
      <c r="G4499">
        <v>-416.69560000000001</v>
      </c>
      <c r="H4499" s="1">
        <v>-1.496453E-6</v>
      </c>
      <c r="I4499">
        <v>121.256</v>
      </c>
      <c r="J4499">
        <v>-413.35289999999998</v>
      </c>
      <c r="K4499">
        <v>1.120544</v>
      </c>
      <c r="L4499">
        <v>128.50659999999999</v>
      </c>
      <c r="M4499">
        <v>-0.66333529999999996</v>
      </c>
      <c r="N4499">
        <v>-1.177745E-2</v>
      </c>
      <c r="O4499">
        <v>-0.7482297</v>
      </c>
      <c r="P4499">
        <v>-0.40079720000000002</v>
      </c>
      <c r="Q4499">
        <v>0.40259709999999899</v>
      </c>
      <c r="R4499">
        <v>-0.8229687</v>
      </c>
      <c r="S4499">
        <v>-1.4932859999999999</v>
      </c>
      <c r="T4499">
        <v>-0.47051579999999898</v>
      </c>
      <c r="U4499">
        <v>-3.1496430000000002</v>
      </c>
      <c r="V4499">
        <v>-0.2561156</v>
      </c>
      <c r="W4499">
        <v>0.4067771</v>
      </c>
      <c r="X4499">
        <v>0.87689069999999902</v>
      </c>
      <c r="Y4499">
        <v>-0.280171</v>
      </c>
      <c r="Z4499">
        <v>7.7698719999999999E-2</v>
      </c>
      <c r="AA4499">
        <v>0.95680050000000005</v>
      </c>
      <c r="AB4499">
        <v>34</v>
      </c>
      <c r="AC4499">
        <v>-3.34270000000003</v>
      </c>
      <c r="AD4499">
        <v>-1.1205454964529999</v>
      </c>
      <c r="AE4499">
        <v>-7.2505999999999897</v>
      </c>
      <c r="AF4499">
        <v>-2.26403537061945</v>
      </c>
      <c r="AG4499">
        <v>-1.1205454964529999</v>
      </c>
      <c r="AH4499">
        <v>7.4953345203987496</v>
      </c>
      <c r="AI4499">
        <v>98.144455003676995</v>
      </c>
      <c r="AJ4499">
        <v>106.807428863517</v>
      </c>
      <c r="AK4499">
        <v>7.9095839297474004</v>
      </c>
      <c r="AL4499">
        <v>65.997463991514394</v>
      </c>
      <c r="AM4499">
        <v>106.281628357561</v>
      </c>
      <c r="AN4499">
        <v>1.0000000546971199</v>
      </c>
    </row>
    <row r="4500" spans="1:40" x14ac:dyDescent="0.25">
      <c r="A4500" t="str">
        <f>"20190304164501197"</f>
        <v>20190304164501197</v>
      </c>
      <c r="B4500" t="str">
        <f>"1551689101184777"</f>
        <v>1551689101184777</v>
      </c>
      <c r="C4500" t="s">
        <v>40</v>
      </c>
      <c r="D4500">
        <v>4.8213229999999996</v>
      </c>
      <c r="E4500">
        <v>0.4918013</v>
      </c>
      <c r="F4500" t="s">
        <v>48</v>
      </c>
      <c r="G4500">
        <v>-416.80540000000002</v>
      </c>
      <c r="H4500" s="1">
        <v>-1.3770760000000001E-6</v>
      </c>
      <c r="I4500">
        <v>121.0257</v>
      </c>
      <c r="J4500">
        <v>-413.56360000000001</v>
      </c>
      <c r="K4500">
        <v>1.1205989999999999</v>
      </c>
      <c r="L4500">
        <v>128.2535</v>
      </c>
      <c r="M4500">
        <v>-0.65480240000000001</v>
      </c>
      <c r="N4500">
        <v>-1.176085E-2</v>
      </c>
      <c r="O4500">
        <v>-0.75570890000000002</v>
      </c>
      <c r="P4500">
        <v>-0.39124500000000001</v>
      </c>
      <c r="Q4500">
        <v>0.40249649999999998</v>
      </c>
      <c r="R4500">
        <v>-0.82760159999999905</v>
      </c>
      <c r="S4500">
        <v>-1.4610289999999999</v>
      </c>
      <c r="T4500">
        <v>-0.47419430000000001</v>
      </c>
      <c r="U4500">
        <v>-3.1657709999999999</v>
      </c>
      <c r="V4500">
        <v>-0.25641199999999997</v>
      </c>
      <c r="W4500">
        <v>0.40661370000000002</v>
      </c>
      <c r="X4500">
        <v>0.87687979999999999</v>
      </c>
      <c r="Y4500">
        <v>-0.27923179999999997</v>
      </c>
      <c r="Z4500">
        <v>7.9510029999999995E-2</v>
      </c>
      <c r="AA4500">
        <v>0.95692619999999895</v>
      </c>
      <c r="AB4500">
        <v>34</v>
      </c>
      <c r="AC4500">
        <v>-3.2418000000000098</v>
      </c>
      <c r="AD4500">
        <v>-1.12060037707599</v>
      </c>
      <c r="AE4500">
        <v>-7.2278000000000002</v>
      </c>
      <c r="AF4500">
        <v>-2.2382889667727102</v>
      </c>
      <c r="AG4500">
        <v>-1.12060037707599</v>
      </c>
      <c r="AH4500">
        <v>7.4365555717179896</v>
      </c>
      <c r="AI4500">
        <v>98.210757196812295</v>
      </c>
      <c r="AJ4500">
        <v>106.75098748926899</v>
      </c>
      <c r="AK4500">
        <v>7.8465305374496097</v>
      </c>
      <c r="AL4500">
        <v>66.007710497487693</v>
      </c>
      <c r="AM4500">
        <v>106.299663032452</v>
      </c>
      <c r="AN4500">
        <v>0.99999999920986504</v>
      </c>
    </row>
    <row r="4501" spans="1:40" x14ac:dyDescent="0.25">
      <c r="A4501" t="str">
        <f>"20190304164501219"</f>
        <v>20190304164501219</v>
      </c>
      <c r="B4501" t="str">
        <f>"1551689101215033"</f>
        <v>1551689101215033</v>
      </c>
      <c r="C4501" t="s">
        <v>40</v>
      </c>
      <c r="D4501">
        <v>4.8200079999999996</v>
      </c>
      <c r="E4501">
        <v>0.4923669</v>
      </c>
      <c r="F4501" t="s">
        <v>48</v>
      </c>
      <c r="G4501">
        <v>-416.91379999999998</v>
      </c>
      <c r="H4501" s="1">
        <v>-1.2546780000000001E-6</v>
      </c>
      <c r="I4501">
        <v>120.7808</v>
      </c>
      <c r="J4501">
        <v>-413.7765</v>
      </c>
      <c r="K4501">
        <v>1.1206529999999999</v>
      </c>
      <c r="L4501">
        <v>127.9919</v>
      </c>
      <c r="M4501">
        <v>-0.64595449999999999</v>
      </c>
      <c r="N4501">
        <v>-1.1744849999999999E-2</v>
      </c>
      <c r="O4501">
        <v>-0.76328569999999996</v>
      </c>
      <c r="P4501">
        <v>-0.38089820000000002</v>
      </c>
      <c r="Q4501">
        <v>0.40167659999999999</v>
      </c>
      <c r="R4501">
        <v>-0.83281019999999994</v>
      </c>
      <c r="S4501">
        <v>-1.4267879999999999</v>
      </c>
      <c r="T4501">
        <v>-0.47724139999999998</v>
      </c>
      <c r="U4501">
        <v>-3.1824949999999999</v>
      </c>
      <c r="V4501">
        <v>-0.25742989999999999</v>
      </c>
      <c r="W4501">
        <v>0.40571649999999998</v>
      </c>
      <c r="X4501">
        <v>0.87699719999999903</v>
      </c>
      <c r="Y4501">
        <v>-0.27855229999999997</v>
      </c>
      <c r="Z4501">
        <v>8.1220639999999997E-2</v>
      </c>
      <c r="AA4501">
        <v>0.95698059999999996</v>
      </c>
      <c r="AB4501">
        <v>34</v>
      </c>
      <c r="AC4501">
        <v>-3.1372999999999802</v>
      </c>
      <c r="AD4501">
        <v>-1.1206542546780001</v>
      </c>
      <c r="AE4501">
        <v>-7.2111000000000001</v>
      </c>
      <c r="AF4501">
        <v>-2.2184902602095802</v>
      </c>
      <c r="AG4501">
        <v>-1.1206542546780001</v>
      </c>
      <c r="AH4501">
        <v>7.3813056811921003</v>
      </c>
      <c r="AI4501">
        <v>98.272726676556999</v>
      </c>
      <c r="AJ4501">
        <v>106.728427063496</v>
      </c>
      <c r="AK4501">
        <v>7.7885325031337898</v>
      </c>
      <c r="AL4501">
        <v>66.0639670226536</v>
      </c>
      <c r="AM4501">
        <v>106.358841864651</v>
      </c>
      <c r="AN4501">
        <v>1.00000006029704</v>
      </c>
    </row>
    <row r="4502" spans="1:40" x14ac:dyDescent="0.25">
      <c r="A4502" t="str">
        <f>"20190304164501241"</f>
        <v>20190304164501241</v>
      </c>
      <c r="B4502" t="str">
        <f>"1551689101234557"</f>
        <v>1551689101234557</v>
      </c>
      <c r="C4502" t="s">
        <v>40</v>
      </c>
      <c r="D4502">
        <v>4.814762</v>
      </c>
      <c r="E4502">
        <v>0.4923669</v>
      </c>
      <c r="F4502" t="s">
        <v>48</v>
      </c>
      <c r="G4502">
        <v>-416.99599999999998</v>
      </c>
      <c r="H4502" s="1">
        <v>-1.1608589999999999E-6</v>
      </c>
      <c r="I4502">
        <v>120.5924</v>
      </c>
      <c r="J4502">
        <v>-413.98320000000001</v>
      </c>
      <c r="K4502">
        <v>1.120706</v>
      </c>
      <c r="L4502">
        <v>127.7319</v>
      </c>
      <c r="M4502">
        <v>-0.63712809999999998</v>
      </c>
      <c r="N4502">
        <v>-1.1726240000000001E-2</v>
      </c>
      <c r="O4502">
        <v>-0.77066889999999999</v>
      </c>
      <c r="P4502">
        <v>-0.37035249999999997</v>
      </c>
      <c r="Q4502">
        <v>0.40160679999999999</v>
      </c>
      <c r="R4502">
        <v>-0.83758630000000001</v>
      </c>
      <c r="S4502">
        <v>-1.3919979999999901</v>
      </c>
      <c r="T4502">
        <v>-0.4845315</v>
      </c>
      <c r="U4502">
        <v>-3.1993260000000001</v>
      </c>
      <c r="V4502">
        <v>-0.25849559999999999</v>
      </c>
      <c r="W4502">
        <v>0.40556350000000002</v>
      </c>
      <c r="X4502">
        <v>0.87675439999999905</v>
      </c>
      <c r="Y4502">
        <v>-0.27817740000000002</v>
      </c>
      <c r="Z4502">
        <v>8.3708660000000004E-2</v>
      </c>
      <c r="AA4502">
        <v>0.95687529999999998</v>
      </c>
      <c r="AB4502">
        <v>34</v>
      </c>
      <c r="AC4502">
        <v>-3.0127999999999702</v>
      </c>
      <c r="AD4502">
        <v>-1.120707160859</v>
      </c>
      <c r="AE4502">
        <v>-7.1394999999999902</v>
      </c>
      <c r="AF4502">
        <v>-2.1814311445761798</v>
      </c>
      <c r="AG4502">
        <v>-1.120707160859</v>
      </c>
      <c r="AH4502">
        <v>7.2701775307833101</v>
      </c>
      <c r="AI4502">
        <v>98.398927958558204</v>
      </c>
      <c r="AJ4502">
        <v>106.70197638658</v>
      </c>
      <c r="AK4502">
        <v>7.6726858210169198</v>
      </c>
      <c r="AL4502">
        <v>66.073556303529102</v>
      </c>
      <c r="AM4502">
        <v>106.427224590347</v>
      </c>
      <c r="AN4502">
        <v>1.0000000028354801</v>
      </c>
    </row>
    <row r="4503" spans="1:40" x14ac:dyDescent="0.25">
      <c r="A4503" t="str">
        <f>"20190304164501263"</f>
        <v>20190304164501263</v>
      </c>
      <c r="B4503" t="str">
        <f>"1551689101255050"</f>
        <v>1551689101255050</v>
      </c>
      <c r="C4503" t="s">
        <v>40</v>
      </c>
      <c r="D4503">
        <v>4.7994289999999999</v>
      </c>
      <c r="E4503">
        <v>0.50197820000000004</v>
      </c>
      <c r="F4503" t="s">
        <v>48</v>
      </c>
      <c r="G4503">
        <v>-417.10739999999998</v>
      </c>
      <c r="H4503" s="1">
        <v>-1.0178879999999999E-6</v>
      </c>
      <c r="I4503">
        <v>120.29559999999999</v>
      </c>
      <c r="J4503">
        <v>-414.1823</v>
      </c>
      <c r="K4503">
        <v>1.120768</v>
      </c>
      <c r="L4503">
        <v>127.4756</v>
      </c>
      <c r="M4503">
        <v>-0.6283919</v>
      </c>
      <c r="N4503">
        <v>-1.17094E-2</v>
      </c>
      <c r="O4503">
        <v>-0.77780899999999997</v>
      </c>
      <c r="P4503">
        <v>-0.36101270000000002</v>
      </c>
      <c r="Q4503">
        <v>0.40185009999999999</v>
      </c>
      <c r="R4503">
        <v>-0.84153840000000002</v>
      </c>
      <c r="S4503">
        <v>-1.3513790000000001</v>
      </c>
      <c r="T4503">
        <v>-0.48476740000000001</v>
      </c>
      <c r="U4503">
        <v>-3.216599</v>
      </c>
      <c r="V4503">
        <v>-0.25834960000000001</v>
      </c>
      <c r="W4503">
        <v>0.40575739999999999</v>
      </c>
      <c r="X4503">
        <v>0.87670769999999998</v>
      </c>
      <c r="Y4503">
        <v>-0.27946870000000001</v>
      </c>
      <c r="Z4503">
        <v>8.4788119999999995E-2</v>
      </c>
      <c r="AA4503">
        <v>0.95640380000000003</v>
      </c>
      <c r="AB4503">
        <v>34</v>
      </c>
      <c r="AC4503">
        <v>-2.92509999999998</v>
      </c>
      <c r="AD4503">
        <v>-1.1207690178880001</v>
      </c>
      <c r="AE4503">
        <v>-7.18</v>
      </c>
      <c r="AF4503">
        <v>-2.1910501201723802</v>
      </c>
      <c r="AG4503">
        <v>-1.1207690178880001</v>
      </c>
      <c r="AH4503">
        <v>7.2713323675991601</v>
      </c>
      <c r="AI4503">
        <v>98.395159395196998</v>
      </c>
      <c r="AJ4503">
        <v>106.768982167366</v>
      </c>
      <c r="AK4503">
        <v>7.6765290477311598</v>
      </c>
      <c r="AL4503">
        <v>66.061401247074102</v>
      </c>
      <c r="AM4503">
        <v>106.41927362428299</v>
      </c>
      <c r="AN4503">
        <v>0.99999998735710405</v>
      </c>
    </row>
    <row r="4504" spans="1:40" x14ac:dyDescent="0.25">
      <c r="A4504" t="str">
        <f>"20190304164501286"</f>
        <v>20190304164501286</v>
      </c>
      <c r="B4504" t="str">
        <f>"1551689101274570"</f>
        <v>1551689101274570</v>
      </c>
      <c r="C4504" t="s">
        <v>40</v>
      </c>
      <c r="D4504">
        <v>4.8236840000000001</v>
      </c>
      <c r="E4504">
        <v>0.50312290000000004</v>
      </c>
      <c r="F4504" t="s">
        <v>48</v>
      </c>
      <c r="G4504">
        <v>-417.09030000000001</v>
      </c>
      <c r="H4504" s="1">
        <v>-1.197593E-6</v>
      </c>
      <c r="I4504">
        <v>120.7542</v>
      </c>
      <c r="J4504">
        <v>-414.38409999999999</v>
      </c>
      <c r="K4504">
        <v>1.1208320000000001</v>
      </c>
      <c r="L4504">
        <v>127.20950000000001</v>
      </c>
      <c r="M4504">
        <v>-0.6192744</v>
      </c>
      <c r="N4504">
        <v>-1.1696089999999999E-2</v>
      </c>
      <c r="O4504">
        <v>-0.78508750000000005</v>
      </c>
      <c r="P4504">
        <v>-0.35271910000000001</v>
      </c>
      <c r="Q4504">
        <v>0.40318730000000003</v>
      </c>
      <c r="R4504">
        <v>-0.84441049999999995</v>
      </c>
      <c r="S4504">
        <v>-1.3945920000000001</v>
      </c>
      <c r="T4504">
        <v>-0.53747939999999905</v>
      </c>
      <c r="U4504">
        <v>-3.223312</v>
      </c>
      <c r="V4504">
        <v>-0.25644289999999997</v>
      </c>
      <c r="W4504">
        <v>0.40708840000000002</v>
      </c>
      <c r="X4504">
        <v>0.876650499999999</v>
      </c>
      <c r="Y4504">
        <v>-0.25858189999999998</v>
      </c>
      <c r="Z4504">
        <v>9.6607369999999998E-2</v>
      </c>
      <c r="AA4504">
        <v>0.96114639999999996</v>
      </c>
      <c r="AB4504">
        <v>34</v>
      </c>
      <c r="AC4504">
        <v>-2.7062000000000199</v>
      </c>
      <c r="AD4504">
        <v>-1.1208331975929999</v>
      </c>
      <c r="AE4504">
        <v>-6.4553000000000003</v>
      </c>
      <c r="AF4504">
        <v>-1.8262982418949001</v>
      </c>
      <c r="AG4504">
        <v>-1.1208331975929999</v>
      </c>
      <c r="AH4504">
        <v>6.5757092399168497</v>
      </c>
      <c r="AI4504">
        <v>99.326654566628306</v>
      </c>
      <c r="AJ4504">
        <v>105.521784078677</v>
      </c>
      <c r="AK4504">
        <v>6.91603819633053</v>
      </c>
      <c r="AL4504">
        <v>65.977936929556904</v>
      </c>
      <c r="AM4504">
        <v>106.30556039355599</v>
      </c>
      <c r="AN4504">
        <v>1.0000000127626001</v>
      </c>
    </row>
    <row r="4505" spans="1:40" x14ac:dyDescent="0.25">
      <c r="A4505" t="str">
        <f>"20190304164501308"</f>
        <v>20190304164501308</v>
      </c>
      <c r="B4505" t="str">
        <f>"1551689101304826"</f>
        <v>1551689101304826</v>
      </c>
      <c r="C4505" t="s">
        <v>40</v>
      </c>
      <c r="D4505">
        <v>4.8036149999999997</v>
      </c>
      <c r="E4505">
        <v>0.50450459999999997</v>
      </c>
      <c r="F4505" t="s">
        <v>48</v>
      </c>
      <c r="G4505">
        <v>-417.24239999999998</v>
      </c>
      <c r="H4505" s="1">
        <v>-1.0426960000000001E-6</v>
      </c>
      <c r="I4505">
        <v>120.4547</v>
      </c>
      <c r="J4505">
        <v>-414.58580000000001</v>
      </c>
      <c r="K4505">
        <v>1.1208910000000001</v>
      </c>
      <c r="L4505">
        <v>126.93689999999999</v>
      </c>
      <c r="M4505">
        <v>-0.60987409999999997</v>
      </c>
      <c r="N4505">
        <v>-1.1683880000000001E-2</v>
      </c>
      <c r="O4505">
        <v>-0.79241240000000002</v>
      </c>
      <c r="P4505">
        <v>-0.34551090000000001</v>
      </c>
      <c r="Q4505">
        <v>0.40290480000000001</v>
      </c>
      <c r="R4505">
        <v>-0.84752000000000005</v>
      </c>
      <c r="S4505">
        <v>-1.3697809999999999</v>
      </c>
      <c r="T4505">
        <v>-0.53713319999999998</v>
      </c>
      <c r="U4505">
        <v>-3.2370760000000001</v>
      </c>
      <c r="V4505">
        <v>-0.25360159999999998</v>
      </c>
      <c r="W4505">
        <v>0.40683150000000001</v>
      </c>
      <c r="X4505">
        <v>0.87759580000000004</v>
      </c>
      <c r="Y4505">
        <v>-0.25483450000000002</v>
      </c>
      <c r="Z4505">
        <v>9.7879289999999994E-2</v>
      </c>
      <c r="AA4505">
        <v>0.96201820000000005</v>
      </c>
      <c r="AB4505">
        <v>34</v>
      </c>
      <c r="AC4505">
        <v>-2.6565999999999601</v>
      </c>
      <c r="AD4505">
        <v>-1.1208920426960001</v>
      </c>
      <c r="AE4505">
        <v>-6.48219999999999</v>
      </c>
      <c r="AF4505">
        <v>-1.8021913138497201</v>
      </c>
      <c r="AG4505">
        <v>-1.1208920426960001</v>
      </c>
      <c r="AH4505">
        <v>6.5885546264147301</v>
      </c>
      <c r="AI4505">
        <v>99.319116201968797</v>
      </c>
      <c r="AJ4505">
        <v>105.2981126495</v>
      </c>
      <c r="AK4505">
        <v>6.9219465880881801</v>
      </c>
      <c r="AL4505">
        <v>65.994050993382601</v>
      </c>
      <c r="AM4505">
        <v>106.11787269054</v>
      </c>
      <c r="AN4505">
        <v>1.00000001454622</v>
      </c>
    </row>
    <row r="4506" spans="1:40" x14ac:dyDescent="0.25">
      <c r="A4506" t="str">
        <f>"20190304164501331"</f>
        <v>20190304164501331</v>
      </c>
      <c r="B4506" t="str">
        <f>"1551689101324345"</f>
        <v>1551689101324345</v>
      </c>
      <c r="C4506" t="s">
        <v>40</v>
      </c>
      <c r="D4506">
        <v>4.7832410000000003</v>
      </c>
      <c r="E4506">
        <v>0.50516949999999905</v>
      </c>
      <c r="F4506" t="s">
        <v>48</v>
      </c>
      <c r="G4506">
        <v>-417.35559999999998</v>
      </c>
      <c r="H4506" s="1">
        <v>-9.3241640000000005E-7</v>
      </c>
      <c r="I4506">
        <v>120.2448</v>
      </c>
      <c r="J4506">
        <v>-414.78480000000002</v>
      </c>
      <c r="K4506">
        <v>1.1209659999999999</v>
      </c>
      <c r="L4506">
        <v>126.6613</v>
      </c>
      <c r="M4506">
        <v>-0.60030069999999902</v>
      </c>
      <c r="N4506">
        <v>-1.1671870000000001E-2</v>
      </c>
      <c r="O4506">
        <v>-0.79968930000000005</v>
      </c>
      <c r="P4506">
        <v>-0.33785229999999999</v>
      </c>
      <c r="Q4506">
        <v>0.40241130000000003</v>
      </c>
      <c r="R4506">
        <v>-0.85083589999999998</v>
      </c>
      <c r="S4506">
        <v>-1.3451839999999999</v>
      </c>
      <c r="T4506">
        <v>-0.54438450000000005</v>
      </c>
      <c r="U4506">
        <v>-3.2501530000000001</v>
      </c>
      <c r="V4506">
        <v>-0.25116250000000001</v>
      </c>
      <c r="W4506">
        <v>0.40634969999999998</v>
      </c>
      <c r="X4506">
        <v>0.87851999999999997</v>
      </c>
      <c r="Y4506">
        <v>-0.25090449999999997</v>
      </c>
      <c r="Z4506">
        <v>0.10067619999999999</v>
      </c>
      <c r="AA4506">
        <v>0.96276229999999996</v>
      </c>
      <c r="AB4506">
        <v>34</v>
      </c>
      <c r="AC4506">
        <v>-2.5707999999999598</v>
      </c>
      <c r="AD4506">
        <v>-1.12096693241639</v>
      </c>
      <c r="AE4506">
        <v>-6.4164999999999903</v>
      </c>
      <c r="AF4506">
        <v>-1.7500853609363201</v>
      </c>
      <c r="AG4506">
        <v>-1.12096693241639</v>
      </c>
      <c r="AH4506">
        <v>6.5038700235898501</v>
      </c>
      <c r="AI4506">
        <v>99.449335652474403</v>
      </c>
      <c r="AJ4506">
        <v>105.060630529541</v>
      </c>
      <c r="AK4506">
        <v>6.8278613721930101</v>
      </c>
      <c r="AL4506">
        <v>66.024266921885499</v>
      </c>
      <c r="AM4506">
        <v>105.954849065129</v>
      </c>
      <c r="AN4506">
        <v>1.0000000352481599</v>
      </c>
    </row>
    <row r="4507" spans="1:40" x14ac:dyDescent="0.25">
      <c r="A4507" t="str">
        <f>"20190304164501353"</f>
        <v>20190304164501353</v>
      </c>
      <c r="B4507" t="str">
        <f>"1551689101344841"</f>
        <v>1551689101344841</v>
      </c>
      <c r="C4507" t="s">
        <v>40</v>
      </c>
      <c r="D4507">
        <v>4.8038169999999996</v>
      </c>
      <c r="E4507">
        <v>0.50633720000000004</v>
      </c>
      <c r="F4507" t="s">
        <v>48</v>
      </c>
      <c r="G4507">
        <v>-417.47379999999998</v>
      </c>
      <c r="H4507" s="1">
        <v>-8.0442209999999999E-7</v>
      </c>
      <c r="I4507">
        <v>119.992</v>
      </c>
      <c r="J4507">
        <v>-414.97309999999999</v>
      </c>
      <c r="K4507">
        <v>1.1210450000000001</v>
      </c>
      <c r="L4507">
        <v>126.39360000000001</v>
      </c>
      <c r="M4507">
        <v>-0.59093130000000005</v>
      </c>
      <c r="N4507">
        <v>-1.165862E-2</v>
      </c>
      <c r="O4507">
        <v>-0.80663779999999996</v>
      </c>
      <c r="P4507">
        <v>-0.32926800000000001</v>
      </c>
      <c r="Q4507">
        <v>0.40297889999999997</v>
      </c>
      <c r="R4507">
        <v>-0.85392679999999999</v>
      </c>
      <c r="S4507">
        <v>-1.315582</v>
      </c>
      <c r="T4507">
        <v>-0.54843280000000005</v>
      </c>
      <c r="U4507">
        <v>-3.2629389999999998</v>
      </c>
      <c r="V4507">
        <v>-0.24969450000000001</v>
      </c>
      <c r="W4507">
        <v>0.40689550000000002</v>
      </c>
      <c r="X4507">
        <v>0.87868579999999996</v>
      </c>
      <c r="Y4507">
        <v>-0.2485126</v>
      </c>
      <c r="Z4507">
        <v>0.102783399999999</v>
      </c>
      <c r="AA4507">
        <v>0.96316000000000002</v>
      </c>
      <c r="AB4507">
        <v>34</v>
      </c>
      <c r="AC4507">
        <v>-2.5006999999999899</v>
      </c>
      <c r="AD4507">
        <v>-1.1210458044220999</v>
      </c>
      <c r="AE4507">
        <v>-6.4016000000000002</v>
      </c>
      <c r="AF4507">
        <v>-1.7201001371726601</v>
      </c>
      <c r="AG4507">
        <v>-1.1210458044220999</v>
      </c>
      <c r="AH4507">
        <v>6.4698238647487898</v>
      </c>
      <c r="AI4507">
        <v>99.506308627843097</v>
      </c>
      <c r="AJ4507">
        <v>104.88852937986699</v>
      </c>
      <c r="AK4507">
        <v>6.7877911737462</v>
      </c>
      <c r="AL4507">
        <v>65.990036756024594</v>
      </c>
      <c r="AM4507">
        <v>105.863460158623</v>
      </c>
      <c r="AN4507">
        <v>1.00000001318607</v>
      </c>
    </row>
    <row r="4508" spans="1:40" x14ac:dyDescent="0.25">
      <c r="A4508" t="str">
        <f>"20190304164501376"</f>
        <v>20190304164501376</v>
      </c>
      <c r="B4508" t="str">
        <f>"1551689101364362"</f>
        <v>1551689101364362</v>
      </c>
      <c r="C4508" t="s">
        <v>40</v>
      </c>
      <c r="D4508">
        <v>4.820894</v>
      </c>
      <c r="E4508">
        <v>0.50693250000000001</v>
      </c>
      <c r="F4508" t="s">
        <v>42</v>
      </c>
      <c r="G4508">
        <v>-418.12920000000003</v>
      </c>
      <c r="H4508" s="1">
        <v>-4.0881870000000004E-6</v>
      </c>
      <c r="I4508">
        <v>118.38890000000001</v>
      </c>
      <c r="J4508">
        <v>-415.16019999999997</v>
      </c>
      <c r="K4508">
        <v>1.12113</v>
      </c>
      <c r="L4508">
        <v>126.1207</v>
      </c>
      <c r="M4508">
        <v>-0.58131339999999998</v>
      </c>
      <c r="N4508">
        <v>-1.1639719999999999E-2</v>
      </c>
      <c r="O4508">
        <v>-0.81359669999999995</v>
      </c>
      <c r="P4508">
        <v>-0.31993820000000001</v>
      </c>
      <c r="Q4508">
        <v>0.40408949999999999</v>
      </c>
      <c r="R4508">
        <v>-0.85694340000000002</v>
      </c>
      <c r="S4508">
        <v>-1.2755430000000001</v>
      </c>
      <c r="T4508">
        <v>-0.45307950000000002</v>
      </c>
      <c r="U4508">
        <v>-3.2351380000000001</v>
      </c>
      <c r="V4508">
        <v>-0.24864810000000001</v>
      </c>
      <c r="W4508">
        <v>0.40796500000000002</v>
      </c>
      <c r="X4508">
        <v>0.87848660000000001</v>
      </c>
      <c r="Y4508">
        <v>-0.24374660000000001</v>
      </c>
      <c r="Z4508">
        <v>8.570113E-2</v>
      </c>
      <c r="AA4508">
        <v>0.96604500000000004</v>
      </c>
      <c r="AB4508">
        <v>34</v>
      </c>
      <c r="AC4508">
        <v>-2.96900000000005</v>
      </c>
      <c r="AD4508">
        <v>-1.121134088187</v>
      </c>
      <c r="AE4508">
        <v>-7.73179999999999</v>
      </c>
      <c r="AF4508">
        <v>-2.04175784147166</v>
      </c>
      <c r="AG4508">
        <v>-1.121134088187</v>
      </c>
      <c r="AH4508">
        <v>7.87276824424365</v>
      </c>
      <c r="AI4508">
        <v>97.848548346778898</v>
      </c>
      <c r="AJ4508">
        <v>104.539022438974</v>
      </c>
      <c r="AK4508">
        <v>8.2101276819838294</v>
      </c>
      <c r="AL4508">
        <v>65.922937088426295</v>
      </c>
      <c r="AM4508">
        <v>105.803710580342</v>
      </c>
      <c r="AN4508">
        <v>1.00000001261908</v>
      </c>
    </row>
    <row r="4509" spans="1:40" x14ac:dyDescent="0.25">
      <c r="A4509" t="str">
        <f>"20190304164501398"</f>
        <v>20190304164501398</v>
      </c>
      <c r="B4509" t="str">
        <f>"1551689101394618"</f>
        <v>1551689101394618</v>
      </c>
      <c r="C4509" t="s">
        <v>40</v>
      </c>
      <c r="D4509">
        <v>4.8375529999999998</v>
      </c>
      <c r="E4509">
        <v>0.50757790000000003</v>
      </c>
      <c r="F4509" t="s">
        <v>42</v>
      </c>
      <c r="G4509">
        <v>-418.31459999999998</v>
      </c>
      <c r="H4509" s="1">
        <v>-3.8417099999999998E-6</v>
      </c>
      <c r="I4509">
        <v>117.89100000000001</v>
      </c>
      <c r="J4509">
        <v>-415.35230000000001</v>
      </c>
      <c r="K4509">
        <v>1.121191</v>
      </c>
      <c r="L4509">
        <v>125.8326</v>
      </c>
      <c r="M4509">
        <v>-0.57109969999999999</v>
      </c>
      <c r="N4509">
        <v>-1.1612809999999999E-2</v>
      </c>
      <c r="O4509">
        <v>-0.82079849999999999</v>
      </c>
      <c r="P4509">
        <v>-0.31052590000000002</v>
      </c>
      <c r="Q4509">
        <v>0.40411710000000001</v>
      </c>
      <c r="R4509">
        <v>-0.86038539999999997</v>
      </c>
      <c r="S4509">
        <v>-1.243744</v>
      </c>
      <c r="T4509">
        <v>-0.44205800000000001</v>
      </c>
      <c r="U4509">
        <v>-3.2449189999999999</v>
      </c>
      <c r="V4509">
        <v>-0.24736320000000001</v>
      </c>
      <c r="W4509">
        <v>0.40796070000000001</v>
      </c>
      <c r="X4509">
        <v>0.8788513</v>
      </c>
      <c r="Y4509">
        <v>-0.2408014</v>
      </c>
      <c r="Z4509">
        <v>8.4602490000000002E-2</v>
      </c>
      <c r="AA4509">
        <v>0.96688010000000002</v>
      </c>
      <c r="AB4509">
        <v>34</v>
      </c>
      <c r="AC4509">
        <v>-2.9622999999999702</v>
      </c>
      <c r="AD4509">
        <v>-1.1211948417099999</v>
      </c>
      <c r="AE4509">
        <v>-7.9415999999999896</v>
      </c>
      <c r="AF4509">
        <v>-2.0679524467737802</v>
      </c>
      <c r="AG4509">
        <v>-1.1211948417099999</v>
      </c>
      <c r="AH4509">
        <v>8.0695804481597104</v>
      </c>
      <c r="AI4509">
        <v>97.665473334113599</v>
      </c>
      <c r="AJ4509">
        <v>104.373594577353</v>
      </c>
      <c r="AK4509">
        <v>8.40545262341751</v>
      </c>
      <c r="AL4509">
        <v>65.923207804578396</v>
      </c>
      <c r="AM4509">
        <v>105.719890825985</v>
      </c>
      <c r="AN4509">
        <v>1.0000000464851999</v>
      </c>
    </row>
    <row r="4510" spans="1:40" x14ac:dyDescent="0.25">
      <c r="A4510" t="str">
        <f>"20190304164501421"</f>
        <v>20190304164501421</v>
      </c>
      <c r="B4510" t="str">
        <f>"1551689101415114"</f>
        <v>1551689101415114</v>
      </c>
      <c r="C4510" t="s">
        <v>40</v>
      </c>
      <c r="D4510">
        <v>4.8398059999999896</v>
      </c>
      <c r="E4510">
        <v>0.50857399999999997</v>
      </c>
      <c r="F4510" t="s">
        <v>42</v>
      </c>
      <c r="G4510">
        <v>-418.44510000000002</v>
      </c>
      <c r="H4510" s="1">
        <v>-3.6544710000000002E-6</v>
      </c>
      <c r="I4510">
        <v>117.5085</v>
      </c>
      <c r="J4510">
        <v>-415.54039999999998</v>
      </c>
      <c r="K4510">
        <v>1.1212409999999999</v>
      </c>
      <c r="L4510">
        <v>125.5429</v>
      </c>
      <c r="M4510">
        <v>-0.56077940000000004</v>
      </c>
      <c r="N4510">
        <v>-1.158271E-2</v>
      </c>
      <c r="O4510">
        <v>-0.82788439999999996</v>
      </c>
      <c r="P4510">
        <v>-0.30137269999999999</v>
      </c>
      <c r="Q4510">
        <v>0.40261560000000002</v>
      </c>
      <c r="R4510">
        <v>-0.86433539999999998</v>
      </c>
      <c r="S4510">
        <v>-1.2098390000000001</v>
      </c>
      <c r="T4510">
        <v>-0.43858219999999998</v>
      </c>
      <c r="U4510">
        <v>-3.2561490000000002</v>
      </c>
      <c r="V4510">
        <v>-0.24610319999999999</v>
      </c>
      <c r="W4510">
        <v>0.40643859999999998</v>
      </c>
      <c r="X4510">
        <v>0.87990959999999996</v>
      </c>
      <c r="Y4510">
        <v>-0.23858589999999999</v>
      </c>
      <c r="Z4510">
        <v>8.4996370000000002E-2</v>
      </c>
      <c r="AA4510">
        <v>0.96739459999999999</v>
      </c>
      <c r="AB4510">
        <v>34</v>
      </c>
      <c r="AC4510">
        <v>-2.90470000000004</v>
      </c>
      <c r="AD4510">
        <v>-1.121244654471</v>
      </c>
      <c r="AE4510">
        <v>-8.0343999999999998</v>
      </c>
      <c r="AF4510">
        <v>-2.0653366502151198</v>
      </c>
      <c r="AG4510">
        <v>-1.121244654471</v>
      </c>
      <c r="AH4510">
        <v>8.1407845676337907</v>
      </c>
      <c r="AI4510">
        <v>97.604156883196893</v>
      </c>
      <c r="AJ4510">
        <v>104.235722878411</v>
      </c>
      <c r="AK4510">
        <v>8.4732035518171092</v>
      </c>
      <c r="AL4510">
        <v>66.018691636078998</v>
      </c>
      <c r="AM4510">
        <v>105.625852261448</v>
      </c>
      <c r="AN4510">
        <v>1.0000000123961701</v>
      </c>
    </row>
    <row r="4511" spans="1:40" x14ac:dyDescent="0.25">
      <c r="A4511" t="str">
        <f>"20190304164501453"</f>
        <v>20190304164501453</v>
      </c>
      <c r="B4511" t="str">
        <f>"1551689101444393"</f>
        <v>1551689101444393</v>
      </c>
      <c r="C4511" t="s">
        <v>40</v>
      </c>
      <c r="D4511">
        <v>4.8435030000000001</v>
      </c>
      <c r="E4511">
        <v>0.50983519999999904</v>
      </c>
      <c r="F4511" t="s">
        <v>42</v>
      </c>
      <c r="G4511">
        <v>-418.47640000000001</v>
      </c>
      <c r="H4511" s="1">
        <v>-3.6038940000000002E-6</v>
      </c>
      <c r="I4511">
        <v>117.40349999999999</v>
      </c>
      <c r="J4511">
        <v>-415.79390000000001</v>
      </c>
      <c r="K4511">
        <v>1.1213070000000001</v>
      </c>
      <c r="L4511">
        <v>125.14019999999999</v>
      </c>
      <c r="M4511">
        <v>-0.54636379999999996</v>
      </c>
      <c r="N4511">
        <v>-1.153153E-2</v>
      </c>
      <c r="O4511">
        <v>-0.83746869999999995</v>
      </c>
      <c r="P4511">
        <v>-0.2883867</v>
      </c>
      <c r="Q4511">
        <v>0.40151340000000002</v>
      </c>
      <c r="R4511">
        <v>-0.86926440000000005</v>
      </c>
      <c r="S4511">
        <v>-1.179352</v>
      </c>
      <c r="T4511">
        <v>-0.4503897</v>
      </c>
      <c r="U4511">
        <v>-3.2694700000000001</v>
      </c>
      <c r="V4511">
        <v>-0.24436659999999999</v>
      </c>
      <c r="W4511">
        <v>0.40530630000000001</v>
      </c>
      <c r="X4511">
        <v>0.88091529999999996</v>
      </c>
      <c r="Y4511">
        <v>-0.23114470000000001</v>
      </c>
      <c r="Z4511">
        <v>8.9178569999999999E-2</v>
      </c>
      <c r="AA4511">
        <v>0.96882369999999995</v>
      </c>
      <c r="AB4511">
        <v>34</v>
      </c>
      <c r="AC4511">
        <v>-2.6825000000000001</v>
      </c>
      <c r="AD4511">
        <v>-1.1213106038939999</v>
      </c>
      <c r="AE4511">
        <v>-7.7366999999999901</v>
      </c>
      <c r="AF4511">
        <v>-1.9442173640810101</v>
      </c>
      <c r="AG4511">
        <v>-1.1213106038939999</v>
      </c>
      <c r="AH4511">
        <v>7.7991461300209997</v>
      </c>
      <c r="AI4511">
        <v>97.941747263767397</v>
      </c>
      <c r="AJ4511">
        <v>103.997730241944</v>
      </c>
      <c r="AK4511">
        <v>8.11566380443527</v>
      </c>
      <c r="AL4511">
        <v>66.089677075209906</v>
      </c>
      <c r="AM4511">
        <v>105.50405649491501</v>
      </c>
      <c r="AN4511">
        <v>0.99999999889466995</v>
      </c>
    </row>
    <row r="4512" spans="1:40" x14ac:dyDescent="0.25">
      <c r="A4512" t="str">
        <f>"20190304164501476"</f>
        <v>20190304164501476</v>
      </c>
      <c r="B4512" t="str">
        <f>"1551689101464889"</f>
        <v>1551689101464889</v>
      </c>
      <c r="C4512" t="s">
        <v>40</v>
      </c>
      <c r="D4512">
        <v>4.8612919999999997</v>
      </c>
      <c r="E4512">
        <v>0.51028980000000002</v>
      </c>
      <c r="F4512" t="s">
        <v>42</v>
      </c>
      <c r="G4512">
        <v>-418.56009999999998</v>
      </c>
      <c r="H4512" s="1">
        <v>-3.4756529999999998E-6</v>
      </c>
      <c r="I4512">
        <v>117.1392</v>
      </c>
      <c r="J4512">
        <v>-415.97269999999997</v>
      </c>
      <c r="K4512">
        <v>1.121326</v>
      </c>
      <c r="L4512">
        <v>124.84610000000001</v>
      </c>
      <c r="M4512">
        <v>-0.53582209999999997</v>
      </c>
      <c r="N4512">
        <v>-1.1484380000000001E-2</v>
      </c>
      <c r="O4512">
        <v>-0.84425309999999898</v>
      </c>
      <c r="P4512">
        <v>-0.27808240000000001</v>
      </c>
      <c r="Q4512">
        <v>0.40120289999999997</v>
      </c>
      <c r="R4512">
        <v>-0.87275809999999998</v>
      </c>
      <c r="S4512">
        <v>-1.1363829999999999</v>
      </c>
      <c r="T4512">
        <v>-0.46065529999999999</v>
      </c>
      <c r="U4512">
        <v>-3.2869570000000001</v>
      </c>
      <c r="V4512">
        <v>-0.24384400000000001</v>
      </c>
      <c r="W4512">
        <v>0.40495100000000001</v>
      </c>
      <c r="X4512">
        <v>0.88122339999999999</v>
      </c>
      <c r="Y4512">
        <v>-0.2319494</v>
      </c>
      <c r="Z4512">
        <v>9.2349819999999999E-2</v>
      </c>
      <c r="AA4512">
        <v>0.96833409999999998</v>
      </c>
      <c r="AB4512">
        <v>34</v>
      </c>
      <c r="AC4512">
        <v>-2.5874000000000001</v>
      </c>
      <c r="AD4512">
        <v>-1.1213294756529999</v>
      </c>
      <c r="AE4512">
        <v>-7.7069000000000001</v>
      </c>
      <c r="AF4512">
        <v>-1.9089175160884</v>
      </c>
      <c r="AG4512">
        <v>-1.1213294756529999</v>
      </c>
      <c r="AH4512">
        <v>7.7461091856000799</v>
      </c>
      <c r="AI4512">
        <v>98.000810242771905</v>
      </c>
      <c r="AJ4512">
        <v>103.84387416091801</v>
      </c>
      <c r="AK4512">
        <v>8.0562741631249892</v>
      </c>
      <c r="AL4512">
        <v>66.111942011706304</v>
      </c>
      <c r="AM4512">
        <v>105.467339317252</v>
      </c>
      <c r="AN4512">
        <v>0.99999994472227804</v>
      </c>
    </row>
    <row r="4513" spans="1:40" x14ac:dyDescent="0.25">
      <c r="A4513" t="str">
        <f>"20190304164501499"</f>
        <v>20190304164501499</v>
      </c>
      <c r="B4513" t="str">
        <f>"1551689101494796"</f>
        <v>1551689101494796</v>
      </c>
      <c r="C4513" t="s">
        <v>40</v>
      </c>
      <c r="D4513">
        <v>4.8418710000000003</v>
      </c>
      <c r="E4513">
        <v>0.51753229999999995</v>
      </c>
      <c r="F4513" t="s">
        <v>42</v>
      </c>
      <c r="G4513">
        <v>-418.63850000000002</v>
      </c>
      <c r="H4513" s="1">
        <v>-3.3404790000000001E-6</v>
      </c>
      <c r="I4513">
        <v>116.8565</v>
      </c>
      <c r="J4513">
        <v>-416.14490000000001</v>
      </c>
      <c r="K4513">
        <v>1.1213200000000001</v>
      </c>
      <c r="L4513">
        <v>124.5548</v>
      </c>
      <c r="M4513">
        <v>-0.52540299999999995</v>
      </c>
      <c r="N4513">
        <v>-1.1424800000000001E-2</v>
      </c>
      <c r="O4513">
        <v>-0.85077669999999905</v>
      </c>
      <c r="P4513">
        <v>-0.26682790000000001</v>
      </c>
      <c r="Q4513">
        <v>0.4001614</v>
      </c>
      <c r="R4513">
        <v>-0.87674019999999997</v>
      </c>
      <c r="S4513">
        <v>-1.1008910000000001</v>
      </c>
      <c r="T4513">
        <v>-0.46307710000000002</v>
      </c>
      <c r="U4513">
        <v>-3.2994690000000002</v>
      </c>
      <c r="V4513">
        <v>-0.2445881</v>
      </c>
      <c r="W4513">
        <v>0.40383150000000001</v>
      </c>
      <c r="X4513">
        <v>0.88153090000000001</v>
      </c>
      <c r="Y4513">
        <v>-0.23050970000000001</v>
      </c>
      <c r="Z4513">
        <v>9.3939250000000002E-2</v>
      </c>
      <c r="AA4513">
        <v>0.96852510000000003</v>
      </c>
      <c r="AB4513">
        <v>34</v>
      </c>
      <c r="AC4513">
        <v>-2.49360000000001</v>
      </c>
      <c r="AD4513">
        <v>-1.121323340479</v>
      </c>
      <c r="AE4513">
        <v>-7.6982999999999997</v>
      </c>
      <c r="AF4513">
        <v>-1.88710315163315</v>
      </c>
      <c r="AG4513">
        <v>-1.121323340479</v>
      </c>
      <c r="AH4513">
        <v>7.7121069397401296</v>
      </c>
      <c r="AI4513">
        <v>98.038782528014707</v>
      </c>
      <c r="AJ4513">
        <v>103.749737766351</v>
      </c>
      <c r="AK4513">
        <v>8.0184236473757498</v>
      </c>
      <c r="AL4513">
        <v>66.182075702485506</v>
      </c>
      <c r="AM4513">
        <v>105.507118213326</v>
      </c>
      <c r="AN4513">
        <v>0.99999997335433399</v>
      </c>
    </row>
    <row r="4514" spans="1:40" x14ac:dyDescent="0.25">
      <c r="A4514" t="str">
        <f>"20190304164501522"</f>
        <v>20190304164501522</v>
      </c>
      <c r="B4514" t="str">
        <f>"1551689101514318"</f>
        <v>1551689101514318</v>
      </c>
      <c r="C4514" t="s">
        <v>40</v>
      </c>
      <c r="D4514">
        <v>4.8649750000000003</v>
      </c>
      <c r="E4514">
        <v>0.51845889999999994</v>
      </c>
      <c r="F4514" t="s">
        <v>42</v>
      </c>
      <c r="G4514">
        <v>-418.6789</v>
      </c>
      <c r="H4514" s="1">
        <v>-3.4233030000000002E-6</v>
      </c>
      <c r="I4514">
        <v>117.0663</v>
      </c>
      <c r="J4514">
        <v>-416.31959999999998</v>
      </c>
      <c r="K4514">
        <v>1.1212899999999999</v>
      </c>
      <c r="L4514">
        <v>124.2509</v>
      </c>
      <c r="M4514">
        <v>-0.51457559999999902</v>
      </c>
      <c r="N4514">
        <v>-1.135685E-2</v>
      </c>
      <c r="O4514">
        <v>-0.85736979999999996</v>
      </c>
      <c r="P4514">
        <v>-0.2545076</v>
      </c>
      <c r="Q4514">
        <v>0.39809460000000002</v>
      </c>
      <c r="R4514">
        <v>-0.88133259999999902</v>
      </c>
      <c r="S4514">
        <v>-1.11911</v>
      </c>
      <c r="T4514">
        <v>-0.49521880000000001</v>
      </c>
      <c r="U4514">
        <v>-3.3072050000000002</v>
      </c>
      <c r="V4514">
        <v>-0.246201</v>
      </c>
      <c r="W4514">
        <v>0.40166849999999998</v>
      </c>
      <c r="X4514">
        <v>0.88207000000000002</v>
      </c>
      <c r="Y4514">
        <v>-0.21433160000000001</v>
      </c>
      <c r="Z4514">
        <v>0.10241169999999999</v>
      </c>
      <c r="AA4514">
        <v>0.9713773</v>
      </c>
      <c r="AB4514">
        <v>34</v>
      </c>
      <c r="AC4514">
        <v>-2.3593000000000202</v>
      </c>
      <c r="AD4514">
        <v>-1.1212934233030001</v>
      </c>
      <c r="AE4514">
        <v>-7.1845999999999997</v>
      </c>
      <c r="AF4514">
        <v>-1.6383142994378901</v>
      </c>
      <c r="AG4514">
        <v>-1.1212934233030001</v>
      </c>
      <c r="AH4514">
        <v>7.21572360571483</v>
      </c>
      <c r="AI4514">
        <v>98.616981149641205</v>
      </c>
      <c r="AJ4514">
        <v>102.792012038712</v>
      </c>
      <c r="AK4514">
        <v>7.4838519386045697</v>
      </c>
      <c r="AL4514">
        <v>66.317474031116106</v>
      </c>
      <c r="AM4514">
        <v>105.59533774072599</v>
      </c>
      <c r="AN4514">
        <v>1.0000000005966201</v>
      </c>
    </row>
    <row r="4515" spans="1:40" x14ac:dyDescent="0.25">
      <c r="A4515" t="str">
        <f>"20190304164501543"</f>
        <v>20190304164501543</v>
      </c>
      <c r="B4515" t="str">
        <f>"1551689101534812"</f>
        <v>1551689101534812</v>
      </c>
      <c r="C4515" t="s">
        <v>40</v>
      </c>
      <c r="D4515">
        <v>4.8719700000000001</v>
      </c>
      <c r="E4515">
        <v>0.51929219999999998</v>
      </c>
      <c r="F4515" t="s">
        <v>42</v>
      </c>
      <c r="G4515">
        <v>-418.7176</v>
      </c>
      <c r="H4515" s="1">
        <v>-3.3422080000000002E-6</v>
      </c>
      <c r="I4515">
        <v>116.8933</v>
      </c>
      <c r="J4515">
        <v>-416.47910000000002</v>
      </c>
      <c r="K4515">
        <v>1.1212340000000001</v>
      </c>
      <c r="L4515">
        <v>123.9657</v>
      </c>
      <c r="M4515">
        <v>-0.50448519999999997</v>
      </c>
      <c r="N4515">
        <v>-1.1287739999999999E-2</v>
      </c>
      <c r="O4515">
        <v>-0.86334679999999997</v>
      </c>
      <c r="P4515">
        <v>-0.2427347</v>
      </c>
      <c r="Q4515">
        <v>0.39530549999999998</v>
      </c>
      <c r="R4515">
        <v>-0.8858973</v>
      </c>
      <c r="S4515">
        <v>-1.0820620000000001</v>
      </c>
      <c r="T4515">
        <v>-0.50596439999999998</v>
      </c>
      <c r="U4515">
        <v>-3.3199920000000001</v>
      </c>
      <c r="V4515">
        <v>-0.24815280000000001</v>
      </c>
      <c r="W4515">
        <v>0.398787</v>
      </c>
      <c r="X4515">
        <v>0.88283009999999995</v>
      </c>
      <c r="Y4515">
        <v>-0.21388650000000001</v>
      </c>
      <c r="Z4515">
        <v>0.10583770000000001</v>
      </c>
      <c r="AA4515">
        <v>0.97110810000000003</v>
      </c>
      <c r="AB4515">
        <v>34</v>
      </c>
      <c r="AC4515">
        <v>-2.2384999999999802</v>
      </c>
      <c r="AD4515">
        <v>-1.121237342208</v>
      </c>
      <c r="AE4515">
        <v>-7.0724</v>
      </c>
      <c r="AF4515">
        <v>-1.59889582676498</v>
      </c>
      <c r="AG4515">
        <v>-1.121237342208</v>
      </c>
      <c r="AH4515">
        <v>7.0740737829698999</v>
      </c>
      <c r="AI4515">
        <v>98.7883384747539</v>
      </c>
      <c r="AJ4515">
        <v>102.73610231303201</v>
      </c>
      <c r="AK4515">
        <v>7.3386756931554196</v>
      </c>
      <c r="AL4515">
        <v>66.497628501206705</v>
      </c>
      <c r="AM4515">
        <v>105.700027092789</v>
      </c>
      <c r="AN4515">
        <v>0.99999993449142199</v>
      </c>
    </row>
    <row r="4516" spans="1:40" x14ac:dyDescent="0.25">
      <c r="A4516" t="str">
        <f>"20190304164501565"</f>
        <v>20190304164501565</v>
      </c>
      <c r="B4516" t="str">
        <f>"1551689101554332"</f>
        <v>1551689101554332</v>
      </c>
      <c r="C4516" t="s">
        <v>40</v>
      </c>
      <c r="D4516">
        <v>4.878914</v>
      </c>
      <c r="E4516">
        <v>0.52326669999999997</v>
      </c>
      <c r="F4516" t="s">
        <v>42</v>
      </c>
      <c r="G4516">
        <v>-418.74299999999999</v>
      </c>
      <c r="H4516" s="1">
        <v>-3.2808410000000001E-6</v>
      </c>
      <c r="I4516">
        <v>116.7607</v>
      </c>
      <c r="J4516">
        <v>-416.63569999999999</v>
      </c>
      <c r="K4516">
        <v>1.1211599999999999</v>
      </c>
      <c r="L4516">
        <v>123.6781</v>
      </c>
      <c r="M4516">
        <v>-0.4944113</v>
      </c>
      <c r="N4516">
        <v>-1.120785E-2</v>
      </c>
      <c r="O4516">
        <v>-0.86915609999999999</v>
      </c>
      <c r="P4516">
        <v>-0.2305875</v>
      </c>
      <c r="Q4516">
        <v>0.3927524</v>
      </c>
      <c r="R4516">
        <v>-0.89026709999999998</v>
      </c>
      <c r="S4516">
        <v>-1.0466310000000001</v>
      </c>
      <c r="T4516">
        <v>-0.51835920000000002</v>
      </c>
      <c r="U4516">
        <v>-3.3309329999999999</v>
      </c>
      <c r="V4516">
        <v>-0.25041639999999998</v>
      </c>
      <c r="W4516">
        <v>0.39613759999999998</v>
      </c>
      <c r="X4516">
        <v>0.88338359999999905</v>
      </c>
      <c r="Y4516">
        <v>-0.21296280000000001</v>
      </c>
      <c r="Z4516">
        <v>0.1097117</v>
      </c>
      <c r="AA4516">
        <v>0.9708812</v>
      </c>
      <c r="AB4516">
        <v>34</v>
      </c>
      <c r="AC4516">
        <v>-2.1073000000000599</v>
      </c>
      <c r="AD4516">
        <v>-1.1211632808409999</v>
      </c>
      <c r="AE4516">
        <v>-6.9173999999999998</v>
      </c>
      <c r="AF4516">
        <v>-1.5512769104278601</v>
      </c>
      <c r="AG4516">
        <v>-1.1211632808409999</v>
      </c>
      <c r="AH4516">
        <v>6.8890123636730802</v>
      </c>
      <c r="AI4516">
        <v>99.021604645821</v>
      </c>
      <c r="AJ4516">
        <v>102.690271486445</v>
      </c>
      <c r="AK4516">
        <v>7.1499621329048502</v>
      </c>
      <c r="AL4516">
        <v>66.663057295053093</v>
      </c>
      <c r="AM4516">
        <v>105.826661398303</v>
      </c>
      <c r="AN4516">
        <v>0.99999997813583896</v>
      </c>
    </row>
    <row r="4517" spans="1:40" x14ac:dyDescent="0.25">
      <c r="A4517" t="str">
        <f>"20190304164501587"</f>
        <v>20190304164501587</v>
      </c>
      <c r="B4517" t="str">
        <f>"1551689101584839"</f>
        <v>1551689101584839</v>
      </c>
      <c r="C4517" t="s">
        <v>40</v>
      </c>
      <c r="D4517">
        <v>4.8811410000000004</v>
      </c>
      <c r="E4517">
        <v>0.52510749999999995</v>
      </c>
      <c r="F4517" t="s">
        <v>42</v>
      </c>
      <c r="G4517">
        <v>-418.80829999999997</v>
      </c>
      <c r="H4517" s="1">
        <v>-3.2293909999999999E-6</v>
      </c>
      <c r="I4517">
        <v>116.6678</v>
      </c>
      <c r="J4517">
        <v>-416.79759999999999</v>
      </c>
      <c r="K4517">
        <v>1.1210560000000001</v>
      </c>
      <c r="L4517">
        <v>123.37260000000001</v>
      </c>
      <c r="M4517">
        <v>-0.48385230000000001</v>
      </c>
      <c r="N4517">
        <v>-1.1107250000000001E-2</v>
      </c>
      <c r="O4517">
        <v>-0.8750793</v>
      </c>
      <c r="P4517">
        <v>-0.2192074</v>
      </c>
      <c r="Q4517">
        <v>0.39103870000000002</v>
      </c>
      <c r="R4517">
        <v>-0.89388869999999898</v>
      </c>
      <c r="S4517">
        <v>-1.0342709999999999</v>
      </c>
      <c r="T4517">
        <v>-0.53374460000000001</v>
      </c>
      <c r="U4517">
        <v>-3.3373569999999999</v>
      </c>
      <c r="V4517">
        <v>-0.25123289999999998</v>
      </c>
      <c r="W4517">
        <v>0.39436680000000002</v>
      </c>
      <c r="X4517">
        <v>0.8839439</v>
      </c>
      <c r="Y4517">
        <v>-0.20511099999999999</v>
      </c>
      <c r="Z4517">
        <v>0.1145407</v>
      </c>
      <c r="AA4517">
        <v>0.97201340000000003</v>
      </c>
      <c r="AB4517">
        <v>34</v>
      </c>
      <c r="AC4517">
        <v>-2.0106999999999799</v>
      </c>
      <c r="AD4517">
        <v>-1.121059229391</v>
      </c>
      <c r="AE4517">
        <v>-6.7047999999999996</v>
      </c>
      <c r="AF4517">
        <v>-1.44757233386994</v>
      </c>
      <c r="AG4517">
        <v>-1.121059229391</v>
      </c>
      <c r="AH4517">
        <v>6.6694638491613496</v>
      </c>
      <c r="AI4517">
        <v>99.328315786722897</v>
      </c>
      <c r="AJ4517">
        <v>102.245814102209</v>
      </c>
      <c r="AK4517">
        <v>6.9162119323267301</v>
      </c>
      <c r="AL4517">
        <v>66.773510672334396</v>
      </c>
      <c r="AM4517">
        <v>105.866111963009</v>
      </c>
      <c r="AN4517">
        <v>0.99999998066592899</v>
      </c>
    </row>
    <row r="4518" spans="1:40" x14ac:dyDescent="0.25">
      <c r="A4518" t="str">
        <f>"20190304164501612"</f>
        <v>20190304164501612</v>
      </c>
      <c r="B4518" t="str">
        <f>"1551689101604359"</f>
        <v>1551689101604359</v>
      </c>
      <c r="C4518" t="s">
        <v>40</v>
      </c>
      <c r="D4518">
        <v>4.8871779999999996</v>
      </c>
      <c r="E4518">
        <v>0.52574790000000005</v>
      </c>
      <c r="F4518" t="s">
        <v>42</v>
      </c>
      <c r="G4518">
        <v>-418.89089999999999</v>
      </c>
      <c r="H4518" s="1">
        <v>-3.1057440000000001E-6</v>
      </c>
      <c r="I4518">
        <v>116.41370000000001</v>
      </c>
      <c r="J4518">
        <v>-416.9615</v>
      </c>
      <c r="K4518">
        <v>1.1209129999999901</v>
      </c>
      <c r="L4518">
        <v>123.0548</v>
      </c>
      <c r="M4518">
        <v>-0.4730452</v>
      </c>
      <c r="N4518">
        <v>-1.098667E-2</v>
      </c>
      <c r="O4518">
        <v>-0.88096969999999997</v>
      </c>
      <c r="P4518">
        <v>-0.2088989</v>
      </c>
      <c r="Q4518">
        <v>0.389571</v>
      </c>
      <c r="R4518">
        <v>-0.89699259999999903</v>
      </c>
      <c r="S4518">
        <v>-1.0062260000000001</v>
      </c>
      <c r="T4518">
        <v>-0.53889010000000004</v>
      </c>
      <c r="U4518">
        <v>-3.3451080000000002</v>
      </c>
      <c r="V4518">
        <v>-0.25068390000000002</v>
      </c>
      <c r="W4518">
        <v>0.39287949999999999</v>
      </c>
      <c r="X4518">
        <v>0.88476169999999998</v>
      </c>
      <c r="Y4518">
        <v>-0.20123740000000001</v>
      </c>
      <c r="Z4518">
        <v>0.1170244</v>
      </c>
      <c r="AA4518">
        <v>0.97252700000000003</v>
      </c>
      <c r="AB4518">
        <v>34</v>
      </c>
      <c r="AC4518">
        <v>-1.92939999999998</v>
      </c>
      <c r="AD4518">
        <v>-1.12091610574399</v>
      </c>
      <c r="AE4518">
        <v>-6.64109999999999</v>
      </c>
      <c r="AF4518">
        <v>-1.40497455955815</v>
      </c>
      <c r="AG4518">
        <v>-1.12091610574399</v>
      </c>
      <c r="AH4518">
        <v>6.5905690556504304</v>
      </c>
      <c r="AI4518">
        <v>99.444170141128197</v>
      </c>
      <c r="AJ4518">
        <v>102.034147408056</v>
      </c>
      <c r="AK4518">
        <v>6.8312522209635098</v>
      </c>
      <c r="AL4518">
        <v>66.8662104452101</v>
      </c>
      <c r="AM4518">
        <v>105.819278971004</v>
      </c>
      <c r="AN4518">
        <v>0.99999999251317495</v>
      </c>
    </row>
    <row r="4519" spans="1:40" x14ac:dyDescent="0.25">
      <c r="A4519" t="str">
        <f>"20190304164501633"</f>
        <v>20190304164501633</v>
      </c>
      <c r="B4519" t="str">
        <f>"1551689101624854"</f>
        <v>1551689101624854</v>
      </c>
      <c r="C4519" t="s">
        <v>40</v>
      </c>
      <c r="D4519">
        <v>4.9096469999999997</v>
      </c>
      <c r="E4519">
        <v>0.52617360000000002</v>
      </c>
      <c r="F4519" t="s">
        <v>42</v>
      </c>
      <c r="G4519">
        <v>-418.95609999999999</v>
      </c>
      <c r="H4519" s="1">
        <v>-2.982828E-6</v>
      </c>
      <c r="I4519">
        <v>116.1542</v>
      </c>
      <c r="J4519">
        <v>-417.10950000000003</v>
      </c>
      <c r="K4519">
        <v>1.120773</v>
      </c>
      <c r="L4519">
        <v>122.7598</v>
      </c>
      <c r="M4519">
        <v>-0.46319110000000002</v>
      </c>
      <c r="N4519">
        <v>-1.0862689999999999E-2</v>
      </c>
      <c r="O4519">
        <v>-0.88619199999999998</v>
      </c>
      <c r="P4519">
        <v>-0.20084250000000001</v>
      </c>
      <c r="Q4519">
        <v>0.38915460000000002</v>
      </c>
      <c r="R4519">
        <v>-0.89901129999999996</v>
      </c>
      <c r="S4519">
        <v>-0.96984859999999995</v>
      </c>
      <c r="T4519">
        <v>-0.54503729999999995</v>
      </c>
      <c r="U4519">
        <v>-3.3553769999999998</v>
      </c>
      <c r="V4519">
        <v>-0.24870349999999999</v>
      </c>
      <c r="W4519">
        <v>0.39248040000000001</v>
      </c>
      <c r="X4519">
        <v>0.88549750000000005</v>
      </c>
      <c r="Y4519">
        <v>-0.2009116</v>
      </c>
      <c r="Z4519">
        <v>0.1194978</v>
      </c>
      <c r="AA4519">
        <v>0.97229359999999998</v>
      </c>
      <c r="AB4519">
        <v>34</v>
      </c>
      <c r="AC4519">
        <v>-1.8465999999999601</v>
      </c>
      <c r="AD4519">
        <v>-1.120775982828</v>
      </c>
      <c r="AE4519">
        <v>-6.6055999999999901</v>
      </c>
      <c r="AF4519">
        <v>-1.3862810943794901</v>
      </c>
      <c r="AG4519">
        <v>-1.120775982828</v>
      </c>
      <c r="AH4519">
        <v>6.5350581978363103</v>
      </c>
      <c r="AI4519">
        <v>99.523756474406497</v>
      </c>
      <c r="AJ4519">
        <v>101.97660755026</v>
      </c>
      <c r="AK4519">
        <v>6.7738393637158003</v>
      </c>
      <c r="AL4519">
        <v>66.891076005433604</v>
      </c>
      <c r="AM4519">
        <v>105.688088614808</v>
      </c>
      <c r="AN4519">
        <v>1.00000005890132</v>
      </c>
    </row>
    <row r="4520" spans="1:40" x14ac:dyDescent="0.25">
      <c r="A4520" t="str">
        <f>"20190304164501655"</f>
        <v>20190304164501655</v>
      </c>
      <c r="B4520" t="str">
        <f>"1551689101644375"</f>
        <v>1551689101644375</v>
      </c>
      <c r="C4520" t="s">
        <v>40</v>
      </c>
      <c r="D4520">
        <v>4.9197100000000002</v>
      </c>
      <c r="E4520">
        <v>0.53136070000000002</v>
      </c>
      <c r="F4520" t="s">
        <v>42</v>
      </c>
      <c r="G4520">
        <v>-419.02749999999997</v>
      </c>
      <c r="H4520" s="1">
        <v>-2.8533209999999998E-6</v>
      </c>
      <c r="I4520">
        <v>115.8818</v>
      </c>
      <c r="J4520">
        <v>-417.25139999999999</v>
      </c>
      <c r="K4520">
        <v>1.120636</v>
      </c>
      <c r="L4520">
        <v>122.46899999999999</v>
      </c>
      <c r="M4520">
        <v>-0.45364599999999999</v>
      </c>
      <c r="N4520">
        <v>-1.072715E-2</v>
      </c>
      <c r="O4520">
        <v>-0.89111749999999901</v>
      </c>
      <c r="P4520">
        <v>-0.19446720000000001</v>
      </c>
      <c r="Q4520">
        <v>0.39005119999999999</v>
      </c>
      <c r="R4520">
        <v>-0.90002380000000004</v>
      </c>
      <c r="S4520">
        <v>-0.9382935</v>
      </c>
      <c r="T4520">
        <v>-0.54828480000000002</v>
      </c>
      <c r="U4520">
        <v>-3.3647</v>
      </c>
      <c r="V4520">
        <v>-0.24518280000000001</v>
      </c>
      <c r="W4520">
        <v>0.39342100000000002</v>
      </c>
      <c r="X4520">
        <v>0.88606169999999995</v>
      </c>
      <c r="Y4520">
        <v>-0.19960030000000001</v>
      </c>
      <c r="Z4520">
        <v>0.1212843</v>
      </c>
      <c r="AA4520">
        <v>0.97234240000000005</v>
      </c>
      <c r="AB4520">
        <v>34</v>
      </c>
      <c r="AC4520">
        <v>-1.77609999999998</v>
      </c>
      <c r="AD4520">
        <v>-1.1206388533210001</v>
      </c>
      <c r="AE4520">
        <v>-6.5871999999999904</v>
      </c>
      <c r="AF4520">
        <v>-1.36869568201758</v>
      </c>
      <c r="AG4520">
        <v>-1.1206388533210001</v>
      </c>
      <c r="AH4520">
        <v>6.5006812133793899</v>
      </c>
      <c r="AI4520">
        <v>99.575050609854898</v>
      </c>
      <c r="AJ4520">
        <v>101.88976546580299</v>
      </c>
      <c r="AK4520">
        <v>6.7370628279339799</v>
      </c>
      <c r="AL4520">
        <v>66.832468100812093</v>
      </c>
      <c r="AM4520">
        <v>105.467338735349</v>
      </c>
      <c r="AN4520">
        <v>1.00000001243186</v>
      </c>
    </row>
    <row r="4521" spans="1:40" x14ac:dyDescent="0.25">
      <c r="A4521" t="str">
        <f>"20190304164501677"</f>
        <v>20190304164501677</v>
      </c>
      <c r="B4521" t="str">
        <f>"1551689101674631"</f>
        <v>1551689101674631</v>
      </c>
      <c r="C4521" t="s">
        <v>40</v>
      </c>
      <c r="D4521">
        <v>5.1544499999999998</v>
      </c>
      <c r="E4521">
        <v>0.5310684</v>
      </c>
      <c r="F4521" t="s">
        <v>42</v>
      </c>
      <c r="G4521">
        <v>-419.19720000000001</v>
      </c>
      <c r="H4521" s="1">
        <v>-2.689883E-6</v>
      </c>
      <c r="I4521">
        <v>115.571</v>
      </c>
      <c r="J4521">
        <v>-417.40030000000002</v>
      </c>
      <c r="K4521">
        <v>1.1204940000000001</v>
      </c>
      <c r="L4521">
        <v>122.1554</v>
      </c>
      <c r="M4521">
        <v>-0.44352550000000002</v>
      </c>
      <c r="N4521">
        <v>-1.0572440000000001E-2</v>
      </c>
      <c r="O4521">
        <v>-0.89619930000000003</v>
      </c>
      <c r="P4521">
        <v>-0.18717719999999999</v>
      </c>
      <c r="Q4521">
        <v>0.39079429999999998</v>
      </c>
      <c r="R4521">
        <v>-0.9012462</v>
      </c>
      <c r="S4521">
        <v>-0.94921880000000003</v>
      </c>
      <c r="T4521">
        <v>-0.54668190000000005</v>
      </c>
      <c r="U4521">
        <v>-3.3650669999999998</v>
      </c>
      <c r="V4521">
        <v>-0.24206800000000001</v>
      </c>
      <c r="W4521">
        <v>0.39417609999999997</v>
      </c>
      <c r="X4521">
        <v>0.88658230000000005</v>
      </c>
      <c r="Y4521">
        <v>-0.1856332</v>
      </c>
      <c r="Z4521">
        <v>0.1223533</v>
      </c>
      <c r="AA4521">
        <v>0.97497180000000006</v>
      </c>
      <c r="AB4521">
        <v>35</v>
      </c>
      <c r="AC4521">
        <v>-1.7968999999999899</v>
      </c>
      <c r="AD4521">
        <v>-1.120496689883</v>
      </c>
      <c r="AE4521">
        <v>-6.5843999999999996</v>
      </c>
      <c r="AF4521">
        <v>-1.2756604226738699</v>
      </c>
      <c r="AG4521">
        <v>-1.120496689883</v>
      </c>
      <c r="AH4521">
        <v>6.5224860869904902</v>
      </c>
      <c r="AI4521">
        <v>99.569820784654993</v>
      </c>
      <c r="AJ4521">
        <v>101.066157061944</v>
      </c>
      <c r="AK4521">
        <v>6.7398551246298899</v>
      </c>
      <c r="AL4521">
        <v>66.785399204323596</v>
      </c>
      <c r="AM4521">
        <v>105.271528357647</v>
      </c>
      <c r="AN4521">
        <v>0.99999994455424801</v>
      </c>
    </row>
    <row r="4522" spans="1:40" x14ac:dyDescent="0.25">
      <c r="A4522" t="str">
        <f>"20190304164501701"</f>
        <v>20190304164501701</v>
      </c>
      <c r="B4522" t="str">
        <f>"1551689101695193"</f>
        <v>1551689101695193</v>
      </c>
      <c r="C4522" t="s">
        <v>40</v>
      </c>
      <c r="D4522">
        <v>4.9817809999999998</v>
      </c>
      <c r="E4522">
        <v>0.48587639999999999</v>
      </c>
      <c r="F4522" t="s">
        <v>42</v>
      </c>
      <c r="G4522">
        <v>-419.30130000000003</v>
      </c>
      <c r="H4522" s="1">
        <v>-2.4885949999999998E-6</v>
      </c>
      <c r="I4522">
        <v>115.14490000000001</v>
      </c>
      <c r="J4522">
        <v>-417.5478</v>
      </c>
      <c r="K4522">
        <v>1.1203829999999999</v>
      </c>
      <c r="L4522">
        <v>121.8356</v>
      </c>
      <c r="M4522">
        <v>-0.43335259999999998</v>
      </c>
      <c r="N4522">
        <v>-1.0420219999999999E-2</v>
      </c>
      <c r="O4522">
        <v>-0.90116410000000002</v>
      </c>
      <c r="P4522">
        <v>-0.18049609999999999</v>
      </c>
      <c r="Q4522">
        <v>0.3918238</v>
      </c>
      <c r="R4522">
        <v>-0.90216130000000005</v>
      </c>
      <c r="S4522">
        <v>-0.91452029999999995</v>
      </c>
      <c r="T4522">
        <v>-0.53902899999999998</v>
      </c>
      <c r="U4522">
        <v>-3.372528</v>
      </c>
      <c r="V4522">
        <v>-0.2383207</v>
      </c>
      <c r="W4522">
        <v>0.39522410000000002</v>
      </c>
      <c r="X4522">
        <v>0.88713090000000006</v>
      </c>
      <c r="Y4522">
        <v>-0.18435979999999999</v>
      </c>
      <c r="Z4522">
        <v>0.1216585</v>
      </c>
      <c r="AA4522">
        <v>0.97530030000000001</v>
      </c>
      <c r="AB4522">
        <v>35</v>
      </c>
      <c r="AC4522">
        <v>-1.75350000000003</v>
      </c>
      <c r="AD4522">
        <v>-1.120385488595</v>
      </c>
      <c r="AE4522">
        <v>-6.6906999999999899</v>
      </c>
      <c r="AF4522">
        <v>-1.28558083438158</v>
      </c>
      <c r="AG4522">
        <v>-1.120385488595</v>
      </c>
      <c r="AH4522">
        <v>6.6160748010817798</v>
      </c>
      <c r="AI4522">
        <v>99.438187068894607</v>
      </c>
      <c r="AJ4522">
        <v>100.99621282949199</v>
      </c>
      <c r="AK4522">
        <v>6.8323076261460001</v>
      </c>
      <c r="AL4522">
        <v>66.720049638244603</v>
      </c>
      <c r="AM4522">
        <v>105.037034338518</v>
      </c>
      <c r="AN4522">
        <v>1.0000000395020501</v>
      </c>
    </row>
    <row r="4523" spans="1:40" x14ac:dyDescent="0.25">
      <c r="A4523" t="str">
        <f>"20190304164501722"</f>
        <v>20190304164501722</v>
      </c>
      <c r="B4523" t="str">
        <f>"1551689101714714"</f>
        <v>1551689101714714</v>
      </c>
      <c r="C4523" t="s">
        <v>40</v>
      </c>
      <c r="D4523">
        <v>4.956645</v>
      </c>
      <c r="E4523">
        <v>0.4822921</v>
      </c>
      <c r="F4523" t="s">
        <v>42</v>
      </c>
      <c r="G4523">
        <v>-419.04719999999998</v>
      </c>
      <c r="H4523" s="1">
        <v>-1.2408959999999999E-6</v>
      </c>
      <c r="I4523">
        <v>112.1314</v>
      </c>
      <c r="J4523">
        <v>-417.6884</v>
      </c>
      <c r="K4523">
        <v>1.1203050000000001</v>
      </c>
      <c r="L4523">
        <v>121.5219</v>
      </c>
      <c r="M4523">
        <v>-0.42348239999999998</v>
      </c>
      <c r="N4523">
        <v>-1.0271840000000001E-2</v>
      </c>
      <c r="O4523">
        <v>-0.90584609999999999</v>
      </c>
      <c r="P4523">
        <v>-0.17335130000000001</v>
      </c>
      <c r="Q4523">
        <v>0.39249689999999998</v>
      </c>
      <c r="R4523">
        <v>-0.9032694</v>
      </c>
      <c r="S4523">
        <v>-0.52389529999999995</v>
      </c>
      <c r="T4523">
        <v>-0.39144600000000002</v>
      </c>
      <c r="U4523">
        <v>-3.390533</v>
      </c>
      <c r="V4523">
        <v>-0.2354581</v>
      </c>
      <c r="W4523">
        <v>0.39588060000000003</v>
      </c>
      <c r="X4523">
        <v>0.88760239999999901</v>
      </c>
      <c r="Y4523">
        <v>-0.28058270000000002</v>
      </c>
      <c r="Z4523">
        <v>8.5989010000000005E-2</v>
      </c>
      <c r="AA4523">
        <v>0.95597030000000005</v>
      </c>
      <c r="AB4523">
        <v>35</v>
      </c>
      <c r="AC4523">
        <v>-1.35879999999997</v>
      </c>
      <c r="AD4523">
        <v>-1.1203062408959901</v>
      </c>
      <c r="AE4523">
        <v>-9.3904999999999994</v>
      </c>
      <c r="AF4523">
        <v>-2.7082368766671499</v>
      </c>
      <c r="AG4523">
        <v>-1.1203062408959901</v>
      </c>
      <c r="AH4523">
        <v>8.9573791572804708</v>
      </c>
      <c r="AI4523">
        <v>96.826870375020704</v>
      </c>
      <c r="AJ4523">
        <v>106.822535247183</v>
      </c>
      <c r="AK4523">
        <v>9.4246630932258295</v>
      </c>
      <c r="AL4523">
        <v>66.679093686797302</v>
      </c>
      <c r="AM4523">
        <v>104.856910717942</v>
      </c>
      <c r="AN4523">
        <v>0.99999999339886403</v>
      </c>
    </row>
    <row r="4524" spans="1:40" x14ac:dyDescent="0.25">
      <c r="A4524" t="str">
        <f>"20190304164501743"</f>
        <v>20190304164501743</v>
      </c>
      <c r="B4524" t="str">
        <f>"1551689101735210"</f>
        <v>1551689101735210</v>
      </c>
      <c r="C4524" t="s">
        <v>40</v>
      </c>
      <c r="D4524">
        <v>4.9573080000000003</v>
      </c>
      <c r="E4524">
        <v>0.48139890000000002</v>
      </c>
      <c r="F4524" t="s">
        <v>42</v>
      </c>
      <c r="G4524">
        <v>-419.07499999999999</v>
      </c>
      <c r="H4524" s="1">
        <v>-9.3176620000000002E-7</v>
      </c>
      <c r="I4524">
        <v>111.42230000000001</v>
      </c>
      <c r="J4524">
        <v>-417.81900000000002</v>
      </c>
      <c r="K4524">
        <v>1.1202540000000001</v>
      </c>
      <c r="L4524">
        <v>121.22239999999999</v>
      </c>
      <c r="M4524">
        <v>-0.41413909999999998</v>
      </c>
      <c r="N4524">
        <v>-1.012743E-2</v>
      </c>
      <c r="O4524">
        <v>-0.91015740000000001</v>
      </c>
      <c r="P4524">
        <v>-0.16790529999999901</v>
      </c>
      <c r="Q4524">
        <v>0.3932368</v>
      </c>
      <c r="R4524">
        <v>-0.90397640000000001</v>
      </c>
      <c r="S4524">
        <v>-0.46615600000000001</v>
      </c>
      <c r="T4524">
        <v>-0.3766427</v>
      </c>
      <c r="U4524">
        <v>-3.3954620000000002</v>
      </c>
      <c r="V4524">
        <v>-0.23148949999999999</v>
      </c>
      <c r="W4524">
        <v>0.39662439999999999</v>
      </c>
      <c r="X4524">
        <v>0.88831389999999999</v>
      </c>
      <c r="Y4524">
        <v>-0.28679250000000001</v>
      </c>
      <c r="Z4524">
        <v>8.3053719999999998E-2</v>
      </c>
      <c r="AA4524">
        <v>0.95438579999999995</v>
      </c>
      <c r="AB4524">
        <v>35</v>
      </c>
      <c r="AC4524">
        <v>-1.25599999999997</v>
      </c>
      <c r="AD4524">
        <v>-1.1202549317661901</v>
      </c>
      <c r="AE4524">
        <v>-9.8000999999999792</v>
      </c>
      <c r="AF4524">
        <v>-2.8785896476039801</v>
      </c>
      <c r="AG4524">
        <v>-1.1202549317661901</v>
      </c>
      <c r="AH4524">
        <v>9.3204538342079903</v>
      </c>
      <c r="AI4524">
        <v>96.551193350810806</v>
      </c>
      <c r="AJ4524">
        <v>107.16312089616601</v>
      </c>
      <c r="AK4524">
        <v>9.8189668064945508</v>
      </c>
      <c r="AL4524">
        <v>66.632676310334901</v>
      </c>
      <c r="AM4524">
        <v>104.606104020318</v>
      </c>
      <c r="AN4524">
        <v>0.99999994410940796</v>
      </c>
    </row>
    <row r="4525" spans="1:40" x14ac:dyDescent="0.25">
      <c r="A4525" t="str">
        <f>"20190304164501766"</f>
        <v>20190304164501766</v>
      </c>
      <c r="B4525" t="str">
        <f>"1551689101754730"</f>
        <v>1551689101754730</v>
      </c>
      <c r="C4525" t="s">
        <v>40</v>
      </c>
      <c r="D4525">
        <v>4.9285040000000002</v>
      </c>
      <c r="E4525">
        <v>0.48105560000000003</v>
      </c>
      <c r="F4525" t="s">
        <v>42</v>
      </c>
      <c r="G4525">
        <v>-419.14080000000001</v>
      </c>
      <c r="H4525" s="1">
        <v>-7.000057E-7</v>
      </c>
      <c r="I4525">
        <v>110.9092</v>
      </c>
      <c r="J4525">
        <v>-417.95179999999999</v>
      </c>
      <c r="K4525">
        <v>1.120207</v>
      </c>
      <c r="L4525">
        <v>120.9093</v>
      </c>
      <c r="M4525">
        <v>-0.40443479999999998</v>
      </c>
      <c r="N4525">
        <v>-9.9760279999999996E-3</v>
      </c>
      <c r="O4525">
        <v>-0.91451269999999996</v>
      </c>
      <c r="P4525">
        <v>-0.16232669999999999</v>
      </c>
      <c r="Q4525">
        <v>0.39404929999999999</v>
      </c>
      <c r="R4525">
        <v>-0.90464120000000003</v>
      </c>
      <c r="S4525">
        <v>-0.43554690000000001</v>
      </c>
      <c r="T4525">
        <v>-0.36914029999999998</v>
      </c>
      <c r="U4525">
        <v>-3.3983460000000001</v>
      </c>
      <c r="V4525">
        <v>-0.22733929999999999</v>
      </c>
      <c r="W4525">
        <v>0.39743139999999999</v>
      </c>
      <c r="X4525">
        <v>0.88902479999999995</v>
      </c>
      <c r="Y4525">
        <v>-0.28515410000000002</v>
      </c>
      <c r="Z4525">
        <v>8.2029099999999994E-2</v>
      </c>
      <c r="AA4525">
        <v>0.95496510000000001</v>
      </c>
      <c r="AB4525">
        <v>35</v>
      </c>
      <c r="AC4525">
        <v>-1.18900000000002</v>
      </c>
      <c r="AD4525">
        <v>-1.1202077000057</v>
      </c>
      <c r="AE4525">
        <v>-10.0001</v>
      </c>
      <c r="AF4525">
        <v>-2.92103587207284</v>
      </c>
      <c r="AG4525">
        <v>-1.1202077000057</v>
      </c>
      <c r="AH4525">
        <v>9.50890972863718</v>
      </c>
      <c r="AI4525">
        <v>96.425152919662196</v>
      </c>
      <c r="AJ4525">
        <v>107.076400611046</v>
      </c>
      <c r="AK4525">
        <v>10.010328670151599</v>
      </c>
      <c r="AL4525">
        <v>66.5822988445221</v>
      </c>
      <c r="AM4525">
        <v>104.344151074381</v>
      </c>
      <c r="AN4525">
        <v>0.99999998502274401</v>
      </c>
    </row>
    <row r="4526" spans="1:40" x14ac:dyDescent="0.25">
      <c r="A4526" t="str">
        <f>"20190304164501789"</f>
        <v>20190304164501789</v>
      </c>
      <c r="B4526" t="str">
        <f>"1551689101784985"</f>
        <v>1551689101784985</v>
      </c>
      <c r="C4526" t="s">
        <v>40</v>
      </c>
      <c r="D4526">
        <v>4.9164529999999997</v>
      </c>
      <c r="E4526">
        <v>0.48194009999999998</v>
      </c>
      <c r="F4526" t="s">
        <v>42</v>
      </c>
      <c r="G4526">
        <v>-419.20460000000003</v>
      </c>
      <c r="H4526" s="1">
        <v>-4.8353429999999896E-7</v>
      </c>
      <c r="I4526">
        <v>110.431</v>
      </c>
      <c r="J4526">
        <v>-418.09030000000001</v>
      </c>
      <c r="K4526">
        <v>1.120163</v>
      </c>
      <c r="L4526">
        <v>120.57259999999999</v>
      </c>
      <c r="M4526">
        <v>-0.39405430000000002</v>
      </c>
      <c r="N4526">
        <v>-9.8176779999999998E-3</v>
      </c>
      <c r="O4526">
        <v>-0.91903480000000004</v>
      </c>
      <c r="P4526">
        <v>-0.15351500000000001</v>
      </c>
      <c r="Q4526">
        <v>0.39384370000000002</v>
      </c>
      <c r="R4526">
        <v>-0.9062675</v>
      </c>
      <c r="S4526">
        <v>-0.40667720000000002</v>
      </c>
      <c r="T4526">
        <v>-0.36366340000000003</v>
      </c>
      <c r="U4526">
        <v>-3.401672</v>
      </c>
      <c r="V4526">
        <v>-0.2259187</v>
      </c>
      <c r="W4526">
        <v>0.39713870000000001</v>
      </c>
      <c r="X4526">
        <v>0.88951759999999902</v>
      </c>
      <c r="Y4526">
        <v>-0.28240189999999998</v>
      </c>
      <c r="Z4526">
        <v>8.1514130000000004E-2</v>
      </c>
      <c r="AA4526">
        <v>0.95582659999999997</v>
      </c>
      <c r="AB4526">
        <v>35</v>
      </c>
      <c r="AC4526">
        <v>-1.1143000000000101</v>
      </c>
      <c r="AD4526">
        <v>-1.1201634835343</v>
      </c>
      <c r="AE4526">
        <v>-10.141599999999899</v>
      </c>
      <c r="AF4526">
        <v>-2.9370004696679901</v>
      </c>
      <c r="AG4526">
        <v>-1.1201634835343</v>
      </c>
      <c r="AH4526">
        <v>9.6437994574643096</v>
      </c>
      <c r="AI4526">
        <v>96.340415271485199</v>
      </c>
      <c r="AJ4526">
        <v>106.938012742333</v>
      </c>
      <c r="AK4526">
        <v>10.143155621623</v>
      </c>
      <c r="AL4526">
        <v>66.600573361571506</v>
      </c>
      <c r="AM4526">
        <v>104.250605614221</v>
      </c>
      <c r="AN4526">
        <v>0.99999998337856899</v>
      </c>
    </row>
    <row r="4527" spans="1:40" x14ac:dyDescent="0.25">
      <c r="A4527" t="str">
        <f>"20190304164501813"</f>
        <v>20190304164501813</v>
      </c>
      <c r="B4527" t="str">
        <f>"1551689101804519"</f>
        <v>1551689101804519</v>
      </c>
      <c r="C4527" t="s">
        <v>40</v>
      </c>
      <c r="D4527">
        <v>4.9319660000000001</v>
      </c>
      <c r="E4527">
        <v>0.48255569999999998</v>
      </c>
      <c r="F4527" t="s">
        <v>42</v>
      </c>
      <c r="G4527">
        <v>-419.25069999999999</v>
      </c>
      <c r="H4527" s="1">
        <v>-3.8168000000000001E-7</v>
      </c>
      <c r="I4527">
        <v>110.18380000000001</v>
      </c>
      <c r="J4527">
        <v>-418.22129999999999</v>
      </c>
      <c r="K4527">
        <v>1.1201219999999901</v>
      </c>
      <c r="L4527">
        <v>120.2445</v>
      </c>
      <c r="M4527">
        <v>-0.38397540000000002</v>
      </c>
      <c r="N4527">
        <v>-9.673114E-3</v>
      </c>
      <c r="O4527">
        <v>-0.92329280000000002</v>
      </c>
      <c r="P4527">
        <v>-0.14502989999999999</v>
      </c>
      <c r="Q4527">
        <v>0.39332859999999997</v>
      </c>
      <c r="R4527">
        <v>-0.90788740000000001</v>
      </c>
      <c r="S4527">
        <v>-0.38037110000000002</v>
      </c>
      <c r="T4527">
        <v>-0.36718610000000002</v>
      </c>
      <c r="U4527">
        <v>-3.4054259999999998</v>
      </c>
      <c r="V4527">
        <v>-0.22455420000000001</v>
      </c>
      <c r="W4527">
        <v>0.39654299999999998</v>
      </c>
      <c r="X4527">
        <v>0.89012869999999999</v>
      </c>
      <c r="Y4527">
        <v>-0.27933249999999998</v>
      </c>
      <c r="Z4527">
        <v>8.3162070000000005E-2</v>
      </c>
      <c r="AA4527">
        <v>0.9565863</v>
      </c>
      <c r="AB4527">
        <v>35</v>
      </c>
      <c r="AC4527">
        <v>-1.0294000000000001</v>
      </c>
      <c r="AD4527">
        <v>-1.1201223816799999</v>
      </c>
      <c r="AE4527">
        <v>-10.060699999999899</v>
      </c>
      <c r="AF4527">
        <v>-2.8774607014345701</v>
      </c>
      <c r="AG4527">
        <v>-1.1201223816799999</v>
      </c>
      <c r="AH4527">
        <v>9.5673220536401899</v>
      </c>
      <c r="AI4527">
        <v>96.397108683004902</v>
      </c>
      <c r="AJ4527">
        <v>106.73914634417</v>
      </c>
      <c r="AK4527">
        <v>10.053263426187</v>
      </c>
      <c r="AL4527">
        <v>66.637758698891005</v>
      </c>
      <c r="AM4527">
        <v>104.158675394253</v>
      </c>
      <c r="AN4527">
        <v>1.0000000210751601</v>
      </c>
    </row>
    <row r="4528" spans="1:40" x14ac:dyDescent="0.25">
      <c r="A4528" t="str">
        <f>"20190304164501835"</f>
        <v>20190304164501835</v>
      </c>
      <c r="B4528" t="str">
        <f>"1551689101825002"</f>
        <v>1551689101825002</v>
      </c>
      <c r="C4528" t="s">
        <v>40</v>
      </c>
      <c r="D4528">
        <v>4.9346589999999999</v>
      </c>
      <c r="E4528">
        <v>0.48316599999999998</v>
      </c>
      <c r="F4528" t="s">
        <v>42</v>
      </c>
      <c r="G4528">
        <v>-419.28800000000001</v>
      </c>
      <c r="H4528" s="1">
        <v>-2.8527130000000002E-7</v>
      </c>
      <c r="I4528">
        <v>109.92959999999999</v>
      </c>
      <c r="J4528">
        <v>-418.3458</v>
      </c>
      <c r="K4528">
        <v>1.1200920000000001</v>
      </c>
      <c r="L4528">
        <v>119.92189999999999</v>
      </c>
      <c r="M4528">
        <v>-0.37409599999999998</v>
      </c>
      <c r="N4528">
        <v>-9.5445479999999999E-3</v>
      </c>
      <c r="O4528">
        <v>-0.92734090000000002</v>
      </c>
      <c r="P4528">
        <v>-0.13709079999999901</v>
      </c>
      <c r="Q4528">
        <v>0.3928278</v>
      </c>
      <c r="R4528">
        <v>-0.90933629999999999</v>
      </c>
      <c r="S4528">
        <v>-0.35247800000000001</v>
      </c>
      <c r="T4528">
        <v>-0.37013230000000003</v>
      </c>
      <c r="U4528">
        <v>-3.4084319999999999</v>
      </c>
      <c r="V4528">
        <v>-0.22287570000000001</v>
      </c>
      <c r="W4528">
        <v>0.39598129999999998</v>
      </c>
      <c r="X4528">
        <v>0.89080029999999999</v>
      </c>
      <c r="Y4528">
        <v>-0.27692660000000002</v>
      </c>
      <c r="Z4528">
        <v>8.4637870000000004E-2</v>
      </c>
      <c r="AA4528">
        <v>0.95715620000000001</v>
      </c>
      <c r="AB4528">
        <v>35</v>
      </c>
      <c r="AC4528">
        <v>-0.94220000000001403</v>
      </c>
      <c r="AD4528">
        <v>-1.1200922852713</v>
      </c>
      <c r="AE4528">
        <v>-9.9923000000000002</v>
      </c>
      <c r="AF4528">
        <v>-2.8292320897553198</v>
      </c>
      <c r="AG4528">
        <v>-1.1200922852713</v>
      </c>
      <c r="AH4528">
        <v>9.5008495989324402</v>
      </c>
      <c r="AI4528">
        <v>96.446535445266093</v>
      </c>
      <c r="AJ4528">
        <v>106.582861645093</v>
      </c>
      <c r="AK4528">
        <v>9.9762369682541294</v>
      </c>
      <c r="AL4528">
        <v>66.672809992781893</v>
      </c>
      <c r="AM4528">
        <v>104.04687460028499</v>
      </c>
      <c r="AN4528">
        <v>0.99999997104013405</v>
      </c>
    </row>
    <row r="4529" spans="1:40" x14ac:dyDescent="0.25">
      <c r="A4529" t="str">
        <f>"20190304164501855"</f>
        <v>20190304164501855</v>
      </c>
      <c r="B4529" t="str">
        <f>"1551689101844522"</f>
        <v>1551689101844522</v>
      </c>
      <c r="C4529" t="s">
        <v>40</v>
      </c>
      <c r="D4529">
        <v>4.9288319999999999</v>
      </c>
      <c r="E4529">
        <v>0.48388029999999999</v>
      </c>
      <c r="F4529" t="s">
        <v>42</v>
      </c>
      <c r="G4529">
        <v>-419.32420000000002</v>
      </c>
      <c r="H4529" s="1">
        <v>-2.0735210000000001E-7</v>
      </c>
      <c r="I4529">
        <v>109.729</v>
      </c>
      <c r="J4529">
        <v>-418.45679999999999</v>
      </c>
      <c r="K4529">
        <v>1.120069</v>
      </c>
      <c r="L4529">
        <v>119.6254</v>
      </c>
      <c r="M4529">
        <v>-0.36503039999999998</v>
      </c>
      <c r="N4529">
        <v>-9.4388909999999996E-3</v>
      </c>
      <c r="O4529">
        <v>-0.93094779999999999</v>
      </c>
      <c r="P4529">
        <v>-0.12937409999999999</v>
      </c>
      <c r="Q4529">
        <v>0.39233699999999999</v>
      </c>
      <c r="R4529">
        <v>-0.91067799999999999</v>
      </c>
      <c r="S4529">
        <v>-0.32745360000000001</v>
      </c>
      <c r="T4529">
        <v>-0.37490590000000001</v>
      </c>
      <c r="U4529">
        <v>-3.4116819999999999</v>
      </c>
      <c r="V4529">
        <v>-0.2217915</v>
      </c>
      <c r="W4529">
        <v>0.39543040000000002</v>
      </c>
      <c r="X4529">
        <v>0.89131550000000004</v>
      </c>
      <c r="Y4529">
        <v>-0.27461140000000001</v>
      </c>
      <c r="Z4529">
        <v>8.6480860000000007E-2</v>
      </c>
      <c r="AA4529">
        <v>0.95765840000000002</v>
      </c>
      <c r="AB4529">
        <v>35</v>
      </c>
      <c r="AC4529">
        <v>-0.86740000000003104</v>
      </c>
      <c r="AD4529">
        <v>-1.1200692073520999</v>
      </c>
      <c r="AE4529">
        <v>-9.8963999999999999</v>
      </c>
      <c r="AF4529">
        <v>-2.7698968122523202</v>
      </c>
      <c r="AG4529">
        <v>-1.1200692073520999</v>
      </c>
      <c r="AH4529">
        <v>9.4104581480996998</v>
      </c>
      <c r="AI4529">
        <v>96.513848335819802</v>
      </c>
      <c r="AJ4529">
        <v>106.401391602115</v>
      </c>
      <c r="AK4529">
        <v>9.8733786485133894</v>
      </c>
      <c r="AL4529">
        <v>66.707180184076606</v>
      </c>
      <c r="AM4529">
        <v>103.97346412194</v>
      </c>
      <c r="AN4529">
        <v>0.99999999562832997</v>
      </c>
    </row>
    <row r="4530" spans="1:40" x14ac:dyDescent="0.25">
      <c r="A4530" t="str">
        <f>"20190304164501878"</f>
        <v>20190304164501878</v>
      </c>
      <c r="B4530" t="str">
        <f>"1551689101874779"</f>
        <v>1551689101874779</v>
      </c>
      <c r="C4530" t="s">
        <v>40</v>
      </c>
      <c r="D4530">
        <v>4.9363580000000002</v>
      </c>
      <c r="E4530">
        <v>0.48453439999999998</v>
      </c>
      <c r="F4530" t="s">
        <v>42</v>
      </c>
      <c r="G4530">
        <v>-419.34930000000003</v>
      </c>
      <c r="H4530" s="1">
        <v>-4.8036979999999998E-6</v>
      </c>
      <c r="I4530">
        <v>109.5492</v>
      </c>
      <c r="J4530">
        <v>-418.57920000000001</v>
      </c>
      <c r="K4530">
        <v>1.1200600000000001</v>
      </c>
      <c r="L4530">
        <v>119.2876</v>
      </c>
      <c r="M4530">
        <v>-0.35472199999999998</v>
      </c>
      <c r="N4530">
        <v>-9.3325979999999992E-3</v>
      </c>
      <c r="O4530">
        <v>-0.93492560000000002</v>
      </c>
      <c r="P4530">
        <v>-0.120203</v>
      </c>
      <c r="Q4530">
        <v>0.39269520000000002</v>
      </c>
      <c r="R4530">
        <v>-0.91177980000000003</v>
      </c>
      <c r="S4530">
        <v>-0.3024597</v>
      </c>
      <c r="T4530">
        <v>-0.37959359999999998</v>
      </c>
      <c r="U4530">
        <v>-3.414825</v>
      </c>
      <c r="V4530">
        <v>-0.2208611</v>
      </c>
      <c r="W4530">
        <v>0.39571729999999999</v>
      </c>
      <c r="X4530">
        <v>0.89141919999999897</v>
      </c>
      <c r="Y4530">
        <v>-0.2710359</v>
      </c>
      <c r="Z4530">
        <v>8.8397290000000003E-2</v>
      </c>
      <c r="AA4530">
        <v>0.95850170000000001</v>
      </c>
      <c r="AB4530">
        <v>35</v>
      </c>
      <c r="AC4530">
        <v>-0.770100000000013</v>
      </c>
      <c r="AD4530">
        <v>-1.1200648036980001</v>
      </c>
      <c r="AE4530">
        <v>-9.7384000000000004</v>
      </c>
      <c r="AF4530">
        <v>-2.6990738420763098</v>
      </c>
      <c r="AG4530">
        <v>-1.1200648036980001</v>
      </c>
      <c r="AH4530">
        <v>9.2565664961563492</v>
      </c>
      <c r="AI4530">
        <v>96.626046654061199</v>
      </c>
      <c r="AJ4530">
        <v>106.255880325875</v>
      </c>
      <c r="AK4530">
        <v>9.7068825102206606</v>
      </c>
      <c r="AL4530">
        <v>66.689282230025896</v>
      </c>
      <c r="AM4530">
        <v>103.91557342078799</v>
      </c>
      <c r="AN4530">
        <v>0.99999999857056898</v>
      </c>
    </row>
    <row r="4531" spans="1:40" x14ac:dyDescent="0.25">
      <c r="A4531" t="str">
        <f>"20190304164501902"</f>
        <v>20190304164501902</v>
      </c>
      <c r="B4531" t="str">
        <f>"1551689101894299"</f>
        <v>1551689101894299</v>
      </c>
      <c r="C4531" t="s">
        <v>40</v>
      </c>
      <c r="D4531">
        <v>4.9583219999999999</v>
      </c>
      <c r="E4531">
        <v>0.48559020000000003</v>
      </c>
      <c r="F4531" t="s">
        <v>42</v>
      </c>
      <c r="G4531">
        <v>-419.38319999999999</v>
      </c>
      <c r="H4531" s="1">
        <v>-4.6574230000000001E-6</v>
      </c>
      <c r="I4531">
        <v>109.2525</v>
      </c>
      <c r="J4531">
        <v>-418.70010000000002</v>
      </c>
      <c r="K4531">
        <v>1.1200650000000001</v>
      </c>
      <c r="L4531">
        <v>118.9422</v>
      </c>
      <c r="M4531">
        <v>-0.34418959999999998</v>
      </c>
      <c r="N4531">
        <v>-9.2373620000000007E-3</v>
      </c>
      <c r="O4531">
        <v>-0.93885469999999904</v>
      </c>
      <c r="P4531">
        <v>-0.1112307</v>
      </c>
      <c r="Q4531">
        <v>0.3944725</v>
      </c>
      <c r="R4531">
        <v>-0.91215089999999999</v>
      </c>
      <c r="S4531">
        <v>-0.27389530000000001</v>
      </c>
      <c r="T4531">
        <v>-0.38155030000000001</v>
      </c>
      <c r="U4531">
        <v>-3.4184879999999902</v>
      </c>
      <c r="V4531">
        <v>-0.21938569999999999</v>
      </c>
      <c r="W4531">
        <v>0.39743889999999998</v>
      </c>
      <c r="X4531">
        <v>0.89101749999999902</v>
      </c>
      <c r="Y4531">
        <v>-0.2682678</v>
      </c>
      <c r="Z4531">
        <v>8.958402E-2</v>
      </c>
      <c r="AA4531">
        <v>0.95916999999999997</v>
      </c>
      <c r="AB4531">
        <v>35</v>
      </c>
      <c r="AC4531">
        <v>-0.68309999999996696</v>
      </c>
      <c r="AD4531">
        <v>-1.12006965742299</v>
      </c>
      <c r="AE4531">
        <v>-9.6897000000000002</v>
      </c>
      <c r="AF4531">
        <v>-2.6585298801969</v>
      </c>
      <c r="AG4531">
        <v>-1.12006965742299</v>
      </c>
      <c r="AH4531">
        <v>9.21027616778286</v>
      </c>
      <c r="AI4531">
        <v>96.664266740476805</v>
      </c>
      <c r="AJ4531">
        <v>106.100690608439</v>
      </c>
      <c r="AK4531">
        <v>9.6515037298966195</v>
      </c>
      <c r="AL4531">
        <v>66.581830303216904</v>
      </c>
      <c r="AM4531">
        <v>103.832186585221</v>
      </c>
      <c r="AN4531">
        <v>0.99999997495197401</v>
      </c>
    </row>
    <row r="4532" spans="1:40" x14ac:dyDescent="0.25">
      <c r="A4532" t="str">
        <f>"20190304164501923"</f>
        <v>20190304164501923</v>
      </c>
      <c r="B4532" t="str">
        <f>"1551689101914794"</f>
        <v>1551689101914794</v>
      </c>
      <c r="C4532" t="s">
        <v>40</v>
      </c>
      <c r="D4532">
        <v>4.9243829999999997</v>
      </c>
      <c r="E4532">
        <v>0.48622330000000002</v>
      </c>
      <c r="F4532" t="s">
        <v>42</v>
      </c>
      <c r="G4532">
        <v>-419.44369999999998</v>
      </c>
      <c r="H4532" s="1">
        <v>-4.4490110000000002E-6</v>
      </c>
      <c r="I4532">
        <v>108.8343</v>
      </c>
      <c r="J4532">
        <v>-418.80880000000002</v>
      </c>
      <c r="K4532">
        <v>1.1200760000000001</v>
      </c>
      <c r="L4532">
        <v>118.62090000000001</v>
      </c>
      <c r="M4532">
        <v>-0.3344048</v>
      </c>
      <c r="N4532">
        <v>-9.1597459999999999E-3</v>
      </c>
      <c r="O4532">
        <v>-0.94238509999999998</v>
      </c>
      <c r="P4532">
        <v>-0.1042896</v>
      </c>
      <c r="Q4532">
        <v>0.39548899999999998</v>
      </c>
      <c r="R4532">
        <v>-0.91253070000000003</v>
      </c>
      <c r="S4532">
        <v>-0.25176999999999999</v>
      </c>
      <c r="T4532">
        <v>-0.37922169999999999</v>
      </c>
      <c r="U4532">
        <v>-3.4222260000000002</v>
      </c>
      <c r="V4532">
        <v>-0.2167702</v>
      </c>
      <c r="W4532">
        <v>0.39844679999999999</v>
      </c>
      <c r="X4532">
        <v>0.89120750000000004</v>
      </c>
      <c r="Y4532">
        <v>-0.26449830000000002</v>
      </c>
      <c r="Z4532">
        <v>8.959963E-2</v>
      </c>
      <c r="AA4532">
        <v>0.96021489999999998</v>
      </c>
      <c r="AB4532">
        <v>35</v>
      </c>
      <c r="AC4532">
        <v>-0.63489999999995905</v>
      </c>
      <c r="AD4532">
        <v>-1.1200804490109999</v>
      </c>
      <c r="AE4532">
        <v>-9.7866</v>
      </c>
      <c r="AF4532">
        <v>-2.6400410214288899</v>
      </c>
      <c r="AG4532">
        <v>-1.1200804490109999</v>
      </c>
      <c r="AH4532">
        <v>9.3139634228955206</v>
      </c>
      <c r="AI4532">
        <v>96.599781931539795</v>
      </c>
      <c r="AJ4532">
        <v>105.825370645276</v>
      </c>
      <c r="AK4532">
        <v>9.7454764609083995</v>
      </c>
      <c r="AL4532">
        <v>66.518883458623606</v>
      </c>
      <c r="AM4532">
        <v>103.67069997978101</v>
      </c>
      <c r="AN4532">
        <v>0.99999999004726403</v>
      </c>
    </row>
    <row r="4533" spans="1:40" x14ac:dyDescent="0.25">
      <c r="A4533" t="str">
        <f>"20190304164501946"</f>
        <v>20190304164501946</v>
      </c>
      <c r="B4533" t="str">
        <f>"1551689101934314"</f>
        <v>1551689101934314</v>
      </c>
      <c r="C4533" t="s">
        <v>40</v>
      </c>
      <c r="D4533">
        <v>4.9893320000000001</v>
      </c>
      <c r="E4533">
        <v>0.49605719999999998</v>
      </c>
      <c r="F4533" t="s">
        <v>42</v>
      </c>
      <c r="G4533">
        <v>-419.4982</v>
      </c>
      <c r="H4533" s="1">
        <v>-4.2598299999999998E-6</v>
      </c>
      <c r="I4533">
        <v>108.4545</v>
      </c>
      <c r="J4533">
        <v>-418.9162</v>
      </c>
      <c r="K4533">
        <v>1.1200810000000001</v>
      </c>
      <c r="L4533">
        <v>118.2924</v>
      </c>
      <c r="M4533">
        <v>-0.3244146</v>
      </c>
      <c r="N4533">
        <v>-9.0901119999999992E-3</v>
      </c>
      <c r="O4533">
        <v>-0.94587140000000003</v>
      </c>
      <c r="P4533">
        <v>-9.8133819999999997E-2</v>
      </c>
      <c r="Q4533">
        <v>0.39457209999999998</v>
      </c>
      <c r="R4533">
        <v>-0.91360989999999997</v>
      </c>
      <c r="S4533">
        <v>-0.23220830000000001</v>
      </c>
      <c r="T4533">
        <v>-0.37729859999999998</v>
      </c>
      <c r="U4533">
        <v>-3.4245450000000002</v>
      </c>
      <c r="V4533">
        <v>-0.2134518</v>
      </c>
      <c r="W4533">
        <v>0.39755360000000001</v>
      </c>
      <c r="X4533">
        <v>0.89240659999999905</v>
      </c>
      <c r="Y4533">
        <v>-0.2598027</v>
      </c>
      <c r="Z4533">
        <v>8.9749220000000005E-2</v>
      </c>
      <c r="AA4533">
        <v>0.96148199999999995</v>
      </c>
      <c r="AB4533">
        <v>35</v>
      </c>
      <c r="AC4533">
        <v>-0.58199999999999297</v>
      </c>
      <c r="AD4533">
        <v>-1.12008525983</v>
      </c>
      <c r="AE4533">
        <v>-9.8378999999999994</v>
      </c>
      <c r="AF4533">
        <v>-2.6074877909474701</v>
      </c>
      <c r="AG4533">
        <v>-1.12008525983</v>
      </c>
      <c r="AH4533">
        <v>9.3735063078579905</v>
      </c>
      <c r="AI4533">
        <v>96.567182175906296</v>
      </c>
      <c r="AJ4533">
        <v>105.545309580995</v>
      </c>
      <c r="AK4533">
        <v>9.7936818445711307</v>
      </c>
      <c r="AL4533">
        <v>66.574669919360502</v>
      </c>
      <c r="AM4533">
        <v>103.45166502301799</v>
      </c>
      <c r="AN4533">
        <v>1.0000000377598699</v>
      </c>
    </row>
    <row r="4534" spans="1:40" x14ac:dyDescent="0.25">
      <c r="A4534" t="str">
        <f>"20190304164501968"</f>
        <v>20190304164501968</v>
      </c>
      <c r="B4534" t="str">
        <f>"1551689101964570"</f>
        <v>1551689101964570</v>
      </c>
      <c r="C4534" t="s">
        <v>40</v>
      </c>
      <c r="D4534">
        <v>4.9821339999999896</v>
      </c>
      <c r="E4534">
        <v>0.49732700000000002</v>
      </c>
      <c r="F4534" t="s">
        <v>42</v>
      </c>
      <c r="G4534">
        <v>-419.66520000000003</v>
      </c>
      <c r="H4534" s="1">
        <v>-4.6410890000000002E-6</v>
      </c>
      <c r="I4534">
        <v>109.3237</v>
      </c>
      <c r="J4534">
        <v>-419.02120000000002</v>
      </c>
      <c r="K4534">
        <v>1.1200840000000001</v>
      </c>
      <c r="L4534">
        <v>117.9598</v>
      </c>
      <c r="M4534">
        <v>-0.31432599999999999</v>
      </c>
      <c r="N4534">
        <v>-9.02792E-3</v>
      </c>
      <c r="O4534">
        <v>-0.94927209999999995</v>
      </c>
      <c r="P4534">
        <v>-9.1830919999999996E-2</v>
      </c>
      <c r="Q4534">
        <v>0.39431579999999999</v>
      </c>
      <c r="R4534">
        <v>-0.91437550000000001</v>
      </c>
      <c r="S4534">
        <v>-0.2871399</v>
      </c>
      <c r="T4534">
        <v>-0.42940459999999903</v>
      </c>
      <c r="U4534">
        <v>-3.4382929999999998</v>
      </c>
      <c r="V4534">
        <v>-0.2101285</v>
      </c>
      <c r="W4534">
        <v>0.39732689999999998</v>
      </c>
      <c r="X4534">
        <v>0.89329579999999997</v>
      </c>
      <c r="Y4534">
        <v>-0.23453930000000001</v>
      </c>
      <c r="Z4534">
        <v>0.1038081</v>
      </c>
      <c r="AA4534">
        <v>0.96654810000000002</v>
      </c>
      <c r="AB4534">
        <v>35</v>
      </c>
      <c r="AC4534">
        <v>-0.64400000000000501</v>
      </c>
      <c r="AD4534">
        <v>-1.1200886410889901</v>
      </c>
      <c r="AE4534">
        <v>-8.6360999999999901</v>
      </c>
      <c r="AF4534">
        <v>-2.0686988433451199</v>
      </c>
      <c r="AG4534">
        <v>-1.1200886410889901</v>
      </c>
      <c r="AH4534">
        <v>8.2625561924675797</v>
      </c>
      <c r="AI4534">
        <v>97.491579683561497</v>
      </c>
      <c r="AJ4534">
        <v>104.056211431362</v>
      </c>
      <c r="AK4534">
        <v>8.5909224360390102</v>
      </c>
      <c r="AL4534">
        <v>66.5888243784309</v>
      </c>
      <c r="AM4534">
        <v>103.236949507248</v>
      </c>
      <c r="AN4534">
        <v>1.00000001913675</v>
      </c>
    </row>
    <row r="4535" spans="1:40" x14ac:dyDescent="0.25">
      <c r="A4535" t="str">
        <f>"20190304164501991"</f>
        <v>20190304164501991</v>
      </c>
      <c r="B4535" t="str">
        <f>"1551689101985066"</f>
        <v>1551689101985066</v>
      </c>
      <c r="C4535" t="s">
        <v>40</v>
      </c>
      <c r="D4535">
        <v>4.9542219999999997</v>
      </c>
      <c r="E4535">
        <v>0.4977645</v>
      </c>
      <c r="F4535" t="s">
        <v>42</v>
      </c>
      <c r="G4535">
        <v>-419.7235</v>
      </c>
      <c r="H4535" s="1">
        <v>-4.5162470000000003E-6</v>
      </c>
      <c r="I4535">
        <v>109.08150000000001</v>
      </c>
      <c r="J4535">
        <v>-419.12869999999998</v>
      </c>
      <c r="K4535">
        <v>1.120079</v>
      </c>
      <c r="L4535">
        <v>117.6062</v>
      </c>
      <c r="M4535">
        <v>-0.303645099999999</v>
      </c>
      <c r="N4535">
        <v>-8.9685809999999998E-3</v>
      </c>
      <c r="O4535">
        <v>-0.95274309999999995</v>
      </c>
      <c r="P4535">
        <v>-8.3912520000000004E-2</v>
      </c>
      <c r="Q4535">
        <v>0.39409830000000001</v>
      </c>
      <c r="R4535">
        <v>-0.91522990000000004</v>
      </c>
      <c r="S4535">
        <v>-0.27218629999999999</v>
      </c>
      <c r="T4535">
        <v>-0.43409249999999999</v>
      </c>
      <c r="U4535">
        <v>-3.4407960000000002</v>
      </c>
      <c r="V4535">
        <v>-0.20784179999999999</v>
      </c>
      <c r="W4535">
        <v>0.39711730000000001</v>
      </c>
      <c r="X4535">
        <v>0.89392380000000005</v>
      </c>
      <c r="Y4535">
        <v>-0.22786799999999999</v>
      </c>
      <c r="Z4535">
        <v>0.1057486</v>
      </c>
      <c r="AA4535">
        <v>0.96793260000000003</v>
      </c>
      <c r="AB4535">
        <v>36</v>
      </c>
      <c r="AC4535">
        <v>-0.59480000000001998</v>
      </c>
      <c r="AD4535">
        <v>-1.120083516247</v>
      </c>
      <c r="AE4535">
        <v>-8.5246999999999904</v>
      </c>
      <c r="AF4535">
        <v>-1.9877230171473901</v>
      </c>
      <c r="AG4535">
        <v>-1.120083516247</v>
      </c>
      <c r="AH4535">
        <v>8.1625543206347704</v>
      </c>
      <c r="AI4535">
        <v>97.594227933296693</v>
      </c>
      <c r="AJ4535">
        <v>103.686130191131</v>
      </c>
      <c r="AK4535">
        <v>8.4754305444372093</v>
      </c>
      <c r="AL4535">
        <v>66.601911308503205</v>
      </c>
      <c r="AM4535">
        <v>103.08900742721799</v>
      </c>
      <c r="AN4535">
        <v>1.0000000619964799</v>
      </c>
    </row>
    <row r="4536" spans="1:40" x14ac:dyDescent="0.25">
      <c r="A4536" t="str">
        <f>"20190304164502014"</f>
        <v>20190304164502014</v>
      </c>
      <c r="B4536" t="str">
        <f>"1551689102004587"</f>
        <v>1551689102004587</v>
      </c>
      <c r="C4536" t="s">
        <v>40</v>
      </c>
      <c r="D4536">
        <v>4.9815129999999996</v>
      </c>
      <c r="E4536">
        <v>0.49772129999999998</v>
      </c>
      <c r="F4536" t="s">
        <v>42</v>
      </c>
      <c r="G4536">
        <v>-419.75020000000001</v>
      </c>
      <c r="H4536" s="1">
        <v>-4.3814979999999998E-6</v>
      </c>
      <c r="I4536">
        <v>108.8065</v>
      </c>
      <c r="J4536">
        <v>-419.2278</v>
      </c>
      <c r="K4536">
        <v>1.1200509999999999</v>
      </c>
      <c r="L4536">
        <v>117.26690000000001</v>
      </c>
      <c r="M4536">
        <v>-0.29346909999999998</v>
      </c>
      <c r="N4536">
        <v>-8.9162559999999991E-3</v>
      </c>
      <c r="O4536">
        <v>-0.95592699999999997</v>
      </c>
      <c r="P4536">
        <v>-7.4635939999999998E-2</v>
      </c>
      <c r="Q4536">
        <v>0.393121</v>
      </c>
      <c r="R4536">
        <v>-0.91645259999999995</v>
      </c>
      <c r="S4536">
        <v>-0.24328610000000001</v>
      </c>
      <c r="T4536">
        <v>-0.43841740000000001</v>
      </c>
      <c r="U4536">
        <v>-3.4443359999999998</v>
      </c>
      <c r="V4536">
        <v>-0.2074491</v>
      </c>
      <c r="W4536">
        <v>0.39611439999999998</v>
      </c>
      <c r="X4536">
        <v>0.89445969999999997</v>
      </c>
      <c r="Y4536">
        <v>-0.22565279999999999</v>
      </c>
      <c r="Z4536">
        <v>0.10745449999999999</v>
      </c>
      <c r="AA4536">
        <v>0.9682636</v>
      </c>
      <c r="AB4536">
        <v>36</v>
      </c>
      <c r="AC4536">
        <v>-0.52240000000000397</v>
      </c>
      <c r="AD4536">
        <v>-1.1200553814980001</v>
      </c>
      <c r="AE4536">
        <v>-8.4603999999999999</v>
      </c>
      <c r="AF4536">
        <v>-1.94952970299316</v>
      </c>
      <c r="AG4536">
        <v>-1.1200553814980001</v>
      </c>
      <c r="AH4536">
        <v>8.0997389268669995</v>
      </c>
      <c r="AI4536">
        <v>97.657127801396896</v>
      </c>
      <c r="AJ4536">
        <v>103.533132043202</v>
      </c>
      <c r="AK4536">
        <v>8.4060074234965896</v>
      </c>
      <c r="AL4536">
        <v>66.664504311716598</v>
      </c>
      <c r="AM4536">
        <v>103.05756656231399</v>
      </c>
      <c r="AN4536">
        <v>0.99999995095112804</v>
      </c>
    </row>
    <row r="4537" spans="1:40" x14ac:dyDescent="0.25">
      <c r="A4537" t="str">
        <f>"20190304164502036"</f>
        <v>20190304164502036</v>
      </c>
      <c r="B4537" t="str">
        <f>"1551689102025082"</f>
        <v>1551689102025082</v>
      </c>
      <c r="C4537" t="s">
        <v>40</v>
      </c>
      <c r="D4537">
        <v>4.948461</v>
      </c>
      <c r="E4537">
        <v>0.47815049999999998</v>
      </c>
      <c r="F4537" t="s">
        <v>42</v>
      </c>
      <c r="G4537">
        <v>-419.76060000000001</v>
      </c>
      <c r="H4537" s="1">
        <v>-4.2521369999999999E-6</v>
      </c>
      <c r="I4537">
        <v>108.5367</v>
      </c>
      <c r="J4537">
        <v>-419.32220000000001</v>
      </c>
      <c r="K4537">
        <v>1.119998</v>
      </c>
      <c r="L4537">
        <v>116.9306</v>
      </c>
      <c r="M4537">
        <v>-0.28350170000000002</v>
      </c>
      <c r="N4537">
        <v>-8.8669969999999997E-3</v>
      </c>
      <c r="O4537">
        <v>-0.95893070000000002</v>
      </c>
      <c r="P4537">
        <v>-6.448123E-2</v>
      </c>
      <c r="Q4537">
        <v>0.3919398</v>
      </c>
      <c r="R4537">
        <v>-0.91772849999999995</v>
      </c>
      <c r="S4537">
        <v>-0.2102966</v>
      </c>
      <c r="T4537">
        <v>-0.44211410000000001</v>
      </c>
      <c r="U4537">
        <v>-3.4460139999999999</v>
      </c>
      <c r="V4537">
        <v>-0.2081199</v>
      </c>
      <c r="W4537">
        <v>0.39489469999999999</v>
      </c>
      <c r="X4537">
        <v>0.89484319999999895</v>
      </c>
      <c r="Y4537">
        <v>-0.22478300000000001</v>
      </c>
      <c r="Z4537">
        <v>0.1090103</v>
      </c>
      <c r="AA4537">
        <v>0.96829200000000004</v>
      </c>
      <c r="AB4537">
        <v>36</v>
      </c>
      <c r="AC4537">
        <v>-0.43840000000000101</v>
      </c>
      <c r="AD4537">
        <v>-1.1200022521369899</v>
      </c>
      <c r="AE4537">
        <v>-8.3939000000000004</v>
      </c>
      <c r="AF4537">
        <v>-1.92518463917613</v>
      </c>
      <c r="AG4537">
        <v>-1.1200022521369899</v>
      </c>
      <c r="AH4537">
        <v>8.03118143477937</v>
      </c>
      <c r="AI4537">
        <v>97.723037185934103</v>
      </c>
      <c r="AJ4537">
        <v>103.480224737342</v>
      </c>
      <c r="AK4537">
        <v>8.3343035808672408</v>
      </c>
      <c r="AL4537">
        <v>66.740593922120695</v>
      </c>
      <c r="AM4537">
        <v>103.092915389572</v>
      </c>
      <c r="AN4537">
        <v>1.0000000347251601</v>
      </c>
    </row>
    <row r="4538" spans="1:40" x14ac:dyDescent="0.25">
      <c r="A4538" t="str">
        <f>"20190304164502057"</f>
        <v>20190304164502057</v>
      </c>
      <c r="B4538" t="str">
        <f>"1551689102044602"</f>
        <v>1551689102044602</v>
      </c>
      <c r="C4538" t="s">
        <v>40</v>
      </c>
      <c r="D4538">
        <v>4.969697</v>
      </c>
      <c r="E4538">
        <v>0.47683829999999999</v>
      </c>
      <c r="F4538" t="s">
        <v>42</v>
      </c>
      <c r="G4538">
        <v>-419.38220000000001</v>
      </c>
      <c r="H4538" s="1">
        <v>-3.304911E-6</v>
      </c>
      <c r="I4538">
        <v>106.3909</v>
      </c>
      <c r="J4538">
        <v>-419.41090000000003</v>
      </c>
      <c r="K4538">
        <v>1.1199220000000001</v>
      </c>
      <c r="L4538">
        <v>116.602</v>
      </c>
      <c r="M4538">
        <v>-0.27389989999999997</v>
      </c>
      <c r="N4538">
        <v>-8.8201440000000002E-3</v>
      </c>
      <c r="O4538">
        <v>-0.96171810000000002</v>
      </c>
      <c r="P4538">
        <v>-5.5184200000000003E-2</v>
      </c>
      <c r="Q4538">
        <v>0.39080510000000002</v>
      </c>
      <c r="R4538">
        <v>-0.91881809999999997</v>
      </c>
      <c r="S4538">
        <v>-1.9470210000000002E-2</v>
      </c>
      <c r="T4538">
        <v>-0.3637321</v>
      </c>
      <c r="U4538">
        <v>-3.4228969999999999</v>
      </c>
      <c r="V4538">
        <v>-0.20827560000000001</v>
      </c>
      <c r="W4538">
        <v>0.39374969999999998</v>
      </c>
      <c r="X4538">
        <v>0.89531139999999998</v>
      </c>
      <c r="Y4538">
        <v>-0.26829170000000002</v>
      </c>
      <c r="Z4538">
        <v>8.8914820000000006E-2</v>
      </c>
      <c r="AA4538">
        <v>0.95922560000000001</v>
      </c>
      <c r="AB4538">
        <v>36</v>
      </c>
      <c r="AC4538">
        <v>2.87000000000148E-2</v>
      </c>
      <c r="AD4538">
        <v>-1.1199253049109901</v>
      </c>
      <c r="AE4538">
        <v>-10.2111</v>
      </c>
      <c r="AF4538">
        <v>-2.7909570931752699</v>
      </c>
      <c r="AG4538">
        <v>-1.1199253049109901</v>
      </c>
      <c r="AH4538">
        <v>9.6960830420347293</v>
      </c>
      <c r="AI4538">
        <v>96.333683128044797</v>
      </c>
      <c r="AJ4538">
        <v>106.058134443497</v>
      </c>
      <c r="AK4538">
        <v>10.151733868781101</v>
      </c>
      <c r="AL4538">
        <v>66.811981829314306</v>
      </c>
      <c r="AM4538">
        <v>103.0957571023</v>
      </c>
      <c r="AN4538">
        <v>1.0000000273877001</v>
      </c>
    </row>
    <row r="4539" spans="1:40" x14ac:dyDescent="0.25">
      <c r="A4539" t="str">
        <f>"20190304164502080"</f>
        <v>20190304164502080</v>
      </c>
      <c r="B4539" t="str">
        <f>"1551689102074859"</f>
        <v>1551689102074859</v>
      </c>
      <c r="C4539" t="s">
        <v>40</v>
      </c>
      <c r="D4539">
        <v>4.9829480000000004</v>
      </c>
      <c r="E4539">
        <v>0.47743409999999897</v>
      </c>
      <c r="F4539" t="s">
        <v>42</v>
      </c>
      <c r="G4539">
        <v>-419.32859999999999</v>
      </c>
      <c r="H4539" s="1">
        <v>-3.142822E-6</v>
      </c>
      <c r="I4539">
        <v>106.0279</v>
      </c>
      <c r="J4539">
        <v>-419.5016</v>
      </c>
      <c r="K4539">
        <v>1.1198330000000001</v>
      </c>
      <c r="L4539">
        <v>116.2526</v>
      </c>
      <c r="M4539">
        <v>-0.26383600000000001</v>
      </c>
      <c r="N4539">
        <v>-8.7739569999999902E-3</v>
      </c>
      <c r="O4539">
        <v>-0.96452760000000004</v>
      </c>
      <c r="P4539">
        <v>-4.568349E-2</v>
      </c>
      <c r="Q4539">
        <v>0.38994309999999899</v>
      </c>
      <c r="R4539">
        <v>-0.91970510000000005</v>
      </c>
      <c r="S4539">
        <v>2.6611329999999999E-2</v>
      </c>
      <c r="T4539">
        <v>-0.36229800000000001</v>
      </c>
      <c r="U4539">
        <v>-3.4207610000000002</v>
      </c>
      <c r="V4539">
        <v>-0.2081713</v>
      </c>
      <c r="W4539">
        <v>0.3928913</v>
      </c>
      <c r="X4539">
        <v>0.89571270000000003</v>
      </c>
      <c r="Y4539">
        <v>-0.27114329999999998</v>
      </c>
      <c r="Z4539">
        <v>8.9019979999999999E-2</v>
      </c>
      <c r="AA4539">
        <v>0.95841370000000004</v>
      </c>
      <c r="AB4539">
        <v>36</v>
      </c>
      <c r="AC4539">
        <v>0.17300000000000099</v>
      </c>
      <c r="AD4539">
        <v>-1.1198361428219901</v>
      </c>
      <c r="AE4539">
        <v>-10.2247</v>
      </c>
      <c r="AF4539">
        <v>-2.8306728259587701</v>
      </c>
      <c r="AG4539">
        <v>-1.1198361428219901</v>
      </c>
      <c r="AH4539">
        <v>9.7004148386522093</v>
      </c>
      <c r="AI4539">
        <v>96.3237236704352</v>
      </c>
      <c r="AJ4539">
        <v>106.267744503175</v>
      </c>
      <c r="AK4539">
        <v>10.1668475781008</v>
      </c>
      <c r="AL4539">
        <v>66.865476699646393</v>
      </c>
      <c r="AM4539">
        <v>103.083762320858</v>
      </c>
      <c r="AN4539">
        <v>1.0000000523503301</v>
      </c>
    </row>
    <row r="4540" spans="1:40" x14ac:dyDescent="0.25">
      <c r="A4540" t="str">
        <f>"20190304164502103"</f>
        <v>20190304164502103</v>
      </c>
      <c r="B4540" t="str">
        <f>"1551689102094378"</f>
        <v>1551689102094378</v>
      </c>
      <c r="C4540" t="s">
        <v>40</v>
      </c>
      <c r="D4540">
        <v>5.0122929999999997</v>
      </c>
      <c r="E4540">
        <v>0.47823660000000001</v>
      </c>
      <c r="F4540" t="s">
        <v>42</v>
      </c>
      <c r="G4540">
        <v>-419.31990000000002</v>
      </c>
      <c r="H4540" s="1">
        <v>-2.9722859999999902E-6</v>
      </c>
      <c r="I4540">
        <v>105.66379999999999</v>
      </c>
      <c r="J4540">
        <v>-419.59</v>
      </c>
      <c r="K4540">
        <v>1.1197220000000001</v>
      </c>
      <c r="L4540">
        <v>115.8976</v>
      </c>
      <c r="M4540">
        <v>-0.25379499999999999</v>
      </c>
      <c r="N4540">
        <v>-8.7292859999999993E-3</v>
      </c>
      <c r="O4540">
        <v>-0.96721880000000005</v>
      </c>
      <c r="P4540">
        <v>-3.6187039999999997E-2</v>
      </c>
      <c r="Q4540">
        <v>0.3882892</v>
      </c>
      <c r="R4540">
        <v>-0.92082710000000001</v>
      </c>
      <c r="S4540">
        <v>5.8654789999999998E-2</v>
      </c>
      <c r="T4540">
        <v>-0.36148829999999998</v>
      </c>
      <c r="U4540">
        <v>-3.4181059999999999</v>
      </c>
      <c r="V4540">
        <v>-0.20814740000000001</v>
      </c>
      <c r="W4540">
        <v>0.3912525</v>
      </c>
      <c r="X4540">
        <v>0.89643530000000005</v>
      </c>
      <c r="Y4540">
        <v>-0.270128599999999</v>
      </c>
      <c r="Z4540">
        <v>8.934396E-2</v>
      </c>
      <c r="AA4540">
        <v>0.95867000000000002</v>
      </c>
      <c r="AB4540">
        <v>36</v>
      </c>
      <c r="AC4540">
        <v>0.27009999999995599</v>
      </c>
      <c r="AD4540">
        <v>-1.1197249722860001</v>
      </c>
      <c r="AE4540">
        <v>-10.2338</v>
      </c>
      <c r="AF4540">
        <v>-2.82484739934175</v>
      </c>
      <c r="AG4540">
        <v>-1.1197249722860001</v>
      </c>
      <c r="AH4540">
        <v>9.7139372107105295</v>
      </c>
      <c r="AI4540">
        <v>96.316062000741198</v>
      </c>
      <c r="AJ4540">
        <v>106.21461816861201</v>
      </c>
      <c r="AK4540">
        <v>10.178119815405701</v>
      </c>
      <c r="AL4540">
        <v>66.967545209124395</v>
      </c>
      <c r="AM4540">
        <v>103.072128737624</v>
      </c>
      <c r="AN4540">
        <v>1.0000000529845401</v>
      </c>
    </row>
    <row r="4541" spans="1:40" x14ac:dyDescent="0.25">
      <c r="A4541" t="str">
        <f>"20190304164502123"</f>
        <v>20190304164502123</v>
      </c>
      <c r="B4541" t="str">
        <f>"1551689102114874"</f>
        <v>1551689102114874</v>
      </c>
      <c r="C4541" t="s">
        <v>40</v>
      </c>
      <c r="D4541">
        <v>5.0137539999999996</v>
      </c>
      <c r="E4541">
        <v>0.48420180000000002</v>
      </c>
      <c r="F4541" t="s">
        <v>42</v>
      </c>
      <c r="G4541">
        <v>-419.31729999999999</v>
      </c>
      <c r="H4541" s="1">
        <v>-2.8833060000000002E-6</v>
      </c>
      <c r="I4541">
        <v>105.4746</v>
      </c>
      <c r="J4541">
        <v>-419.6687</v>
      </c>
      <c r="K4541">
        <v>1.1196010000000001</v>
      </c>
      <c r="L4541">
        <v>115.56829999999999</v>
      </c>
      <c r="M4541">
        <v>-0.24468100000000001</v>
      </c>
      <c r="N4541">
        <v>-8.6850119999999902E-3</v>
      </c>
      <c r="O4541">
        <v>-0.96956489999999995</v>
      </c>
      <c r="P4541">
        <v>-2.8016019999999999E-2</v>
      </c>
      <c r="Q4541">
        <v>0.38713310000000001</v>
      </c>
      <c r="R4541">
        <v>-0.92159829999999998</v>
      </c>
      <c r="S4541">
        <v>8.9385989999999999E-2</v>
      </c>
      <c r="T4541">
        <v>-0.36700149999999998</v>
      </c>
      <c r="U4541">
        <v>-3.416229</v>
      </c>
      <c r="V4541">
        <v>-0.20764540000000001</v>
      </c>
      <c r="W4541">
        <v>0.39012750000000002</v>
      </c>
      <c r="X4541">
        <v>0.8970418</v>
      </c>
      <c r="Y4541">
        <v>-0.26969100000000001</v>
      </c>
      <c r="Z4541">
        <v>9.1283820000000002E-2</v>
      </c>
      <c r="AA4541">
        <v>0.95861050000000003</v>
      </c>
      <c r="AB4541">
        <v>36</v>
      </c>
      <c r="AC4541">
        <v>0.35140000000001198</v>
      </c>
      <c r="AD4541">
        <v>-1.119603883306</v>
      </c>
      <c r="AE4541">
        <v>-10.093699999999901</v>
      </c>
      <c r="AF4541">
        <v>-2.7764288829369201</v>
      </c>
      <c r="AG4541">
        <v>-1.119603883306</v>
      </c>
      <c r="AH4541">
        <v>9.5831176866602004</v>
      </c>
      <c r="AI4541">
        <v>96.402725440236907</v>
      </c>
      <c r="AJ4541">
        <v>106.15740389922</v>
      </c>
      <c r="AK4541">
        <v>10.0398314126234</v>
      </c>
      <c r="AL4541">
        <v>67.037567786691</v>
      </c>
      <c r="AM4541">
        <v>103.033164463652</v>
      </c>
      <c r="AN4541">
        <v>1.0000000346723199</v>
      </c>
    </row>
    <row r="4542" spans="1:40" x14ac:dyDescent="0.25">
      <c r="A4542" t="str">
        <f>"20190304164502146"</f>
        <v>20190304164502146</v>
      </c>
      <c r="B4542" t="str">
        <f>"1551689102134394"</f>
        <v>1551689102134394</v>
      </c>
      <c r="C4542" t="s">
        <v>40</v>
      </c>
      <c r="D4542">
        <v>5.0065999999999997</v>
      </c>
      <c r="E4542">
        <v>0.48589270000000001</v>
      </c>
      <c r="F4542" t="s">
        <v>42</v>
      </c>
      <c r="G4542">
        <v>-419.44740000000002</v>
      </c>
      <c r="H4542" s="1">
        <v>-2.8358180000000001E-6</v>
      </c>
      <c r="I4542">
        <v>105.423</v>
      </c>
      <c r="J4542">
        <v>-419.74950000000001</v>
      </c>
      <c r="K4542">
        <v>1.1194519999999999</v>
      </c>
      <c r="L4542">
        <v>115.2166</v>
      </c>
      <c r="M4542">
        <v>-0.23518849999999999</v>
      </c>
      <c r="N4542">
        <v>-8.6359739999999994E-3</v>
      </c>
      <c r="O4542">
        <v>-0.97191150000000004</v>
      </c>
      <c r="P4542">
        <v>-1.9627220000000001E-2</v>
      </c>
      <c r="Q4542">
        <v>0.38770710000000003</v>
      </c>
      <c r="R4542">
        <v>-0.92157389999999995</v>
      </c>
      <c r="S4542">
        <v>7.4523930000000002E-2</v>
      </c>
      <c r="T4542">
        <v>-0.37695960000000001</v>
      </c>
      <c r="U4542">
        <v>-3.4158330000000001</v>
      </c>
      <c r="V4542">
        <v>-0.2068546</v>
      </c>
      <c r="W4542">
        <v>0.39074510000000001</v>
      </c>
      <c r="X4542">
        <v>0.89695569999999902</v>
      </c>
      <c r="Y4542">
        <v>-0.25608370000000003</v>
      </c>
      <c r="Z4542">
        <v>9.4628480000000001E-2</v>
      </c>
      <c r="AA4542">
        <v>0.96201179999999997</v>
      </c>
      <c r="AB4542">
        <v>36</v>
      </c>
      <c r="AC4542">
        <v>0.30209999999999498</v>
      </c>
      <c r="AD4542">
        <v>-1.1194548358180001</v>
      </c>
      <c r="AE4542">
        <v>-9.7936000000000103</v>
      </c>
      <c r="AF4542">
        <v>-2.5635902447571199</v>
      </c>
      <c r="AG4542">
        <v>-1.1194548358180001</v>
      </c>
      <c r="AH4542">
        <v>9.3260787906976503</v>
      </c>
      <c r="AI4542">
        <v>96.602135497573997</v>
      </c>
      <c r="AJ4542">
        <v>105.370074342523</v>
      </c>
      <c r="AK4542">
        <v>9.7365763840659394</v>
      </c>
      <c r="AL4542">
        <v>66.999131408015103</v>
      </c>
      <c r="AM4542">
        <v>102.986418276172</v>
      </c>
      <c r="AN4542">
        <v>1.0000000432388201</v>
      </c>
    </row>
    <row r="4543" spans="1:40" x14ac:dyDescent="0.25">
      <c r="A4543" t="str">
        <f>"20190304164502169"</f>
        <v>20190304164502169</v>
      </c>
      <c r="B4543" t="str">
        <f>"1551689102164651"</f>
        <v>1551689102164651</v>
      </c>
      <c r="C4543" t="s">
        <v>40</v>
      </c>
      <c r="D4543">
        <v>5.0277629999999904</v>
      </c>
      <c r="E4543">
        <v>0.48776900000000001</v>
      </c>
      <c r="F4543" t="s">
        <v>42</v>
      </c>
      <c r="G4543">
        <v>-419.47190000000001</v>
      </c>
      <c r="H4543" s="1">
        <v>-2.696479E-6</v>
      </c>
      <c r="I4543">
        <v>105.1374</v>
      </c>
      <c r="J4543">
        <v>-419.82760000000002</v>
      </c>
      <c r="K4543">
        <v>1.1192869999999999</v>
      </c>
      <c r="L4543">
        <v>114.8616</v>
      </c>
      <c r="M4543">
        <v>-0.22587289999999999</v>
      </c>
      <c r="N4543">
        <v>-8.5873600000000005E-3</v>
      </c>
      <c r="O4543">
        <v>-0.97411910000000002</v>
      </c>
      <c r="P4543">
        <v>-1.2080280000000001E-2</v>
      </c>
      <c r="Q4543">
        <v>0.38905499999999998</v>
      </c>
      <c r="R4543">
        <v>-0.9211355</v>
      </c>
      <c r="S4543">
        <v>9.408569E-2</v>
      </c>
      <c r="T4543">
        <v>-0.37950899999999999</v>
      </c>
      <c r="U4543">
        <v>-3.4169770000000002</v>
      </c>
      <c r="V4543">
        <v>-0.20535030000000001</v>
      </c>
      <c r="W4543">
        <v>0.39216190000000001</v>
      </c>
      <c r="X4543">
        <v>0.89668289999999995</v>
      </c>
      <c r="Y4543">
        <v>-0.25232529999999997</v>
      </c>
      <c r="Z4543">
        <v>9.5739690000000002E-2</v>
      </c>
      <c r="AA4543">
        <v>0.96289449999999999</v>
      </c>
      <c r="AB4543">
        <v>36</v>
      </c>
      <c r="AC4543">
        <v>0.35570000000001201</v>
      </c>
      <c r="AD4543">
        <v>-1.119289696479</v>
      </c>
      <c r="AE4543">
        <v>-9.7241999999999909</v>
      </c>
      <c r="AF4543">
        <v>-2.5098131301693298</v>
      </c>
      <c r="AG4543">
        <v>-1.119289696479</v>
      </c>
      <c r="AH4543">
        <v>9.2698798559173206</v>
      </c>
      <c r="AI4543">
        <v>96.647746979755695</v>
      </c>
      <c r="AJ4543">
        <v>105.149580204347</v>
      </c>
      <c r="AK4543">
        <v>9.6686422995245902</v>
      </c>
      <c r="AL4543">
        <v>66.910912897746002</v>
      </c>
      <c r="AM4543">
        <v>102.89893755440799</v>
      </c>
      <c r="AN4543">
        <v>0.99999996233705402</v>
      </c>
    </row>
    <row r="4544" spans="1:40" x14ac:dyDescent="0.25">
      <c r="A4544" t="str">
        <f>"20190304164502191"</f>
        <v>20190304164502191</v>
      </c>
      <c r="B4544" t="str">
        <f>"1551689102185147"</f>
        <v>1551689102185147</v>
      </c>
      <c r="C4544" t="s">
        <v>40</v>
      </c>
      <c r="D4544">
        <v>5.0089930000000003</v>
      </c>
      <c r="E4544">
        <v>0.48887120000000001</v>
      </c>
      <c r="F4544" t="s">
        <v>42</v>
      </c>
      <c r="G4544">
        <v>-419.5016</v>
      </c>
      <c r="H4544" s="1">
        <v>-2.527792E-6</v>
      </c>
      <c r="I4544">
        <v>104.79170000000001</v>
      </c>
      <c r="J4544">
        <v>-419.90309999999999</v>
      </c>
      <c r="K4544">
        <v>1.119102</v>
      </c>
      <c r="L4544">
        <v>114.5031</v>
      </c>
      <c r="M4544">
        <v>-0.216749</v>
      </c>
      <c r="N4544">
        <v>-8.5405949999999998E-3</v>
      </c>
      <c r="O4544">
        <v>-0.97619</v>
      </c>
      <c r="P4544">
        <v>-5.2307090000000001E-3</v>
      </c>
      <c r="Q4544">
        <v>0.39037699999999997</v>
      </c>
      <c r="R4544">
        <v>-0.92064020000000002</v>
      </c>
      <c r="S4544">
        <v>0.1106873</v>
      </c>
      <c r="T4544">
        <v>-0.38000820000000002</v>
      </c>
      <c r="U4544">
        <v>-3.4188079999999998</v>
      </c>
      <c r="V4544">
        <v>-0.20335310000000001</v>
      </c>
      <c r="W4544">
        <v>0.39357389999999998</v>
      </c>
      <c r="X4544">
        <v>0.89651939999999997</v>
      </c>
      <c r="Y4544">
        <v>-0.2479305</v>
      </c>
      <c r="Z4544">
        <v>9.6260639999999995E-2</v>
      </c>
      <c r="AA4544">
        <v>0.96398360000000005</v>
      </c>
      <c r="AB4544">
        <v>36</v>
      </c>
      <c r="AC4544">
        <v>0.40149999999999803</v>
      </c>
      <c r="AD4544">
        <v>-1.119104527792</v>
      </c>
      <c r="AE4544">
        <v>-9.7113999999999905</v>
      </c>
      <c r="AF4544">
        <v>-2.4642990964429901</v>
      </c>
      <c r="AG4544">
        <v>-1.119104527792</v>
      </c>
      <c r="AH4544">
        <v>9.2705919006979904</v>
      </c>
      <c r="AI4544">
        <v>96.654283338469995</v>
      </c>
      <c r="AJ4544">
        <v>104.88606215971301</v>
      </c>
      <c r="AK4544">
        <v>9.6575897184619297</v>
      </c>
      <c r="AL4544">
        <v>66.822937675823994</v>
      </c>
      <c r="AM4544">
        <v>102.77987608180401</v>
      </c>
      <c r="AN4544">
        <v>0.99999996630858901</v>
      </c>
    </row>
    <row r="4545" spans="1:40" x14ac:dyDescent="0.25">
      <c r="A4545" t="str">
        <f>"20190304164502214"</f>
        <v>20190304164502214</v>
      </c>
      <c r="B4545" t="str">
        <f>"1551689102204666"</f>
        <v>1551689102204666</v>
      </c>
      <c r="C4545" t="s">
        <v>40</v>
      </c>
      <c r="D4545">
        <v>5.0506609999999998</v>
      </c>
      <c r="E4545">
        <v>0.49569010000000002</v>
      </c>
      <c r="F4545" t="s">
        <v>42</v>
      </c>
      <c r="G4545">
        <v>-419.51459999999997</v>
      </c>
      <c r="H4545" s="1">
        <v>-2.324242E-6</v>
      </c>
      <c r="I4545">
        <v>104.366</v>
      </c>
      <c r="J4545">
        <v>-419.97500000000002</v>
      </c>
      <c r="K4545">
        <v>1.118908</v>
      </c>
      <c r="L4545">
        <v>114.1474</v>
      </c>
      <c r="M4545">
        <v>-0.20797860000000001</v>
      </c>
      <c r="N4545">
        <v>-8.4971100000000004E-3</v>
      </c>
      <c r="O4545">
        <v>-0.97809659999999998</v>
      </c>
      <c r="P4545">
        <v>1.0808739999999999E-3</v>
      </c>
      <c r="Q4545">
        <v>0.39104460000000002</v>
      </c>
      <c r="R4545">
        <v>-0.92037139999999995</v>
      </c>
      <c r="S4545">
        <v>0.13104250000000001</v>
      </c>
      <c r="T4545">
        <v>-0.3774902</v>
      </c>
      <c r="U4545">
        <v>-3.419403</v>
      </c>
      <c r="V4545">
        <v>-0.20121520000000001</v>
      </c>
      <c r="W4545">
        <v>0.39434219999999998</v>
      </c>
      <c r="X4545">
        <v>0.89666409999999996</v>
      </c>
      <c r="Y4545">
        <v>-0.24496660000000001</v>
      </c>
      <c r="Z4545">
        <v>9.5938620000000002E-2</v>
      </c>
      <c r="AA4545">
        <v>0.96477310000000005</v>
      </c>
      <c r="AB4545">
        <v>36</v>
      </c>
      <c r="AC4545">
        <v>0.46040000000004899</v>
      </c>
      <c r="AD4545">
        <v>-1.118910324242</v>
      </c>
      <c r="AE4545">
        <v>-9.7813999999999997</v>
      </c>
      <c r="AF4545">
        <v>-2.4527031673778801</v>
      </c>
      <c r="AG4545">
        <v>-1.118910324242</v>
      </c>
      <c r="AH4545">
        <v>9.3496673424839205</v>
      </c>
      <c r="AI4545">
        <v>96.603001317012698</v>
      </c>
      <c r="AJ4545">
        <v>104.699219422898</v>
      </c>
      <c r="AK4545">
        <v>9.7305700016017092</v>
      </c>
      <c r="AL4545">
        <v>66.775042903047606</v>
      </c>
      <c r="AM4545">
        <v>102.64788803364</v>
      </c>
      <c r="AN4545">
        <v>0.99999991782034103</v>
      </c>
    </row>
    <row r="4546" spans="1:40" x14ac:dyDescent="0.25">
      <c r="A4546" t="str">
        <f>"20190304164502236"</f>
        <v>20190304164502236</v>
      </c>
      <c r="B4546" t="str">
        <f>"1551689102225163"</f>
        <v>1551689102225163</v>
      </c>
      <c r="C4546" t="s">
        <v>40</v>
      </c>
      <c r="D4546">
        <v>4.9652099999999999</v>
      </c>
      <c r="E4546">
        <v>0.49620170000000002</v>
      </c>
      <c r="F4546" t="s">
        <v>42</v>
      </c>
      <c r="G4546">
        <v>-419.67970000000003</v>
      </c>
      <c r="H4546" s="1">
        <v>-2.382289E-6</v>
      </c>
      <c r="I4546">
        <v>104.55070000000001</v>
      </c>
      <c r="J4546">
        <v>-420.0419</v>
      </c>
      <c r="K4546">
        <v>1.118717</v>
      </c>
      <c r="L4546">
        <v>113.8</v>
      </c>
      <c r="M4546">
        <v>-0.1997015</v>
      </c>
      <c r="N4546">
        <v>-8.4577519999999903E-3</v>
      </c>
      <c r="O4546">
        <v>-0.97982029999999998</v>
      </c>
      <c r="P4546">
        <v>7.6577169999999996E-3</v>
      </c>
      <c r="Q4546">
        <v>0.39179619999999998</v>
      </c>
      <c r="R4546">
        <v>-0.92001999999999995</v>
      </c>
      <c r="S4546">
        <v>0.1054993</v>
      </c>
      <c r="T4546">
        <v>-0.3998389</v>
      </c>
      <c r="U4546">
        <v>-3.4293209999999998</v>
      </c>
      <c r="V4546">
        <v>-0.19980590000000001</v>
      </c>
      <c r="W4546">
        <v>0.39517819999999998</v>
      </c>
      <c r="X4546">
        <v>0.8966113</v>
      </c>
      <c r="Y4546">
        <v>-0.22943920000000001</v>
      </c>
      <c r="Z4546">
        <v>0.102312</v>
      </c>
      <c r="AA4546">
        <v>0.96793070000000003</v>
      </c>
      <c r="AB4546">
        <v>36</v>
      </c>
      <c r="AC4546">
        <v>0.36219999999997199</v>
      </c>
      <c r="AD4546">
        <v>-1.118719382289</v>
      </c>
      <c r="AE4546">
        <v>-9.2492999999999892</v>
      </c>
      <c r="AF4546">
        <v>-2.1703663103325801</v>
      </c>
      <c r="AG4546">
        <v>-1.118719382289</v>
      </c>
      <c r="AH4546">
        <v>8.8612063247829003</v>
      </c>
      <c r="AI4546">
        <v>96.990967401527698</v>
      </c>
      <c r="AJ4546">
        <v>103.76246240593299</v>
      </c>
      <c r="AK4546">
        <v>9.1914634584329509</v>
      </c>
      <c r="AL4546">
        <v>66.722911977619702</v>
      </c>
      <c r="AM4546">
        <v>102.56284036026</v>
      </c>
      <c r="AN4546">
        <v>1.00000001535887</v>
      </c>
    </row>
    <row r="4547" spans="1:40" x14ac:dyDescent="0.25">
      <c r="A4547" t="str">
        <f>"20190304164502258"</f>
        <v>20190304164502258</v>
      </c>
      <c r="B4547" t="str">
        <f>"1551689102254442"</f>
        <v>1551689102254442</v>
      </c>
      <c r="C4547" t="s">
        <v>40</v>
      </c>
      <c r="D4547">
        <v>5.0324650000000002</v>
      </c>
      <c r="E4547">
        <v>0.50043210000000005</v>
      </c>
      <c r="F4547" t="s">
        <v>42</v>
      </c>
      <c r="G4547">
        <v>-419.67419999999998</v>
      </c>
      <c r="H4547" s="1">
        <v>-2.116364E-6</v>
      </c>
      <c r="I4547">
        <v>103.98609999999999</v>
      </c>
      <c r="J4547">
        <v>-420.10750000000002</v>
      </c>
      <c r="K4547">
        <v>1.118536</v>
      </c>
      <c r="L4547">
        <v>113.4442</v>
      </c>
      <c r="M4547">
        <v>-0.19145470000000001</v>
      </c>
      <c r="N4547">
        <v>-8.42230699999999E-3</v>
      </c>
      <c r="O4547">
        <v>-0.98146529999999998</v>
      </c>
      <c r="P4547">
        <v>1.422737E-2</v>
      </c>
      <c r="Q4547">
        <v>0.39323809999999998</v>
      </c>
      <c r="R4547">
        <v>-0.91932670000000005</v>
      </c>
      <c r="S4547">
        <v>0.12838749999999999</v>
      </c>
      <c r="T4547">
        <v>-0.39054660000000002</v>
      </c>
      <c r="U4547">
        <v>-3.4260410000000001</v>
      </c>
      <c r="V4547">
        <v>-0.19840540000000001</v>
      </c>
      <c r="W4547">
        <v>0.39669749999999998</v>
      </c>
      <c r="X4547">
        <v>0.89625129999999997</v>
      </c>
      <c r="Y4547">
        <v>-0.22775570000000001</v>
      </c>
      <c r="Z4547">
        <v>0.10019069999999999</v>
      </c>
      <c r="AA4547">
        <v>0.96855000000000002</v>
      </c>
      <c r="AB4547">
        <v>37</v>
      </c>
      <c r="AC4547">
        <v>0.43330000000003099</v>
      </c>
      <c r="AD4547">
        <v>-1.118538116364</v>
      </c>
      <c r="AE4547">
        <v>-9.4581</v>
      </c>
      <c r="AF4547">
        <v>-2.20536628507221</v>
      </c>
      <c r="AG4547">
        <v>-1.118538116364</v>
      </c>
      <c r="AH4547">
        <v>9.0735294017836399</v>
      </c>
      <c r="AI4547">
        <v>96.830763303431496</v>
      </c>
      <c r="AJ4547">
        <v>103.661121244586</v>
      </c>
      <c r="AK4547">
        <v>9.4044512744829802</v>
      </c>
      <c r="AL4547">
        <v>66.628115104059006</v>
      </c>
      <c r="AM4547">
        <v>102.482405508659</v>
      </c>
      <c r="AN4547">
        <v>1.0000000010035499</v>
      </c>
    </row>
    <row r="4548" spans="1:40" x14ac:dyDescent="0.25">
      <c r="A4548" t="str">
        <f>"20190304164502281"</f>
        <v>20190304164502281</v>
      </c>
      <c r="B4548" t="str">
        <f>"1551689102274939"</f>
        <v>1551689102274939</v>
      </c>
      <c r="C4548" t="s">
        <v>40</v>
      </c>
      <c r="D4548">
        <v>5.0210080000000001</v>
      </c>
      <c r="E4548">
        <v>0.50445429999999902</v>
      </c>
      <c r="F4548" t="s">
        <v>42</v>
      </c>
      <c r="G4548">
        <v>-419.67110000000002</v>
      </c>
      <c r="H4548" s="1">
        <v>-6.5518329999999997E-7</v>
      </c>
      <c r="I4548">
        <v>100.8938</v>
      </c>
      <c r="J4548">
        <v>-420.17239999999998</v>
      </c>
      <c r="K4548">
        <v>1.1183749999999999</v>
      </c>
      <c r="L4548">
        <v>113.0757</v>
      </c>
      <c r="M4548">
        <v>-0.18313769999999999</v>
      </c>
      <c r="N4548">
        <v>-8.3890690000000007E-3</v>
      </c>
      <c r="O4548">
        <v>-0.98305149999999997</v>
      </c>
      <c r="P4548">
        <v>2.04248E-2</v>
      </c>
      <c r="Q4548">
        <v>0.39512890000000001</v>
      </c>
      <c r="R4548">
        <v>-0.91839870000000001</v>
      </c>
      <c r="S4548">
        <v>0.11791989999999899</v>
      </c>
      <c r="T4548">
        <v>-0.30218979999999901</v>
      </c>
      <c r="U4548">
        <v>-3.3906860000000001</v>
      </c>
      <c r="V4548">
        <v>-0.19657930000000001</v>
      </c>
      <c r="W4548">
        <v>0.39867160000000001</v>
      </c>
      <c r="X4548">
        <v>0.89577759999999995</v>
      </c>
      <c r="Y4548">
        <v>-0.2169992</v>
      </c>
      <c r="Z4548">
        <v>7.7050460000000001E-2</v>
      </c>
      <c r="AA4548">
        <v>0.97312619999999905</v>
      </c>
      <c r="AB4548">
        <v>37</v>
      </c>
      <c r="AC4548">
        <v>0.501299999999957</v>
      </c>
      <c r="AD4548">
        <v>-1.1183756551833</v>
      </c>
      <c r="AE4548">
        <v>-12.181900000000001</v>
      </c>
      <c r="AF4548">
        <v>-2.7011368672964799</v>
      </c>
      <c r="AG4548">
        <v>-1.1183756551833</v>
      </c>
      <c r="AH4548">
        <v>11.784886192247701</v>
      </c>
      <c r="AI4548">
        <v>95.284850909636006</v>
      </c>
      <c r="AJ4548">
        <v>102.90941238460699</v>
      </c>
      <c r="AK4548">
        <v>12.142094014057299</v>
      </c>
      <c r="AL4548">
        <v>66.504839671697397</v>
      </c>
      <c r="AM4548">
        <v>102.37741245075</v>
      </c>
      <c r="AN4548">
        <v>0.999999987248404</v>
      </c>
    </row>
    <row r="4549" spans="1:40" x14ac:dyDescent="0.25">
      <c r="A4549" t="str">
        <f>"20190304164502303"</f>
        <v>20190304164502303</v>
      </c>
      <c r="B4549" t="str">
        <f>"1551689102294458"</f>
        <v>1551689102294458</v>
      </c>
      <c r="C4549" t="s">
        <v>40</v>
      </c>
      <c r="D4549">
        <v>4.9852600000000002</v>
      </c>
      <c r="E4549">
        <v>0.50406799999999996</v>
      </c>
      <c r="F4549" t="s">
        <v>42</v>
      </c>
      <c r="G4549">
        <v>-419.85160000000002</v>
      </c>
      <c r="H4549" s="1">
        <v>-1.9707679999999998E-6</v>
      </c>
      <c r="I4549">
        <v>103.74469999999999</v>
      </c>
      <c r="J4549">
        <v>-420.23200000000003</v>
      </c>
      <c r="K4549">
        <v>1.1182259999999999</v>
      </c>
      <c r="L4549">
        <v>112.7209</v>
      </c>
      <c r="M4549">
        <v>-0.1753352</v>
      </c>
      <c r="N4549">
        <v>-8.3555599999999997E-3</v>
      </c>
      <c r="O4549">
        <v>-0.98447340000000005</v>
      </c>
      <c r="P4549">
        <v>2.520762E-2</v>
      </c>
      <c r="Q4549">
        <v>0.3970321</v>
      </c>
      <c r="R4549">
        <v>-0.91745849999999995</v>
      </c>
      <c r="S4549">
        <v>0.1183167</v>
      </c>
      <c r="T4549">
        <v>-0.412468</v>
      </c>
      <c r="U4549">
        <v>-3.441376</v>
      </c>
      <c r="V4549">
        <v>-0.19387380000000001</v>
      </c>
      <c r="W4549">
        <v>0.40066869999999999</v>
      </c>
      <c r="X4549">
        <v>0.89547619999999895</v>
      </c>
      <c r="Y4549">
        <v>-0.20874090000000001</v>
      </c>
      <c r="Z4549">
        <v>0.1065714</v>
      </c>
      <c r="AA4549">
        <v>0.97214699999999998</v>
      </c>
      <c r="AB4549">
        <v>37</v>
      </c>
      <c r="AC4549">
        <v>0.380399999999951</v>
      </c>
      <c r="AD4549">
        <v>-1.1182279707679901</v>
      </c>
      <c r="AE4549">
        <v>-8.9762000000000004</v>
      </c>
      <c r="AF4549">
        <v>-1.9186819384696601</v>
      </c>
      <c r="AG4549">
        <v>-1.1182279707679901</v>
      </c>
      <c r="AH4549">
        <v>8.6366427945066899</v>
      </c>
      <c r="AI4549">
        <v>97.203612710501801</v>
      </c>
      <c r="AJ4549">
        <v>102.525191463431</v>
      </c>
      <c r="AK4549">
        <v>8.9175878428822895</v>
      </c>
      <c r="AL4549">
        <v>66.380012230123796</v>
      </c>
      <c r="AM4549">
        <v>102.21619699517601</v>
      </c>
      <c r="AN4549">
        <v>1.0000000411262799</v>
      </c>
    </row>
    <row r="4550" spans="1:40" x14ac:dyDescent="0.25">
      <c r="A4550" t="str">
        <f>"20190304164502324"</f>
        <v>20190304164502324</v>
      </c>
      <c r="B4550" t="str">
        <f>"1551689102314955"</f>
        <v>1551689102314955</v>
      </c>
      <c r="C4550" t="s">
        <v>40</v>
      </c>
      <c r="D4550">
        <v>4.9882140000000001</v>
      </c>
      <c r="E4550">
        <v>0.49891370000000002</v>
      </c>
      <c r="F4550" t="s">
        <v>42</v>
      </c>
      <c r="G4550">
        <v>-419.83569999999997</v>
      </c>
      <c r="H4550" s="1">
        <v>-1.7111959999999999E-6</v>
      </c>
      <c r="I4550">
        <v>103.1896</v>
      </c>
      <c r="J4550">
        <v>-420.2878</v>
      </c>
      <c r="K4550">
        <v>1.1180810000000001</v>
      </c>
      <c r="L4550">
        <v>112.3737</v>
      </c>
      <c r="M4550">
        <v>-0.16788929999999999</v>
      </c>
      <c r="N4550">
        <v>-8.32017E-3</v>
      </c>
      <c r="O4550">
        <v>-0.98577079999999995</v>
      </c>
      <c r="P4550">
        <v>2.829636E-2</v>
      </c>
      <c r="Q4550">
        <v>0.39870549999999999</v>
      </c>
      <c r="R4550">
        <v>-0.91664250000000003</v>
      </c>
      <c r="S4550">
        <v>0.14306640000000001</v>
      </c>
      <c r="T4550">
        <v>-0.40366380000000002</v>
      </c>
      <c r="U4550">
        <v>-3.4406590000000001</v>
      </c>
      <c r="V4550">
        <v>-0.18986829999999999</v>
      </c>
      <c r="W4550">
        <v>0.40245959999999997</v>
      </c>
      <c r="X4550">
        <v>0.89553130000000003</v>
      </c>
      <c r="Y4550">
        <v>-0.20835329999999999</v>
      </c>
      <c r="Z4550">
        <v>0.10441979999999999</v>
      </c>
      <c r="AA4550">
        <v>0.97246350000000004</v>
      </c>
      <c r="AB4550">
        <v>37</v>
      </c>
      <c r="AC4550">
        <v>0.45210000000002898</v>
      </c>
      <c r="AD4550">
        <v>-1.1180827111959999</v>
      </c>
      <c r="AE4550">
        <v>-9.1841000000000008</v>
      </c>
      <c r="AF4550">
        <v>-1.95868843065622</v>
      </c>
      <c r="AG4550">
        <v>-1.1180827111959999</v>
      </c>
      <c r="AH4550">
        <v>8.8470212263224202</v>
      </c>
      <c r="AI4550">
        <v>97.034265555688194</v>
      </c>
      <c r="AJ4550">
        <v>102.483647252906</v>
      </c>
      <c r="AK4550">
        <v>9.1299700928568992</v>
      </c>
      <c r="AL4550">
        <v>66.267969861864998</v>
      </c>
      <c r="AM4550">
        <v>101.97044546683701</v>
      </c>
      <c r="AN4550">
        <v>1.00000000512837</v>
      </c>
    </row>
    <row r="4551" spans="1:40" x14ac:dyDescent="0.25">
      <c r="A4551" t="str">
        <f>"20190304164502359"</f>
        <v>20190304164502359</v>
      </c>
      <c r="B4551" t="str">
        <f>"1551689102354971"</f>
        <v>1551689102354971</v>
      </c>
      <c r="C4551" t="s">
        <v>40</v>
      </c>
      <c r="D4551">
        <v>4.9754880000000004</v>
      </c>
      <c r="E4551">
        <v>0.50012449999999997</v>
      </c>
      <c r="F4551" t="s">
        <v>42</v>
      </c>
      <c r="G4551">
        <v>-419.60219999999998</v>
      </c>
      <c r="H4551" s="1">
        <v>-5.041794E-7</v>
      </c>
      <c r="I4551">
        <v>100.54859999999999</v>
      </c>
      <c r="J4551">
        <v>-420.3716</v>
      </c>
      <c r="K4551">
        <v>1.117826</v>
      </c>
      <c r="L4551">
        <v>111.8189</v>
      </c>
      <c r="M4551">
        <v>-0.15635929999999901</v>
      </c>
      <c r="N4551">
        <v>-8.24674699999999E-3</v>
      </c>
      <c r="O4551">
        <v>-0.98766600000000004</v>
      </c>
      <c r="P4551">
        <v>3.3286669999999997E-2</v>
      </c>
      <c r="Q4551">
        <v>0.4008061</v>
      </c>
      <c r="R4551">
        <v>-0.91555850000000005</v>
      </c>
      <c r="S4551">
        <v>0.19750980000000001</v>
      </c>
      <c r="T4551">
        <v>-0.32212039999999997</v>
      </c>
      <c r="U4551">
        <v>-3.4068299999999998</v>
      </c>
      <c r="V4551">
        <v>-0.18390599999999999</v>
      </c>
      <c r="W4551">
        <v>0.404723</v>
      </c>
      <c r="X4551">
        <v>0.89575550000000004</v>
      </c>
      <c r="Y4551">
        <v>-0.2129675</v>
      </c>
      <c r="Z4551">
        <v>8.2987530000000004E-2</v>
      </c>
      <c r="AA4551">
        <v>0.97352859999999997</v>
      </c>
      <c r="AB4551">
        <v>37</v>
      </c>
      <c r="AC4551">
        <v>0.76940000000001796</v>
      </c>
      <c r="AD4551">
        <v>-1.1178265041794</v>
      </c>
      <c r="AE4551">
        <v>-11.270300000000001</v>
      </c>
      <c r="AF4551">
        <v>-2.4977544579647399</v>
      </c>
      <c r="AG4551">
        <v>-1.1178265041794</v>
      </c>
      <c r="AH4551">
        <v>10.904587144932</v>
      </c>
      <c r="AI4551">
        <v>95.706167536672098</v>
      </c>
      <c r="AJ4551">
        <v>102.901350951534</v>
      </c>
      <c r="AK4551">
        <v>11.2427013758769</v>
      </c>
      <c r="AL4551">
        <v>66.126230436482203</v>
      </c>
      <c r="AM4551">
        <v>101.60207469325501</v>
      </c>
      <c r="AN4551">
        <v>1.00000001967262</v>
      </c>
    </row>
    <row r="4552" spans="1:40" x14ac:dyDescent="0.25">
      <c r="A4552" t="str">
        <f>"20190304164502382"</f>
        <v>20190304164502382</v>
      </c>
      <c r="B4552" t="str">
        <f>"1551689102374490"</f>
        <v>1551689102374490</v>
      </c>
      <c r="C4552" t="s">
        <v>40</v>
      </c>
      <c r="D4552">
        <v>4.9692339999999904</v>
      </c>
      <c r="E4552">
        <v>0.50460669999999996</v>
      </c>
      <c r="F4552" t="s">
        <v>42</v>
      </c>
      <c r="G4552">
        <v>-419.63529999999997</v>
      </c>
      <c r="H4552" s="1">
        <v>-1.6082230000000001E-7</v>
      </c>
      <c r="I4552">
        <v>99.810559999999995</v>
      </c>
      <c r="J4552">
        <v>-420.42410000000001</v>
      </c>
      <c r="K4552">
        <v>1.117651</v>
      </c>
      <c r="L4552">
        <v>111.4477</v>
      </c>
      <c r="M4552">
        <v>-0.14889059999999901</v>
      </c>
      <c r="N4552">
        <v>-8.1869230000000005E-3</v>
      </c>
      <c r="O4552">
        <v>-0.98882000000000003</v>
      </c>
      <c r="P4552">
        <v>3.6974159999999999E-2</v>
      </c>
      <c r="Q4552">
        <v>0.40181289999999997</v>
      </c>
      <c r="R4552">
        <v>-0.91497539999999999</v>
      </c>
      <c r="S4552">
        <v>0.2089539</v>
      </c>
      <c r="T4552">
        <v>-0.31723899999999999</v>
      </c>
      <c r="U4552">
        <v>-3.4079739999999998</v>
      </c>
      <c r="V4552">
        <v>-0.18051690000000001</v>
      </c>
      <c r="W4552">
        <v>0.40581539999999999</v>
      </c>
      <c r="X4552">
        <v>0.89595059999999904</v>
      </c>
      <c r="Y4552">
        <v>-0.20883119999999999</v>
      </c>
      <c r="Z4552">
        <v>8.1838149999999998E-2</v>
      </c>
      <c r="AA4552">
        <v>0.97452150000000004</v>
      </c>
      <c r="AB4552">
        <v>37</v>
      </c>
      <c r="AC4552">
        <v>0.78880000000003703</v>
      </c>
      <c r="AD4552">
        <v>-1.1176511608223001</v>
      </c>
      <c r="AE4552">
        <v>-11.63714</v>
      </c>
      <c r="AF4552">
        <v>-2.4898641363522498</v>
      </c>
      <c r="AG4552">
        <v>-1.1176511608223001</v>
      </c>
      <c r="AH4552">
        <v>11.2863418782489</v>
      </c>
      <c r="AI4552">
        <v>95.523424110778294</v>
      </c>
      <c r="AJ4552">
        <v>102.440674952705</v>
      </c>
      <c r="AK4552">
        <v>11.6116355664262</v>
      </c>
      <c r="AL4552">
        <v>66.057765193090901</v>
      </c>
      <c r="AM4552">
        <v>101.391493032342</v>
      </c>
      <c r="AN4552">
        <v>0.99999998385156397</v>
      </c>
    </row>
    <row r="4553" spans="1:40" x14ac:dyDescent="0.25">
      <c r="A4553" t="str">
        <f>"20190304164502404"</f>
        <v>20190304164502404</v>
      </c>
      <c r="B4553" t="str">
        <f>"1551689102394987"</f>
        <v>1551689102394987</v>
      </c>
      <c r="C4553" t="s">
        <v>40</v>
      </c>
      <c r="D4553">
        <v>4.9602349999999999</v>
      </c>
      <c r="E4553">
        <v>0.50888999999999995</v>
      </c>
      <c r="F4553" t="s">
        <v>42</v>
      </c>
      <c r="G4553">
        <v>-419.7989</v>
      </c>
      <c r="H4553" s="1">
        <v>-2.4018150000000001E-7</v>
      </c>
      <c r="I4553">
        <v>100.0639</v>
      </c>
      <c r="J4553">
        <v>-420.4735</v>
      </c>
      <c r="K4553">
        <v>1.1174759999999999</v>
      </c>
      <c r="L4553">
        <v>111.0802</v>
      </c>
      <c r="M4553">
        <v>-0.14166589999999901</v>
      </c>
      <c r="N4553">
        <v>-8.1272219999999999E-3</v>
      </c>
      <c r="O4553">
        <v>-0.98988129999999996</v>
      </c>
      <c r="P4553">
        <v>4.0386709999999999E-2</v>
      </c>
      <c r="Q4553">
        <v>0.40129169999999997</v>
      </c>
      <c r="R4553">
        <v>-0.91505959999999997</v>
      </c>
      <c r="S4553">
        <v>0.1877441</v>
      </c>
      <c r="T4553">
        <v>-0.33562959999999997</v>
      </c>
      <c r="U4553">
        <v>-3.4185639999999999</v>
      </c>
      <c r="V4553">
        <v>-0.17716489999999999</v>
      </c>
      <c r="W4553">
        <v>0.40537780000000001</v>
      </c>
      <c r="X4553">
        <v>0.89681739999999999</v>
      </c>
      <c r="Y4553">
        <v>-0.1954391</v>
      </c>
      <c r="Z4553">
        <v>8.7093900000000002E-2</v>
      </c>
      <c r="AA4553">
        <v>0.97684090000000001</v>
      </c>
      <c r="AB4553">
        <v>37</v>
      </c>
      <c r="AC4553">
        <v>0.67459999999999798</v>
      </c>
      <c r="AD4553">
        <v>-1.1174762401814999</v>
      </c>
      <c r="AE4553">
        <v>-11.016299999999999</v>
      </c>
      <c r="AF4553">
        <v>-2.2058682308638602</v>
      </c>
      <c r="AG4553">
        <v>-1.1174762401814999</v>
      </c>
      <c r="AH4553">
        <v>10.699928771230899</v>
      </c>
      <c r="AI4553">
        <v>95.840285137746207</v>
      </c>
      <c r="AJ4553">
        <v>101.648744892517</v>
      </c>
      <c r="AK4553">
        <v>10.981943521468301</v>
      </c>
      <c r="AL4553">
        <v>66.085195948759903</v>
      </c>
      <c r="AM4553">
        <v>101.17480877325799</v>
      </c>
      <c r="AN4553">
        <v>1.0000000057338001</v>
      </c>
    </row>
    <row r="4554" spans="1:40" x14ac:dyDescent="0.25">
      <c r="A4554" t="str">
        <f>"20190304164502427"</f>
        <v>20190304164502427</v>
      </c>
      <c r="B4554" t="str">
        <f>"1551689102414507"</f>
        <v>1551689102414507</v>
      </c>
      <c r="C4554" t="s">
        <v>40</v>
      </c>
      <c r="D4554">
        <v>4.961341</v>
      </c>
      <c r="E4554">
        <v>0.50911499999999998</v>
      </c>
      <c r="F4554" t="s">
        <v>42</v>
      </c>
      <c r="G4554">
        <v>-419.95049999999998</v>
      </c>
      <c r="H4554" s="1">
        <v>-3.5371540000000001E-7</v>
      </c>
      <c r="I4554">
        <v>100.361</v>
      </c>
      <c r="J4554">
        <v>-420.5197</v>
      </c>
      <c r="K4554">
        <v>1.1173219999999999</v>
      </c>
      <c r="L4554">
        <v>110.7176</v>
      </c>
      <c r="M4554">
        <v>-0.134719799999999</v>
      </c>
      <c r="N4554">
        <v>-8.0648990000000004E-3</v>
      </c>
      <c r="O4554">
        <v>-0.99085100000000004</v>
      </c>
      <c r="P4554">
        <v>4.2937999999999997E-2</v>
      </c>
      <c r="Q4554">
        <v>0.40083079999999999</v>
      </c>
      <c r="R4554">
        <v>-0.91514580000000001</v>
      </c>
      <c r="S4554">
        <v>0.16723629999999901</v>
      </c>
      <c r="T4554">
        <v>-0.3573461</v>
      </c>
      <c r="U4554">
        <v>-3.4278110000000002</v>
      </c>
      <c r="V4554">
        <v>-0.17321810000000001</v>
      </c>
      <c r="W4554">
        <v>0.40500730000000001</v>
      </c>
      <c r="X4554">
        <v>0.89775530000000003</v>
      </c>
      <c r="Y4554">
        <v>-0.18254670000000001</v>
      </c>
      <c r="Z4554">
        <v>9.3287490000000001E-2</v>
      </c>
      <c r="AA4554">
        <v>0.97876160000000001</v>
      </c>
      <c r="AB4554">
        <v>37</v>
      </c>
      <c r="AC4554">
        <v>0.56920000000002302</v>
      </c>
      <c r="AD4554">
        <v>-1.1173223537154</v>
      </c>
      <c r="AE4554">
        <v>-10.3566</v>
      </c>
      <c r="AF4554">
        <v>-1.93681990548745</v>
      </c>
      <c r="AG4554">
        <v>-1.1173223537154</v>
      </c>
      <c r="AH4554">
        <v>10.0686572932162</v>
      </c>
      <c r="AI4554">
        <v>96.219124936316007</v>
      </c>
      <c r="AJ4554">
        <v>100.888488427448</v>
      </c>
      <c r="AK4554">
        <v>10.313948820730101</v>
      </c>
      <c r="AL4554">
        <v>66.108415426986497</v>
      </c>
      <c r="AM4554">
        <v>100.92077897716</v>
      </c>
      <c r="AN4554">
        <v>1.00000000094949</v>
      </c>
    </row>
    <row r="4555" spans="1:40" x14ac:dyDescent="0.25">
      <c r="A4555" t="str">
        <f>"20190304164502448"</f>
        <v>20190304164502448</v>
      </c>
      <c r="B4555" t="str">
        <f>"1551689102444763"</f>
        <v>1551689102444763</v>
      </c>
      <c r="C4555" t="s">
        <v>40</v>
      </c>
      <c r="D4555">
        <v>4.9326210000000001</v>
      </c>
      <c r="E4555">
        <v>0.50985689999999995</v>
      </c>
      <c r="F4555" t="s">
        <v>42</v>
      </c>
      <c r="G4555">
        <v>-419.97280000000001</v>
      </c>
      <c r="H4555" s="1">
        <v>-2.5273890000000001E-7</v>
      </c>
      <c r="I4555">
        <v>100.1416</v>
      </c>
      <c r="J4555">
        <v>-420.56310000000002</v>
      </c>
      <c r="K4555">
        <v>1.1171439999999999</v>
      </c>
      <c r="L4555">
        <v>110.3587</v>
      </c>
      <c r="M4555">
        <v>-0.1280415</v>
      </c>
      <c r="N4555">
        <v>-7.9970719999999992E-3</v>
      </c>
      <c r="O4555">
        <v>-0.99173679999999997</v>
      </c>
      <c r="P4555">
        <v>4.595627E-2</v>
      </c>
      <c r="Q4555">
        <v>0.4001517</v>
      </c>
      <c r="R4555">
        <v>-0.9152962</v>
      </c>
      <c r="S4555">
        <v>0.17727660000000001</v>
      </c>
      <c r="T4555">
        <v>-0.36221179999999997</v>
      </c>
      <c r="U4555">
        <v>-3.4285130000000001</v>
      </c>
      <c r="V4555">
        <v>-0.16997889999999999</v>
      </c>
      <c r="W4555">
        <v>0.40439940000000002</v>
      </c>
      <c r="X4555">
        <v>0.898648</v>
      </c>
      <c r="Y4555">
        <v>-0.17876539999999999</v>
      </c>
      <c r="Z4555">
        <v>9.4868460000000002E-2</v>
      </c>
      <c r="AA4555">
        <v>0.97930740000000005</v>
      </c>
      <c r="AB4555">
        <v>37</v>
      </c>
      <c r="AC4555">
        <v>0.59030000000001304</v>
      </c>
      <c r="AD4555">
        <v>-1.1171442527388999</v>
      </c>
      <c r="AE4555">
        <v>-10.2171</v>
      </c>
      <c r="AF4555">
        <v>-1.8713963505337701</v>
      </c>
      <c r="AG4555">
        <v>-1.1171442527388999</v>
      </c>
      <c r="AH4555">
        <v>9.9389815212218409</v>
      </c>
      <c r="AI4555">
        <v>96.303298228888096</v>
      </c>
      <c r="AJ4555">
        <v>100.66329480468301</v>
      </c>
      <c r="AK4555">
        <v>10.175140748972799</v>
      </c>
      <c r="AL4555">
        <v>66.146503170199594</v>
      </c>
      <c r="AM4555">
        <v>100.710932496398</v>
      </c>
      <c r="AN4555">
        <v>0.99999996453478401</v>
      </c>
    </row>
    <row r="4556" spans="1:40" x14ac:dyDescent="0.25">
      <c r="A4556" t="str">
        <f>"20190304164502471"</f>
        <v>20190304164502471</v>
      </c>
      <c r="B4556" t="str">
        <f>"1551689102464282"</f>
        <v>1551689102464282</v>
      </c>
      <c r="C4556" t="s">
        <v>40</v>
      </c>
      <c r="D4556">
        <v>4.9173689999999999</v>
      </c>
      <c r="E4556">
        <v>0.51039279999999998</v>
      </c>
      <c r="F4556" t="s">
        <v>42</v>
      </c>
      <c r="G4556">
        <v>-420.00290000000001</v>
      </c>
      <c r="H4556" s="1">
        <v>-2.107825E-7</v>
      </c>
      <c r="I4556">
        <v>100.0359</v>
      </c>
      <c r="J4556">
        <v>-420.60599999999999</v>
      </c>
      <c r="K4556">
        <v>1.1169530000000001</v>
      </c>
      <c r="L4556">
        <v>109.98390000000001</v>
      </c>
      <c r="M4556">
        <v>-0.12128369999999999</v>
      </c>
      <c r="N4556">
        <v>-7.9202939999999996E-3</v>
      </c>
      <c r="O4556">
        <v>-0.99258639999999998</v>
      </c>
      <c r="P4556">
        <v>4.9510930000000002E-2</v>
      </c>
      <c r="Q4556">
        <v>0.39925719999999998</v>
      </c>
      <c r="R4556">
        <v>-0.91550120000000001</v>
      </c>
      <c r="S4556">
        <v>0.18615719999999999</v>
      </c>
      <c r="T4556">
        <v>-0.37126110000000001</v>
      </c>
      <c r="U4556">
        <v>-3.4306030000000001</v>
      </c>
      <c r="V4556">
        <v>-0.1671868</v>
      </c>
      <c r="W4556">
        <v>0.4035646</v>
      </c>
      <c r="X4556">
        <v>0.89954669999999903</v>
      </c>
      <c r="Y4556">
        <v>-0.17454700000000001</v>
      </c>
      <c r="Z4556">
        <v>9.7594650000000005E-2</v>
      </c>
      <c r="AA4556">
        <v>0.97980029999999996</v>
      </c>
      <c r="AB4556">
        <v>37</v>
      </c>
      <c r="AC4556">
        <v>0.60309999999998298</v>
      </c>
      <c r="AD4556">
        <v>-1.1169532107825</v>
      </c>
      <c r="AE4556">
        <v>-9.9480000000000004</v>
      </c>
      <c r="AF4556">
        <v>-1.7828224732553799</v>
      </c>
      <c r="AG4556">
        <v>-1.1169532107825</v>
      </c>
      <c r="AH4556">
        <v>9.6798266629576695</v>
      </c>
      <c r="AI4556">
        <v>96.474290735104304</v>
      </c>
      <c r="AJ4556">
        <v>100.435737907811</v>
      </c>
      <c r="AK4556">
        <v>9.9058106518915405</v>
      </c>
      <c r="AL4556">
        <v>66.198792163706997</v>
      </c>
      <c r="AM4556">
        <v>100.528672964832</v>
      </c>
      <c r="AN4556">
        <v>1.0000000389741399</v>
      </c>
    </row>
    <row r="4557" spans="1:40" x14ac:dyDescent="0.25">
      <c r="A4557" t="str">
        <f>"20190304164502493"</f>
        <v>20190304164502493</v>
      </c>
      <c r="B4557" t="str">
        <f>"1551689102484838"</f>
        <v>1551689102484838</v>
      </c>
      <c r="C4557" t="s">
        <v>40</v>
      </c>
      <c r="D4557">
        <v>4.8966609999999999</v>
      </c>
      <c r="E4557">
        <v>0.51091439999999999</v>
      </c>
      <c r="F4557" t="s">
        <v>42</v>
      </c>
      <c r="G4557">
        <v>-420.03840000000002</v>
      </c>
      <c r="H4557" s="1">
        <v>-1.5249869999999999E-7</v>
      </c>
      <c r="I4557">
        <v>99.892629999999997</v>
      </c>
      <c r="J4557">
        <v>-420.64679999999998</v>
      </c>
      <c r="K4557">
        <v>1.1167400000000001</v>
      </c>
      <c r="L4557">
        <v>109.60760000000001</v>
      </c>
      <c r="M4557">
        <v>-0.1147435</v>
      </c>
      <c r="N4557">
        <v>-7.8422040000000002E-3</v>
      </c>
      <c r="O4557">
        <v>-0.99336420000000003</v>
      </c>
      <c r="P4557">
        <v>5.3322519999999998E-2</v>
      </c>
      <c r="Q4557">
        <v>0.39874080000000001</v>
      </c>
      <c r="R4557">
        <v>-0.91551210000000005</v>
      </c>
      <c r="S4557">
        <v>0.19305420000000001</v>
      </c>
      <c r="T4557">
        <v>-0.37988620000000001</v>
      </c>
      <c r="U4557">
        <v>-3.4321290000000002</v>
      </c>
      <c r="V4557">
        <v>-0.16481970000000001</v>
      </c>
      <c r="W4557">
        <v>0.40310030000000002</v>
      </c>
      <c r="X4557">
        <v>0.90019139999999997</v>
      </c>
      <c r="Y4557">
        <v>-0.16998669999999999</v>
      </c>
      <c r="Z4557">
        <v>0.1002155</v>
      </c>
      <c r="AA4557">
        <v>0.98033740000000003</v>
      </c>
      <c r="AB4557">
        <v>37</v>
      </c>
      <c r="AC4557">
        <v>0.60839999999995997</v>
      </c>
      <c r="AD4557">
        <v>-1.1167401524987</v>
      </c>
      <c r="AE4557">
        <v>-9.7149699999999903</v>
      </c>
      <c r="AF4557">
        <v>-1.6968118864145101</v>
      </c>
      <c r="AG4557">
        <v>-1.1167401524987</v>
      </c>
      <c r="AH4557">
        <v>9.4565214552064703</v>
      </c>
      <c r="AI4557">
        <v>96.630063705336397</v>
      </c>
      <c r="AJ4557">
        <v>100.172502692675</v>
      </c>
      <c r="AK4557">
        <v>9.6722322748608907</v>
      </c>
      <c r="AL4557">
        <v>66.227862441550798</v>
      </c>
      <c r="AM4557">
        <v>100.375593813921</v>
      </c>
      <c r="AN4557">
        <v>0.99999997100106897</v>
      </c>
    </row>
    <row r="4558" spans="1:40" x14ac:dyDescent="0.25">
      <c r="A4558" t="str">
        <f>"20190304164502516"</f>
        <v>20190304164502516</v>
      </c>
      <c r="B4558" t="str">
        <f>"1551689102504358"</f>
        <v>1551689102504358</v>
      </c>
      <c r="C4558" t="s">
        <v>40</v>
      </c>
      <c r="D4558">
        <v>4.8825690000000002</v>
      </c>
      <c r="E4558">
        <v>0.51154129999999998</v>
      </c>
      <c r="F4558" t="s">
        <v>42</v>
      </c>
      <c r="G4558">
        <v>-420.06560000000002</v>
      </c>
      <c r="H4558" s="1">
        <v>-3.6018200000000003E-8</v>
      </c>
      <c r="I4558">
        <v>99.630870000000002</v>
      </c>
      <c r="J4558">
        <v>-420.68360000000001</v>
      </c>
      <c r="K4558">
        <v>1.116527</v>
      </c>
      <c r="L4558">
        <v>109.24769999999999</v>
      </c>
      <c r="M4558">
        <v>-0.108757199999999</v>
      </c>
      <c r="N4558">
        <v>-7.7708219999999897E-3</v>
      </c>
      <c r="O4558">
        <v>-0.99403799999999998</v>
      </c>
      <c r="P4558">
        <v>5.77101E-2</v>
      </c>
      <c r="Q4558">
        <v>0.39825749999999999</v>
      </c>
      <c r="R4558">
        <v>-0.91545650000000001</v>
      </c>
      <c r="S4558">
        <v>0.1999512</v>
      </c>
      <c r="T4558">
        <v>-0.38421929999999999</v>
      </c>
      <c r="U4558">
        <v>-3.4325260000000002</v>
      </c>
      <c r="V4558">
        <v>-0.1635191</v>
      </c>
      <c r="W4558">
        <v>0.40265600000000001</v>
      </c>
      <c r="X4558">
        <v>0.90062739999999997</v>
      </c>
      <c r="Y4558">
        <v>-0.16599990000000001</v>
      </c>
      <c r="Z4558">
        <v>0.1016367</v>
      </c>
      <c r="AA4558">
        <v>0.98087409999999997</v>
      </c>
      <c r="AB4558">
        <v>38</v>
      </c>
      <c r="AC4558">
        <v>0.617999999999995</v>
      </c>
      <c r="AD4558">
        <v>-1.1165270360182</v>
      </c>
      <c r="AE4558">
        <v>-9.6168299999999896</v>
      </c>
      <c r="AF4558">
        <v>-1.6382727480217401</v>
      </c>
      <c r="AG4558">
        <v>-1.1165270360182</v>
      </c>
      <c r="AH4558">
        <v>9.3668277108657296</v>
      </c>
      <c r="AI4558">
        <v>96.696875546148803</v>
      </c>
      <c r="AJ4558">
        <v>99.920772633813499</v>
      </c>
      <c r="AK4558">
        <v>9.5743423577869002</v>
      </c>
      <c r="AL4558">
        <v>66.255677598940494</v>
      </c>
      <c r="AM4558">
        <v>100.290599700383</v>
      </c>
      <c r="AN4558">
        <v>1.00000003201578</v>
      </c>
    </row>
    <row r="4559" spans="1:40" x14ac:dyDescent="0.25">
      <c r="A4559" t="str">
        <f>"20190304164502537"</f>
        <v>20190304164502537</v>
      </c>
      <c r="B4559" t="str">
        <f>"1551689102524855"</f>
        <v>1551689102524855</v>
      </c>
      <c r="C4559" t="s">
        <v>40</v>
      </c>
      <c r="D4559">
        <v>4.8657490000000001</v>
      </c>
      <c r="E4559">
        <v>0.5120441</v>
      </c>
      <c r="F4559" t="s">
        <v>42</v>
      </c>
      <c r="G4559">
        <v>-420.08499999999998</v>
      </c>
      <c r="H4559" s="1">
        <v>-4.2176110000000002E-6</v>
      </c>
      <c r="I4559">
        <v>99.367760000000004</v>
      </c>
      <c r="J4559">
        <v>-420.71949999999998</v>
      </c>
      <c r="K4559">
        <v>1.116296</v>
      </c>
      <c r="L4559">
        <v>108.87439999999999</v>
      </c>
      <c r="M4559">
        <v>-0.1028396</v>
      </c>
      <c r="N4559">
        <v>-7.7011730000000004E-3</v>
      </c>
      <c r="O4559">
        <v>-0.99466810000000005</v>
      </c>
      <c r="P4559">
        <v>6.2495729999999999E-2</v>
      </c>
      <c r="Q4559">
        <v>0.39817459999999999</v>
      </c>
      <c r="R4559">
        <v>-0.91517839999999995</v>
      </c>
      <c r="S4559">
        <v>0.2079773</v>
      </c>
      <c r="T4559">
        <v>-0.3879321</v>
      </c>
      <c r="U4559">
        <v>-3.4327239999999999</v>
      </c>
      <c r="V4559">
        <v>-0.16264149999999999</v>
      </c>
      <c r="W4559">
        <v>0.40261370000000002</v>
      </c>
      <c r="X4559">
        <v>0.90080519999999997</v>
      </c>
      <c r="Y4559">
        <v>-0.1624072</v>
      </c>
      <c r="Z4559">
        <v>0.10287689999999999</v>
      </c>
      <c r="AA4559">
        <v>0.9813461</v>
      </c>
      <c r="AB4559">
        <v>38</v>
      </c>
      <c r="AC4559">
        <v>0.63450000000000195</v>
      </c>
      <c r="AD4559">
        <v>-1.116300217611</v>
      </c>
      <c r="AE4559">
        <v>-9.5066399999999902</v>
      </c>
      <c r="AF4559">
        <v>-1.58703836246832</v>
      </c>
      <c r="AG4559">
        <v>-1.116300217611</v>
      </c>
      <c r="AH4559">
        <v>9.2638137283166202</v>
      </c>
      <c r="AI4559">
        <v>96.7733376620087</v>
      </c>
      <c r="AJ4559">
        <v>99.721305790892899</v>
      </c>
      <c r="AK4559">
        <v>9.4648328951298399</v>
      </c>
      <c r="AL4559">
        <v>66.258325225994398</v>
      </c>
      <c r="AM4559">
        <v>100.234563561594</v>
      </c>
      <c r="AN4559">
        <v>1.00000002864848</v>
      </c>
    </row>
    <row r="4560" spans="1:40" x14ac:dyDescent="0.25">
      <c r="A4560" t="str">
        <f>"20190304164502560"</f>
        <v>20190304164502560</v>
      </c>
      <c r="B4560" t="str">
        <f>"1551689102555110"</f>
        <v>1551689102555110</v>
      </c>
      <c r="C4560" t="s">
        <v>40</v>
      </c>
      <c r="D4560">
        <v>4.8858800000000002</v>
      </c>
      <c r="E4560">
        <v>0.51254029999999995</v>
      </c>
      <c r="F4560" t="s">
        <v>42</v>
      </c>
      <c r="G4560">
        <v>-420.0899</v>
      </c>
      <c r="H4560" s="1">
        <v>-4.0783469999999998E-6</v>
      </c>
      <c r="I4560">
        <v>99.040080000000003</v>
      </c>
      <c r="J4560">
        <v>-420.75529999999998</v>
      </c>
      <c r="K4560">
        <v>1.11605</v>
      </c>
      <c r="L4560">
        <v>108.48050000000001</v>
      </c>
      <c r="M4560">
        <v>-9.6874799999999997E-2</v>
      </c>
      <c r="N4560">
        <v>-7.6341439999999998E-3</v>
      </c>
      <c r="O4560">
        <v>-0.99526729999999997</v>
      </c>
      <c r="P4560">
        <v>6.7954000000000001E-2</v>
      </c>
      <c r="Q4560">
        <v>0.398254</v>
      </c>
      <c r="R4560">
        <v>-0.91475479999999998</v>
      </c>
      <c r="S4560">
        <v>0.21975710000000001</v>
      </c>
      <c r="T4560">
        <v>-0.38963370000000003</v>
      </c>
      <c r="U4560">
        <v>-3.4325709999999998</v>
      </c>
      <c r="V4560">
        <v>-0.16237969999999999</v>
      </c>
      <c r="W4560">
        <v>0.40272629999999998</v>
      </c>
      <c r="X4560">
        <v>0.90080210000000005</v>
      </c>
      <c r="Y4560">
        <v>-0.15984670000000001</v>
      </c>
      <c r="Z4560">
        <v>0.10354090000000001</v>
      </c>
      <c r="AA4560">
        <v>0.98169669999999998</v>
      </c>
      <c r="AB4560">
        <v>38</v>
      </c>
      <c r="AC4560">
        <v>0.66539999999997601</v>
      </c>
      <c r="AD4560">
        <v>-1.1160540783470001</v>
      </c>
      <c r="AE4560">
        <v>-9.4404199999999996</v>
      </c>
      <c r="AF4560">
        <v>-1.55520723222742</v>
      </c>
      <c r="AG4560">
        <v>-1.1160540783470001</v>
      </c>
      <c r="AH4560">
        <v>9.2035582150606299</v>
      </c>
      <c r="AI4560">
        <v>96.818387129914598</v>
      </c>
      <c r="AJ4560">
        <v>99.591174853163693</v>
      </c>
      <c r="AK4560">
        <v>9.4005175420812606</v>
      </c>
      <c r="AL4560">
        <v>66.251277133028296</v>
      </c>
      <c r="AM4560">
        <v>100.218471050498</v>
      </c>
      <c r="AN4560">
        <v>1.00000003152409</v>
      </c>
    </row>
    <row r="4561" spans="1:40" x14ac:dyDescent="0.25">
      <c r="A4561" t="str">
        <f>"20190304164502583"</f>
        <v>20190304164502583</v>
      </c>
      <c r="B4561" t="str">
        <f>"1551689102574643"</f>
        <v>1551689102574643</v>
      </c>
      <c r="C4561" t="s">
        <v>40</v>
      </c>
      <c r="D4561">
        <v>4.8804730000000003</v>
      </c>
      <c r="E4561">
        <v>0.51270039999999995</v>
      </c>
      <c r="F4561" t="s">
        <v>42</v>
      </c>
      <c r="G4561">
        <v>-420.07310000000001</v>
      </c>
      <c r="H4561" s="1">
        <v>-3.8890679999999997E-6</v>
      </c>
      <c r="I4561">
        <v>98.609279999999998</v>
      </c>
      <c r="J4561">
        <v>-420.78730000000002</v>
      </c>
      <c r="K4561">
        <v>1.115818</v>
      </c>
      <c r="L4561">
        <v>108.10850000000001</v>
      </c>
      <c r="M4561">
        <v>-9.1520850000000001E-2</v>
      </c>
      <c r="N4561">
        <v>-7.5769459999999898E-3</v>
      </c>
      <c r="O4561">
        <v>-0.99577439999999995</v>
      </c>
      <c r="P4561">
        <v>7.3587340000000001E-2</v>
      </c>
      <c r="Q4561">
        <v>0.39826159999999999</v>
      </c>
      <c r="R4561">
        <v>-0.91431549999999995</v>
      </c>
      <c r="S4561">
        <v>0.23712159999999999</v>
      </c>
      <c r="T4561">
        <v>-0.3878955</v>
      </c>
      <c r="U4561">
        <v>-3.4308320000000001</v>
      </c>
      <c r="V4561">
        <v>-0.16286410000000001</v>
      </c>
      <c r="W4561">
        <v>0.40276030000000002</v>
      </c>
      <c r="X4561">
        <v>0.90069940000000004</v>
      </c>
      <c r="Y4561">
        <v>-0.1595203</v>
      </c>
      <c r="Z4561">
        <v>0.1032325</v>
      </c>
      <c r="AA4561">
        <v>0.98178220000000005</v>
      </c>
      <c r="AB4561">
        <v>38</v>
      </c>
      <c r="AC4561">
        <v>0.71420000000000505</v>
      </c>
      <c r="AD4561">
        <v>-1.1158218890680001</v>
      </c>
      <c r="AE4561">
        <v>-9.4992199999999993</v>
      </c>
      <c r="AF4561">
        <v>-1.55921108156187</v>
      </c>
      <c r="AG4561">
        <v>-1.1158218890680001</v>
      </c>
      <c r="AH4561">
        <v>9.2668404733119996</v>
      </c>
      <c r="AI4561">
        <v>96.771657152558802</v>
      </c>
      <c r="AJ4561">
        <v>99.550957809342506</v>
      </c>
      <c r="AK4561">
        <v>9.4631141831218493</v>
      </c>
      <c r="AL4561">
        <v>66.2491478346181</v>
      </c>
      <c r="AM4561">
        <v>100.24945276963901</v>
      </c>
      <c r="AN4561">
        <v>0.99999999174262999</v>
      </c>
    </row>
    <row r="4562" spans="1:40" x14ac:dyDescent="0.25">
      <c r="A4562" t="str">
        <f>"20190304164502604"</f>
        <v>20190304164502604</v>
      </c>
      <c r="B4562" t="str">
        <f>"1551689102595126"</f>
        <v>1551689102595126</v>
      </c>
      <c r="C4562" t="s">
        <v>40</v>
      </c>
      <c r="D4562">
        <v>4.816357</v>
      </c>
      <c r="E4562">
        <v>0.51800729999999995</v>
      </c>
      <c r="F4562" t="s">
        <v>42</v>
      </c>
      <c r="G4562">
        <v>-420.04689999999999</v>
      </c>
      <c r="H4562" s="1">
        <v>-3.7299719999999999E-6</v>
      </c>
      <c r="I4562">
        <v>98.254689999999997</v>
      </c>
      <c r="J4562">
        <v>-420.8168</v>
      </c>
      <c r="K4562">
        <v>1.115577</v>
      </c>
      <c r="L4562">
        <v>107.7441</v>
      </c>
      <c r="M4562">
        <v>-8.6580190000000001E-2</v>
      </c>
      <c r="N4562">
        <v>-7.5248049999999999E-3</v>
      </c>
      <c r="O4562">
        <v>-0.99621649999999995</v>
      </c>
      <c r="P4562">
        <v>7.847577E-2</v>
      </c>
      <c r="Q4562">
        <v>0.39834449999999999</v>
      </c>
      <c r="R4562">
        <v>-0.91387280000000004</v>
      </c>
      <c r="S4562">
        <v>0.25769039999999999</v>
      </c>
      <c r="T4562">
        <v>-0.38835740000000002</v>
      </c>
      <c r="U4562">
        <v>-3.4295650000000002</v>
      </c>
      <c r="V4562">
        <v>-0.16297719999999999</v>
      </c>
      <c r="W4562">
        <v>0.4028852</v>
      </c>
      <c r="X4562">
        <v>0.90062310000000001</v>
      </c>
      <c r="Y4562">
        <v>-0.16050439999999999</v>
      </c>
      <c r="Z4562">
        <v>0.1034964</v>
      </c>
      <c r="AA4562">
        <v>0.98159399999999997</v>
      </c>
      <c r="AB4562">
        <v>38</v>
      </c>
      <c r="AC4562">
        <v>0.76990000000000602</v>
      </c>
      <c r="AD4562">
        <v>-1.115580729972</v>
      </c>
      <c r="AE4562">
        <v>-9.4894099999999995</v>
      </c>
      <c r="AF4562">
        <v>-1.5671103209657999</v>
      </c>
      <c r="AG4562">
        <v>-1.115580729972</v>
      </c>
      <c r="AH4562">
        <v>9.2599736659603593</v>
      </c>
      <c r="AI4562">
        <v>96.774104259388096</v>
      </c>
      <c r="AJ4562">
        <v>99.605431856654207</v>
      </c>
      <c r="AK4562">
        <v>9.4576671234211709</v>
      </c>
      <c r="AL4562">
        <v>66.241329644570996</v>
      </c>
      <c r="AM4562">
        <v>100.25726987954</v>
      </c>
      <c r="AN4562">
        <v>1.0000000101762401</v>
      </c>
    </row>
    <row r="4563" spans="1:40" x14ac:dyDescent="0.25">
      <c r="A4563" t="str">
        <f>"20190304164502628"</f>
        <v>20190304164502628</v>
      </c>
      <c r="B4563" t="str">
        <f>"1551689102624406"</f>
        <v>1551689102624406</v>
      </c>
      <c r="C4563" t="s">
        <v>40</v>
      </c>
      <c r="D4563">
        <v>4.8341159999999999</v>
      </c>
      <c r="E4563">
        <v>0.51866670000000004</v>
      </c>
      <c r="F4563" t="s">
        <v>42</v>
      </c>
      <c r="G4563">
        <v>-420.15089999999998</v>
      </c>
      <c r="H4563" s="1">
        <v>-3.6770079999999999E-6</v>
      </c>
      <c r="I4563">
        <v>98.066680000000005</v>
      </c>
      <c r="J4563">
        <v>-420.84719999999999</v>
      </c>
      <c r="K4563">
        <v>1.115286</v>
      </c>
      <c r="L4563">
        <v>107.3485</v>
      </c>
      <c r="M4563">
        <v>-8.1585589999999999E-2</v>
      </c>
      <c r="N4563">
        <v>-7.4714919999999997E-3</v>
      </c>
      <c r="O4563">
        <v>-0.99663829999999998</v>
      </c>
      <c r="P4563">
        <v>8.2609769999999999E-2</v>
      </c>
      <c r="Q4563">
        <v>0.39743539999999999</v>
      </c>
      <c r="R4563">
        <v>-0.91390400000000005</v>
      </c>
      <c r="S4563">
        <v>0.2363586</v>
      </c>
      <c r="T4563">
        <v>-0.39598050000000001</v>
      </c>
      <c r="U4563">
        <v>-3.4350429999999998</v>
      </c>
      <c r="V4563">
        <v>-0.16227249999999999</v>
      </c>
      <c r="W4563">
        <v>0.40205190000000002</v>
      </c>
      <c r="X4563">
        <v>0.9011226</v>
      </c>
      <c r="Y4563">
        <v>-0.14935489999999901</v>
      </c>
      <c r="Z4563">
        <v>0.10572479999999999</v>
      </c>
      <c r="AA4563">
        <v>0.98311510000000002</v>
      </c>
      <c r="AB4563">
        <v>38</v>
      </c>
      <c r="AC4563">
        <v>0.69630000000000702</v>
      </c>
      <c r="AD4563">
        <v>-1.1152896770080001</v>
      </c>
      <c r="AE4563">
        <v>-9.2818199999999909</v>
      </c>
      <c r="AF4563">
        <v>-1.43072131302757</v>
      </c>
      <c r="AG4563">
        <v>-1.1152896770080001</v>
      </c>
      <c r="AH4563">
        <v>9.0639328588951802</v>
      </c>
      <c r="AI4563">
        <v>96.929861382470406</v>
      </c>
      <c r="AJ4563">
        <v>98.9699993475067</v>
      </c>
      <c r="AK4563">
        <v>9.2436850557421995</v>
      </c>
      <c r="AL4563">
        <v>66.293484962143793</v>
      </c>
      <c r="AM4563">
        <v>100.20831137522801</v>
      </c>
      <c r="AN4563">
        <v>1.0000000173903001</v>
      </c>
    </row>
    <row r="4564" spans="1:40" x14ac:dyDescent="0.25">
      <c r="A4564" t="str">
        <f>"20190304164502649"</f>
        <v>20190304164502649</v>
      </c>
      <c r="B4564" t="str">
        <f>"1551689102644903"</f>
        <v>1551689102644903</v>
      </c>
      <c r="C4564" t="s">
        <v>40</v>
      </c>
      <c r="D4564">
        <v>4.8750710000000002</v>
      </c>
      <c r="E4564">
        <v>0.51917139999999995</v>
      </c>
      <c r="F4564" t="s">
        <v>42</v>
      </c>
      <c r="G4564">
        <v>-420.1515</v>
      </c>
      <c r="H4564" s="1">
        <v>-3.5439519999999998E-6</v>
      </c>
      <c r="I4564">
        <v>97.756159999999994</v>
      </c>
      <c r="J4564">
        <v>-420.87419999999997</v>
      </c>
      <c r="K4564">
        <v>1.1149899999999999</v>
      </c>
      <c r="L4564">
        <v>106.9764</v>
      </c>
      <c r="M4564">
        <v>-7.7244809999999997E-2</v>
      </c>
      <c r="N4564">
        <v>-7.4251959999999898E-3</v>
      </c>
      <c r="O4564">
        <v>-0.9969846</v>
      </c>
      <c r="P4564">
        <v>8.542582E-2</v>
      </c>
      <c r="Q4564">
        <v>0.39627329999999999</v>
      </c>
      <c r="R4564">
        <v>-0.91415009999999997</v>
      </c>
      <c r="S4564">
        <v>0.24902340000000001</v>
      </c>
      <c r="T4564">
        <v>-0.3992348</v>
      </c>
      <c r="U4564">
        <v>-3.4337309999999999</v>
      </c>
      <c r="V4564">
        <v>-0.16085650000000001</v>
      </c>
      <c r="W4564">
        <v>0.40098410000000001</v>
      </c>
      <c r="X4564">
        <v>0.90185199999999999</v>
      </c>
      <c r="Y4564">
        <v>-0.14867540000000001</v>
      </c>
      <c r="Z4564">
        <v>0.1067835</v>
      </c>
      <c r="AA4564">
        <v>0.98310370000000002</v>
      </c>
      <c r="AB4564">
        <v>38</v>
      </c>
      <c r="AC4564">
        <v>0.72269999999997403</v>
      </c>
      <c r="AD4564">
        <v>-1.114993543952</v>
      </c>
      <c r="AE4564">
        <v>-9.2202400000000004</v>
      </c>
      <c r="AF4564">
        <v>-1.41224947467034</v>
      </c>
      <c r="AG4564">
        <v>-1.114993543952</v>
      </c>
      <c r="AH4564">
        <v>9.0059662307763304</v>
      </c>
      <c r="AI4564">
        <v>96.973291004498904</v>
      </c>
      <c r="AJ4564">
        <v>98.912125901282806</v>
      </c>
      <c r="AK4564">
        <v>9.1839581298939308</v>
      </c>
      <c r="AL4564">
        <v>66.3602874063169</v>
      </c>
      <c r="AM4564">
        <v>100.113065671643</v>
      </c>
      <c r="AN4564">
        <v>1.00000004597452</v>
      </c>
    </row>
    <row r="4565" spans="1:40" x14ac:dyDescent="0.25">
      <c r="A4565" t="str">
        <f>"20190304164502672"</f>
        <v>20190304164502672</v>
      </c>
      <c r="B4565" t="str">
        <f>"1551689102664422"</f>
        <v>1551689102664422</v>
      </c>
      <c r="C4565" t="s">
        <v>40</v>
      </c>
      <c r="D4565">
        <v>4.8774879999999996</v>
      </c>
      <c r="E4565">
        <v>0.52009019999999995</v>
      </c>
      <c r="F4565" t="s">
        <v>42</v>
      </c>
      <c r="G4565">
        <v>-420.16730000000001</v>
      </c>
      <c r="H4565" s="1">
        <v>-3.4427699999999999E-6</v>
      </c>
      <c r="I4565">
        <v>97.510549999999995</v>
      </c>
      <c r="J4565">
        <v>-420.90039999999999</v>
      </c>
      <c r="K4565">
        <v>1.114684</v>
      </c>
      <c r="L4565">
        <v>106.59699999999999</v>
      </c>
      <c r="M4565">
        <v>-7.3163829999999999E-2</v>
      </c>
      <c r="N4565">
        <v>-7.3830930000000003E-3</v>
      </c>
      <c r="O4565">
        <v>-0.99729279999999998</v>
      </c>
      <c r="P4565">
        <v>8.7085869999999996E-2</v>
      </c>
      <c r="Q4565">
        <v>0.39338679999999998</v>
      </c>
      <c r="R4565">
        <v>-0.91523949999999998</v>
      </c>
      <c r="S4565">
        <v>0.25640869999999999</v>
      </c>
      <c r="T4565">
        <v>-0.40438449999999998</v>
      </c>
      <c r="U4565">
        <v>-3.4330599999999998</v>
      </c>
      <c r="V4565">
        <v>-0.1585483</v>
      </c>
      <c r="W4565">
        <v>0.39821669999999998</v>
      </c>
      <c r="X4565">
        <v>0.90348539999999999</v>
      </c>
      <c r="Y4565">
        <v>-0.14673349999999999</v>
      </c>
      <c r="Z4565">
        <v>0.10836419999999999</v>
      </c>
      <c r="AA4565">
        <v>0.9832225</v>
      </c>
      <c r="AB4565">
        <v>38</v>
      </c>
      <c r="AC4565">
        <v>0.73309999999997899</v>
      </c>
      <c r="AD4565">
        <v>-1.11468744277</v>
      </c>
      <c r="AE4565">
        <v>-9.0864500000000099</v>
      </c>
      <c r="AF4565">
        <v>-1.3753877852510801</v>
      </c>
      <c r="AG4565">
        <v>-1.11468744277</v>
      </c>
      <c r="AH4565">
        <v>8.8757481741899795</v>
      </c>
      <c r="AI4565">
        <v>97.074619868716596</v>
      </c>
      <c r="AJ4565">
        <v>98.808506561502796</v>
      </c>
      <c r="AK4565">
        <v>9.0505870144717093</v>
      </c>
      <c r="AL4565">
        <v>66.533256623624794</v>
      </c>
      <c r="AM4565">
        <v>99.953216129479102</v>
      </c>
      <c r="AN4565">
        <v>0.99999998580246996</v>
      </c>
    </row>
    <row r="4566" spans="1:40" x14ac:dyDescent="0.25">
      <c r="A4566" t="str">
        <f>"20190304164502693"</f>
        <v>20190304164502693</v>
      </c>
      <c r="B4566" t="str">
        <f>"1551689102684918"</f>
        <v>1551689102684918</v>
      </c>
      <c r="C4566" t="s">
        <v>40</v>
      </c>
      <c r="D4566">
        <v>4.7398819999999997</v>
      </c>
      <c r="E4566">
        <v>0.52050079999999999</v>
      </c>
      <c r="F4566" t="s">
        <v>42</v>
      </c>
      <c r="G4566">
        <v>-420.2122</v>
      </c>
      <c r="H4566" s="1">
        <v>-3.403059E-6</v>
      </c>
      <c r="I4566">
        <v>97.390110000000007</v>
      </c>
      <c r="J4566">
        <v>-420.9246</v>
      </c>
      <c r="K4566">
        <v>1.1143879999999999</v>
      </c>
      <c r="L4566">
        <v>106.2283</v>
      </c>
      <c r="M4566">
        <v>-6.9520960000000007E-2</v>
      </c>
      <c r="N4566">
        <v>-7.347368E-3</v>
      </c>
      <c r="O4566">
        <v>-0.99755349999999998</v>
      </c>
      <c r="P4566">
        <v>8.7900060000000002E-2</v>
      </c>
      <c r="Q4566">
        <v>0.39159630000000001</v>
      </c>
      <c r="R4566">
        <v>-0.91592929999999995</v>
      </c>
      <c r="S4566">
        <v>0.2565308</v>
      </c>
      <c r="T4566">
        <v>-0.41551569999999999</v>
      </c>
      <c r="U4566">
        <v>-3.4319920000000002</v>
      </c>
      <c r="V4566">
        <v>-0.1557868</v>
      </c>
      <c r="W4566">
        <v>0.3965456</v>
      </c>
      <c r="X4566">
        <v>0.90469999999999995</v>
      </c>
      <c r="Y4566">
        <v>-0.1431509</v>
      </c>
      <c r="Z4566">
        <v>0.1116582</v>
      </c>
      <c r="AA4566">
        <v>0.98338199999999998</v>
      </c>
      <c r="AB4566">
        <v>38</v>
      </c>
      <c r="AC4566">
        <v>0.71240000000000203</v>
      </c>
      <c r="AD4566">
        <v>-1.1143914030590001</v>
      </c>
      <c r="AE4566">
        <v>-8.8381900000000098</v>
      </c>
      <c r="AF4566">
        <v>-1.30452646064608</v>
      </c>
      <c r="AG4566">
        <v>-1.1143914030590001</v>
      </c>
      <c r="AH4566">
        <v>8.6309456816738699</v>
      </c>
      <c r="AI4566">
        <v>97.275354431549403</v>
      </c>
      <c r="AJ4566">
        <v>98.594928993894996</v>
      </c>
      <c r="AK4566">
        <v>8.7998227735416599</v>
      </c>
      <c r="AL4566">
        <v>66.637596274843304</v>
      </c>
      <c r="AM4566">
        <v>99.770354556118406</v>
      </c>
      <c r="AN4566">
        <v>1.00000001496679</v>
      </c>
    </row>
    <row r="4567" spans="1:40" x14ac:dyDescent="0.25">
      <c r="A4567" t="str">
        <f>"20190304164502716"</f>
        <v>20190304164502716</v>
      </c>
      <c r="B4567" t="str">
        <f>"1551689102704438"</f>
        <v>1551689102704438</v>
      </c>
      <c r="C4567" t="s">
        <v>40</v>
      </c>
      <c r="D4567">
        <v>4.7897210000000001</v>
      </c>
      <c r="E4567">
        <v>0.52527500000000005</v>
      </c>
      <c r="F4567" t="s">
        <v>42</v>
      </c>
      <c r="G4567">
        <v>-420.2466</v>
      </c>
      <c r="H4567" s="1">
        <v>-3.302517E-6</v>
      </c>
      <c r="I4567">
        <v>97.134399999999999</v>
      </c>
      <c r="J4567">
        <v>-420.9486</v>
      </c>
      <c r="K4567">
        <v>1.1141000000000001</v>
      </c>
      <c r="L4567">
        <v>105.84480000000001</v>
      </c>
      <c r="M4567">
        <v>-6.6068509999999997E-2</v>
      </c>
      <c r="N4567">
        <v>-7.3152089999999996E-3</v>
      </c>
      <c r="O4567">
        <v>-0.99778840000000002</v>
      </c>
      <c r="P4567">
        <v>8.817063E-2</v>
      </c>
      <c r="Q4567">
        <v>0.39105839999999997</v>
      </c>
      <c r="R4567">
        <v>-0.91613299999999998</v>
      </c>
      <c r="S4567">
        <v>0.25576779999999999</v>
      </c>
      <c r="T4567">
        <v>-0.4203866</v>
      </c>
      <c r="U4567">
        <v>-3.430542</v>
      </c>
      <c r="V4567">
        <v>-0.152635299999999</v>
      </c>
      <c r="W4567">
        <v>0.39612629999999999</v>
      </c>
      <c r="X4567">
        <v>0.90542060000000002</v>
      </c>
      <c r="Y4567">
        <v>-0.13952729999999999</v>
      </c>
      <c r="Z4567">
        <v>0.113191899999999</v>
      </c>
      <c r="AA4567">
        <v>0.98372749999999998</v>
      </c>
      <c r="AB4567">
        <v>38</v>
      </c>
      <c r="AC4567">
        <v>0.70199999999999796</v>
      </c>
      <c r="AD4567">
        <v>-1.114103302517</v>
      </c>
      <c r="AE4567">
        <v>-8.7103999999999999</v>
      </c>
      <c r="AF4567">
        <v>-1.2555566404858101</v>
      </c>
      <c r="AG4567">
        <v>-1.114103302517</v>
      </c>
      <c r="AH4567">
        <v>8.5067171593398605</v>
      </c>
      <c r="AI4567">
        <v>97.382335797791796</v>
      </c>
      <c r="AJ4567">
        <v>98.396005036660398</v>
      </c>
      <c r="AK4567">
        <v>8.6707488416603606</v>
      </c>
      <c r="AL4567">
        <v>66.663763496348494</v>
      </c>
      <c r="AM4567">
        <v>99.568921004547605</v>
      </c>
      <c r="AN4567">
        <v>1.0000000216310601</v>
      </c>
    </row>
    <row r="4568" spans="1:40" x14ac:dyDescent="0.25">
      <c r="A4568" t="str">
        <f>"20190304164502739"</f>
        <v>20190304164502739</v>
      </c>
      <c r="B4568" t="str">
        <f>"1551689102734694"</f>
        <v>1551689102734694</v>
      </c>
      <c r="C4568" t="s">
        <v>40</v>
      </c>
      <c r="D4568">
        <v>4.8574719999999996</v>
      </c>
      <c r="E4568">
        <v>0.526070699999999</v>
      </c>
      <c r="F4568" t="s">
        <v>42</v>
      </c>
      <c r="G4568">
        <v>-420.36200000000002</v>
      </c>
      <c r="H4568" s="1">
        <v>-3.1217309999999999E-6</v>
      </c>
      <c r="I4568">
        <v>96.64143</v>
      </c>
      <c r="J4568">
        <v>-420.97190000000001</v>
      </c>
      <c r="K4568">
        <v>1.113804</v>
      </c>
      <c r="L4568">
        <v>105.4521</v>
      </c>
      <c r="M4568">
        <v>-6.2847260000000002E-2</v>
      </c>
      <c r="N4568">
        <v>-7.2866650000000003E-3</v>
      </c>
      <c r="O4568">
        <v>-0.99799669999999896</v>
      </c>
      <c r="P4568">
        <v>8.8097540000000002E-2</v>
      </c>
      <c r="Q4568">
        <v>0.39230300000000001</v>
      </c>
      <c r="R4568">
        <v>-0.91560770000000002</v>
      </c>
      <c r="S4568">
        <v>0.21868899999999999</v>
      </c>
      <c r="T4568">
        <v>-0.41531899999999999</v>
      </c>
      <c r="U4568">
        <v>-3.4308619999999999</v>
      </c>
      <c r="V4568">
        <v>-0.1493295</v>
      </c>
      <c r="W4568">
        <v>0.3974818</v>
      </c>
      <c r="X4568">
        <v>0.90537780000000001</v>
      </c>
      <c r="Y4568">
        <v>-0.1257472</v>
      </c>
      <c r="Z4568">
        <v>0.1119723</v>
      </c>
      <c r="AA4568">
        <v>0.98572300000000002</v>
      </c>
      <c r="AB4568">
        <v>39</v>
      </c>
      <c r="AC4568">
        <v>0.60990000000003797</v>
      </c>
      <c r="AD4568">
        <v>-1.1138071217309999</v>
      </c>
      <c r="AE4568">
        <v>-8.81067</v>
      </c>
      <c r="AF4568">
        <v>-1.14423658694304</v>
      </c>
      <c r="AG4568">
        <v>-1.1138071217309999</v>
      </c>
      <c r="AH4568">
        <v>8.6178556320416408</v>
      </c>
      <c r="AI4568">
        <v>97.300945244261996</v>
      </c>
      <c r="AJ4568">
        <v>97.563214970723294</v>
      </c>
      <c r="AK4568">
        <v>8.7645467290687407</v>
      </c>
      <c r="AL4568">
        <v>66.579152782880499</v>
      </c>
      <c r="AM4568">
        <v>99.365821919256703</v>
      </c>
      <c r="AN4568">
        <v>1.00000002081716</v>
      </c>
    </row>
    <row r="4569" spans="1:40" x14ac:dyDescent="0.25">
      <c r="A4569" t="str">
        <f>"20190304164502762"</f>
        <v>20190304164502762</v>
      </c>
      <c r="B4569" t="str">
        <f>"1551689102755191"</f>
        <v>1551689102755191</v>
      </c>
      <c r="C4569" t="s">
        <v>40</v>
      </c>
      <c r="D4569">
        <v>4.8255309999999998</v>
      </c>
      <c r="E4569">
        <v>0.52635719999999997</v>
      </c>
      <c r="F4569" t="s">
        <v>42</v>
      </c>
      <c r="G4569">
        <v>-420.38869999999997</v>
      </c>
      <c r="H4569" s="1">
        <v>-2.9054959999999999E-6</v>
      </c>
      <c r="I4569">
        <v>96.12079</v>
      </c>
      <c r="J4569">
        <v>-420.99439999999998</v>
      </c>
      <c r="K4569">
        <v>1.11354</v>
      </c>
      <c r="L4569">
        <v>105.0557</v>
      </c>
      <c r="M4569">
        <v>-5.9856670000000001E-2</v>
      </c>
      <c r="N4569">
        <v>-7.2618689999999998E-3</v>
      </c>
      <c r="O4569">
        <v>-0.99818059999999997</v>
      </c>
      <c r="P4569">
        <v>8.8898870000000005E-2</v>
      </c>
      <c r="Q4569">
        <v>0.39404909999999999</v>
      </c>
      <c r="R4569">
        <v>-0.91477989999999998</v>
      </c>
      <c r="S4569">
        <v>0.214447</v>
      </c>
      <c r="T4569">
        <v>-0.40957779999999999</v>
      </c>
      <c r="U4569">
        <v>-3.4313660000000001</v>
      </c>
      <c r="V4569">
        <v>-0.14711689999999999</v>
      </c>
      <c r="W4569">
        <v>0.39931610000000001</v>
      </c>
      <c r="X4569">
        <v>0.90493270000000003</v>
      </c>
      <c r="Y4569">
        <v>-0.1215648</v>
      </c>
      <c r="Z4569">
        <v>0.110422699999999</v>
      </c>
      <c r="AA4569">
        <v>0.98642220000000003</v>
      </c>
      <c r="AB4569">
        <v>39</v>
      </c>
      <c r="AC4569">
        <v>0.60570000000001301</v>
      </c>
      <c r="AD4569">
        <v>-1.113542905496</v>
      </c>
      <c r="AE4569">
        <v>-8.9349100000000004</v>
      </c>
      <c r="AF4569">
        <v>-1.1220930856303499</v>
      </c>
      <c r="AG4569">
        <v>-1.113542905496</v>
      </c>
      <c r="AH4569">
        <v>8.7473877276887908</v>
      </c>
      <c r="AI4569">
        <v>97.1963937571293</v>
      </c>
      <c r="AJ4569">
        <v>97.309839404194307</v>
      </c>
      <c r="AK4569">
        <v>8.8890867221396999</v>
      </c>
      <c r="AL4569">
        <v>66.464567472786101</v>
      </c>
      <c r="AM4569">
        <v>99.233916533774803</v>
      </c>
      <c r="AN4569">
        <v>0.999999960757054</v>
      </c>
    </row>
    <row r="4570" spans="1:40" x14ac:dyDescent="0.25">
      <c r="A4570" t="str">
        <f>"20190304164502783"</f>
        <v>20190304164502783</v>
      </c>
      <c r="B4570" t="str">
        <f>"1551689102774710"</f>
        <v>1551689102774710</v>
      </c>
      <c r="C4570" t="s">
        <v>40</v>
      </c>
      <c r="D4570">
        <v>4.8175889999999999</v>
      </c>
      <c r="E4570">
        <v>0.52644709999999995</v>
      </c>
      <c r="F4570" t="s">
        <v>42</v>
      </c>
      <c r="G4570">
        <v>-420.39839999999998</v>
      </c>
      <c r="H4570" s="1">
        <v>-2.6764950000000002E-6</v>
      </c>
      <c r="I4570">
        <v>95.58099</v>
      </c>
      <c r="J4570">
        <v>-421.01459999999997</v>
      </c>
      <c r="K4570">
        <v>1.1133029999999999</v>
      </c>
      <c r="L4570">
        <v>104.6831</v>
      </c>
      <c r="M4570">
        <v>-5.7277019999999998E-2</v>
      </c>
      <c r="N4570">
        <v>-7.2416579999999998E-3</v>
      </c>
      <c r="O4570">
        <v>-0.99833209999999994</v>
      </c>
      <c r="P4570">
        <v>8.9986969999999999E-2</v>
      </c>
      <c r="Q4570">
        <v>0.39582089999999998</v>
      </c>
      <c r="R4570">
        <v>-0.91390819999999995</v>
      </c>
      <c r="S4570">
        <v>0.21591189999999999</v>
      </c>
      <c r="T4570">
        <v>-0.40338540000000001</v>
      </c>
      <c r="U4570">
        <v>-3.4322509999999999</v>
      </c>
      <c r="V4570">
        <v>-0.1455901</v>
      </c>
      <c r="W4570">
        <v>0.40116180000000001</v>
      </c>
      <c r="X4570">
        <v>0.90436320000000003</v>
      </c>
      <c r="Y4570">
        <v>-0.1194173</v>
      </c>
      <c r="Z4570">
        <v>0.10869819999999999</v>
      </c>
      <c r="AA4570">
        <v>0.98687599999999998</v>
      </c>
      <c r="AB4570">
        <v>39</v>
      </c>
      <c r="AC4570">
        <v>0.61619999999999198</v>
      </c>
      <c r="AD4570">
        <v>-1.113305676495</v>
      </c>
      <c r="AE4570">
        <v>-9.1021099999999908</v>
      </c>
      <c r="AF4570">
        <v>-1.1198664585151801</v>
      </c>
      <c r="AG4570">
        <v>-1.113305676495</v>
      </c>
      <c r="AH4570">
        <v>8.9190472537323799</v>
      </c>
      <c r="AI4570">
        <v>97.060184060576702</v>
      </c>
      <c r="AJ4570">
        <v>97.156548536131098</v>
      </c>
      <c r="AK4570">
        <v>9.05775658364335</v>
      </c>
      <c r="AL4570">
        <v>66.349172491211704</v>
      </c>
      <c r="AM4570">
        <v>99.1453695877115</v>
      </c>
      <c r="AN4570">
        <v>1.0000000322557401</v>
      </c>
    </row>
    <row r="4571" spans="1:40" x14ac:dyDescent="0.25">
      <c r="A4571" t="str">
        <f>"20190304164502804"</f>
        <v>20190304164502804</v>
      </c>
      <c r="B4571" t="str">
        <f>"1551689102795207"</f>
        <v>1551689102795207</v>
      </c>
      <c r="C4571" t="s">
        <v>40</v>
      </c>
      <c r="D4571">
        <v>4.834187</v>
      </c>
      <c r="E4571">
        <v>0.52662169999999997</v>
      </c>
      <c r="F4571" t="s">
        <v>42</v>
      </c>
      <c r="G4571">
        <v>-420.39580000000001</v>
      </c>
      <c r="H4571" s="1">
        <v>-2.4624159999999999E-6</v>
      </c>
      <c r="I4571">
        <v>95.083539999999999</v>
      </c>
      <c r="J4571">
        <v>-421.03440000000001</v>
      </c>
      <c r="K4571">
        <v>1.113049</v>
      </c>
      <c r="L4571">
        <v>104.30370000000001</v>
      </c>
      <c r="M4571">
        <v>-5.4898719999999998E-2</v>
      </c>
      <c r="N4571">
        <v>-7.2232090000000004E-3</v>
      </c>
      <c r="O4571">
        <v>-0.99846590000000002</v>
      </c>
      <c r="P4571">
        <v>9.0739449999999999E-2</v>
      </c>
      <c r="Q4571">
        <v>0.39550560000000001</v>
      </c>
      <c r="R4571">
        <v>-0.91397070000000002</v>
      </c>
      <c r="S4571">
        <v>0.2213135</v>
      </c>
      <c r="T4571">
        <v>-0.39816950000000001</v>
      </c>
      <c r="U4571">
        <v>-3.4332579999999999</v>
      </c>
      <c r="V4571">
        <v>-0.14393539999999999</v>
      </c>
      <c r="W4571">
        <v>0.40093259999999997</v>
      </c>
      <c r="X4571">
        <v>0.90472960000000002</v>
      </c>
      <c r="Y4571">
        <v>-0.11859219999999999</v>
      </c>
      <c r="Z4571">
        <v>0.1072268</v>
      </c>
      <c r="AA4571">
        <v>0.98713640000000002</v>
      </c>
      <c r="AB4571">
        <v>39</v>
      </c>
      <c r="AC4571">
        <v>0.63859999999999595</v>
      </c>
      <c r="AD4571">
        <v>-1.1130514624159999</v>
      </c>
      <c r="AE4571">
        <v>-9.2201599999999999</v>
      </c>
      <c r="AF4571">
        <v>-1.1274726438757501</v>
      </c>
      <c r="AG4571">
        <v>-1.1130514624159999</v>
      </c>
      <c r="AH4571">
        <v>9.0400818361259603</v>
      </c>
      <c r="AI4571">
        <v>96.965731169139602</v>
      </c>
      <c r="AJ4571">
        <v>97.109180090154098</v>
      </c>
      <c r="AK4571">
        <v>9.1778623722808703</v>
      </c>
      <c r="AL4571">
        <v>66.363507216425702</v>
      </c>
      <c r="AM4571">
        <v>99.039553553356001</v>
      </c>
      <c r="AN4571">
        <v>0.99999999911603998</v>
      </c>
    </row>
    <row r="4572" spans="1:40" x14ac:dyDescent="0.25">
      <c r="A4572" t="str">
        <f>"20190304164502829"</f>
        <v>20190304164502829</v>
      </c>
      <c r="B4572" t="str">
        <f>"1551689102824487"</f>
        <v>1551689102824487</v>
      </c>
      <c r="C4572" t="s">
        <v>40</v>
      </c>
      <c r="D4572">
        <v>4.8364469999999997</v>
      </c>
      <c r="E4572">
        <v>0.52712700000000001</v>
      </c>
      <c r="F4572" t="s">
        <v>42</v>
      </c>
      <c r="G4572">
        <v>-420.40120000000002</v>
      </c>
      <c r="H4572" s="1">
        <v>-2.3136760000000002E-6</v>
      </c>
      <c r="I4572">
        <v>94.733540000000005</v>
      </c>
      <c r="J4572">
        <v>-421.05470000000003</v>
      </c>
      <c r="K4572">
        <v>1.112754</v>
      </c>
      <c r="L4572">
        <v>103.90089999999999</v>
      </c>
      <c r="M4572">
        <v>-5.2669220000000003E-2</v>
      </c>
      <c r="N4572">
        <v>-7.2053799999999999E-3</v>
      </c>
      <c r="O4572">
        <v>-0.99858619999999998</v>
      </c>
      <c r="P4572">
        <v>9.0735079999999996E-2</v>
      </c>
      <c r="Q4572">
        <v>0.39336349999999998</v>
      </c>
      <c r="R4572">
        <v>-0.91489500000000001</v>
      </c>
      <c r="S4572">
        <v>0.22714229999999999</v>
      </c>
      <c r="T4572">
        <v>-0.39922429999999998</v>
      </c>
      <c r="U4572">
        <v>-3.4325869999999998</v>
      </c>
      <c r="V4572">
        <v>-0.14165349999999999</v>
      </c>
      <c r="W4572">
        <v>0.398899</v>
      </c>
      <c r="X4572">
        <v>0.90598780000000001</v>
      </c>
      <c r="Y4572">
        <v>-0.11805450000000001</v>
      </c>
      <c r="Z4572">
        <v>0.1075844</v>
      </c>
      <c r="AA4572">
        <v>0.98716190000000004</v>
      </c>
      <c r="AB4572">
        <v>39</v>
      </c>
      <c r="AC4572">
        <v>0.65350000000000796</v>
      </c>
      <c r="AD4572">
        <v>-1.1127563136759999</v>
      </c>
      <c r="AE4572">
        <v>-9.1673599999999809</v>
      </c>
      <c r="AF4572">
        <v>-1.11903883873126</v>
      </c>
      <c r="AG4572">
        <v>-1.1127563136759999</v>
      </c>
      <c r="AH4572">
        <v>8.9884514530828206</v>
      </c>
      <c r="AI4572">
        <v>97.003696067487994</v>
      </c>
      <c r="AJ4572">
        <v>97.096660784549499</v>
      </c>
      <c r="AK4572">
        <v>9.1259374346223492</v>
      </c>
      <c r="AL4572">
        <v>66.490632571701695</v>
      </c>
      <c r="AM4572">
        <v>98.886394539638104</v>
      </c>
      <c r="AN4572">
        <v>1.00000001000604</v>
      </c>
    </row>
    <row r="4573" spans="1:40" x14ac:dyDescent="0.25">
      <c r="A4573" t="str">
        <f>"20190304164502851"</f>
        <v>20190304164502851</v>
      </c>
      <c r="B4573" t="str">
        <f>"1551689102844984"</f>
        <v>1551689102844984</v>
      </c>
      <c r="C4573" t="s">
        <v>40</v>
      </c>
      <c r="D4573">
        <v>4.8429769999999897</v>
      </c>
      <c r="E4573">
        <v>0.52727899999999905</v>
      </c>
      <c r="F4573" t="s">
        <v>42</v>
      </c>
      <c r="G4573">
        <v>-420.43419999999998</v>
      </c>
      <c r="H4573" s="1">
        <v>-2.24182E-6</v>
      </c>
      <c r="I4573">
        <v>94.545550000000006</v>
      </c>
      <c r="J4573">
        <v>-421.07429999999999</v>
      </c>
      <c r="K4573">
        <v>1.1124289999999999</v>
      </c>
      <c r="L4573">
        <v>103.49760000000001</v>
      </c>
      <c r="M4573">
        <v>-5.0765310000000001E-2</v>
      </c>
      <c r="N4573">
        <v>-7.1897100000000002E-3</v>
      </c>
      <c r="O4573">
        <v>-0.99868489999999999</v>
      </c>
      <c r="P4573">
        <v>9.1608930000000005E-2</v>
      </c>
      <c r="Q4573">
        <v>0.39168829999999999</v>
      </c>
      <c r="R4573">
        <v>-0.91552639999999996</v>
      </c>
      <c r="S4573">
        <v>0.22763059999999999</v>
      </c>
      <c r="T4573">
        <v>-0.4082115</v>
      </c>
      <c r="U4573">
        <v>-3.4319760000000001</v>
      </c>
      <c r="V4573">
        <v>-0.14050379999999901</v>
      </c>
      <c r="W4573">
        <v>0.39733170000000001</v>
      </c>
      <c r="X4573">
        <v>0.90685510000000003</v>
      </c>
      <c r="Y4573">
        <v>-0.11629349999999999</v>
      </c>
      <c r="Z4573">
        <v>0.1102001</v>
      </c>
      <c r="AA4573">
        <v>0.98708240000000003</v>
      </c>
      <c r="AB4573">
        <v>39</v>
      </c>
      <c r="AC4573">
        <v>0.64010000000001799</v>
      </c>
      <c r="AD4573">
        <v>-1.11243124182</v>
      </c>
      <c r="AE4573">
        <v>-8.9520499999999998</v>
      </c>
      <c r="AF4573">
        <v>-1.07719060038114</v>
      </c>
      <c r="AG4573">
        <v>-1.11243124182</v>
      </c>
      <c r="AH4573">
        <v>8.7732246880100107</v>
      </c>
      <c r="AI4573">
        <v>97.173152594825495</v>
      </c>
      <c r="AJ4573">
        <v>96.999833104118395</v>
      </c>
      <c r="AK4573">
        <v>8.9088334973572696</v>
      </c>
      <c r="AL4573">
        <v>66.588523840505403</v>
      </c>
      <c r="AM4573">
        <v>98.807108753325593</v>
      </c>
      <c r="AN4573">
        <v>0.99999998501766996</v>
      </c>
    </row>
    <row r="4574" spans="1:40" x14ac:dyDescent="0.25">
      <c r="A4574" t="str">
        <f>"20190304164502873"</f>
        <v>20190304164502873</v>
      </c>
      <c r="B4574" t="str">
        <f>"1551689102864506"</f>
        <v>1551689102864506</v>
      </c>
      <c r="C4574" t="s">
        <v>40</v>
      </c>
      <c r="D4574">
        <v>4.8320280000000002</v>
      </c>
      <c r="E4574">
        <v>0.527412199999999</v>
      </c>
      <c r="F4574" t="s">
        <v>42</v>
      </c>
      <c r="G4574">
        <v>-420.46559999999999</v>
      </c>
      <c r="H4574" s="1">
        <v>-2.151344E-6</v>
      </c>
      <c r="I4574">
        <v>94.31514</v>
      </c>
      <c r="J4574">
        <v>-421.09219999999999</v>
      </c>
      <c r="K4574">
        <v>1.112106</v>
      </c>
      <c r="L4574">
        <v>103.1221</v>
      </c>
      <c r="M4574">
        <v>-4.9317189999999997E-2</v>
      </c>
      <c r="N4574">
        <v>-7.1775700000000003E-3</v>
      </c>
      <c r="O4574">
        <v>-0.99875749999999996</v>
      </c>
      <c r="P4574">
        <v>9.0728970000000006E-2</v>
      </c>
      <c r="Q4574">
        <v>0.3898548</v>
      </c>
      <c r="R4574">
        <v>-0.91639599999999999</v>
      </c>
      <c r="S4574">
        <v>0.22747800000000001</v>
      </c>
      <c r="T4574">
        <v>-0.41576800000000003</v>
      </c>
      <c r="U4574">
        <v>-3.431915</v>
      </c>
      <c r="V4574">
        <v>-0.1380265</v>
      </c>
      <c r="W4574">
        <v>0.39561740000000001</v>
      </c>
      <c r="X4574">
        <v>0.90798429999999997</v>
      </c>
      <c r="Y4574">
        <v>-0.11479449999999999</v>
      </c>
      <c r="Z4574">
        <v>0.11238139999999899</v>
      </c>
      <c r="AA4574">
        <v>0.987012</v>
      </c>
      <c r="AB4574">
        <v>39</v>
      </c>
      <c r="AC4574">
        <v>0.62659999999999605</v>
      </c>
      <c r="AD4574">
        <v>-1.1121081513439901</v>
      </c>
      <c r="AE4574">
        <v>-8.8069600000000001</v>
      </c>
      <c r="AF4574">
        <v>-1.0436256818076199</v>
      </c>
      <c r="AG4574">
        <v>-1.1121081513439901</v>
      </c>
      <c r="AH4574">
        <v>8.6284467511977994</v>
      </c>
      <c r="AI4574">
        <v>97.291716591155705</v>
      </c>
      <c r="AJ4574">
        <v>96.896524156414401</v>
      </c>
      <c r="AK4574">
        <v>8.7621933579595304</v>
      </c>
      <c r="AL4574">
        <v>66.695513867710304</v>
      </c>
      <c r="AM4574">
        <v>98.643597375144395</v>
      </c>
      <c r="AN4574">
        <v>0.99999996546574899</v>
      </c>
    </row>
    <row r="4575" spans="1:40" x14ac:dyDescent="0.25">
      <c r="A4575" t="str">
        <f>"20190304164502886"</f>
        <v>20190304164502886</v>
      </c>
      <c r="B4575" t="str">
        <f>"1551689102875239"</f>
        <v>1551689102875239</v>
      </c>
      <c r="C4575" t="s">
        <v>40</v>
      </c>
      <c r="D4575">
        <v>4.8382630000000004</v>
      </c>
      <c r="E4575">
        <v>0.52749290000000004</v>
      </c>
      <c r="F4575" t="s">
        <v>42</v>
      </c>
      <c r="G4575">
        <v>-420.50900000000001</v>
      </c>
      <c r="H4575" s="1">
        <v>-2.0741030000000001E-6</v>
      </c>
      <c r="I4575">
        <v>94.108180000000004</v>
      </c>
      <c r="J4575">
        <v>-421.10379999999998</v>
      </c>
      <c r="K4575">
        <v>1.11188</v>
      </c>
      <c r="L4575">
        <v>102.8745</v>
      </c>
      <c r="M4575">
        <v>-4.8573989999999997E-2</v>
      </c>
      <c r="N4575">
        <v>-7.1710699999999999E-3</v>
      </c>
      <c r="O4575">
        <v>-0.99879379999999995</v>
      </c>
      <c r="P4575">
        <v>9.0274919999999995E-2</v>
      </c>
      <c r="Q4575">
        <v>0.38894960000000001</v>
      </c>
      <c r="R4575">
        <v>-0.91682529999999995</v>
      </c>
      <c r="S4575">
        <v>0.2220154</v>
      </c>
      <c r="T4575">
        <v>-0.42341079999999998</v>
      </c>
      <c r="U4575">
        <v>-3.431854</v>
      </c>
      <c r="V4575">
        <v>-0.1366964</v>
      </c>
      <c r="W4575">
        <v>0.39479039999999999</v>
      </c>
      <c r="X4575">
        <v>0.9085453</v>
      </c>
      <c r="Y4575">
        <v>-0.1124759</v>
      </c>
      <c r="Z4575">
        <v>0.11458599999999999</v>
      </c>
      <c r="AA4575">
        <v>0.98702540000000005</v>
      </c>
      <c r="AB4575">
        <v>39</v>
      </c>
      <c r="AC4575">
        <v>0.59479999999996302</v>
      </c>
      <c r="AD4575">
        <v>-1.111882074103</v>
      </c>
      <c r="AE4575">
        <v>-8.7663199999999897</v>
      </c>
      <c r="AF4575">
        <v>-1.0038487640278699</v>
      </c>
      <c r="AG4575">
        <v>-1.111882074103</v>
      </c>
      <c r="AH4575">
        <v>8.5895300330710498</v>
      </c>
      <c r="AI4575">
        <v>97.326390951828699</v>
      </c>
      <c r="AJ4575">
        <v>96.665855231510307</v>
      </c>
      <c r="AK4575">
        <v>8.7191754356006292</v>
      </c>
      <c r="AL4575">
        <v>66.747096622515201</v>
      </c>
      <c r="AM4575">
        <v>98.556334870186703</v>
      </c>
      <c r="AN4575">
        <v>0.99999996392860402</v>
      </c>
    </row>
    <row r="4576" spans="1:40" x14ac:dyDescent="0.25">
      <c r="A4576" t="str">
        <f>"20190304164502906"</f>
        <v>20190304164502906</v>
      </c>
      <c r="B4576" t="str">
        <f>"1551689102894663"</f>
        <v>1551689102894663</v>
      </c>
      <c r="C4576" t="s">
        <v>40</v>
      </c>
      <c r="D4576">
        <v>4.8533650000000002</v>
      </c>
      <c r="E4576">
        <v>0.52768029999999999</v>
      </c>
      <c r="F4576" t="s">
        <v>42</v>
      </c>
      <c r="G4576">
        <v>-420.53629999999998</v>
      </c>
      <c r="H4576" s="1">
        <v>-2.0098689999999998E-6</v>
      </c>
      <c r="I4576">
        <v>93.941540000000003</v>
      </c>
      <c r="J4576">
        <v>-421.1198</v>
      </c>
      <c r="K4576">
        <v>1.1115569999999999</v>
      </c>
      <c r="L4576">
        <v>102.53230000000001</v>
      </c>
      <c r="M4576">
        <v>-4.774581E-2</v>
      </c>
      <c r="N4576">
        <v>-7.1636590000000002E-3</v>
      </c>
      <c r="O4576">
        <v>-0.998834</v>
      </c>
      <c r="P4576">
        <v>8.9026229999999998E-2</v>
      </c>
      <c r="Q4576">
        <v>0.38723059999999998</v>
      </c>
      <c r="R4576">
        <v>-0.91767469999999995</v>
      </c>
      <c r="S4576">
        <v>0.21801760000000001</v>
      </c>
      <c r="T4576">
        <v>-0.42716670000000001</v>
      </c>
      <c r="U4576">
        <v>-3.4318849999999999</v>
      </c>
      <c r="V4576">
        <v>-0.13442989999999999</v>
      </c>
      <c r="W4576">
        <v>0.39318330000000001</v>
      </c>
      <c r="X4576">
        <v>0.9095799</v>
      </c>
      <c r="Y4576">
        <v>-0.11049870000000001</v>
      </c>
      <c r="Z4576">
        <v>0.11568249999999999</v>
      </c>
      <c r="AA4576">
        <v>0.98712089999999997</v>
      </c>
      <c r="AB4576">
        <v>39</v>
      </c>
      <c r="AC4576">
        <v>0.58350000000001501</v>
      </c>
      <c r="AD4576">
        <v>-1.11155900986899</v>
      </c>
      <c r="AE4576">
        <v>-8.5907599999999995</v>
      </c>
      <c r="AF4576">
        <v>-0.97674045533155596</v>
      </c>
      <c r="AG4576">
        <v>-1.11155900986899</v>
      </c>
      <c r="AH4576">
        <v>8.41290128141266</v>
      </c>
      <c r="AI4576">
        <v>97.476989538950903</v>
      </c>
      <c r="AJ4576">
        <v>96.622408920564297</v>
      </c>
      <c r="AK4576">
        <v>8.5420426901471895</v>
      </c>
      <c r="AL4576">
        <v>66.847282016774599</v>
      </c>
      <c r="AM4576">
        <v>98.407078580649795</v>
      </c>
      <c r="AN4576">
        <v>1.00000004994845</v>
      </c>
    </row>
    <row r="4577" spans="1:40" x14ac:dyDescent="0.25">
      <c r="A4577" t="str">
        <f>"20190304164502928"</f>
        <v>20190304164502928</v>
      </c>
      <c r="B4577" t="str">
        <f>"1551689102924919"</f>
        <v>1551689102924919</v>
      </c>
      <c r="C4577" t="s">
        <v>40</v>
      </c>
      <c r="D4577">
        <v>4.8458600000000001</v>
      </c>
      <c r="E4577">
        <v>0.52782890000000005</v>
      </c>
      <c r="F4577" t="s">
        <v>42</v>
      </c>
      <c r="G4577">
        <v>-420.57659999999998</v>
      </c>
      <c r="H4577" s="1">
        <v>-1.9367969999999999E-6</v>
      </c>
      <c r="I4577">
        <v>93.746219999999994</v>
      </c>
      <c r="J4577">
        <v>-421.13799999999998</v>
      </c>
      <c r="K4577">
        <v>1.1112109999999999</v>
      </c>
      <c r="L4577">
        <v>102.1383</v>
      </c>
      <c r="M4577">
        <v>-4.7094999999999998E-2</v>
      </c>
      <c r="N4577">
        <v>-7.1572060000000002E-3</v>
      </c>
      <c r="O4577">
        <v>-0.99886490000000006</v>
      </c>
      <c r="P4577">
        <v>8.8078779999999995E-2</v>
      </c>
      <c r="Q4577">
        <v>0.38574770000000003</v>
      </c>
      <c r="R4577">
        <v>-0.91839079999999995</v>
      </c>
      <c r="S4577">
        <v>0.21215819999999999</v>
      </c>
      <c r="T4577">
        <v>-0.43416539999999998</v>
      </c>
      <c r="U4577">
        <v>-3.4317630000000001</v>
      </c>
      <c r="V4577">
        <v>-0.13259089999999901</v>
      </c>
      <c r="W4577">
        <v>0.39181759999999999</v>
      </c>
      <c r="X4577">
        <v>0.91043870000000005</v>
      </c>
      <c r="Y4577">
        <v>-0.10816000000000001</v>
      </c>
      <c r="Z4577">
        <v>0.11770460000000001</v>
      </c>
      <c r="AA4577">
        <v>0.98714080000000004</v>
      </c>
      <c r="AB4577">
        <v>39</v>
      </c>
      <c r="AC4577">
        <v>0.56140000000004797</v>
      </c>
      <c r="AD4577">
        <v>-1.1112129367969901</v>
      </c>
      <c r="AE4577">
        <v>-8.39208</v>
      </c>
      <c r="AF4577">
        <v>-0.939611351313417</v>
      </c>
      <c r="AG4577">
        <v>-1.1112129367969901</v>
      </c>
      <c r="AH4577">
        <v>8.2129717880926396</v>
      </c>
      <c r="AI4577">
        <v>97.655971132479905</v>
      </c>
      <c r="AJ4577">
        <v>96.526591590192794</v>
      </c>
      <c r="AK4577">
        <v>8.3408973902349199</v>
      </c>
      <c r="AL4577">
        <v>66.932356909172796</v>
      </c>
      <c r="AM4577">
        <v>98.2859658646517</v>
      </c>
      <c r="AN4577">
        <v>1.0000000024451201</v>
      </c>
    </row>
    <row r="4578" spans="1:40" x14ac:dyDescent="0.25">
      <c r="A4578" t="str">
        <f>"20190304164502952"</f>
        <v>20190304164502952</v>
      </c>
      <c r="B4578" t="str">
        <f>"1551689102944438"</f>
        <v>1551689102944438</v>
      </c>
      <c r="C4578" t="s">
        <v>40</v>
      </c>
      <c r="D4578">
        <v>4.9298339999999996</v>
      </c>
      <c r="E4578">
        <v>0.52785209999999905</v>
      </c>
      <c r="F4578" t="s">
        <v>42</v>
      </c>
      <c r="G4578">
        <v>-420.61009999999999</v>
      </c>
      <c r="H4578" s="1">
        <v>-1.810597E-6</v>
      </c>
      <c r="I4578">
        <v>93.431259999999995</v>
      </c>
      <c r="J4578">
        <v>-421.15699999999998</v>
      </c>
      <c r="K4578">
        <v>1.110878</v>
      </c>
      <c r="L4578">
        <v>101.7287</v>
      </c>
      <c r="M4578">
        <v>-4.6732309999999999E-2</v>
      </c>
      <c r="N4578">
        <v>-7.1521739999999999E-3</v>
      </c>
      <c r="O4578">
        <v>-0.99888189999999999</v>
      </c>
      <c r="P4578">
        <v>8.7593630000000006E-2</v>
      </c>
      <c r="Q4578">
        <v>0.38504090000000002</v>
      </c>
      <c r="R4578">
        <v>-0.91873309999999997</v>
      </c>
      <c r="S4578">
        <v>0.20800779999999999</v>
      </c>
      <c r="T4578">
        <v>-0.43781209999999998</v>
      </c>
      <c r="U4578">
        <v>-3.430542</v>
      </c>
      <c r="V4578">
        <v>-0.1314756</v>
      </c>
      <c r="W4578">
        <v>0.39121689999999998</v>
      </c>
      <c r="X4578">
        <v>0.91085870000000002</v>
      </c>
      <c r="Y4578">
        <v>-0.1066232</v>
      </c>
      <c r="Z4578">
        <v>0.1188049</v>
      </c>
      <c r="AA4578">
        <v>0.98717619999999895</v>
      </c>
      <c r="AB4578">
        <v>39</v>
      </c>
      <c r="AC4578">
        <v>0.54689999999999295</v>
      </c>
      <c r="AD4578">
        <v>-1.1108798105969999</v>
      </c>
      <c r="AE4578">
        <v>-8.2974399999999999</v>
      </c>
      <c r="AF4578">
        <v>-0.91769289684700595</v>
      </c>
      <c r="AG4578">
        <v>-1.1108798105969999</v>
      </c>
      <c r="AH4578">
        <v>8.1179354689982102</v>
      </c>
      <c r="AI4578">
        <v>97.7433926792893</v>
      </c>
      <c r="AJ4578">
        <v>96.449626937767704</v>
      </c>
      <c r="AK4578">
        <v>8.2448220408529593</v>
      </c>
      <c r="AL4578">
        <v>66.9697611384521</v>
      </c>
      <c r="AM4578">
        <v>98.213486207014597</v>
      </c>
      <c r="AN4578">
        <v>1.0000000338033199</v>
      </c>
    </row>
    <row r="4579" spans="1:40" x14ac:dyDescent="0.25">
      <c r="A4579" t="str">
        <f>"20190304164502972"</f>
        <v>20190304164502972</v>
      </c>
      <c r="B4579" t="str">
        <f>"1551689102964933"</f>
        <v>1551689102964933</v>
      </c>
      <c r="C4579" t="s">
        <v>40</v>
      </c>
      <c r="D4579">
        <v>5.0319989999999999</v>
      </c>
      <c r="E4579">
        <v>0.52920080000000003</v>
      </c>
      <c r="F4579" t="s">
        <v>42</v>
      </c>
      <c r="G4579">
        <v>-420.6277</v>
      </c>
      <c r="H4579" s="1">
        <v>-1.6585669999999901E-6</v>
      </c>
      <c r="I4579">
        <v>93.065969999999993</v>
      </c>
      <c r="J4579">
        <v>-421.17450000000002</v>
      </c>
      <c r="K4579">
        <v>1.110589</v>
      </c>
      <c r="L4579">
        <v>101.3506</v>
      </c>
      <c r="M4579">
        <v>-4.6672940000000003E-2</v>
      </c>
      <c r="N4579">
        <v>-7.1489049999999997E-3</v>
      </c>
      <c r="O4579">
        <v>-0.99888469999999996</v>
      </c>
      <c r="P4579">
        <v>8.8332889999999997E-2</v>
      </c>
      <c r="Q4579">
        <v>0.38380730000000002</v>
      </c>
      <c r="R4579">
        <v>-0.91917859999999996</v>
      </c>
      <c r="S4579">
        <v>0.20956420000000001</v>
      </c>
      <c r="T4579">
        <v>-0.43981209999999998</v>
      </c>
      <c r="U4579">
        <v>-3.4296880000000001</v>
      </c>
      <c r="V4579">
        <v>-0.1319091</v>
      </c>
      <c r="W4579">
        <v>0.39007209999999998</v>
      </c>
      <c r="X4579">
        <v>0.91128679999999995</v>
      </c>
      <c r="Y4579">
        <v>-0.1070204</v>
      </c>
      <c r="Z4579">
        <v>0.1194016</v>
      </c>
      <c r="AA4579">
        <v>0.98706130000000003</v>
      </c>
      <c r="AB4579">
        <v>40</v>
      </c>
      <c r="AC4579">
        <v>0.54680000000001805</v>
      </c>
      <c r="AD4579">
        <v>-1.110590658567</v>
      </c>
      <c r="AE4579">
        <v>-8.2846299999999999</v>
      </c>
      <c r="AF4579">
        <v>-0.91648368096883304</v>
      </c>
      <c r="AG4579">
        <v>-1.110590658567</v>
      </c>
      <c r="AH4579">
        <v>8.1050589709335306</v>
      </c>
      <c r="AI4579">
        <v>97.7535248639592</v>
      </c>
      <c r="AJ4579">
        <v>96.451346853638896</v>
      </c>
      <c r="AK4579">
        <v>8.2319702909260197</v>
      </c>
      <c r="AL4579">
        <v>67.041012865463301</v>
      </c>
      <c r="AM4579">
        <v>98.236378419097207</v>
      </c>
      <c r="AN4579">
        <v>0.99999994285772797</v>
      </c>
    </row>
    <row r="4580" spans="1:40" x14ac:dyDescent="0.25">
      <c r="A4580" t="str">
        <f>"20190304164502995"</f>
        <v>20190304164502995</v>
      </c>
      <c r="B4580" t="str">
        <f>"1551689102984454"</f>
        <v>1551689102984454</v>
      </c>
      <c r="C4580" t="s">
        <v>40</v>
      </c>
      <c r="D4580">
        <v>5.0057830000000001</v>
      </c>
      <c r="E4580">
        <v>0.53030449999999996</v>
      </c>
      <c r="F4580" t="s">
        <v>42</v>
      </c>
      <c r="G4580">
        <v>-420.66579999999999</v>
      </c>
      <c r="H4580" s="1">
        <v>-1.54777E-6</v>
      </c>
      <c r="I4580">
        <v>92.784030000000001</v>
      </c>
      <c r="J4580">
        <v>-421.19290000000001</v>
      </c>
      <c r="K4580">
        <v>1.110311</v>
      </c>
      <c r="L4580">
        <v>100.9599</v>
      </c>
      <c r="M4580">
        <v>-4.6870620000000002E-2</v>
      </c>
      <c r="N4580">
        <v>-7.1468159999999899E-3</v>
      </c>
      <c r="O4580">
        <v>-0.99887539999999997</v>
      </c>
      <c r="P4580">
        <v>8.9317220000000003E-2</v>
      </c>
      <c r="Q4580">
        <v>0.3830131</v>
      </c>
      <c r="R4580">
        <v>-0.91941450000000002</v>
      </c>
      <c r="S4580">
        <v>0.2036743</v>
      </c>
      <c r="T4580">
        <v>-0.44465450000000001</v>
      </c>
      <c r="U4580">
        <v>-3.4298709999999999</v>
      </c>
      <c r="V4580">
        <v>-0.13282260000000001</v>
      </c>
      <c r="W4580">
        <v>0.38936389999999999</v>
      </c>
      <c r="X4580">
        <v>0.91145710000000002</v>
      </c>
      <c r="Y4580">
        <v>-0.10551530000000001</v>
      </c>
      <c r="Z4580">
        <v>0.1207834</v>
      </c>
      <c r="AA4580">
        <v>0.98705520000000002</v>
      </c>
      <c r="AB4580">
        <v>40</v>
      </c>
      <c r="AC4580">
        <v>0.527100000000018</v>
      </c>
      <c r="AD4580">
        <v>-1.11031254777</v>
      </c>
      <c r="AE4580">
        <v>-8.1758699999999997</v>
      </c>
      <c r="AF4580">
        <v>-0.89333138103274501</v>
      </c>
      <c r="AG4580">
        <v>-1.11031254777</v>
      </c>
      <c r="AH4580">
        <v>7.9953333448164896</v>
      </c>
      <c r="AI4580">
        <v>97.857825412100894</v>
      </c>
      <c r="AJ4580">
        <v>96.375307147746696</v>
      </c>
      <c r="AK4580">
        <v>8.1213416505407405</v>
      </c>
      <c r="AL4580">
        <v>67.085076438895499</v>
      </c>
      <c r="AM4580">
        <v>98.291098736852504</v>
      </c>
      <c r="AN4580">
        <v>1.0000000674171801</v>
      </c>
    </row>
    <row r="4581" spans="1:40" x14ac:dyDescent="0.25">
      <c r="A4581" t="str">
        <f>"20190304164503018"</f>
        <v>20190304164503018</v>
      </c>
      <c r="B4581" t="str">
        <f>"1551689103014697"</f>
        <v>1551689103014697</v>
      </c>
      <c r="C4581" t="s">
        <v>40</v>
      </c>
      <c r="D4581">
        <v>5.0189500000000002</v>
      </c>
      <c r="E4581">
        <v>0.53172519999999901</v>
      </c>
      <c r="F4581" t="s">
        <v>42</v>
      </c>
      <c r="G4581">
        <v>-420.69670000000002</v>
      </c>
      <c r="H4581" s="1">
        <v>-1.4406419999999999E-6</v>
      </c>
      <c r="I4581">
        <v>92.515150000000006</v>
      </c>
      <c r="J4581">
        <v>-421.21249999999998</v>
      </c>
      <c r="K4581">
        <v>1.110047</v>
      </c>
      <c r="L4581">
        <v>100.5478</v>
      </c>
      <c r="M4581">
        <v>-4.7317070000000003E-2</v>
      </c>
      <c r="N4581">
        <v>-7.1460419999999896E-3</v>
      </c>
      <c r="O4581">
        <v>-0.99885460000000004</v>
      </c>
      <c r="P4581">
        <v>9.0062100000000006E-2</v>
      </c>
      <c r="Q4581">
        <v>0.38324399999999997</v>
      </c>
      <c r="R4581">
        <v>-0.91924620000000001</v>
      </c>
      <c r="S4581">
        <v>0.2015991</v>
      </c>
      <c r="T4581">
        <v>-0.4511483</v>
      </c>
      <c r="U4581">
        <v>-3.431305</v>
      </c>
      <c r="V4581">
        <v>-0.13371069999999999</v>
      </c>
      <c r="W4581">
        <v>0.38967869999999999</v>
      </c>
      <c r="X4581">
        <v>0.91119260000000002</v>
      </c>
      <c r="Y4581">
        <v>-0.1053269</v>
      </c>
      <c r="Z4581">
        <v>0.12256830000000001</v>
      </c>
      <c r="AA4581">
        <v>0.98685529999999999</v>
      </c>
      <c r="AB4581">
        <v>40</v>
      </c>
      <c r="AC4581">
        <v>0.51579999999995596</v>
      </c>
      <c r="AD4581">
        <v>-1.1100484406419999</v>
      </c>
      <c r="AE4581">
        <v>-8.0326499999999896</v>
      </c>
      <c r="AF4581">
        <v>-0.878603478494004</v>
      </c>
      <c r="AG4581">
        <v>-1.1100484406419999</v>
      </c>
      <c r="AH4581">
        <v>7.8499503074427999</v>
      </c>
      <c r="AI4581">
        <v>97.999439242282094</v>
      </c>
      <c r="AJ4581">
        <v>96.386235403526598</v>
      </c>
      <c r="AK4581">
        <v>7.9765826920000498</v>
      </c>
      <c r="AL4581">
        <v>67.065491280032504</v>
      </c>
      <c r="AM4581">
        <v>98.348146196168599</v>
      </c>
      <c r="AN4581">
        <v>0.99999999741146905</v>
      </c>
    </row>
    <row r="4582" spans="1:40" x14ac:dyDescent="0.25">
      <c r="A4582" t="str">
        <f>"20190304164503042"</f>
        <v>20190304164503042</v>
      </c>
      <c r="B4582" t="str">
        <f>"1551689103035193"</f>
        <v>1551689103035193</v>
      </c>
      <c r="C4582" t="s">
        <v>40</v>
      </c>
      <c r="D4582">
        <v>4.9987089999999998</v>
      </c>
      <c r="E4582">
        <v>0.53262169999999998</v>
      </c>
      <c r="F4582" t="s">
        <v>42</v>
      </c>
      <c r="G4582">
        <v>-420.73579999999998</v>
      </c>
      <c r="H4582" s="1">
        <v>-1.3038680000000001E-6</v>
      </c>
      <c r="I4582">
        <v>92.172079999999994</v>
      </c>
      <c r="J4582">
        <v>-421.2321</v>
      </c>
      <c r="K4582">
        <v>1.10981</v>
      </c>
      <c r="L4582">
        <v>100.1421</v>
      </c>
      <c r="M4582">
        <v>-4.7921819999999997E-2</v>
      </c>
      <c r="N4582">
        <v>-7.1462119999999999E-3</v>
      </c>
      <c r="O4582">
        <v>-0.99882570000000004</v>
      </c>
      <c r="P4582">
        <v>9.0023409999999998E-2</v>
      </c>
      <c r="Q4582">
        <v>0.38420320000000002</v>
      </c>
      <c r="R4582">
        <v>-0.91884969999999999</v>
      </c>
      <c r="S4582">
        <v>0.19543460000000001</v>
      </c>
      <c r="T4582">
        <v>-0.45513520000000002</v>
      </c>
      <c r="U4582">
        <v>-3.4341430000000002</v>
      </c>
      <c r="V4582">
        <v>-0.13398019999999999</v>
      </c>
      <c r="W4582">
        <v>0.39071220000000001</v>
      </c>
      <c r="X4582">
        <v>0.91071029999999997</v>
      </c>
      <c r="Y4582">
        <v>-0.10410850000000001</v>
      </c>
      <c r="Z4582">
        <v>0.12359879999999999</v>
      </c>
      <c r="AA4582">
        <v>0.98685599999999996</v>
      </c>
      <c r="AB4582">
        <v>40</v>
      </c>
      <c r="AC4582">
        <v>0.496300000000019</v>
      </c>
      <c r="AD4582">
        <v>-1.109811303868</v>
      </c>
      <c r="AE4582">
        <v>-7.9700199999999901</v>
      </c>
      <c r="AF4582">
        <v>-0.86104606057327804</v>
      </c>
      <c r="AG4582">
        <v>-1.109811303868</v>
      </c>
      <c r="AH4582">
        <v>7.7866774464388202</v>
      </c>
      <c r="AI4582">
        <v>98.063065747849805</v>
      </c>
      <c r="AJ4582">
        <v>96.310096279630201</v>
      </c>
      <c r="AK4582">
        <v>7.9123591364081101</v>
      </c>
      <c r="AL4582">
        <v>67.001177784998305</v>
      </c>
      <c r="AM4582">
        <v>98.369101557826298</v>
      </c>
      <c r="AN4582">
        <v>0.99999998387348399</v>
      </c>
    </row>
    <row r="4583" spans="1:40" x14ac:dyDescent="0.25">
      <c r="A4583" t="str">
        <f>"20190304164503063"</f>
        <v>20190304164503063</v>
      </c>
      <c r="B4583" t="str">
        <f>"1551689103054712"</f>
        <v>1551689103054712</v>
      </c>
      <c r="C4583" t="s">
        <v>40</v>
      </c>
      <c r="D4583">
        <v>5.0219500000000004</v>
      </c>
      <c r="E4583">
        <v>0.53342349999999905</v>
      </c>
      <c r="F4583" t="s">
        <v>42</v>
      </c>
      <c r="G4583">
        <v>-420.76609999999999</v>
      </c>
      <c r="H4583" s="1">
        <v>-1.121287E-6</v>
      </c>
      <c r="I4583">
        <v>91.727670000000003</v>
      </c>
      <c r="J4583">
        <v>-421.25130000000001</v>
      </c>
      <c r="K4583">
        <v>1.10961</v>
      </c>
      <c r="L4583">
        <v>99.748050000000006</v>
      </c>
      <c r="M4583">
        <v>-4.8627339999999998E-2</v>
      </c>
      <c r="N4583">
        <v>-7.1471599999999996E-3</v>
      </c>
      <c r="O4583">
        <v>-0.99879150000000005</v>
      </c>
      <c r="P4583">
        <v>8.9673130000000004E-2</v>
      </c>
      <c r="Q4583">
        <v>0.38510949999999999</v>
      </c>
      <c r="R4583">
        <v>-0.91850419999999999</v>
      </c>
      <c r="S4583">
        <v>0.19024659999999999</v>
      </c>
      <c r="T4583">
        <v>-0.45316580000000001</v>
      </c>
      <c r="U4583">
        <v>-3.4358219999999999</v>
      </c>
      <c r="V4583">
        <v>-0.1340683</v>
      </c>
      <c r="W4583">
        <v>0.39168160000000002</v>
      </c>
      <c r="X4583">
        <v>0.9102808</v>
      </c>
      <c r="Y4583">
        <v>-0.10330300000000001</v>
      </c>
      <c r="Z4583">
        <v>0.12298339999999899</v>
      </c>
      <c r="AA4583">
        <v>0.98701749999999999</v>
      </c>
      <c r="AB4583">
        <v>40</v>
      </c>
      <c r="AC4583">
        <v>0.48520000000002</v>
      </c>
      <c r="AD4583">
        <v>-1.1096111212869999</v>
      </c>
      <c r="AE4583">
        <v>-8.0203800000000101</v>
      </c>
      <c r="AF4583">
        <v>-0.85827774688149205</v>
      </c>
      <c r="AG4583">
        <v>-1.1096111212869999</v>
      </c>
      <c r="AH4583">
        <v>7.8378244441642604</v>
      </c>
      <c r="AI4583">
        <v>98.010631838064597</v>
      </c>
      <c r="AJ4583">
        <v>96.249251391940305</v>
      </c>
      <c r="AK4583">
        <v>7.9623721056488304</v>
      </c>
      <c r="AL4583">
        <v>66.940825019401501</v>
      </c>
      <c r="AM4583">
        <v>98.378422020640599</v>
      </c>
      <c r="AN4583">
        <v>0.99999995984604395</v>
      </c>
    </row>
    <row r="4584" spans="1:40" x14ac:dyDescent="0.25">
      <c r="A4584" t="str">
        <f>"20190304164503084"</f>
        <v>20190304164503084</v>
      </c>
      <c r="B4584" t="str">
        <f>"1551689103075211"</f>
        <v>1551689103075211</v>
      </c>
      <c r="C4584" t="s">
        <v>40</v>
      </c>
      <c r="D4584">
        <v>4.9767400000000004</v>
      </c>
      <c r="E4584">
        <v>0.53417619999999999</v>
      </c>
      <c r="F4584" t="s">
        <v>42</v>
      </c>
      <c r="G4584">
        <v>-420.79919999999998</v>
      </c>
      <c r="H4584" s="1">
        <v>-9.4745300000000001E-7</v>
      </c>
      <c r="I4584">
        <v>91.301959999999994</v>
      </c>
      <c r="J4584">
        <v>-421.27080000000001</v>
      </c>
      <c r="K4584">
        <v>1.1094469999999901</v>
      </c>
      <c r="L4584">
        <v>99.358459999999994</v>
      </c>
      <c r="M4584">
        <v>-4.9406690000000003E-2</v>
      </c>
      <c r="N4584">
        <v>-7.1486719999999896E-3</v>
      </c>
      <c r="O4584">
        <v>-0.99875329999999996</v>
      </c>
      <c r="P4584">
        <v>8.8998129999999995E-2</v>
      </c>
      <c r="Q4584">
        <v>0.38501580000000002</v>
      </c>
      <c r="R4584">
        <v>-0.91860920000000001</v>
      </c>
      <c r="S4584">
        <v>0.18402099999999999</v>
      </c>
      <c r="T4584">
        <v>-0.45161180000000001</v>
      </c>
      <c r="U4584">
        <v>-3.4375610000000001</v>
      </c>
      <c r="V4584">
        <v>-0.13395379999999901</v>
      </c>
      <c r="W4584">
        <v>0.39164389999999999</v>
      </c>
      <c r="X4584">
        <v>0.91031399999999996</v>
      </c>
      <c r="Y4584">
        <v>-0.10227319999999999</v>
      </c>
      <c r="Z4584">
        <v>0.1224845</v>
      </c>
      <c r="AA4584">
        <v>0.98718680000000003</v>
      </c>
      <c r="AB4584">
        <v>40</v>
      </c>
      <c r="AC4584">
        <v>0.471600000000023</v>
      </c>
      <c r="AD4584">
        <v>-1.1094479474529999</v>
      </c>
      <c r="AE4584">
        <v>-8.0564999999999998</v>
      </c>
      <c r="AF4584">
        <v>-0.85295918911993795</v>
      </c>
      <c r="AG4584">
        <v>-1.1094479474529999</v>
      </c>
      <c r="AH4584">
        <v>7.8745398856676196</v>
      </c>
      <c r="AI4584">
        <v>97.973610557093195</v>
      </c>
      <c r="AJ4584">
        <v>96.182096180614806</v>
      </c>
      <c r="AK4584">
        <v>7.9979242642939496</v>
      </c>
      <c r="AL4584">
        <v>66.943175352703307</v>
      </c>
      <c r="AM4584">
        <v>98.371066952206803</v>
      </c>
      <c r="AN4584">
        <v>1.00000007176882</v>
      </c>
    </row>
    <row r="4585" spans="1:40" x14ac:dyDescent="0.25">
      <c r="A4585" t="str">
        <f>"20190304164503098"</f>
        <v>20190304164503098</v>
      </c>
      <c r="B4585" t="str">
        <f>"1551689103094728"</f>
        <v>1551689103094728</v>
      </c>
      <c r="C4585" t="s">
        <v>40</v>
      </c>
      <c r="D4585">
        <v>4.9872990000000001</v>
      </c>
      <c r="E4585">
        <v>0.53487499999999999</v>
      </c>
      <c r="F4585" t="s">
        <v>42</v>
      </c>
      <c r="G4585">
        <v>-420.84199999999998</v>
      </c>
      <c r="H4585" s="1">
        <v>-8.0349519999999997E-7</v>
      </c>
      <c r="I4585">
        <v>90.939859999999996</v>
      </c>
      <c r="J4585">
        <v>-421.28339999999997</v>
      </c>
      <c r="K4585">
        <v>1.1093580000000001</v>
      </c>
      <c r="L4585">
        <v>99.109989999999996</v>
      </c>
      <c r="M4585">
        <v>-4.9931120000000002E-2</v>
      </c>
      <c r="N4585">
        <v>-7.14988E-3</v>
      </c>
      <c r="O4585">
        <v>-0.99872720000000004</v>
      </c>
      <c r="P4585">
        <v>8.8592019999999994E-2</v>
      </c>
      <c r="Q4585">
        <v>0.38486890000000001</v>
      </c>
      <c r="R4585">
        <v>-0.91870989999999997</v>
      </c>
      <c r="S4585">
        <v>0.17517089999999999</v>
      </c>
      <c r="T4585">
        <v>-0.4531809</v>
      </c>
      <c r="U4585">
        <v>-3.4387819999999998</v>
      </c>
      <c r="V4585">
        <v>-0.13394629999999999</v>
      </c>
      <c r="W4585">
        <v>0.39152799999999999</v>
      </c>
      <c r="X4585">
        <v>0.91036490000000003</v>
      </c>
      <c r="Y4585">
        <v>-0.1002412</v>
      </c>
      <c r="Z4585">
        <v>0.1228983</v>
      </c>
      <c r="AA4585">
        <v>0.98734379999999999</v>
      </c>
      <c r="AB4585">
        <v>40</v>
      </c>
      <c r="AC4585">
        <v>0.44139999999998702</v>
      </c>
      <c r="AD4585">
        <v>-1.1093588034952</v>
      </c>
      <c r="AE4585">
        <v>-8.1701300000000003</v>
      </c>
      <c r="AF4585">
        <v>-0.83348148413477996</v>
      </c>
      <c r="AG4585">
        <v>-1.1093588034952</v>
      </c>
      <c r="AH4585">
        <v>7.9909985561211698</v>
      </c>
      <c r="AI4585">
        <v>97.861521059648197</v>
      </c>
      <c r="AJ4585">
        <v>95.954564615731698</v>
      </c>
      <c r="AK4585">
        <v>8.1105749650205698</v>
      </c>
      <c r="AL4585">
        <v>66.950390968520594</v>
      </c>
      <c r="AM4585">
        <v>98.370143517775105</v>
      </c>
      <c r="AN4585">
        <v>1.0000000186098399</v>
      </c>
    </row>
    <row r="4586" spans="1:40" x14ac:dyDescent="0.25">
      <c r="A4586" t="str">
        <f>"20190304164503119"</f>
        <v>20190304164503119</v>
      </c>
      <c r="B4586" t="str">
        <f>"1551689103115225"</f>
        <v>1551689103115225</v>
      </c>
      <c r="C4586" t="s">
        <v>40</v>
      </c>
      <c r="D4586">
        <v>5.0157749999999997</v>
      </c>
      <c r="E4586">
        <v>0.53554169999999901</v>
      </c>
      <c r="F4586" t="s">
        <v>42</v>
      </c>
      <c r="G4586">
        <v>-420.87479999999999</v>
      </c>
      <c r="H4586" s="1">
        <v>-7.1455699999999903E-7</v>
      </c>
      <c r="I4586">
        <v>90.712140000000005</v>
      </c>
      <c r="J4586">
        <v>-421.30220000000003</v>
      </c>
      <c r="K4586">
        <v>1.109253</v>
      </c>
      <c r="L4586">
        <v>98.742800000000003</v>
      </c>
      <c r="M4586">
        <v>-5.0731039999999998E-2</v>
      </c>
      <c r="N4586">
        <v>-7.1521589999999999E-3</v>
      </c>
      <c r="O4586">
        <v>-0.99868699999999999</v>
      </c>
      <c r="P4586">
        <v>8.7679709999999994E-2</v>
      </c>
      <c r="Q4586">
        <v>0.38563979999999998</v>
      </c>
      <c r="R4586">
        <v>-0.91847389999999995</v>
      </c>
      <c r="S4586">
        <v>0.1673279</v>
      </c>
      <c r="T4586">
        <v>-0.45438149999999999</v>
      </c>
      <c r="U4586">
        <v>-3.439667</v>
      </c>
      <c r="V4586">
        <v>-0.13364889999999999</v>
      </c>
      <c r="W4586">
        <v>0.39233430000000002</v>
      </c>
      <c r="X4586">
        <v>0.91006140000000002</v>
      </c>
      <c r="Y4586">
        <v>-9.8777989999999996E-2</v>
      </c>
      <c r="Z4586">
        <v>0.1232111</v>
      </c>
      <c r="AA4586">
        <v>0.98745229999999995</v>
      </c>
      <c r="AB4586">
        <v>40</v>
      </c>
      <c r="AC4586">
        <v>0.42740000000003397</v>
      </c>
      <c r="AD4586">
        <v>-1.1092537145570001</v>
      </c>
      <c r="AE4586">
        <v>-8.0306599999999904</v>
      </c>
      <c r="AF4586">
        <v>-0.81868791855619805</v>
      </c>
      <c r="AG4586">
        <v>-1.1092537145570001</v>
      </c>
      <c r="AH4586">
        <v>7.8493007205230896</v>
      </c>
      <c r="AI4586">
        <v>98.000870682225198</v>
      </c>
      <c r="AJ4586">
        <v>95.954462650943896</v>
      </c>
      <c r="AK4586">
        <v>7.9694551578167898</v>
      </c>
      <c r="AL4586">
        <v>66.900175241110603</v>
      </c>
      <c r="AM4586">
        <v>98.354567743706596</v>
      </c>
      <c r="AN4586">
        <v>0.99999999159883002</v>
      </c>
    </row>
    <row r="4587" spans="1:40" x14ac:dyDescent="0.25">
      <c r="A4587" t="str">
        <f>"20190304164503132"</f>
        <v>20190304164503132</v>
      </c>
      <c r="B4587" t="str">
        <f>"1551689103124985"</f>
        <v>1551689103124985</v>
      </c>
      <c r="C4587" t="s">
        <v>40</v>
      </c>
      <c r="D4587">
        <v>5.1161070000000004</v>
      </c>
      <c r="E4587">
        <v>0.53579500000000002</v>
      </c>
      <c r="F4587" t="s">
        <v>42</v>
      </c>
      <c r="G4587">
        <v>-420.91809999999998</v>
      </c>
      <c r="H4587" s="1">
        <v>-5.5170309999999997E-7</v>
      </c>
      <c r="I4587">
        <v>90.305689999999998</v>
      </c>
      <c r="J4587">
        <v>-421.31560000000002</v>
      </c>
      <c r="K4587">
        <v>1.109192</v>
      </c>
      <c r="L4587">
        <v>98.485169999999997</v>
      </c>
      <c r="M4587">
        <v>-5.1296899999999999E-2</v>
      </c>
      <c r="N4587">
        <v>-7.1540629999999996E-3</v>
      </c>
      <c r="O4587">
        <v>-0.99865780000000004</v>
      </c>
      <c r="P4587">
        <v>8.6983599999999994E-2</v>
      </c>
      <c r="Q4587">
        <v>0.38574310000000001</v>
      </c>
      <c r="R4587">
        <v>-0.9184966</v>
      </c>
      <c r="S4587">
        <v>0.1566467</v>
      </c>
      <c r="T4587">
        <v>-0.45244060000000003</v>
      </c>
      <c r="U4587">
        <v>-3.4413149999999999</v>
      </c>
      <c r="V4587">
        <v>-0.13341159999999999</v>
      </c>
      <c r="W4587">
        <v>0.39245980000000003</v>
      </c>
      <c r="X4587">
        <v>0.91004209999999996</v>
      </c>
      <c r="Y4587">
        <v>-9.6265320000000001E-2</v>
      </c>
      <c r="Z4587">
        <v>0.1226207</v>
      </c>
      <c r="AA4587">
        <v>0.98777380000000004</v>
      </c>
      <c r="AB4587">
        <v>40</v>
      </c>
      <c r="AC4587">
        <v>0.39750000000003599</v>
      </c>
      <c r="AD4587">
        <v>-1.1091925517031</v>
      </c>
      <c r="AE4587">
        <v>-8.1794799999999892</v>
      </c>
      <c r="AF4587">
        <v>-0.80185857443866204</v>
      </c>
      <c r="AG4587">
        <v>-1.1091925517031</v>
      </c>
      <c r="AH4587">
        <v>8.0015248492211501</v>
      </c>
      <c r="AI4587">
        <v>97.853354874371306</v>
      </c>
      <c r="AJ4587">
        <v>95.722688562696803</v>
      </c>
      <c r="AK4587">
        <v>8.1177389218216494</v>
      </c>
      <c r="AL4587">
        <v>66.892357495575396</v>
      </c>
      <c r="AM4587">
        <v>98.340117019223101</v>
      </c>
      <c r="AN4587">
        <v>0.99999998670150403</v>
      </c>
    </row>
    <row r="4588" spans="1:40" x14ac:dyDescent="0.25">
      <c r="A4588" t="str">
        <f>"20190304164503152"</f>
        <v>20190304164503152</v>
      </c>
      <c r="B4588" t="str">
        <f>"1551689103144508"</f>
        <v>1551689103144508</v>
      </c>
      <c r="C4588" t="s">
        <v>40</v>
      </c>
      <c r="D4588">
        <v>4.9888399999999997</v>
      </c>
      <c r="E4588">
        <v>0.53637309999999905</v>
      </c>
      <c r="F4588" t="s">
        <v>42</v>
      </c>
      <c r="G4588">
        <v>-420.94330000000002</v>
      </c>
      <c r="H4588" s="1">
        <v>-4.4993880000000001E-7</v>
      </c>
      <c r="I4588">
        <v>90.052859999999995</v>
      </c>
      <c r="J4588">
        <v>-421.33370000000002</v>
      </c>
      <c r="K4588">
        <v>1.1091260000000001</v>
      </c>
      <c r="L4588">
        <v>98.140900000000002</v>
      </c>
      <c r="M4588">
        <v>-5.2045300000000003E-2</v>
      </c>
      <c r="N4588">
        <v>-7.1569919999999896E-3</v>
      </c>
      <c r="O4588">
        <v>-0.99861940000000005</v>
      </c>
      <c r="P4588">
        <v>8.627725E-2</v>
      </c>
      <c r="Q4588">
        <v>0.38561679999999998</v>
      </c>
      <c r="R4588">
        <v>-0.91861669999999995</v>
      </c>
      <c r="S4588">
        <v>0.151947</v>
      </c>
      <c r="T4588">
        <v>-0.45275739999999998</v>
      </c>
      <c r="U4588">
        <v>-3.4419559999999998</v>
      </c>
      <c r="V4588">
        <v>-0.13333589999999901</v>
      </c>
      <c r="W4588">
        <v>0.3923567</v>
      </c>
      <c r="X4588">
        <v>0.91009770000000001</v>
      </c>
      <c r="Y4588">
        <v>-9.5656749999999999E-2</v>
      </c>
      <c r="Z4588">
        <v>0.12268370000000001</v>
      </c>
      <c r="AA4588">
        <v>0.98782519999999996</v>
      </c>
      <c r="AB4588">
        <v>40</v>
      </c>
      <c r="AC4588">
        <v>0.39039999999999903</v>
      </c>
      <c r="AD4588">
        <v>-1.1091264499388001</v>
      </c>
      <c r="AE4588">
        <v>-8.0880399999999995</v>
      </c>
      <c r="AF4588">
        <v>-0.79589391706148704</v>
      </c>
      <c r="AG4588">
        <v>-1.1091264499388001</v>
      </c>
      <c r="AH4588">
        <v>7.9083866504894003</v>
      </c>
      <c r="AI4588">
        <v>97.943871129152797</v>
      </c>
      <c r="AJ4588">
        <v>95.7468532069459</v>
      </c>
      <c r="AK4588">
        <v>8.0253465982976895</v>
      </c>
      <c r="AL4588">
        <v>66.898780946792101</v>
      </c>
      <c r="AM4588">
        <v>98.334949126250294</v>
      </c>
      <c r="AN4588">
        <v>1.00000003290449</v>
      </c>
    </row>
    <row r="4589" spans="1:40" x14ac:dyDescent="0.25">
      <c r="A4589" t="str">
        <f>"20190304164503173"</f>
        <v>20190304164503173</v>
      </c>
      <c r="B4589" t="str">
        <f>"1551689103165001"</f>
        <v>1551689103165001</v>
      </c>
      <c r="C4589" t="s">
        <v>40</v>
      </c>
      <c r="D4589">
        <v>4.9827250000000003</v>
      </c>
      <c r="E4589">
        <v>0.53685329999999998</v>
      </c>
      <c r="F4589" t="s">
        <v>42</v>
      </c>
      <c r="G4589">
        <v>-420.98570000000001</v>
      </c>
      <c r="H4589" s="1">
        <v>-3.2317429999999998E-7</v>
      </c>
      <c r="I4589">
        <v>89.731039999999993</v>
      </c>
      <c r="J4589">
        <v>-421.35469999999998</v>
      </c>
      <c r="K4589">
        <v>1.109086</v>
      </c>
      <c r="L4589">
        <v>97.748410000000007</v>
      </c>
      <c r="M4589">
        <v>-5.2859370000000003E-2</v>
      </c>
      <c r="N4589">
        <v>-7.1646039999999998E-3</v>
      </c>
      <c r="O4589">
        <v>-0.99857640000000003</v>
      </c>
      <c r="P4589">
        <v>8.6295520000000001E-2</v>
      </c>
      <c r="Q4589">
        <v>0.38563839999999999</v>
      </c>
      <c r="R4589">
        <v>-0.91860540000000002</v>
      </c>
      <c r="S4589">
        <v>0.1424561</v>
      </c>
      <c r="T4589">
        <v>-0.45408019999999999</v>
      </c>
      <c r="U4589">
        <v>-3.4430239999999999</v>
      </c>
      <c r="V4589">
        <v>-0.13405619999999999</v>
      </c>
      <c r="W4589">
        <v>0.39240009999999997</v>
      </c>
      <c r="X4589">
        <v>0.90997309999999998</v>
      </c>
      <c r="Y4589">
        <v>-9.3735540000000006E-2</v>
      </c>
      <c r="Z4589">
        <v>0.12302109999999999</v>
      </c>
      <c r="AA4589">
        <v>0.98796729999999999</v>
      </c>
      <c r="AB4589">
        <v>40</v>
      </c>
      <c r="AC4589">
        <v>0.36899999999997102</v>
      </c>
      <c r="AD4589">
        <v>-1.1090863231743</v>
      </c>
      <c r="AE4589">
        <v>-8.0173699999999801</v>
      </c>
      <c r="AF4589">
        <v>-0.77744183105951903</v>
      </c>
      <c r="AG4589">
        <v>-1.1090863231743</v>
      </c>
      <c r="AH4589">
        <v>7.83699807657581</v>
      </c>
      <c r="AI4589">
        <v>98.016136082588403</v>
      </c>
      <c r="AJ4589">
        <v>95.665290895066704</v>
      </c>
      <c r="AK4589">
        <v>7.9531771717463</v>
      </c>
      <c r="AL4589">
        <v>66.896076039763898</v>
      </c>
      <c r="AM4589">
        <v>98.380469197895195</v>
      </c>
      <c r="AN4589">
        <v>0.99999997298102905</v>
      </c>
    </row>
    <row r="4590" spans="1:40" x14ac:dyDescent="0.25">
      <c r="A4590" t="str">
        <f>"20190304164503197"</f>
        <v>20190304164503197</v>
      </c>
      <c r="B4590" t="str">
        <f>"1551689103184521"</f>
        <v>1551689103184521</v>
      </c>
      <c r="C4590" t="s">
        <v>40</v>
      </c>
      <c r="D4590">
        <v>4.9938580000000004</v>
      </c>
      <c r="E4590">
        <v>0.53734630000000005</v>
      </c>
      <c r="F4590" t="s">
        <v>42</v>
      </c>
      <c r="G4590">
        <v>-421.02809999999999</v>
      </c>
      <c r="H4590" s="1">
        <v>-4.3865649999999997E-6</v>
      </c>
      <c r="I4590">
        <v>89.34102</v>
      </c>
      <c r="J4590">
        <v>-421.3766</v>
      </c>
      <c r="K4590">
        <v>1.109075</v>
      </c>
      <c r="L4590">
        <v>97.341309999999993</v>
      </c>
      <c r="M4590">
        <v>-5.362944E-2</v>
      </c>
      <c r="N4590">
        <v>-7.1813780000000004E-3</v>
      </c>
      <c r="O4590">
        <v>-0.99853519999999896</v>
      </c>
      <c r="P4590">
        <v>8.6542279999999999E-2</v>
      </c>
      <c r="Q4590">
        <v>0.38559729999999998</v>
      </c>
      <c r="R4590">
        <v>-0.91859970000000002</v>
      </c>
      <c r="S4590">
        <v>0.13378909999999999</v>
      </c>
      <c r="T4590">
        <v>-0.45432709999999998</v>
      </c>
      <c r="U4590">
        <v>-3.444</v>
      </c>
      <c r="V4590">
        <v>-0.1349947</v>
      </c>
      <c r="W4590">
        <v>0.39237909999999998</v>
      </c>
      <c r="X4590">
        <v>0.90984339999999997</v>
      </c>
      <c r="Y4590">
        <v>-9.2009949999999993E-2</v>
      </c>
      <c r="Z4590">
        <v>0.12304710000000001</v>
      </c>
      <c r="AA4590">
        <v>0.98812630000000001</v>
      </c>
      <c r="AB4590">
        <v>41</v>
      </c>
      <c r="AC4590">
        <v>0.34850000000000098</v>
      </c>
      <c r="AD4590">
        <v>-1.1090793865649999</v>
      </c>
      <c r="AE4590">
        <v>-8.0002899999999908</v>
      </c>
      <c r="AF4590">
        <v>-0.76243561064105203</v>
      </c>
      <c r="AG4590">
        <v>-1.1090793865649999</v>
      </c>
      <c r="AH4590">
        <v>7.8200822552542402</v>
      </c>
      <c r="AI4590">
        <v>98.034516625413303</v>
      </c>
      <c r="AJ4590">
        <v>95.568574437114407</v>
      </c>
      <c r="AK4590">
        <v>7.9350520871018402</v>
      </c>
      <c r="AL4590">
        <v>66.897384086978605</v>
      </c>
      <c r="AM4590">
        <v>98.439482885248907</v>
      </c>
      <c r="AN4590">
        <v>0.99999996983422901</v>
      </c>
    </row>
    <row r="4591" spans="1:40" x14ac:dyDescent="0.25">
      <c r="A4591" t="str">
        <f>"20190304164503211"</f>
        <v>20190304164503211</v>
      </c>
      <c r="B4591" t="str">
        <f>"1551689103205017"</f>
        <v>1551689103205017</v>
      </c>
      <c r="C4591" t="s">
        <v>40</v>
      </c>
      <c r="D4591">
        <v>5.1067</v>
      </c>
      <c r="E4591">
        <v>0.53775759999999995</v>
      </c>
      <c r="F4591" t="s">
        <v>42</v>
      </c>
      <c r="G4591">
        <v>-421.06630000000001</v>
      </c>
      <c r="H4591" s="1">
        <v>-4.2570369999999996E-6</v>
      </c>
      <c r="I4591">
        <v>88.940479999999994</v>
      </c>
      <c r="J4591">
        <v>-421.39240000000001</v>
      </c>
      <c r="K4591">
        <v>1.109075</v>
      </c>
      <c r="L4591">
        <v>97.054079999999999</v>
      </c>
      <c r="M4591">
        <v>-5.412194E-2</v>
      </c>
      <c r="N4591">
        <v>-7.1985690000000001E-3</v>
      </c>
      <c r="O4591">
        <v>-0.99850850000000002</v>
      </c>
      <c r="P4591">
        <v>8.662868E-2</v>
      </c>
      <c r="Q4591">
        <v>0.38562089999999999</v>
      </c>
      <c r="R4591">
        <v>-0.91858169999999995</v>
      </c>
      <c r="S4591">
        <v>0.12725829999999999</v>
      </c>
      <c r="T4591">
        <v>-0.45477800000000002</v>
      </c>
      <c r="U4591">
        <v>-3.444763</v>
      </c>
      <c r="V4591">
        <v>-0.13553770000000001</v>
      </c>
      <c r="W4591">
        <v>0.39241549999999997</v>
      </c>
      <c r="X4591">
        <v>0.90974699999999997</v>
      </c>
      <c r="Y4591">
        <v>-9.0622010000000003E-2</v>
      </c>
      <c r="Z4591">
        <v>0.1231368</v>
      </c>
      <c r="AA4591">
        <v>0.98824339999999999</v>
      </c>
      <c r="AB4591">
        <v>41</v>
      </c>
      <c r="AC4591">
        <v>0.326099999999996</v>
      </c>
      <c r="AD4591">
        <v>-1.1090792570370001</v>
      </c>
      <c r="AE4591">
        <v>-8.1135999999999893</v>
      </c>
      <c r="AF4591">
        <v>-0.75075179096720102</v>
      </c>
      <c r="AG4591">
        <v>-1.1090792570370001</v>
      </c>
      <c r="AH4591">
        <v>7.9360110561395603</v>
      </c>
      <c r="AI4591">
        <v>97.920803076169094</v>
      </c>
      <c r="AJ4591">
        <v>95.404135136678093</v>
      </c>
      <c r="AK4591">
        <v>8.0482269185951498</v>
      </c>
      <c r="AL4591">
        <v>66.895117361632501</v>
      </c>
      <c r="AM4591">
        <v>98.4738226911808</v>
      </c>
      <c r="AN4591">
        <v>0.99999999838526898</v>
      </c>
    </row>
    <row r="4592" spans="1:40" x14ac:dyDescent="0.25">
      <c r="A4592" t="str">
        <f>"20190304164503232"</f>
        <v>20190304164503232</v>
      </c>
      <c r="B4592" t="str">
        <f>"1551689103224537"</f>
        <v>1551689103224537</v>
      </c>
      <c r="C4592" t="s">
        <v>40</v>
      </c>
      <c r="D4592">
        <v>4.9887329999999999</v>
      </c>
      <c r="E4592">
        <v>0.53813840000000002</v>
      </c>
      <c r="F4592" t="s">
        <v>42</v>
      </c>
      <c r="G4592">
        <v>-421.09410000000003</v>
      </c>
      <c r="H4592" s="1">
        <v>-4.1670960000000002E-6</v>
      </c>
      <c r="I4592">
        <v>88.661709999999999</v>
      </c>
      <c r="J4592">
        <v>-421.41199999999998</v>
      </c>
      <c r="K4592">
        <v>1.1090899999999999</v>
      </c>
      <c r="L4592">
        <v>96.698269999999994</v>
      </c>
      <c r="M4592">
        <v>-5.4676629999999997E-2</v>
      </c>
      <c r="N4592">
        <v>-7.222605E-3</v>
      </c>
      <c r="O4592">
        <v>-0.99847839999999999</v>
      </c>
      <c r="P4592">
        <v>8.7175989999999995E-2</v>
      </c>
      <c r="Q4592">
        <v>0.38481799999999999</v>
      </c>
      <c r="R4592">
        <v>-0.91886659999999998</v>
      </c>
      <c r="S4592">
        <v>0.12246700000000001</v>
      </c>
      <c r="T4592">
        <v>-0.45533360000000001</v>
      </c>
      <c r="U4592">
        <v>-3.4454959999999999</v>
      </c>
      <c r="V4592">
        <v>-0.13662750000000001</v>
      </c>
      <c r="W4592">
        <v>0.39163120000000001</v>
      </c>
      <c r="X4592">
        <v>0.90992189999999995</v>
      </c>
      <c r="Y4592">
        <v>-8.9794730000000003E-2</v>
      </c>
      <c r="Z4592">
        <v>0.123244699999999</v>
      </c>
      <c r="AA4592">
        <v>0.9883054</v>
      </c>
      <c r="AB4592">
        <v>41</v>
      </c>
      <c r="AC4592">
        <v>0.317899999999951</v>
      </c>
      <c r="AD4592">
        <v>-1.1090941670959999</v>
      </c>
      <c r="AE4592">
        <v>-8.0365599999999908</v>
      </c>
      <c r="AF4592">
        <v>-0.74272414758085903</v>
      </c>
      <c r="AG4592">
        <v>-1.1090941670959999</v>
      </c>
      <c r="AH4592">
        <v>7.8577333975948198</v>
      </c>
      <c r="AI4592">
        <v>97.998857505821704</v>
      </c>
      <c r="AJ4592">
        <v>95.399636128074405</v>
      </c>
      <c r="AK4592">
        <v>7.9703013229465203</v>
      </c>
      <c r="AL4592">
        <v>66.943963633908297</v>
      </c>
      <c r="AM4592">
        <v>98.539338583404103</v>
      </c>
      <c r="AN4592">
        <v>0.99999996733464902</v>
      </c>
    </row>
    <row r="4593" spans="1:40" x14ac:dyDescent="0.25">
      <c r="A4593" t="str">
        <f>"20190304164503253"</f>
        <v>20190304164503253</v>
      </c>
      <c r="B4593" t="str">
        <f>"1551689103245033"</f>
        <v>1551689103245033</v>
      </c>
      <c r="C4593" t="s">
        <v>40</v>
      </c>
      <c r="D4593">
        <v>5.0188940000000004</v>
      </c>
      <c r="E4593">
        <v>0.53851059999999995</v>
      </c>
      <c r="F4593" t="s">
        <v>42</v>
      </c>
      <c r="G4593">
        <v>-421.1241</v>
      </c>
      <c r="H4593" s="1">
        <v>-4.0644600000000004E-6</v>
      </c>
      <c r="I4593">
        <v>88.366230000000002</v>
      </c>
      <c r="J4593">
        <v>-421.43430000000001</v>
      </c>
      <c r="K4593">
        <v>1.1091390000000001</v>
      </c>
      <c r="L4593">
        <v>96.295749999999998</v>
      </c>
      <c r="M4593">
        <v>-5.5214649999999997E-2</v>
      </c>
      <c r="N4593">
        <v>-7.2614910000000001E-3</v>
      </c>
      <c r="O4593">
        <v>-0.99844829999999996</v>
      </c>
      <c r="P4593">
        <v>8.8345590000000002E-2</v>
      </c>
      <c r="Q4593">
        <v>0.38402350000000002</v>
      </c>
      <c r="R4593">
        <v>-0.91908719999999999</v>
      </c>
      <c r="S4593">
        <v>0.1190186</v>
      </c>
      <c r="T4593">
        <v>-0.45866489999999999</v>
      </c>
      <c r="U4593">
        <v>-3.4457089999999901</v>
      </c>
      <c r="V4593">
        <v>-0.13833860000000001</v>
      </c>
      <c r="W4593">
        <v>0.39086189999999998</v>
      </c>
      <c r="X4593">
        <v>0.90999419999999998</v>
      </c>
      <c r="Y4593">
        <v>-8.9337150000000004E-2</v>
      </c>
      <c r="Z4593">
        <v>0.1241358</v>
      </c>
      <c r="AA4593">
        <v>0.98823539999999999</v>
      </c>
      <c r="AB4593">
        <v>41</v>
      </c>
      <c r="AC4593">
        <v>0.31020000000000802</v>
      </c>
      <c r="AD4593">
        <v>-1.10914306445999</v>
      </c>
      <c r="AE4593">
        <v>-7.9295199999999904</v>
      </c>
      <c r="AF4593">
        <v>-0.73323992848457897</v>
      </c>
      <c r="AG4593">
        <v>-1.10914306445999</v>
      </c>
      <c r="AH4593">
        <v>7.7489184617148501</v>
      </c>
      <c r="AI4593">
        <v>98.109973401294695</v>
      </c>
      <c r="AJ4593">
        <v>95.405507153361498</v>
      </c>
      <c r="AK4593">
        <v>7.8621610551087597</v>
      </c>
      <c r="AL4593">
        <v>66.991860482315602</v>
      </c>
      <c r="AM4593">
        <v>98.644001492443707</v>
      </c>
      <c r="AN4593">
        <v>1.0000000185775999</v>
      </c>
    </row>
    <row r="4594" spans="1:40" x14ac:dyDescent="0.25">
      <c r="A4594" t="str">
        <f>"20190304164503274"</f>
        <v>20190304164503274</v>
      </c>
      <c r="B4594" t="str">
        <f>"1551689103264553"</f>
        <v>1551689103264553</v>
      </c>
      <c r="C4594" t="s">
        <v>40</v>
      </c>
      <c r="D4594">
        <v>5.0361019999999996</v>
      </c>
      <c r="E4594">
        <v>0.53885139999999998</v>
      </c>
      <c r="F4594" t="s">
        <v>42</v>
      </c>
      <c r="G4594">
        <v>-421.15480000000002</v>
      </c>
      <c r="H4594" s="1">
        <v>-3.9243779999999999E-6</v>
      </c>
      <c r="I4594">
        <v>88.020700000000005</v>
      </c>
      <c r="J4594">
        <v>-421.4556</v>
      </c>
      <c r="K4594">
        <v>1.1092040000000001</v>
      </c>
      <c r="L4594">
        <v>95.914860000000004</v>
      </c>
      <c r="M4594">
        <v>-5.5617779999999999E-2</v>
      </c>
      <c r="N4594">
        <v>-7.3152260000000002E-3</v>
      </c>
      <c r="O4594">
        <v>-0.99842540000000002</v>
      </c>
      <c r="P4594">
        <v>9.031206E-2</v>
      </c>
      <c r="Q4594">
        <v>0.38283800000000001</v>
      </c>
      <c r="R4594">
        <v>-0.91939070000000001</v>
      </c>
      <c r="S4594">
        <v>0.116394</v>
      </c>
      <c r="T4594">
        <v>-0.46186899999999997</v>
      </c>
      <c r="U4594">
        <v>-3.4458920000000002</v>
      </c>
      <c r="V4594">
        <v>-0.140742899999999</v>
      </c>
      <c r="W4594">
        <v>0.38971080000000002</v>
      </c>
      <c r="X4594">
        <v>0.91011920000000002</v>
      </c>
      <c r="Y4594">
        <v>-8.8981649999999995E-2</v>
      </c>
      <c r="Z4594">
        <v>0.1249773</v>
      </c>
      <c r="AA4594">
        <v>0.98816139999999997</v>
      </c>
      <c r="AB4594">
        <v>41</v>
      </c>
      <c r="AC4594">
        <v>0.30079999999998103</v>
      </c>
      <c r="AD4594">
        <v>-1.109207924378</v>
      </c>
      <c r="AE4594">
        <v>-7.8941599999999896</v>
      </c>
      <c r="AF4594">
        <v>-0.725106693692535</v>
      </c>
      <c r="AG4594">
        <v>-1.109207924378</v>
      </c>
      <c r="AH4594">
        <v>7.7131497034894396</v>
      </c>
      <c r="AI4594">
        <v>98.148011292622797</v>
      </c>
      <c r="AJ4594">
        <v>95.370543865055396</v>
      </c>
      <c r="AK4594">
        <v>7.8261612739056101</v>
      </c>
      <c r="AL4594">
        <v>67.063494628259306</v>
      </c>
      <c r="AM4594">
        <v>98.790716415116094</v>
      </c>
      <c r="AN4594">
        <v>1.0000000148728401</v>
      </c>
    </row>
    <row r="4595" spans="1:40" x14ac:dyDescent="0.25">
      <c r="A4595" t="str">
        <f>"20190304164503296"</f>
        <v>20190304164503296</v>
      </c>
      <c r="B4595" t="str">
        <f>"1551689103285049"</f>
        <v>1551689103285049</v>
      </c>
      <c r="C4595" t="s">
        <v>40</v>
      </c>
      <c r="D4595">
        <v>5.0030549999999998</v>
      </c>
      <c r="E4595">
        <v>0.53917749999999998</v>
      </c>
      <c r="F4595" t="s">
        <v>42</v>
      </c>
      <c r="G4595">
        <v>-421.17579999999998</v>
      </c>
      <c r="H4595" s="1">
        <v>-3.800168E-6</v>
      </c>
      <c r="I4595">
        <v>87.718149999999994</v>
      </c>
      <c r="J4595">
        <v>-421.47859999999997</v>
      </c>
      <c r="K4595">
        <v>1.1092949999999999</v>
      </c>
      <c r="L4595">
        <v>95.505489999999995</v>
      </c>
      <c r="M4595">
        <v>-5.5934629999999999E-2</v>
      </c>
      <c r="N4595">
        <v>-7.3935659999999999E-3</v>
      </c>
      <c r="O4595">
        <v>-0.9984073</v>
      </c>
      <c r="P4595">
        <v>9.2121529999999993E-2</v>
      </c>
      <c r="Q4595">
        <v>0.38213330000000001</v>
      </c>
      <c r="R4595">
        <v>-0.91950430000000005</v>
      </c>
      <c r="S4595">
        <v>0.11764529999999999</v>
      </c>
      <c r="T4595">
        <v>-0.46627350000000001</v>
      </c>
      <c r="U4595">
        <v>-3.4456180000000001</v>
      </c>
      <c r="V4595">
        <v>-0.1429164</v>
      </c>
      <c r="W4595">
        <v>0.38905459999999997</v>
      </c>
      <c r="X4595">
        <v>0.91006120000000001</v>
      </c>
      <c r="Y4595">
        <v>-8.9652430000000005E-2</v>
      </c>
      <c r="Z4595">
        <v>0.12614110000000001</v>
      </c>
      <c r="AA4595">
        <v>0.98795290000000002</v>
      </c>
      <c r="AB4595">
        <v>41</v>
      </c>
      <c r="AC4595">
        <v>0.30279999999999002</v>
      </c>
      <c r="AD4595">
        <v>-1.109298800168</v>
      </c>
      <c r="AE4595">
        <v>-7.7873400000000101</v>
      </c>
      <c r="AF4595">
        <v>-0.723265558267844</v>
      </c>
      <c r="AG4595">
        <v>-1.109298800168</v>
      </c>
      <c r="AH4595">
        <v>7.6041421079477596</v>
      </c>
      <c r="AI4595">
        <v>98.263036898116596</v>
      </c>
      <c r="AJ4595">
        <v>95.433324450220098</v>
      </c>
      <c r="AK4595">
        <v>7.7185901623091002</v>
      </c>
      <c r="AL4595">
        <v>67.104312962851907</v>
      </c>
      <c r="AM4595">
        <v>98.924862661051407</v>
      </c>
      <c r="AN4595">
        <v>0.99999998345777996</v>
      </c>
    </row>
    <row r="4596" spans="1:40" x14ac:dyDescent="0.25">
      <c r="A4596" t="str">
        <f>"20190304164503320"</f>
        <v>20190304164503320</v>
      </c>
      <c r="B4596" t="str">
        <f>"1551689103315306"</f>
        <v>1551689103315306</v>
      </c>
      <c r="C4596" t="s">
        <v>40</v>
      </c>
      <c r="D4596">
        <v>5.0044129999999996</v>
      </c>
      <c r="E4596">
        <v>0.53963819999999996</v>
      </c>
      <c r="F4596" t="s">
        <v>42</v>
      </c>
      <c r="G4596">
        <v>-421.1995</v>
      </c>
      <c r="H4596" s="1">
        <v>-3.6502409999999999E-6</v>
      </c>
      <c r="I4596">
        <v>87.353920000000002</v>
      </c>
      <c r="J4596">
        <v>-421.5025</v>
      </c>
      <c r="K4596">
        <v>1.1093850000000001</v>
      </c>
      <c r="L4596">
        <v>95.08099</v>
      </c>
      <c r="M4596">
        <v>-5.6164770000000003E-2</v>
      </c>
      <c r="N4596">
        <v>-7.483155E-3</v>
      </c>
      <c r="O4596">
        <v>-0.99839350000000004</v>
      </c>
      <c r="P4596">
        <v>9.5691040000000005E-2</v>
      </c>
      <c r="Q4596">
        <v>0.38155289999999997</v>
      </c>
      <c r="R4596">
        <v>-0.9193808</v>
      </c>
      <c r="S4596">
        <v>0.1179504</v>
      </c>
      <c r="T4596">
        <v>-0.46890159999999997</v>
      </c>
      <c r="U4596">
        <v>-3.4456790000000002</v>
      </c>
      <c r="V4596">
        <v>-0.14675829999999901</v>
      </c>
      <c r="W4596">
        <v>0.38852959999999997</v>
      </c>
      <c r="X4596">
        <v>0.90967399999999998</v>
      </c>
      <c r="Y4596">
        <v>-8.9965000000000003E-2</v>
      </c>
      <c r="Z4596">
        <v>0.12678449999999999</v>
      </c>
      <c r="AA4596">
        <v>0.98784209999999995</v>
      </c>
      <c r="AB4596">
        <v>41</v>
      </c>
      <c r="AC4596">
        <v>0.30299999999999699</v>
      </c>
      <c r="AD4596">
        <v>-1.109388650241</v>
      </c>
      <c r="AE4596">
        <v>-7.7270699999999897</v>
      </c>
      <c r="AF4596">
        <v>-0.72167011069271603</v>
      </c>
      <c r="AG4596">
        <v>-1.109388650241</v>
      </c>
      <c r="AH4596">
        <v>7.54261779562892</v>
      </c>
      <c r="AI4596">
        <v>98.329722728683507</v>
      </c>
      <c r="AJ4596">
        <v>95.465365764904803</v>
      </c>
      <c r="AK4596">
        <v>7.6578478789336604</v>
      </c>
      <c r="AL4596">
        <v>67.136962707592502</v>
      </c>
      <c r="AM4596">
        <v>99.164599178102307</v>
      </c>
      <c r="AN4596">
        <v>1.0000000174855199</v>
      </c>
    </row>
    <row r="4597" spans="1:40" x14ac:dyDescent="0.25">
      <c r="A4597" t="str">
        <f>"20190304164503332"</f>
        <v>20190304164503332</v>
      </c>
      <c r="B4597" t="str">
        <f>"1551689103325066"</f>
        <v>1551689103325066</v>
      </c>
      <c r="C4597" t="s">
        <v>40</v>
      </c>
      <c r="D4597">
        <v>5.1034930000000003</v>
      </c>
      <c r="E4597">
        <v>0.53973359999999904</v>
      </c>
      <c r="F4597" t="s">
        <v>42</v>
      </c>
      <c r="G4597">
        <v>-421.21519999999998</v>
      </c>
      <c r="H4597" s="1">
        <v>-3.4859899999999999E-6</v>
      </c>
      <c r="I4597">
        <v>86.961330000000004</v>
      </c>
      <c r="J4597">
        <v>-421.51690000000002</v>
      </c>
      <c r="K4597">
        <v>1.1094379999999999</v>
      </c>
      <c r="L4597">
        <v>94.825289999999995</v>
      </c>
      <c r="M4597">
        <v>-5.6268930000000002E-2</v>
      </c>
      <c r="N4597">
        <v>-7.5400789999999999E-3</v>
      </c>
      <c r="O4597">
        <v>-0.99838749999999998</v>
      </c>
      <c r="P4597">
        <v>9.7103800000000004E-2</v>
      </c>
      <c r="Q4597">
        <v>0.38165189999999999</v>
      </c>
      <c r="R4597">
        <v>-0.91919150000000005</v>
      </c>
      <c r="S4597">
        <v>0.1219177</v>
      </c>
      <c r="T4597">
        <v>-0.4707906</v>
      </c>
      <c r="U4597">
        <v>-3.4457399999999998</v>
      </c>
      <c r="V4597">
        <v>-0.14829719999999999</v>
      </c>
      <c r="W4597">
        <v>0.38866319999999999</v>
      </c>
      <c r="X4597">
        <v>0.90936729999999999</v>
      </c>
      <c r="Y4597">
        <v>-9.1200829999999997E-2</v>
      </c>
      <c r="Z4597">
        <v>0.12724530000000001</v>
      </c>
      <c r="AA4597">
        <v>0.98766949999999998</v>
      </c>
      <c r="AB4597">
        <v>41</v>
      </c>
      <c r="AC4597">
        <v>0.30170000000003899</v>
      </c>
      <c r="AD4597">
        <v>-1.1094414859899999</v>
      </c>
      <c r="AE4597">
        <v>-7.8639599999999898</v>
      </c>
      <c r="AF4597">
        <v>-0.729238075349814</v>
      </c>
      <c r="AG4597">
        <v>-1.1094414859899999</v>
      </c>
      <c r="AH4597">
        <v>7.6818532939869799</v>
      </c>
      <c r="AI4597">
        <v>98.181761795193907</v>
      </c>
      <c r="AJ4597">
        <v>95.422835734664602</v>
      </c>
      <c r="AK4597">
        <v>7.7957372077125697</v>
      </c>
      <c r="AL4597">
        <v>67.1286550053551</v>
      </c>
      <c r="AM4597">
        <v>99.262111393803494</v>
      </c>
      <c r="AN4597">
        <v>1.00000001443568</v>
      </c>
    </row>
    <row r="4598" spans="1:40" x14ac:dyDescent="0.25">
      <c r="A4598" t="str">
        <f>"20190304164503353"</f>
        <v>20190304164503353</v>
      </c>
      <c r="B4598" t="str">
        <f>"1551689103344585"</f>
        <v>1551689103344585</v>
      </c>
      <c r="C4598" t="s">
        <v>40</v>
      </c>
      <c r="D4598">
        <v>5.0884010000000002</v>
      </c>
      <c r="E4598">
        <v>0.53996769999999905</v>
      </c>
      <c r="F4598" t="s">
        <v>42</v>
      </c>
      <c r="G4598">
        <v>-421.22300000000001</v>
      </c>
      <c r="H4598" s="1">
        <v>-3.3755429999999998E-6</v>
      </c>
      <c r="I4598">
        <v>86.69905</v>
      </c>
      <c r="J4598">
        <v>-421.53699999999998</v>
      </c>
      <c r="K4598">
        <v>1.10951</v>
      </c>
      <c r="L4598">
        <v>94.468900000000005</v>
      </c>
      <c r="M4598">
        <v>-5.636356E-2</v>
      </c>
      <c r="N4598">
        <v>-7.6318239999999997E-3</v>
      </c>
      <c r="O4598">
        <v>-0.99838119999999997</v>
      </c>
      <c r="P4598">
        <v>0.10027270000000001</v>
      </c>
      <c r="Q4598">
        <v>0.3822528</v>
      </c>
      <c r="R4598">
        <v>-0.91860120000000001</v>
      </c>
      <c r="S4598">
        <v>0.1246338</v>
      </c>
      <c r="T4598">
        <v>-0.47045350000000002</v>
      </c>
      <c r="U4598">
        <v>-3.4458920000000002</v>
      </c>
      <c r="V4598">
        <v>-0.151568799999999</v>
      </c>
      <c r="W4598">
        <v>0.38932339999999999</v>
      </c>
      <c r="X4598">
        <v>0.90854509999999999</v>
      </c>
      <c r="Y4598">
        <v>-9.2071029999999998E-2</v>
      </c>
      <c r="Z4598">
        <v>0.12704499999999999</v>
      </c>
      <c r="AA4598">
        <v>0.98761460000000001</v>
      </c>
      <c r="AB4598">
        <v>41</v>
      </c>
      <c r="AC4598">
        <v>0.31399999999996397</v>
      </c>
      <c r="AD4598">
        <v>-1.109513375543</v>
      </c>
      <c r="AE4598">
        <v>-7.7698499999999999</v>
      </c>
      <c r="AF4598">
        <v>-0.73645728474474603</v>
      </c>
      <c r="AG4598">
        <v>-1.109513375543</v>
      </c>
      <c r="AH4598">
        <v>7.5853772748766897</v>
      </c>
      <c r="AI4598">
        <v>98.2832390241242</v>
      </c>
      <c r="AJ4598">
        <v>95.545413757114602</v>
      </c>
      <c r="AK4598">
        <v>7.7013854380220597</v>
      </c>
      <c r="AL4598">
        <v>67.087594190979203</v>
      </c>
      <c r="AM4598">
        <v>99.471195485293904</v>
      </c>
      <c r="AN4598">
        <v>1.0000000048275</v>
      </c>
    </row>
    <row r="4599" spans="1:40" x14ac:dyDescent="0.25">
      <c r="A4599" t="str">
        <f>"20190304164503374"</f>
        <v>20190304164503374</v>
      </c>
      <c r="B4599" t="str">
        <f>"1551689103365082"</f>
        <v>1551689103365082</v>
      </c>
      <c r="C4599" t="s">
        <v>40</v>
      </c>
      <c r="D4599">
        <v>5.0247729999999997</v>
      </c>
      <c r="E4599">
        <v>0.54007079999999996</v>
      </c>
      <c r="F4599" t="s">
        <v>42</v>
      </c>
      <c r="G4599">
        <v>-421.22669999999999</v>
      </c>
      <c r="H4599" s="1">
        <v>-3.205514E-6</v>
      </c>
      <c r="I4599">
        <v>86.300419999999903</v>
      </c>
      <c r="J4599">
        <v>-421.55970000000002</v>
      </c>
      <c r="K4599">
        <v>1.1095809999999999</v>
      </c>
      <c r="L4599">
        <v>94.068150000000003</v>
      </c>
      <c r="M4599">
        <v>-5.6426860000000002E-2</v>
      </c>
      <c r="N4599">
        <v>-7.7660699999999999E-3</v>
      </c>
      <c r="O4599">
        <v>-0.99837659999999995</v>
      </c>
      <c r="P4599">
        <v>0.103103399999999</v>
      </c>
      <c r="Q4599">
        <v>0.3825749</v>
      </c>
      <c r="R4599">
        <v>-0.91815389999999997</v>
      </c>
      <c r="S4599">
        <v>0.13095090000000001</v>
      </c>
      <c r="T4599">
        <v>-0.4681129</v>
      </c>
      <c r="U4599">
        <v>-3.4463499999999998</v>
      </c>
      <c r="V4599">
        <v>-0.15448020000000001</v>
      </c>
      <c r="W4599">
        <v>0.38974419999999999</v>
      </c>
      <c r="X4599">
        <v>0.90787410000000002</v>
      </c>
      <c r="Y4599">
        <v>-9.3939350000000005E-2</v>
      </c>
      <c r="Z4599">
        <v>0.12621859999999999</v>
      </c>
      <c r="AA4599">
        <v>0.98754450000000005</v>
      </c>
      <c r="AB4599">
        <v>41</v>
      </c>
      <c r="AC4599">
        <v>0.333000000000026</v>
      </c>
      <c r="AD4599">
        <v>-1.1095842055139999</v>
      </c>
      <c r="AE4599">
        <v>-7.76773000000001</v>
      </c>
      <c r="AF4599">
        <v>-0.75540558991434603</v>
      </c>
      <c r="AG4599">
        <v>-1.1095842055139999</v>
      </c>
      <c r="AH4599">
        <v>7.5821343887408199</v>
      </c>
      <c r="AI4599">
        <v>98.285231910666695</v>
      </c>
      <c r="AJ4599">
        <v>95.689584425483005</v>
      </c>
      <c r="AK4599">
        <v>7.7000374416833903</v>
      </c>
      <c r="AL4599">
        <v>67.061416950575307</v>
      </c>
      <c r="AM4599">
        <v>99.656730621572393</v>
      </c>
      <c r="AN4599">
        <v>1.0000000275382399</v>
      </c>
    </row>
    <row r="4600" spans="1:40" x14ac:dyDescent="0.25">
      <c r="A4600" t="str">
        <f>"20190304164503398"</f>
        <v>20190304164503398</v>
      </c>
      <c r="B4600" t="str">
        <f>"1551689103394361"</f>
        <v>1551689103394361</v>
      </c>
      <c r="C4600" t="s">
        <v>40</v>
      </c>
      <c r="D4600">
        <v>5.0710089999999903</v>
      </c>
      <c r="E4600">
        <v>0.54015829999999998</v>
      </c>
      <c r="F4600" t="s">
        <v>42</v>
      </c>
      <c r="G4600">
        <v>-421.226</v>
      </c>
      <c r="H4600" s="1">
        <v>-3.0163689999999998E-6</v>
      </c>
      <c r="I4600">
        <v>85.859949999999998</v>
      </c>
      <c r="J4600">
        <v>-421.58370000000002</v>
      </c>
      <c r="K4600">
        <v>1.1096629999999901</v>
      </c>
      <c r="L4600">
        <v>93.644530000000003</v>
      </c>
      <c r="M4600">
        <v>-5.6458469999999997E-2</v>
      </c>
      <c r="N4600">
        <v>-7.9420410000000004E-3</v>
      </c>
      <c r="O4600">
        <v>-0.99837370000000003</v>
      </c>
      <c r="P4600">
        <v>0.1052376</v>
      </c>
      <c r="Q4600">
        <v>0.38262190000000001</v>
      </c>
      <c r="R4600">
        <v>-0.91789219999999905</v>
      </c>
      <c r="S4600">
        <v>0.14010619999999999</v>
      </c>
      <c r="T4600">
        <v>-0.46580349999999998</v>
      </c>
      <c r="U4600">
        <v>-3.4458009999999999</v>
      </c>
      <c r="V4600">
        <v>-0.15667110000000001</v>
      </c>
      <c r="W4600">
        <v>0.38993080000000002</v>
      </c>
      <c r="X4600">
        <v>0.90741839999999996</v>
      </c>
      <c r="Y4600">
        <v>-9.6598039999999996E-2</v>
      </c>
      <c r="Z4600">
        <v>0.12539030000000001</v>
      </c>
      <c r="AA4600">
        <v>0.98739359999999998</v>
      </c>
      <c r="AB4600">
        <v>41</v>
      </c>
      <c r="AC4600">
        <v>0.357700000000022</v>
      </c>
      <c r="AD4600">
        <v>-1.10966601636899</v>
      </c>
      <c r="AE4600">
        <v>-7.7845800000000001</v>
      </c>
      <c r="AF4600">
        <v>-0.78081619370856004</v>
      </c>
      <c r="AG4600">
        <v>-1.10966601636899</v>
      </c>
      <c r="AH4600">
        <v>7.5979058079305002</v>
      </c>
      <c r="AI4600">
        <v>98.266310381335501</v>
      </c>
      <c r="AJ4600">
        <v>95.867533971535394</v>
      </c>
      <c r="AK4600">
        <v>7.7181089175021302</v>
      </c>
      <c r="AL4600">
        <v>67.049806537663201</v>
      </c>
      <c r="AM4600">
        <v>99.795875250564805</v>
      </c>
      <c r="AN4600">
        <v>1.0000000075112001</v>
      </c>
    </row>
    <row r="4601" spans="1:40" x14ac:dyDescent="0.25">
      <c r="A4601" t="str">
        <f>"20190304164503421"</f>
        <v>20190304164503421</v>
      </c>
      <c r="B4601" t="str">
        <f>"1551689103414856"</f>
        <v>1551689103414856</v>
      </c>
      <c r="C4601" t="s">
        <v>40</v>
      </c>
      <c r="D4601">
        <v>5.0615990000000002</v>
      </c>
      <c r="E4601">
        <v>0.54024340000000004</v>
      </c>
      <c r="F4601" t="s">
        <v>42</v>
      </c>
      <c r="G4601">
        <v>-421.22989999999999</v>
      </c>
      <c r="H4601" s="1">
        <v>-2.822466E-6</v>
      </c>
      <c r="I4601">
        <v>85.405550000000005</v>
      </c>
      <c r="J4601">
        <v>-421.60820000000001</v>
      </c>
      <c r="K4601">
        <v>1.109739</v>
      </c>
      <c r="L4601">
        <v>93.212190000000007</v>
      </c>
      <c r="M4601">
        <v>-5.6470329999999999E-2</v>
      </c>
      <c r="N4601">
        <v>-8.1299409999999999E-3</v>
      </c>
      <c r="O4601">
        <v>-0.99837120000000001</v>
      </c>
      <c r="P4601">
        <v>0.10665570000000001</v>
      </c>
      <c r="Q4601">
        <v>0.38297510000000001</v>
      </c>
      <c r="R4601">
        <v>-0.91758099999999998</v>
      </c>
      <c r="S4601">
        <v>0.1479492</v>
      </c>
      <c r="T4601">
        <v>-0.46396579999999898</v>
      </c>
      <c r="U4601">
        <v>-3.4448240000000001</v>
      </c>
      <c r="V4601">
        <v>-0.1581186</v>
      </c>
      <c r="W4601">
        <v>0.39043660000000002</v>
      </c>
      <c r="X4601">
        <v>0.90694969999999997</v>
      </c>
      <c r="Y4601">
        <v>-9.8866369999999995E-2</v>
      </c>
      <c r="Z4601">
        <v>0.1247019</v>
      </c>
      <c r="AA4601">
        <v>0.98725620000000003</v>
      </c>
      <c r="AB4601">
        <v>41</v>
      </c>
      <c r="AC4601">
        <v>0.37830000000002401</v>
      </c>
      <c r="AD4601">
        <v>-1.1097418224660001</v>
      </c>
      <c r="AE4601">
        <v>-7.8066399999999998</v>
      </c>
      <c r="AF4601">
        <v>-0.802378210187775</v>
      </c>
      <c r="AG4601">
        <v>-1.1097418224660001</v>
      </c>
      <c r="AH4601">
        <v>7.6192129069201702</v>
      </c>
      <c r="AI4601">
        <v>98.241939736609098</v>
      </c>
      <c r="AJ4601">
        <v>96.011652198470998</v>
      </c>
      <c r="AK4601">
        <v>7.7413011196886803</v>
      </c>
      <c r="AL4601">
        <v>67.018331208654701</v>
      </c>
      <c r="AM4601">
        <v>99.889610517819307</v>
      </c>
      <c r="AN4601">
        <v>0.99999999430780395</v>
      </c>
    </row>
    <row r="4602" spans="1:40" x14ac:dyDescent="0.25">
      <c r="A4602" t="str">
        <f>"20190304164503443"</f>
        <v>20190304164503443</v>
      </c>
      <c r="B4602" t="str">
        <f>"1551689103434377"</f>
        <v>1551689103434377</v>
      </c>
      <c r="C4602" t="s">
        <v>40</v>
      </c>
      <c r="D4602">
        <v>5.0502479999999998</v>
      </c>
      <c r="E4602">
        <v>0.54032089999999999</v>
      </c>
      <c r="F4602" t="s">
        <v>42</v>
      </c>
      <c r="G4602">
        <v>-421.24189999999999</v>
      </c>
      <c r="H4602" s="1">
        <v>-2.6221299999999998E-6</v>
      </c>
      <c r="I4602">
        <v>84.931129999999996</v>
      </c>
      <c r="J4602">
        <v>-421.63119999999998</v>
      </c>
      <c r="K4602">
        <v>1.109801</v>
      </c>
      <c r="L4602">
        <v>92.805999999999997</v>
      </c>
      <c r="M4602">
        <v>-5.6473120000000002E-2</v>
      </c>
      <c r="N4602">
        <v>-8.3218960000000005E-3</v>
      </c>
      <c r="O4602">
        <v>-0.99836959999999997</v>
      </c>
      <c r="P4602">
        <v>0.1075142</v>
      </c>
      <c r="Q4602">
        <v>0.38301770000000002</v>
      </c>
      <c r="R4602">
        <v>-0.91746300000000003</v>
      </c>
      <c r="S4602">
        <v>0.15237429999999999</v>
      </c>
      <c r="T4602">
        <v>-0.4615862</v>
      </c>
      <c r="U4602">
        <v>-3.4444270000000001</v>
      </c>
      <c r="V4602">
        <v>-0.15900329999999999</v>
      </c>
      <c r="W4602">
        <v>0.39063890000000001</v>
      </c>
      <c r="X4602">
        <v>0.90670790000000001</v>
      </c>
      <c r="Y4602">
        <v>-0.1001428</v>
      </c>
      <c r="Z4602">
        <v>0.1238441</v>
      </c>
      <c r="AA4602">
        <v>0.98723550000000004</v>
      </c>
      <c r="AB4602">
        <v>41</v>
      </c>
      <c r="AC4602">
        <v>0.38929999999999099</v>
      </c>
      <c r="AD4602">
        <v>-1.1098036221300001</v>
      </c>
      <c r="AE4602">
        <v>-7.8748699999999801</v>
      </c>
      <c r="AF4602">
        <v>-0.81722106607594103</v>
      </c>
      <c r="AG4602">
        <v>-1.1098036221300001</v>
      </c>
      <c r="AH4602">
        <v>7.6879954791356004</v>
      </c>
      <c r="AI4602">
        <v>98.168816129287706</v>
      </c>
      <c r="AJ4602">
        <v>96.067660518783399</v>
      </c>
      <c r="AK4602">
        <v>7.8105562438113596</v>
      </c>
      <c r="AL4602">
        <v>67.005740724299201</v>
      </c>
      <c r="AM4602">
        <v>99.946441927775595</v>
      </c>
      <c r="AN4602">
        <v>1.00000000776325</v>
      </c>
    </row>
    <row r="4603" spans="1:40" x14ac:dyDescent="0.25">
      <c r="A4603" t="str">
        <f>"20190304164503464"</f>
        <v>20190304164503464</v>
      </c>
      <c r="B4603" t="str">
        <f>"1551689103454873"</f>
        <v>1551689103454873</v>
      </c>
      <c r="C4603" t="s">
        <v>40</v>
      </c>
      <c r="D4603">
        <v>5.0997919999999999</v>
      </c>
      <c r="E4603">
        <v>0.54038640000000004</v>
      </c>
      <c r="F4603" t="s">
        <v>42</v>
      </c>
      <c r="G4603">
        <v>-421.2586</v>
      </c>
      <c r="H4603" s="1">
        <v>-2.4425739999999998E-6</v>
      </c>
      <c r="I4603">
        <v>84.502179999999996</v>
      </c>
      <c r="J4603">
        <v>-421.65370000000001</v>
      </c>
      <c r="K4603">
        <v>1.109856</v>
      </c>
      <c r="L4603">
        <v>92.409639999999996</v>
      </c>
      <c r="M4603">
        <v>-5.647282E-2</v>
      </c>
      <c r="N4603">
        <v>-8.5314039999999994E-3</v>
      </c>
      <c r="O4603">
        <v>-0.99836789999999997</v>
      </c>
      <c r="P4603">
        <v>0.1071463</v>
      </c>
      <c r="Q4603">
        <v>0.3826753</v>
      </c>
      <c r="R4603">
        <v>-0.91764900000000005</v>
      </c>
      <c r="S4603">
        <v>0.15454100000000001</v>
      </c>
      <c r="T4603">
        <v>-0.46028200000000002</v>
      </c>
      <c r="U4603">
        <v>-3.4439389999999999</v>
      </c>
      <c r="V4603">
        <v>-0.15867310000000001</v>
      </c>
      <c r="W4603">
        <v>0.39047739999999997</v>
      </c>
      <c r="X4603">
        <v>0.90683530000000001</v>
      </c>
      <c r="Y4603">
        <v>-0.1007699</v>
      </c>
      <c r="Z4603">
        <v>0.123281</v>
      </c>
      <c r="AA4603">
        <v>0.98724219999999896</v>
      </c>
      <c r="AB4603">
        <v>41</v>
      </c>
      <c r="AC4603">
        <v>0.395100000000013</v>
      </c>
      <c r="AD4603">
        <v>-1.1098584425739999</v>
      </c>
      <c r="AE4603">
        <v>-7.9074599999999799</v>
      </c>
      <c r="AF4603">
        <v>-0.82483358361701598</v>
      </c>
      <c r="AG4603">
        <v>-1.1098584425739999</v>
      </c>
      <c r="AH4603">
        <v>7.7208072852338399</v>
      </c>
      <c r="AI4603">
        <v>98.134510637655794</v>
      </c>
      <c r="AJ4603">
        <v>96.097925872919603</v>
      </c>
      <c r="AK4603">
        <v>7.8436599453912601</v>
      </c>
      <c r="AL4603">
        <v>67.0157922870454</v>
      </c>
      <c r="AM4603">
        <v>99.924830742071904</v>
      </c>
      <c r="AN4603">
        <v>1.0000000069502299</v>
      </c>
    </row>
    <row r="4604" spans="1:40" x14ac:dyDescent="0.25">
      <c r="A4604" t="str">
        <f>"20190304164503487"</f>
        <v>20190304164503487</v>
      </c>
      <c r="B4604" t="str">
        <f>"1551689103474394"</f>
        <v>1551689103474394</v>
      </c>
      <c r="C4604" t="s">
        <v>40</v>
      </c>
      <c r="D4604">
        <v>5.1049049999999996</v>
      </c>
      <c r="E4604">
        <v>0.54039589999999904</v>
      </c>
      <c r="F4604" t="s">
        <v>42</v>
      </c>
      <c r="G4604">
        <v>-421.28399999999999</v>
      </c>
      <c r="H4604" s="1">
        <v>-2.2900690000000001E-6</v>
      </c>
      <c r="I4604">
        <v>84.130919999999904</v>
      </c>
      <c r="J4604">
        <v>-421.6773</v>
      </c>
      <c r="K4604">
        <v>1.109917</v>
      </c>
      <c r="L4604">
        <v>91.993709999999993</v>
      </c>
      <c r="M4604">
        <v>-5.6468129999999998E-2</v>
      </c>
      <c r="N4604">
        <v>-8.7648840000000006E-3</v>
      </c>
      <c r="O4604">
        <v>-0.99836599999999998</v>
      </c>
      <c r="P4604">
        <v>0.1059073</v>
      </c>
      <c r="Q4604">
        <v>0.38211050000000002</v>
      </c>
      <c r="R4604">
        <v>-0.91802810000000001</v>
      </c>
      <c r="S4604">
        <v>0.1537781</v>
      </c>
      <c r="T4604">
        <v>-0.46167920000000001</v>
      </c>
      <c r="U4604">
        <v>-3.4437869999999999</v>
      </c>
      <c r="V4604">
        <v>-0.1574805</v>
      </c>
      <c r="W4604">
        <v>0.3901174</v>
      </c>
      <c r="X4604">
        <v>0.90719810000000001</v>
      </c>
      <c r="Y4604">
        <v>-0.10054630000000001</v>
      </c>
      <c r="Z4604">
        <v>0.1234504</v>
      </c>
      <c r="AA4604">
        <v>0.98724389999999995</v>
      </c>
      <c r="AB4604">
        <v>41</v>
      </c>
      <c r="AC4604">
        <v>0.39330000000000997</v>
      </c>
      <c r="AD4604">
        <v>-1.109919290069</v>
      </c>
      <c r="AE4604">
        <v>-7.8627900000000004</v>
      </c>
      <c r="AF4604">
        <v>-0.82038003111176705</v>
      </c>
      <c r="AG4604">
        <v>-1.109919290069</v>
      </c>
      <c r="AH4604">
        <v>7.6754704326199699</v>
      </c>
      <c r="AI4604">
        <v>98.182309409816497</v>
      </c>
      <c r="AJ4604">
        <v>96.100803531259402</v>
      </c>
      <c r="AK4604">
        <v>7.7985761897885899</v>
      </c>
      <c r="AL4604">
        <v>67.038196479336406</v>
      </c>
      <c r="AM4604">
        <v>99.847839205773795</v>
      </c>
      <c r="AN4604">
        <v>1.0000000431533</v>
      </c>
    </row>
    <row r="4605" spans="1:40" x14ac:dyDescent="0.25">
      <c r="A4605" t="str">
        <f>"20190304164503510"</f>
        <v>20190304164503510</v>
      </c>
      <c r="B4605" t="str">
        <f>"1551689103504650"</f>
        <v>1551689103504650</v>
      </c>
      <c r="C4605" t="s">
        <v>40</v>
      </c>
      <c r="D4605">
        <v>5.1337729999999997</v>
      </c>
      <c r="E4605">
        <v>0.54050509999999996</v>
      </c>
      <c r="F4605" t="s">
        <v>42</v>
      </c>
      <c r="G4605">
        <v>-421.31740000000002</v>
      </c>
      <c r="H4605" s="1">
        <v>-2.1353410000000002E-6</v>
      </c>
      <c r="I4605">
        <v>83.749569999999906</v>
      </c>
      <c r="J4605">
        <v>-421.70150000000001</v>
      </c>
      <c r="K4605">
        <v>1.10998</v>
      </c>
      <c r="L4605">
        <v>91.566500000000005</v>
      </c>
      <c r="M4605">
        <v>-5.6452080000000002E-2</v>
      </c>
      <c r="N4605">
        <v>-9.0141930000000002E-3</v>
      </c>
      <c r="O4605">
        <v>-0.99836460000000005</v>
      </c>
      <c r="P4605">
        <v>0.1045035</v>
      </c>
      <c r="Q4605">
        <v>0.38144509999999998</v>
      </c>
      <c r="R4605">
        <v>-0.91846539999999999</v>
      </c>
      <c r="S4605">
        <v>0.1503601</v>
      </c>
      <c r="T4605">
        <v>-0.46360469999999998</v>
      </c>
      <c r="U4605">
        <v>-3.4435120000000001</v>
      </c>
      <c r="V4605">
        <v>-0.1561177</v>
      </c>
      <c r="W4605">
        <v>0.38967030000000002</v>
      </c>
      <c r="X4605">
        <v>0.90762560000000003</v>
      </c>
      <c r="Y4605">
        <v>-9.9552680000000005E-2</v>
      </c>
      <c r="Z4605">
        <v>0.123765</v>
      </c>
      <c r="AA4605">
        <v>0.98730519999999999</v>
      </c>
      <c r="AB4605">
        <v>41</v>
      </c>
      <c r="AC4605">
        <v>0.38409999999998901</v>
      </c>
      <c r="AD4605">
        <v>-1.109982135341</v>
      </c>
      <c r="AE4605">
        <v>-7.8169300000000099</v>
      </c>
      <c r="AF4605">
        <v>-0.80852415338999295</v>
      </c>
      <c r="AG4605">
        <v>-1.109982135341</v>
      </c>
      <c r="AH4605">
        <v>7.6293183038924903</v>
      </c>
      <c r="AI4605">
        <v>98.232365534920106</v>
      </c>
      <c r="AJ4605">
        <v>96.049394616042704</v>
      </c>
      <c r="AK4605">
        <v>7.7519203704308097</v>
      </c>
      <c r="AL4605">
        <v>67.066012830715707</v>
      </c>
      <c r="AM4605">
        <v>99.759755081677994</v>
      </c>
      <c r="AN4605">
        <v>0.99999995436536804</v>
      </c>
    </row>
    <row r="4606" spans="1:40" x14ac:dyDescent="0.25">
      <c r="A4606" t="str">
        <f>"20190304164503532"</f>
        <v>20190304164503532</v>
      </c>
      <c r="B4606" t="str">
        <f>"1551689103525147"</f>
        <v>1551689103525147</v>
      </c>
      <c r="C4606" t="s">
        <v>40</v>
      </c>
      <c r="D4606">
        <v>5.1449959999999999</v>
      </c>
      <c r="E4606">
        <v>0.54055889999999995</v>
      </c>
      <c r="F4606" t="s">
        <v>42</v>
      </c>
      <c r="G4606">
        <v>-421.35629999999998</v>
      </c>
      <c r="H4606" s="1">
        <v>-1.9774899999999998E-6</v>
      </c>
      <c r="I4606">
        <v>83.357460000000003</v>
      </c>
      <c r="J4606">
        <v>-421.72539999999998</v>
      </c>
      <c r="K4606">
        <v>1.110053</v>
      </c>
      <c r="L4606">
        <v>91.143680000000003</v>
      </c>
      <c r="M4606">
        <v>-5.6413749999999999E-2</v>
      </c>
      <c r="N4606">
        <v>-9.2802079999999999E-3</v>
      </c>
      <c r="O4606">
        <v>-0.99836429999999998</v>
      </c>
      <c r="P4606">
        <v>0.10306989999999901</v>
      </c>
      <c r="Q4606">
        <v>0.38144729999999999</v>
      </c>
      <c r="R4606">
        <v>-0.91862630000000001</v>
      </c>
      <c r="S4606">
        <v>0.1447754</v>
      </c>
      <c r="T4606">
        <v>-0.46557189999999998</v>
      </c>
      <c r="U4606">
        <v>-3.4432070000000001</v>
      </c>
      <c r="V4606">
        <v>-0.15469179999999999</v>
      </c>
      <c r="W4606">
        <v>0.38990399999999997</v>
      </c>
      <c r="X4606">
        <v>0.90776939999999995</v>
      </c>
      <c r="Y4606">
        <v>-9.791706E-2</v>
      </c>
      <c r="Z4606">
        <v>0.124082399999999</v>
      </c>
      <c r="AA4606">
        <v>0.98742890000000005</v>
      </c>
      <c r="AB4606">
        <v>42</v>
      </c>
      <c r="AC4606">
        <v>0.36910000000000298</v>
      </c>
      <c r="AD4606">
        <v>-1.1100549774899999</v>
      </c>
      <c r="AE4606">
        <v>-7.7862200000000001</v>
      </c>
      <c r="AF4606">
        <v>-0.79172503381325499</v>
      </c>
      <c r="AG4606">
        <v>-1.1100549774899999</v>
      </c>
      <c r="AH4606">
        <v>7.5988929656889201</v>
      </c>
      <c r="AI4606">
        <v>98.266921253322394</v>
      </c>
      <c r="AJ4606">
        <v>95.948158568037798</v>
      </c>
      <c r="AK4606">
        <v>7.7202477218165297</v>
      </c>
      <c r="AL4606">
        <v>67.0514734509661</v>
      </c>
      <c r="AM4606">
        <v>99.670802621020101</v>
      </c>
      <c r="AN4606">
        <v>0.99999998288979897</v>
      </c>
    </row>
    <row r="4607" spans="1:40" x14ac:dyDescent="0.25">
      <c r="A4607" t="str">
        <f>"20190304164503553"</f>
        <v>20190304164503553</v>
      </c>
      <c r="B4607" t="str">
        <f>"1551689103544669"</f>
        <v>1551689103544669</v>
      </c>
      <c r="C4607" t="s">
        <v>40</v>
      </c>
      <c r="D4607">
        <v>5.0831200000000001</v>
      </c>
      <c r="E4607">
        <v>0.54060959999999902</v>
      </c>
      <c r="F4607" t="s">
        <v>42</v>
      </c>
      <c r="G4607">
        <v>-421.39019999999999</v>
      </c>
      <c r="H4607" s="1">
        <v>-1.804282E-6</v>
      </c>
      <c r="I4607">
        <v>82.93271</v>
      </c>
      <c r="J4607">
        <v>-421.7473</v>
      </c>
      <c r="K4607">
        <v>1.1101299999999901</v>
      </c>
      <c r="L4607">
        <v>90.755459999999999</v>
      </c>
      <c r="M4607">
        <v>-5.6346830000000001E-2</v>
      </c>
      <c r="N4607">
        <v>-9.5566350000000008E-3</v>
      </c>
      <c r="O4607">
        <v>-0.99836559999999996</v>
      </c>
      <c r="P4607">
        <v>0.1017194</v>
      </c>
      <c r="Q4607">
        <v>0.38146600000000003</v>
      </c>
      <c r="R4607">
        <v>-0.91876939999999996</v>
      </c>
      <c r="S4607">
        <v>0.14056399999999999</v>
      </c>
      <c r="T4607">
        <v>-0.46549689999999999</v>
      </c>
      <c r="U4607">
        <v>-3.4432369999999999</v>
      </c>
      <c r="V4607">
        <v>-0.15332460000000001</v>
      </c>
      <c r="W4607">
        <v>0.39016220000000001</v>
      </c>
      <c r="X4607">
        <v>0.90789039999999999</v>
      </c>
      <c r="Y4607">
        <v>-9.6644679999999997E-2</v>
      </c>
      <c r="Z4607">
        <v>0.1237983</v>
      </c>
      <c r="AA4607">
        <v>0.98758990000000002</v>
      </c>
      <c r="AB4607">
        <v>42</v>
      </c>
      <c r="AC4607">
        <v>0.35710000000000203</v>
      </c>
      <c r="AD4607">
        <v>-1.1101318042820001</v>
      </c>
      <c r="AE4607">
        <v>-7.8227499999999903</v>
      </c>
      <c r="AF4607">
        <v>-0.78163159919175296</v>
      </c>
      <c r="AG4607">
        <v>-1.1101318042820001</v>
      </c>
      <c r="AH4607">
        <v>7.6367246881894397</v>
      </c>
      <c r="AI4607">
        <v>98.228615018163396</v>
      </c>
      <c r="AJ4607">
        <v>95.843969090034506</v>
      </c>
      <c r="AK4607">
        <v>7.7564750075621101</v>
      </c>
      <c r="AL4607">
        <v>67.035407103897597</v>
      </c>
      <c r="AM4607">
        <v>99.585669231783697</v>
      </c>
      <c r="AN4607">
        <v>0.99999997684307895</v>
      </c>
    </row>
    <row r="4608" spans="1:40" x14ac:dyDescent="0.25">
      <c r="A4608" t="str">
        <f>"20190304164503575"</f>
        <v>20190304164503575</v>
      </c>
      <c r="B4608" t="str">
        <f>"1551689103565162"</f>
        <v>1551689103565162</v>
      </c>
      <c r="C4608" t="s">
        <v>40</v>
      </c>
      <c r="D4608">
        <v>5.1158460000000003</v>
      </c>
      <c r="E4608">
        <v>0.54065640000000004</v>
      </c>
      <c r="F4608" t="s">
        <v>42</v>
      </c>
      <c r="G4608">
        <v>-421.4212</v>
      </c>
      <c r="H4608" s="1">
        <v>-1.6434039999999999E-6</v>
      </c>
      <c r="I4608">
        <v>82.538449999999997</v>
      </c>
      <c r="J4608">
        <v>-421.77019999999999</v>
      </c>
      <c r="K4608">
        <v>1.1102019999999999</v>
      </c>
      <c r="L4608">
        <v>90.347989999999996</v>
      </c>
      <c r="M4608">
        <v>-5.6232419999999998E-2</v>
      </c>
      <c r="N4608">
        <v>-9.8670210000000001E-3</v>
      </c>
      <c r="O4608">
        <v>-0.99836919999999996</v>
      </c>
      <c r="P4608">
        <v>0.10024</v>
      </c>
      <c r="Q4608">
        <v>0.38089650000000003</v>
      </c>
      <c r="R4608">
        <v>-0.91916819999999999</v>
      </c>
      <c r="S4608">
        <v>0.13665769999999999</v>
      </c>
      <c r="T4608">
        <v>-0.46519139999999998</v>
      </c>
      <c r="U4608">
        <v>-3.4432680000000002</v>
      </c>
      <c r="V4608">
        <v>-0.1518071</v>
      </c>
      <c r="W4608">
        <v>0.38986359999999998</v>
      </c>
      <c r="X4608">
        <v>0.90827360000000001</v>
      </c>
      <c r="Y4608">
        <v>-9.5412319999999995E-2</v>
      </c>
      <c r="Z4608">
        <v>0.12341530000000001</v>
      </c>
      <c r="AA4608">
        <v>0.98775760000000001</v>
      </c>
      <c r="AB4608">
        <v>42</v>
      </c>
      <c r="AC4608">
        <v>0.34899999999998899</v>
      </c>
      <c r="AD4608">
        <v>-1.1102036434039999</v>
      </c>
      <c r="AE4608">
        <v>-7.8095399999999904</v>
      </c>
      <c r="AF4608">
        <v>-0.77204678831245699</v>
      </c>
      <c r="AG4608">
        <v>-1.1102036434039999</v>
      </c>
      <c r="AH4608">
        <v>7.6237902603723402</v>
      </c>
      <c r="AI4608">
        <v>98.2437976825113</v>
      </c>
      <c r="AJ4608">
        <v>95.782521724530795</v>
      </c>
      <c r="AK4608">
        <v>7.74278931053398</v>
      </c>
      <c r="AL4608">
        <v>67.053986987522606</v>
      </c>
      <c r="AM4608">
        <v>99.488599847102904</v>
      </c>
      <c r="AN4608">
        <v>0.99999997733616397</v>
      </c>
    </row>
    <row r="4609" spans="1:40" x14ac:dyDescent="0.25">
      <c r="A4609" t="str">
        <f>"20190304164503598"</f>
        <v>20190304164503598</v>
      </c>
      <c r="B4609" t="str">
        <f>"1551689103594442"</f>
        <v>1551689103594442</v>
      </c>
      <c r="C4609" t="s">
        <v>40</v>
      </c>
      <c r="D4609">
        <v>5.0943339999999999</v>
      </c>
      <c r="E4609">
        <v>0.54073340000000003</v>
      </c>
      <c r="F4609" t="s">
        <v>42</v>
      </c>
      <c r="G4609">
        <v>-421.45600000000002</v>
      </c>
      <c r="H4609" s="1">
        <v>-1.494244E-6</v>
      </c>
      <c r="I4609">
        <v>82.16919</v>
      </c>
      <c r="J4609">
        <v>-421.7937</v>
      </c>
      <c r="K4609">
        <v>1.1102909999999999</v>
      </c>
      <c r="L4609">
        <v>89.928380000000004</v>
      </c>
      <c r="M4609">
        <v>-5.6074730000000003E-2</v>
      </c>
      <c r="N4609">
        <v>-1.019371E-2</v>
      </c>
      <c r="O4609">
        <v>-0.99837469999999995</v>
      </c>
      <c r="P4609">
        <v>9.9289639999999998E-2</v>
      </c>
      <c r="Q4609">
        <v>0.37978849999999997</v>
      </c>
      <c r="R4609">
        <v>-0.91972980000000004</v>
      </c>
      <c r="S4609">
        <v>0.13229369999999999</v>
      </c>
      <c r="T4609">
        <v>-0.46736559999999999</v>
      </c>
      <c r="U4609">
        <v>-3.4430540000000001</v>
      </c>
      <c r="V4609">
        <v>-0.15079020000000001</v>
      </c>
      <c r="W4609">
        <v>0.38904149999999998</v>
      </c>
      <c r="X4609">
        <v>0.90879540000000003</v>
      </c>
      <c r="Y4609">
        <v>-9.4004439999999995E-2</v>
      </c>
      <c r="Z4609">
        <v>0.12372560000000001</v>
      </c>
      <c r="AA4609">
        <v>0.9878538</v>
      </c>
      <c r="AB4609">
        <v>42</v>
      </c>
      <c r="AC4609">
        <v>0.33770000000004002</v>
      </c>
      <c r="AD4609">
        <v>-1.110292494244</v>
      </c>
      <c r="AE4609">
        <v>-7.7591900000000003</v>
      </c>
      <c r="AF4609">
        <v>-0.75681841384633797</v>
      </c>
      <c r="AG4609">
        <v>-1.110292494244</v>
      </c>
      <c r="AH4609">
        <v>7.5732668780071704</v>
      </c>
      <c r="AI4609">
        <v>98.299774116165807</v>
      </c>
      <c r="AJ4609">
        <v>95.706785823128996</v>
      </c>
      <c r="AK4609">
        <v>7.6915469666271896</v>
      </c>
      <c r="AL4609">
        <v>67.105128758536296</v>
      </c>
      <c r="AM4609">
        <v>99.420868489141299</v>
      </c>
      <c r="AN4609">
        <v>1.0000000260997199</v>
      </c>
    </row>
    <row r="4610" spans="1:40" x14ac:dyDescent="0.25">
      <c r="A4610" t="str">
        <f>"20190304164503621"</f>
        <v>20190304164503621</v>
      </c>
      <c r="B4610" t="str">
        <f>"1551689103614937"</f>
        <v>1551689103614937</v>
      </c>
      <c r="C4610" t="s">
        <v>40</v>
      </c>
      <c r="D4610">
        <v>5.1182040000000004</v>
      </c>
      <c r="E4610">
        <v>0.54079309999999903</v>
      </c>
      <c r="F4610" t="s">
        <v>42</v>
      </c>
      <c r="G4610">
        <v>-421.4896</v>
      </c>
      <c r="H4610" s="1">
        <v>-1.3513169999999999E-6</v>
      </c>
      <c r="I4610">
        <v>81.815150000000003</v>
      </c>
      <c r="J4610">
        <v>-421.81830000000002</v>
      </c>
      <c r="K4610">
        <v>1.1103730000000001</v>
      </c>
      <c r="L4610">
        <v>89.488069999999993</v>
      </c>
      <c r="M4610">
        <v>-5.5871219999999999E-2</v>
      </c>
      <c r="N4610">
        <v>-1.0531459999999999E-2</v>
      </c>
      <c r="O4610">
        <v>-0.9983824</v>
      </c>
      <c r="P4610">
        <v>9.8847580000000004E-2</v>
      </c>
      <c r="Q4610">
        <v>0.37957750000000001</v>
      </c>
      <c r="R4610">
        <v>-0.91986420000000002</v>
      </c>
      <c r="S4610">
        <v>0.12902830000000001</v>
      </c>
      <c r="T4610">
        <v>-0.47109709999999999</v>
      </c>
      <c r="U4610">
        <v>-3.4424440000000001</v>
      </c>
      <c r="V4610">
        <v>-0.1502134</v>
      </c>
      <c r="W4610">
        <v>0.38912350000000001</v>
      </c>
      <c r="X4610">
        <v>0.90885579999999999</v>
      </c>
      <c r="Y4610">
        <v>-9.2867019999999995E-2</v>
      </c>
      <c r="Z4610">
        <v>0.1244764</v>
      </c>
      <c r="AA4610">
        <v>0.9878671</v>
      </c>
      <c r="AB4610">
        <v>42</v>
      </c>
      <c r="AC4610">
        <v>0.32870000000002603</v>
      </c>
      <c r="AD4610">
        <v>-1.1103743513169999</v>
      </c>
      <c r="AE4610">
        <v>-7.6729199999999897</v>
      </c>
      <c r="AF4610">
        <v>-0.74140760888761803</v>
      </c>
      <c r="AG4610">
        <v>-1.1103743513169999</v>
      </c>
      <c r="AH4610">
        <v>7.4860814489053897</v>
      </c>
      <c r="AI4610">
        <v>98.396405902811694</v>
      </c>
      <c r="AJ4610">
        <v>95.656023286640007</v>
      </c>
      <c r="AK4610">
        <v>7.6042114582791998</v>
      </c>
      <c r="AL4610">
        <v>67.100028348526095</v>
      </c>
      <c r="AM4610">
        <v>99.384861702593099</v>
      </c>
      <c r="AN4610">
        <v>1.0000000144927199</v>
      </c>
    </row>
    <row r="4611" spans="1:40" x14ac:dyDescent="0.25">
      <c r="A4611" t="str">
        <f>"20190304164503644"</f>
        <v>20190304164503644</v>
      </c>
      <c r="B4611" t="str">
        <f>"1551689103634457"</f>
        <v>1551689103634457</v>
      </c>
      <c r="C4611" t="s">
        <v>40</v>
      </c>
      <c r="D4611">
        <v>5.114814</v>
      </c>
      <c r="E4611">
        <v>0.54084659999999996</v>
      </c>
      <c r="F4611" t="s">
        <v>42</v>
      </c>
      <c r="G4611">
        <v>-421.5206</v>
      </c>
      <c r="H4611" s="1">
        <v>-1.1720359999999999E-6</v>
      </c>
      <c r="I4611">
        <v>81.378010000000003</v>
      </c>
      <c r="J4611">
        <v>-421.84050000000002</v>
      </c>
      <c r="K4611">
        <v>1.11046</v>
      </c>
      <c r="L4611">
        <v>89.086489999999998</v>
      </c>
      <c r="M4611">
        <v>-5.565457E-2</v>
      </c>
      <c r="N4611">
        <v>-1.086239E-2</v>
      </c>
      <c r="O4611">
        <v>-0.99839100000000003</v>
      </c>
      <c r="P4611">
        <v>9.8352250000000002E-2</v>
      </c>
      <c r="Q4611">
        <v>0.38009330000000002</v>
      </c>
      <c r="R4611">
        <v>-0.91970430000000003</v>
      </c>
      <c r="S4611">
        <v>0.12634280000000001</v>
      </c>
      <c r="T4611">
        <v>-0.47128700000000001</v>
      </c>
      <c r="U4611">
        <v>-3.4422299999999999</v>
      </c>
      <c r="V4611">
        <v>-0.14954589999999901</v>
      </c>
      <c r="W4611">
        <v>0.38992589999999999</v>
      </c>
      <c r="X4611">
        <v>0.90862200000000004</v>
      </c>
      <c r="Y4611">
        <v>-9.1883309999999996E-2</v>
      </c>
      <c r="Z4611">
        <v>0.12422030000000001</v>
      </c>
      <c r="AA4611">
        <v>0.98799130000000002</v>
      </c>
      <c r="AB4611">
        <v>42</v>
      </c>
      <c r="AC4611">
        <v>0.319900000000018</v>
      </c>
      <c r="AD4611">
        <v>-1.110461172036</v>
      </c>
      <c r="AE4611">
        <v>-7.70847999999999</v>
      </c>
      <c r="AF4611">
        <v>-0.73325098402414401</v>
      </c>
      <c r="AG4611">
        <v>-1.110461172036</v>
      </c>
      <c r="AH4611">
        <v>7.5228764742841996</v>
      </c>
      <c r="AI4611">
        <v>98.357821447252405</v>
      </c>
      <c r="AJ4611">
        <v>95.567005822806394</v>
      </c>
      <c r="AK4611">
        <v>7.6396630467259801</v>
      </c>
      <c r="AL4611">
        <v>67.050112724644194</v>
      </c>
      <c r="AM4611">
        <v>99.346257371718394</v>
      </c>
      <c r="AN4611">
        <v>1.0000000612908</v>
      </c>
    </row>
    <row r="4612" spans="1:40" x14ac:dyDescent="0.25">
      <c r="A4612" t="str">
        <f>"20190304164503665"</f>
        <v>20190304164503665</v>
      </c>
      <c r="B4612" t="str">
        <f>"1551689103654953"</f>
        <v>1551689103654953</v>
      </c>
      <c r="C4612" t="s">
        <v>40</v>
      </c>
      <c r="D4612">
        <v>5.1152170000000003</v>
      </c>
      <c r="E4612">
        <v>0.54089609999999899</v>
      </c>
      <c r="F4612" t="s">
        <v>42</v>
      </c>
      <c r="G4612">
        <v>-421.54390000000001</v>
      </c>
      <c r="H4612" s="1">
        <v>-9.8994129999999993E-7</v>
      </c>
      <c r="I4612">
        <v>80.939109999999999</v>
      </c>
      <c r="J4612">
        <v>-421.86290000000002</v>
      </c>
      <c r="K4612">
        <v>1.110541</v>
      </c>
      <c r="L4612">
        <v>88.682310000000001</v>
      </c>
      <c r="M4612">
        <v>-5.5401279999999997E-2</v>
      </c>
      <c r="N4612">
        <v>-1.122038E-2</v>
      </c>
      <c r="O4612">
        <v>-0.99840110000000004</v>
      </c>
      <c r="P4612">
        <v>9.7828200000000004E-2</v>
      </c>
      <c r="Q4612">
        <v>0.38062610000000002</v>
      </c>
      <c r="R4612">
        <v>-0.91953989999999997</v>
      </c>
      <c r="S4612">
        <v>0.12533569999999999</v>
      </c>
      <c r="T4612">
        <v>-0.46918989999999999</v>
      </c>
      <c r="U4612">
        <v>-3.4424130000000002</v>
      </c>
      <c r="V4612">
        <v>-0.14881240000000001</v>
      </c>
      <c r="W4612">
        <v>0.39077190000000001</v>
      </c>
      <c r="X4612">
        <v>0.90837889999999999</v>
      </c>
      <c r="Y4612">
        <v>-9.1342789999999993E-2</v>
      </c>
      <c r="Z4612">
        <v>0.1232741</v>
      </c>
      <c r="AA4612">
        <v>0.98815989999999998</v>
      </c>
      <c r="AB4612">
        <v>41</v>
      </c>
      <c r="AC4612">
        <v>0.31900000000001599</v>
      </c>
      <c r="AD4612">
        <v>-1.1105419899413</v>
      </c>
      <c r="AE4612">
        <v>-7.7431999999999999</v>
      </c>
      <c r="AF4612">
        <v>-0.73247883771669597</v>
      </c>
      <c r="AG4612">
        <v>-1.1105419899413</v>
      </c>
      <c r="AH4612">
        <v>7.5584207423179404</v>
      </c>
      <c r="AI4612">
        <v>98.320108934689998</v>
      </c>
      <c r="AJ4612">
        <v>95.535191042373697</v>
      </c>
      <c r="AK4612">
        <v>7.6746044117614103</v>
      </c>
      <c r="AL4612">
        <v>66.997462615541593</v>
      </c>
      <c r="AM4612">
        <v>99.303664138725793</v>
      </c>
      <c r="AN4612">
        <v>1.00000001709428</v>
      </c>
    </row>
    <row r="4613" spans="1:40" x14ac:dyDescent="0.25">
      <c r="A4613" t="str">
        <f>"20190304164503688"</f>
        <v>20190304164503688</v>
      </c>
      <c r="B4613" t="str">
        <f>"1551689103674474"</f>
        <v>1551689103674474</v>
      </c>
      <c r="C4613" t="s">
        <v>40</v>
      </c>
      <c r="D4613">
        <v>5.133451</v>
      </c>
      <c r="E4613">
        <v>0.54093429999999998</v>
      </c>
      <c r="F4613" t="s">
        <v>42</v>
      </c>
      <c r="G4613">
        <v>-421.56950000000001</v>
      </c>
      <c r="H4613" s="1">
        <v>-8.0607309999999898E-7</v>
      </c>
      <c r="I4613">
        <v>80.494649999999993</v>
      </c>
      <c r="J4613">
        <v>-421.8854</v>
      </c>
      <c r="K4613">
        <v>1.110616</v>
      </c>
      <c r="L4613">
        <v>88.273250000000004</v>
      </c>
      <c r="M4613">
        <v>-5.5106040000000002E-2</v>
      </c>
      <c r="N4613">
        <v>-1.1574579999999999E-2</v>
      </c>
      <c r="O4613">
        <v>-0.99841360000000001</v>
      </c>
      <c r="P4613">
        <v>9.8321900000000004E-2</v>
      </c>
      <c r="Q4613">
        <v>0.37976860000000001</v>
      </c>
      <c r="R4613">
        <v>-0.91984169999999998</v>
      </c>
      <c r="S4613">
        <v>0.1233826</v>
      </c>
      <c r="T4613">
        <v>-0.46694849999999999</v>
      </c>
      <c r="U4613">
        <v>-3.4426570000000001</v>
      </c>
      <c r="V4613">
        <v>-0.14908099999999999</v>
      </c>
      <c r="W4613">
        <v>0.39022839999999998</v>
      </c>
      <c r="X4613">
        <v>0.90856840000000005</v>
      </c>
      <c r="Y4613">
        <v>-9.0489E-2</v>
      </c>
      <c r="Z4613">
        <v>0.1222916</v>
      </c>
      <c r="AA4613">
        <v>0.98836049999999998</v>
      </c>
      <c r="AB4613">
        <v>41</v>
      </c>
      <c r="AC4613">
        <v>0.31589999999999901</v>
      </c>
      <c r="AD4613">
        <v>-1.1106168060731001</v>
      </c>
      <c r="AE4613">
        <v>-7.7786000000000097</v>
      </c>
      <c r="AF4613">
        <v>-0.72925452458459505</v>
      </c>
      <c r="AG4613">
        <v>-1.1106168060731001</v>
      </c>
      <c r="AH4613">
        <v>7.5947993742922097</v>
      </c>
      <c r="AI4613">
        <v>98.282053897697594</v>
      </c>
      <c r="AJ4613">
        <v>95.484740011650402</v>
      </c>
      <c r="AK4613">
        <v>7.7101400368156998</v>
      </c>
      <c r="AL4613">
        <v>67.031286757673101</v>
      </c>
      <c r="AM4613">
        <v>99.318252638538894</v>
      </c>
      <c r="AN4613">
        <v>0.99999994310305795</v>
      </c>
    </row>
    <row r="4614" spans="1:40" x14ac:dyDescent="0.25">
      <c r="A4614" t="str">
        <f>"20190304164503711"</f>
        <v>20190304164503711</v>
      </c>
      <c r="B4614" t="str">
        <f>"1551689103704729"</f>
        <v>1551689103704729</v>
      </c>
      <c r="C4614" t="s">
        <v>40</v>
      </c>
      <c r="D4614">
        <v>5.0300459999999996</v>
      </c>
      <c r="E4614">
        <v>0.50894220000000001</v>
      </c>
      <c r="F4614" t="s">
        <v>42</v>
      </c>
      <c r="G4614">
        <v>-421.59010000000001</v>
      </c>
      <c r="H4614" s="1">
        <v>-6.5815809999999995E-7</v>
      </c>
      <c r="I4614">
        <v>80.137090000000001</v>
      </c>
      <c r="J4614">
        <v>-421.90890000000002</v>
      </c>
      <c r="K4614">
        <v>1.1106849999999999</v>
      </c>
      <c r="L4614">
        <v>87.840789999999998</v>
      </c>
      <c r="M4614">
        <v>-5.4756590000000001E-2</v>
      </c>
      <c r="N4614">
        <v>-1.191712E-2</v>
      </c>
      <c r="O4614">
        <v>-0.99842889999999995</v>
      </c>
      <c r="P4614">
        <v>9.9622879999999997E-2</v>
      </c>
      <c r="Q4614">
        <v>0.3777142</v>
      </c>
      <c r="R4614">
        <v>-0.92054780000000003</v>
      </c>
      <c r="S4614">
        <v>0.12493899999999999</v>
      </c>
      <c r="T4614">
        <v>-0.46985260000000001</v>
      </c>
      <c r="U4614">
        <v>-3.4420470000000001</v>
      </c>
      <c r="V4614">
        <v>-0.15013109999999999</v>
      </c>
      <c r="W4614">
        <v>0.3884804</v>
      </c>
      <c r="X4614">
        <v>0.90914450000000002</v>
      </c>
      <c r="Y4614">
        <v>-9.058795E-2</v>
      </c>
      <c r="Z4614">
        <v>0.122795</v>
      </c>
      <c r="AA4614">
        <v>0.98828910000000003</v>
      </c>
      <c r="AB4614">
        <v>41</v>
      </c>
      <c r="AC4614">
        <v>0.31880000000001002</v>
      </c>
      <c r="AD4614">
        <v>-1.1106856581580999</v>
      </c>
      <c r="AE4614">
        <v>-7.7036999999999898</v>
      </c>
      <c r="AF4614">
        <v>-0.72513254945217798</v>
      </c>
      <c r="AG4614">
        <v>-1.1106856581580999</v>
      </c>
      <c r="AH4614">
        <v>7.51866281809993</v>
      </c>
      <c r="AI4614">
        <v>98.364917770450006</v>
      </c>
      <c r="AJ4614">
        <v>95.508816273449099</v>
      </c>
      <c r="AK4614">
        <v>7.63477114377317</v>
      </c>
      <c r="AL4614">
        <v>67.140022643421602</v>
      </c>
      <c r="AM4614">
        <v>99.376885597322101</v>
      </c>
      <c r="AN4614">
        <v>1.0000000451258</v>
      </c>
    </row>
    <row r="4615" spans="1:40" x14ac:dyDescent="0.25">
      <c r="A4615" t="str">
        <f>"20190304164503733"</f>
        <v>20190304164503733</v>
      </c>
      <c r="B4615" t="str">
        <f>"1551689103725226"</f>
        <v>1551689103725226</v>
      </c>
      <c r="C4615" t="s">
        <v>40</v>
      </c>
      <c r="D4615">
        <v>5.1510199999999999</v>
      </c>
      <c r="E4615">
        <v>0.49370239999999999</v>
      </c>
      <c r="F4615" t="s">
        <v>42</v>
      </c>
      <c r="G4615">
        <v>-421.09359999999998</v>
      </c>
      <c r="H4615" s="1">
        <v>-7.3370729999999997E-7</v>
      </c>
      <c r="I4615">
        <v>80.621110000000002</v>
      </c>
      <c r="J4615">
        <v>-421.93049999999999</v>
      </c>
      <c r="K4615">
        <v>1.1107450000000001</v>
      </c>
      <c r="L4615">
        <v>87.442440000000005</v>
      </c>
      <c r="M4615">
        <v>-5.4405660000000002E-2</v>
      </c>
      <c r="N4615">
        <v>-1.2201119999999999E-2</v>
      </c>
      <c r="O4615">
        <v>-0.99844449999999996</v>
      </c>
      <c r="P4615">
        <v>0.1013999</v>
      </c>
      <c r="Q4615">
        <v>0.3772469</v>
      </c>
      <c r="R4615">
        <v>-0.92054499999999995</v>
      </c>
      <c r="S4615">
        <v>0.3877563</v>
      </c>
      <c r="T4615">
        <v>-0.52824740000000003</v>
      </c>
      <c r="U4615">
        <v>-3.433716</v>
      </c>
      <c r="V4615">
        <v>-0.15161729999999901</v>
      </c>
      <c r="W4615">
        <v>0.38825670000000001</v>
      </c>
      <c r="X4615">
        <v>0.90899339999999995</v>
      </c>
      <c r="Y4615">
        <v>-0.16486579999999901</v>
      </c>
      <c r="Z4615">
        <v>0.1380989</v>
      </c>
      <c r="AA4615">
        <v>0.97660020000000003</v>
      </c>
      <c r="AB4615">
        <v>41</v>
      </c>
      <c r="AC4615">
        <v>0.83690000000001397</v>
      </c>
      <c r="AD4615">
        <v>-1.1107457337072999</v>
      </c>
      <c r="AE4615">
        <v>-6.8213299999999997</v>
      </c>
      <c r="AF4615">
        <v>-1.1760853970551499</v>
      </c>
      <c r="AG4615">
        <v>-1.1107457337072999</v>
      </c>
      <c r="AH4615">
        <v>6.59345724575007</v>
      </c>
      <c r="AI4615">
        <v>99.416464872424299</v>
      </c>
      <c r="AJ4615">
        <v>100.11357472694399</v>
      </c>
      <c r="AK4615">
        <v>6.7890066576524601</v>
      </c>
      <c r="AL4615">
        <v>67.153931275782199</v>
      </c>
      <c r="AM4615">
        <v>99.469583354641799</v>
      </c>
      <c r="AN4615">
        <v>1.0000000359988599</v>
      </c>
    </row>
    <row r="4616" spans="1:40" x14ac:dyDescent="0.25">
      <c r="A4616" t="str">
        <f>"20190304164503755"</f>
        <v>20190304164503755</v>
      </c>
      <c r="B4616" t="str">
        <f>"1551689103744746"</f>
        <v>1551689103744746</v>
      </c>
      <c r="C4616" t="s">
        <v>40</v>
      </c>
      <c r="D4616">
        <v>5.1034249999999997</v>
      </c>
      <c r="E4616">
        <v>0.43931710000000002</v>
      </c>
      <c r="F4616" t="s">
        <v>42</v>
      </c>
      <c r="G4616">
        <v>-420.68400000000003</v>
      </c>
      <c r="H4616" s="1">
        <v>-4.2464410000000002E-6</v>
      </c>
      <c r="I4616">
        <v>79.108620000000002</v>
      </c>
      <c r="J4616">
        <v>-421.95209999999997</v>
      </c>
      <c r="K4616">
        <v>1.110806</v>
      </c>
      <c r="L4616">
        <v>87.039670000000001</v>
      </c>
      <c r="M4616">
        <v>-5.4026240000000003E-2</v>
      </c>
      <c r="N4616">
        <v>-1.246011E-2</v>
      </c>
      <c r="O4616">
        <v>-0.99846190000000001</v>
      </c>
      <c r="P4616">
        <v>0.1027812</v>
      </c>
      <c r="Q4616">
        <v>0.37734410000000002</v>
      </c>
      <c r="R4616">
        <v>-0.92035199999999995</v>
      </c>
      <c r="S4616">
        <v>0.50677490000000003</v>
      </c>
      <c r="T4616">
        <v>-0.45158409999999899</v>
      </c>
      <c r="U4616">
        <v>-3.3881839999999999</v>
      </c>
      <c r="V4616">
        <v>-0.15267349999999999</v>
      </c>
      <c r="W4616">
        <v>0.38857269999999999</v>
      </c>
      <c r="X4616">
        <v>0.90868150000000003</v>
      </c>
      <c r="Y4616">
        <v>-0.199938</v>
      </c>
      <c r="Z4616">
        <v>0.1173685</v>
      </c>
      <c r="AA4616">
        <v>0.97275350000000005</v>
      </c>
      <c r="AB4616">
        <v>41</v>
      </c>
      <c r="AC4616">
        <v>1.2680999999999401</v>
      </c>
      <c r="AD4616">
        <v>-1.1108102464409999</v>
      </c>
      <c r="AE4616">
        <v>-7.9310499999999902</v>
      </c>
      <c r="AF4616">
        <v>-1.6629576930946699</v>
      </c>
      <c r="AG4616">
        <v>-1.1108102464409999</v>
      </c>
      <c r="AH4616">
        <v>7.7035994730905504</v>
      </c>
      <c r="AI4616">
        <v>98.022823601920507</v>
      </c>
      <c r="AJ4616">
        <v>102.18138635816101</v>
      </c>
      <c r="AK4616">
        <v>7.9589429282048503</v>
      </c>
      <c r="AL4616">
        <v>67.134282371355994</v>
      </c>
      <c r="AM4616">
        <v>99.537556091170998</v>
      </c>
      <c r="AN4616">
        <v>1.00000000461489</v>
      </c>
    </row>
    <row r="4617" spans="1:40" x14ac:dyDescent="0.25">
      <c r="A4617" t="str">
        <f>"20190304164503777"</f>
        <v>20190304164503777</v>
      </c>
      <c r="B4617" t="str">
        <f>"1551689103775002"</f>
        <v>1551689103775002</v>
      </c>
      <c r="C4617" t="s">
        <v>40</v>
      </c>
      <c r="D4617">
        <v>5.0488140000000001</v>
      </c>
      <c r="E4617">
        <v>0.43913419999999997</v>
      </c>
      <c r="F4617" t="s">
        <v>42</v>
      </c>
      <c r="G4617">
        <v>-418.13260000000002</v>
      </c>
      <c r="H4617" s="1">
        <v>-2.0145860000000002E-6</v>
      </c>
      <c r="I4617">
        <v>73.556659999999994</v>
      </c>
      <c r="J4617">
        <v>-421.9742</v>
      </c>
      <c r="K4617">
        <v>1.1108709999999999</v>
      </c>
      <c r="L4617">
        <v>86.623199999999997</v>
      </c>
      <c r="M4617">
        <v>-5.3605430000000003E-2</v>
      </c>
      <c r="N4617">
        <v>-1.269843E-2</v>
      </c>
      <c r="O4617">
        <v>-0.99848159999999997</v>
      </c>
      <c r="P4617">
        <v>0.1044231</v>
      </c>
      <c r="Q4617">
        <v>0.3781371</v>
      </c>
      <c r="R4617">
        <v>-0.91984160000000004</v>
      </c>
      <c r="S4617">
        <v>0.92538450000000005</v>
      </c>
      <c r="T4617">
        <v>-0.26912390000000003</v>
      </c>
      <c r="U4617">
        <v>-3.266632</v>
      </c>
      <c r="V4617">
        <v>-0.153937299999999</v>
      </c>
      <c r="W4617">
        <v>0.38956059999999998</v>
      </c>
      <c r="X4617">
        <v>0.90804510000000005</v>
      </c>
      <c r="Y4617">
        <v>-0.32297209999999898</v>
      </c>
      <c r="Z4617">
        <v>6.5443420000000002E-2</v>
      </c>
      <c r="AA4617">
        <v>0.94414310000000001</v>
      </c>
      <c r="AB4617">
        <v>41</v>
      </c>
      <c r="AC4617">
        <v>3.8415999999999699</v>
      </c>
      <c r="AD4617">
        <v>-1.110873014586</v>
      </c>
      <c r="AE4617">
        <v>-13.06654</v>
      </c>
      <c r="AF4617">
        <v>-4.5065881946769899</v>
      </c>
      <c r="AG4617">
        <v>-1.110873014586</v>
      </c>
      <c r="AH4617">
        <v>12.756933641920501</v>
      </c>
      <c r="AI4617">
        <v>94.693865356150994</v>
      </c>
      <c r="AJ4617">
        <v>109.456571747929</v>
      </c>
      <c r="AK4617">
        <v>13.575077604024999</v>
      </c>
      <c r="AL4617">
        <v>67.072839274926395</v>
      </c>
      <c r="AM4617">
        <v>99.621650721971506</v>
      </c>
      <c r="AN4617">
        <v>1.00000002851882</v>
      </c>
    </row>
    <row r="4618" spans="1:40" x14ac:dyDescent="0.25">
      <c r="A4618" t="str">
        <f>"20190304164503800"</f>
        <v>20190304164503800</v>
      </c>
      <c r="B4618" t="str">
        <f>"1551689103794521"</f>
        <v>1551689103794521</v>
      </c>
      <c r="C4618" t="s">
        <v>40</v>
      </c>
      <c r="D4618">
        <v>5.0055889999999996</v>
      </c>
      <c r="E4618">
        <v>0.44098520000000002</v>
      </c>
      <c r="F4618" t="s">
        <v>42</v>
      </c>
      <c r="G4618">
        <v>-418.06560000000002</v>
      </c>
      <c r="H4618" s="1">
        <v>-1.7525190000000001E-6</v>
      </c>
      <c r="I4618">
        <v>72.91807</v>
      </c>
      <c r="J4618">
        <v>-421.99630000000002</v>
      </c>
      <c r="K4618">
        <v>1.1109199999999999</v>
      </c>
      <c r="L4618">
        <v>86.204619999999906</v>
      </c>
      <c r="M4618">
        <v>-5.315769E-2</v>
      </c>
      <c r="N4618">
        <v>-1.2910609999999999E-2</v>
      </c>
      <c r="O4618">
        <v>-0.99850269999999997</v>
      </c>
      <c r="P4618">
        <v>0.1060334</v>
      </c>
      <c r="Q4618">
        <v>0.37773889999999999</v>
      </c>
      <c r="R4618">
        <v>-0.919821</v>
      </c>
      <c r="S4618">
        <v>0.93103029999999998</v>
      </c>
      <c r="T4618">
        <v>-0.26460460000000002</v>
      </c>
      <c r="U4618">
        <v>-3.2644959999999998</v>
      </c>
      <c r="V4618">
        <v>-0.155166</v>
      </c>
      <c r="W4618">
        <v>0.38934089999999999</v>
      </c>
      <c r="X4618">
        <v>0.90793009999999996</v>
      </c>
      <c r="Y4618">
        <v>-0.32424579999999997</v>
      </c>
      <c r="Z4618">
        <v>6.3940150000000001E-2</v>
      </c>
      <c r="AA4618">
        <v>0.94380940000000002</v>
      </c>
      <c r="AB4618">
        <v>41</v>
      </c>
      <c r="AC4618">
        <v>3.9306999999999999</v>
      </c>
      <c r="AD4618">
        <v>-1.110921752519</v>
      </c>
      <c r="AE4618">
        <v>-13.286549999999901</v>
      </c>
      <c r="AF4618">
        <v>-4.6018997614022803</v>
      </c>
      <c r="AG4618">
        <v>-1.110921752519</v>
      </c>
      <c r="AH4618">
        <v>12.975385781911299</v>
      </c>
      <c r="AI4618">
        <v>94.613365436211097</v>
      </c>
      <c r="AJ4618">
        <v>109.52775409837599</v>
      </c>
      <c r="AK4618">
        <v>13.8120333312529</v>
      </c>
      <c r="AL4618">
        <v>67.086504180691193</v>
      </c>
      <c r="AM4618">
        <v>99.698201384563305</v>
      </c>
      <c r="AN4618">
        <v>0.99999994522740798</v>
      </c>
    </row>
    <row r="4619" spans="1:40" x14ac:dyDescent="0.25">
      <c r="A4619" t="str">
        <f>"20190304164503822"</f>
        <v>20190304164503822</v>
      </c>
      <c r="B4619" t="str">
        <f>"1551689103815018"</f>
        <v>1551689103815018</v>
      </c>
      <c r="C4619" t="s">
        <v>40</v>
      </c>
      <c r="D4619">
        <v>5.0098789999999997</v>
      </c>
      <c r="E4619">
        <v>0.4417624</v>
      </c>
      <c r="F4619" t="s">
        <v>42</v>
      </c>
      <c r="G4619">
        <v>-418.1764</v>
      </c>
      <c r="H4619" s="1">
        <v>-1.613994E-6</v>
      </c>
      <c r="I4619">
        <v>72.640979999999999</v>
      </c>
      <c r="J4619">
        <v>-422.01819999999998</v>
      </c>
      <c r="K4619">
        <v>1.1109599999999999</v>
      </c>
      <c r="L4619">
        <v>85.786100000000005</v>
      </c>
      <c r="M4619">
        <v>-5.2684460000000002E-2</v>
      </c>
      <c r="N4619">
        <v>-1.309738E-2</v>
      </c>
      <c r="O4619">
        <v>-0.99852540000000001</v>
      </c>
      <c r="P4619">
        <v>0.10670250000000001</v>
      </c>
      <c r="Q4619">
        <v>0.37709280000000001</v>
      </c>
      <c r="R4619">
        <v>-0.92000870000000001</v>
      </c>
      <c r="S4619">
        <v>0.91961669999999995</v>
      </c>
      <c r="T4619">
        <v>-0.26744649999999998</v>
      </c>
      <c r="U4619">
        <v>-3.2653500000000002</v>
      </c>
      <c r="V4619">
        <v>-0.1554391</v>
      </c>
      <c r="W4619">
        <v>0.38885599999999998</v>
      </c>
      <c r="X4619">
        <v>0.90809119999999999</v>
      </c>
      <c r="Y4619">
        <v>-0.32066149999999999</v>
      </c>
      <c r="Z4619">
        <v>6.4644629999999995E-2</v>
      </c>
      <c r="AA4619">
        <v>0.94498530000000003</v>
      </c>
      <c r="AB4619">
        <v>41</v>
      </c>
      <c r="AC4619">
        <v>3.8417999999999699</v>
      </c>
      <c r="AD4619">
        <v>-1.110961613994</v>
      </c>
      <c r="AE4619">
        <v>-13.14512</v>
      </c>
      <c r="AF4619">
        <v>-4.4994569110238896</v>
      </c>
      <c r="AG4619">
        <v>-1.110961613994</v>
      </c>
      <c r="AH4619">
        <v>12.839944607735999</v>
      </c>
      <c r="AI4619">
        <v>94.668153422618502</v>
      </c>
      <c r="AJ4619">
        <v>109.31181341371099</v>
      </c>
      <c r="AK4619">
        <v>13.650770151594299</v>
      </c>
      <c r="AL4619">
        <v>67.116664061555198</v>
      </c>
      <c r="AM4619">
        <v>99.7132550562972</v>
      </c>
      <c r="AN4619">
        <v>0.99999996503112398</v>
      </c>
    </row>
    <row r="4620" spans="1:40" x14ac:dyDescent="0.25">
      <c r="A4620" t="str">
        <f>"20190304164503844"</f>
        <v>20190304164503844</v>
      </c>
      <c r="B4620" t="str">
        <f>"1551689103834537"</f>
        <v>1551689103834537</v>
      </c>
      <c r="C4620" t="s">
        <v>40</v>
      </c>
      <c r="D4620">
        <v>4.9767619999999999</v>
      </c>
      <c r="E4620">
        <v>0.44232090000000002</v>
      </c>
      <c r="F4620" t="s">
        <v>42</v>
      </c>
      <c r="G4620">
        <v>-418.2595</v>
      </c>
      <c r="H4620" s="1">
        <v>-1.486866E-6</v>
      </c>
      <c r="I4620">
        <v>72.379040000000003</v>
      </c>
      <c r="J4620">
        <v>-422.03829999999999</v>
      </c>
      <c r="K4620">
        <v>1.1109899999999999</v>
      </c>
      <c r="L4620">
        <v>85.39667</v>
      </c>
      <c r="M4620">
        <v>-5.2220229999999999E-2</v>
      </c>
      <c r="N4620">
        <v>-1.3250339999999999E-2</v>
      </c>
      <c r="O4620">
        <v>-0.99854790000000004</v>
      </c>
      <c r="P4620">
        <v>0.1074218</v>
      </c>
      <c r="Q4620">
        <v>0.37650460000000002</v>
      </c>
      <c r="R4620">
        <v>-0.92016609999999999</v>
      </c>
      <c r="S4620">
        <v>0.9154968</v>
      </c>
      <c r="T4620">
        <v>-0.27059729999999999</v>
      </c>
      <c r="U4620">
        <v>-3.2655639999999999</v>
      </c>
      <c r="V4620">
        <v>-0.15576570000000001</v>
      </c>
      <c r="W4620">
        <v>0.3883991</v>
      </c>
      <c r="X4620">
        <v>0.9082308</v>
      </c>
      <c r="Y4620">
        <v>-0.31908239999999999</v>
      </c>
      <c r="Z4620">
        <v>6.5436469999999997E-2</v>
      </c>
      <c r="AA4620">
        <v>0.94546520000000001</v>
      </c>
      <c r="AB4620">
        <v>41</v>
      </c>
      <c r="AC4620">
        <v>3.77879999999998</v>
      </c>
      <c r="AD4620">
        <v>-1.110991486866</v>
      </c>
      <c r="AE4620">
        <v>-13.017629999999899</v>
      </c>
      <c r="AF4620">
        <v>-4.4237687675070596</v>
      </c>
      <c r="AG4620">
        <v>-1.110991486866</v>
      </c>
      <c r="AH4620">
        <v>12.717088509121799</v>
      </c>
      <c r="AI4620">
        <v>94.716923783895993</v>
      </c>
      <c r="AJ4620">
        <v>109.180750853888</v>
      </c>
      <c r="AK4620">
        <v>13.5103061527523</v>
      </c>
      <c r="AL4620">
        <v>67.145076659645895</v>
      </c>
      <c r="AM4620">
        <v>99.731806571585693</v>
      </c>
      <c r="AN4620">
        <v>1.0000000001229701</v>
      </c>
    </row>
    <row r="4621" spans="1:40" x14ac:dyDescent="0.25">
      <c r="A4621" t="str">
        <f>"20190304164503868"</f>
        <v>20190304164503868</v>
      </c>
      <c r="B4621" t="str">
        <f>"1551689103864794"</f>
        <v>1551689103864794</v>
      </c>
      <c r="C4621" t="s">
        <v>40</v>
      </c>
      <c r="D4621">
        <v>5.0330690000000002</v>
      </c>
      <c r="E4621">
        <v>0.44306380000000001</v>
      </c>
      <c r="F4621" t="s">
        <v>42</v>
      </c>
      <c r="G4621">
        <v>-418.32569999999998</v>
      </c>
      <c r="H4621" s="1">
        <v>-1.3675349999999999E-6</v>
      </c>
      <c r="I4621">
        <v>72.128230000000002</v>
      </c>
      <c r="J4621">
        <v>-422.06060000000002</v>
      </c>
      <c r="K4621">
        <v>1.1110279999999999</v>
      </c>
      <c r="L4621">
        <v>84.959199999999996</v>
      </c>
      <c r="M4621">
        <v>-5.1672320000000001E-2</v>
      </c>
      <c r="N4621">
        <v>-1.340063E-2</v>
      </c>
      <c r="O4621">
        <v>-0.99857430000000003</v>
      </c>
      <c r="P4621">
        <v>0.108777</v>
      </c>
      <c r="Q4621">
        <v>0.37634600000000001</v>
      </c>
      <c r="R4621">
        <v>-0.92007119999999998</v>
      </c>
      <c r="S4621">
        <v>0.91369630000000002</v>
      </c>
      <c r="T4621">
        <v>-0.273424</v>
      </c>
      <c r="U4621">
        <v>-3.2654719999999999</v>
      </c>
      <c r="V4621">
        <v>-0.15664040000000001</v>
      </c>
      <c r="W4621">
        <v>0.38836399999999999</v>
      </c>
      <c r="X4621">
        <v>0.9080954</v>
      </c>
      <c r="Y4621">
        <v>-0.31806990000000002</v>
      </c>
      <c r="Z4621">
        <v>6.6129950000000007E-2</v>
      </c>
      <c r="AA4621">
        <v>0.94575810000000005</v>
      </c>
      <c r="AB4621">
        <v>41</v>
      </c>
      <c r="AC4621">
        <v>3.7349000000000299</v>
      </c>
      <c r="AD4621">
        <v>-1.111029367535</v>
      </c>
      <c r="AE4621">
        <v>-12.830969999999899</v>
      </c>
      <c r="AF4621">
        <v>-4.3628188132972001</v>
      </c>
      <c r="AG4621">
        <v>-1.111029367535</v>
      </c>
      <c r="AH4621">
        <v>12.534180124074901</v>
      </c>
      <c r="AI4621">
        <v>94.785286072730997</v>
      </c>
      <c r="AJ4621">
        <v>109.191664544674</v>
      </c>
      <c r="AK4621">
        <v>13.318192281084499</v>
      </c>
      <c r="AL4621">
        <v>67.147259867974398</v>
      </c>
      <c r="AM4621">
        <v>99.7868325749333</v>
      </c>
      <c r="AN4621">
        <v>1.0000000334546499</v>
      </c>
    </row>
    <row r="4622" spans="1:40" x14ac:dyDescent="0.25">
      <c r="A4622" t="str">
        <f>"20190304164503889"</f>
        <v>20190304164503889</v>
      </c>
      <c r="B4622" t="str">
        <f>"1551689103885290"</f>
        <v>1551689103885290</v>
      </c>
      <c r="C4622" t="s">
        <v>40</v>
      </c>
      <c r="D4622">
        <v>5.0062059999999997</v>
      </c>
      <c r="E4622">
        <v>0.44318429999999998</v>
      </c>
      <c r="F4622" t="s">
        <v>42</v>
      </c>
      <c r="G4622">
        <v>-418.38740000000001</v>
      </c>
      <c r="H4622" s="1">
        <v>-1.2199050000000001E-6</v>
      </c>
      <c r="I4622">
        <v>71.80959</v>
      </c>
      <c r="J4622">
        <v>-422.08049999999997</v>
      </c>
      <c r="K4622">
        <v>1.1110679999999999</v>
      </c>
      <c r="L4622">
        <v>84.566739999999996</v>
      </c>
      <c r="M4622">
        <v>-5.1157719999999997E-2</v>
      </c>
      <c r="N4622">
        <v>-1.35178E-2</v>
      </c>
      <c r="O4622">
        <v>-0.99859909999999996</v>
      </c>
      <c r="P4622">
        <v>0.1100377</v>
      </c>
      <c r="Q4622">
        <v>0.37641409999999997</v>
      </c>
      <c r="R4622">
        <v>-0.91989339999999997</v>
      </c>
      <c r="S4622">
        <v>0.91223140000000003</v>
      </c>
      <c r="T4622">
        <v>-0.27591749999999998</v>
      </c>
      <c r="U4622">
        <v>-3.265625</v>
      </c>
      <c r="V4622">
        <v>-0.157444</v>
      </c>
      <c r="W4622">
        <v>0.38852569999999997</v>
      </c>
      <c r="X4622">
        <v>0.90788720000000001</v>
      </c>
      <c r="Y4622">
        <v>-0.31716240000000001</v>
      </c>
      <c r="Z4622">
        <v>6.6751939999999996E-2</v>
      </c>
      <c r="AA4622">
        <v>0.9460191</v>
      </c>
      <c r="AB4622">
        <v>41</v>
      </c>
      <c r="AC4622">
        <v>3.6930999999999599</v>
      </c>
      <c r="AD4622">
        <v>-1.1110692199049901</v>
      </c>
      <c r="AE4622">
        <v>-12.7571499999999</v>
      </c>
      <c r="AF4622">
        <v>-4.3107793936056096</v>
      </c>
      <c r="AG4622">
        <v>-1.1110692199049901</v>
      </c>
      <c r="AH4622">
        <v>12.4642599005603</v>
      </c>
      <c r="AI4622">
        <v>94.815473634306201</v>
      </c>
      <c r="AJ4622">
        <v>109.078006260226</v>
      </c>
      <c r="AK4622">
        <v>13.2353718746574</v>
      </c>
      <c r="AL4622">
        <v>67.137204798133098</v>
      </c>
      <c r="AM4622">
        <v>99.838274519292</v>
      </c>
      <c r="AN4622">
        <v>1.0000000003101599</v>
      </c>
    </row>
    <row r="4623" spans="1:40" x14ac:dyDescent="0.25">
      <c r="A4623" t="str">
        <f>"20190304164503911"</f>
        <v>20190304164503911</v>
      </c>
      <c r="B4623" t="str">
        <f>"1551689103904809"</f>
        <v>1551689103904809</v>
      </c>
      <c r="C4623" t="s">
        <v>40</v>
      </c>
      <c r="D4623">
        <v>5.0148409999999997</v>
      </c>
      <c r="E4623">
        <v>0.4432856</v>
      </c>
      <c r="F4623" t="s">
        <v>42</v>
      </c>
      <c r="G4623">
        <v>-418.38159999999999</v>
      </c>
      <c r="H4623" s="1">
        <v>-1.0228340000000001E-6</v>
      </c>
      <c r="I4623">
        <v>71.347840000000005</v>
      </c>
      <c r="J4623">
        <v>-422.10129999999998</v>
      </c>
      <c r="K4623">
        <v>1.111102</v>
      </c>
      <c r="L4623">
        <v>84.151250000000005</v>
      </c>
      <c r="M4623">
        <v>-5.0592060000000001E-2</v>
      </c>
      <c r="N4623">
        <v>-1.3626060000000001E-2</v>
      </c>
      <c r="O4623">
        <v>-0.99862660000000003</v>
      </c>
      <c r="P4623">
        <v>0.1114928</v>
      </c>
      <c r="Q4623">
        <v>0.37671830000000001</v>
      </c>
      <c r="R4623">
        <v>-0.91959400000000002</v>
      </c>
      <c r="S4623">
        <v>0.91339110000000001</v>
      </c>
      <c r="T4623">
        <v>-0.27436529999999998</v>
      </c>
      <c r="U4623">
        <v>-3.2642519999999999</v>
      </c>
      <c r="V4623">
        <v>-0.1583917</v>
      </c>
      <c r="W4623">
        <v>0.38891229999999999</v>
      </c>
      <c r="X4623">
        <v>0.90755680000000005</v>
      </c>
      <c r="Y4623">
        <v>-0.31704890000000002</v>
      </c>
      <c r="Z4623">
        <v>6.622836E-2</v>
      </c>
      <c r="AA4623">
        <v>0.94609399999999999</v>
      </c>
      <c r="AB4623">
        <v>41</v>
      </c>
      <c r="AC4623">
        <v>3.71969999999998</v>
      </c>
      <c r="AD4623">
        <v>-1.111103022834</v>
      </c>
      <c r="AE4623">
        <v>-12.80341</v>
      </c>
      <c r="AF4623">
        <v>-4.33265672642022</v>
      </c>
      <c r="AG4623">
        <v>-1.111103022834</v>
      </c>
      <c r="AH4623">
        <v>12.5119122004728</v>
      </c>
      <c r="AI4623">
        <v>94.796728185031895</v>
      </c>
      <c r="AJ4623">
        <v>109.100076322882</v>
      </c>
      <c r="AK4623">
        <v>13.287377888382901</v>
      </c>
      <c r="AL4623">
        <v>67.113164191741205</v>
      </c>
      <c r="AM4623">
        <v>99.899858002278194</v>
      </c>
      <c r="AN4623">
        <v>1.0000000264732001</v>
      </c>
    </row>
    <row r="4624" spans="1:40" x14ac:dyDescent="0.25">
      <c r="A4624" t="str">
        <f>"20190304164503934"</f>
        <v>20190304164503934</v>
      </c>
      <c r="B4624" t="str">
        <f>"1551689103925306"</f>
        <v>1551689103925306</v>
      </c>
      <c r="C4624" t="s">
        <v>40</v>
      </c>
      <c r="D4624">
        <v>5.0139509999999996</v>
      </c>
      <c r="E4624">
        <v>0.44327329999999998</v>
      </c>
      <c r="F4624" t="s">
        <v>42</v>
      </c>
      <c r="G4624">
        <v>-418.37090000000001</v>
      </c>
      <c r="H4624" s="1">
        <v>-8.4735249999999904E-7</v>
      </c>
      <c r="I4624">
        <v>70.864329999999995</v>
      </c>
      <c r="J4624">
        <v>-422.12099999999998</v>
      </c>
      <c r="K4624">
        <v>1.111137</v>
      </c>
      <c r="L4624">
        <v>83.752960000000002</v>
      </c>
      <c r="M4624">
        <v>-5.0029009999999999E-2</v>
      </c>
      <c r="N4624">
        <v>-1.371584E-2</v>
      </c>
      <c r="O4624">
        <v>-0.99865349999999997</v>
      </c>
      <c r="P4624">
        <v>0.1124738</v>
      </c>
      <c r="Q4624">
        <v>0.37647049999999999</v>
      </c>
      <c r="R4624">
        <v>-0.9195759</v>
      </c>
      <c r="S4624">
        <v>0.91610720000000001</v>
      </c>
      <c r="T4624">
        <v>-0.27286719999999998</v>
      </c>
      <c r="U4624">
        <v>-3.2630309999999998</v>
      </c>
      <c r="V4624">
        <v>-0.15887970000000001</v>
      </c>
      <c r="W4624">
        <v>0.38873609999999997</v>
      </c>
      <c r="X4624">
        <v>0.90754699999999999</v>
      </c>
      <c r="Y4624">
        <v>-0.31734479999999998</v>
      </c>
      <c r="Z4624">
        <v>6.5724260000000007E-2</v>
      </c>
      <c r="AA4624">
        <v>0.94603000000000004</v>
      </c>
      <c r="AB4624">
        <v>41</v>
      </c>
      <c r="AC4624">
        <v>3.75009999999997</v>
      </c>
      <c r="AD4624">
        <v>-1.1111378473525</v>
      </c>
      <c r="AE4624">
        <v>-12.8886299999999</v>
      </c>
      <c r="AF4624">
        <v>-4.3603910047124099</v>
      </c>
      <c r="AG4624">
        <v>-1.1111378473525</v>
      </c>
      <c r="AH4624">
        <v>12.598528435034501</v>
      </c>
      <c r="AI4624">
        <v>94.764314006602305</v>
      </c>
      <c r="AJ4624">
        <v>109.09090063875399</v>
      </c>
      <c r="AK4624">
        <v>13.377987732023399</v>
      </c>
      <c r="AL4624">
        <v>67.124122179399706</v>
      </c>
      <c r="AM4624">
        <v>99.929858074320904</v>
      </c>
      <c r="AN4624">
        <v>1.0000000358621399</v>
      </c>
    </row>
    <row r="4625" spans="1:40" x14ac:dyDescent="0.25">
      <c r="A4625" t="str">
        <f>"20190304164503956"</f>
        <v>20190304164503956</v>
      </c>
      <c r="B4625" t="str">
        <f>"1551689103944827"</f>
        <v>1551689103944827</v>
      </c>
      <c r="C4625" t="s">
        <v>40</v>
      </c>
      <c r="D4625">
        <v>4.9711970000000001</v>
      </c>
      <c r="E4625">
        <v>0.44313970000000003</v>
      </c>
      <c r="F4625" t="s">
        <v>42</v>
      </c>
      <c r="G4625">
        <v>-418.38229999999999</v>
      </c>
      <c r="H4625" s="1">
        <v>-7.1586320000000002E-7</v>
      </c>
      <c r="I4625">
        <v>70.486800000000002</v>
      </c>
      <c r="J4625">
        <v>-422.14049999999997</v>
      </c>
      <c r="K4625">
        <v>1.1111690000000001</v>
      </c>
      <c r="L4625">
        <v>83.352360000000004</v>
      </c>
      <c r="M4625">
        <v>-4.943931E-2</v>
      </c>
      <c r="N4625">
        <v>-1.379356E-2</v>
      </c>
      <c r="O4625">
        <v>-0.99868199999999996</v>
      </c>
      <c r="P4625">
        <v>0.113834199999999</v>
      </c>
      <c r="Q4625">
        <v>0.3762412</v>
      </c>
      <c r="R4625">
        <v>-0.91950229999999999</v>
      </c>
      <c r="S4625">
        <v>0.91925049999999997</v>
      </c>
      <c r="T4625">
        <v>-0.27320050000000001</v>
      </c>
      <c r="U4625">
        <v>-3.2618100000000001</v>
      </c>
      <c r="V4625">
        <v>-0.1597181</v>
      </c>
      <c r="W4625">
        <v>0.38856610000000003</v>
      </c>
      <c r="X4625">
        <v>0.90747259999999996</v>
      </c>
      <c r="Y4625">
        <v>-0.31771939999999999</v>
      </c>
      <c r="Z4625">
        <v>6.5760390000000002E-2</v>
      </c>
      <c r="AA4625">
        <v>0.94590169999999996</v>
      </c>
      <c r="AB4625">
        <v>41</v>
      </c>
      <c r="AC4625">
        <v>3.75819999999998</v>
      </c>
      <c r="AD4625">
        <v>-1.1111697158631999</v>
      </c>
      <c r="AE4625">
        <v>-12.86556</v>
      </c>
      <c r="AF4625">
        <v>-4.3597638580211999</v>
      </c>
      <c r="AG4625">
        <v>-1.1111697158631999</v>
      </c>
      <c r="AH4625">
        <v>12.577559017326299</v>
      </c>
      <c r="AI4625">
        <v>94.771582302008497</v>
      </c>
      <c r="AJ4625">
        <v>109.117869460544</v>
      </c>
      <c r="AK4625">
        <v>13.358039896237999</v>
      </c>
      <c r="AL4625">
        <v>67.134692725462997</v>
      </c>
      <c r="AM4625">
        <v>99.982008257625296</v>
      </c>
      <c r="AN4625">
        <v>1.0000000026437901</v>
      </c>
    </row>
    <row r="4626" spans="1:40" x14ac:dyDescent="0.25">
      <c r="A4626" t="str">
        <f>"20190304164503978"</f>
        <v>20190304164503978</v>
      </c>
      <c r="B4626" t="str">
        <f>"1551689103975081"</f>
        <v>1551689103975081</v>
      </c>
      <c r="C4626" t="s">
        <v>40</v>
      </c>
      <c r="D4626">
        <v>5.0048839999999997</v>
      </c>
      <c r="E4626">
        <v>0.4430791</v>
      </c>
      <c r="F4626" t="s">
        <v>42</v>
      </c>
      <c r="G4626">
        <v>-418.38189999999997</v>
      </c>
      <c r="H4626" s="1">
        <v>-5.8203950000000003E-7</v>
      </c>
      <c r="I4626">
        <v>70.093249999999998</v>
      </c>
      <c r="J4626">
        <v>-422.15969999999999</v>
      </c>
      <c r="K4626">
        <v>1.1111979999999999</v>
      </c>
      <c r="L4626">
        <v>82.953130000000002</v>
      </c>
      <c r="M4626">
        <v>-4.8830350000000002E-2</v>
      </c>
      <c r="N4626">
        <v>-1.3860559999999999E-2</v>
      </c>
      <c r="O4626">
        <v>-0.99871089999999996</v>
      </c>
      <c r="P4626">
        <v>0.1149154</v>
      </c>
      <c r="Q4626">
        <v>0.3761196</v>
      </c>
      <c r="R4626">
        <v>-0.91941740000000005</v>
      </c>
      <c r="S4626">
        <v>0.92413330000000005</v>
      </c>
      <c r="T4626">
        <v>-0.27320499999999998</v>
      </c>
      <c r="U4626">
        <v>-3.26004</v>
      </c>
      <c r="V4626">
        <v>-0.1602595</v>
      </c>
      <c r="W4626">
        <v>0.38849489999999998</v>
      </c>
      <c r="X4626">
        <v>0.90740759999999998</v>
      </c>
      <c r="Y4626">
        <v>-0.31858639999999999</v>
      </c>
      <c r="Z4626">
        <v>6.5712370000000006E-2</v>
      </c>
      <c r="AA4626">
        <v>0.94561329999999999</v>
      </c>
      <c r="AB4626">
        <v>41</v>
      </c>
      <c r="AC4626">
        <v>3.7778000000000098</v>
      </c>
      <c r="AD4626">
        <v>-1.1111985820394901</v>
      </c>
      <c r="AE4626">
        <v>-12.85988</v>
      </c>
      <c r="AF4626">
        <v>-4.3712606837698704</v>
      </c>
      <c r="AG4626">
        <v>-1.1111985820394901</v>
      </c>
      <c r="AH4626">
        <v>12.5736260065976</v>
      </c>
      <c r="AI4626">
        <v>94.771686131064797</v>
      </c>
      <c r="AJ4626">
        <v>109.17016836517701</v>
      </c>
      <c r="AK4626">
        <v>13.3580969156533</v>
      </c>
      <c r="AL4626">
        <v>67.139119309252294</v>
      </c>
      <c r="AM4626">
        <v>100.01586347380101</v>
      </c>
      <c r="AN4626">
        <v>0.99999997360200898</v>
      </c>
    </row>
    <row r="4627" spans="1:40" x14ac:dyDescent="0.25">
      <c r="A4627" t="str">
        <f>"20190304164504001"</f>
        <v>20190304164504001</v>
      </c>
      <c r="B4627" t="str">
        <f>"1551689103994601"</f>
        <v>1551689103994601</v>
      </c>
      <c r="C4627" t="s">
        <v>40</v>
      </c>
      <c r="D4627">
        <v>4.9929600000000001</v>
      </c>
      <c r="E4627">
        <v>0.44298589999999999</v>
      </c>
      <c r="F4627" t="s">
        <v>42</v>
      </c>
      <c r="G4627">
        <v>-418.37920000000003</v>
      </c>
      <c r="H4627" s="1">
        <v>-4.3751969999999999E-7</v>
      </c>
      <c r="I4627">
        <v>69.666449999999998</v>
      </c>
      <c r="J4627">
        <v>-422.18040000000002</v>
      </c>
      <c r="K4627">
        <v>1.111235</v>
      </c>
      <c r="L4627">
        <v>82.516080000000002</v>
      </c>
      <c r="M4627">
        <v>-4.8143440000000003E-2</v>
      </c>
      <c r="N4627">
        <v>-1.392347E-2</v>
      </c>
      <c r="O4627">
        <v>-0.99874370000000001</v>
      </c>
      <c r="P4627">
        <v>0.11543779999999999</v>
      </c>
      <c r="Q4627">
        <v>0.37655149999999998</v>
      </c>
      <c r="R4627">
        <v>-0.91917550000000003</v>
      </c>
      <c r="S4627">
        <v>0.92715449999999999</v>
      </c>
      <c r="T4627">
        <v>-0.27251789999999998</v>
      </c>
      <c r="U4627">
        <v>-3.2585139999999999</v>
      </c>
      <c r="V4627">
        <v>-0.160166</v>
      </c>
      <c r="W4627">
        <v>0.3889725</v>
      </c>
      <c r="X4627">
        <v>0.90721949999999996</v>
      </c>
      <c r="Y4627">
        <v>-0.31886560000000003</v>
      </c>
      <c r="Z4627">
        <v>6.5477069999999998E-2</v>
      </c>
      <c r="AA4627">
        <v>0.94553549999999997</v>
      </c>
      <c r="AB4627">
        <v>41</v>
      </c>
      <c r="AC4627">
        <v>3.8011999999999899</v>
      </c>
      <c r="AD4627">
        <v>-1.1112354375197</v>
      </c>
      <c r="AE4627">
        <v>-12.849629999999999</v>
      </c>
      <c r="AF4627">
        <v>-4.3853188382654</v>
      </c>
      <c r="AG4627">
        <v>-1.1112354375197</v>
      </c>
      <c r="AH4627">
        <v>12.565295350368199</v>
      </c>
      <c r="AI4627">
        <v>94.773000985442906</v>
      </c>
      <c r="AJ4627">
        <v>109.23911233732601</v>
      </c>
      <c r="AK4627">
        <v>13.3548685037641</v>
      </c>
      <c r="AL4627">
        <v>67.109419242112395</v>
      </c>
      <c r="AM4627">
        <v>100.01217163174501</v>
      </c>
      <c r="AN4627">
        <v>0.99999998724624894</v>
      </c>
    </row>
    <row r="4628" spans="1:40" x14ac:dyDescent="0.25">
      <c r="A4628" t="str">
        <f>"20190304164504023"</f>
        <v>20190304164504023</v>
      </c>
      <c r="B4628" t="str">
        <f>"1551689104015099"</f>
        <v>1551689104015099</v>
      </c>
      <c r="C4628" t="s">
        <v>40</v>
      </c>
      <c r="D4628">
        <v>4.9729999999999999</v>
      </c>
      <c r="E4628">
        <v>0.4428068</v>
      </c>
      <c r="F4628" t="s">
        <v>42</v>
      </c>
      <c r="G4628">
        <v>-418.36009999999999</v>
      </c>
      <c r="H4628" s="1">
        <v>-4.3628489999999998E-6</v>
      </c>
      <c r="I4628">
        <v>69.124600000000001</v>
      </c>
      <c r="J4628">
        <v>-422.19929999999999</v>
      </c>
      <c r="K4628">
        <v>1.111272</v>
      </c>
      <c r="L4628">
        <v>82.112519999999904</v>
      </c>
      <c r="M4628">
        <v>-4.7490690000000002E-2</v>
      </c>
      <c r="N4628">
        <v>-1.3973370000000001E-2</v>
      </c>
      <c r="O4628">
        <v>-0.9987743</v>
      </c>
      <c r="P4628">
        <v>0.116012</v>
      </c>
      <c r="Q4628">
        <v>0.37735780000000002</v>
      </c>
      <c r="R4628">
        <v>-0.91877260000000005</v>
      </c>
      <c r="S4628">
        <v>0.92938229999999999</v>
      </c>
      <c r="T4628">
        <v>-0.27033689999999999</v>
      </c>
      <c r="U4628">
        <v>-3.2578130000000001</v>
      </c>
      <c r="V4628">
        <v>-0.16014500000000001</v>
      </c>
      <c r="W4628">
        <v>0.38981130000000003</v>
      </c>
      <c r="X4628">
        <v>0.90686310000000003</v>
      </c>
      <c r="Y4628">
        <v>-0.31891069999999999</v>
      </c>
      <c r="Z4628">
        <v>6.4807840000000005E-2</v>
      </c>
      <c r="AA4628">
        <v>0.94556649999999998</v>
      </c>
      <c r="AB4628">
        <v>41</v>
      </c>
      <c r="AC4628">
        <v>3.8391999999999999</v>
      </c>
      <c r="AD4628">
        <v>-1.1112763628489899</v>
      </c>
      <c r="AE4628">
        <v>-12.9879199999999</v>
      </c>
      <c r="AF4628">
        <v>-4.4219611943854602</v>
      </c>
      <c r="AG4628">
        <v>-1.1112763628489899</v>
      </c>
      <c r="AH4628">
        <v>12.7053780925967</v>
      </c>
      <c r="AI4628">
        <v>94.722196586356304</v>
      </c>
      <c r="AJ4628">
        <v>109.189866038761</v>
      </c>
      <c r="AK4628">
        <v>13.498715066076301</v>
      </c>
      <c r="AL4628">
        <v>67.057240979530803</v>
      </c>
      <c r="AM4628">
        <v>100.01474013137999</v>
      </c>
      <c r="AN4628">
        <v>0.99999997638714899</v>
      </c>
    </row>
    <row r="4629" spans="1:40" x14ac:dyDescent="0.25">
      <c r="A4629" t="str">
        <f>"20190304164504045"</f>
        <v>20190304164504045</v>
      </c>
      <c r="B4629" t="str">
        <f>"1551689104034618"</f>
        <v>1551689104034618</v>
      </c>
      <c r="C4629" t="s">
        <v>40</v>
      </c>
      <c r="D4629">
        <v>4.9632059999999996</v>
      </c>
      <c r="E4629">
        <v>0.442639</v>
      </c>
      <c r="F4629" t="s">
        <v>42</v>
      </c>
      <c r="G4629">
        <v>-418.31920000000002</v>
      </c>
      <c r="H4629" s="1">
        <v>-4.1252900000000003E-6</v>
      </c>
      <c r="I4629">
        <v>68.553960000000004</v>
      </c>
      <c r="J4629">
        <v>-422.21699999999998</v>
      </c>
      <c r="K4629">
        <v>1.1113059999999999</v>
      </c>
      <c r="L4629">
        <v>81.728969999999904</v>
      </c>
      <c r="M4629">
        <v>-4.6852650000000003E-2</v>
      </c>
      <c r="N4629">
        <v>-1.401431E-2</v>
      </c>
      <c r="O4629">
        <v>-0.99880340000000001</v>
      </c>
      <c r="P4629">
        <v>0.116532399999999</v>
      </c>
      <c r="Q4629">
        <v>0.37787270000000001</v>
      </c>
      <c r="R4629">
        <v>-0.91849479999999994</v>
      </c>
      <c r="S4629">
        <v>0.93209839999999999</v>
      </c>
      <c r="T4629">
        <v>-0.26696170000000002</v>
      </c>
      <c r="U4629">
        <v>-3.2571720000000002</v>
      </c>
      <c r="V4629">
        <v>-0.1600887</v>
      </c>
      <c r="W4629">
        <v>0.3903527</v>
      </c>
      <c r="X4629">
        <v>0.90664020000000001</v>
      </c>
      <c r="Y4629">
        <v>-0.31910300000000003</v>
      </c>
      <c r="Z4629">
        <v>6.3795749999999998E-2</v>
      </c>
      <c r="AA4629">
        <v>0.94557040000000003</v>
      </c>
      <c r="AB4629">
        <v>41</v>
      </c>
      <c r="AC4629">
        <v>3.8977999999999602</v>
      </c>
      <c r="AD4629">
        <v>-1.11131012529</v>
      </c>
      <c r="AE4629">
        <v>-13.175009999999901</v>
      </c>
      <c r="AF4629">
        <v>-4.4815439531918404</v>
      </c>
      <c r="AG4629">
        <v>-1.11131012529</v>
      </c>
      <c r="AH4629">
        <v>12.8935451432375</v>
      </c>
      <c r="AI4629">
        <v>94.654385627226802</v>
      </c>
      <c r="AJ4629">
        <v>109.16645098197</v>
      </c>
      <c r="AK4629">
        <v>13.695355152739401</v>
      </c>
      <c r="AL4629">
        <v>67.023553702624696</v>
      </c>
      <c r="AM4629">
        <v>100.013702115355</v>
      </c>
      <c r="AN4629">
        <v>1.0000000372605</v>
      </c>
    </row>
    <row r="4630" spans="1:40" x14ac:dyDescent="0.25">
      <c r="A4630" t="str">
        <f>"20190304164504068"</f>
        <v>20190304164504068</v>
      </c>
      <c r="B4630" t="str">
        <f>"1551689104064874"</f>
        <v>1551689104064874</v>
      </c>
      <c r="C4630" t="s">
        <v>40</v>
      </c>
      <c r="D4630">
        <v>4.9709409999999998</v>
      </c>
      <c r="E4630">
        <v>0.44247379999999997</v>
      </c>
      <c r="F4630" t="s">
        <v>42</v>
      </c>
      <c r="G4630">
        <v>-418.29270000000002</v>
      </c>
      <c r="H4630" s="1">
        <v>-3.9120159999999996E-6</v>
      </c>
      <c r="I4630">
        <v>68.045839999999998</v>
      </c>
      <c r="J4630">
        <v>-422.2364</v>
      </c>
      <c r="K4630">
        <v>1.1113329999999999</v>
      </c>
      <c r="L4630">
        <v>81.300899999999999</v>
      </c>
      <c r="M4630">
        <v>-4.6120599999999998E-2</v>
      </c>
      <c r="N4630">
        <v>-1.405351E-2</v>
      </c>
      <c r="O4630">
        <v>-0.99883710000000003</v>
      </c>
      <c r="P4630">
        <v>0.1175402</v>
      </c>
      <c r="Q4630">
        <v>0.37825500000000001</v>
      </c>
      <c r="R4630">
        <v>-0.9182091</v>
      </c>
      <c r="S4630">
        <v>0.93396000000000001</v>
      </c>
      <c r="T4630">
        <v>-0.26448739999999998</v>
      </c>
      <c r="U4630">
        <v>-3.2565309999999998</v>
      </c>
      <c r="V4630">
        <v>-0.1604352</v>
      </c>
      <c r="W4630">
        <v>0.39075880000000002</v>
      </c>
      <c r="X4630">
        <v>0.90640399999999999</v>
      </c>
      <c r="Y4630">
        <v>-0.31897140000000002</v>
      </c>
      <c r="Z4630">
        <v>6.3054170000000007E-2</v>
      </c>
      <c r="AA4630">
        <v>0.94566450000000002</v>
      </c>
      <c r="AB4630">
        <v>41</v>
      </c>
      <c r="AC4630">
        <v>3.94369999999997</v>
      </c>
      <c r="AD4630">
        <v>-1.1113369120159999</v>
      </c>
      <c r="AE4630">
        <v>-13.25506</v>
      </c>
      <c r="AF4630">
        <v>-4.5216935928833202</v>
      </c>
      <c r="AG4630">
        <v>-1.1113369120159999</v>
      </c>
      <c r="AH4630">
        <v>12.9752555418764</v>
      </c>
      <c r="AI4630">
        <v>94.624019368989195</v>
      </c>
      <c r="AJ4630">
        <v>109.212725491659</v>
      </c>
      <c r="AK4630">
        <v>13.7854285046539</v>
      </c>
      <c r="AL4630">
        <v>66.998278876792796</v>
      </c>
      <c r="AM4630">
        <v>100.037497800408</v>
      </c>
      <c r="AN4630">
        <v>1.00000005219623</v>
      </c>
    </row>
    <row r="4631" spans="1:40" x14ac:dyDescent="0.25">
      <c r="A4631" t="str">
        <f>"20190304164504091"</f>
        <v>20190304164504091</v>
      </c>
      <c r="B4631" t="str">
        <f>"1551689104084394"</f>
        <v>1551689104084394</v>
      </c>
      <c r="C4631" t="s">
        <v>40</v>
      </c>
      <c r="D4631">
        <v>6.0948699999999896</v>
      </c>
      <c r="E4631">
        <v>0.48586950000000001</v>
      </c>
      <c r="F4631" t="s">
        <v>42</v>
      </c>
      <c r="G4631">
        <v>-418.27330000000001</v>
      </c>
      <c r="H4631" s="1">
        <v>-3.7007310000000002E-6</v>
      </c>
      <c r="I4631">
        <v>67.545299999999997</v>
      </c>
      <c r="J4631">
        <v>-422.255</v>
      </c>
      <c r="K4631">
        <v>1.1113550000000001</v>
      </c>
      <c r="L4631">
        <v>80.88373</v>
      </c>
      <c r="M4631">
        <v>-4.538785E-2</v>
      </c>
      <c r="N4631">
        <v>-1.4086059999999999E-2</v>
      </c>
      <c r="O4631">
        <v>-0.99887029999999999</v>
      </c>
      <c r="P4631">
        <v>0.1184016</v>
      </c>
      <c r="Q4631">
        <v>0.37802970000000002</v>
      </c>
      <c r="R4631">
        <v>-0.91819099999999998</v>
      </c>
      <c r="S4631">
        <v>0.93792719999999896</v>
      </c>
      <c r="T4631">
        <v>-0.26301629999999998</v>
      </c>
      <c r="U4631">
        <v>-3.255493</v>
      </c>
      <c r="V4631">
        <v>-0.1606457</v>
      </c>
      <c r="W4631">
        <v>0.39055459999999997</v>
      </c>
      <c r="X4631">
        <v>0.9064546</v>
      </c>
      <c r="Y4631">
        <v>-0.31942870000000001</v>
      </c>
      <c r="Z4631">
        <v>6.2604309999999996E-2</v>
      </c>
      <c r="AA4631">
        <v>0.94554009999999999</v>
      </c>
      <c r="AB4631">
        <v>41</v>
      </c>
      <c r="AC4631">
        <v>3.98169999999998</v>
      </c>
      <c r="AD4631">
        <v>-1.111358700731</v>
      </c>
      <c r="AE4631">
        <v>-13.338430000000001</v>
      </c>
      <c r="AF4631">
        <v>-4.5540300302040002</v>
      </c>
      <c r="AG4631">
        <v>-1.111358700731</v>
      </c>
      <c r="AH4631">
        <v>13.0606907750972</v>
      </c>
      <c r="AI4631">
        <v>94.593712321865993</v>
      </c>
      <c r="AJ4631">
        <v>109.222752701658</v>
      </c>
      <c r="AK4631">
        <v>13.876453120318599</v>
      </c>
      <c r="AL4631">
        <v>67.010985890017096</v>
      </c>
      <c r="AM4631">
        <v>100.049849642396</v>
      </c>
      <c r="AN4631">
        <v>0.99999993918540298</v>
      </c>
    </row>
    <row r="4632" spans="1:40" x14ac:dyDescent="0.25">
      <c r="A4632" t="str">
        <f>"20190304164504112"</f>
        <v>20190304164504112</v>
      </c>
      <c r="B4632" t="str">
        <f>"1551689104104890"</f>
        <v>1551689104104890</v>
      </c>
      <c r="C4632" t="s">
        <v>40</v>
      </c>
      <c r="D4632">
        <v>5.1924970000000004</v>
      </c>
      <c r="E4632">
        <v>0.55569950000000001</v>
      </c>
      <c r="F4632" t="s">
        <v>42</v>
      </c>
      <c r="G4632">
        <v>-419.6413</v>
      </c>
      <c r="H4632" s="1">
        <v>-2.9936320000000001E-6</v>
      </c>
      <c r="I4632">
        <v>66.462680000000006</v>
      </c>
      <c r="J4632">
        <v>-422.2722</v>
      </c>
      <c r="K4632">
        <v>1.1113770000000001</v>
      </c>
      <c r="L4632">
        <v>80.492249999999999</v>
      </c>
      <c r="M4632">
        <v>-4.4685179999999998E-2</v>
      </c>
      <c r="N4632">
        <v>-1.411192E-2</v>
      </c>
      <c r="O4632">
        <v>-0.99890159999999995</v>
      </c>
      <c r="P4632">
        <v>0.1196065</v>
      </c>
      <c r="Q4632">
        <v>0.37769839999999999</v>
      </c>
      <c r="R4632">
        <v>-0.91817150000000003</v>
      </c>
      <c r="S4632">
        <v>0.59716800000000003</v>
      </c>
      <c r="T4632">
        <v>-0.25391590000000003</v>
      </c>
      <c r="U4632">
        <v>-3.2948300000000001</v>
      </c>
      <c r="V4632">
        <v>-0.16122410000000001</v>
      </c>
      <c r="W4632">
        <v>0.39023940000000001</v>
      </c>
      <c r="X4632">
        <v>0.90648770000000001</v>
      </c>
      <c r="Y4632">
        <v>-0.22165960000000001</v>
      </c>
      <c r="Z4632">
        <v>6.1022550000000002E-2</v>
      </c>
      <c r="AA4632">
        <v>0.97321279999999999</v>
      </c>
      <c r="AB4632">
        <v>41</v>
      </c>
      <c r="AC4632">
        <v>2.6308999999999898</v>
      </c>
      <c r="AD4632">
        <v>-1.1113799936319999</v>
      </c>
      <c r="AE4632">
        <v>-14.0295699999999</v>
      </c>
      <c r="AF4632">
        <v>-3.2356328288933001</v>
      </c>
      <c r="AG4632">
        <v>-1.1113799936319999</v>
      </c>
      <c r="AH4632">
        <v>13.8142354648107</v>
      </c>
      <c r="AI4632">
        <v>94.478935439602907</v>
      </c>
      <c r="AJ4632">
        <v>103.18243814302301</v>
      </c>
      <c r="AK4632">
        <v>14.2315700739902</v>
      </c>
      <c r="AL4632">
        <v>67.030603006364601</v>
      </c>
      <c r="AM4632">
        <v>100.084931618692</v>
      </c>
      <c r="AN4632">
        <v>0.99999997499222903</v>
      </c>
    </row>
    <row r="4633" spans="1:40" x14ac:dyDescent="0.25">
      <c r="A4633" t="str">
        <f>"20190304164504135"</f>
        <v>20190304164504135</v>
      </c>
      <c r="B4633" t="str">
        <f>"1551689104124410"</f>
        <v>1551689104124410</v>
      </c>
      <c r="C4633" t="s">
        <v>40</v>
      </c>
      <c r="D4633">
        <v>5.0751400000000002</v>
      </c>
      <c r="E4633">
        <v>0.56228409999999995</v>
      </c>
      <c r="F4633" t="s">
        <v>42</v>
      </c>
      <c r="G4633">
        <v>-422.10449999999997</v>
      </c>
      <c r="H4633" s="1">
        <v>-1.2774959999999999E-6</v>
      </c>
      <c r="I4633">
        <v>71.261719999999997</v>
      </c>
      <c r="J4633">
        <v>-422.28919999999999</v>
      </c>
      <c r="K4633">
        <v>1.1114059999999999</v>
      </c>
      <c r="L4633">
        <v>80.094880000000003</v>
      </c>
      <c r="M4633">
        <v>-4.3960569999999997E-2</v>
      </c>
      <c r="N4633">
        <v>-1.413442E-2</v>
      </c>
      <c r="O4633">
        <v>-0.99893310000000002</v>
      </c>
      <c r="P4633">
        <v>0.1211081</v>
      </c>
      <c r="Q4633">
        <v>0.3780268</v>
      </c>
      <c r="R4633">
        <v>-0.91783890000000001</v>
      </c>
      <c r="S4633">
        <v>6.2286380000000002E-2</v>
      </c>
      <c r="T4633">
        <v>-0.41286919999999999</v>
      </c>
      <c r="U4633">
        <v>-3.4290769999999902</v>
      </c>
      <c r="V4633">
        <v>-0.1620646</v>
      </c>
      <c r="W4633">
        <v>0.39057609999999998</v>
      </c>
      <c r="X4633">
        <v>0.90619280000000002</v>
      </c>
      <c r="Y4633">
        <v>-6.1941349999999999E-2</v>
      </c>
      <c r="Z4633">
        <v>0.1051909</v>
      </c>
      <c r="AA4633">
        <v>0.99252110000000004</v>
      </c>
      <c r="AB4633">
        <v>41</v>
      </c>
      <c r="AC4633">
        <v>0.18470000000001999</v>
      </c>
      <c r="AD4633">
        <v>-1.111407277496</v>
      </c>
      <c r="AE4633">
        <v>-8.8331599999999995</v>
      </c>
      <c r="AF4633">
        <v>-0.56394695494095004</v>
      </c>
      <c r="AG4633">
        <v>-1.111407277496</v>
      </c>
      <c r="AH4633">
        <v>8.6791570883836098</v>
      </c>
      <c r="AI4633">
        <v>97.282091514015207</v>
      </c>
      <c r="AJ4633">
        <v>93.717690684526701</v>
      </c>
      <c r="AK4633">
        <v>8.7681828259507508</v>
      </c>
      <c r="AL4633">
        <v>67.009649412646894</v>
      </c>
      <c r="AM4633">
        <v>100.139649592899</v>
      </c>
      <c r="AN4633">
        <v>1.0000000076180999</v>
      </c>
    </row>
    <row r="4634" spans="1:40" x14ac:dyDescent="0.25">
      <c r="A4634" t="str">
        <f>"20190304164504156"</f>
        <v>20190304164504156</v>
      </c>
      <c r="B4634" t="str">
        <f>"1551689104144906"</f>
        <v>1551689104144906</v>
      </c>
      <c r="C4634" t="s">
        <v>40</v>
      </c>
      <c r="D4634">
        <v>4.9792820000000004</v>
      </c>
      <c r="E4634">
        <v>0.56495419999999996</v>
      </c>
      <c r="F4634" t="s">
        <v>41</v>
      </c>
      <c r="G4634">
        <v>-422.28390000000002</v>
      </c>
      <c r="H4634">
        <v>0.97569349999999999</v>
      </c>
      <c r="I4634">
        <v>79.038119999999907</v>
      </c>
      <c r="J4634">
        <v>-422.30630000000002</v>
      </c>
      <c r="K4634">
        <v>1.1114379999999999</v>
      </c>
      <c r="L4634">
        <v>79.692229999999995</v>
      </c>
      <c r="M4634">
        <v>-4.3215730000000001E-2</v>
      </c>
      <c r="N4634">
        <v>-1.415396E-2</v>
      </c>
      <c r="O4634">
        <v>-0.99896560000000001</v>
      </c>
      <c r="P4634">
        <v>0.1227182</v>
      </c>
      <c r="Q4634">
        <v>0.37890190000000001</v>
      </c>
      <c r="R4634">
        <v>-0.91726439999999998</v>
      </c>
      <c r="S4634">
        <v>1.7578130000000001E-2</v>
      </c>
      <c r="T4634">
        <v>-0.4429111</v>
      </c>
      <c r="U4634">
        <v>-3.448639</v>
      </c>
      <c r="V4634">
        <v>-0.16298280000000001</v>
      </c>
      <c r="W4634">
        <v>0.39145479999999999</v>
      </c>
      <c r="X4634">
        <v>0.90564880000000003</v>
      </c>
      <c r="Y4634">
        <v>-4.8230290000000002E-2</v>
      </c>
      <c r="Z4634">
        <v>0.1130785</v>
      </c>
      <c r="AA4634">
        <v>0.99241480000000004</v>
      </c>
      <c r="AB4634">
        <v>41</v>
      </c>
      <c r="AC4634">
        <v>2.24000000000046E-2</v>
      </c>
      <c r="AD4634">
        <v>-0.13574449999999899</v>
      </c>
      <c r="AE4634">
        <v>-0.65411000000001696</v>
      </c>
      <c r="AF4634">
        <v>-4.8560827911163597E-2</v>
      </c>
      <c r="AG4634">
        <v>-0.13574449999999899</v>
      </c>
      <c r="AH4634">
        <v>0.62561879688873201</v>
      </c>
      <c r="AI4634">
        <v>102.206460368113</v>
      </c>
      <c r="AJ4634">
        <v>94.438426125105295</v>
      </c>
      <c r="AK4634">
        <v>0.64201526641363604</v>
      </c>
      <c r="AL4634">
        <v>66.954948395703695</v>
      </c>
      <c r="AM4634">
        <v>100.201891187462</v>
      </c>
      <c r="AN4634">
        <v>1.00000000124016</v>
      </c>
    </row>
    <row r="4635" spans="1:40" x14ac:dyDescent="0.25">
      <c r="A4635" t="str">
        <f>"20190304164504180"</f>
        <v>20190304164504180</v>
      </c>
      <c r="B4635" t="str">
        <f>"1551689104175163"</f>
        <v>1551689104175163</v>
      </c>
      <c r="C4635" t="s">
        <v>40</v>
      </c>
      <c r="D4635">
        <v>4.9459629999999999</v>
      </c>
      <c r="E4635">
        <v>0.56719439999999999</v>
      </c>
      <c r="F4635" t="s">
        <v>41</v>
      </c>
      <c r="G4635">
        <v>-422.30529999999999</v>
      </c>
      <c r="H4635">
        <v>0.97750219999999999</v>
      </c>
      <c r="I4635">
        <v>78.675169999999994</v>
      </c>
      <c r="J4635">
        <v>-422.32380000000001</v>
      </c>
      <c r="K4635">
        <v>1.111462</v>
      </c>
      <c r="L4635">
        <v>79.271450000000002</v>
      </c>
      <c r="M4635">
        <v>-4.2431299999999998E-2</v>
      </c>
      <c r="N4635">
        <v>-1.417118E-2</v>
      </c>
      <c r="O4635">
        <v>-0.99899910000000003</v>
      </c>
      <c r="P4635">
        <v>0.1237864</v>
      </c>
      <c r="Q4635">
        <v>0.37981920000000002</v>
      </c>
      <c r="R4635">
        <v>-0.91674129999999998</v>
      </c>
      <c r="S4635">
        <v>3.326416E-3</v>
      </c>
      <c r="T4635">
        <v>-0.45541179999999898</v>
      </c>
      <c r="U4635">
        <v>-3.4582820000000001</v>
      </c>
      <c r="V4635">
        <v>-0.1633242</v>
      </c>
      <c r="W4635">
        <v>0.392376</v>
      </c>
      <c r="X4635">
        <v>0.90518849999999995</v>
      </c>
      <c r="Y4635">
        <v>-4.3345170000000002E-2</v>
      </c>
      <c r="Z4635">
        <v>0.1162595</v>
      </c>
      <c r="AA4635">
        <v>0.99227259999999995</v>
      </c>
      <c r="AB4635">
        <v>41</v>
      </c>
      <c r="AC4635">
        <v>1.8500000000017201E-2</v>
      </c>
      <c r="AD4635">
        <v>-0.13395979999999999</v>
      </c>
      <c r="AE4635">
        <v>-0.59628000000000703</v>
      </c>
      <c r="AF4635">
        <v>-4.16849180600301E-2</v>
      </c>
      <c r="AG4635">
        <v>-0.13395979999999999</v>
      </c>
      <c r="AH4635">
        <v>0.56639819167875904</v>
      </c>
      <c r="AI4635">
        <v>103.27198499485399</v>
      </c>
      <c r="AJ4635">
        <v>94.209179535911503</v>
      </c>
      <c r="AK4635">
        <v>0.58351501432840602</v>
      </c>
      <c r="AL4635">
        <v>66.897577196603706</v>
      </c>
      <c r="AM4635">
        <v>100.227899612008</v>
      </c>
      <c r="AN4635">
        <v>0.99999997010694397</v>
      </c>
    </row>
    <row r="4636" spans="1:40" x14ac:dyDescent="0.25">
      <c r="A4636" t="str">
        <f>"20190304164504202"</f>
        <v>20190304164504202</v>
      </c>
      <c r="B4636" t="str">
        <f>"1551689104194685"</f>
        <v>1551689104194685</v>
      </c>
      <c r="C4636" t="s">
        <v>40</v>
      </c>
      <c r="D4636">
        <v>4.9472950000000004</v>
      </c>
      <c r="E4636">
        <v>0.56775600000000004</v>
      </c>
      <c r="F4636" t="s">
        <v>41</v>
      </c>
      <c r="G4636">
        <v>-422.32670000000002</v>
      </c>
      <c r="H4636">
        <v>0.98405129999999996</v>
      </c>
      <c r="I4636">
        <v>78.310199999999995</v>
      </c>
      <c r="J4636">
        <v>-422.34030000000001</v>
      </c>
      <c r="K4636">
        <v>1.111475</v>
      </c>
      <c r="L4636">
        <v>78.866730000000004</v>
      </c>
      <c r="M4636">
        <v>-4.1672260000000003E-2</v>
      </c>
      <c r="N4636">
        <v>-1.4185069999999999E-2</v>
      </c>
      <c r="O4636">
        <v>-0.9990308</v>
      </c>
      <c r="P4636">
        <v>0.1245228</v>
      </c>
      <c r="Q4636">
        <v>0.37930770000000003</v>
      </c>
      <c r="R4636">
        <v>-0.91685320000000003</v>
      </c>
      <c r="S4636">
        <v>-9.765625E-3</v>
      </c>
      <c r="T4636">
        <v>-0.45917239999999998</v>
      </c>
      <c r="U4636">
        <v>-3.4640200000000001</v>
      </c>
      <c r="V4636">
        <v>-0.16337879999999999</v>
      </c>
      <c r="W4636">
        <v>0.39187729999999998</v>
      </c>
      <c r="X4636">
        <v>0.9053947</v>
      </c>
      <c r="Y4636">
        <v>-3.8838589999999999E-2</v>
      </c>
      <c r="Z4636">
        <v>0.1171104</v>
      </c>
      <c r="AA4636">
        <v>0.9923592</v>
      </c>
      <c r="AB4636">
        <v>41</v>
      </c>
      <c r="AC4636">
        <v>1.35999999999967E-2</v>
      </c>
      <c r="AD4636">
        <v>-0.127423699999999</v>
      </c>
      <c r="AE4636">
        <v>-0.55653000000000896</v>
      </c>
      <c r="AF4636">
        <v>-3.4951216435581398E-2</v>
      </c>
      <c r="AG4636">
        <v>-0.127423699999999</v>
      </c>
      <c r="AH4636">
        <v>0.52782587412769899</v>
      </c>
      <c r="AI4636">
        <v>103.54366057562</v>
      </c>
      <c r="AJ4636">
        <v>93.788442498420395</v>
      </c>
      <c r="AK4636">
        <v>0.54411261725003801</v>
      </c>
      <c r="AL4636">
        <v>66.928639136394807</v>
      </c>
      <c r="AM4636">
        <v>100.228965709024</v>
      </c>
      <c r="AN4636">
        <v>1.0000000066664001</v>
      </c>
    </row>
    <row r="4637" spans="1:40" x14ac:dyDescent="0.25">
      <c r="A4637" t="str">
        <f>"20190304164504223"</f>
        <v>20190304164504223</v>
      </c>
      <c r="B4637" t="str">
        <f>"1551689104215178"</f>
        <v>1551689104215178</v>
      </c>
      <c r="C4637" t="s">
        <v>40</v>
      </c>
      <c r="D4637">
        <v>4.9599440000000001</v>
      </c>
      <c r="E4637">
        <v>0.56792699999999996</v>
      </c>
      <c r="F4637" t="s">
        <v>41</v>
      </c>
      <c r="G4637">
        <v>-422.34320000000002</v>
      </c>
      <c r="H4637">
        <v>0.98746590000000001</v>
      </c>
      <c r="I4637">
        <v>77.946640000000002</v>
      </c>
      <c r="J4637">
        <v>-422.35599999999999</v>
      </c>
      <c r="K4637">
        <v>1.111478</v>
      </c>
      <c r="L4637">
        <v>78.474760000000003</v>
      </c>
      <c r="M4637">
        <v>-4.0935140000000002E-2</v>
      </c>
      <c r="N4637">
        <v>-1.4196439999999999E-2</v>
      </c>
      <c r="O4637">
        <v>-0.99906110000000004</v>
      </c>
      <c r="P4637">
        <v>0.1241729</v>
      </c>
      <c r="Q4637">
        <v>0.37877929999999999</v>
      </c>
      <c r="R4637">
        <v>-0.91711900000000002</v>
      </c>
      <c r="S4637">
        <v>-1.0864260000000001E-2</v>
      </c>
      <c r="T4637">
        <v>-0.46726659999999998</v>
      </c>
      <c r="U4637">
        <v>-3.4668269999999999</v>
      </c>
      <c r="V4637">
        <v>-0.16237279999999901</v>
      </c>
      <c r="W4637">
        <v>0.3913643</v>
      </c>
      <c r="X4637">
        <v>0.90579739999999997</v>
      </c>
      <c r="Y4637">
        <v>-3.7790379999999998E-2</v>
      </c>
      <c r="Z4637">
        <v>0.1192771</v>
      </c>
      <c r="AA4637">
        <v>0.99214150000000001</v>
      </c>
      <c r="AB4637">
        <v>41</v>
      </c>
      <c r="AC4637">
        <v>1.2799999999970099E-2</v>
      </c>
      <c r="AD4637">
        <v>-0.124012099999999</v>
      </c>
      <c r="AE4637">
        <v>-0.52812000000000103</v>
      </c>
      <c r="AF4637">
        <v>-3.26129066791742E-2</v>
      </c>
      <c r="AG4637">
        <v>-0.124012099999999</v>
      </c>
      <c r="AH4637">
        <v>0.49962056223773099</v>
      </c>
      <c r="AI4637">
        <v>103.911362283343</v>
      </c>
      <c r="AJ4637">
        <v>93.734703666524098</v>
      </c>
      <c r="AK4637">
        <v>0.51581324996477196</v>
      </c>
      <c r="AL4637">
        <v>66.960581632326694</v>
      </c>
      <c r="AM4637">
        <v>100.16287308102299</v>
      </c>
      <c r="AN4637">
        <v>0.99999993567054202</v>
      </c>
    </row>
    <row r="4638" spans="1:40" x14ac:dyDescent="0.25">
      <c r="A4638" t="str">
        <f>"20190304164504245"</f>
        <v>20190304164504245</v>
      </c>
      <c r="B4638" t="str">
        <f>"1551689104234698"</f>
        <v>1551689104234698</v>
      </c>
      <c r="C4638" t="s">
        <v>40</v>
      </c>
      <c r="D4638">
        <v>4.9592900000000002</v>
      </c>
      <c r="E4638">
        <v>0.56807739999999995</v>
      </c>
      <c r="F4638" t="s">
        <v>41</v>
      </c>
      <c r="G4638">
        <v>-422.35919999999999</v>
      </c>
      <c r="H4638">
        <v>0.98888640000000005</v>
      </c>
      <c r="I4638">
        <v>77.584269999999904</v>
      </c>
      <c r="J4638">
        <v>-422.37130000000002</v>
      </c>
      <c r="K4638">
        <v>1.1114850000000001</v>
      </c>
      <c r="L4638">
        <v>78.084810000000004</v>
      </c>
      <c r="M4638">
        <v>-4.0201340000000002E-2</v>
      </c>
      <c r="N4638">
        <v>-1.420593E-2</v>
      </c>
      <c r="O4638">
        <v>-0.9990909</v>
      </c>
      <c r="P4638">
        <v>0.1238517</v>
      </c>
      <c r="Q4638">
        <v>0.37840259999999998</v>
      </c>
      <c r="R4638">
        <v>-0.91731819999999997</v>
      </c>
      <c r="S4638">
        <v>-1.1108399999999999E-2</v>
      </c>
      <c r="T4638">
        <v>-0.47776039999999997</v>
      </c>
      <c r="U4638">
        <v>-3.4699399999999998</v>
      </c>
      <c r="V4638">
        <v>-0.16139389999999901</v>
      </c>
      <c r="W4638">
        <v>0.3910014</v>
      </c>
      <c r="X4638">
        <v>0.90612910000000002</v>
      </c>
      <c r="Y4638">
        <v>-3.6990549999999997E-2</v>
      </c>
      <c r="Z4638">
        <v>0.1221008</v>
      </c>
      <c r="AA4638">
        <v>0.99182809999999999</v>
      </c>
      <c r="AB4638">
        <v>41</v>
      </c>
      <c r="AC4638">
        <v>1.2100000000032101E-2</v>
      </c>
      <c r="AD4638">
        <v>-0.1225986</v>
      </c>
      <c r="AE4638">
        <v>-0.50054000000001497</v>
      </c>
      <c r="AF4638">
        <v>-3.0392384494621099E-2</v>
      </c>
      <c r="AG4638">
        <v>-0.1225986</v>
      </c>
      <c r="AH4638">
        <v>0.47138592179487498</v>
      </c>
      <c r="AI4638">
        <v>104.549648140125</v>
      </c>
      <c r="AJ4638">
        <v>93.689012257985794</v>
      </c>
      <c r="AK4638">
        <v>0.48801516474760498</v>
      </c>
      <c r="AL4638">
        <v>66.983176592871501</v>
      </c>
      <c r="AM4638">
        <v>100.099247632759</v>
      </c>
      <c r="AN4638">
        <v>1.00000001581298</v>
      </c>
    </row>
    <row r="4639" spans="1:40" x14ac:dyDescent="0.25">
      <c r="A4639" t="str">
        <f>"20190304164504269"</f>
        <v>20190304164504269</v>
      </c>
      <c r="B4639" t="str">
        <f>"1551689104264954"</f>
        <v>1551689104264954</v>
      </c>
      <c r="C4639" t="s">
        <v>40</v>
      </c>
      <c r="D4639">
        <v>4.979012</v>
      </c>
      <c r="E4639">
        <v>0.56834580000000001</v>
      </c>
      <c r="F4639" t="s">
        <v>41</v>
      </c>
      <c r="G4639">
        <v>-422.37439999999998</v>
      </c>
      <c r="H4639">
        <v>0.99093339999999996</v>
      </c>
      <c r="I4639">
        <v>77.221859999999893</v>
      </c>
      <c r="J4639">
        <v>-422.38799999999998</v>
      </c>
      <c r="K4639">
        <v>1.111499</v>
      </c>
      <c r="L4639">
        <v>77.652069999999995</v>
      </c>
      <c r="M4639">
        <v>-3.9386999999999998E-2</v>
      </c>
      <c r="N4639">
        <v>-1.4214600000000001E-2</v>
      </c>
      <c r="O4639">
        <v>-0.99912310000000004</v>
      </c>
      <c r="P4639">
        <v>0.1233453</v>
      </c>
      <c r="Q4639">
        <v>0.37878529999999999</v>
      </c>
      <c r="R4639">
        <v>-0.91722859999999995</v>
      </c>
      <c r="S4639">
        <v>-1.2573239999999999E-2</v>
      </c>
      <c r="T4639">
        <v>-0.48505189999999998</v>
      </c>
      <c r="U4639">
        <v>-3.4721679999999999</v>
      </c>
      <c r="V4639">
        <v>-0.16014629999999999</v>
      </c>
      <c r="W4639">
        <v>0.3913933</v>
      </c>
      <c r="X4639">
        <v>0.90618129999999997</v>
      </c>
      <c r="Y4639">
        <v>-3.5761319999999999E-2</v>
      </c>
      <c r="Z4639">
        <v>0.1240576</v>
      </c>
      <c r="AA4639">
        <v>0.99163040000000002</v>
      </c>
      <c r="AB4639">
        <v>41</v>
      </c>
      <c r="AC4639">
        <v>1.36000000000535E-2</v>
      </c>
      <c r="AD4639">
        <v>-0.120565599999999</v>
      </c>
      <c r="AE4639">
        <v>-0.43021000000000198</v>
      </c>
      <c r="AF4639">
        <v>-2.8314277774448799E-2</v>
      </c>
      <c r="AG4639">
        <v>-0.120565599999999</v>
      </c>
      <c r="AH4639">
        <v>0.39810481431097</v>
      </c>
      <c r="AI4639">
        <v>106.808821680647</v>
      </c>
      <c r="AJ4639">
        <v>94.068178572572805</v>
      </c>
      <c r="AK4639">
        <v>0.416923500665075</v>
      </c>
      <c r="AL4639">
        <v>66.958778820557995</v>
      </c>
      <c r="AM4639">
        <v>100.02220210570999</v>
      </c>
      <c r="AN4639">
        <v>1.00000005057913</v>
      </c>
    </row>
    <row r="4640" spans="1:40" x14ac:dyDescent="0.25">
      <c r="A4640" t="str">
        <f>"20190304164504292"</f>
        <v>20190304164504292</v>
      </c>
      <c r="B4640" t="str">
        <f>"1551689104284474"</f>
        <v>1551689104284474</v>
      </c>
      <c r="C4640" t="s">
        <v>40</v>
      </c>
      <c r="D4640">
        <v>4.9722119999999999</v>
      </c>
      <c r="E4640">
        <v>0.56843159999999904</v>
      </c>
      <c r="F4640" t="s">
        <v>41</v>
      </c>
      <c r="G4640">
        <v>-422.39179999999999</v>
      </c>
      <c r="H4640">
        <v>0.99956330000000004</v>
      </c>
      <c r="I4640">
        <v>76.856700000000004</v>
      </c>
      <c r="J4640">
        <v>-422.40359999999998</v>
      </c>
      <c r="K4640">
        <v>1.1115139999999999</v>
      </c>
      <c r="L4640">
        <v>77.239109999999997</v>
      </c>
      <c r="M4640">
        <v>-3.8609829999999998E-2</v>
      </c>
      <c r="N4640">
        <v>-1.42214E-2</v>
      </c>
      <c r="O4640">
        <v>-0.99915339999999997</v>
      </c>
      <c r="P4640">
        <v>0.1228973</v>
      </c>
      <c r="Q4640">
        <v>0.37910680000000002</v>
      </c>
      <c r="R4640">
        <v>-0.91715570000000002</v>
      </c>
      <c r="S4640">
        <v>-1.49231E-2</v>
      </c>
      <c r="T4640">
        <v>-0.48909639999999999</v>
      </c>
      <c r="U4640">
        <v>-3.474701</v>
      </c>
      <c r="V4640">
        <v>-0.15898979999999999</v>
      </c>
      <c r="W4640">
        <v>0.3917233</v>
      </c>
      <c r="X4640">
        <v>0.90624229999999995</v>
      </c>
      <c r="Y4640">
        <v>-3.4317830000000001E-2</v>
      </c>
      <c r="Z4640">
        <v>0.1250927</v>
      </c>
      <c r="AA4640">
        <v>0.99155130000000002</v>
      </c>
      <c r="AB4640">
        <v>40</v>
      </c>
      <c r="AC4640">
        <v>1.17999999999938E-2</v>
      </c>
      <c r="AD4640">
        <v>-0.111950699999999</v>
      </c>
      <c r="AE4640">
        <v>-0.38240999999999198</v>
      </c>
      <c r="AF4640">
        <v>-2.44629268652721E-2</v>
      </c>
      <c r="AG4640">
        <v>-0.111950699999999</v>
      </c>
      <c r="AH4640">
        <v>0.35156749453356401</v>
      </c>
      <c r="AI4640">
        <v>107.623227296465</v>
      </c>
      <c r="AJ4640">
        <v>93.9803649313493</v>
      </c>
      <c r="AK4640">
        <v>0.36977168257441401</v>
      </c>
      <c r="AL4640">
        <v>66.938229345023203</v>
      </c>
      <c r="AM4640">
        <v>99.950621953270897</v>
      </c>
      <c r="AN4640">
        <v>1.0000000032881</v>
      </c>
    </row>
    <row r="4641" spans="1:40" x14ac:dyDescent="0.25">
      <c r="A4641" t="str">
        <f>"20190304164504312"</f>
        <v>20190304164504312</v>
      </c>
      <c r="B4641" t="str">
        <f>"1551689104304971"</f>
        <v>1551689104304971</v>
      </c>
      <c r="C4641" t="s">
        <v>40</v>
      </c>
      <c r="D4641">
        <v>4.9748250000000001</v>
      </c>
      <c r="E4641">
        <v>0.56852040000000004</v>
      </c>
      <c r="F4641" t="s">
        <v>41</v>
      </c>
      <c r="G4641">
        <v>-422.40719999999999</v>
      </c>
      <c r="H4641">
        <v>1.0058450000000001</v>
      </c>
      <c r="I4641">
        <v>76.492789999999999</v>
      </c>
      <c r="J4641">
        <v>-422.41739999999999</v>
      </c>
      <c r="K4641">
        <v>1.111521</v>
      </c>
      <c r="L4641">
        <v>76.865020000000001</v>
      </c>
      <c r="M4641">
        <v>-3.790549E-2</v>
      </c>
      <c r="N4641">
        <v>-1.422641E-2</v>
      </c>
      <c r="O4641">
        <v>-0.99918030000000002</v>
      </c>
      <c r="P4641">
        <v>0.1228612</v>
      </c>
      <c r="Q4641">
        <v>0.38002360000000002</v>
      </c>
      <c r="R4641">
        <v>-0.91678119999999996</v>
      </c>
      <c r="S4641">
        <v>-1.6357420000000001E-2</v>
      </c>
      <c r="T4641">
        <v>-0.49226110000000001</v>
      </c>
      <c r="U4641">
        <v>-3.4766539999999999</v>
      </c>
      <c r="V4641">
        <v>-0.15829969999999999</v>
      </c>
      <c r="W4641">
        <v>0.39264139999999997</v>
      </c>
      <c r="X4641">
        <v>0.90596580000000004</v>
      </c>
      <c r="Y4641">
        <v>-3.3208130000000002E-2</v>
      </c>
      <c r="Z4641">
        <v>0.1259033</v>
      </c>
      <c r="AA4641">
        <v>0.99148650000000005</v>
      </c>
      <c r="AB4641">
        <v>40</v>
      </c>
      <c r="AC4641">
        <v>1.0199999999997499E-2</v>
      </c>
      <c r="AD4641">
        <v>-0.10567599999999901</v>
      </c>
      <c r="AE4641">
        <v>-0.372230000000001</v>
      </c>
      <c r="AF4641">
        <v>-2.2492165956108701E-2</v>
      </c>
      <c r="AG4641">
        <v>-0.10567599999999901</v>
      </c>
      <c r="AH4641">
        <v>0.34388013961397401</v>
      </c>
      <c r="AI4641">
        <v>107.048132687436</v>
      </c>
      <c r="AJ4641">
        <v>93.742214245061305</v>
      </c>
      <c r="AK4641">
        <v>0.36045369317892001</v>
      </c>
      <c r="AL4641">
        <v>66.881045976188304</v>
      </c>
      <c r="AM4641">
        <v>99.911252795814903</v>
      </c>
      <c r="AN4641">
        <v>1.00000004739184</v>
      </c>
    </row>
    <row r="4642" spans="1:40" x14ac:dyDescent="0.25">
      <c r="A4642" t="str">
        <f>"20190304164504336"</f>
        <v>20190304164504336</v>
      </c>
      <c r="B4642" t="str">
        <f>"1551689104324490"</f>
        <v>1551689104324490</v>
      </c>
      <c r="C4642" t="s">
        <v>40</v>
      </c>
      <c r="D4642">
        <v>4.9918709999999997</v>
      </c>
      <c r="E4642">
        <v>0.56863359999999996</v>
      </c>
      <c r="F4642" t="s">
        <v>41</v>
      </c>
      <c r="G4642">
        <v>-422.42110000000002</v>
      </c>
      <c r="H4642">
        <v>1.00776</v>
      </c>
      <c r="I4642">
        <v>76.131159999999994</v>
      </c>
      <c r="J4642">
        <v>-422.43220000000002</v>
      </c>
      <c r="K4642">
        <v>1.111531</v>
      </c>
      <c r="L4642">
        <v>76.458280000000002</v>
      </c>
      <c r="M4642">
        <v>-3.7139709999999999E-2</v>
      </c>
      <c r="N4642">
        <v>-1.423088E-2</v>
      </c>
      <c r="O4642">
        <v>-0.99920869999999995</v>
      </c>
      <c r="P4642">
        <v>0.12246559999999999</v>
      </c>
      <c r="Q4642">
        <v>0.38144410000000001</v>
      </c>
      <c r="R4642">
        <v>-0.91624369999999999</v>
      </c>
      <c r="S4642">
        <v>-1.6998289999999999E-2</v>
      </c>
      <c r="T4642">
        <v>-0.49183919999999998</v>
      </c>
      <c r="U4642">
        <v>-3.478485</v>
      </c>
      <c r="V4642">
        <v>-0.15718950000000001</v>
      </c>
      <c r="W4642">
        <v>0.39406229999999998</v>
      </c>
      <c r="X4642">
        <v>0.90554210000000002</v>
      </c>
      <c r="Y4642">
        <v>-3.2262909999999999E-2</v>
      </c>
      <c r="Z4642">
        <v>0.12571679999999999</v>
      </c>
      <c r="AA4642">
        <v>0.99154140000000002</v>
      </c>
      <c r="AB4642">
        <v>40</v>
      </c>
      <c r="AC4642">
        <v>1.1099999999999E-2</v>
      </c>
      <c r="AD4642">
        <v>-0.103771</v>
      </c>
      <c r="AE4642">
        <v>-0.32712000000000702</v>
      </c>
      <c r="AF4642">
        <v>-2.1119819598288798E-2</v>
      </c>
      <c r="AG4642">
        <v>-0.103771</v>
      </c>
      <c r="AH4642">
        <v>0.296662457114862</v>
      </c>
      <c r="AI4642">
        <v>109.23448177366799</v>
      </c>
      <c r="AJ4642">
        <v>94.072097368578497</v>
      </c>
      <c r="AK4642">
        <v>0.31499695344922302</v>
      </c>
      <c r="AL4642">
        <v>66.792496657122101</v>
      </c>
      <c r="AM4642">
        <v>99.847622081014507</v>
      </c>
      <c r="AN4642">
        <v>1.00000006503197</v>
      </c>
    </row>
    <row r="4643" spans="1:40" x14ac:dyDescent="0.25">
      <c r="A4643" t="str">
        <f>"20190304164504369"</f>
        <v>20190304164504369</v>
      </c>
      <c r="B4643" t="str">
        <f>"1551689104364506"</f>
        <v>1551689104364506</v>
      </c>
      <c r="C4643" t="s">
        <v>40</v>
      </c>
      <c r="D4643">
        <v>5.0009499999999996</v>
      </c>
      <c r="E4643">
        <v>0.56889269999999903</v>
      </c>
      <c r="F4643" t="s">
        <v>41</v>
      </c>
      <c r="G4643">
        <v>-422.43790000000001</v>
      </c>
      <c r="H4643">
        <v>0.96700620000000004</v>
      </c>
      <c r="I4643">
        <v>75.429410000000004</v>
      </c>
      <c r="J4643">
        <v>-422.45370000000003</v>
      </c>
      <c r="K4643">
        <v>1.1115379999999999</v>
      </c>
      <c r="L4643">
        <v>75.848179999999999</v>
      </c>
      <c r="M4643">
        <v>-3.5990880000000003E-2</v>
      </c>
      <c r="N4643">
        <v>-1.423584E-2</v>
      </c>
      <c r="O4643">
        <v>-0.99925090000000005</v>
      </c>
      <c r="P4643">
        <v>0.12248199999999999</v>
      </c>
      <c r="Q4643">
        <v>0.38226929999999998</v>
      </c>
      <c r="R4643">
        <v>-0.91589770000000004</v>
      </c>
      <c r="S4643">
        <v>-1.8371579999999998E-2</v>
      </c>
      <c r="T4643">
        <v>-0.4889386</v>
      </c>
      <c r="U4643">
        <v>-3.4802550000000001</v>
      </c>
      <c r="V4643">
        <v>-0.15614829999999999</v>
      </c>
      <c r="W4643">
        <v>0.39489079999999999</v>
      </c>
      <c r="X4643">
        <v>0.90536119999999998</v>
      </c>
      <c r="Y4643">
        <v>-3.072629E-2</v>
      </c>
      <c r="Z4643">
        <v>0.12484439999999999</v>
      </c>
      <c r="AA4643">
        <v>0.99170049999999998</v>
      </c>
      <c r="AB4643">
        <v>40</v>
      </c>
      <c r="AC4643">
        <v>1.5800000000012901E-2</v>
      </c>
      <c r="AD4643">
        <v>-0.14453179999999899</v>
      </c>
      <c r="AE4643">
        <v>-0.41876999999999498</v>
      </c>
      <c r="AF4643">
        <v>-2.7582319404212099E-2</v>
      </c>
      <c r="AG4643">
        <v>-0.14453179999999899</v>
      </c>
      <c r="AH4643">
        <v>0.37350246811659499</v>
      </c>
      <c r="AI4643">
        <v>111.102229155679</v>
      </c>
      <c r="AJ4643">
        <v>94.2234983171262</v>
      </c>
      <c r="AK4643">
        <v>0.40144030595363001</v>
      </c>
      <c r="AL4643">
        <v>66.740835524049302</v>
      </c>
      <c r="AM4643">
        <v>99.785574634869803</v>
      </c>
      <c r="AN4643">
        <v>0.99999996899148402</v>
      </c>
    </row>
    <row r="4644" spans="1:40" x14ac:dyDescent="0.25">
      <c r="A4644" t="str">
        <f>"20190304164504391"</f>
        <v>20190304164504391</v>
      </c>
      <c r="B4644" t="str">
        <f>"1551689104385002"</f>
        <v>1551689104385002</v>
      </c>
      <c r="C4644" t="s">
        <v>40</v>
      </c>
      <c r="D4644">
        <v>5.3257379999999896</v>
      </c>
      <c r="E4644">
        <v>0.56906089999999998</v>
      </c>
      <c r="F4644" t="s">
        <v>41</v>
      </c>
      <c r="G4644">
        <v>-422.45780000000002</v>
      </c>
      <c r="H4644">
        <v>1.000173</v>
      </c>
      <c r="I4644">
        <v>75.054119999999998</v>
      </c>
      <c r="J4644">
        <v>-422.4674</v>
      </c>
      <c r="K4644">
        <v>1.1115469999999901</v>
      </c>
      <c r="L4644">
        <v>75.447810000000004</v>
      </c>
      <c r="M4644">
        <v>-3.5236669999999998E-2</v>
      </c>
      <c r="N4644">
        <v>-1.423812E-2</v>
      </c>
      <c r="O4644">
        <v>-0.99927750000000004</v>
      </c>
      <c r="P4644">
        <v>0.123308</v>
      </c>
      <c r="Q4644">
        <v>0.38207659999999999</v>
      </c>
      <c r="R4644">
        <v>-0.9158674</v>
      </c>
      <c r="S4644">
        <v>-1.849365E-2</v>
      </c>
      <c r="T4644">
        <v>-0.48828690000000002</v>
      </c>
      <c r="U4644">
        <v>-3.4817499999999999</v>
      </c>
      <c r="V4644">
        <v>-0.1562848</v>
      </c>
      <c r="W4644">
        <v>0.39470060000000001</v>
      </c>
      <c r="X4644">
        <v>0.90542069999999997</v>
      </c>
      <c r="Y4644">
        <v>-2.9940109999999999E-2</v>
      </c>
      <c r="Z4644">
        <v>0.12460880000000001</v>
      </c>
      <c r="AA4644">
        <v>0.99175409999999997</v>
      </c>
      <c r="AB4644">
        <v>40</v>
      </c>
      <c r="AC4644">
        <v>9.5999999999776195E-3</v>
      </c>
      <c r="AD4644">
        <v>-0.111373999999999</v>
      </c>
      <c r="AE4644">
        <v>-0.39369000000000598</v>
      </c>
      <c r="AF4644">
        <v>-2.17297466079663E-2</v>
      </c>
      <c r="AG4644">
        <v>-0.111373999999999</v>
      </c>
      <c r="AH4644">
        <v>0.363993654069862</v>
      </c>
      <c r="AI4644">
        <v>106.984457495363</v>
      </c>
      <c r="AJ4644">
        <v>93.416397177982006</v>
      </c>
      <c r="AK4644">
        <v>0.38127120264553999</v>
      </c>
      <c r="AL4644">
        <v>66.752699239876506</v>
      </c>
      <c r="AM4644">
        <v>99.793332138187594</v>
      </c>
      <c r="AN4644">
        <v>1.0000000731699401</v>
      </c>
    </row>
    <row r="4645" spans="1:40" x14ac:dyDescent="0.25">
      <c r="A4645" t="str">
        <f>"20190304164504413"</f>
        <v>20190304164504413</v>
      </c>
      <c r="B4645" t="str">
        <f>"1551689104404522"</f>
        <v>1551689104404522</v>
      </c>
      <c r="C4645" t="s">
        <v>40</v>
      </c>
      <c r="D4645">
        <v>4.9603060000000001</v>
      </c>
      <c r="E4645">
        <v>0.56929490000000005</v>
      </c>
      <c r="F4645" t="s">
        <v>41</v>
      </c>
      <c r="G4645">
        <v>-422.47140000000002</v>
      </c>
      <c r="H4645">
        <v>1.005471</v>
      </c>
      <c r="I4645">
        <v>74.691959999999995</v>
      </c>
      <c r="J4645">
        <v>-422.48039999999997</v>
      </c>
      <c r="K4645">
        <v>1.1115379999999999</v>
      </c>
      <c r="L4645">
        <v>75.059359999999998</v>
      </c>
      <c r="M4645">
        <v>-3.4504130000000001E-2</v>
      </c>
      <c r="N4645">
        <v>-1.4239689999999999E-2</v>
      </c>
      <c r="O4645">
        <v>-0.99930330000000001</v>
      </c>
      <c r="P4645">
        <v>0.1243971</v>
      </c>
      <c r="Q4645">
        <v>0.38219330000000001</v>
      </c>
      <c r="R4645">
        <v>-0.91567129999999997</v>
      </c>
      <c r="S4645">
        <v>-1.7700199999999999E-2</v>
      </c>
      <c r="T4645">
        <v>-0.4886703</v>
      </c>
      <c r="U4645">
        <v>-3.4818419999999999</v>
      </c>
      <c r="V4645">
        <v>-0.156699</v>
      </c>
      <c r="W4645">
        <v>0.39481670000000002</v>
      </c>
      <c r="X4645">
        <v>0.90529839999999995</v>
      </c>
      <c r="Y4645">
        <v>-2.9434100000000001E-2</v>
      </c>
      <c r="Z4645">
        <v>0.12471699999999999</v>
      </c>
      <c r="AA4645">
        <v>0.99175570000000002</v>
      </c>
      <c r="AB4645">
        <v>40</v>
      </c>
      <c r="AC4645">
        <v>8.9999999999576998E-3</v>
      </c>
      <c r="AD4645">
        <v>-0.106066999999999</v>
      </c>
      <c r="AE4645">
        <v>-0.367400000000003</v>
      </c>
      <c r="AF4645">
        <v>-2.0006304358072501E-2</v>
      </c>
      <c r="AG4645">
        <v>-0.106066999999999</v>
      </c>
      <c r="AH4645">
        <v>0.33866161909638898</v>
      </c>
      <c r="AI4645">
        <v>107.36183107548101</v>
      </c>
      <c r="AJ4645">
        <v>93.380796920889196</v>
      </c>
      <c r="AK4645">
        <v>0.35544641361540802</v>
      </c>
      <c r="AL4645">
        <v>66.745457351691897</v>
      </c>
      <c r="AM4645">
        <v>99.820083398209903</v>
      </c>
      <c r="AN4645">
        <v>0.99999999812122498</v>
      </c>
    </row>
    <row r="4646" spans="1:40" x14ac:dyDescent="0.25">
      <c r="A4646" t="str">
        <f>"20190304164504436"</f>
        <v>20190304164504436</v>
      </c>
      <c r="B4646" t="str">
        <f>"1551689104425019"</f>
        <v>1551689104425019</v>
      </c>
      <c r="C4646" t="s">
        <v>40</v>
      </c>
      <c r="D4646">
        <v>5.1318349999999997</v>
      </c>
      <c r="E4646">
        <v>0.56949810000000001</v>
      </c>
      <c r="F4646" t="s">
        <v>41</v>
      </c>
      <c r="G4646">
        <v>-422.48419999999999</v>
      </c>
      <c r="H4646">
        <v>1.0097119999999999</v>
      </c>
      <c r="I4646">
        <v>74.330539999999999</v>
      </c>
      <c r="J4646">
        <v>-422.49369999999999</v>
      </c>
      <c r="K4646">
        <v>1.1115360000000001</v>
      </c>
      <c r="L4646">
        <v>74.652950000000004</v>
      </c>
      <c r="M4646">
        <v>-3.3738659999999997E-2</v>
      </c>
      <c r="N4646">
        <v>-1.424075E-2</v>
      </c>
      <c r="O4646">
        <v>-0.99932940000000003</v>
      </c>
      <c r="P4646">
        <v>0.12542349999999999</v>
      </c>
      <c r="Q4646">
        <v>0.38188729999999999</v>
      </c>
      <c r="R4646">
        <v>-0.91565909999999995</v>
      </c>
      <c r="S4646">
        <v>-1.6601560000000001E-2</v>
      </c>
      <c r="T4646">
        <v>-0.4864907</v>
      </c>
      <c r="U4646">
        <v>-3.481598</v>
      </c>
      <c r="V4646">
        <v>-0.15702479999999999</v>
      </c>
      <c r="W4646">
        <v>0.39451219999999998</v>
      </c>
      <c r="X4646">
        <v>0.90537469999999998</v>
      </c>
      <c r="Y4646">
        <v>-2.8981300000000002E-2</v>
      </c>
      <c r="Z4646">
        <v>0.12412339999999999</v>
      </c>
      <c r="AA4646">
        <v>0.99184349999999999</v>
      </c>
      <c r="AB4646">
        <v>40</v>
      </c>
      <c r="AC4646">
        <v>9.5000000000027198E-3</v>
      </c>
      <c r="AD4646">
        <v>-0.101823999999999</v>
      </c>
      <c r="AE4646">
        <v>-0.32241000000000403</v>
      </c>
      <c r="AF4646">
        <v>-1.8527030785524201E-2</v>
      </c>
      <c r="AG4646">
        <v>-0.101823999999999</v>
      </c>
      <c r="AH4646">
        <v>0.29273305795983201</v>
      </c>
      <c r="AI4646">
        <v>109.144164416685</v>
      </c>
      <c r="AJ4646">
        <v>93.621411024973398</v>
      </c>
      <c r="AK4646">
        <v>0.31048996935205803</v>
      </c>
      <c r="AL4646">
        <v>66.764445437067394</v>
      </c>
      <c r="AM4646">
        <v>99.839289001944906</v>
      </c>
      <c r="AN4646">
        <v>1.00000000558198</v>
      </c>
    </row>
    <row r="4647" spans="1:40" x14ac:dyDescent="0.25">
      <c r="A4647" t="str">
        <f>"20190304164504458"</f>
        <v>20190304164504458</v>
      </c>
      <c r="B4647" t="str">
        <f>"1551689104455274"</f>
        <v>1551689104455274</v>
      </c>
      <c r="C4647" t="s">
        <v>40</v>
      </c>
      <c r="D4647">
        <v>4.9485760000000001</v>
      </c>
      <c r="E4647">
        <v>0.56948350000000003</v>
      </c>
      <c r="F4647" t="s">
        <v>41</v>
      </c>
      <c r="G4647">
        <v>-422.49889999999999</v>
      </c>
      <c r="H4647">
        <v>0.96894530000000001</v>
      </c>
      <c r="I4647">
        <v>73.631600000000006</v>
      </c>
      <c r="J4647">
        <v>-422.50659999999999</v>
      </c>
      <c r="K4647">
        <v>1.111524</v>
      </c>
      <c r="L4647">
        <v>74.252719999999997</v>
      </c>
      <c r="M4647">
        <v>-3.299055E-2</v>
      </c>
      <c r="N4647">
        <v>-1.424136E-2</v>
      </c>
      <c r="O4647">
        <v>-0.99935439999999998</v>
      </c>
      <c r="P4647">
        <v>0.1262008</v>
      </c>
      <c r="Q4647">
        <v>0.38208379999999997</v>
      </c>
      <c r="R4647">
        <v>-0.91547029999999996</v>
      </c>
      <c r="S4647">
        <v>-1.6662599999999899E-2</v>
      </c>
      <c r="T4647">
        <v>-0.48611330000000003</v>
      </c>
      <c r="U4647">
        <v>-3.4813839999999998</v>
      </c>
      <c r="V4647">
        <v>-0.15711049999999999</v>
      </c>
      <c r="W4647">
        <v>0.39470899999999998</v>
      </c>
      <c r="X4647">
        <v>0.90527400000000002</v>
      </c>
      <c r="Y4647">
        <v>-2.8216129999999999E-2</v>
      </c>
      <c r="Z4647">
        <v>0.1240323</v>
      </c>
      <c r="AA4647">
        <v>0.99187689999999995</v>
      </c>
      <c r="AB4647">
        <v>40</v>
      </c>
      <c r="AC4647">
        <v>7.6999999999998103E-3</v>
      </c>
      <c r="AD4647">
        <v>-0.142578699999999</v>
      </c>
      <c r="AE4647">
        <v>-0.62111999999999001</v>
      </c>
      <c r="AF4647">
        <v>-2.6778150614062999E-2</v>
      </c>
      <c r="AG4647">
        <v>-0.142578699999999</v>
      </c>
      <c r="AH4647">
        <v>0.58947116660264598</v>
      </c>
      <c r="AI4647">
        <v>103.583812776128</v>
      </c>
      <c r="AJ4647">
        <v>92.601010877055998</v>
      </c>
      <c r="AK4647">
        <v>0.60706013812462101</v>
      </c>
      <c r="AL4647">
        <v>66.752172627623295</v>
      </c>
      <c r="AM4647">
        <v>99.845627637054605</v>
      </c>
      <c r="AN4647">
        <v>0.99999995948362397</v>
      </c>
    </row>
    <row r="4648" spans="1:40" x14ac:dyDescent="0.25">
      <c r="A4648" t="str">
        <f>"20190304164504482"</f>
        <v>20190304164504482</v>
      </c>
      <c r="B4648" t="str">
        <f>"1551689104474794"</f>
        <v>1551689104474794</v>
      </c>
      <c r="C4648" t="s">
        <v>40</v>
      </c>
      <c r="D4648">
        <v>4.9531239999999999</v>
      </c>
      <c r="E4648">
        <v>0.56948679999999996</v>
      </c>
      <c r="F4648" t="s">
        <v>41</v>
      </c>
      <c r="G4648">
        <v>-422.5111</v>
      </c>
      <c r="H4648">
        <v>0.9738791</v>
      </c>
      <c r="I4648">
        <v>73.270719999999997</v>
      </c>
      <c r="J4648">
        <v>-422.52010000000001</v>
      </c>
      <c r="K4648">
        <v>1.1115200000000001</v>
      </c>
      <c r="L4648">
        <v>73.820679999999996</v>
      </c>
      <c r="M4648">
        <v>-3.2191119999999997E-2</v>
      </c>
      <c r="N4648">
        <v>-1.4241470000000001E-2</v>
      </c>
      <c r="O4648">
        <v>-0.99938059999999995</v>
      </c>
      <c r="P4648">
        <v>0.12677459999999999</v>
      </c>
      <c r="Q4648">
        <v>0.38196259999999999</v>
      </c>
      <c r="R4648">
        <v>-0.91544179999999997</v>
      </c>
      <c r="S4648">
        <v>-1.4831540000000001E-2</v>
      </c>
      <c r="T4648">
        <v>-0.4882551</v>
      </c>
      <c r="U4648">
        <v>-3.4828489999999999</v>
      </c>
      <c r="V4648">
        <v>-0.1569477</v>
      </c>
      <c r="W4648">
        <v>0.39459240000000001</v>
      </c>
      <c r="X4648">
        <v>0.90535310000000002</v>
      </c>
      <c r="Y4648">
        <v>-2.794044E-2</v>
      </c>
      <c r="Z4648">
        <v>0.12457890000000001</v>
      </c>
      <c r="AA4648">
        <v>0.99181620000000004</v>
      </c>
      <c r="AB4648">
        <v>40</v>
      </c>
      <c r="AC4648">
        <v>9.0000000000145502E-3</v>
      </c>
      <c r="AD4648">
        <v>-0.13764090000000001</v>
      </c>
      <c r="AE4648">
        <v>-0.54996000000001199</v>
      </c>
      <c r="AF4648">
        <v>-2.5127458716375499E-2</v>
      </c>
      <c r="AG4648">
        <v>-0.13764090000000001</v>
      </c>
      <c r="AH4648">
        <v>0.51700975816852901</v>
      </c>
      <c r="AI4648">
        <v>104.890992112403</v>
      </c>
      <c r="AJ4648">
        <v>92.782472365739196</v>
      </c>
      <c r="AK4648">
        <v>0.53560759570401295</v>
      </c>
      <c r="AL4648">
        <v>66.759444212769793</v>
      </c>
      <c r="AM4648">
        <v>99.834782266854603</v>
      </c>
      <c r="AN4648">
        <v>0.99999998917632904</v>
      </c>
    </row>
    <row r="4649" spans="1:40" x14ac:dyDescent="0.25">
      <c r="A4649" t="str">
        <f>"20190304164504505"</f>
        <v>20190304164504505</v>
      </c>
      <c r="B4649" t="str">
        <f>"1551689104495290"</f>
        <v>1551689104495290</v>
      </c>
      <c r="C4649" t="s">
        <v>40</v>
      </c>
      <c r="D4649">
        <v>5.0142239999999996</v>
      </c>
      <c r="E4649">
        <v>0.56947869999999901</v>
      </c>
      <c r="F4649" t="s">
        <v>41</v>
      </c>
      <c r="G4649">
        <v>-422.52359999999999</v>
      </c>
      <c r="H4649">
        <v>0.98299630000000005</v>
      </c>
      <c r="I4649">
        <v>72.908119999999997</v>
      </c>
      <c r="J4649">
        <v>-422.53219999999999</v>
      </c>
      <c r="K4649">
        <v>1.1115120000000001</v>
      </c>
      <c r="L4649">
        <v>73.422030000000007</v>
      </c>
      <c r="M4649">
        <v>-3.1464319999999997E-2</v>
      </c>
      <c r="N4649">
        <v>-1.4241139999999999E-2</v>
      </c>
      <c r="O4649">
        <v>-0.99940370000000001</v>
      </c>
      <c r="P4649">
        <v>0.12767899999999999</v>
      </c>
      <c r="Q4649">
        <v>0.38167319999999999</v>
      </c>
      <c r="R4649">
        <v>-0.91543649999999999</v>
      </c>
      <c r="S4649">
        <v>-1.3092039999999999E-2</v>
      </c>
      <c r="T4649">
        <v>-0.49068050000000002</v>
      </c>
      <c r="U4649">
        <v>-3.483673</v>
      </c>
      <c r="V4649">
        <v>-0.15717979999999901</v>
      </c>
      <c r="W4649">
        <v>0.3943063</v>
      </c>
      <c r="X4649">
        <v>0.90543750000000001</v>
      </c>
      <c r="Y4649">
        <v>-2.7710129999999999E-2</v>
      </c>
      <c r="Z4649">
        <v>0.12522900000000001</v>
      </c>
      <c r="AA4649">
        <v>0.99174079999999998</v>
      </c>
      <c r="AB4649">
        <v>40</v>
      </c>
      <c r="AC4649">
        <v>8.6000000000012698E-3</v>
      </c>
      <c r="AD4649">
        <v>-0.12851570000000001</v>
      </c>
      <c r="AE4649">
        <v>-0.51391000000000897</v>
      </c>
      <c r="AF4649">
        <v>-2.33098793009489E-2</v>
      </c>
      <c r="AG4649">
        <v>-0.12851570000000001</v>
      </c>
      <c r="AH4649">
        <v>0.48317682611784801</v>
      </c>
      <c r="AI4649">
        <v>104.87818124145301</v>
      </c>
      <c r="AJ4649">
        <v>92.761976483839405</v>
      </c>
      <c r="AK4649">
        <v>0.50051921133641997</v>
      </c>
      <c r="AL4649">
        <v>66.777283381065502</v>
      </c>
      <c r="AM4649">
        <v>99.848141588954306</v>
      </c>
      <c r="AN4649">
        <v>1.0000000070769799</v>
      </c>
    </row>
    <row r="4650" spans="1:40" x14ac:dyDescent="0.25">
      <c r="A4650" t="str">
        <f>"20190304164504526"</f>
        <v>20190304164504526</v>
      </c>
      <c r="B4650" t="str">
        <f>"1551689104514810"</f>
        <v>1551689104514810</v>
      </c>
      <c r="C4650" t="s">
        <v>40</v>
      </c>
      <c r="D4650">
        <v>4.9071720000000001</v>
      </c>
      <c r="E4650">
        <v>0.54984460000000002</v>
      </c>
      <c r="F4650" t="s">
        <v>41</v>
      </c>
      <c r="G4650">
        <v>-422.53480000000002</v>
      </c>
      <c r="H4650">
        <v>0.98769989999999996</v>
      </c>
      <c r="I4650">
        <v>72.547809999999998</v>
      </c>
      <c r="J4650">
        <v>-422.54360000000003</v>
      </c>
      <c r="K4650">
        <v>1.1115120000000001</v>
      </c>
      <c r="L4650">
        <v>73.041200000000003</v>
      </c>
      <c r="M4650">
        <v>-3.0783970000000001E-2</v>
      </c>
      <c r="N4650">
        <v>-1.424053E-2</v>
      </c>
      <c r="O4650">
        <v>-0.9994248</v>
      </c>
      <c r="P4650">
        <v>0.1294024</v>
      </c>
      <c r="Q4650">
        <v>0.38100820000000002</v>
      </c>
      <c r="R4650">
        <v>-0.91547140000000005</v>
      </c>
      <c r="S4650">
        <v>-9.399414E-3</v>
      </c>
      <c r="T4650">
        <v>-0.49350579999999999</v>
      </c>
      <c r="U4650">
        <v>-3.4842219999999999</v>
      </c>
      <c r="V4650">
        <v>-0.15827069999999999</v>
      </c>
      <c r="W4650">
        <v>0.39364500000000002</v>
      </c>
      <c r="X4650">
        <v>0.90553519999999998</v>
      </c>
      <c r="Y4650">
        <v>-2.8080979999999998E-2</v>
      </c>
      <c r="Z4650">
        <v>0.12599969999999999</v>
      </c>
      <c r="AA4650">
        <v>0.99163279999999998</v>
      </c>
      <c r="AB4650">
        <v>40</v>
      </c>
      <c r="AC4650">
        <v>8.8000000000079091E-3</v>
      </c>
      <c r="AD4650">
        <v>-0.12381209999999999</v>
      </c>
      <c r="AE4650">
        <v>-0.49339000000000499</v>
      </c>
      <c r="AF4650">
        <v>-2.2565342548703699E-2</v>
      </c>
      <c r="AG4650">
        <v>-0.12381209999999999</v>
      </c>
      <c r="AH4650">
        <v>0.46369481941326801</v>
      </c>
      <c r="AI4650">
        <v>104.93300934364601</v>
      </c>
      <c r="AJ4650">
        <v>92.786055975316401</v>
      </c>
      <c r="AK4650">
        <v>0.480470099320918</v>
      </c>
      <c r="AL4650">
        <v>66.818507043111396</v>
      </c>
      <c r="AM4650">
        <v>99.914091759904593</v>
      </c>
      <c r="AN4650">
        <v>0.99999999947126395</v>
      </c>
    </row>
    <row r="4651" spans="1:40" x14ac:dyDescent="0.25">
      <c r="A4651" t="str">
        <f>"20190304164504547"</f>
        <v>20190304164504547</v>
      </c>
      <c r="B4651" t="str">
        <f>"1551689104545067"</f>
        <v>1551689104545067</v>
      </c>
      <c r="C4651" t="s">
        <v>40</v>
      </c>
      <c r="D4651">
        <v>5.4981939999999998</v>
      </c>
      <c r="E4651">
        <v>0.53009919999999899</v>
      </c>
      <c r="F4651" t="s">
        <v>41</v>
      </c>
      <c r="G4651">
        <v>-422.50650000000002</v>
      </c>
      <c r="H4651">
        <v>0.99445830000000002</v>
      </c>
      <c r="I4651">
        <v>72.181979999999996</v>
      </c>
      <c r="J4651">
        <v>-422.55500000000001</v>
      </c>
      <c r="K4651">
        <v>1.1114999999999999</v>
      </c>
      <c r="L4651">
        <v>72.651250000000005</v>
      </c>
      <c r="M4651">
        <v>-3.010096E-2</v>
      </c>
      <c r="N4651">
        <v>-1.4239740000000001E-2</v>
      </c>
      <c r="O4651">
        <v>-0.99944569999999999</v>
      </c>
      <c r="P4651">
        <v>0.13046070000000001</v>
      </c>
      <c r="Q4651">
        <v>0.38117669999999998</v>
      </c>
      <c r="R4651">
        <v>-0.91525120000000004</v>
      </c>
      <c r="S4651">
        <v>0.149231</v>
      </c>
      <c r="T4651">
        <v>-0.47024179999999999</v>
      </c>
      <c r="U4651">
        <v>-3.4515989999999999</v>
      </c>
      <c r="V4651">
        <v>-0.15868689999999999</v>
      </c>
      <c r="W4651">
        <v>0.39381500000000003</v>
      </c>
      <c r="X4651">
        <v>0.90538839999999998</v>
      </c>
      <c r="Y4651">
        <v>-7.2857870000000005E-2</v>
      </c>
      <c r="Z4651">
        <v>0.1205266</v>
      </c>
      <c r="AA4651">
        <v>0.99003289999999999</v>
      </c>
      <c r="AB4651">
        <v>40</v>
      </c>
      <c r="AC4651">
        <v>4.8499999999990002E-2</v>
      </c>
      <c r="AD4651">
        <v>-0.117041699999999</v>
      </c>
      <c r="AE4651">
        <v>-0.46926999999999403</v>
      </c>
      <c r="AF4651">
        <v>-5.8975065722507998E-2</v>
      </c>
      <c r="AG4651">
        <v>-0.117041699999999</v>
      </c>
      <c r="AH4651">
        <v>0.44048579172437402</v>
      </c>
      <c r="AI4651">
        <v>104.75442102636001</v>
      </c>
      <c r="AJ4651">
        <v>97.625777113422899</v>
      </c>
      <c r="AK4651">
        <v>0.45956996271178602</v>
      </c>
      <c r="AL4651">
        <v>66.807910159062999</v>
      </c>
      <c r="AM4651">
        <v>99.941222766750798</v>
      </c>
      <c r="AN4651">
        <v>0.99999997065558399</v>
      </c>
    </row>
    <row r="4652" spans="1:40" x14ac:dyDescent="0.25">
      <c r="A4652" t="str">
        <f>"20190304164504571"</f>
        <v>20190304164504571</v>
      </c>
      <c r="B4652" t="str">
        <f>"1551689104564586"</f>
        <v>1551689104564586</v>
      </c>
      <c r="C4652" t="s">
        <v>40</v>
      </c>
      <c r="D4652">
        <v>4.9604860000000004</v>
      </c>
      <c r="E4652">
        <v>0.52656020000000003</v>
      </c>
      <c r="F4652" t="s">
        <v>42</v>
      </c>
      <c r="G4652">
        <v>-421.73579999999998</v>
      </c>
      <c r="H4652" s="1">
        <v>-2.145328E-6</v>
      </c>
      <c r="I4652">
        <v>63.513330000000003</v>
      </c>
      <c r="J4652">
        <v>-422.56700000000001</v>
      </c>
      <c r="K4652">
        <v>1.1114949999999999</v>
      </c>
      <c r="L4652">
        <v>72.228999999999999</v>
      </c>
      <c r="M4652">
        <v>-2.9374790000000001E-2</v>
      </c>
      <c r="N4652">
        <v>-1.423869E-2</v>
      </c>
      <c r="O4652">
        <v>-0.99946710000000005</v>
      </c>
      <c r="P4652">
        <v>0.13105059999999999</v>
      </c>
      <c r="Q4652">
        <v>0.38230540000000002</v>
      </c>
      <c r="R4652">
        <v>-0.91469599999999995</v>
      </c>
      <c r="S4652">
        <v>0.30541990000000002</v>
      </c>
      <c r="T4652">
        <v>-0.41439809999999999</v>
      </c>
      <c r="U4652">
        <v>-3.40686</v>
      </c>
      <c r="V4652">
        <v>-0.15858699999999901</v>
      </c>
      <c r="W4652">
        <v>0.3949416</v>
      </c>
      <c r="X4652">
        <v>0.90491509999999997</v>
      </c>
      <c r="Y4652">
        <v>-0.11789620000000001</v>
      </c>
      <c r="Z4652">
        <v>0.1058443</v>
      </c>
      <c r="AA4652">
        <v>0.98736889999999999</v>
      </c>
      <c r="AB4652">
        <v>40</v>
      </c>
      <c r="AC4652">
        <v>0.83119999999996697</v>
      </c>
      <c r="AD4652">
        <v>-1.111497145328</v>
      </c>
      <c r="AE4652">
        <v>-8.7156699999999905</v>
      </c>
      <c r="AF4652">
        <v>-1.0696486762530799</v>
      </c>
      <c r="AG4652">
        <v>-1.111497145328</v>
      </c>
      <c r="AH4652">
        <v>8.5496942949672903</v>
      </c>
      <c r="AI4652">
        <v>97.3504861051006</v>
      </c>
      <c r="AJ4652">
        <v>97.131198236746897</v>
      </c>
      <c r="AK4652">
        <v>8.6877411754770009</v>
      </c>
      <c r="AL4652">
        <v>66.737668666101698</v>
      </c>
      <c r="AM4652">
        <v>99.940181847861396</v>
      </c>
      <c r="AN4652">
        <v>1.0000000210937801</v>
      </c>
    </row>
    <row r="4653" spans="1:40" x14ac:dyDescent="0.25">
      <c r="A4653" t="str">
        <f>"20190304164504592"</f>
        <v>20190304164504592</v>
      </c>
      <c r="B4653" t="str">
        <f>"1551689104585083"</f>
        <v>1551689104585083</v>
      </c>
      <c r="C4653" t="s">
        <v>40</v>
      </c>
      <c r="D4653">
        <v>4.9487350000000001</v>
      </c>
      <c r="E4653">
        <v>0.52488679999999999</v>
      </c>
      <c r="F4653" t="s">
        <v>42</v>
      </c>
      <c r="G4653">
        <v>-421.58710000000002</v>
      </c>
      <c r="H4653" s="1">
        <v>-1.595239E-6</v>
      </c>
      <c r="I4653">
        <v>62.323270000000001</v>
      </c>
      <c r="J4653">
        <v>-422.57769999999999</v>
      </c>
      <c r="K4653">
        <v>1.1114919999999999</v>
      </c>
      <c r="L4653">
        <v>71.846710000000002</v>
      </c>
      <c r="M4653">
        <v>-2.8726769999999999E-2</v>
      </c>
      <c r="N4653">
        <v>-1.423754E-2</v>
      </c>
      <c r="O4653">
        <v>-0.99948610000000004</v>
      </c>
      <c r="P4653">
        <v>0.1316108</v>
      </c>
      <c r="Q4653">
        <v>0.38288889999999998</v>
      </c>
      <c r="R4653">
        <v>-0.91437139999999995</v>
      </c>
      <c r="S4653">
        <v>0.33541870000000001</v>
      </c>
      <c r="T4653">
        <v>-0.3804671</v>
      </c>
      <c r="U4653">
        <v>-3.3907470000000002</v>
      </c>
      <c r="V4653">
        <v>-0.15853809999999999</v>
      </c>
      <c r="W4653">
        <v>0.39552510000000002</v>
      </c>
      <c r="X4653">
        <v>0.90466869999999999</v>
      </c>
      <c r="Y4653">
        <v>-0.1264168</v>
      </c>
      <c r="Z4653">
        <v>9.6543950000000003E-2</v>
      </c>
      <c r="AA4653">
        <v>0.98726800000000003</v>
      </c>
      <c r="AB4653">
        <v>40</v>
      </c>
      <c r="AC4653">
        <v>0.99059999999997195</v>
      </c>
      <c r="AD4653">
        <v>-1.1114935952389999</v>
      </c>
      <c r="AE4653">
        <v>-9.5234400000000008</v>
      </c>
      <c r="AF4653">
        <v>-1.24699230293902</v>
      </c>
      <c r="AG4653">
        <v>-1.1114935952389999</v>
      </c>
      <c r="AH4653">
        <v>9.3648509848444093</v>
      </c>
      <c r="AI4653">
        <v>96.709968192798996</v>
      </c>
      <c r="AJ4653">
        <v>97.584697463425698</v>
      </c>
      <c r="AK4653">
        <v>9.5126674379055096</v>
      </c>
      <c r="AL4653">
        <v>66.701271425370095</v>
      </c>
      <c r="AM4653">
        <v>99.939830483757206</v>
      </c>
      <c r="AN4653">
        <v>0.99999994532065295</v>
      </c>
    </row>
    <row r="4654" spans="1:40" x14ac:dyDescent="0.25">
      <c r="A4654" t="str">
        <f>"20190304164504614"</f>
        <v>20190304164504614</v>
      </c>
      <c r="B4654" t="str">
        <f>"1551689104605167"</f>
        <v>1551689104605167</v>
      </c>
      <c r="C4654" t="s">
        <v>40</v>
      </c>
      <c r="D4654">
        <v>4.9268090000000004</v>
      </c>
      <c r="E4654">
        <v>0.52407289999999995</v>
      </c>
      <c r="F4654" t="s">
        <v>42</v>
      </c>
      <c r="G4654">
        <v>-421.50779999999997</v>
      </c>
      <c r="H4654" s="1">
        <v>-1.218021E-6</v>
      </c>
      <c r="I4654">
        <v>61.4931699999999</v>
      </c>
      <c r="J4654">
        <v>-422.58819999999997</v>
      </c>
      <c r="K4654">
        <v>1.11148</v>
      </c>
      <c r="L4654">
        <v>71.457610000000003</v>
      </c>
      <c r="M4654">
        <v>-2.807405E-2</v>
      </c>
      <c r="N4654">
        <v>-1.4236199999999999E-2</v>
      </c>
      <c r="O4654">
        <v>-0.99950459999999997</v>
      </c>
      <c r="P4654">
        <v>0.13306889999999999</v>
      </c>
      <c r="Q4654">
        <v>0.38235580000000002</v>
      </c>
      <c r="R4654">
        <v>-0.91438339999999996</v>
      </c>
      <c r="S4654">
        <v>0.34954829999999998</v>
      </c>
      <c r="T4654">
        <v>-0.3631451</v>
      </c>
      <c r="U4654">
        <v>-3.3826900000000002</v>
      </c>
      <c r="V4654">
        <v>-0.15939300000000001</v>
      </c>
      <c r="W4654">
        <v>0.39499279999999998</v>
      </c>
      <c r="X4654">
        <v>0.90475110000000003</v>
      </c>
      <c r="Y4654">
        <v>-0.1301283</v>
      </c>
      <c r="Z4654">
        <v>9.1758259999999994E-2</v>
      </c>
      <c r="AA4654">
        <v>0.98724219999999896</v>
      </c>
      <c r="AB4654">
        <v>40</v>
      </c>
      <c r="AC4654">
        <v>1.08039999999999</v>
      </c>
      <c r="AD4654">
        <v>-1.1114812180210001</v>
      </c>
      <c r="AE4654">
        <v>-9.9644400000000104</v>
      </c>
      <c r="AF4654">
        <v>-1.34322602860491</v>
      </c>
      <c r="AG4654">
        <v>-1.1114812180210001</v>
      </c>
      <c r="AH4654">
        <v>9.8095429435878003</v>
      </c>
      <c r="AI4654">
        <v>96.405126982950605</v>
      </c>
      <c r="AJ4654">
        <v>97.797051910931103</v>
      </c>
      <c r="AK4654">
        <v>9.9632715221471493</v>
      </c>
      <c r="AL4654">
        <v>66.734474902542601</v>
      </c>
      <c r="AM4654">
        <v>99.991460831181399</v>
      </c>
      <c r="AN4654">
        <v>0.99999999672602502</v>
      </c>
    </row>
    <row r="4655" spans="1:40" x14ac:dyDescent="0.25">
      <c r="A4655" t="str">
        <f>"20190304164504637"</f>
        <v>20190304164504637</v>
      </c>
      <c r="B4655" t="str">
        <f>"1551689104624687"</f>
        <v>1551689104624687</v>
      </c>
      <c r="C4655" t="s">
        <v>40</v>
      </c>
      <c r="D4655">
        <v>4.9375939999999998</v>
      </c>
      <c r="E4655">
        <v>0.52337500000000003</v>
      </c>
      <c r="F4655" t="s">
        <v>42</v>
      </c>
      <c r="G4655">
        <v>-421.4717</v>
      </c>
      <c r="H4655" s="1">
        <v>-9.6866320000000006E-7</v>
      </c>
      <c r="I4655">
        <v>60.934310000000004</v>
      </c>
      <c r="J4655">
        <v>-422.59879999999998</v>
      </c>
      <c r="K4655">
        <v>1.1114729999999999</v>
      </c>
      <c r="L4655">
        <v>71.059479999999994</v>
      </c>
      <c r="M4655">
        <v>-2.7408229999999999E-2</v>
      </c>
      <c r="N4655">
        <v>-1.4234739999999999E-2</v>
      </c>
      <c r="O4655">
        <v>-0.99952289999999999</v>
      </c>
      <c r="P4655">
        <v>0.1347894</v>
      </c>
      <c r="Q4655">
        <v>0.3818066</v>
      </c>
      <c r="R4655">
        <v>-0.91436059999999997</v>
      </c>
      <c r="S4655">
        <v>0.35839840000000001</v>
      </c>
      <c r="T4655">
        <v>-0.35678019999999999</v>
      </c>
      <c r="U4655">
        <v>-3.3779300000000001</v>
      </c>
      <c r="V4655">
        <v>-0.1604989</v>
      </c>
      <c r="W4655">
        <v>0.3944435</v>
      </c>
      <c r="X4655">
        <v>0.90479520000000002</v>
      </c>
      <c r="Y4655">
        <v>-0.13218479999999999</v>
      </c>
      <c r="Z4655">
        <v>9.0039800000000003E-2</v>
      </c>
      <c r="AA4655">
        <v>0.98712710000000004</v>
      </c>
      <c r="AB4655">
        <v>40</v>
      </c>
      <c r="AC4655">
        <v>1.12709999999998</v>
      </c>
      <c r="AD4655">
        <v>-1.1114739686632</v>
      </c>
      <c r="AE4655">
        <v>-10.125170000000001</v>
      </c>
      <c r="AF4655">
        <v>-1.38770023644138</v>
      </c>
      <c r="AG4655">
        <v>-1.1114739686632</v>
      </c>
      <c r="AH4655">
        <v>9.9717793941717794</v>
      </c>
      <c r="AI4655">
        <v>96.299832900788402</v>
      </c>
      <c r="AJ4655">
        <v>97.922556222977093</v>
      </c>
      <c r="AK4655">
        <v>10.1290409523934</v>
      </c>
      <c r="AL4655">
        <v>66.7687279804517</v>
      </c>
      <c r="AM4655">
        <v>100.05889218484501</v>
      </c>
      <c r="AN4655">
        <v>0.99999996276824898</v>
      </c>
    </row>
    <row r="4656" spans="1:40" x14ac:dyDescent="0.25">
      <c r="A4656" t="str">
        <f>"20190304164504659"</f>
        <v>20190304164504659</v>
      </c>
      <c r="B4656" t="str">
        <f>"1551689104654943"</f>
        <v>1551689104654943</v>
      </c>
      <c r="C4656" t="s">
        <v>40</v>
      </c>
      <c r="D4656">
        <v>4.9482359999999996</v>
      </c>
      <c r="E4656">
        <v>0.52317729999999996</v>
      </c>
      <c r="F4656" t="s">
        <v>42</v>
      </c>
      <c r="G4656">
        <v>-421.44600000000003</v>
      </c>
      <c r="H4656" s="1">
        <v>-7.4954009999999997E-7</v>
      </c>
      <c r="I4656">
        <v>60.439430000000002</v>
      </c>
      <c r="J4656">
        <v>-422.60950000000003</v>
      </c>
      <c r="K4656">
        <v>1.111464</v>
      </c>
      <c r="L4656">
        <v>70.644559999999998</v>
      </c>
      <c r="M4656">
        <v>-2.6711749999999999E-2</v>
      </c>
      <c r="N4656">
        <v>-1.4233010000000001E-2</v>
      </c>
      <c r="O4656">
        <v>-0.99954200000000004</v>
      </c>
      <c r="P4656">
        <v>0.13778550000000001</v>
      </c>
      <c r="Q4656">
        <v>0.38105719999999998</v>
      </c>
      <c r="R4656">
        <v>-0.91422689999999995</v>
      </c>
      <c r="S4656">
        <v>0.36627199999999999</v>
      </c>
      <c r="T4656">
        <v>-0.3531666</v>
      </c>
      <c r="U4656">
        <v>-3.3744809999999998</v>
      </c>
      <c r="V4656">
        <v>-0.16285229999999901</v>
      </c>
      <c r="W4656">
        <v>0.39368789999999998</v>
      </c>
      <c r="X4656">
        <v>0.90470379999999995</v>
      </c>
      <c r="Y4656">
        <v>-0.13388559999999999</v>
      </c>
      <c r="Z4656">
        <v>8.9078149999999995E-2</v>
      </c>
      <c r="AA4656">
        <v>0.98698509999999995</v>
      </c>
      <c r="AB4656">
        <v>40</v>
      </c>
      <c r="AC4656">
        <v>1.1635000000000499</v>
      </c>
      <c r="AD4656">
        <v>-1.1114647495401</v>
      </c>
      <c r="AE4656">
        <v>-10.205129999999899</v>
      </c>
      <c r="AF4656">
        <v>-1.4190920768963899</v>
      </c>
      <c r="AG4656">
        <v>-1.1114647495401</v>
      </c>
      <c r="AH4656">
        <v>10.0526916561766</v>
      </c>
      <c r="AI4656">
        <v>96.247771541229795</v>
      </c>
      <c r="AJ4656">
        <v>98.035087902314999</v>
      </c>
      <c r="AK4656">
        <v>10.213020402718399</v>
      </c>
      <c r="AL4656">
        <v>66.815833158371902</v>
      </c>
      <c r="AM4656">
        <v>100.204318226193</v>
      </c>
      <c r="AN4656">
        <v>0.99999999997806899</v>
      </c>
    </row>
    <row r="4657" spans="1:40" x14ac:dyDescent="0.25">
      <c r="A4657" t="str">
        <f>"20190304164504683"</f>
        <v>20190304164504683</v>
      </c>
      <c r="B4657" t="str">
        <f>"1551689104674476"</f>
        <v>1551689104674476</v>
      </c>
      <c r="C4657" t="s">
        <v>40</v>
      </c>
      <c r="D4657">
        <v>4.9532439999999998</v>
      </c>
      <c r="E4657">
        <v>0.52311589999999997</v>
      </c>
      <c r="F4657" t="s">
        <v>42</v>
      </c>
      <c r="G4657">
        <v>-421.47669999999999</v>
      </c>
      <c r="H4657" s="1">
        <v>-7.9242509999999896E-7</v>
      </c>
      <c r="I4657">
        <v>60.5203699999999</v>
      </c>
      <c r="J4657">
        <v>-422.61950000000002</v>
      </c>
      <c r="K4657">
        <v>1.111459</v>
      </c>
      <c r="L4657">
        <v>70.24136</v>
      </c>
      <c r="M4657">
        <v>-2.6023259999999999E-2</v>
      </c>
      <c r="N4657">
        <v>-1.423116E-2</v>
      </c>
      <c r="O4657">
        <v>-0.99956009999999995</v>
      </c>
      <c r="P4657">
        <v>0.1407477</v>
      </c>
      <c r="Q4657">
        <v>0.38040829999999998</v>
      </c>
      <c r="R4657">
        <v>-0.91404620000000003</v>
      </c>
      <c r="S4657">
        <v>0.37808229999999998</v>
      </c>
      <c r="T4657">
        <v>-0.37096669999999998</v>
      </c>
      <c r="U4657">
        <v>-3.379089</v>
      </c>
      <c r="V4657">
        <v>-0.16518269999999999</v>
      </c>
      <c r="W4657">
        <v>0.3930303</v>
      </c>
      <c r="X4657">
        <v>0.90456720000000002</v>
      </c>
      <c r="Y4657">
        <v>-0.13640859999999999</v>
      </c>
      <c r="Z4657">
        <v>9.4050030000000007E-2</v>
      </c>
      <c r="AA4657">
        <v>0.98617809999999995</v>
      </c>
      <c r="AB4657">
        <v>40</v>
      </c>
      <c r="AC4657">
        <v>1.14280000000002</v>
      </c>
      <c r="AD4657">
        <v>-1.1114597924251</v>
      </c>
      <c r="AE4657">
        <v>-9.7209900000000005</v>
      </c>
      <c r="AF4657">
        <v>-1.3776462520427799</v>
      </c>
      <c r="AG4657">
        <v>-1.1114597924251</v>
      </c>
      <c r="AH4657">
        <v>9.5646234857771404</v>
      </c>
      <c r="AI4657">
        <v>96.561231770764905</v>
      </c>
      <c r="AJ4657">
        <v>98.196261438713606</v>
      </c>
      <c r="AK4657">
        <v>9.7270383206104896</v>
      </c>
      <c r="AL4657">
        <v>66.856814101338102</v>
      </c>
      <c r="AM4657">
        <v>100.348737016228</v>
      </c>
      <c r="AN4657">
        <v>0.99999998020660896</v>
      </c>
    </row>
    <row r="4658" spans="1:40" x14ac:dyDescent="0.25">
      <c r="A4658" t="str">
        <f>"20190304164504704"</f>
        <v>20190304164504704</v>
      </c>
      <c r="B4658" t="str">
        <f>"1551689104695182"</f>
        <v>1551689104695182</v>
      </c>
      <c r="C4658" t="s">
        <v>40</v>
      </c>
      <c r="D4658">
        <v>4.9835010000000004</v>
      </c>
      <c r="E4658">
        <v>0.52310690000000004</v>
      </c>
      <c r="F4658" t="s">
        <v>42</v>
      </c>
      <c r="G4658">
        <v>-421.4853</v>
      </c>
      <c r="H4658" s="1">
        <v>-7.3253489999999899E-7</v>
      </c>
      <c r="I4658">
        <v>60.375439999999998</v>
      </c>
      <c r="J4658">
        <v>-422.62900000000002</v>
      </c>
      <c r="K4658">
        <v>1.11147</v>
      </c>
      <c r="L4658">
        <v>69.854399999999998</v>
      </c>
      <c r="M4658">
        <v>-2.533883E-2</v>
      </c>
      <c r="N4658">
        <v>-1.4229510000000001E-2</v>
      </c>
      <c r="O4658">
        <v>-0.99957779999999996</v>
      </c>
      <c r="P4658">
        <v>0.1443239</v>
      </c>
      <c r="Q4658">
        <v>0.38022519999999999</v>
      </c>
      <c r="R4658">
        <v>-0.9135643</v>
      </c>
      <c r="S4658">
        <v>0.38867190000000001</v>
      </c>
      <c r="T4658">
        <v>-0.38086530000000002</v>
      </c>
      <c r="U4658">
        <v>-3.3807680000000002</v>
      </c>
      <c r="V4658">
        <v>-0.16813139999999999</v>
      </c>
      <c r="W4658">
        <v>0.39283000000000001</v>
      </c>
      <c r="X4658">
        <v>0.90411079999999999</v>
      </c>
      <c r="Y4658">
        <v>-0.13869039999999999</v>
      </c>
      <c r="Z4658">
        <v>9.6820000000000003E-2</v>
      </c>
      <c r="AA4658">
        <v>0.98559169999999996</v>
      </c>
      <c r="AB4658">
        <v>40</v>
      </c>
      <c r="AC4658">
        <v>1.1437000000000199</v>
      </c>
      <c r="AD4658">
        <v>-1.1114707325349</v>
      </c>
      <c r="AE4658">
        <v>-9.4789599999999901</v>
      </c>
      <c r="AF4658">
        <v>-1.3650439090239599</v>
      </c>
      <c r="AG4658">
        <v>-1.1114707325349</v>
      </c>
      <c r="AH4658">
        <v>9.3206215015891001</v>
      </c>
      <c r="AI4658">
        <v>96.729211519385402</v>
      </c>
      <c r="AJ4658">
        <v>98.331972583675295</v>
      </c>
      <c r="AK4658">
        <v>9.4853938894876801</v>
      </c>
      <c r="AL4658">
        <v>66.869293692425899</v>
      </c>
      <c r="AM4658">
        <v>100.534573777573</v>
      </c>
      <c r="AN4658">
        <v>0.99999995762129901</v>
      </c>
    </row>
    <row r="4659" spans="1:40" x14ac:dyDescent="0.25">
      <c r="A4659" t="str">
        <f>"20190304164504727"</f>
        <v>20190304164504727</v>
      </c>
      <c r="B4659" t="str">
        <f>"1551689104714680"</f>
        <v>1551689104714680</v>
      </c>
      <c r="C4659" t="s">
        <v>40</v>
      </c>
      <c r="D4659">
        <v>5.0068140000000003</v>
      </c>
      <c r="E4659">
        <v>0.52316470000000004</v>
      </c>
      <c r="F4659" t="s">
        <v>42</v>
      </c>
      <c r="G4659">
        <v>-421.48259999999999</v>
      </c>
      <c r="H4659" s="1">
        <v>-6.4053820000000003E-7</v>
      </c>
      <c r="I4659">
        <v>60.162660000000002</v>
      </c>
      <c r="J4659">
        <v>-422.63810000000001</v>
      </c>
      <c r="K4659">
        <v>1.111494</v>
      </c>
      <c r="L4659">
        <v>69.465580000000003</v>
      </c>
      <c r="M4659">
        <v>-2.4611009999999999E-2</v>
      </c>
      <c r="N4659">
        <v>-1.4228060000000001E-2</v>
      </c>
      <c r="O4659">
        <v>-0.99959580000000003</v>
      </c>
      <c r="P4659">
        <v>0.14656569999999999</v>
      </c>
      <c r="Q4659">
        <v>0.37997239999999999</v>
      </c>
      <c r="R4659">
        <v>-0.91331229999999997</v>
      </c>
      <c r="S4659">
        <v>0.40005489999999999</v>
      </c>
      <c r="T4659">
        <v>-0.38786100000000001</v>
      </c>
      <c r="U4659">
        <v>-3.38205</v>
      </c>
      <c r="V4659">
        <v>-0.16972499999999999</v>
      </c>
      <c r="W4659">
        <v>0.3925611</v>
      </c>
      <c r="X4659">
        <v>0.90392989999999995</v>
      </c>
      <c r="Y4659">
        <v>-0.14117260000000001</v>
      </c>
      <c r="Z4659">
        <v>9.8756570000000002E-2</v>
      </c>
      <c r="AA4659">
        <v>0.98504689999999995</v>
      </c>
      <c r="AB4659">
        <v>40</v>
      </c>
      <c r="AC4659">
        <v>1.15550000000001</v>
      </c>
      <c r="AD4659">
        <v>-1.1114946405382</v>
      </c>
      <c r="AE4659">
        <v>-9.3029200000000092</v>
      </c>
      <c r="AF4659">
        <v>-1.36493890678581</v>
      </c>
      <c r="AG4659">
        <v>-1.1114946405382</v>
      </c>
      <c r="AH4659">
        <v>9.1431255698920495</v>
      </c>
      <c r="AI4659">
        <v>96.855976372413394</v>
      </c>
      <c r="AJ4659">
        <v>98.490741792981296</v>
      </c>
      <c r="AK4659">
        <v>9.3110269971693604</v>
      </c>
      <c r="AL4659">
        <v>66.886048022126701</v>
      </c>
      <c r="AM4659">
        <v>100.63423671653101</v>
      </c>
      <c r="AN4659">
        <v>1.0000000284860999</v>
      </c>
    </row>
    <row r="4660" spans="1:40" x14ac:dyDescent="0.25">
      <c r="A4660" t="str">
        <f>"20190304164504749"</f>
        <v>20190304164504749</v>
      </c>
      <c r="B4660" t="str">
        <f>"1551689104744936"</f>
        <v>1551689104744936</v>
      </c>
      <c r="C4660" t="s">
        <v>40</v>
      </c>
      <c r="D4660">
        <v>5.0240939999999998</v>
      </c>
      <c r="E4660">
        <v>0.52331289999999997</v>
      </c>
      <c r="F4660" t="s">
        <v>42</v>
      </c>
      <c r="G4660">
        <v>-421.48630000000003</v>
      </c>
      <c r="H4660" s="1">
        <v>-5.3113609999999996E-7</v>
      </c>
      <c r="I4660">
        <v>59.905369999999998</v>
      </c>
      <c r="J4660">
        <v>-422.6474</v>
      </c>
      <c r="K4660">
        <v>1.11154</v>
      </c>
      <c r="L4660">
        <v>69.060819999999893</v>
      </c>
      <c r="M4660">
        <v>-2.378918E-2</v>
      </c>
      <c r="N4660">
        <v>-1.422674E-2</v>
      </c>
      <c r="O4660">
        <v>-0.99961599999999995</v>
      </c>
      <c r="P4660">
        <v>0.1477638</v>
      </c>
      <c r="Q4660">
        <v>0.38037310000000002</v>
      </c>
      <c r="R4660">
        <v>-0.9129526</v>
      </c>
      <c r="S4660">
        <v>0.40759279999999998</v>
      </c>
      <c r="T4660">
        <v>-0.3933123</v>
      </c>
      <c r="U4660">
        <v>-3.382965</v>
      </c>
      <c r="V4660">
        <v>-0.1702072</v>
      </c>
      <c r="W4660">
        <v>0.39293909999999999</v>
      </c>
      <c r="X4660">
        <v>0.90367500000000001</v>
      </c>
      <c r="Y4660">
        <v>-0.14247070000000001</v>
      </c>
      <c r="Z4660">
        <v>0.1002743</v>
      </c>
      <c r="AA4660">
        <v>0.98470659999999999</v>
      </c>
      <c r="AB4660">
        <v>40</v>
      </c>
      <c r="AC4660">
        <v>1.16109999999997</v>
      </c>
      <c r="AD4660">
        <v>-1.1115405311361</v>
      </c>
      <c r="AE4660">
        <v>-9.1554499999999894</v>
      </c>
      <c r="AF4660">
        <v>-1.35888140449052</v>
      </c>
      <c r="AG4660">
        <v>-1.1115405311361</v>
      </c>
      <c r="AH4660">
        <v>8.9947519300988894</v>
      </c>
      <c r="AI4660">
        <v>96.966438850056207</v>
      </c>
      <c r="AJ4660">
        <v>98.5909890768813</v>
      </c>
      <c r="AK4660">
        <v>9.1644772522957503</v>
      </c>
      <c r="AL4660">
        <v>66.862498778427593</v>
      </c>
      <c r="AM4660">
        <v>100.666696267448</v>
      </c>
      <c r="AN4660">
        <v>1.0000000664328199</v>
      </c>
    </row>
    <row r="4661" spans="1:40" x14ac:dyDescent="0.25">
      <c r="A4661" t="str">
        <f>"20190304164504771"</f>
        <v>20190304164504771</v>
      </c>
      <c r="B4661" t="str">
        <f>"1551689104764456"</f>
        <v>1551689104764456</v>
      </c>
      <c r="C4661" t="s">
        <v>40</v>
      </c>
      <c r="D4661">
        <v>5.0260530000000001</v>
      </c>
      <c r="E4661">
        <v>0.52341479999999996</v>
      </c>
      <c r="F4661" t="s">
        <v>42</v>
      </c>
      <c r="G4661">
        <v>-421.49380000000002</v>
      </c>
      <c r="H4661" s="1">
        <v>-4.5569310000000002E-6</v>
      </c>
      <c r="I4661">
        <v>59.598889999999997</v>
      </c>
      <c r="J4661">
        <v>-422.65600000000001</v>
      </c>
      <c r="K4661">
        <v>1.111605</v>
      </c>
      <c r="L4661">
        <v>68.663240000000002</v>
      </c>
      <c r="M4661">
        <v>-2.2893770000000001E-2</v>
      </c>
      <c r="N4661">
        <v>-1.4225669999999999E-2</v>
      </c>
      <c r="O4661">
        <v>-0.99963679999999999</v>
      </c>
      <c r="P4661">
        <v>0.14878139999999901</v>
      </c>
      <c r="Q4661">
        <v>0.38012790000000002</v>
      </c>
      <c r="R4661">
        <v>-0.91288939999999996</v>
      </c>
      <c r="S4661">
        <v>0.41268919999999998</v>
      </c>
      <c r="T4661">
        <v>-0.39764480000000002</v>
      </c>
      <c r="U4661">
        <v>-3.3849179999999999</v>
      </c>
      <c r="V4661">
        <v>-0.17046689999999901</v>
      </c>
      <c r="W4661">
        <v>0.39266810000000002</v>
      </c>
      <c r="X4661">
        <v>0.90374379999999999</v>
      </c>
      <c r="Y4661">
        <v>-0.1429618</v>
      </c>
      <c r="Z4661">
        <v>0.1014452</v>
      </c>
      <c r="AA4661">
        <v>0.98451549999999999</v>
      </c>
      <c r="AB4661">
        <v>40</v>
      </c>
      <c r="AC4661">
        <v>1.1621999999999799</v>
      </c>
      <c r="AD4661">
        <v>-1.1116095569310001</v>
      </c>
      <c r="AE4661">
        <v>-9.0643499999999904</v>
      </c>
      <c r="AF4661">
        <v>-1.34946649838828</v>
      </c>
      <c r="AG4661">
        <v>-1.1116095569310001</v>
      </c>
      <c r="AH4661">
        <v>8.9036243039217702</v>
      </c>
      <c r="AI4661">
        <v>97.036957137592196</v>
      </c>
      <c r="AJ4661">
        <v>98.618368970769595</v>
      </c>
      <c r="AK4661">
        <v>9.0736575526476102</v>
      </c>
      <c r="AL4661">
        <v>66.879382120601505</v>
      </c>
      <c r="AM4661">
        <v>100.681802564994</v>
      </c>
      <c r="AN4661">
        <v>1.0000000283958199</v>
      </c>
    </row>
    <row r="4662" spans="1:40" x14ac:dyDescent="0.25">
      <c r="A4662" t="str">
        <f>"20190304164504793"</f>
        <v>20190304164504793</v>
      </c>
      <c r="B4662" t="str">
        <f>"1551689104784952"</f>
        <v>1551689104784952</v>
      </c>
      <c r="C4662" t="s">
        <v>40</v>
      </c>
      <c r="D4662">
        <v>5.0216830000000003</v>
      </c>
      <c r="E4662">
        <v>0.52351579999999998</v>
      </c>
      <c r="F4662" t="s">
        <v>42</v>
      </c>
      <c r="G4662">
        <v>-421.5104</v>
      </c>
      <c r="H4662" s="1">
        <v>-4.4631870000000002E-6</v>
      </c>
      <c r="I4662">
        <v>59.314749999999997</v>
      </c>
      <c r="J4662">
        <v>-422.66399999999999</v>
      </c>
      <c r="K4662">
        <v>1.1116900000000001</v>
      </c>
      <c r="L4662">
        <v>68.276399999999995</v>
      </c>
      <c r="M4662">
        <v>-2.1912069999999999E-2</v>
      </c>
      <c r="N4662">
        <v>-1.422493E-2</v>
      </c>
      <c r="O4662">
        <v>-0.99965870000000001</v>
      </c>
      <c r="P4662">
        <v>0.15005450000000001</v>
      </c>
      <c r="Q4662">
        <v>0.3805326</v>
      </c>
      <c r="R4662">
        <v>-0.9125124</v>
      </c>
      <c r="S4662">
        <v>0.41497800000000001</v>
      </c>
      <c r="T4662">
        <v>-0.40266079999999999</v>
      </c>
      <c r="U4662">
        <v>-3.3863219999999998</v>
      </c>
      <c r="V4662">
        <v>-0.1709175</v>
      </c>
      <c r="W4662">
        <v>0.39303339999999998</v>
      </c>
      <c r="X4662">
        <v>0.90349979999999996</v>
      </c>
      <c r="Y4662">
        <v>-0.14257800000000001</v>
      </c>
      <c r="Z4662">
        <v>0.10284210000000001</v>
      </c>
      <c r="AA4662">
        <v>0.98442629999999998</v>
      </c>
      <c r="AB4662">
        <v>40</v>
      </c>
      <c r="AC4662">
        <v>1.15359999999998</v>
      </c>
      <c r="AD4662">
        <v>-1.111694463187</v>
      </c>
      <c r="AE4662">
        <v>-8.9616499999999899</v>
      </c>
      <c r="AF4662">
        <v>-1.32958440256073</v>
      </c>
      <c r="AG4662">
        <v>-1.111694463187</v>
      </c>
      <c r="AH4662">
        <v>8.8009915484801304</v>
      </c>
      <c r="AI4662">
        <v>97.119232130394593</v>
      </c>
      <c r="AJ4662">
        <v>98.590832066093299</v>
      </c>
      <c r="AK4662">
        <v>8.97001178925826</v>
      </c>
      <c r="AL4662">
        <v>66.856620615320907</v>
      </c>
      <c r="AM4662">
        <v>100.712211113199</v>
      </c>
      <c r="AN4662">
        <v>0.99999996696092397</v>
      </c>
    </row>
    <row r="4663" spans="1:40" x14ac:dyDescent="0.25">
      <c r="A4663" t="str">
        <f>"20190304164504816"</f>
        <v>20190304164504816</v>
      </c>
      <c r="B4663" t="str">
        <f>"1551689104804472"</f>
        <v>1551689104804472</v>
      </c>
      <c r="C4663" t="s">
        <v>40</v>
      </c>
      <c r="D4663">
        <v>5.0470189999999997</v>
      </c>
      <c r="E4663">
        <v>0.52361239999999998</v>
      </c>
      <c r="F4663" t="s">
        <v>42</v>
      </c>
      <c r="G4663">
        <v>-421.51420000000002</v>
      </c>
      <c r="H4663" s="1">
        <v>-4.3472859999999999E-6</v>
      </c>
      <c r="I4663">
        <v>58.972209999999997</v>
      </c>
      <c r="J4663">
        <v>-422.67149999999998</v>
      </c>
      <c r="K4663">
        <v>1.111796</v>
      </c>
      <c r="L4663">
        <v>67.888279999999995</v>
      </c>
      <c r="M4663">
        <v>-2.0784049999999998E-2</v>
      </c>
      <c r="N4663">
        <v>-1.422444E-2</v>
      </c>
      <c r="O4663">
        <v>-0.99968299999999999</v>
      </c>
      <c r="P4663">
        <v>0.15111949999999999</v>
      </c>
      <c r="Q4663">
        <v>0.38049870000000002</v>
      </c>
      <c r="R4663">
        <v>-0.91235100000000002</v>
      </c>
      <c r="S4663">
        <v>0.41864010000000001</v>
      </c>
      <c r="T4663">
        <v>-0.40476200000000001</v>
      </c>
      <c r="U4663">
        <v>-3.3876040000000001</v>
      </c>
      <c r="V4663">
        <v>-0.17105429999999999</v>
      </c>
      <c r="W4663">
        <v>0.39295479999999999</v>
      </c>
      <c r="X4663">
        <v>0.90350810000000004</v>
      </c>
      <c r="Y4663">
        <v>-0.1424571</v>
      </c>
      <c r="Z4663">
        <v>0.1034004</v>
      </c>
      <c r="AA4663">
        <v>0.98438530000000002</v>
      </c>
      <c r="AB4663">
        <v>40</v>
      </c>
      <c r="AC4663">
        <v>1.15729999999996</v>
      </c>
      <c r="AD4663">
        <v>-1.1118003472859901</v>
      </c>
      <c r="AE4663">
        <v>-8.9160700000000102</v>
      </c>
      <c r="AF4663">
        <v>-1.3221628351177701</v>
      </c>
      <c r="AG4663">
        <v>-1.1118003472859901</v>
      </c>
      <c r="AH4663">
        <v>8.7561923257129308</v>
      </c>
      <c r="AI4663">
        <v>97.156032115594698</v>
      </c>
      <c r="AJ4663">
        <v>98.586650299909095</v>
      </c>
      <c r="AK4663">
        <v>8.9249716313087504</v>
      </c>
      <c r="AL4663">
        <v>66.861518126567404</v>
      </c>
      <c r="AM4663">
        <v>100.720490175668</v>
      </c>
      <c r="AN4663">
        <v>0.99999996757856902</v>
      </c>
    </row>
    <row r="4664" spans="1:40" x14ac:dyDescent="0.25">
      <c r="A4664" t="str">
        <f>"20190304164504837"</f>
        <v>20190304164504837</v>
      </c>
      <c r="B4664" t="str">
        <f>"1551689104834728"</f>
        <v>1551689104834728</v>
      </c>
      <c r="C4664" t="s">
        <v>40</v>
      </c>
      <c r="D4664">
        <v>5.1526860000000001</v>
      </c>
      <c r="E4664">
        <v>0.52360359999999995</v>
      </c>
      <c r="F4664" t="s">
        <v>42</v>
      </c>
      <c r="G4664">
        <v>-421.5224</v>
      </c>
      <c r="H4664" s="1">
        <v>-4.2414099999999996E-6</v>
      </c>
      <c r="I4664">
        <v>58.65681</v>
      </c>
      <c r="J4664">
        <v>-422.67849999999999</v>
      </c>
      <c r="K4664">
        <v>1.1119220000000001</v>
      </c>
      <c r="L4664">
        <v>67.491640000000004</v>
      </c>
      <c r="M4664">
        <v>-1.9470310000000001E-2</v>
      </c>
      <c r="N4664">
        <v>-1.42244E-2</v>
      </c>
      <c r="O4664">
        <v>-0.99970930000000002</v>
      </c>
      <c r="P4664">
        <v>0.15295039999999999</v>
      </c>
      <c r="Q4664">
        <v>0.38043199999999999</v>
      </c>
      <c r="R4664">
        <v>-0.91207360000000004</v>
      </c>
      <c r="S4664">
        <v>0.42178339999999998</v>
      </c>
      <c r="T4664">
        <v>-0.4081031</v>
      </c>
      <c r="U4664">
        <v>-3.38855</v>
      </c>
      <c r="V4664">
        <v>-0.17180589999999901</v>
      </c>
      <c r="W4664">
        <v>0.39283249999999997</v>
      </c>
      <c r="X4664">
        <v>0.90341870000000002</v>
      </c>
      <c r="Y4664">
        <v>-0.14201</v>
      </c>
      <c r="Z4664">
        <v>0.10432909999999999</v>
      </c>
      <c r="AA4664">
        <v>0.98435189999999995</v>
      </c>
      <c r="AB4664">
        <v>40</v>
      </c>
      <c r="AC4664">
        <v>1.1560999999999799</v>
      </c>
      <c r="AD4664">
        <v>-1.11192624141</v>
      </c>
      <c r="AE4664">
        <v>-8.8348300000000002</v>
      </c>
      <c r="AF4664">
        <v>-1.30755211716218</v>
      </c>
      <c r="AG4664">
        <v>-1.11192624141</v>
      </c>
      <c r="AH4664">
        <v>8.6755358948512793</v>
      </c>
      <c r="AI4664">
        <v>97.222967089312903</v>
      </c>
      <c r="AJ4664">
        <v>98.570947338044306</v>
      </c>
      <c r="AK4664">
        <v>8.8436980708459494</v>
      </c>
      <c r="AL4664">
        <v>66.869138819860595</v>
      </c>
      <c r="AM4664">
        <v>100.76753699387601</v>
      </c>
      <c r="AN4664">
        <v>0.99999999392037497</v>
      </c>
    </row>
    <row r="4665" spans="1:40" x14ac:dyDescent="0.25">
      <c r="A4665" t="str">
        <f>"20190304164504861"</f>
        <v>20190304164504861</v>
      </c>
      <c r="B4665" t="str">
        <f>"1551689104855224"</f>
        <v>1551689104855224</v>
      </c>
      <c r="C4665" t="s">
        <v>40</v>
      </c>
      <c r="D4665">
        <v>5.1789999999999896</v>
      </c>
      <c r="E4665">
        <v>0.47129019999999999</v>
      </c>
      <c r="F4665" t="s">
        <v>42</v>
      </c>
      <c r="G4665">
        <v>-421.52879999999999</v>
      </c>
      <c r="H4665" s="1">
        <v>-4.1396339999999998E-6</v>
      </c>
      <c r="I4665">
        <v>58.354419999999998</v>
      </c>
      <c r="J4665">
        <v>-422.68509999999998</v>
      </c>
      <c r="K4665">
        <v>1.1120559999999999</v>
      </c>
      <c r="L4665">
        <v>67.08466</v>
      </c>
      <c r="M4665">
        <v>-1.7970650000000001E-2</v>
      </c>
      <c r="N4665">
        <v>-1.4224860000000001E-2</v>
      </c>
      <c r="O4665">
        <v>-0.99973749999999995</v>
      </c>
      <c r="P4665">
        <v>0.15517069999999999</v>
      </c>
      <c r="Q4665">
        <v>0.38018229999999997</v>
      </c>
      <c r="R4665">
        <v>-0.91180249999999996</v>
      </c>
      <c r="S4665">
        <v>0.42654419999999998</v>
      </c>
      <c r="T4665">
        <v>-0.41250779999999898</v>
      </c>
      <c r="U4665">
        <v>-3.3897710000000001</v>
      </c>
      <c r="V4665">
        <v>-0.172784299999999</v>
      </c>
      <c r="W4665">
        <v>0.39252379999999998</v>
      </c>
      <c r="X4665">
        <v>0.90336629999999996</v>
      </c>
      <c r="Y4665">
        <v>-0.1418259</v>
      </c>
      <c r="Z4665">
        <v>0.1055464</v>
      </c>
      <c r="AA4665">
        <v>0.98424860000000003</v>
      </c>
      <c r="AB4665">
        <v>40</v>
      </c>
      <c r="AC4665">
        <v>1.1562999999999799</v>
      </c>
      <c r="AD4665">
        <v>-1.112060139634</v>
      </c>
      <c r="AE4665">
        <v>-8.7302400000000002</v>
      </c>
      <c r="AF4665">
        <v>-1.29240843075039</v>
      </c>
      <c r="AG4665">
        <v>-1.112060139634</v>
      </c>
      <c r="AH4665">
        <v>8.5713693213283602</v>
      </c>
      <c r="AI4665">
        <v>97.310604502419906</v>
      </c>
      <c r="AJ4665">
        <v>98.574581388265301</v>
      </c>
      <c r="AK4665">
        <v>8.7393002779768594</v>
      </c>
      <c r="AL4665">
        <v>66.888371210720805</v>
      </c>
      <c r="AM4665">
        <v>100.828023642636</v>
      </c>
      <c r="AN4665">
        <v>1.0000000099343</v>
      </c>
    </row>
    <row r="4666" spans="1:40" x14ac:dyDescent="0.25">
      <c r="A4666" t="str">
        <f>"20190304164504884"</f>
        <v>20190304164504884</v>
      </c>
      <c r="B4666" t="str">
        <f>"1551689104874744"</f>
        <v>1551689104874744</v>
      </c>
      <c r="C4666" t="s">
        <v>40</v>
      </c>
      <c r="D4666">
        <v>5.0881610000000004</v>
      </c>
      <c r="E4666">
        <v>0.44890190000000002</v>
      </c>
      <c r="F4666" t="s">
        <v>42</v>
      </c>
      <c r="G4666">
        <v>-420.10149999999999</v>
      </c>
      <c r="H4666" s="1">
        <v>-3.1760620000000002E-6</v>
      </c>
      <c r="I4666">
        <v>56.929639999999999</v>
      </c>
      <c r="J4666">
        <v>-422.69080000000002</v>
      </c>
      <c r="K4666">
        <v>1.112187</v>
      </c>
      <c r="L4666">
        <v>66.681269999999998</v>
      </c>
      <c r="M4666">
        <v>-1.6318329999999999E-2</v>
      </c>
      <c r="N4666">
        <v>-1.422529E-2</v>
      </c>
      <c r="O4666">
        <v>-0.99976580000000004</v>
      </c>
      <c r="P4666">
        <v>0.15776870000000001</v>
      </c>
      <c r="Q4666">
        <v>0.37988709999999998</v>
      </c>
      <c r="R4666">
        <v>-0.9114797</v>
      </c>
      <c r="S4666">
        <v>0.83905030000000003</v>
      </c>
      <c r="T4666">
        <v>-0.36115589999999997</v>
      </c>
      <c r="U4666">
        <v>-3.297974</v>
      </c>
      <c r="V4666">
        <v>-0.17400450000000001</v>
      </c>
      <c r="W4666">
        <v>0.39216630000000002</v>
      </c>
      <c r="X4666">
        <v>0.90328730000000002</v>
      </c>
      <c r="Y4666">
        <v>-0.26109529999999997</v>
      </c>
      <c r="Z4666">
        <v>9.1108079999999994E-2</v>
      </c>
      <c r="AA4666">
        <v>0.96100390000000002</v>
      </c>
      <c r="AB4666">
        <v>40</v>
      </c>
      <c r="AC4666">
        <v>2.5893000000000299</v>
      </c>
      <c r="AD4666">
        <v>-1.1121901760619901</v>
      </c>
      <c r="AE4666">
        <v>-9.7516300000000005</v>
      </c>
      <c r="AF4666">
        <v>-2.7151099790999398</v>
      </c>
      <c r="AG4666">
        <v>-1.1121901760619901</v>
      </c>
      <c r="AH4666">
        <v>9.5915263587731197</v>
      </c>
      <c r="AI4666">
        <v>96.366245421028793</v>
      </c>
      <c r="AJ4666">
        <v>105.805428792246</v>
      </c>
      <c r="AK4666">
        <v>10.030262562733601</v>
      </c>
      <c r="AL4666">
        <v>66.910638776599399</v>
      </c>
      <c r="AM4666">
        <v>100.90359526755</v>
      </c>
      <c r="AN4666">
        <v>0.99999995960861399</v>
      </c>
    </row>
    <row r="4667" spans="1:40" x14ac:dyDescent="0.25">
      <c r="A4667" t="str">
        <f>"20190304164504905"</f>
        <v>20190304164504905</v>
      </c>
      <c r="B4667" t="str">
        <f>"1551689104895240"</f>
        <v>1551689104895240</v>
      </c>
      <c r="C4667" t="s">
        <v>40</v>
      </c>
      <c r="D4667">
        <v>5.0513519999999996</v>
      </c>
      <c r="E4667">
        <v>0.43957049999999998</v>
      </c>
      <c r="F4667" t="s">
        <v>42</v>
      </c>
      <c r="G4667">
        <v>-419.03500000000003</v>
      </c>
      <c r="H4667" s="1">
        <v>-2.4863479999999999E-6</v>
      </c>
      <c r="I4667">
        <v>55.029510000000002</v>
      </c>
      <c r="J4667">
        <v>-422.69540000000001</v>
      </c>
      <c r="K4667">
        <v>1.1123259999999999</v>
      </c>
      <c r="L4667">
        <v>66.307950000000005</v>
      </c>
      <c r="M4667">
        <v>-1.4622380000000001E-2</v>
      </c>
      <c r="N4667">
        <v>-1.4225979999999999E-2</v>
      </c>
      <c r="O4667">
        <v>-0.99979209999999996</v>
      </c>
      <c r="P4667">
        <v>0.1603405</v>
      </c>
      <c r="Q4667">
        <v>0.37986310000000001</v>
      </c>
      <c r="R4667">
        <v>-0.91104110000000005</v>
      </c>
      <c r="S4667">
        <v>1.0178830000000001</v>
      </c>
      <c r="T4667">
        <v>-0.30967280000000003</v>
      </c>
      <c r="U4667">
        <v>-3.2442630000000001</v>
      </c>
      <c r="V4667">
        <v>-0.17515939999999999</v>
      </c>
      <c r="W4667">
        <v>0.39207769999999997</v>
      </c>
      <c r="X4667">
        <v>0.90310259999999998</v>
      </c>
      <c r="Y4667">
        <v>-0.31217929999999999</v>
      </c>
      <c r="Z4667">
        <v>7.6271060000000002E-2</v>
      </c>
      <c r="AA4667">
        <v>0.94695660000000004</v>
      </c>
      <c r="AB4667">
        <v>40</v>
      </c>
      <c r="AC4667">
        <v>3.6603999999999801</v>
      </c>
      <c r="AD4667">
        <v>-1.1123284863480001</v>
      </c>
      <c r="AE4667">
        <v>-11.27844</v>
      </c>
      <c r="AF4667">
        <v>-3.79157754142522</v>
      </c>
      <c r="AG4667">
        <v>-1.1123284863480001</v>
      </c>
      <c r="AH4667">
        <v>11.125799380297099</v>
      </c>
      <c r="AI4667">
        <v>95.405973775325407</v>
      </c>
      <c r="AJ4667">
        <v>108.81867236532401</v>
      </c>
      <c r="AK4667">
        <v>11.806639943896</v>
      </c>
      <c r="AL4667">
        <v>66.916158658175704</v>
      </c>
      <c r="AM4667">
        <v>100.976402900433</v>
      </c>
      <c r="AN4667">
        <v>1.0000000221862</v>
      </c>
    </row>
    <row r="4668" spans="1:40" x14ac:dyDescent="0.25">
      <c r="A4668" t="str">
        <f>"20190304164504928"</f>
        <v>20190304164504928</v>
      </c>
      <c r="B4668" t="str">
        <f>"1551689104924520"</f>
        <v>1551689104924520</v>
      </c>
      <c r="C4668" t="s">
        <v>40</v>
      </c>
      <c r="D4668">
        <v>5.0243390000000003</v>
      </c>
      <c r="E4668">
        <v>0.43420110000000001</v>
      </c>
      <c r="F4668" t="s">
        <v>42</v>
      </c>
      <c r="G4668">
        <v>-418.48020000000002</v>
      </c>
      <c r="H4668" s="1">
        <v>-2.12474E-6</v>
      </c>
      <c r="I4668">
        <v>53.957180000000001</v>
      </c>
      <c r="J4668">
        <v>-422.69940000000003</v>
      </c>
      <c r="K4668">
        <v>1.1124879999999999</v>
      </c>
      <c r="L4668">
        <v>65.913300000000007</v>
      </c>
      <c r="M4668">
        <v>-1.26401E-2</v>
      </c>
      <c r="N4668">
        <v>-1.4227460000000001E-2</v>
      </c>
      <c r="O4668">
        <v>-0.99981889999999995</v>
      </c>
      <c r="P4668">
        <v>0.16336819999999999</v>
      </c>
      <c r="Q4668">
        <v>0.37966620000000001</v>
      </c>
      <c r="R4668">
        <v>-0.91058459999999997</v>
      </c>
      <c r="S4668">
        <v>1.099091</v>
      </c>
      <c r="T4668">
        <v>-0.29003630000000002</v>
      </c>
      <c r="U4668">
        <v>-3.2204280000000001</v>
      </c>
      <c r="V4668">
        <v>-0.1765341</v>
      </c>
      <c r="W4668">
        <v>0.39180579999999998</v>
      </c>
      <c r="X4668">
        <v>0.90295289999999995</v>
      </c>
      <c r="Y4668">
        <v>-0.3338969</v>
      </c>
      <c r="Z4668">
        <v>7.0522409999999994E-2</v>
      </c>
      <c r="AA4668">
        <v>0.93996780000000002</v>
      </c>
      <c r="AB4668">
        <v>40</v>
      </c>
      <c r="AC4668">
        <v>4.2191999999999998</v>
      </c>
      <c r="AD4668">
        <v>-1.1124901247400001</v>
      </c>
      <c r="AE4668">
        <v>-11.95612</v>
      </c>
      <c r="AF4668">
        <v>-4.3366166537908697</v>
      </c>
      <c r="AG4668">
        <v>-1.1124901247400001</v>
      </c>
      <c r="AH4668">
        <v>11.8108948393941</v>
      </c>
      <c r="AI4668">
        <v>95.052956891618805</v>
      </c>
      <c r="AJ4668">
        <v>110.16176487482601</v>
      </c>
      <c r="AK4668">
        <v>12.630958601262501</v>
      </c>
      <c r="AL4668">
        <v>66.933091852409206</v>
      </c>
      <c r="AM4668">
        <v>101.06222096021899</v>
      </c>
      <c r="AN4668">
        <v>1.0000000064974299</v>
      </c>
    </row>
    <row r="4669" spans="1:40" x14ac:dyDescent="0.25">
      <c r="A4669" t="str">
        <f>"20190304164504950"</f>
        <v>20190304164504950</v>
      </c>
      <c r="B4669" t="str">
        <f>"1551689104945016"</f>
        <v>1551689104945016</v>
      </c>
      <c r="C4669" t="s">
        <v>40</v>
      </c>
      <c r="D4669">
        <v>5.1039760000000003</v>
      </c>
      <c r="E4669">
        <v>0.4325387</v>
      </c>
      <c r="F4669" t="s">
        <v>42</v>
      </c>
      <c r="G4669">
        <v>-418.08300000000003</v>
      </c>
      <c r="H4669" s="1">
        <v>-1.8098799999999999E-6</v>
      </c>
      <c r="I4669">
        <v>53.058999999999997</v>
      </c>
      <c r="J4669">
        <v>-422.70260000000002</v>
      </c>
      <c r="K4669">
        <v>1.112684</v>
      </c>
      <c r="L4669">
        <v>65.495639999999995</v>
      </c>
      <c r="M4669">
        <v>-1.0325620000000001E-2</v>
      </c>
      <c r="N4669">
        <v>-1.4230039999999999E-2</v>
      </c>
      <c r="O4669">
        <v>-0.9998456</v>
      </c>
      <c r="P4669">
        <v>0.16729840000000001</v>
      </c>
      <c r="Q4669">
        <v>0.379195</v>
      </c>
      <c r="R4669">
        <v>-0.91006739999999997</v>
      </c>
      <c r="S4669">
        <v>1.150574</v>
      </c>
      <c r="T4669">
        <v>-0.2772734</v>
      </c>
      <c r="U4669">
        <v>-3.2037659999999999</v>
      </c>
      <c r="V4669">
        <v>-0.17853659999999999</v>
      </c>
      <c r="W4669">
        <v>0.3912428</v>
      </c>
      <c r="X4669">
        <v>0.90280329999999998</v>
      </c>
      <c r="Y4669">
        <v>-0.3467113</v>
      </c>
      <c r="Z4669">
        <v>6.6814589999999993E-2</v>
      </c>
      <c r="AA4669">
        <v>0.93558909999999995</v>
      </c>
      <c r="AB4669">
        <v>39</v>
      </c>
      <c r="AC4669">
        <v>4.6195999999999904</v>
      </c>
      <c r="AD4669">
        <v>-1.1126858098799901</v>
      </c>
      <c r="AE4669">
        <v>-12.436640000000001</v>
      </c>
      <c r="AF4669">
        <v>-4.7146197654542696</v>
      </c>
      <c r="AG4669">
        <v>-1.1126858098799901</v>
      </c>
      <c r="AH4669">
        <v>12.3017406396885</v>
      </c>
      <c r="AI4669">
        <v>94.827700293256399</v>
      </c>
      <c r="AJ4669">
        <v>110.969239674059</v>
      </c>
      <c r="AK4669">
        <v>13.221139588192999</v>
      </c>
      <c r="AL4669">
        <v>66.968148370891598</v>
      </c>
      <c r="AM4669">
        <v>101.186364436313</v>
      </c>
      <c r="AN4669">
        <v>1.00000002229114</v>
      </c>
    </row>
    <row r="4670" spans="1:40" x14ac:dyDescent="0.25">
      <c r="A4670" t="str">
        <f>"20190304164504972"</f>
        <v>20190304164504972</v>
      </c>
      <c r="B4670" t="str">
        <f>"1551689104964536"</f>
        <v>1551689104964536</v>
      </c>
      <c r="C4670" t="s">
        <v>40</v>
      </c>
      <c r="D4670">
        <v>5.0402829999999996</v>
      </c>
      <c r="E4670">
        <v>0.4313361</v>
      </c>
      <c r="F4670" t="s">
        <v>42</v>
      </c>
      <c r="G4670">
        <v>-417.95330000000001</v>
      </c>
      <c r="H4670" s="1">
        <v>-1.6327529999999901E-6</v>
      </c>
      <c r="I4670">
        <v>52.592480000000002</v>
      </c>
      <c r="J4670">
        <v>-422.70460000000003</v>
      </c>
      <c r="K4670">
        <v>1.1128709999999999</v>
      </c>
      <c r="L4670">
        <v>65.119509999999906</v>
      </c>
      <c r="M4670">
        <v>-8.0399859999999903E-3</v>
      </c>
      <c r="N4670">
        <v>-1.423307E-2</v>
      </c>
      <c r="O4670">
        <v>-0.99986649999999999</v>
      </c>
      <c r="P4670">
        <v>0.17194719999999999</v>
      </c>
      <c r="Q4670">
        <v>0.37858989999999998</v>
      </c>
      <c r="R4670">
        <v>-0.9094525</v>
      </c>
      <c r="S4670">
        <v>1.1760250000000001</v>
      </c>
      <c r="T4670">
        <v>-0.27552219999999999</v>
      </c>
      <c r="U4670">
        <v>-3.195068</v>
      </c>
      <c r="V4670">
        <v>-0.1812771</v>
      </c>
      <c r="W4670">
        <v>0.39054319999999998</v>
      </c>
      <c r="X4670">
        <v>0.90256009999999998</v>
      </c>
      <c r="Y4670">
        <v>-0.35196179999999999</v>
      </c>
      <c r="Z4670">
        <v>6.6328380000000006E-2</v>
      </c>
      <c r="AA4670">
        <v>0.93366130000000003</v>
      </c>
      <c r="AB4670">
        <v>39</v>
      </c>
      <c r="AC4670">
        <v>4.7513000000000103</v>
      </c>
      <c r="AD4670">
        <v>-1.1128726327530001</v>
      </c>
      <c r="AE4670">
        <v>-12.5270299999999</v>
      </c>
      <c r="AF4670">
        <v>-4.8186271888548999</v>
      </c>
      <c r="AG4670">
        <v>-1.1128726327530001</v>
      </c>
      <c r="AH4670">
        <v>12.402846231600099</v>
      </c>
      <c r="AI4670">
        <v>94.780912867775797</v>
      </c>
      <c r="AJ4670">
        <v>111.231635739365</v>
      </c>
      <c r="AK4670">
        <v>13.352462249586001</v>
      </c>
      <c r="AL4670">
        <v>67.011698251886799</v>
      </c>
      <c r="AM4670">
        <v>101.356625188778</v>
      </c>
      <c r="AN4670">
        <v>1.00000005608132</v>
      </c>
    </row>
    <row r="4671" spans="1:40" x14ac:dyDescent="0.25">
      <c r="A4671" t="str">
        <f>"20190304164504994"</f>
        <v>20190304164504994</v>
      </c>
      <c r="B4671" t="str">
        <f>"1551689104985033"</f>
        <v>1551689104985033</v>
      </c>
      <c r="C4671" t="s">
        <v>40</v>
      </c>
      <c r="D4671">
        <v>5.0496160000000003</v>
      </c>
      <c r="E4671">
        <v>0.43078509999999998</v>
      </c>
      <c r="F4671" t="s">
        <v>42</v>
      </c>
      <c r="G4671">
        <v>-417.89490000000001</v>
      </c>
      <c r="H4671" s="1">
        <v>-1.536278E-6</v>
      </c>
      <c r="I4671">
        <v>52.34346</v>
      </c>
      <c r="J4671">
        <v>-422.70549999999997</v>
      </c>
      <c r="K4671">
        <v>1.1130639999999901</v>
      </c>
      <c r="L4671">
        <v>64.740600000000001</v>
      </c>
      <c r="M4671">
        <v>-5.5447140000000001E-3</v>
      </c>
      <c r="N4671">
        <v>-1.423664E-2</v>
      </c>
      <c r="O4671">
        <v>-0.99988359999999998</v>
      </c>
      <c r="P4671">
        <v>0.17698340000000001</v>
      </c>
      <c r="Q4671">
        <v>0.37806010000000001</v>
      </c>
      <c r="R4671">
        <v>-0.90870680000000004</v>
      </c>
      <c r="S4671">
        <v>1.199921</v>
      </c>
      <c r="T4671">
        <v>-0.27764280000000002</v>
      </c>
      <c r="U4671">
        <v>-3.187408</v>
      </c>
      <c r="V4671">
        <v>-0.18422279999999999</v>
      </c>
      <c r="W4671">
        <v>0.38991140000000002</v>
      </c>
      <c r="X4671">
        <v>0.9022367</v>
      </c>
      <c r="Y4671">
        <v>-0.35647610000000002</v>
      </c>
      <c r="Z4671">
        <v>6.695711E-2</v>
      </c>
      <c r="AA4671">
        <v>0.93190209999999996</v>
      </c>
      <c r="AB4671">
        <v>39</v>
      </c>
      <c r="AC4671">
        <v>4.81059999999996</v>
      </c>
      <c r="AD4671">
        <v>-1.11306553627799</v>
      </c>
      <c r="AE4671">
        <v>-12.39714</v>
      </c>
      <c r="AF4671">
        <v>-4.8453242154168601</v>
      </c>
      <c r="AG4671">
        <v>-1.11306553627799</v>
      </c>
      <c r="AH4671">
        <v>12.284207551200399</v>
      </c>
      <c r="AI4671">
        <v>94.818046777719402</v>
      </c>
      <c r="AJ4671">
        <v>111.526022902772</v>
      </c>
      <c r="AK4671">
        <v>13.252088016668299</v>
      </c>
      <c r="AL4671">
        <v>67.051013469025705</v>
      </c>
      <c r="AM4671">
        <v>101.540281824461</v>
      </c>
      <c r="AN4671">
        <v>1.0000000013583401</v>
      </c>
    </row>
    <row r="4672" spans="1:40" x14ac:dyDescent="0.25">
      <c r="A4672" t="str">
        <f>"20190304164505017"</f>
        <v>20190304164505017</v>
      </c>
      <c r="B4672" t="str">
        <f>"1551689105004552"</f>
        <v>1551689105004552</v>
      </c>
      <c r="C4672" t="s">
        <v>40</v>
      </c>
      <c r="D4672">
        <v>5.047358</v>
      </c>
      <c r="E4672">
        <v>0.4302049</v>
      </c>
      <c r="F4672" t="s">
        <v>41</v>
      </c>
      <c r="G4672">
        <v>-422.28030000000001</v>
      </c>
      <c r="H4672">
        <v>1.0143759999999999</v>
      </c>
      <c r="I4672">
        <v>63.629910000000002</v>
      </c>
      <c r="J4672">
        <v>-422.70510000000002</v>
      </c>
      <c r="K4672">
        <v>1.1132679999999999</v>
      </c>
      <c r="L4672">
        <v>64.336609999999993</v>
      </c>
      <c r="M4672">
        <v>-2.6654439999999999E-3</v>
      </c>
      <c r="N4672">
        <v>-1.4240829999999999E-2</v>
      </c>
      <c r="O4672">
        <v>-0.99989519999999998</v>
      </c>
      <c r="P4672">
        <v>0.18195539999999999</v>
      </c>
      <c r="Q4672">
        <v>0.37808160000000002</v>
      </c>
      <c r="R4672">
        <v>-0.9077153</v>
      </c>
      <c r="S4672">
        <v>1.218323</v>
      </c>
      <c r="T4672">
        <v>-0.28270610000000002</v>
      </c>
      <c r="U4672">
        <v>-3.1817319999999998</v>
      </c>
      <c r="V4672">
        <v>-0.1867695</v>
      </c>
      <c r="W4672">
        <v>0.38982450000000002</v>
      </c>
      <c r="X4672">
        <v>0.90175050000000001</v>
      </c>
      <c r="Y4672">
        <v>-0.35900169999999998</v>
      </c>
      <c r="Z4672">
        <v>6.8447160000000007E-2</v>
      </c>
      <c r="AA4672">
        <v>0.93082370000000003</v>
      </c>
      <c r="AB4672">
        <v>39</v>
      </c>
      <c r="AC4672">
        <v>0.42480000000000401</v>
      </c>
      <c r="AD4672">
        <v>-9.8891999999999897E-2</v>
      </c>
      <c r="AE4672">
        <v>-0.706699999999997</v>
      </c>
      <c r="AF4672">
        <v>-0.420631837105159</v>
      </c>
      <c r="AG4672">
        <v>-9.8891999999999897E-2</v>
      </c>
      <c r="AH4672">
        <v>0.69555991976560605</v>
      </c>
      <c r="AI4672">
        <v>96.936512212311897</v>
      </c>
      <c r="AJ4672">
        <v>121.162967186988</v>
      </c>
      <c r="AK4672">
        <v>0.818849419633914</v>
      </c>
      <c r="AL4672">
        <v>67.056419686546903</v>
      </c>
      <c r="AM4672">
        <v>101.701580940852</v>
      </c>
      <c r="AN4672">
        <v>0.99999997559037401</v>
      </c>
    </row>
    <row r="4673" spans="1:40" x14ac:dyDescent="0.25">
      <c r="A4673" t="str">
        <f>"20190304164505040"</f>
        <v>20190304164505040</v>
      </c>
      <c r="B4673" t="str">
        <f>"1551689105034808"</f>
        <v>1551689105034808</v>
      </c>
      <c r="C4673" t="s">
        <v>40</v>
      </c>
      <c r="D4673">
        <v>5.0875599999999999</v>
      </c>
      <c r="E4673">
        <v>0.42931069999999999</v>
      </c>
      <c r="F4673" t="s">
        <v>42</v>
      </c>
      <c r="G4673">
        <v>-417.83659999999998</v>
      </c>
      <c r="H4673" s="1">
        <v>-1.3380820000000001E-6</v>
      </c>
      <c r="I4673">
        <v>51.857329999999997</v>
      </c>
      <c r="J4673">
        <v>-422.70350000000002</v>
      </c>
      <c r="K4673">
        <v>1.1134459999999999</v>
      </c>
      <c r="L4673">
        <v>63.946289999999998</v>
      </c>
      <c r="M4673">
        <v>2.7943400000000001E-4</v>
      </c>
      <c r="N4673">
        <v>-1.4244669999999999E-2</v>
      </c>
      <c r="O4673">
        <v>-0.99989850000000002</v>
      </c>
      <c r="P4673">
        <v>0.18698590000000001</v>
      </c>
      <c r="Q4673">
        <v>0.37818269999999998</v>
      </c>
      <c r="R4673">
        <v>-0.90665010000000001</v>
      </c>
      <c r="S4673">
        <v>1.2385250000000001</v>
      </c>
      <c r="T4673">
        <v>-0.28321190000000002</v>
      </c>
      <c r="U4673">
        <v>-3.1746829999999999</v>
      </c>
      <c r="V4673">
        <v>-0.18929660000000001</v>
      </c>
      <c r="W4673">
        <v>0.38982539999999999</v>
      </c>
      <c r="X4673">
        <v>0.90122310000000005</v>
      </c>
      <c r="Y4673">
        <v>-0.3620873</v>
      </c>
      <c r="Z4673">
        <v>6.8626720000000002E-2</v>
      </c>
      <c r="AA4673">
        <v>0.92961450000000001</v>
      </c>
      <c r="AB4673">
        <v>39</v>
      </c>
      <c r="AC4673">
        <v>4.8669000000000402</v>
      </c>
      <c r="AD4673">
        <v>-1.113447338082</v>
      </c>
      <c r="AE4673">
        <v>-12.08896</v>
      </c>
      <c r="AF4673">
        <v>-4.8282747565470201</v>
      </c>
      <c r="AG4673">
        <v>-1.113447338082</v>
      </c>
      <c r="AH4673">
        <v>12.002699345265199</v>
      </c>
      <c r="AI4673">
        <v>94.918985439080004</v>
      </c>
      <c r="AJ4673">
        <v>111.91323356901999</v>
      </c>
      <c r="AK4673">
        <v>12.985252930621799</v>
      </c>
      <c r="AL4673">
        <v>67.056365752635699</v>
      </c>
      <c r="AM4673">
        <v>101.862199428612</v>
      </c>
      <c r="AN4673">
        <v>1.00000006061516</v>
      </c>
    </row>
    <row r="4674" spans="1:40" x14ac:dyDescent="0.25">
      <c r="A4674" t="str">
        <f>"20190304164505062"</f>
        <v>20190304164505062</v>
      </c>
      <c r="B4674" t="str">
        <f>"1551689105055304"</f>
        <v>1551689105055304</v>
      </c>
      <c r="C4674" t="s">
        <v>40</v>
      </c>
      <c r="D4674">
        <v>5.0048659999999998</v>
      </c>
      <c r="E4674">
        <v>0.39288590000000001</v>
      </c>
      <c r="F4674" t="s">
        <v>42</v>
      </c>
      <c r="G4674">
        <v>-417.73349999999999</v>
      </c>
      <c r="H4674" s="1">
        <v>-1.2251280000000001E-6</v>
      </c>
      <c r="I4674">
        <v>51.476039999999998</v>
      </c>
      <c r="J4674">
        <v>-422.70060000000001</v>
      </c>
      <c r="K4674">
        <v>1.1136109999999999</v>
      </c>
      <c r="L4674">
        <v>63.552729999999997</v>
      </c>
      <c r="M4674">
        <v>3.3999260000000002E-3</v>
      </c>
      <c r="N4674">
        <v>-1.424775E-2</v>
      </c>
      <c r="O4674">
        <v>-0.99989300000000003</v>
      </c>
      <c r="P4674">
        <v>0.19283310000000001</v>
      </c>
      <c r="Q4674">
        <v>0.378363</v>
      </c>
      <c r="R4674">
        <v>-0.90534930000000002</v>
      </c>
      <c r="S4674">
        <v>1.262024</v>
      </c>
      <c r="T4674">
        <v>-0.282734599999999</v>
      </c>
      <c r="U4674">
        <v>-3.166534</v>
      </c>
      <c r="V4674">
        <v>-0.1924729</v>
      </c>
      <c r="W4674">
        <v>0.38990219999999998</v>
      </c>
      <c r="X4674">
        <v>0.90051669999999995</v>
      </c>
      <c r="Y4674">
        <v>-0.36595480000000002</v>
      </c>
      <c r="Z4674">
        <v>6.8516869999999994E-2</v>
      </c>
      <c r="AA4674">
        <v>0.92810700000000002</v>
      </c>
      <c r="AB4674">
        <v>39</v>
      </c>
      <c r="AC4674">
        <v>4.9671000000000101</v>
      </c>
      <c r="AD4674">
        <v>-1.1136122251279901</v>
      </c>
      <c r="AE4674">
        <v>-12.076689999999999</v>
      </c>
      <c r="AF4674">
        <v>-4.8904405092094096</v>
      </c>
      <c r="AG4674">
        <v>-1.1136122251279901</v>
      </c>
      <c r="AH4674">
        <v>12.0061920849614</v>
      </c>
      <c r="AI4674">
        <v>94.909679094478193</v>
      </c>
      <c r="AJ4674">
        <v>112.162371219962</v>
      </c>
      <c r="AK4674">
        <v>13.011732741762801</v>
      </c>
      <c r="AL4674">
        <v>67.0515842827283</v>
      </c>
      <c r="AM4674">
        <v>102.064643953622</v>
      </c>
      <c r="AN4674">
        <v>0.99999993488906702</v>
      </c>
    </row>
    <row r="4675" spans="1:40" x14ac:dyDescent="0.25">
      <c r="A4675" t="str">
        <f>"20190304164505084"</f>
        <v>20190304164505084</v>
      </c>
      <c r="B4675" t="str">
        <f>"1551689105074824"</f>
        <v>1551689105074824</v>
      </c>
      <c r="C4675" t="s">
        <v>40</v>
      </c>
      <c r="D4675">
        <v>5.0434510000000001</v>
      </c>
      <c r="E4675">
        <v>0.39023210000000003</v>
      </c>
      <c r="F4675" t="s">
        <v>41</v>
      </c>
      <c r="G4675">
        <v>-422.23059999999998</v>
      </c>
      <c r="H4675">
        <v>1.033898</v>
      </c>
      <c r="I4675">
        <v>62.622239999999998</v>
      </c>
      <c r="J4675">
        <v>-422.69650000000001</v>
      </c>
      <c r="K4675">
        <v>1.113756</v>
      </c>
      <c r="L4675">
        <v>63.161560000000001</v>
      </c>
      <c r="M4675">
        <v>6.6441929999999996E-3</v>
      </c>
      <c r="N4675">
        <v>-1.4250479999999999E-2</v>
      </c>
      <c r="O4675">
        <v>-0.99987630000000005</v>
      </c>
      <c r="P4675">
        <v>0.19864799999999999</v>
      </c>
      <c r="Q4675">
        <v>0.37881140000000002</v>
      </c>
      <c r="R4675">
        <v>-0.90390289999999995</v>
      </c>
      <c r="S4675">
        <v>1.5625610000000001</v>
      </c>
      <c r="T4675">
        <v>-0.26483370000000001</v>
      </c>
      <c r="U4675">
        <v>-3.0914920000000001</v>
      </c>
      <c r="V4675">
        <v>-0.19550390000000001</v>
      </c>
      <c r="W4675">
        <v>0.39024950000000003</v>
      </c>
      <c r="X4675">
        <v>0.89971299999999899</v>
      </c>
      <c r="Y4675">
        <v>-0.44401010000000002</v>
      </c>
      <c r="Z4675">
        <v>6.2157879999999999E-2</v>
      </c>
      <c r="AA4675">
        <v>0.89386319999999997</v>
      </c>
      <c r="AB4675">
        <v>39</v>
      </c>
      <c r="AC4675">
        <v>0.46590000000003301</v>
      </c>
      <c r="AD4675">
        <v>-7.9857999999999901E-2</v>
      </c>
      <c r="AE4675">
        <v>-0.53931999999998903</v>
      </c>
      <c r="AF4675">
        <v>-0.456573495969957</v>
      </c>
      <c r="AG4675">
        <v>-7.9857999999999901E-2</v>
      </c>
      <c r="AH4675">
        <v>0.53567823017808802</v>
      </c>
      <c r="AI4675">
        <v>96.472994515321602</v>
      </c>
      <c r="AJ4675">
        <v>130.44188065696099</v>
      </c>
      <c r="AK4675">
        <v>0.70836983537764897</v>
      </c>
      <c r="AL4675">
        <v>67.029974235947705</v>
      </c>
      <c r="AM4675">
        <v>102.259551228764</v>
      </c>
      <c r="AN4675">
        <v>0.99999996476722897</v>
      </c>
    </row>
    <row r="4676" spans="1:40" x14ac:dyDescent="0.25">
      <c r="A4676" t="str">
        <f>"20190304164505107"</f>
        <v>20190304164505107</v>
      </c>
      <c r="B4676" t="str">
        <f>"1551689105095321"</f>
        <v>1551689105095321</v>
      </c>
      <c r="C4676" t="s">
        <v>40</v>
      </c>
      <c r="D4676">
        <v>5.0256439999999998</v>
      </c>
      <c r="E4676">
        <v>0.39021610000000001</v>
      </c>
      <c r="F4676" t="s">
        <v>41</v>
      </c>
      <c r="G4676">
        <v>-422.23379999999997</v>
      </c>
      <c r="H4676">
        <v>1.0391509999999999</v>
      </c>
      <c r="I4676">
        <v>62.272120000000001</v>
      </c>
      <c r="J4676">
        <v>-422.69099999999997</v>
      </c>
      <c r="K4676">
        <v>1.1138999999999999</v>
      </c>
      <c r="L4676">
        <v>62.771940000000001</v>
      </c>
      <c r="M4676">
        <v>1.000845E-2</v>
      </c>
      <c r="N4676">
        <v>-1.4253460000000001E-2</v>
      </c>
      <c r="O4676">
        <v>-0.99984819999999996</v>
      </c>
      <c r="P4676">
        <v>0.2050283</v>
      </c>
      <c r="Q4676">
        <v>0.3791813</v>
      </c>
      <c r="R4676">
        <v>-0.90232190000000001</v>
      </c>
      <c r="S4676">
        <v>1.5994870000000001</v>
      </c>
      <c r="T4676">
        <v>-0.25796790000000003</v>
      </c>
      <c r="U4676">
        <v>-3.0755309999999998</v>
      </c>
      <c r="V4676">
        <v>-0.19899430000000001</v>
      </c>
      <c r="W4676">
        <v>0.39051469999999999</v>
      </c>
      <c r="X4676">
        <v>0.89883230000000003</v>
      </c>
      <c r="Y4676">
        <v>-0.4513933</v>
      </c>
      <c r="Z4676">
        <v>6.0200150000000001E-2</v>
      </c>
      <c r="AA4676">
        <v>0.89029210000000003</v>
      </c>
      <c r="AB4676">
        <v>39</v>
      </c>
      <c r="AC4676">
        <v>0.4572</v>
      </c>
      <c r="AD4676">
        <v>-7.4748999999999899E-2</v>
      </c>
      <c r="AE4676">
        <v>-0.49982000000000598</v>
      </c>
      <c r="AF4676">
        <v>-0.44673430571042599</v>
      </c>
      <c r="AG4676">
        <v>-7.4748999999999899E-2</v>
      </c>
      <c r="AH4676">
        <v>0.498303476889562</v>
      </c>
      <c r="AI4676">
        <v>96.373117257755496</v>
      </c>
      <c r="AJ4676">
        <v>131.876560487858</v>
      </c>
      <c r="AK4676">
        <v>0.67339832787125598</v>
      </c>
      <c r="AL4676">
        <v>67.013470258812603</v>
      </c>
      <c r="AM4676">
        <v>102.483471204433</v>
      </c>
      <c r="AN4676">
        <v>0.99999998293593495</v>
      </c>
    </row>
    <row r="4677" spans="1:40" x14ac:dyDescent="0.25">
      <c r="A4677" t="str">
        <f>"20190304164505129"</f>
        <v>20190304164505129</v>
      </c>
      <c r="B4677" t="str">
        <f>"1551689105124600"</f>
        <v>1551689105124600</v>
      </c>
      <c r="C4677" t="s">
        <v>40</v>
      </c>
      <c r="D4677">
        <v>5.0223550000000001</v>
      </c>
      <c r="E4677">
        <v>0.39023190000000002</v>
      </c>
      <c r="F4677" t="s">
        <v>41</v>
      </c>
      <c r="G4677">
        <v>-422.24180000000001</v>
      </c>
      <c r="H4677">
        <v>1.0431619999999999</v>
      </c>
      <c r="I4677">
        <v>61.921030000000002</v>
      </c>
      <c r="J4677">
        <v>-422.68400000000003</v>
      </c>
      <c r="K4677">
        <v>1.1140479999999999</v>
      </c>
      <c r="L4677">
        <v>62.377409999999998</v>
      </c>
      <c r="M4677">
        <v>1.3540989999999999E-2</v>
      </c>
      <c r="N4677">
        <v>-1.425684E-2</v>
      </c>
      <c r="O4677">
        <v>-0.9998068</v>
      </c>
      <c r="P4677">
        <v>0.21110080000000001</v>
      </c>
      <c r="Q4677">
        <v>0.37914500000000001</v>
      </c>
      <c r="R4677">
        <v>-0.90093619999999996</v>
      </c>
      <c r="S4677">
        <v>1.6177979999999901</v>
      </c>
      <c r="T4677">
        <v>-0.25472679999999998</v>
      </c>
      <c r="U4677">
        <v>-3.0641780000000001</v>
      </c>
      <c r="V4677">
        <v>-0.2020266</v>
      </c>
      <c r="W4677">
        <v>0.39037860000000002</v>
      </c>
      <c r="X4677">
        <v>0.89821479999999998</v>
      </c>
      <c r="Y4677">
        <v>-0.4537851</v>
      </c>
      <c r="Z4677">
        <v>5.937228E-2</v>
      </c>
      <c r="AA4677">
        <v>0.88913109999999995</v>
      </c>
      <c r="AB4677">
        <v>39</v>
      </c>
      <c r="AC4677">
        <v>0.44220000000001303</v>
      </c>
      <c r="AD4677">
        <v>-7.0885999999999699E-2</v>
      </c>
      <c r="AE4677">
        <v>-0.45637999999999501</v>
      </c>
      <c r="AF4677">
        <v>-0.430620719513156</v>
      </c>
      <c r="AG4677">
        <v>-7.0885999999999699E-2</v>
      </c>
      <c r="AH4677">
        <v>0.45664450016764602</v>
      </c>
      <c r="AI4677">
        <v>96.443496712296707</v>
      </c>
      <c r="AJ4677">
        <v>133.31997759233599</v>
      </c>
      <c r="AK4677">
        <v>0.63165119219660104</v>
      </c>
      <c r="AL4677">
        <v>67.021941261223304</v>
      </c>
      <c r="AM4677">
        <v>102.676028343475</v>
      </c>
      <c r="AN4677">
        <v>1.0000000126922799</v>
      </c>
    </row>
    <row r="4678" spans="1:40" x14ac:dyDescent="0.25">
      <c r="A4678" t="str">
        <f>"20190304164505151"</f>
        <v>20190304164505151</v>
      </c>
      <c r="B4678" t="str">
        <f>"1551689105145096"</f>
        <v>1551689105145096</v>
      </c>
      <c r="C4678" t="s">
        <v>40</v>
      </c>
      <c r="D4678">
        <v>5.0729899999999999</v>
      </c>
      <c r="E4678">
        <v>0.39035350000000002</v>
      </c>
      <c r="F4678" t="s">
        <v>41</v>
      </c>
      <c r="G4678">
        <v>-422.25049999999999</v>
      </c>
      <c r="H4678">
        <v>1.046646</v>
      </c>
      <c r="I4678">
        <v>61.568770000000001</v>
      </c>
      <c r="J4678">
        <v>-422.67570000000001</v>
      </c>
      <c r="K4678">
        <v>1.11419</v>
      </c>
      <c r="L4678">
        <v>61.989930000000001</v>
      </c>
      <c r="M4678">
        <v>1.7131460000000001E-2</v>
      </c>
      <c r="N4678">
        <v>-1.426039E-2</v>
      </c>
      <c r="O4678">
        <v>-0.99975159999999996</v>
      </c>
      <c r="P4678">
        <v>0.2174082</v>
      </c>
      <c r="Q4678">
        <v>0.37945180000000001</v>
      </c>
      <c r="R4678">
        <v>-0.89930529999999997</v>
      </c>
      <c r="S4678">
        <v>1.637054</v>
      </c>
      <c r="T4678">
        <v>-0.25451020000000002</v>
      </c>
      <c r="U4678">
        <v>-3.0534059999999998</v>
      </c>
      <c r="V4678">
        <v>-0.20525180000000001</v>
      </c>
      <c r="W4678">
        <v>0.39058100000000001</v>
      </c>
      <c r="X4678">
        <v>0.89739530000000001</v>
      </c>
      <c r="Y4678">
        <v>-0.45624429999999999</v>
      </c>
      <c r="Z4678">
        <v>5.9390749999999999E-2</v>
      </c>
      <c r="AA4678">
        <v>0.88787039999999995</v>
      </c>
      <c r="AB4678">
        <v>39</v>
      </c>
      <c r="AC4678">
        <v>0.42520000000001701</v>
      </c>
      <c r="AD4678">
        <v>-6.7544000000000007E-2</v>
      </c>
      <c r="AE4678">
        <v>-0.42116000000001402</v>
      </c>
      <c r="AF4678">
        <v>-0.41266545190878201</v>
      </c>
      <c r="AG4678">
        <v>-6.7544000000000007E-2</v>
      </c>
      <c r="AH4678">
        <v>0.42299532462621803</v>
      </c>
      <c r="AI4678">
        <v>96.520495802459195</v>
      </c>
      <c r="AJ4678">
        <v>134.29178443785099</v>
      </c>
      <c r="AK4678">
        <v>0.59479409192654098</v>
      </c>
      <c r="AL4678">
        <v>67.009345997289799</v>
      </c>
      <c r="AM4678">
        <v>102.883063674542</v>
      </c>
      <c r="AN4678">
        <v>1.0000000717131601</v>
      </c>
    </row>
    <row r="4679" spans="1:40" x14ac:dyDescent="0.25">
      <c r="A4679" t="str">
        <f>"20190304164505166"</f>
        <v>20190304164505166</v>
      </c>
      <c r="B4679" t="str">
        <f>"1551689105154856"</f>
        <v>1551689105154856</v>
      </c>
      <c r="C4679" t="s">
        <v>40</v>
      </c>
      <c r="D4679">
        <v>5.0109599999999999</v>
      </c>
      <c r="E4679">
        <v>0.39063100000000001</v>
      </c>
      <c r="F4679" t="s">
        <v>41</v>
      </c>
      <c r="G4679">
        <v>-422.22840000000002</v>
      </c>
      <c r="H4679">
        <v>1.0452809999999999</v>
      </c>
      <c r="I4679">
        <v>61.167589999999997</v>
      </c>
      <c r="J4679">
        <v>-422.66950000000003</v>
      </c>
      <c r="K4679">
        <v>1.114279</v>
      </c>
      <c r="L4679">
        <v>61.742739999999998</v>
      </c>
      <c r="M4679">
        <v>1.949443E-2</v>
      </c>
      <c r="N4679">
        <v>-1.426291E-2</v>
      </c>
      <c r="O4679">
        <v>-0.99970820000000005</v>
      </c>
      <c r="P4679">
        <v>0.22123809999999999</v>
      </c>
      <c r="Q4679">
        <v>0.37954670000000001</v>
      </c>
      <c r="R4679">
        <v>-0.89833059999999998</v>
      </c>
      <c r="S4679">
        <v>1.65606699999999</v>
      </c>
      <c r="T4679">
        <v>-0.2549998</v>
      </c>
      <c r="U4679">
        <v>-3.0431520000000001</v>
      </c>
      <c r="V4679">
        <v>-0.20705119999999999</v>
      </c>
      <c r="W4679">
        <v>0.39061249999999997</v>
      </c>
      <c r="X4679">
        <v>0.89696810000000005</v>
      </c>
      <c r="Y4679">
        <v>-0.45966679999999999</v>
      </c>
      <c r="Z4679">
        <v>5.9579880000000002E-2</v>
      </c>
      <c r="AA4679">
        <v>0.88609069999999901</v>
      </c>
      <c r="AB4679">
        <v>39</v>
      </c>
      <c r="AC4679">
        <v>0.44110000000000499</v>
      </c>
      <c r="AD4679">
        <v>-6.8998000000000101E-2</v>
      </c>
      <c r="AE4679">
        <v>-0.57515000000000005</v>
      </c>
      <c r="AF4679">
        <v>-0.425943021810545</v>
      </c>
      <c r="AG4679">
        <v>-6.8998000000000101E-2</v>
      </c>
      <c r="AH4679">
        <v>0.57839925783697499</v>
      </c>
      <c r="AI4679">
        <v>95.486750221809103</v>
      </c>
      <c r="AJ4679">
        <v>126.368561076121</v>
      </c>
      <c r="AK4679">
        <v>0.72161893219306705</v>
      </c>
      <c r="AL4679">
        <v>67.007384872769805</v>
      </c>
      <c r="AM4679">
        <v>102.99816834737901</v>
      </c>
      <c r="AN4679">
        <v>1.0000000484976399</v>
      </c>
    </row>
    <row r="4680" spans="1:40" x14ac:dyDescent="0.25">
      <c r="A4680" t="str">
        <f>"20190304164505184"</f>
        <v>20190304164505184</v>
      </c>
      <c r="B4680" t="str">
        <f>"1551689105174377"</f>
        <v>1551689105174377</v>
      </c>
      <c r="C4680" t="s">
        <v>40</v>
      </c>
      <c r="D4680">
        <v>5.1569799999999999</v>
      </c>
      <c r="E4680">
        <v>0.39035389999999998</v>
      </c>
      <c r="F4680" t="s">
        <v>41</v>
      </c>
      <c r="G4680">
        <v>-422.19850000000002</v>
      </c>
      <c r="H4680">
        <v>1.0419909999999999</v>
      </c>
      <c r="I4680">
        <v>60.883679999999998</v>
      </c>
      <c r="J4680">
        <v>-422.66070000000002</v>
      </c>
      <c r="K4680">
        <v>1.1143909999999999</v>
      </c>
      <c r="L4680">
        <v>61.423000000000002</v>
      </c>
      <c r="M4680">
        <v>2.2617519999999999E-2</v>
      </c>
      <c r="N4680">
        <v>-1.4266269999999999E-2</v>
      </c>
      <c r="O4680">
        <v>-0.99964249999999999</v>
      </c>
      <c r="P4680">
        <v>0.22671060000000001</v>
      </c>
      <c r="Q4680">
        <v>0.37982349999999998</v>
      </c>
      <c r="R4680">
        <v>-0.89684830000000004</v>
      </c>
      <c r="S4680">
        <v>1.66570999999999</v>
      </c>
      <c r="T4680">
        <v>-0.25557980000000002</v>
      </c>
      <c r="U4680">
        <v>-3.0372919999999999</v>
      </c>
      <c r="V4680">
        <v>-0.20984720000000001</v>
      </c>
      <c r="W4680">
        <v>0.39080039999999999</v>
      </c>
      <c r="X4680">
        <v>0.89623609999999898</v>
      </c>
      <c r="Y4680">
        <v>-0.45976990000000001</v>
      </c>
      <c r="Z4680">
        <v>5.981765E-2</v>
      </c>
      <c r="AA4680">
        <v>0.88602119999999995</v>
      </c>
      <c r="AB4680">
        <v>39</v>
      </c>
      <c r="AC4680">
        <v>0.462199999999995</v>
      </c>
      <c r="AD4680">
        <v>-7.2400000000000006E-2</v>
      </c>
      <c r="AE4680">
        <v>-0.53931999999999602</v>
      </c>
      <c r="AF4680">
        <v>-0.44525615734882201</v>
      </c>
      <c r="AG4680">
        <v>-7.2400000000000006E-2</v>
      </c>
      <c r="AH4680">
        <v>0.54398482493362399</v>
      </c>
      <c r="AI4680">
        <v>95.880217185066201</v>
      </c>
      <c r="AJ4680">
        <v>129.30061414475799</v>
      </c>
      <c r="AK4680">
        <v>0.70669250414526397</v>
      </c>
      <c r="AL4680">
        <v>66.995687559122203</v>
      </c>
      <c r="AM4680">
        <v>103.177996929198</v>
      </c>
      <c r="AN4680">
        <v>0.99999997346560399</v>
      </c>
    </row>
    <row r="4681" spans="1:40" x14ac:dyDescent="0.25">
      <c r="A4681" t="str">
        <f>"20190304164505206"</f>
        <v>20190304164505206</v>
      </c>
      <c r="B4681" t="str">
        <f>"1551689105194876"</f>
        <v>1551689105194876</v>
      </c>
      <c r="C4681" t="s">
        <v>40</v>
      </c>
      <c r="D4681">
        <v>4.9716909999999999</v>
      </c>
      <c r="E4681">
        <v>0.3908295</v>
      </c>
      <c r="F4681" t="s">
        <v>41</v>
      </c>
      <c r="G4681">
        <v>-422.17039999999997</v>
      </c>
      <c r="H4681">
        <v>1.0397809999999901</v>
      </c>
      <c r="I4681">
        <v>60.541429999999998</v>
      </c>
      <c r="J4681">
        <v>-422.64839999999998</v>
      </c>
      <c r="K4681">
        <v>1.114527</v>
      </c>
      <c r="L4681">
        <v>61.03134</v>
      </c>
      <c r="M4681">
        <v>2.6555869999999999E-2</v>
      </c>
      <c r="N4681">
        <v>-1.4270629999999999E-2</v>
      </c>
      <c r="O4681">
        <v>-0.99954560000000003</v>
      </c>
      <c r="P4681">
        <v>0.2318635</v>
      </c>
      <c r="Q4681">
        <v>0.37988450000000001</v>
      </c>
      <c r="R4681">
        <v>-0.89550409999999903</v>
      </c>
      <c r="S4681">
        <v>1.6846920000000001</v>
      </c>
      <c r="T4681">
        <v>-0.25624200000000003</v>
      </c>
      <c r="U4681">
        <v>-3.0277099999999999</v>
      </c>
      <c r="V4681">
        <v>-0.21160999999999999</v>
      </c>
      <c r="W4681">
        <v>0.39077450000000002</v>
      </c>
      <c r="X4681">
        <v>0.89583279999999998</v>
      </c>
      <c r="Y4681">
        <v>-0.46169759999999999</v>
      </c>
      <c r="Z4681">
        <v>6.0068749999999997E-2</v>
      </c>
      <c r="AA4681">
        <v>0.88500119999999904</v>
      </c>
      <c r="AB4681">
        <v>39</v>
      </c>
      <c r="AC4681">
        <v>0.47800000000000797</v>
      </c>
      <c r="AD4681">
        <v>-7.4746000000000201E-2</v>
      </c>
      <c r="AE4681">
        <v>-0.48990999999999402</v>
      </c>
      <c r="AF4681">
        <v>-0.45934227466076699</v>
      </c>
      <c r="AG4681">
        <v>-7.4746000000000201E-2</v>
      </c>
      <c r="AH4681">
        <v>0.49651112919472301</v>
      </c>
      <c r="AI4681">
        <v>96.305908953511505</v>
      </c>
      <c r="AJ4681">
        <v>132.77314589105899</v>
      </c>
      <c r="AK4681">
        <v>0.68051861930497304</v>
      </c>
      <c r="AL4681">
        <v>66.997299237656904</v>
      </c>
      <c r="AM4681">
        <v>103.290556237628</v>
      </c>
      <c r="AN4681">
        <v>0.99999995375304396</v>
      </c>
    </row>
    <row r="4682" spans="1:40" x14ac:dyDescent="0.25">
      <c r="A4682" t="str">
        <f>"20190304164505230"</f>
        <v>20190304164505230</v>
      </c>
      <c r="B4682" t="str">
        <f>"1551689105225129"</f>
        <v>1551689105225129</v>
      </c>
      <c r="C4682" t="s">
        <v>40</v>
      </c>
      <c r="D4682">
        <v>4.9709099999999999</v>
      </c>
      <c r="E4682">
        <v>0.3915438</v>
      </c>
      <c r="F4682" t="s">
        <v>41</v>
      </c>
      <c r="G4682">
        <v>-422.17579999999998</v>
      </c>
      <c r="H4682">
        <v>1.0429569999999999</v>
      </c>
      <c r="I4682">
        <v>60.191180000000003</v>
      </c>
      <c r="J4682">
        <v>-422.63459999999998</v>
      </c>
      <c r="K4682">
        <v>1.1146529999999999</v>
      </c>
      <c r="L4682">
        <v>60.641750000000002</v>
      </c>
      <c r="M4682">
        <v>3.059504E-2</v>
      </c>
      <c r="N4682">
        <v>-1.427498E-2</v>
      </c>
      <c r="O4682">
        <v>-0.99943000000000004</v>
      </c>
      <c r="P4682">
        <v>0.236871</v>
      </c>
      <c r="Q4682">
        <v>0.38011780000000001</v>
      </c>
      <c r="R4682">
        <v>-0.89409319999999903</v>
      </c>
      <c r="S4682">
        <v>1.6981809999999999</v>
      </c>
      <c r="T4682">
        <v>-0.25721239999999901</v>
      </c>
      <c r="U4682">
        <v>-3.0194700000000001</v>
      </c>
      <c r="V4682">
        <v>-0.21314130000000001</v>
      </c>
      <c r="W4682">
        <v>0.3909242</v>
      </c>
      <c r="X4682">
        <v>0.89540439999999999</v>
      </c>
      <c r="Y4682">
        <v>-0.46213789999999999</v>
      </c>
      <c r="Z4682">
        <v>6.0438350000000002E-2</v>
      </c>
      <c r="AA4682">
        <v>0.88474609999999998</v>
      </c>
      <c r="AB4682">
        <v>39</v>
      </c>
      <c r="AC4682">
        <v>0.45879999999999599</v>
      </c>
      <c r="AD4682">
        <v>-7.1696000000000204E-2</v>
      </c>
      <c r="AE4682">
        <v>-0.45056999999999803</v>
      </c>
      <c r="AF4682">
        <v>-0.43933720116625802</v>
      </c>
      <c r="AG4682">
        <v>-7.1696000000000204E-2</v>
      </c>
      <c r="AH4682">
        <v>0.45869545842774101</v>
      </c>
      <c r="AI4682">
        <v>96.440284826941294</v>
      </c>
      <c r="AJ4682">
        <v>133.76510650395201</v>
      </c>
      <c r="AK4682">
        <v>0.63918621412452004</v>
      </c>
      <c r="AL4682">
        <v>66.987981746550403</v>
      </c>
      <c r="AM4682">
        <v>103.389456370004</v>
      </c>
      <c r="AN4682">
        <v>0.99999999172534404</v>
      </c>
    </row>
    <row r="4683" spans="1:40" x14ac:dyDescent="0.25">
      <c r="A4683" t="str">
        <f>"20190304164505251"</f>
        <v>20190304164505251</v>
      </c>
      <c r="B4683" t="str">
        <f>"1551689105244652"</f>
        <v>1551689105244652</v>
      </c>
      <c r="C4683" t="s">
        <v>40</v>
      </c>
      <c r="D4683">
        <v>4.9630619999999999</v>
      </c>
      <c r="E4683">
        <v>0.39206740000000001</v>
      </c>
      <c r="F4683" t="s">
        <v>41</v>
      </c>
      <c r="G4683">
        <v>-422.18020000000001</v>
      </c>
      <c r="H4683">
        <v>1.046419</v>
      </c>
      <c r="I4683">
        <v>59.841149999999999</v>
      </c>
      <c r="J4683">
        <v>-422.6191</v>
      </c>
      <c r="K4683">
        <v>1.1147819999999999</v>
      </c>
      <c r="L4683">
        <v>60.2521699999999</v>
      </c>
      <c r="M4683">
        <v>3.4760760000000002E-2</v>
      </c>
      <c r="N4683">
        <v>-1.42796E-2</v>
      </c>
      <c r="O4683">
        <v>-0.9992936</v>
      </c>
      <c r="P4683">
        <v>0.24180170000000001</v>
      </c>
      <c r="Q4683">
        <v>0.3804381</v>
      </c>
      <c r="R4683">
        <v>-0.89263590000000004</v>
      </c>
      <c r="S4683">
        <v>1.709808</v>
      </c>
      <c r="T4683">
        <v>-0.25665939999999998</v>
      </c>
      <c r="U4683">
        <v>-3.0114749999999999</v>
      </c>
      <c r="V4683">
        <v>-0.21448880000000001</v>
      </c>
      <c r="W4683">
        <v>0.39116339999999999</v>
      </c>
      <c r="X4683">
        <v>0.894978099999999</v>
      </c>
      <c r="Y4683">
        <v>-0.46203660000000002</v>
      </c>
      <c r="Z4683">
        <v>6.0382489999999997E-2</v>
      </c>
      <c r="AA4683">
        <v>0.88480289999999995</v>
      </c>
      <c r="AB4683">
        <v>39</v>
      </c>
      <c r="AC4683">
        <v>0.43889999999998902</v>
      </c>
      <c r="AD4683">
        <v>-6.8362999999999896E-2</v>
      </c>
      <c r="AE4683">
        <v>-0.411019999999993</v>
      </c>
      <c r="AF4683">
        <v>-0.41893096354545101</v>
      </c>
      <c r="AG4683">
        <v>-6.8362999999999896E-2</v>
      </c>
      <c r="AH4683">
        <v>0.42059320941482198</v>
      </c>
      <c r="AI4683">
        <v>96.569249866230606</v>
      </c>
      <c r="AJ4683">
        <v>134.88655532331401</v>
      </c>
      <c r="AK4683">
        <v>0.59755777945900801</v>
      </c>
      <c r="AL4683">
        <v>66.973091679914404</v>
      </c>
      <c r="AM4683">
        <v>103.47721228219901</v>
      </c>
      <c r="AN4683">
        <v>1.0000000251523</v>
      </c>
    </row>
    <row r="4684" spans="1:40" x14ac:dyDescent="0.25">
      <c r="A4684" t="str">
        <f>"20190304164505266"</f>
        <v>20190304164505266</v>
      </c>
      <c r="B4684" t="str">
        <f>"1551689105254408"</f>
        <v>1551689105254408</v>
      </c>
      <c r="C4684" t="s">
        <v>40</v>
      </c>
      <c r="D4684">
        <v>4.9632360000000002</v>
      </c>
      <c r="E4684">
        <v>0.39226220000000001</v>
      </c>
      <c r="F4684" t="s">
        <v>41</v>
      </c>
      <c r="G4684">
        <v>-422.16090000000003</v>
      </c>
      <c r="H4684">
        <v>1.0470349999999999</v>
      </c>
      <c r="I4684">
        <v>59.45384</v>
      </c>
      <c r="J4684">
        <v>-422.60820000000001</v>
      </c>
      <c r="K4684">
        <v>1.1148720000000001</v>
      </c>
      <c r="L4684">
        <v>60.004640000000002</v>
      </c>
      <c r="M4684">
        <v>3.7488229999999997E-2</v>
      </c>
      <c r="N4684">
        <v>-1.428305E-2</v>
      </c>
      <c r="O4684">
        <v>-0.99919500000000006</v>
      </c>
      <c r="P4684">
        <v>0.2446477</v>
      </c>
      <c r="Q4684">
        <v>0.38058160000000002</v>
      </c>
      <c r="R4684">
        <v>-0.89179900000000001</v>
      </c>
      <c r="S4684">
        <v>1.7230220000000001</v>
      </c>
      <c r="T4684">
        <v>-0.25481379999999998</v>
      </c>
      <c r="U4684">
        <v>-3.0026860000000002</v>
      </c>
      <c r="V4684">
        <v>-0.2149857</v>
      </c>
      <c r="W4684">
        <v>0.39126</v>
      </c>
      <c r="X4684">
        <v>0.89481659999999996</v>
      </c>
      <c r="Y4684">
        <v>-0.46367700000000001</v>
      </c>
      <c r="Z4684">
        <v>5.99248E-2</v>
      </c>
      <c r="AA4684">
        <v>0.88397539999999997</v>
      </c>
      <c r="AB4684">
        <v>39</v>
      </c>
      <c r="AC4684">
        <v>0.44729999999998399</v>
      </c>
      <c r="AD4684">
        <v>-6.7836999999999897E-2</v>
      </c>
      <c r="AE4684">
        <v>-0.55080000000000195</v>
      </c>
      <c r="AF4684">
        <v>-0.42247327341023599</v>
      </c>
      <c r="AG4684">
        <v>-6.7836999999999897E-2</v>
      </c>
      <c r="AH4684">
        <v>0.56204556352683599</v>
      </c>
      <c r="AI4684">
        <v>95.510832249739806</v>
      </c>
      <c r="AJ4684">
        <v>126.931117873576</v>
      </c>
      <c r="AK4684">
        <v>0.70638568841331895</v>
      </c>
      <c r="AL4684">
        <v>66.967076811176</v>
      </c>
      <c r="AM4684">
        <v>103.509640269279</v>
      </c>
      <c r="AN4684">
        <v>0.99999999322002497</v>
      </c>
    </row>
    <row r="4685" spans="1:40" x14ac:dyDescent="0.25">
      <c r="A4685" t="str">
        <f>"20190304164505285"</f>
        <v>20190304164505285</v>
      </c>
      <c r="B4685" t="str">
        <f>"1551689105274905"</f>
        <v>1551689105274905</v>
      </c>
      <c r="C4685" t="s">
        <v>40</v>
      </c>
      <c r="D4685">
        <v>4.945227</v>
      </c>
      <c r="E4685">
        <v>0.39261079999999998</v>
      </c>
      <c r="F4685" t="s">
        <v>41</v>
      </c>
      <c r="G4685">
        <v>-422.11939999999998</v>
      </c>
      <c r="H4685">
        <v>1.0430790000000001</v>
      </c>
      <c r="I4685">
        <v>59.1586199999999</v>
      </c>
      <c r="J4685">
        <v>-422.59230000000002</v>
      </c>
      <c r="K4685">
        <v>1.1149910000000001</v>
      </c>
      <c r="L4685">
        <v>59.666260000000001</v>
      </c>
      <c r="M4685">
        <v>4.1300370000000003E-2</v>
      </c>
      <c r="N4685">
        <v>-1.428814E-2</v>
      </c>
      <c r="O4685">
        <v>-0.99904470000000001</v>
      </c>
      <c r="P4685">
        <v>0.2486399</v>
      </c>
      <c r="Q4685">
        <v>0.38107849999999999</v>
      </c>
      <c r="R4685">
        <v>-0.89048159999999899</v>
      </c>
      <c r="S4685">
        <v>1.7324219999999999</v>
      </c>
      <c r="T4685">
        <v>-0.25433979999999901</v>
      </c>
      <c r="U4685">
        <v>-2.9972840000000001</v>
      </c>
      <c r="V4685">
        <v>-0.21570909999999999</v>
      </c>
      <c r="W4685">
        <v>0.39168910000000001</v>
      </c>
      <c r="X4685">
        <v>0.89445469999999905</v>
      </c>
      <c r="Y4685">
        <v>-0.46306979999999998</v>
      </c>
      <c r="Z4685">
        <v>5.9854409999999997E-2</v>
      </c>
      <c r="AA4685">
        <v>0.88429849999999999</v>
      </c>
      <c r="AB4685">
        <v>39</v>
      </c>
      <c r="AC4685">
        <v>0.47290000000003801</v>
      </c>
      <c r="AD4685">
        <v>-7.1911999999999907E-2</v>
      </c>
      <c r="AE4685">
        <v>-0.50764000000000897</v>
      </c>
      <c r="AF4685">
        <v>-0.44672900929260601</v>
      </c>
      <c r="AG4685">
        <v>-7.1911999999999907E-2</v>
      </c>
      <c r="AH4685">
        <v>0.52114069452773604</v>
      </c>
      <c r="AI4685">
        <v>95.9808229314486</v>
      </c>
      <c r="AJ4685">
        <v>130.60363865806301</v>
      </c>
      <c r="AK4685">
        <v>0.69016357987103605</v>
      </c>
      <c r="AL4685">
        <v>66.940358686342094</v>
      </c>
      <c r="AM4685">
        <v>103.558705607381</v>
      </c>
      <c r="AN4685">
        <v>0.99999998861685402</v>
      </c>
    </row>
    <row r="4686" spans="1:40" x14ac:dyDescent="0.25">
      <c r="A4686" t="str">
        <f>"20190304164505308"</f>
        <v>20190304164505308</v>
      </c>
      <c r="B4686" t="str">
        <f>"1551689105305162"</f>
        <v>1551689105305162</v>
      </c>
      <c r="C4686" t="s">
        <v>40</v>
      </c>
      <c r="D4686">
        <v>4.9437610000000003</v>
      </c>
      <c r="E4686">
        <v>0.393293</v>
      </c>
      <c r="F4686" t="s">
        <v>41</v>
      </c>
      <c r="G4686">
        <v>-422.09570000000002</v>
      </c>
      <c r="H4686">
        <v>1.0431889999999999</v>
      </c>
      <c r="I4686">
        <v>58.815860000000001</v>
      </c>
      <c r="J4686">
        <v>-422.57260000000002</v>
      </c>
      <c r="K4686">
        <v>1.1151230000000001</v>
      </c>
      <c r="L4686">
        <v>59.283200000000001</v>
      </c>
      <c r="M4686">
        <v>4.5742720000000001E-2</v>
      </c>
      <c r="N4686">
        <v>-1.4294619999999999E-2</v>
      </c>
      <c r="O4686">
        <v>-0.99885109999999999</v>
      </c>
      <c r="P4686">
        <v>0.25301069999999998</v>
      </c>
      <c r="Q4686">
        <v>0.38112560000000001</v>
      </c>
      <c r="R4686">
        <v>-0.88922939999999995</v>
      </c>
      <c r="S4686">
        <v>1.7452700000000001</v>
      </c>
      <c r="T4686">
        <v>-0.25242829999999999</v>
      </c>
      <c r="U4686">
        <v>-2.9896850000000001</v>
      </c>
      <c r="V4686">
        <v>-0.21625829999999999</v>
      </c>
      <c r="W4686">
        <v>0.39166450000000003</v>
      </c>
      <c r="X4686">
        <v>0.89433280000000004</v>
      </c>
      <c r="Y4686">
        <v>-0.46295969999999997</v>
      </c>
      <c r="Z4686">
        <v>5.9380509999999997E-2</v>
      </c>
      <c r="AA4686">
        <v>0.88438809999999901</v>
      </c>
      <c r="AB4686">
        <v>39</v>
      </c>
      <c r="AC4686">
        <v>0.47689999999999999</v>
      </c>
      <c r="AD4686">
        <v>-7.1933999999999901E-2</v>
      </c>
      <c r="AE4686">
        <v>-0.46733999999999998</v>
      </c>
      <c r="AF4686">
        <v>-0.449800655268353</v>
      </c>
      <c r="AG4686">
        <v>-7.1933999999999901E-2</v>
      </c>
      <c r="AH4686">
        <v>0.48306115107862302</v>
      </c>
      <c r="AI4686">
        <v>96.219680173543196</v>
      </c>
      <c r="AJ4686">
        <v>132.95802645413499</v>
      </c>
      <c r="AK4686">
        <v>0.66396024392823705</v>
      </c>
      <c r="AL4686">
        <v>66.941889491050006</v>
      </c>
      <c r="AM4686">
        <v>103.593731160609</v>
      </c>
      <c r="AN4686">
        <v>0.99999994501748801</v>
      </c>
    </row>
    <row r="4687" spans="1:40" x14ac:dyDescent="0.25">
      <c r="A4687" t="str">
        <f>"20190304164505330"</f>
        <v>20190304164505330</v>
      </c>
      <c r="B4687" t="str">
        <f>"1551689105324680"</f>
        <v>1551689105324680</v>
      </c>
      <c r="C4687" t="s">
        <v>40</v>
      </c>
      <c r="D4687">
        <v>4.9409479999999997</v>
      </c>
      <c r="E4687">
        <v>0.39374969999999998</v>
      </c>
      <c r="F4687" t="s">
        <v>41</v>
      </c>
      <c r="G4687">
        <v>-422.09289999999999</v>
      </c>
      <c r="H4687">
        <v>1.045515</v>
      </c>
      <c r="I4687">
        <v>58.467700000000001</v>
      </c>
      <c r="J4687">
        <v>-422.55099999999999</v>
      </c>
      <c r="K4687">
        <v>1.1152580000000001</v>
      </c>
      <c r="L4687">
        <v>58.897579999999998</v>
      </c>
      <c r="M4687">
        <v>5.0348940000000002E-2</v>
      </c>
      <c r="N4687">
        <v>-1.430158E-2</v>
      </c>
      <c r="O4687">
        <v>-0.99862949999999995</v>
      </c>
      <c r="P4687">
        <v>0.25779590000000002</v>
      </c>
      <c r="Q4687">
        <v>0.38108419999999998</v>
      </c>
      <c r="R4687">
        <v>-0.88787190000000005</v>
      </c>
      <c r="S4687">
        <v>1.754883</v>
      </c>
      <c r="T4687">
        <v>-0.25465860000000001</v>
      </c>
      <c r="U4687">
        <v>-2.9835210000000001</v>
      </c>
      <c r="V4687">
        <v>-0.21708240000000001</v>
      </c>
      <c r="W4687">
        <v>0.3915478</v>
      </c>
      <c r="X4687">
        <v>0.89418430000000004</v>
      </c>
      <c r="Y4687">
        <v>-0.46176590000000001</v>
      </c>
      <c r="Z4687">
        <v>6.0112690000000003E-2</v>
      </c>
      <c r="AA4687">
        <v>0.88496260000000004</v>
      </c>
      <c r="AB4687">
        <v>39</v>
      </c>
      <c r="AC4687">
        <v>0.45810000000000101</v>
      </c>
      <c r="AD4687">
        <v>-6.9743000000000097E-2</v>
      </c>
      <c r="AE4687">
        <v>-0.42988000000000398</v>
      </c>
      <c r="AF4687">
        <v>-0.43056593637688401</v>
      </c>
      <c r="AG4687">
        <v>-6.9743000000000097E-2</v>
      </c>
      <c r="AH4687">
        <v>0.44689390852336403</v>
      </c>
      <c r="AI4687">
        <v>96.412350905382894</v>
      </c>
      <c r="AJ4687">
        <v>133.93395015191899</v>
      </c>
      <c r="AK4687">
        <v>0.62447199864556902</v>
      </c>
      <c r="AL4687">
        <v>66.949157754359007</v>
      </c>
      <c r="AM4687">
        <v>103.645781502387</v>
      </c>
      <c r="AN4687">
        <v>1.00000000522054</v>
      </c>
    </row>
    <row r="4688" spans="1:40" x14ac:dyDescent="0.25">
      <c r="A4688" t="str">
        <f>"20190304164505352"</f>
        <v>20190304164505352</v>
      </c>
      <c r="B4688" t="str">
        <f>"1551689105345177"</f>
        <v>1551689105345177</v>
      </c>
      <c r="C4688" t="s">
        <v>40</v>
      </c>
      <c r="D4688">
        <v>4.9501650000000001</v>
      </c>
      <c r="E4688">
        <v>0.39413090000000001</v>
      </c>
      <c r="F4688" t="s">
        <v>41</v>
      </c>
      <c r="G4688">
        <v>-422.0883</v>
      </c>
      <c r="H4688">
        <v>1.0482149999999999</v>
      </c>
      <c r="I4688">
        <v>58.118859999999998</v>
      </c>
      <c r="J4688">
        <v>-422.52730000000003</v>
      </c>
      <c r="K4688">
        <v>1.1153979999999999</v>
      </c>
      <c r="L4688">
        <v>58.507689999999997</v>
      </c>
      <c r="M4688">
        <v>5.5145300000000001E-2</v>
      </c>
      <c r="N4688">
        <v>-1.4308680000000001E-2</v>
      </c>
      <c r="O4688">
        <v>-0.99837600000000004</v>
      </c>
      <c r="P4688">
        <v>0.26261820000000002</v>
      </c>
      <c r="Q4688">
        <v>0.38105359999999999</v>
      </c>
      <c r="R4688">
        <v>-0.8864708</v>
      </c>
      <c r="S4688">
        <v>1.767822</v>
      </c>
      <c r="T4688">
        <v>-0.25617770000000001</v>
      </c>
      <c r="U4688">
        <v>-2.9755250000000002</v>
      </c>
      <c r="V4688">
        <v>-0.2177801</v>
      </c>
      <c r="W4688">
        <v>0.39144329999999999</v>
      </c>
      <c r="X4688">
        <v>0.89406039999999998</v>
      </c>
      <c r="Y4688">
        <v>-0.46137889999999998</v>
      </c>
      <c r="Z4688">
        <v>6.0640029999999998E-2</v>
      </c>
      <c r="AA4688">
        <v>0.88512839999999904</v>
      </c>
      <c r="AB4688">
        <v>39</v>
      </c>
      <c r="AC4688">
        <v>0.43900000000002098</v>
      </c>
      <c r="AD4688">
        <v>-6.7182999999999896E-2</v>
      </c>
      <c r="AE4688">
        <v>-0.388830000000005</v>
      </c>
      <c r="AF4688">
        <v>-0.41148706013138098</v>
      </c>
      <c r="AG4688">
        <v>-6.7182999999999896E-2</v>
      </c>
      <c r="AH4688">
        <v>0.40710650784529301</v>
      </c>
      <c r="AI4688">
        <v>96.620391026752401</v>
      </c>
      <c r="AJ4688">
        <v>135.30660485494201</v>
      </c>
      <c r="AK4688">
        <v>0.58272709296424197</v>
      </c>
      <c r="AL4688">
        <v>66.955664747462507</v>
      </c>
      <c r="AM4688">
        <v>103.689817097895</v>
      </c>
      <c r="AN4688">
        <v>1.00000001395953</v>
      </c>
    </row>
    <row r="4689" spans="1:40" x14ac:dyDescent="0.25">
      <c r="A4689" t="str">
        <f>"20190304164505386"</f>
        <v>20190304164505386</v>
      </c>
      <c r="B4689" t="str">
        <f>"1551689105374456"</f>
        <v>1551689105374456</v>
      </c>
      <c r="C4689" t="s">
        <v>40</v>
      </c>
      <c r="D4689">
        <v>4.9671010000000004</v>
      </c>
      <c r="E4689">
        <v>0.42231669999999999</v>
      </c>
      <c r="F4689" t="s">
        <v>41</v>
      </c>
      <c r="G4689">
        <v>-422.0453</v>
      </c>
      <c r="H4689">
        <v>1.0458400000000001</v>
      </c>
      <c r="I4689">
        <v>57.704979999999999</v>
      </c>
      <c r="J4689">
        <v>-422.48930000000001</v>
      </c>
      <c r="K4689">
        <v>1.1155889999999999</v>
      </c>
      <c r="L4689">
        <v>57.946779999999997</v>
      </c>
      <c r="M4689">
        <v>6.2309990000000003E-2</v>
      </c>
      <c r="N4689">
        <v>-1.4319220000000001E-2</v>
      </c>
      <c r="O4689">
        <v>-0.99795429999999996</v>
      </c>
      <c r="P4689">
        <v>0.26997389999999999</v>
      </c>
      <c r="Q4689">
        <v>0.38185360000000002</v>
      </c>
      <c r="R4689">
        <v>-0.88391319999999995</v>
      </c>
      <c r="S4689">
        <v>1.7821659999999999</v>
      </c>
      <c r="T4689">
        <v>-0.25707609999999997</v>
      </c>
      <c r="U4689">
        <v>-2.966736</v>
      </c>
      <c r="V4689">
        <v>-0.2190106</v>
      </c>
      <c r="W4689">
        <v>0.39212999999999998</v>
      </c>
      <c r="X4689">
        <v>0.89345869999999905</v>
      </c>
      <c r="Y4689">
        <v>-0.4593044</v>
      </c>
      <c r="Z4689">
        <v>6.101757E-2</v>
      </c>
      <c r="AA4689">
        <v>0.88618079999999999</v>
      </c>
      <c r="AB4689">
        <v>39</v>
      </c>
      <c r="AC4689">
        <v>0.44400000000001599</v>
      </c>
      <c r="AD4689">
        <v>-6.9749000000000005E-2</v>
      </c>
      <c r="AE4689">
        <v>-0.24179999999999699</v>
      </c>
      <c r="AF4689">
        <v>-0.42007365893472298</v>
      </c>
      <c r="AG4689">
        <v>-6.9749000000000005E-2</v>
      </c>
      <c r="AH4689">
        <v>0.263974266435476</v>
      </c>
      <c r="AI4689">
        <v>98.002556307446199</v>
      </c>
      <c r="AJ4689">
        <v>147.854747881218</v>
      </c>
      <c r="AK4689">
        <v>0.501008198807119</v>
      </c>
      <c r="AL4689">
        <v>66.912901043062305</v>
      </c>
      <c r="AM4689">
        <v>103.773149836095</v>
      </c>
      <c r="AN4689">
        <v>1.00000001420902</v>
      </c>
    </row>
    <row r="4690" spans="1:40" x14ac:dyDescent="0.25">
      <c r="A4690" t="str">
        <f>"20190304164505407"</f>
        <v>20190304164505407</v>
      </c>
      <c r="B4690" t="str">
        <f>"1551689105394953"</f>
        <v>1551689105394953</v>
      </c>
      <c r="C4690" t="s">
        <v>40</v>
      </c>
      <c r="D4690">
        <v>5.0516719999999999</v>
      </c>
      <c r="E4690">
        <v>0.49871339999999997</v>
      </c>
      <c r="F4690" t="s">
        <v>42</v>
      </c>
      <c r="G4690">
        <v>-415.63830000000002</v>
      </c>
      <c r="H4690" s="1">
        <v>-3.0588729999999999E-6</v>
      </c>
      <c r="I4690">
        <v>44.959569999999999</v>
      </c>
      <c r="J4690">
        <v>-422.46129999999999</v>
      </c>
      <c r="K4690">
        <v>1.1157220000000001</v>
      </c>
      <c r="L4690">
        <v>57.567169999999997</v>
      </c>
      <c r="M4690">
        <v>6.7296590000000003E-2</v>
      </c>
      <c r="N4690">
        <v>-1.4326240000000001E-2</v>
      </c>
      <c r="O4690">
        <v>-0.99763020000000002</v>
      </c>
      <c r="P4690">
        <v>0.27482980000000001</v>
      </c>
      <c r="Q4690">
        <v>0.3825945</v>
      </c>
      <c r="R4690">
        <v>-0.88209409999999899</v>
      </c>
      <c r="S4690">
        <v>1.592865</v>
      </c>
      <c r="T4690">
        <v>-0.25937559999999998</v>
      </c>
      <c r="U4690">
        <v>-3.0195310000000002</v>
      </c>
      <c r="V4690">
        <v>-0.21960679999999999</v>
      </c>
      <c r="W4690">
        <v>0.3928006</v>
      </c>
      <c r="X4690">
        <v>0.89301759999999997</v>
      </c>
      <c r="Y4690">
        <v>-0.40483760000000002</v>
      </c>
      <c r="Z4690">
        <v>6.2611689999999998E-2</v>
      </c>
      <c r="AA4690">
        <v>0.91224249999999996</v>
      </c>
      <c r="AB4690">
        <v>39</v>
      </c>
      <c r="AC4690">
        <v>6.8229999999999702</v>
      </c>
      <c r="AD4690">
        <v>-1.1157250588730001</v>
      </c>
      <c r="AE4690">
        <v>-12.6075999999999</v>
      </c>
      <c r="AF4690">
        <v>-5.9231144874120796</v>
      </c>
      <c r="AG4690">
        <v>-1.1157250588730001</v>
      </c>
      <c r="AH4690">
        <v>12.9597213401302</v>
      </c>
      <c r="AI4690">
        <v>94.477197991493696</v>
      </c>
      <c r="AJ4690">
        <v>114.562309143674</v>
      </c>
      <c r="AK4690">
        <v>14.292743083530601</v>
      </c>
      <c r="AL4690">
        <v>66.871125142209294</v>
      </c>
      <c r="AM4690">
        <v>103.815770001635</v>
      </c>
      <c r="AN4690">
        <v>0.99999994593817798</v>
      </c>
    </row>
    <row r="4691" spans="1:40" x14ac:dyDescent="0.25">
      <c r="A4691" t="str">
        <f>"20190304164505431"</f>
        <v>20190304164505431</v>
      </c>
      <c r="B4691" t="str">
        <f>"1551689105425209"</f>
        <v>1551689105425209</v>
      </c>
      <c r="C4691" t="s">
        <v>40</v>
      </c>
      <c r="D4691">
        <v>4.98611</v>
      </c>
      <c r="E4691">
        <v>0.50661029999999996</v>
      </c>
      <c r="F4691" t="s">
        <v>42</v>
      </c>
      <c r="G4691">
        <v>-419.37920000000003</v>
      </c>
      <c r="H4691" s="1">
        <v>-3.703839E-6</v>
      </c>
      <c r="I4691">
        <v>48.009839999999997</v>
      </c>
      <c r="J4691">
        <v>-422.42959999999999</v>
      </c>
      <c r="K4691">
        <v>1.115842</v>
      </c>
      <c r="L4691">
        <v>57.166530000000002</v>
      </c>
      <c r="M4691">
        <v>7.2662560000000001E-2</v>
      </c>
      <c r="N4691">
        <v>-1.4332889999999999E-2</v>
      </c>
      <c r="O4691">
        <v>-0.99725370000000002</v>
      </c>
      <c r="P4691">
        <v>0.28033829999999998</v>
      </c>
      <c r="Q4691">
        <v>0.38362770000000002</v>
      </c>
      <c r="R4691">
        <v>-0.87990949999999901</v>
      </c>
      <c r="S4691">
        <v>1.044678</v>
      </c>
      <c r="T4691">
        <v>-0.37818400000000002</v>
      </c>
      <c r="U4691">
        <v>-3.2395320000000001</v>
      </c>
      <c r="V4691">
        <v>-0.22054389999999999</v>
      </c>
      <c r="W4691">
        <v>0.39375929999999998</v>
      </c>
      <c r="X4691">
        <v>0.8923643</v>
      </c>
      <c r="Y4691">
        <v>-0.23528750000000001</v>
      </c>
      <c r="Z4691">
        <v>9.7002720000000001E-2</v>
      </c>
      <c r="AA4691">
        <v>0.96707299999999996</v>
      </c>
      <c r="AB4691">
        <v>39</v>
      </c>
      <c r="AC4691">
        <v>3.0503999999999598</v>
      </c>
      <c r="AD4691">
        <v>-1.1158457038389999</v>
      </c>
      <c r="AE4691">
        <v>-9.1566899999999904</v>
      </c>
      <c r="AF4691">
        <v>-2.34556545805588</v>
      </c>
      <c r="AG4691">
        <v>-1.1158457038389999</v>
      </c>
      <c r="AH4691">
        <v>9.2307673242886104</v>
      </c>
      <c r="AI4691">
        <v>96.682313000541996</v>
      </c>
      <c r="AJ4691">
        <v>104.257283820257</v>
      </c>
      <c r="AK4691">
        <v>9.5892572365097806</v>
      </c>
      <c r="AL4691">
        <v>66.811383294355906</v>
      </c>
      <c r="AM4691">
        <v>103.882214989563</v>
      </c>
      <c r="AN4691">
        <v>1.00000002103909</v>
      </c>
    </row>
    <row r="4692" spans="1:40" x14ac:dyDescent="0.25">
      <c r="A4692" t="str">
        <f>"20190304164505453"</f>
        <v>20190304164505453</v>
      </c>
      <c r="B4692" t="str">
        <f>"1551689105444732"</f>
        <v>1551689105444732</v>
      </c>
      <c r="C4692" t="s">
        <v>40</v>
      </c>
      <c r="D4692">
        <v>5.0014250000000002</v>
      </c>
      <c r="E4692">
        <v>0.50856899999999905</v>
      </c>
      <c r="F4692" t="s">
        <v>42</v>
      </c>
      <c r="G4692">
        <v>-419.75560000000002</v>
      </c>
      <c r="H4692" s="1">
        <v>-3.8563879999999997E-6</v>
      </c>
      <c r="I4692">
        <v>48.521059999999999</v>
      </c>
      <c r="J4692">
        <v>-422.3963</v>
      </c>
      <c r="K4692">
        <v>1.115926</v>
      </c>
      <c r="L4692">
        <v>56.7729199999999</v>
      </c>
      <c r="M4692">
        <v>7.8021119999999999E-2</v>
      </c>
      <c r="N4692">
        <v>-1.433824E-2</v>
      </c>
      <c r="O4692">
        <v>-0.99684870000000003</v>
      </c>
      <c r="P4692">
        <v>0.2862208</v>
      </c>
      <c r="Q4692">
        <v>0.38422000000000001</v>
      </c>
      <c r="R4692">
        <v>-0.87775439999999905</v>
      </c>
      <c r="S4692">
        <v>1.011749</v>
      </c>
      <c r="T4692">
        <v>-0.4222013</v>
      </c>
      <c r="U4692">
        <v>-3.2711790000000001</v>
      </c>
      <c r="V4692">
        <v>-0.22184699999999999</v>
      </c>
      <c r="W4692">
        <v>0.39428170000000001</v>
      </c>
      <c r="X4692">
        <v>0.891810399999999</v>
      </c>
      <c r="Y4692">
        <v>-0.21806529999999999</v>
      </c>
      <c r="Z4692">
        <v>0.1089888</v>
      </c>
      <c r="AA4692">
        <v>0.96982939999999995</v>
      </c>
      <c r="AB4692">
        <v>39</v>
      </c>
      <c r="AC4692">
        <v>2.6406999999999798</v>
      </c>
      <c r="AD4692">
        <v>-1.115929856388</v>
      </c>
      <c r="AE4692">
        <v>-8.25185999999999</v>
      </c>
      <c r="AF4692">
        <v>-1.95630945716379</v>
      </c>
      <c r="AG4692">
        <v>-1.115929856388</v>
      </c>
      <c r="AH4692">
        <v>8.2951417876549201</v>
      </c>
      <c r="AI4692">
        <v>97.459648506378898</v>
      </c>
      <c r="AJ4692">
        <v>103.27004250479401</v>
      </c>
      <c r="AK4692">
        <v>8.5954536479388608</v>
      </c>
      <c r="AL4692">
        <v>66.778816201049096</v>
      </c>
      <c r="AM4692">
        <v>103.969371254839</v>
      </c>
      <c r="AN4692">
        <v>0.99999996995602403</v>
      </c>
    </row>
    <row r="4693" spans="1:40" x14ac:dyDescent="0.25">
      <c r="A4693" t="str">
        <f>"20190304164505475"</f>
        <v>20190304164505475</v>
      </c>
      <c r="B4693" t="str">
        <f>"1551689105465225"</f>
        <v>1551689105465225</v>
      </c>
      <c r="C4693" t="s">
        <v>40</v>
      </c>
      <c r="D4693">
        <v>4.9741530000000003</v>
      </c>
      <c r="E4693">
        <v>0.50964409999999905</v>
      </c>
      <c r="F4693" t="s">
        <v>42</v>
      </c>
      <c r="G4693">
        <v>-419.75779999999997</v>
      </c>
      <c r="H4693" s="1">
        <v>-3.7560300000000001E-6</v>
      </c>
      <c r="I4693">
        <v>48.288040000000002</v>
      </c>
      <c r="J4693">
        <v>-422.36399999999998</v>
      </c>
      <c r="K4693">
        <v>1.116004</v>
      </c>
      <c r="L4693">
        <v>56.414149999999999</v>
      </c>
      <c r="M4693">
        <v>8.2964460000000004E-2</v>
      </c>
      <c r="N4693">
        <v>-1.4342199999999999E-2</v>
      </c>
      <c r="O4693">
        <v>-0.99644949999999999</v>
      </c>
      <c r="P4693">
        <v>0.29176859999999999</v>
      </c>
      <c r="Q4693">
        <v>0.38444099999999998</v>
      </c>
      <c r="R4693">
        <v>-0.87582919999999997</v>
      </c>
      <c r="S4693">
        <v>1.0181880000000001</v>
      </c>
      <c r="T4693">
        <v>-0.43063400000000002</v>
      </c>
      <c r="U4693">
        <v>-3.274292</v>
      </c>
      <c r="V4693">
        <v>-0.22315289999999999</v>
      </c>
      <c r="W4693">
        <v>0.39444649999999998</v>
      </c>
      <c r="X4693">
        <v>0.89141170000000003</v>
      </c>
      <c r="Y4693">
        <v>-0.2146303</v>
      </c>
      <c r="Z4693">
        <v>0.1112448</v>
      </c>
      <c r="AA4693">
        <v>0.97033939999999996</v>
      </c>
      <c r="AB4693">
        <v>39</v>
      </c>
      <c r="AC4693">
        <v>2.60620000000005</v>
      </c>
      <c r="AD4693">
        <v>-1.1160077560299999</v>
      </c>
      <c r="AE4693">
        <v>-8.12610999999999</v>
      </c>
      <c r="AF4693">
        <v>-1.8906320594542101</v>
      </c>
      <c r="AG4693">
        <v>-1.1160077560299999</v>
      </c>
      <c r="AH4693">
        <v>8.1745323929400797</v>
      </c>
      <c r="AI4693">
        <v>97.576516345112395</v>
      </c>
      <c r="AJ4693">
        <v>103.022573278632</v>
      </c>
      <c r="AK4693">
        <v>8.4642154237106801</v>
      </c>
      <c r="AL4693">
        <v>66.768542789731001</v>
      </c>
      <c r="AM4693">
        <v>104.05438884614099</v>
      </c>
      <c r="AN4693">
        <v>1.00000003851877</v>
      </c>
    </row>
    <row r="4694" spans="1:40" x14ac:dyDescent="0.25">
      <c r="A4694" t="str">
        <f>"20190304164505499"</f>
        <v>20190304164505499</v>
      </c>
      <c r="B4694" t="str">
        <f>"1551689105494506"</f>
        <v>1551689105494506</v>
      </c>
      <c r="C4694" t="s">
        <v>40</v>
      </c>
      <c r="D4694">
        <v>4.9989780000000001</v>
      </c>
      <c r="E4694">
        <v>0.51082459999999996</v>
      </c>
      <c r="F4694" t="s">
        <v>42</v>
      </c>
      <c r="G4694">
        <v>-419.72980000000001</v>
      </c>
      <c r="H4694" s="1">
        <v>-3.6515629999999999E-6</v>
      </c>
      <c r="I4694">
        <v>48.032919999999997</v>
      </c>
      <c r="J4694">
        <v>-422.32510000000002</v>
      </c>
      <c r="K4694">
        <v>1.1160639999999999</v>
      </c>
      <c r="L4694">
        <v>56.007869999999997</v>
      </c>
      <c r="M4694">
        <v>8.8608870000000006E-2</v>
      </c>
      <c r="N4694">
        <v>-1.4345780000000001E-2</v>
      </c>
      <c r="O4694">
        <v>-0.9959633</v>
      </c>
      <c r="P4694">
        <v>0.29706199999999999</v>
      </c>
      <c r="Q4694">
        <v>0.38474799999999998</v>
      </c>
      <c r="R4694">
        <v>-0.87391269999999999</v>
      </c>
      <c r="S4694">
        <v>1.0289919999999999</v>
      </c>
      <c r="T4694">
        <v>-0.43593720000000002</v>
      </c>
      <c r="U4694">
        <v>-3.273895</v>
      </c>
      <c r="V4694">
        <v>-0.22357460000000001</v>
      </c>
      <c r="W4694">
        <v>0.39471420000000002</v>
      </c>
      <c r="X4694">
        <v>0.89118750000000002</v>
      </c>
      <c r="Y4694">
        <v>-0.21199979999999999</v>
      </c>
      <c r="Z4694">
        <v>0.112674499999999</v>
      </c>
      <c r="AA4694">
        <v>0.97075259999999997</v>
      </c>
      <c r="AB4694">
        <v>39</v>
      </c>
      <c r="AC4694">
        <v>2.5952999999999999</v>
      </c>
      <c r="AD4694">
        <v>-1.1160676515629999</v>
      </c>
      <c r="AE4694">
        <v>-7.97494999999999</v>
      </c>
      <c r="AF4694">
        <v>-1.84567921511007</v>
      </c>
      <c r="AG4694">
        <v>-1.1160676515629999</v>
      </c>
      <c r="AH4694">
        <v>8.0313331650799995</v>
      </c>
      <c r="AI4694">
        <v>97.712861439403497</v>
      </c>
      <c r="AJ4694">
        <v>102.94241494245399</v>
      </c>
      <c r="AK4694">
        <v>8.3159155344717508</v>
      </c>
      <c r="AL4694">
        <v>66.751850116147097</v>
      </c>
      <c r="AM4694">
        <v>104.08329366009301</v>
      </c>
      <c r="AN4694">
        <v>1.00000003080152</v>
      </c>
    </row>
    <row r="4695" spans="1:40" x14ac:dyDescent="0.25">
      <c r="A4695" t="str">
        <f>"20190304164505521"</f>
        <v>20190304164505521</v>
      </c>
      <c r="B4695" t="str">
        <f>"1551689105515001"</f>
        <v>1551689105515001</v>
      </c>
      <c r="C4695" t="s">
        <v>40</v>
      </c>
      <c r="D4695">
        <v>5.0173230000000002</v>
      </c>
      <c r="E4695">
        <v>0.51138269999999997</v>
      </c>
      <c r="F4695" t="s">
        <v>42</v>
      </c>
      <c r="G4695">
        <v>-419.70119999999997</v>
      </c>
      <c r="H4695" s="1">
        <v>-3.5457089999999998E-6</v>
      </c>
      <c r="I4695">
        <v>47.774360000000001</v>
      </c>
      <c r="J4695">
        <v>-422.28570000000002</v>
      </c>
      <c r="K4695">
        <v>1.1161030000000001</v>
      </c>
      <c r="L4695">
        <v>55.619079999999997</v>
      </c>
      <c r="M4695">
        <v>9.4036430000000004E-2</v>
      </c>
      <c r="N4695">
        <v>-1.43483E-2</v>
      </c>
      <c r="O4695">
        <v>-0.9954655</v>
      </c>
      <c r="P4695">
        <v>0.30146709999999999</v>
      </c>
      <c r="Q4695">
        <v>0.38456109999999999</v>
      </c>
      <c r="R4695">
        <v>-0.87248519999999896</v>
      </c>
      <c r="S4695">
        <v>1.0432429999999999</v>
      </c>
      <c r="T4695">
        <v>-0.44374079999999999</v>
      </c>
      <c r="U4695">
        <v>-3.27359</v>
      </c>
      <c r="V4695">
        <v>-0.2232469</v>
      </c>
      <c r="W4695">
        <v>0.39451049999999999</v>
      </c>
      <c r="X4695">
        <v>0.89135980000000004</v>
      </c>
      <c r="Y4695">
        <v>-0.21046679999999901</v>
      </c>
      <c r="Z4695">
        <v>0.11477560000000001</v>
      </c>
      <c r="AA4695">
        <v>0.97084000000000004</v>
      </c>
      <c r="AB4695">
        <v>39</v>
      </c>
      <c r="AC4695">
        <v>2.5845000000000402</v>
      </c>
      <c r="AD4695">
        <v>-1.116106545709</v>
      </c>
      <c r="AE4695">
        <v>-7.8447199999999997</v>
      </c>
      <c r="AF4695">
        <v>-1.8023682804918899</v>
      </c>
      <c r="AG4695">
        <v>-1.116106545709</v>
      </c>
      <c r="AH4695">
        <v>7.9086009132489101</v>
      </c>
      <c r="AI4695">
        <v>97.834564767318199</v>
      </c>
      <c r="AJ4695">
        <v>102.83842341664599</v>
      </c>
      <c r="AK4695">
        <v>8.1878076213928708</v>
      </c>
      <c r="AL4695">
        <v>66.764551374275896</v>
      </c>
      <c r="AM4695">
        <v>104.060860462232</v>
      </c>
      <c r="AN4695">
        <v>1.0000000030129499</v>
      </c>
    </row>
    <row r="4696" spans="1:40" x14ac:dyDescent="0.25">
      <c r="A4696" t="str">
        <f>"20190304164505543"</f>
        <v>20190304164505543</v>
      </c>
      <c r="B4696" t="str">
        <f>"1551689105534520"</f>
        <v>1551689105534520</v>
      </c>
      <c r="C4696" t="s">
        <v>40</v>
      </c>
      <c r="D4696">
        <v>5.0404530000000003</v>
      </c>
      <c r="E4696">
        <v>0.51189669999999998</v>
      </c>
      <c r="F4696" t="s">
        <v>42</v>
      </c>
      <c r="G4696">
        <v>-419.65519999999998</v>
      </c>
      <c r="H4696" s="1">
        <v>-3.4406000000000001E-6</v>
      </c>
      <c r="I4696">
        <v>47.510339999999999</v>
      </c>
      <c r="J4696">
        <v>-422.2466</v>
      </c>
      <c r="K4696">
        <v>1.116131</v>
      </c>
      <c r="L4696">
        <v>55.251829999999998</v>
      </c>
      <c r="M4696">
        <v>9.9177520000000005E-2</v>
      </c>
      <c r="N4696">
        <v>-1.435006E-2</v>
      </c>
      <c r="O4696">
        <v>-0.99496640000000003</v>
      </c>
      <c r="P4696">
        <v>0.30554690000000001</v>
      </c>
      <c r="Q4696">
        <v>0.38396999999999998</v>
      </c>
      <c r="R4696">
        <v>-0.87132589999999999</v>
      </c>
      <c r="S4696">
        <v>1.060883</v>
      </c>
      <c r="T4696">
        <v>-0.4501308</v>
      </c>
      <c r="U4696">
        <v>-3.2702939999999998</v>
      </c>
      <c r="V4696">
        <v>-0.22281219999999999</v>
      </c>
      <c r="W4696">
        <v>0.39391280000000001</v>
      </c>
      <c r="X4696">
        <v>0.89173289999999905</v>
      </c>
      <c r="Y4696">
        <v>-0.21038100000000001</v>
      </c>
      <c r="Z4696">
        <v>0.1165379</v>
      </c>
      <c r="AA4696">
        <v>0.97064859999999997</v>
      </c>
      <c r="AB4696">
        <v>39</v>
      </c>
      <c r="AC4696">
        <v>2.5914000000000201</v>
      </c>
      <c r="AD4696">
        <v>-1.1161344406</v>
      </c>
      <c r="AE4696">
        <v>-7.7414899999999998</v>
      </c>
      <c r="AF4696">
        <v>-1.77753447468322</v>
      </c>
      <c r="AG4696">
        <v>-1.1161344406</v>
      </c>
      <c r="AH4696">
        <v>7.8142841409742196</v>
      </c>
      <c r="AI4696">
        <v>97.928850631320401</v>
      </c>
      <c r="AJ4696">
        <v>102.8151476279</v>
      </c>
      <c r="AK4696">
        <v>8.0912558687797098</v>
      </c>
      <c r="AL4696">
        <v>66.801816243399102</v>
      </c>
      <c r="AM4696">
        <v>104.028924533408</v>
      </c>
      <c r="AN4696">
        <v>1.00000006770754</v>
      </c>
    </row>
    <row r="4697" spans="1:40" x14ac:dyDescent="0.25">
      <c r="A4697" t="str">
        <f>"20190304164505564"</f>
        <v>20190304164505564</v>
      </c>
      <c r="B4697" t="str">
        <f>"1551689105555017"</f>
        <v>1551689105555017</v>
      </c>
      <c r="C4697" t="s">
        <v>40</v>
      </c>
      <c r="D4697">
        <v>5.0214910000000001</v>
      </c>
      <c r="E4697">
        <v>0.5123122</v>
      </c>
      <c r="F4697" t="s">
        <v>42</v>
      </c>
      <c r="G4697">
        <v>-419.62049999999999</v>
      </c>
      <c r="H4697" s="1">
        <v>-3.341749E-6</v>
      </c>
      <c r="I4697">
        <v>47.26558</v>
      </c>
      <c r="J4697">
        <v>-422.20650000000001</v>
      </c>
      <c r="K4697">
        <v>1.116153</v>
      </c>
      <c r="L4697">
        <v>54.892519999999998</v>
      </c>
      <c r="M4697">
        <v>0.10421519999999999</v>
      </c>
      <c r="N4697">
        <v>-1.4351320000000001E-2</v>
      </c>
      <c r="O4697">
        <v>-0.99445130000000004</v>
      </c>
      <c r="P4697">
        <v>0.30796879999999999</v>
      </c>
      <c r="Q4697">
        <v>0.38392359999999998</v>
      </c>
      <c r="R4697">
        <v>-0.87049299999999996</v>
      </c>
      <c r="S4697">
        <v>1.0744320000000001</v>
      </c>
      <c r="T4697">
        <v>-0.45665810000000001</v>
      </c>
      <c r="U4697">
        <v>-3.2675169999999998</v>
      </c>
      <c r="V4697">
        <v>-0.22078729999999999</v>
      </c>
      <c r="W4697">
        <v>0.39388689999999998</v>
      </c>
      <c r="X4697">
        <v>0.89224780000000004</v>
      </c>
      <c r="Y4697">
        <v>-0.2092417</v>
      </c>
      <c r="Z4697">
        <v>0.118351</v>
      </c>
      <c r="AA4697">
        <v>0.97067550000000002</v>
      </c>
      <c r="AB4697">
        <v>39</v>
      </c>
      <c r="AC4697">
        <v>2.5860000000000101</v>
      </c>
      <c r="AD4697">
        <v>-1.1161563417489999</v>
      </c>
      <c r="AE4697">
        <v>-7.6269399999999896</v>
      </c>
      <c r="AF4697">
        <v>-1.7435011417851201</v>
      </c>
      <c r="AG4697">
        <v>-1.1161563417489999</v>
      </c>
      <c r="AH4697">
        <v>7.7068928589237498</v>
      </c>
      <c r="AI4697">
        <v>98.040189514533395</v>
      </c>
      <c r="AJ4697">
        <v>102.747237058362</v>
      </c>
      <c r="AK4697">
        <v>7.9800876404687697</v>
      </c>
      <c r="AL4697">
        <v>66.803429784749198</v>
      </c>
      <c r="AM4697">
        <v>103.89868651627999</v>
      </c>
      <c r="AN4697">
        <v>1.00000002921886</v>
      </c>
    </row>
    <row r="4698" spans="1:40" x14ac:dyDescent="0.25">
      <c r="A4698" t="str">
        <f>"20190304164505586"</f>
        <v>20190304164505586</v>
      </c>
      <c r="B4698" t="str">
        <f>"1551689105574536"</f>
        <v>1551689105574536</v>
      </c>
      <c r="C4698" t="s">
        <v>40</v>
      </c>
      <c r="D4698">
        <v>5.0069900000000001</v>
      </c>
      <c r="E4698">
        <v>0.51279520000000001</v>
      </c>
      <c r="F4698" t="s">
        <v>42</v>
      </c>
      <c r="G4698">
        <v>-419.58390000000003</v>
      </c>
      <c r="H4698" s="1">
        <v>-3.230858E-6</v>
      </c>
      <c r="I4698">
        <v>46.99194</v>
      </c>
      <c r="J4698">
        <v>-422.16239999999999</v>
      </c>
      <c r="K4698">
        <v>1.116168</v>
      </c>
      <c r="L4698">
        <v>54.515590000000003</v>
      </c>
      <c r="M4698">
        <v>0.1095035</v>
      </c>
      <c r="N4698">
        <v>-1.435225E-2</v>
      </c>
      <c r="O4698">
        <v>-0.99388279999999996</v>
      </c>
      <c r="P4698">
        <v>0.31122549999999999</v>
      </c>
      <c r="Q4698">
        <v>0.38270710000000002</v>
      </c>
      <c r="R4698">
        <v>-0.86987009999999898</v>
      </c>
      <c r="S4698">
        <v>1.084198</v>
      </c>
      <c r="T4698">
        <v>-0.46143810000000002</v>
      </c>
      <c r="U4698">
        <v>-3.266235</v>
      </c>
      <c r="V4698">
        <v>-0.2193204</v>
      </c>
      <c r="W4698">
        <v>0.3926905</v>
      </c>
      <c r="X4698">
        <v>0.8931365</v>
      </c>
      <c r="Y4698">
        <v>-0.2067225</v>
      </c>
      <c r="Z4698">
        <v>0.11963790000000001</v>
      </c>
      <c r="AA4698">
        <v>0.97105750000000002</v>
      </c>
      <c r="AB4698">
        <v>38</v>
      </c>
      <c r="AC4698">
        <v>2.57849999999996</v>
      </c>
      <c r="AD4698">
        <v>-1.1161712308580001</v>
      </c>
      <c r="AE4698">
        <v>-7.5236499999999999</v>
      </c>
      <c r="AF4698">
        <v>-1.7054496773893699</v>
      </c>
      <c r="AG4698">
        <v>-1.1161712308580001</v>
      </c>
      <c r="AH4698">
        <v>7.6108779548683998</v>
      </c>
      <c r="AI4698">
        <v>98.144069925337703</v>
      </c>
      <c r="AJ4698">
        <v>102.630231179671</v>
      </c>
      <c r="AK4698">
        <v>7.8790773611257601</v>
      </c>
      <c r="AL4698">
        <v>66.877986814608704</v>
      </c>
      <c r="AM4698">
        <v>103.796674489274</v>
      </c>
      <c r="AN4698">
        <v>1.0000000371393201</v>
      </c>
    </row>
    <row r="4699" spans="1:40" x14ac:dyDescent="0.25">
      <c r="A4699" t="str">
        <f>"20190304164505609"</f>
        <v>20190304164505609</v>
      </c>
      <c r="B4699" t="str">
        <f>"1551689105604793"</f>
        <v>1551689105604793</v>
      </c>
      <c r="C4699" t="s">
        <v>40</v>
      </c>
      <c r="D4699">
        <v>5.0326500000000003</v>
      </c>
      <c r="E4699">
        <v>0.51344999999999996</v>
      </c>
      <c r="F4699" t="s">
        <v>42</v>
      </c>
      <c r="G4699">
        <v>-419.56299999999999</v>
      </c>
      <c r="H4699" s="1">
        <v>-3.128538E-6</v>
      </c>
      <c r="I4699">
        <v>46.744790000000002</v>
      </c>
      <c r="J4699">
        <v>-422.1148</v>
      </c>
      <c r="K4699">
        <v>1.1161779999999999</v>
      </c>
      <c r="L4699">
        <v>54.126950000000001</v>
      </c>
      <c r="M4699">
        <v>0.1149594</v>
      </c>
      <c r="N4699">
        <v>-1.435295E-2</v>
      </c>
      <c r="O4699">
        <v>-0.99326650000000005</v>
      </c>
      <c r="P4699">
        <v>0.31630570000000002</v>
      </c>
      <c r="Q4699">
        <v>0.38033990000000001</v>
      </c>
      <c r="R4699">
        <v>-0.86907579999999995</v>
      </c>
      <c r="S4699">
        <v>1.0919490000000001</v>
      </c>
      <c r="T4699">
        <v>-0.46888780000000002</v>
      </c>
      <c r="U4699">
        <v>-3.2644039999999999</v>
      </c>
      <c r="V4699">
        <v>-0.2195057</v>
      </c>
      <c r="W4699">
        <v>0.39032549999999999</v>
      </c>
      <c r="X4699">
        <v>0.89412709999999995</v>
      </c>
      <c r="Y4699">
        <v>-0.20350860000000001</v>
      </c>
      <c r="Z4699">
        <v>0.1217152</v>
      </c>
      <c r="AA4699">
        <v>0.97147810000000001</v>
      </c>
      <c r="AB4699">
        <v>38</v>
      </c>
      <c r="AC4699">
        <v>2.5517999999999499</v>
      </c>
      <c r="AD4699">
        <v>-1.1161811285379999</v>
      </c>
      <c r="AE4699">
        <v>-7.3821599999999901</v>
      </c>
      <c r="AF4699">
        <v>-1.65239837304138</v>
      </c>
      <c r="AG4699">
        <v>-1.1161811285379999</v>
      </c>
      <c r="AH4699">
        <v>7.4739633527663596</v>
      </c>
      <c r="AI4699">
        <v>98.296468505801201</v>
      </c>
      <c r="AJ4699">
        <v>102.466826606623</v>
      </c>
      <c r="AK4699">
        <v>7.7353997242177899</v>
      </c>
      <c r="AL4699">
        <v>67.025245758398398</v>
      </c>
      <c r="AM4699">
        <v>103.79317195605</v>
      </c>
      <c r="AN4699">
        <v>1.0000000096185699</v>
      </c>
    </row>
    <row r="4700" spans="1:40" x14ac:dyDescent="0.25">
      <c r="A4700" t="str">
        <f>"20190304164505632"</f>
        <v>20190304164505632</v>
      </c>
      <c r="B4700" t="str">
        <f>"1551689105625289"</f>
        <v>1551689105625289</v>
      </c>
      <c r="C4700" t="s">
        <v>40</v>
      </c>
      <c r="D4700">
        <v>5.1348269999999996</v>
      </c>
      <c r="E4700">
        <v>0.51341689999999995</v>
      </c>
      <c r="F4700" t="s">
        <v>42</v>
      </c>
      <c r="G4700">
        <v>-419.5609</v>
      </c>
      <c r="H4700" s="1">
        <v>-3.0492110000000001E-6</v>
      </c>
      <c r="I4700">
        <v>46.559010000000001</v>
      </c>
      <c r="J4700">
        <v>-422.06549999999999</v>
      </c>
      <c r="K4700">
        <v>1.116195</v>
      </c>
      <c r="L4700">
        <v>53.741459999999996</v>
      </c>
      <c r="M4700">
        <v>0.1203731</v>
      </c>
      <c r="N4700">
        <v>-1.435343E-2</v>
      </c>
      <c r="O4700">
        <v>-0.99262510000000004</v>
      </c>
      <c r="P4700">
        <v>0.32134829999999998</v>
      </c>
      <c r="Q4700">
        <v>0.37908209999999998</v>
      </c>
      <c r="R4700">
        <v>-0.8677745</v>
      </c>
      <c r="S4700">
        <v>1.1007389999999999</v>
      </c>
      <c r="T4700">
        <v>-0.48108669999999998</v>
      </c>
      <c r="U4700">
        <v>-3.2618710000000002</v>
      </c>
      <c r="V4700">
        <v>-0.21975620000000001</v>
      </c>
      <c r="W4700">
        <v>0.3890652</v>
      </c>
      <c r="X4700">
        <v>0.89461480000000004</v>
      </c>
      <c r="Y4700">
        <v>-0.20061100000000001</v>
      </c>
      <c r="Z4700">
        <v>0.12514829999999999</v>
      </c>
      <c r="AA4700">
        <v>0.97164459999999997</v>
      </c>
      <c r="AB4700">
        <v>38</v>
      </c>
      <c r="AC4700">
        <v>2.50459999999998</v>
      </c>
      <c r="AD4700">
        <v>-1.116198049211</v>
      </c>
      <c r="AE4700">
        <v>-7.1824499999999896</v>
      </c>
      <c r="AF4700">
        <v>-1.58753782196478</v>
      </c>
      <c r="AG4700">
        <v>-1.116198049211</v>
      </c>
      <c r="AH4700">
        <v>7.2750786547691897</v>
      </c>
      <c r="AI4700">
        <v>98.525170159981201</v>
      </c>
      <c r="AJ4700">
        <v>102.30987970826401</v>
      </c>
      <c r="AK4700">
        <v>7.5294716849397503</v>
      </c>
      <c r="AL4700">
        <v>67.103655992626301</v>
      </c>
      <c r="AM4700">
        <v>103.801070869133</v>
      </c>
      <c r="AN4700">
        <v>1.00000007883425</v>
      </c>
    </row>
    <row r="4701" spans="1:40" x14ac:dyDescent="0.25">
      <c r="A4701" t="str">
        <f>"20190304164505653"</f>
        <v>20190304164505653</v>
      </c>
      <c r="B4701" t="str">
        <f>"1551689105644812"</f>
        <v>1551689105644812</v>
      </c>
      <c r="C4701" t="s">
        <v>40</v>
      </c>
      <c r="D4701">
        <v>4.9980890000000002</v>
      </c>
      <c r="E4701">
        <v>0.4564937</v>
      </c>
      <c r="F4701" t="s">
        <v>42</v>
      </c>
      <c r="G4701">
        <v>-419.50940000000003</v>
      </c>
      <c r="H4701" s="1">
        <v>-2.934776E-6</v>
      </c>
      <c r="I4701">
        <v>46.270940000000003</v>
      </c>
      <c r="J4701">
        <v>-422.01679999999999</v>
      </c>
      <c r="K4701">
        <v>1.116217</v>
      </c>
      <c r="L4701">
        <v>53.376339999999999</v>
      </c>
      <c r="M4701">
        <v>0.125504</v>
      </c>
      <c r="N4701">
        <v>-1.435371E-2</v>
      </c>
      <c r="O4701">
        <v>-0.99198940000000002</v>
      </c>
      <c r="P4701">
        <v>0.3253489</v>
      </c>
      <c r="Q4701">
        <v>0.3805153</v>
      </c>
      <c r="R4701">
        <v>-0.86565389999999998</v>
      </c>
      <c r="S4701">
        <v>1.1144099999999999</v>
      </c>
      <c r="T4701">
        <v>-0.48664360000000001</v>
      </c>
      <c r="U4701">
        <v>-3.2570190000000001</v>
      </c>
      <c r="V4701">
        <v>-0.219362</v>
      </c>
      <c r="W4701">
        <v>0.39049139999999999</v>
      </c>
      <c r="X4701">
        <v>0.89408989999999999</v>
      </c>
      <c r="Y4701">
        <v>-0.199575</v>
      </c>
      <c r="Z4701">
        <v>0.12672559999999999</v>
      </c>
      <c r="AA4701">
        <v>0.97165349999999995</v>
      </c>
      <c r="AB4701">
        <v>38</v>
      </c>
      <c r="AC4701">
        <v>2.5073999999999601</v>
      </c>
      <c r="AD4701">
        <v>-1.116219934776</v>
      </c>
      <c r="AE4701">
        <v>-7.1053999999999897</v>
      </c>
      <c r="AF4701">
        <v>-1.5614548777874</v>
      </c>
      <c r="AG4701">
        <v>-1.116219934776</v>
      </c>
      <c r="AH4701">
        <v>7.2057909043593797</v>
      </c>
      <c r="AI4701">
        <v>98.608767468565503</v>
      </c>
      <c r="AJ4701">
        <v>102.226643011549</v>
      </c>
      <c r="AK4701">
        <v>7.4570443766619601</v>
      </c>
      <c r="AL4701">
        <v>67.014920436156601</v>
      </c>
      <c r="AM4701">
        <v>103.785038394449</v>
      </c>
      <c r="AN4701">
        <v>0.99999998489998498</v>
      </c>
    </row>
    <row r="4702" spans="1:40" x14ac:dyDescent="0.25">
      <c r="A4702" t="str">
        <f>"20190304164505676"</f>
        <v>20190304164505676</v>
      </c>
      <c r="B4702" t="str">
        <f>"1551689105665305"</f>
        <v>1551689105665305</v>
      </c>
      <c r="C4702" t="s">
        <v>40</v>
      </c>
      <c r="D4702">
        <v>4.9624920000000001</v>
      </c>
      <c r="E4702">
        <v>0.4474283</v>
      </c>
      <c r="F4702" t="s">
        <v>42</v>
      </c>
      <c r="G4702">
        <v>-417.03559999999999</v>
      </c>
      <c r="H4702" s="1">
        <v>-2.1887330000000002E-6</v>
      </c>
      <c r="I4702">
        <v>43.509039999999999</v>
      </c>
      <c r="J4702">
        <v>-421.96499999999997</v>
      </c>
      <c r="K4702">
        <v>1.1162369999999999</v>
      </c>
      <c r="L4702">
        <v>53.00461</v>
      </c>
      <c r="M4702">
        <v>0.13074349999999901</v>
      </c>
      <c r="N4702">
        <v>-1.4353980000000001E-2</v>
      </c>
      <c r="O4702">
        <v>-0.99131230000000004</v>
      </c>
      <c r="P4702">
        <v>0.32868419999999998</v>
      </c>
      <c r="Q4702">
        <v>0.3820731</v>
      </c>
      <c r="R4702">
        <v>-0.86370519999999995</v>
      </c>
      <c r="S4702">
        <v>1.534637</v>
      </c>
      <c r="T4702">
        <v>-0.34389509999999901</v>
      </c>
      <c r="U4702">
        <v>-3.040009</v>
      </c>
      <c r="V4702">
        <v>-0.21819849999999999</v>
      </c>
      <c r="W4702">
        <v>0.39205410000000002</v>
      </c>
      <c r="X4702">
        <v>0.89369069999999995</v>
      </c>
      <c r="Y4702">
        <v>-0.32804800000000001</v>
      </c>
      <c r="Z4702">
        <v>8.7986019999999998E-2</v>
      </c>
      <c r="AA4702">
        <v>0.94055460000000002</v>
      </c>
      <c r="AB4702">
        <v>38</v>
      </c>
      <c r="AC4702">
        <v>4.9293999999999798</v>
      </c>
      <c r="AD4702">
        <v>-1.1162391887330001</v>
      </c>
      <c r="AE4702">
        <v>-9.4955699999999901</v>
      </c>
      <c r="AF4702">
        <v>-3.60621152977158</v>
      </c>
      <c r="AG4702">
        <v>-1.1162391887330001</v>
      </c>
      <c r="AH4702">
        <v>9.9502863791308993</v>
      </c>
      <c r="AI4702">
        <v>96.020646937645907</v>
      </c>
      <c r="AJ4702">
        <v>109.92167553629901</v>
      </c>
      <c r="AK4702">
        <v>10.6423188521411</v>
      </c>
      <c r="AL4702">
        <v>66.917628832709099</v>
      </c>
      <c r="AM4702">
        <v>103.72058493425</v>
      </c>
      <c r="AN4702">
        <v>1.00000003499777</v>
      </c>
    </row>
    <row r="4703" spans="1:40" x14ac:dyDescent="0.25">
      <c r="A4703" t="str">
        <f>"20190304164505698"</f>
        <v>20190304164505698</v>
      </c>
      <c r="B4703" t="str">
        <f>"1551689105694584"</f>
        <v>1551689105694584</v>
      </c>
      <c r="C4703" t="s">
        <v>40</v>
      </c>
      <c r="D4703">
        <v>4.9029600000000002</v>
      </c>
      <c r="E4703">
        <v>0.44272790000000001</v>
      </c>
      <c r="F4703" t="s">
        <v>42</v>
      </c>
      <c r="G4703">
        <v>-416.26490000000001</v>
      </c>
      <c r="H4703" s="1">
        <v>-1.9338239999999998E-6</v>
      </c>
      <c r="I4703">
        <v>42.410310000000003</v>
      </c>
      <c r="J4703">
        <v>-421.90960000000001</v>
      </c>
      <c r="K4703">
        <v>1.1162559999999999</v>
      </c>
      <c r="L4703">
        <v>52.621670000000002</v>
      </c>
      <c r="M4703">
        <v>0.13617190000000001</v>
      </c>
      <c r="N4703">
        <v>-1.435465E-2</v>
      </c>
      <c r="O4703">
        <v>-0.99058139999999995</v>
      </c>
      <c r="P4703">
        <v>0.33238869999999998</v>
      </c>
      <c r="Q4703">
        <v>0.38212489999999999</v>
      </c>
      <c r="R4703">
        <v>-0.86226389999999997</v>
      </c>
      <c r="S4703">
        <v>1.6136469999999901</v>
      </c>
      <c r="T4703">
        <v>-0.31599680000000002</v>
      </c>
      <c r="U4703">
        <v>-2.9991460000000001</v>
      </c>
      <c r="V4703">
        <v>-0.21715380000000001</v>
      </c>
      <c r="W4703">
        <v>0.39211410000000002</v>
      </c>
      <c r="X4703">
        <v>0.89391880000000001</v>
      </c>
      <c r="Y4703">
        <v>-0.34769820000000001</v>
      </c>
      <c r="Z4703">
        <v>7.9975749999999998E-2</v>
      </c>
      <c r="AA4703">
        <v>0.93418939999999995</v>
      </c>
      <c r="AB4703">
        <v>38</v>
      </c>
      <c r="AC4703">
        <v>5.6447000000000003</v>
      </c>
      <c r="AD4703">
        <v>-1.116257933824</v>
      </c>
      <c r="AE4703">
        <v>-10.211360000000001</v>
      </c>
      <c r="AF4703">
        <v>-4.1633596818002996</v>
      </c>
      <c r="AG4703">
        <v>-1.116257933824</v>
      </c>
      <c r="AH4703">
        <v>10.7862266574621</v>
      </c>
      <c r="AI4703">
        <v>95.514626372357895</v>
      </c>
      <c r="AJ4703">
        <v>111.106015907509</v>
      </c>
      <c r="AK4703">
        <v>11.615605069087501</v>
      </c>
      <c r="AL4703">
        <v>66.913891758135193</v>
      </c>
      <c r="AM4703">
        <v>103.654004253349</v>
      </c>
      <c r="AN4703">
        <v>1.0000000306333401</v>
      </c>
    </row>
    <row r="4704" spans="1:40" x14ac:dyDescent="0.25">
      <c r="A4704" t="str">
        <f>"20190304164505721"</f>
        <v>20190304164505721</v>
      </c>
      <c r="B4704" t="str">
        <f>"1551689105715081"</f>
        <v>1551689105715081</v>
      </c>
      <c r="C4704" t="s">
        <v>40</v>
      </c>
      <c r="D4704">
        <v>4.8876309999999998</v>
      </c>
      <c r="E4704">
        <v>0.44161470000000003</v>
      </c>
      <c r="F4704" t="s">
        <v>42</v>
      </c>
      <c r="G4704">
        <v>-415.87369999999999</v>
      </c>
      <c r="H4704" s="1">
        <v>-1.838895E-6</v>
      </c>
      <c r="I4704">
        <v>41.825490000000002</v>
      </c>
      <c r="J4704">
        <v>-421.851</v>
      </c>
      <c r="K4704">
        <v>1.116276</v>
      </c>
      <c r="L4704">
        <v>52.232089999999999</v>
      </c>
      <c r="M4704">
        <v>0.14173089999999999</v>
      </c>
      <c r="N4704">
        <v>-1.435605E-2</v>
      </c>
      <c r="O4704">
        <v>-0.98980119999999905</v>
      </c>
      <c r="P4704">
        <v>0.33678750000000002</v>
      </c>
      <c r="Q4704">
        <v>0.38111660000000003</v>
      </c>
      <c r="R4704">
        <v>-0.86100189999999999</v>
      </c>
      <c r="S4704">
        <v>1.6629640000000001</v>
      </c>
      <c r="T4704">
        <v>-0.30754029999999999</v>
      </c>
      <c r="U4704">
        <v>-2.9744570000000001</v>
      </c>
      <c r="V4704">
        <v>-0.21664349999999999</v>
      </c>
      <c r="W4704">
        <v>0.39110990000000001</v>
      </c>
      <c r="X4704">
        <v>0.89448229999999995</v>
      </c>
      <c r="Y4704">
        <v>-0.35762389999999999</v>
      </c>
      <c r="Z4704">
        <v>7.7553059999999993E-2</v>
      </c>
      <c r="AA4704">
        <v>0.93063989999999996</v>
      </c>
      <c r="AB4704">
        <v>38</v>
      </c>
      <c r="AC4704">
        <v>5.9773000000000103</v>
      </c>
      <c r="AD4704">
        <v>-1.1162778388950001</v>
      </c>
      <c r="AE4704">
        <v>-10.4065999999999</v>
      </c>
      <c r="AF4704">
        <v>-4.4037589749914998</v>
      </c>
      <c r="AG4704">
        <v>-1.1162778388950001</v>
      </c>
      <c r="AH4704">
        <v>11.053151882675699</v>
      </c>
      <c r="AI4704">
        <v>95.359782734612395</v>
      </c>
      <c r="AJ4704">
        <v>111.72315709817499</v>
      </c>
      <c r="AK4704">
        <v>11.950369695742699</v>
      </c>
      <c r="AL4704">
        <v>66.976421067587296</v>
      </c>
      <c r="AM4704">
        <v>103.614852418479</v>
      </c>
      <c r="AN4704">
        <v>0.99999997249177397</v>
      </c>
    </row>
    <row r="4705" spans="1:40" x14ac:dyDescent="0.25">
      <c r="A4705" t="str">
        <f>"20190304164505742"</f>
        <v>20190304164505742</v>
      </c>
      <c r="B4705" t="str">
        <f>"1551689105734601"</f>
        <v>1551689105734601</v>
      </c>
      <c r="C4705" t="s">
        <v>40</v>
      </c>
      <c r="D4705">
        <v>4.8679300000000003</v>
      </c>
      <c r="E4705">
        <v>0.44101299999999999</v>
      </c>
      <c r="F4705" t="s">
        <v>42</v>
      </c>
      <c r="G4705">
        <v>-415.7303</v>
      </c>
      <c r="H4705" s="1">
        <v>-1.761347E-6</v>
      </c>
      <c r="I4705">
        <v>41.485500000000002</v>
      </c>
      <c r="J4705">
        <v>-421.79559999999998</v>
      </c>
      <c r="K4705">
        <v>1.1163080000000001</v>
      </c>
      <c r="L4705">
        <v>51.876530000000002</v>
      </c>
      <c r="M4705">
        <v>0.14685090000000001</v>
      </c>
      <c r="N4705">
        <v>-1.4357699999999999E-2</v>
      </c>
      <c r="O4705">
        <v>-0.98905460000000001</v>
      </c>
      <c r="P4705">
        <v>0.34096009999999999</v>
      </c>
      <c r="Q4705">
        <v>0.38039410000000001</v>
      </c>
      <c r="R4705">
        <v>-0.85967839999999995</v>
      </c>
      <c r="S4705">
        <v>1.68634</v>
      </c>
      <c r="T4705">
        <v>-0.30754819999999999</v>
      </c>
      <c r="U4705">
        <v>-2.9608150000000002</v>
      </c>
      <c r="V4705">
        <v>-0.21632399999999999</v>
      </c>
      <c r="W4705">
        <v>0.39038289999999998</v>
      </c>
      <c r="X4705">
        <v>0.89487709999999998</v>
      </c>
      <c r="Y4705">
        <v>-0.36017929999999998</v>
      </c>
      <c r="Z4705">
        <v>7.7628649999999993E-2</v>
      </c>
      <c r="AA4705">
        <v>0.92964760000000002</v>
      </c>
      <c r="AB4705">
        <v>38</v>
      </c>
      <c r="AC4705">
        <v>6.0652999999999704</v>
      </c>
      <c r="AD4705">
        <v>-1.1163097613470001</v>
      </c>
      <c r="AE4705">
        <v>-10.391029999999899</v>
      </c>
      <c r="AF4705">
        <v>-4.4352611212164099</v>
      </c>
      <c r="AG4705">
        <v>-1.1163097613470001</v>
      </c>
      <c r="AH4705">
        <v>11.073813639449201</v>
      </c>
      <c r="AI4705">
        <v>95.346143447487705</v>
      </c>
      <c r="AJ4705">
        <v>111.826987902881</v>
      </c>
      <c r="AK4705">
        <v>11.981111685394801</v>
      </c>
      <c r="AL4705">
        <v>67.021672201865798</v>
      </c>
      <c r="AM4705">
        <v>103.589743808497</v>
      </c>
      <c r="AN4705">
        <v>0.99999995284640797</v>
      </c>
    </row>
    <row r="4706" spans="1:40" x14ac:dyDescent="0.25">
      <c r="A4706" t="str">
        <f>"20190304164505765"</f>
        <v>20190304164505765</v>
      </c>
      <c r="B4706" t="str">
        <f>"1551689105755097"</f>
        <v>1551689105755097</v>
      </c>
      <c r="C4706" t="s">
        <v>40</v>
      </c>
      <c r="D4706">
        <v>5.0102039999999999</v>
      </c>
      <c r="E4706">
        <v>0.44109540000000003</v>
      </c>
      <c r="F4706" t="s">
        <v>42</v>
      </c>
      <c r="G4706">
        <v>-415.64839999999998</v>
      </c>
      <c r="H4706" s="1">
        <v>-1.6993040000000001E-6</v>
      </c>
      <c r="I4706">
        <v>41.239150000000002</v>
      </c>
      <c r="J4706">
        <v>-421.73390000000001</v>
      </c>
      <c r="K4706">
        <v>1.11636</v>
      </c>
      <c r="L4706">
        <v>51.49539</v>
      </c>
      <c r="M4706">
        <v>0.15240970000000001</v>
      </c>
      <c r="N4706">
        <v>-1.436021E-2</v>
      </c>
      <c r="O4706">
        <v>-0.98821309999999996</v>
      </c>
      <c r="P4706">
        <v>0.34581519999999999</v>
      </c>
      <c r="Q4706">
        <v>0.38102970000000003</v>
      </c>
      <c r="R4706">
        <v>-0.85745469999999901</v>
      </c>
      <c r="S4706">
        <v>1.70501699999999</v>
      </c>
      <c r="T4706">
        <v>-0.30962590000000001</v>
      </c>
      <c r="U4706">
        <v>-2.9504389999999998</v>
      </c>
      <c r="V4706">
        <v>-0.21644630000000001</v>
      </c>
      <c r="W4706">
        <v>0.3909918</v>
      </c>
      <c r="X4706">
        <v>0.89458169999999904</v>
      </c>
      <c r="Y4706">
        <v>-0.360738</v>
      </c>
      <c r="Z4706">
        <v>7.8281480000000001E-2</v>
      </c>
      <c r="AA4706">
        <v>0.92937619999999999</v>
      </c>
      <c r="AB4706">
        <v>38</v>
      </c>
      <c r="AC4706">
        <v>6.0855000000000201</v>
      </c>
      <c r="AD4706">
        <v>-1.116361699304</v>
      </c>
      <c r="AE4706">
        <v>-10.256239999999901</v>
      </c>
      <c r="AF4706">
        <v>-4.4124145416034697</v>
      </c>
      <c r="AG4706">
        <v>-1.116361699304</v>
      </c>
      <c r="AH4706">
        <v>10.9678723307432</v>
      </c>
      <c r="AI4706">
        <v>95.394417846415493</v>
      </c>
      <c r="AJ4706">
        <v>111.915100626015</v>
      </c>
      <c r="AK4706">
        <v>11.874758481506399</v>
      </c>
      <c r="AL4706">
        <v>66.983773900465906</v>
      </c>
      <c r="AM4706">
        <v>103.60146483892601</v>
      </c>
      <c r="AN4706">
        <v>1.0000000032129099</v>
      </c>
    </row>
    <row r="4707" spans="1:40" x14ac:dyDescent="0.25">
      <c r="A4707" t="str">
        <f>"20190304164505787"</f>
        <v>20190304164505787</v>
      </c>
      <c r="B4707" t="str">
        <f>"1551689105774617"</f>
        <v>1551689105774617</v>
      </c>
      <c r="C4707" t="s">
        <v>40</v>
      </c>
      <c r="D4707">
        <v>4.947311</v>
      </c>
      <c r="E4707">
        <v>0.44096479999999999</v>
      </c>
      <c r="F4707" t="s">
        <v>42</v>
      </c>
      <c r="G4707">
        <v>-415.53410000000002</v>
      </c>
      <c r="H4707" s="1">
        <v>-1.614287E-6</v>
      </c>
      <c r="I4707">
        <v>40.89996</v>
      </c>
      <c r="J4707">
        <v>-421.67340000000002</v>
      </c>
      <c r="K4707">
        <v>1.116417</v>
      </c>
      <c r="L4707">
        <v>51.133330000000001</v>
      </c>
      <c r="M4707">
        <v>0.15777269999999999</v>
      </c>
      <c r="N4707">
        <v>-1.4363610000000001E-2</v>
      </c>
      <c r="O4707">
        <v>-0.98737109999999995</v>
      </c>
      <c r="P4707">
        <v>0.3519408</v>
      </c>
      <c r="Q4707">
        <v>0.38299870000000003</v>
      </c>
      <c r="R4707">
        <v>-0.85407840000000002</v>
      </c>
      <c r="S4707">
        <v>1.7215879999999999</v>
      </c>
      <c r="T4707">
        <v>-0.30999450000000001</v>
      </c>
      <c r="U4707">
        <v>-2.9421689999999998</v>
      </c>
      <c r="V4707">
        <v>-0.21821650000000001</v>
      </c>
      <c r="W4707">
        <v>0.39289390000000002</v>
      </c>
      <c r="X4707">
        <v>0.89331740000000004</v>
      </c>
      <c r="Y4707">
        <v>-0.36071229999999999</v>
      </c>
      <c r="Z4707">
        <v>7.8396339999999995E-2</v>
      </c>
      <c r="AA4707">
        <v>0.92937650000000005</v>
      </c>
      <c r="AB4707">
        <v>38</v>
      </c>
      <c r="AC4707">
        <v>6.1392999999999898</v>
      </c>
      <c r="AD4707">
        <v>-1.1164186142870001</v>
      </c>
      <c r="AE4707">
        <v>-10.233369999999899</v>
      </c>
      <c r="AF4707">
        <v>-4.4090911523871599</v>
      </c>
      <c r="AG4707">
        <v>-1.1164186142870001</v>
      </c>
      <c r="AH4707">
        <v>10.9778115996748</v>
      </c>
      <c r="AI4707">
        <v>95.391072541321506</v>
      </c>
      <c r="AJ4707">
        <v>111.882201296877</v>
      </c>
      <c r="AK4707">
        <v>11.882711089239701</v>
      </c>
      <c r="AL4707">
        <v>66.865313846476596</v>
      </c>
      <c r="AM4707">
        <v>103.727191157066</v>
      </c>
      <c r="AN4707">
        <v>1.0000000173361001</v>
      </c>
    </row>
    <row r="4708" spans="1:40" x14ac:dyDescent="0.25">
      <c r="A4708" t="str">
        <f>"20190304164505810"</f>
        <v>20190304164505810</v>
      </c>
      <c r="B4708" t="str">
        <f>"1551689105804876"</f>
        <v>1551689105804876</v>
      </c>
      <c r="C4708" t="s">
        <v>40</v>
      </c>
      <c r="D4708">
        <v>4.8329309999999897</v>
      </c>
      <c r="E4708">
        <v>0.44067240000000002</v>
      </c>
      <c r="F4708" t="s">
        <v>42</v>
      </c>
      <c r="G4708">
        <v>-415.29169999999999</v>
      </c>
      <c r="H4708" s="1">
        <v>-1.5084659999999999E-6</v>
      </c>
      <c r="I4708">
        <v>40.399470000000001</v>
      </c>
      <c r="J4708">
        <v>-421.60570000000001</v>
      </c>
      <c r="K4708">
        <v>1.1164860000000001</v>
      </c>
      <c r="L4708">
        <v>50.742800000000003</v>
      </c>
      <c r="M4708">
        <v>0.16365080000000001</v>
      </c>
      <c r="N4708">
        <v>-1.4368010000000001E-2</v>
      </c>
      <c r="O4708">
        <v>-0.98641380000000001</v>
      </c>
      <c r="P4708">
        <v>0.35834480000000002</v>
      </c>
      <c r="Q4708">
        <v>0.38479069999999999</v>
      </c>
      <c r="R4708">
        <v>-0.850603199999999</v>
      </c>
      <c r="S4708">
        <v>1.7426759999999999</v>
      </c>
      <c r="T4708">
        <v>-0.30486619999999998</v>
      </c>
      <c r="U4708">
        <v>-2.931152</v>
      </c>
      <c r="V4708">
        <v>-0.21983430000000001</v>
      </c>
      <c r="W4708">
        <v>0.39461570000000001</v>
      </c>
      <c r="X4708">
        <v>0.89216109999999904</v>
      </c>
      <c r="Y4708">
        <v>-0.36169990000000002</v>
      </c>
      <c r="Z4708">
        <v>7.6897859999999998E-2</v>
      </c>
      <c r="AA4708">
        <v>0.92911790000000005</v>
      </c>
      <c r="AB4708">
        <v>38</v>
      </c>
      <c r="AC4708">
        <v>6.3140000000000196</v>
      </c>
      <c r="AD4708">
        <v>-1.116487508466</v>
      </c>
      <c r="AE4708">
        <v>-10.34333</v>
      </c>
      <c r="AF4708">
        <v>-4.4978106227170001</v>
      </c>
      <c r="AG4708">
        <v>-1.116487508466</v>
      </c>
      <c r="AH4708">
        <v>11.142668922919301</v>
      </c>
      <c r="AI4708">
        <v>95.308401382408206</v>
      </c>
      <c r="AJ4708">
        <v>111.98178613661599</v>
      </c>
      <c r="AK4708">
        <v>12.067970644651799</v>
      </c>
      <c r="AL4708">
        <v>66.757992798907097</v>
      </c>
      <c r="AM4708">
        <v>103.84229951342201</v>
      </c>
      <c r="AN4708">
        <v>1.0000000492480901</v>
      </c>
    </row>
    <row r="4709" spans="1:40" x14ac:dyDescent="0.25">
      <c r="A4709" t="str">
        <f>"20190304164505832"</f>
        <v>20190304164505832</v>
      </c>
      <c r="B4709" t="str">
        <f>"1551689105825369"</f>
        <v>1551689105825369</v>
      </c>
      <c r="C4709" t="s">
        <v>40</v>
      </c>
      <c r="D4709">
        <v>4.8296760000000001</v>
      </c>
      <c r="E4709">
        <v>0.44047360000000002</v>
      </c>
      <c r="F4709" t="s">
        <v>42</v>
      </c>
      <c r="G4709">
        <v>-415.02170000000001</v>
      </c>
      <c r="H4709" s="1">
        <v>-1.398428E-6</v>
      </c>
      <c r="I4709">
        <v>39.865029999999997</v>
      </c>
      <c r="J4709">
        <v>-421.54020000000003</v>
      </c>
      <c r="K4709">
        <v>1.1165449999999999</v>
      </c>
      <c r="L4709">
        <v>50.378270000000001</v>
      </c>
      <c r="M4709">
        <v>0.1692227</v>
      </c>
      <c r="N4709">
        <v>-1.437226E-2</v>
      </c>
      <c r="O4709">
        <v>-0.98547320000000005</v>
      </c>
      <c r="P4709">
        <v>0.36332579999999998</v>
      </c>
      <c r="Q4709">
        <v>0.38906990000000002</v>
      </c>
      <c r="R4709">
        <v>-0.846533599999999</v>
      </c>
      <c r="S4709">
        <v>1.766327</v>
      </c>
      <c r="T4709">
        <v>-0.29952980000000001</v>
      </c>
      <c r="U4709">
        <v>-2.9182739999999998</v>
      </c>
      <c r="V4709">
        <v>-0.22047600000000001</v>
      </c>
      <c r="W4709">
        <v>0.39882859999999998</v>
      </c>
      <c r="X4709">
        <v>0.890127</v>
      </c>
      <c r="Y4709">
        <v>-0.36382700000000001</v>
      </c>
      <c r="Z4709">
        <v>7.5347460000000005E-2</v>
      </c>
      <c r="AA4709">
        <v>0.92841399999999996</v>
      </c>
      <c r="AB4709">
        <v>38</v>
      </c>
      <c r="AC4709">
        <v>6.5185000000000102</v>
      </c>
      <c r="AD4709">
        <v>-1.116546398428</v>
      </c>
      <c r="AE4709">
        <v>-10.51324</v>
      </c>
      <c r="AF4709">
        <v>-4.6076676971142998</v>
      </c>
      <c r="AG4709">
        <v>-1.116546398428</v>
      </c>
      <c r="AH4709">
        <v>11.372125891232599</v>
      </c>
      <c r="AI4709">
        <v>95.199434932374203</v>
      </c>
      <c r="AJ4709">
        <v>112.056416215016</v>
      </c>
      <c r="AK4709">
        <v>12.3208167242645</v>
      </c>
      <c r="AL4709">
        <v>66.495030926062</v>
      </c>
      <c r="AM4709">
        <v>103.911635045325</v>
      </c>
      <c r="AN4709">
        <v>0.99999999744148005</v>
      </c>
    </row>
    <row r="4710" spans="1:40" x14ac:dyDescent="0.25">
      <c r="A4710" t="str">
        <f>"20190304164505854"</f>
        <v>20190304164505854</v>
      </c>
      <c r="B4710" t="str">
        <f>"1551689105844889"</f>
        <v>1551689105844889</v>
      </c>
      <c r="C4710" t="s">
        <v>40</v>
      </c>
      <c r="D4710">
        <v>4.826327</v>
      </c>
      <c r="E4710">
        <v>0.44037349999999997</v>
      </c>
      <c r="F4710" t="s">
        <v>49</v>
      </c>
      <c r="G4710">
        <v>-414.49959999999999</v>
      </c>
      <c r="H4710" s="1">
        <v>-1.8828209999999999E-6</v>
      </c>
      <c r="I4710">
        <v>38.936480000000003</v>
      </c>
      <c r="J4710">
        <v>-421.47309999999999</v>
      </c>
      <c r="K4710">
        <v>1.1166100000000001</v>
      </c>
      <c r="L4710">
        <v>50.016599999999997</v>
      </c>
      <c r="M4710">
        <v>0.1748237</v>
      </c>
      <c r="N4710">
        <v>-1.437602E-2</v>
      </c>
      <c r="O4710">
        <v>-0.98449489999999995</v>
      </c>
      <c r="P4710">
        <v>0.3686199</v>
      </c>
      <c r="Q4710">
        <v>0.39255620000000002</v>
      </c>
      <c r="R4710">
        <v>-0.84262630000000005</v>
      </c>
      <c r="S4710">
        <v>1.7885439999999999</v>
      </c>
      <c r="T4710">
        <v>-0.28363919999999998</v>
      </c>
      <c r="U4710">
        <v>-2.9065859999999999</v>
      </c>
      <c r="V4710">
        <v>-0.2213794</v>
      </c>
      <c r="W4710">
        <v>0.40225050000000001</v>
      </c>
      <c r="X4710">
        <v>0.88836130000000002</v>
      </c>
      <c r="Y4710">
        <v>-0.36554039999999999</v>
      </c>
      <c r="Z4710">
        <v>7.0661920000000003E-2</v>
      </c>
      <c r="AA4710">
        <v>0.92810950000000003</v>
      </c>
      <c r="AB4710">
        <v>38</v>
      </c>
      <c r="AC4710">
        <v>6.9734999999999996</v>
      </c>
      <c r="AD4710">
        <v>-1.1166118828210001</v>
      </c>
      <c r="AE4710">
        <v>-11.0801199999999</v>
      </c>
      <c r="AF4710">
        <v>-4.8932212341008698</v>
      </c>
      <c r="AG4710">
        <v>-1.1166118828210001</v>
      </c>
      <c r="AH4710">
        <v>12.0411150363005</v>
      </c>
      <c r="AI4710">
        <v>94.910251991965893</v>
      </c>
      <c r="AJ4710">
        <v>112.115649030707</v>
      </c>
      <c r="AK4710">
        <v>13.045263027633199</v>
      </c>
      <c r="AL4710">
        <v>66.281057603518903</v>
      </c>
      <c r="AM4710">
        <v>103.993080673718</v>
      </c>
      <c r="AN4710">
        <v>1.00000005141614</v>
      </c>
    </row>
    <row r="4711" spans="1:40" x14ac:dyDescent="0.25">
      <c r="A4711" t="str">
        <f>"20190304164505877"</f>
        <v>20190304164505877</v>
      </c>
      <c r="B4711" t="str">
        <f>"1551689105865385"</f>
        <v>1551689105865385</v>
      </c>
      <c r="C4711" t="s">
        <v>40</v>
      </c>
      <c r="D4711">
        <v>4.8522270000000001</v>
      </c>
      <c r="E4711">
        <v>0.44040980000000002</v>
      </c>
      <c r="F4711" t="s">
        <v>41</v>
      </c>
      <c r="G4711">
        <v>-420.86</v>
      </c>
      <c r="H4711">
        <v>1.024885</v>
      </c>
      <c r="I4711">
        <v>49.036830000000002</v>
      </c>
      <c r="J4711">
        <v>-421.4024</v>
      </c>
      <c r="K4711">
        <v>1.116671</v>
      </c>
      <c r="L4711">
        <v>49.64893</v>
      </c>
      <c r="M4711">
        <v>0.18058969999999999</v>
      </c>
      <c r="N4711">
        <v>-1.4379370000000001E-2</v>
      </c>
      <c r="O4711">
        <v>-0.98345349999999998</v>
      </c>
      <c r="P4711">
        <v>0.37398340000000002</v>
      </c>
      <c r="Q4711">
        <v>0.39340700000000001</v>
      </c>
      <c r="R4711">
        <v>-0.83986159999999999</v>
      </c>
      <c r="S4711">
        <v>1.812103</v>
      </c>
      <c r="T4711">
        <v>-0.27091599999999999</v>
      </c>
      <c r="U4711">
        <v>-2.8937379999999999</v>
      </c>
      <c r="V4711">
        <v>-0.22197349999999999</v>
      </c>
      <c r="W4711">
        <v>0.40306140000000001</v>
      </c>
      <c r="X4711">
        <v>0.88784529999999995</v>
      </c>
      <c r="Y4711">
        <v>-0.36751830000000002</v>
      </c>
      <c r="Z4711">
        <v>6.6914989999999994E-2</v>
      </c>
      <c r="AA4711">
        <v>0.92760589999999998</v>
      </c>
      <c r="AB4711">
        <v>38</v>
      </c>
      <c r="AC4711">
        <v>0.542399999999986</v>
      </c>
      <c r="AD4711">
        <v>-9.1785999999999895E-2</v>
      </c>
      <c r="AE4711">
        <v>-0.61209999999999798</v>
      </c>
      <c r="AF4711">
        <v>-0.417669161962617</v>
      </c>
      <c r="AG4711">
        <v>-9.1785999999999895E-2</v>
      </c>
      <c r="AH4711">
        <v>0.69128892422191901</v>
      </c>
      <c r="AI4711">
        <v>96.483460556112504</v>
      </c>
      <c r="AJ4711">
        <v>121.13990974210201</v>
      </c>
      <c r="AK4711">
        <v>0.81286688664408802</v>
      </c>
      <c r="AL4711">
        <v>66.230298634733899</v>
      </c>
      <c r="AM4711">
        <v>104.03698294372001</v>
      </c>
      <c r="AN4711">
        <v>1.00000000180215</v>
      </c>
    </row>
    <row r="4712" spans="1:40" x14ac:dyDescent="0.25">
      <c r="A4712" t="str">
        <f>"20190304164505900"</f>
        <v>20190304164505900</v>
      </c>
      <c r="B4712" t="str">
        <f>"1551689105894665"</f>
        <v>1551689105894665</v>
      </c>
      <c r="C4712" t="s">
        <v>40</v>
      </c>
      <c r="D4712">
        <v>4.8508440000000004</v>
      </c>
      <c r="E4712">
        <v>0.44106260000000003</v>
      </c>
      <c r="F4712" t="s">
        <v>41</v>
      </c>
      <c r="G4712">
        <v>-420.76549999999997</v>
      </c>
      <c r="H4712">
        <v>1.0232840000000001</v>
      </c>
      <c r="I4712">
        <v>48.647120000000001</v>
      </c>
      <c r="J4712">
        <v>-421.32470000000001</v>
      </c>
      <c r="K4712">
        <v>1.1167339999999999</v>
      </c>
      <c r="L4712">
        <v>49.257350000000002</v>
      </c>
      <c r="M4712">
        <v>0.18679219999999999</v>
      </c>
      <c r="N4712">
        <v>-1.43822999999999E-2</v>
      </c>
      <c r="O4712">
        <v>-0.98229409999999895</v>
      </c>
      <c r="P4712">
        <v>0.38074219999999998</v>
      </c>
      <c r="Q4712">
        <v>0.39337299999999997</v>
      </c>
      <c r="R4712">
        <v>-0.83683510000000005</v>
      </c>
      <c r="S4712">
        <v>1.8324579999999999</v>
      </c>
      <c r="T4712">
        <v>-0.26865420000000001</v>
      </c>
      <c r="U4712">
        <v>-2.881866</v>
      </c>
      <c r="V4712">
        <v>-0.22358040000000001</v>
      </c>
      <c r="W4712">
        <v>0.40297729999999998</v>
      </c>
      <c r="X4712">
        <v>0.88748019999999905</v>
      </c>
      <c r="Y4712">
        <v>-0.36807390000000001</v>
      </c>
      <c r="Z4712">
        <v>6.6265169999999998E-2</v>
      </c>
      <c r="AA4712">
        <v>0.92743220000000004</v>
      </c>
      <c r="AB4712">
        <v>38</v>
      </c>
      <c r="AC4712">
        <v>0.559200000000032</v>
      </c>
      <c r="AD4712">
        <v>-9.3450000000000005E-2</v>
      </c>
      <c r="AE4712">
        <v>-0.61023000000000105</v>
      </c>
      <c r="AF4712">
        <v>-0.42987798283866901</v>
      </c>
      <c r="AG4712">
        <v>-9.3450000000000005E-2</v>
      </c>
      <c r="AH4712">
        <v>0.69509192220821803</v>
      </c>
      <c r="AI4712">
        <v>96.523018438477905</v>
      </c>
      <c r="AJ4712">
        <v>121.734622489727</v>
      </c>
      <c r="AK4712">
        <v>0.82260608005810398</v>
      </c>
      <c r="AL4712">
        <v>66.235563752534205</v>
      </c>
      <c r="AM4712">
        <v>104.140121245009</v>
      </c>
      <c r="AN4712">
        <v>1.0000000024857401</v>
      </c>
    </row>
    <row r="4713" spans="1:40" x14ac:dyDescent="0.25">
      <c r="A4713" t="str">
        <f>"20190304164505922"</f>
        <v>20190304164505922</v>
      </c>
      <c r="B4713" t="str">
        <f>"1551689105915161"</f>
        <v>1551689105915161</v>
      </c>
      <c r="C4713" t="s">
        <v>40</v>
      </c>
      <c r="D4713">
        <v>4.8552860000000004</v>
      </c>
      <c r="E4713">
        <v>0.44138860000000002</v>
      </c>
      <c r="F4713" t="s">
        <v>49</v>
      </c>
      <c r="G4713">
        <v>-413.58870000000002</v>
      </c>
      <c r="H4713" s="1">
        <v>-3.1426159999999998E-6</v>
      </c>
      <c r="I4713">
        <v>37.260379999999998</v>
      </c>
      <c r="J4713">
        <v>-421.24790000000002</v>
      </c>
      <c r="K4713">
        <v>1.1167769999999999</v>
      </c>
      <c r="L4713">
        <v>48.882170000000002</v>
      </c>
      <c r="M4713">
        <v>0.19279499999999999</v>
      </c>
      <c r="N4713">
        <v>-1.438481E-2</v>
      </c>
      <c r="O4713">
        <v>-0.9811337</v>
      </c>
      <c r="P4713">
        <v>0.38801170000000001</v>
      </c>
      <c r="Q4713">
        <v>0.39317089999999999</v>
      </c>
      <c r="R4713">
        <v>-0.83358500000000002</v>
      </c>
      <c r="S4713">
        <v>1.8498840000000001</v>
      </c>
      <c r="T4713">
        <v>-0.26704250000000002</v>
      </c>
      <c r="U4713">
        <v>-2.868805</v>
      </c>
      <c r="V4713">
        <v>-0.22591430000000001</v>
      </c>
      <c r="W4713">
        <v>0.40271269999999998</v>
      </c>
      <c r="X4713">
        <v>0.88700909999999999</v>
      </c>
      <c r="Y4713">
        <v>-0.36830580000000002</v>
      </c>
      <c r="Z4713">
        <v>6.5857780000000005E-2</v>
      </c>
      <c r="AA4713">
        <v>0.9273692</v>
      </c>
      <c r="AB4713">
        <v>38</v>
      </c>
      <c r="AC4713">
        <v>7.6591999999999896</v>
      </c>
      <c r="AD4713">
        <v>-1.116780142616</v>
      </c>
      <c r="AE4713">
        <v>-11.621790000000001</v>
      </c>
      <c r="AF4713">
        <v>-5.2408815866323799</v>
      </c>
      <c r="AG4713">
        <v>-1.116780142616</v>
      </c>
      <c r="AH4713">
        <v>12.798124648586899</v>
      </c>
      <c r="AI4713">
        <v>94.616769684540998</v>
      </c>
      <c r="AJ4713">
        <v>112.26928959940901</v>
      </c>
      <c r="AK4713">
        <v>13.8746543096688</v>
      </c>
      <c r="AL4713">
        <v>66.252126804452601</v>
      </c>
      <c r="AM4713">
        <v>104.288991782751</v>
      </c>
      <c r="AN4713">
        <v>0.99999996658429402</v>
      </c>
    </row>
    <row r="4714" spans="1:40" x14ac:dyDescent="0.25">
      <c r="A4714" t="str">
        <f>"20190304164505943"</f>
        <v>20190304164505943</v>
      </c>
      <c r="B4714" t="str">
        <f>"1551689105934681"</f>
        <v>1551689105934681</v>
      </c>
      <c r="C4714" t="s">
        <v>40</v>
      </c>
      <c r="D4714">
        <v>4.9049769999999997</v>
      </c>
      <c r="E4714">
        <v>0.44182100000000002</v>
      </c>
      <c r="F4714" t="s">
        <v>49</v>
      </c>
      <c r="G4714">
        <v>-413.48770000000002</v>
      </c>
      <c r="H4714" s="1">
        <v>-3.28973E-6</v>
      </c>
      <c r="I4714">
        <v>37.03237</v>
      </c>
      <c r="J4714">
        <v>-421.17559999999997</v>
      </c>
      <c r="K4714">
        <v>1.11683</v>
      </c>
      <c r="L4714">
        <v>48.539830000000002</v>
      </c>
      <c r="M4714">
        <v>0.19833419999999999</v>
      </c>
      <c r="N4714">
        <v>-1.4387459999999999E-2</v>
      </c>
      <c r="O4714">
        <v>-0.98002889999999998</v>
      </c>
      <c r="P4714">
        <v>0.39562370000000002</v>
      </c>
      <c r="Q4714">
        <v>0.39239030000000003</v>
      </c>
      <c r="R4714">
        <v>-0.83036849999999995</v>
      </c>
      <c r="S4714">
        <v>1.8699650000000001</v>
      </c>
      <c r="T4714">
        <v>-0.26910959999999901</v>
      </c>
      <c r="U4714">
        <v>-2.8554379999999999</v>
      </c>
      <c r="V4714">
        <v>-0.2290016</v>
      </c>
      <c r="W4714">
        <v>0.40185710000000002</v>
      </c>
      <c r="X4714">
        <v>0.88660539999999999</v>
      </c>
      <c r="Y4714">
        <v>-0.36958299999999999</v>
      </c>
      <c r="Z4714">
        <v>6.6513970000000006E-2</v>
      </c>
      <c r="AA4714">
        <v>0.92681400000000003</v>
      </c>
      <c r="AB4714">
        <v>38</v>
      </c>
      <c r="AC4714">
        <v>7.6878999999999502</v>
      </c>
      <c r="AD4714">
        <v>-1.11683328973</v>
      </c>
      <c r="AE4714">
        <v>-11.50746</v>
      </c>
      <c r="AF4714">
        <v>-5.2185983988530404</v>
      </c>
      <c r="AG4714">
        <v>-1.11683328973</v>
      </c>
      <c r="AH4714">
        <v>12.720896167551601</v>
      </c>
      <c r="AI4714">
        <v>94.643704209784701</v>
      </c>
      <c r="AJ4714">
        <v>112.305315276852</v>
      </c>
      <c r="AK4714">
        <v>13.795009429180899</v>
      </c>
      <c r="AL4714">
        <v>66.3056737508971</v>
      </c>
      <c r="AM4714">
        <v>104.482423689953</v>
      </c>
      <c r="AN4714">
        <v>0.99999999846606502</v>
      </c>
    </row>
    <row r="4715" spans="1:40" x14ac:dyDescent="0.25">
      <c r="A4715" t="str">
        <f>"20190304164505959"</f>
        <v>20190304164505959</v>
      </c>
      <c r="B4715" t="str">
        <f>"1551689105955177"</f>
        <v>1551689105955177</v>
      </c>
      <c r="C4715" t="s">
        <v>40</v>
      </c>
      <c r="D4715">
        <v>4.9031039999999999</v>
      </c>
      <c r="E4715">
        <v>0.4421022</v>
      </c>
      <c r="F4715" t="s">
        <v>49</v>
      </c>
      <c r="G4715">
        <v>-413.4787</v>
      </c>
      <c r="H4715" s="1">
        <v>-3.3348109999999999E-6</v>
      </c>
      <c r="I4715">
        <v>36.953589999999998</v>
      </c>
      <c r="J4715">
        <v>-421.12270000000001</v>
      </c>
      <c r="K4715">
        <v>1.11687</v>
      </c>
      <c r="L4715">
        <v>48.29477</v>
      </c>
      <c r="M4715">
        <v>0.20233960000000001</v>
      </c>
      <c r="N4715">
        <v>-1.4389839999999999E-2</v>
      </c>
      <c r="O4715">
        <v>-0.97920969999999996</v>
      </c>
      <c r="P4715">
        <v>0.4000628</v>
      </c>
      <c r="Q4715">
        <v>0.39217580000000002</v>
      </c>
      <c r="R4715">
        <v>-0.82834059999999898</v>
      </c>
      <c r="S4715">
        <v>1.8883970000000001</v>
      </c>
      <c r="T4715">
        <v>-0.274009</v>
      </c>
      <c r="U4715">
        <v>-2.8426209999999998</v>
      </c>
      <c r="V4715">
        <v>-0.2301455</v>
      </c>
      <c r="W4715">
        <v>0.40160299999999999</v>
      </c>
      <c r="X4715">
        <v>0.88642430000000005</v>
      </c>
      <c r="Y4715">
        <v>-0.37181779999999998</v>
      </c>
      <c r="Z4715">
        <v>6.8017240000000007E-2</v>
      </c>
      <c r="AA4715">
        <v>0.92581060000000004</v>
      </c>
      <c r="AB4715">
        <v>38</v>
      </c>
      <c r="AC4715">
        <v>7.6440000000000001</v>
      </c>
      <c r="AD4715">
        <v>-1.116873334811</v>
      </c>
      <c r="AE4715">
        <v>-11.3411799999999</v>
      </c>
      <c r="AF4715">
        <v>-5.1564595110315796</v>
      </c>
      <c r="AG4715">
        <v>-1.116873334811</v>
      </c>
      <c r="AH4715">
        <v>12.5695643830348</v>
      </c>
      <c r="AI4715">
        <v>94.699538525684304</v>
      </c>
      <c r="AJ4715">
        <v>112.30509366676</v>
      </c>
      <c r="AK4715">
        <v>13.6319635237986</v>
      </c>
      <c r="AL4715">
        <v>66.321571439278301</v>
      </c>
      <c r="AM4715">
        <v>104.55454860362801</v>
      </c>
      <c r="AN4715">
        <v>0.99999998020486902</v>
      </c>
    </row>
    <row r="4716" spans="1:40" x14ac:dyDescent="0.25">
      <c r="A4716" t="str">
        <f>"20190304164505977"</f>
        <v>20190304164505977</v>
      </c>
      <c r="B4716" t="str">
        <f>"1551689105974696"</f>
        <v>1551689105974696</v>
      </c>
      <c r="C4716" t="s">
        <v>40</v>
      </c>
      <c r="D4716">
        <v>4.9259120000000003</v>
      </c>
      <c r="E4716">
        <v>0.4420596</v>
      </c>
      <c r="F4716" t="s">
        <v>49</v>
      </c>
      <c r="G4716">
        <v>-413.53809999999999</v>
      </c>
      <c r="H4716" s="1">
        <v>-3.3046250000000001E-6</v>
      </c>
      <c r="I4716">
        <v>36.984679999999997</v>
      </c>
      <c r="J4716">
        <v>-421.05459999999999</v>
      </c>
      <c r="K4716">
        <v>1.1169249999999999</v>
      </c>
      <c r="L4716">
        <v>47.986449999999998</v>
      </c>
      <c r="M4716">
        <v>0.20744000000000001</v>
      </c>
      <c r="N4716">
        <v>-1.439373E-2</v>
      </c>
      <c r="O4716">
        <v>-0.97814199999999996</v>
      </c>
      <c r="P4716">
        <v>0.40549629999999998</v>
      </c>
      <c r="Q4716">
        <v>0.39315129999999998</v>
      </c>
      <c r="R4716">
        <v>-0.82523019999999903</v>
      </c>
      <c r="S4716">
        <v>1.9017029999999999</v>
      </c>
      <c r="T4716">
        <v>-0.28003729999999999</v>
      </c>
      <c r="U4716">
        <v>-2.8358150000000002</v>
      </c>
      <c r="V4716">
        <v>-0.2315286</v>
      </c>
      <c r="W4716">
        <v>0.40251680000000001</v>
      </c>
      <c r="X4716">
        <v>0.88564940000000003</v>
      </c>
      <c r="Y4716">
        <v>-0.3709365</v>
      </c>
      <c r="Z4716">
        <v>6.9768520000000001E-2</v>
      </c>
      <c r="AA4716">
        <v>0.92603369999999996</v>
      </c>
      <c r="AB4716">
        <v>38</v>
      </c>
      <c r="AC4716">
        <v>7.5164999999999997</v>
      </c>
      <c r="AD4716">
        <v>-1.116928304625</v>
      </c>
      <c r="AE4716">
        <v>-11.00177</v>
      </c>
      <c r="AF4716">
        <v>-5.0351403644759003</v>
      </c>
      <c r="AG4716">
        <v>-1.116928304625</v>
      </c>
      <c r="AH4716">
        <v>12.2358111159631</v>
      </c>
      <c r="AI4716">
        <v>94.825212914585293</v>
      </c>
      <c r="AJ4716">
        <v>112.36758284345601</v>
      </c>
      <c r="AK4716">
        <v>13.2783749379649</v>
      </c>
      <c r="AL4716">
        <v>66.264391222317798</v>
      </c>
      <c r="AM4716">
        <v>104.650527347571</v>
      </c>
      <c r="AN4716">
        <v>1.0000000633102699</v>
      </c>
    </row>
    <row r="4717" spans="1:40" x14ac:dyDescent="0.25">
      <c r="A4717" t="str">
        <f>"20190304164505991"</f>
        <v>20190304164505991</v>
      </c>
      <c r="B4717" t="str">
        <f>"1551689105985433"</f>
        <v>1551689105985433</v>
      </c>
      <c r="C4717" t="s">
        <v>40</v>
      </c>
      <c r="D4717">
        <v>5.0277949999999896</v>
      </c>
      <c r="E4717">
        <v>0.4420596</v>
      </c>
      <c r="F4717" t="s">
        <v>41</v>
      </c>
      <c r="G4717">
        <v>-420.38990000000001</v>
      </c>
      <c r="H4717">
        <v>1.0201100000000001</v>
      </c>
      <c r="I4717">
        <v>47.010159999999999</v>
      </c>
      <c r="J4717">
        <v>-421.00310000000002</v>
      </c>
      <c r="K4717">
        <v>1.116978</v>
      </c>
      <c r="L4717">
        <v>47.758699999999997</v>
      </c>
      <c r="M4717">
        <v>0.21125440000000001</v>
      </c>
      <c r="N4717">
        <v>-1.439723E-2</v>
      </c>
      <c r="O4717">
        <v>-0.97732509999999995</v>
      </c>
      <c r="P4717">
        <v>0.40875929999999999</v>
      </c>
      <c r="Q4717">
        <v>0.3933413</v>
      </c>
      <c r="R4717">
        <v>-0.82352819999999904</v>
      </c>
      <c r="S4717">
        <v>1.9230959999999999</v>
      </c>
      <c r="T4717">
        <v>-0.28004230000000002</v>
      </c>
      <c r="U4717">
        <v>-2.8238530000000002</v>
      </c>
      <c r="V4717">
        <v>-0.231653</v>
      </c>
      <c r="W4717">
        <v>0.40267740000000002</v>
      </c>
      <c r="X4717">
        <v>0.88554379999999999</v>
      </c>
      <c r="Y4717">
        <v>-0.37393359999999998</v>
      </c>
      <c r="Z4717">
        <v>6.9766529999999993E-2</v>
      </c>
      <c r="AA4717">
        <v>0.92482779999999998</v>
      </c>
      <c r="AB4717">
        <v>38</v>
      </c>
      <c r="AC4717">
        <v>0.61320000000000596</v>
      </c>
      <c r="AD4717">
        <v>-9.6867999999999899E-2</v>
      </c>
      <c r="AE4717">
        <v>-0.74853999999999798</v>
      </c>
      <c r="AF4717">
        <v>-0.43683138781106201</v>
      </c>
      <c r="AG4717">
        <v>-9.6867999999999899E-2</v>
      </c>
      <c r="AH4717">
        <v>0.85265249454641201</v>
      </c>
      <c r="AI4717">
        <v>95.773597343546498</v>
      </c>
      <c r="AJ4717">
        <v>117.12699571331601</v>
      </c>
      <c r="AK4717">
        <v>0.96292333404957897</v>
      </c>
      <c r="AL4717">
        <v>66.254337551890501</v>
      </c>
      <c r="AM4717">
        <v>104.65973280746999</v>
      </c>
      <c r="AN4717">
        <v>1.0000000112991001</v>
      </c>
    </row>
    <row r="4718" spans="1:40" x14ac:dyDescent="0.25">
      <c r="A4718" t="str">
        <f>"20190304164506004"</f>
        <v>20190304164506004</v>
      </c>
      <c r="B4718" t="str">
        <f>"1551689105995193"</f>
        <v>1551689105995193</v>
      </c>
      <c r="C4718" t="s">
        <v>40</v>
      </c>
      <c r="D4718">
        <v>4.8828760000000004</v>
      </c>
      <c r="E4718">
        <v>0.41604679999999999</v>
      </c>
      <c r="F4718" t="s">
        <v>49</v>
      </c>
      <c r="G4718">
        <v>-413.24959999999999</v>
      </c>
      <c r="H4718" s="1">
        <v>-3.642591E-6</v>
      </c>
      <c r="I4718">
        <v>36.483730000000001</v>
      </c>
      <c r="J4718">
        <v>-420.95409999999998</v>
      </c>
      <c r="K4718">
        <v>1.1170310000000001</v>
      </c>
      <c r="L4718">
        <v>47.54663</v>
      </c>
      <c r="M4718">
        <v>0.21485280000000001</v>
      </c>
      <c r="N4718">
        <v>-1.440113E-2</v>
      </c>
      <c r="O4718">
        <v>-0.97654039999999998</v>
      </c>
      <c r="P4718">
        <v>0.4119467</v>
      </c>
      <c r="Q4718">
        <v>0.39347149999999997</v>
      </c>
      <c r="R4718">
        <v>-0.82187639999999995</v>
      </c>
      <c r="S4718">
        <v>1.935913</v>
      </c>
      <c r="T4718">
        <v>-0.27889320000000001</v>
      </c>
      <c r="U4718">
        <v>-2.8151860000000002</v>
      </c>
      <c r="V4718">
        <v>-0.23189109999999999</v>
      </c>
      <c r="W4718">
        <v>0.40277649999999998</v>
      </c>
      <c r="X4718">
        <v>0.88543640000000001</v>
      </c>
      <c r="Y4718">
        <v>-0.37472040000000001</v>
      </c>
      <c r="Z4718">
        <v>6.9444800000000001E-2</v>
      </c>
      <c r="AA4718">
        <v>0.92453339999999995</v>
      </c>
      <c r="AB4718">
        <v>38</v>
      </c>
      <c r="AC4718">
        <v>7.7044999999999897</v>
      </c>
      <c r="AD4718">
        <v>-1.1170346425909901</v>
      </c>
      <c r="AE4718">
        <v>-11.062900000000001</v>
      </c>
      <c r="AF4718">
        <v>-5.11229561157612</v>
      </c>
      <c r="AG4718">
        <v>-1.1170346425909901</v>
      </c>
      <c r="AH4718">
        <v>12.3750330688713</v>
      </c>
      <c r="AI4718">
        <v>94.768946369248994</v>
      </c>
      <c r="AJ4718">
        <v>112.44618996987499</v>
      </c>
      <c r="AK4718">
        <v>13.4359508881414</v>
      </c>
      <c r="AL4718">
        <v>66.248134082075296</v>
      </c>
      <c r="AM4718">
        <v>104.675853616826</v>
      </c>
      <c r="AN4718">
        <v>1.0000000048282001</v>
      </c>
    </row>
    <row r="4719" spans="1:40" x14ac:dyDescent="0.25">
      <c r="A4719" t="str">
        <f>"20190304164506023"</f>
        <v>20190304164506023</v>
      </c>
      <c r="B4719" t="str">
        <f>"1551689106015386"</f>
        <v>1551689106015386</v>
      </c>
      <c r="C4719" t="s">
        <v>40</v>
      </c>
      <c r="D4719">
        <v>4.8608449999999896</v>
      </c>
      <c r="E4719">
        <v>0.41197299999999998</v>
      </c>
      <c r="F4719" t="s">
        <v>41</v>
      </c>
      <c r="G4719">
        <v>-420.34320000000002</v>
      </c>
      <c r="H4719">
        <v>1.0358039999999999</v>
      </c>
      <c r="I4719">
        <v>46.768990000000002</v>
      </c>
      <c r="J4719">
        <v>-420.88389999999998</v>
      </c>
      <c r="K4719">
        <v>1.117111</v>
      </c>
      <c r="L4719">
        <v>47.248260000000002</v>
      </c>
      <c r="M4719">
        <v>0.21998010000000001</v>
      </c>
      <c r="N4719">
        <v>-1.440701E-2</v>
      </c>
      <c r="O4719">
        <v>-0.97539810000000005</v>
      </c>
      <c r="P4719">
        <v>0.41694130000000001</v>
      </c>
      <c r="Q4719">
        <v>0.39370899999999998</v>
      </c>
      <c r="R4719">
        <v>-0.81923939999999995</v>
      </c>
      <c r="S4719">
        <v>2.133667</v>
      </c>
      <c r="T4719">
        <v>-0.28375319999999998</v>
      </c>
      <c r="U4719">
        <v>-2.716583</v>
      </c>
      <c r="V4719">
        <v>-0.23274359999999999</v>
      </c>
      <c r="W4719">
        <v>0.40295589999999998</v>
      </c>
      <c r="X4719">
        <v>0.88513109999999995</v>
      </c>
      <c r="Y4719">
        <v>-0.42771350000000002</v>
      </c>
      <c r="Z4719">
        <v>7.06204E-2</v>
      </c>
      <c r="AA4719">
        <v>0.90115140000000005</v>
      </c>
      <c r="AB4719">
        <v>38</v>
      </c>
      <c r="AC4719">
        <v>0.54069999999995799</v>
      </c>
      <c r="AD4719">
        <v>-8.1306999999999796E-2</v>
      </c>
      <c r="AE4719">
        <v>-0.47926999999999198</v>
      </c>
      <c r="AF4719">
        <v>-0.41673450118901001</v>
      </c>
      <c r="AG4719">
        <v>-8.1306999999999796E-2</v>
      </c>
      <c r="AH4719">
        <v>0.57914927926555904</v>
      </c>
      <c r="AI4719">
        <v>96.501109887992797</v>
      </c>
      <c r="AJ4719">
        <v>125.737401005411</v>
      </c>
      <c r="AK4719">
        <v>0.71811723305047503</v>
      </c>
      <c r="AL4719">
        <v>66.236904730709895</v>
      </c>
      <c r="AM4719">
        <v>104.732323995831</v>
      </c>
      <c r="AN4719">
        <v>1.00000005243648</v>
      </c>
    </row>
    <row r="4720" spans="1:40" x14ac:dyDescent="0.25">
      <c r="A4720" t="str">
        <f>"20190304164506044"</f>
        <v>20190304164506044</v>
      </c>
      <c r="B4720" t="str">
        <f>"1551689106034905"</f>
        <v>1551689106034905</v>
      </c>
      <c r="C4720" t="s">
        <v>40</v>
      </c>
      <c r="D4720">
        <v>4.8648400000000001</v>
      </c>
      <c r="E4720">
        <v>0.4118</v>
      </c>
      <c r="F4720" t="s">
        <v>41</v>
      </c>
      <c r="G4720">
        <v>-420.24200000000002</v>
      </c>
      <c r="H4720">
        <v>1.0364279999999999</v>
      </c>
      <c r="I4720">
        <v>46.456879999999998</v>
      </c>
      <c r="J4720">
        <v>-420.79939999999999</v>
      </c>
      <c r="K4720">
        <v>1.117221</v>
      </c>
      <c r="L4720">
        <v>46.898009999999999</v>
      </c>
      <c r="M4720">
        <v>0.22612409999999999</v>
      </c>
      <c r="N4720">
        <v>-1.441506E-2</v>
      </c>
      <c r="O4720">
        <v>-0.97399179999999996</v>
      </c>
      <c r="P4720">
        <v>0.42287219999999998</v>
      </c>
      <c r="Q4720">
        <v>0.39291779999999998</v>
      </c>
      <c r="R4720">
        <v>-0.8165751</v>
      </c>
      <c r="S4720">
        <v>2.1789860000000001</v>
      </c>
      <c r="T4720">
        <v>-0.27370260000000002</v>
      </c>
      <c r="U4720">
        <v>-2.6844790000000001</v>
      </c>
      <c r="V4720">
        <v>-0.23359840000000001</v>
      </c>
      <c r="W4720">
        <v>0.40210069999999998</v>
      </c>
      <c r="X4720">
        <v>0.88529480000000005</v>
      </c>
      <c r="Y4720">
        <v>-0.43658849999999999</v>
      </c>
      <c r="Z4720">
        <v>6.7729090000000006E-2</v>
      </c>
      <c r="AA4720">
        <v>0.89710829999999997</v>
      </c>
      <c r="AB4720">
        <v>38</v>
      </c>
      <c r="AC4720">
        <v>0.55740000000002898</v>
      </c>
      <c r="AD4720">
        <v>-8.0792999999999796E-2</v>
      </c>
      <c r="AE4720">
        <v>-0.44113000000000102</v>
      </c>
      <c r="AF4720">
        <v>-0.43754659868350798</v>
      </c>
      <c r="AG4720">
        <v>-8.0792999999999796E-2</v>
      </c>
      <c r="AH4720">
        <v>0.54866845971979095</v>
      </c>
      <c r="AI4720">
        <v>96.5673844469991</v>
      </c>
      <c r="AJ4720">
        <v>128.57130746505001</v>
      </c>
      <c r="AK4720">
        <v>0.706407540701397</v>
      </c>
      <c r="AL4720">
        <v>66.290431632428295</v>
      </c>
      <c r="AM4720">
        <v>104.781451712373</v>
      </c>
      <c r="AN4720">
        <v>1.0000000341650399</v>
      </c>
    </row>
    <row r="4721" spans="1:40" x14ac:dyDescent="0.25">
      <c r="A4721" t="str">
        <f>"20190304164506058"</f>
        <v>20190304164506058</v>
      </c>
      <c r="B4721" t="str">
        <f>"1551689106055402"</f>
        <v>1551689106055402</v>
      </c>
      <c r="C4721" t="s">
        <v>40</v>
      </c>
      <c r="D4721">
        <v>4.8865949999999998</v>
      </c>
      <c r="E4721">
        <v>0.4122305</v>
      </c>
      <c r="F4721" t="s">
        <v>41</v>
      </c>
      <c r="G4721">
        <v>-420.16750000000002</v>
      </c>
      <c r="H4721">
        <v>1.0362359999999999</v>
      </c>
      <c r="I4721">
        <v>46.131309999999999</v>
      </c>
      <c r="J4721">
        <v>-420.74340000000001</v>
      </c>
      <c r="K4721">
        <v>1.1172930000000001</v>
      </c>
      <c r="L4721">
        <v>46.67145</v>
      </c>
      <c r="M4721">
        <v>0.2301677</v>
      </c>
      <c r="N4721">
        <v>-1.442096E-2</v>
      </c>
      <c r="O4721">
        <v>-0.97304429999999997</v>
      </c>
      <c r="P4721">
        <v>0.42678270000000001</v>
      </c>
      <c r="Q4721">
        <v>0.39232529999999999</v>
      </c>
      <c r="R4721">
        <v>-0.81482369999999904</v>
      </c>
      <c r="S4721">
        <v>2.2001949999999999</v>
      </c>
      <c r="T4721">
        <v>-0.28205029999999998</v>
      </c>
      <c r="U4721">
        <v>-2.6702270000000001</v>
      </c>
      <c r="V4721">
        <v>-0.2341674</v>
      </c>
      <c r="W4721">
        <v>0.4014645</v>
      </c>
      <c r="X4721">
        <v>0.88543320000000003</v>
      </c>
      <c r="Y4721">
        <v>-0.4393338</v>
      </c>
      <c r="Z4721">
        <v>7.0184839999999998E-2</v>
      </c>
      <c r="AA4721">
        <v>0.89557799999999999</v>
      </c>
      <c r="AB4721">
        <v>38</v>
      </c>
      <c r="AC4721">
        <v>0.57589999999998998</v>
      </c>
      <c r="AD4721">
        <v>-8.1056999999999907E-2</v>
      </c>
      <c r="AE4721">
        <v>-0.54014000000000095</v>
      </c>
      <c r="AF4721">
        <v>-0.431550525931857</v>
      </c>
      <c r="AG4721">
        <v>-8.1056999999999907E-2</v>
      </c>
      <c r="AH4721">
        <v>0.65133750990227302</v>
      </c>
      <c r="AI4721">
        <v>95.922811439844494</v>
      </c>
      <c r="AJ4721">
        <v>123.526883434189</v>
      </c>
      <c r="AK4721">
        <v>0.78552316674096601</v>
      </c>
      <c r="AL4721">
        <v>66.330237431503605</v>
      </c>
      <c r="AM4721">
        <v>104.813660551582</v>
      </c>
      <c r="AN4721">
        <v>1.00000003382262</v>
      </c>
    </row>
    <row r="4722" spans="1:40" x14ac:dyDescent="0.25">
      <c r="A4722" t="str">
        <f>"20190304164506071"</f>
        <v>20190304164506071</v>
      </c>
      <c r="B4722" t="str">
        <f>"1551689106065162"</f>
        <v>1551689106065162</v>
      </c>
      <c r="C4722" t="s">
        <v>40</v>
      </c>
      <c r="D4722">
        <v>4.8864710000000002</v>
      </c>
      <c r="E4722">
        <v>0.41189710000000002</v>
      </c>
      <c r="F4722" t="s">
        <v>41</v>
      </c>
      <c r="G4722">
        <v>-420.0444</v>
      </c>
      <c r="H4722">
        <v>1.025118</v>
      </c>
      <c r="I4722">
        <v>45.829039999999999</v>
      </c>
      <c r="J4722">
        <v>-420.68290000000002</v>
      </c>
      <c r="K4722">
        <v>1.117372</v>
      </c>
      <c r="L4722">
        <v>46.430689999999998</v>
      </c>
      <c r="M4722">
        <v>0.23452690000000001</v>
      </c>
      <c r="N4722">
        <v>-1.442774E-2</v>
      </c>
      <c r="O4722">
        <v>-0.97200260000000005</v>
      </c>
      <c r="P4722">
        <v>0.43111379999999999</v>
      </c>
      <c r="Q4722">
        <v>0.39184160000000001</v>
      </c>
      <c r="R4722">
        <v>-0.81277390000000005</v>
      </c>
      <c r="S4722">
        <v>2.21109</v>
      </c>
      <c r="T4722">
        <v>-0.29150160000000003</v>
      </c>
      <c r="U4722">
        <v>-2.6640320000000002</v>
      </c>
      <c r="V4722">
        <v>-0.2349337</v>
      </c>
      <c r="W4722">
        <v>0.40092990000000001</v>
      </c>
      <c r="X4722">
        <v>0.88547240000000005</v>
      </c>
      <c r="Y4722">
        <v>-0.43837029999999999</v>
      </c>
      <c r="Z4722">
        <v>7.2918739999999996E-2</v>
      </c>
      <c r="AA4722">
        <v>0.89583159999999895</v>
      </c>
      <c r="AB4722">
        <v>38</v>
      </c>
      <c r="AC4722">
        <v>0.63850000000002105</v>
      </c>
      <c r="AD4722">
        <v>-9.2254000000000003E-2</v>
      </c>
      <c r="AE4722">
        <v>-0.60165000000000601</v>
      </c>
      <c r="AF4722">
        <v>-0.47432545204492699</v>
      </c>
      <c r="AG4722">
        <v>-9.2254000000000003E-2</v>
      </c>
      <c r="AH4722">
        <v>0.72659270800537301</v>
      </c>
      <c r="AI4722">
        <v>96.068823994697993</v>
      </c>
      <c r="AJ4722">
        <v>123.136819290484</v>
      </c>
      <c r="AK4722">
        <v>0.87260093874588796</v>
      </c>
      <c r="AL4722">
        <v>66.363676094460303</v>
      </c>
      <c r="AM4722">
        <v>104.859367127396</v>
      </c>
      <c r="AN4722">
        <v>0.99999999963573005</v>
      </c>
    </row>
    <row r="4723" spans="1:40" x14ac:dyDescent="0.25">
      <c r="A4723" t="str">
        <f>"20190304164506085"</f>
        <v>20190304164506085</v>
      </c>
      <c r="B4723" t="str">
        <f>"1551689106074922"</f>
        <v>1551689106074922</v>
      </c>
      <c r="C4723" t="s">
        <v>40</v>
      </c>
      <c r="D4723">
        <v>4.9035650000000004</v>
      </c>
      <c r="E4723">
        <v>0.41162109999999902</v>
      </c>
      <c r="F4723" t="s">
        <v>49</v>
      </c>
      <c r="G4723">
        <v>-412.15379999999999</v>
      </c>
      <c r="H4723" s="1">
        <v>-3.9976770000000003E-6</v>
      </c>
      <c r="I4723">
        <v>36.278770000000002</v>
      </c>
      <c r="J4723">
        <v>-420.62860000000001</v>
      </c>
      <c r="K4723">
        <v>1.117443</v>
      </c>
      <c r="L4723">
        <v>46.22034</v>
      </c>
      <c r="M4723">
        <v>0.23841799999999999</v>
      </c>
      <c r="N4723">
        <v>-1.443416E-2</v>
      </c>
      <c r="O4723">
        <v>-0.97105549999999996</v>
      </c>
      <c r="P4723">
        <v>0.43480829999999998</v>
      </c>
      <c r="Q4723">
        <v>0.39183990000000002</v>
      </c>
      <c r="R4723">
        <v>-0.81080439999999998</v>
      </c>
      <c r="S4723">
        <v>2.2268680000000001</v>
      </c>
      <c r="T4723">
        <v>-0.29173640000000001</v>
      </c>
      <c r="U4723">
        <v>-2.6505740000000002</v>
      </c>
      <c r="V4723">
        <v>-0.23549310000000001</v>
      </c>
      <c r="W4723">
        <v>0.40088099999999999</v>
      </c>
      <c r="X4723">
        <v>0.88534590000000002</v>
      </c>
      <c r="Y4723">
        <v>-0.44013150000000001</v>
      </c>
      <c r="Z4723">
        <v>7.3034409999999994E-2</v>
      </c>
      <c r="AA4723">
        <v>0.89495820000000004</v>
      </c>
      <c r="AB4723">
        <v>38</v>
      </c>
      <c r="AC4723">
        <v>8.4748000000000108</v>
      </c>
      <c r="AD4723">
        <v>-1.1174469976770001</v>
      </c>
      <c r="AE4723">
        <v>-9.9415700000000005</v>
      </c>
      <c r="AF4723">
        <v>-5.8172967617885298</v>
      </c>
      <c r="AG4723">
        <v>-1.1174469976770001</v>
      </c>
      <c r="AH4723">
        <v>11.590766870747901</v>
      </c>
      <c r="AI4723">
        <v>94.924727865633699</v>
      </c>
      <c r="AJ4723">
        <v>116.651643645872</v>
      </c>
      <c r="AK4723">
        <v>13.0167394557685</v>
      </c>
      <c r="AL4723">
        <v>66.366733633495201</v>
      </c>
      <c r="AM4723">
        <v>104.89521151043699</v>
      </c>
      <c r="AN4723">
        <v>0.99999996947770897</v>
      </c>
    </row>
    <row r="4724" spans="1:40" x14ac:dyDescent="0.25">
      <c r="A4724" t="str">
        <f>"20190304164506103"</f>
        <v>20190304164506103</v>
      </c>
      <c r="B4724" t="str">
        <f>"1551689106095418"</f>
        <v>1551689106095418</v>
      </c>
      <c r="C4724" t="s">
        <v>40</v>
      </c>
      <c r="D4724">
        <v>4.8898650000000004</v>
      </c>
      <c r="E4724">
        <v>0.41186089999999997</v>
      </c>
      <c r="F4724" t="s">
        <v>41</v>
      </c>
      <c r="G4724">
        <v>-420.00540000000001</v>
      </c>
      <c r="H4724">
        <v>1.036411</v>
      </c>
      <c r="I4724">
        <v>45.486159999999998</v>
      </c>
      <c r="J4724">
        <v>-420.55930000000001</v>
      </c>
      <c r="K4724">
        <v>1.117542</v>
      </c>
      <c r="L4724">
        <v>45.955689999999997</v>
      </c>
      <c r="M4724">
        <v>0.24338409999999999</v>
      </c>
      <c r="N4724">
        <v>-1.4442450000000001E-2</v>
      </c>
      <c r="O4724">
        <v>-0.96982259999999998</v>
      </c>
      <c r="P4724">
        <v>0.43964330000000001</v>
      </c>
      <c r="Q4724">
        <v>0.39242369999999999</v>
      </c>
      <c r="R4724">
        <v>-0.80790980000000001</v>
      </c>
      <c r="S4724">
        <v>2.240326</v>
      </c>
      <c r="T4724">
        <v>-0.29131279999999998</v>
      </c>
      <c r="U4724">
        <v>-2.6394039999999999</v>
      </c>
      <c r="V4724">
        <v>-0.2364308</v>
      </c>
      <c r="W4724">
        <v>0.40139419999999998</v>
      </c>
      <c r="X4724">
        <v>0.88486339999999997</v>
      </c>
      <c r="Y4724">
        <v>-0.44006650000000003</v>
      </c>
      <c r="Z4724">
        <v>7.2925809999999994E-2</v>
      </c>
      <c r="AA4724">
        <v>0.89499910000000005</v>
      </c>
      <c r="AB4724">
        <v>38</v>
      </c>
      <c r="AC4724">
        <v>0.55389999999999795</v>
      </c>
      <c r="AD4724">
        <v>-8.1130999999999995E-2</v>
      </c>
      <c r="AE4724">
        <v>-0.469530000000006</v>
      </c>
      <c r="AF4724">
        <v>-0.417737712881108</v>
      </c>
      <c r="AG4724">
        <v>-8.1130999999999995E-2</v>
      </c>
      <c r="AH4724">
        <v>0.58295525488730104</v>
      </c>
      <c r="AI4724">
        <v>96.454181945782196</v>
      </c>
      <c r="AJ4724">
        <v>125.624862643783</v>
      </c>
      <c r="AK4724">
        <v>0.72175055602670501</v>
      </c>
      <c r="AL4724">
        <v>66.334635172652099</v>
      </c>
      <c r="AM4724">
        <v>104.959658327978</v>
      </c>
      <c r="AN4724">
        <v>1.0000000318209099</v>
      </c>
    </row>
    <row r="4725" spans="1:40" x14ac:dyDescent="0.25">
      <c r="A4725" t="str">
        <f>"20190304164506124"</f>
        <v>20190304164506124</v>
      </c>
      <c r="B4725" t="str">
        <f>"1551689106114509"</f>
        <v>1551689106114509</v>
      </c>
      <c r="C4725" t="s">
        <v>40</v>
      </c>
      <c r="D4725">
        <v>4.9158160000000004</v>
      </c>
      <c r="E4725">
        <v>0.41163889999999997</v>
      </c>
      <c r="F4725" t="s">
        <v>41</v>
      </c>
      <c r="G4725">
        <v>-419.89319999999998</v>
      </c>
      <c r="H4725">
        <v>1.0318889999999901</v>
      </c>
      <c r="I4725">
        <v>45.178789999999999</v>
      </c>
      <c r="J4725">
        <v>-420.46749999999997</v>
      </c>
      <c r="K4725">
        <v>1.1176790000000001</v>
      </c>
      <c r="L4725">
        <v>45.61392</v>
      </c>
      <c r="M4725">
        <v>0.249947</v>
      </c>
      <c r="N4725">
        <v>-1.445457E-2</v>
      </c>
      <c r="O4725">
        <v>-0.96815169999999995</v>
      </c>
      <c r="P4725">
        <v>0.44513380000000002</v>
      </c>
      <c r="Q4725">
        <v>0.39368530000000002</v>
      </c>
      <c r="R4725">
        <v>-0.80428120000000003</v>
      </c>
      <c r="S4725">
        <v>2.2534480000000001</v>
      </c>
      <c r="T4725">
        <v>-0.28972510000000001</v>
      </c>
      <c r="U4725">
        <v>-2.6277469999999998</v>
      </c>
      <c r="V4725">
        <v>-0.2367736</v>
      </c>
      <c r="W4725">
        <v>0.40257480000000001</v>
      </c>
      <c r="X4725">
        <v>0.88423510000000005</v>
      </c>
      <c r="Y4725">
        <v>-0.43854910000000003</v>
      </c>
      <c r="Z4725">
        <v>7.2469259999999994E-2</v>
      </c>
      <c r="AA4725">
        <v>0.89578060000000004</v>
      </c>
      <c r="AB4725">
        <v>38</v>
      </c>
      <c r="AC4725">
        <v>0.57429999999999304</v>
      </c>
      <c r="AD4725">
        <v>-8.5790000000000199E-2</v>
      </c>
      <c r="AE4725">
        <v>-0.43513000000000002</v>
      </c>
      <c r="AF4725">
        <v>-0.44104425448121798</v>
      </c>
      <c r="AG4725">
        <v>-8.5790000000000199E-2</v>
      </c>
      <c r="AH4725">
        <v>0.55697928833796295</v>
      </c>
      <c r="AI4725">
        <v>96.885337190399099</v>
      </c>
      <c r="AJ4725">
        <v>128.37395501104001</v>
      </c>
      <c r="AK4725">
        <v>0.71561573917037202</v>
      </c>
      <c r="AL4725">
        <v>66.260758333649704</v>
      </c>
      <c r="AM4725">
        <v>104.99053930237</v>
      </c>
      <c r="AN4725">
        <v>0.99999995966200395</v>
      </c>
    </row>
    <row r="4726" spans="1:40" x14ac:dyDescent="0.25">
      <c r="A4726" t="str">
        <f>"20190304164506144"</f>
        <v>20190304164506144</v>
      </c>
      <c r="B4726" t="str">
        <f>"1551689106135006"</f>
        <v>1551689106135006</v>
      </c>
      <c r="C4726" t="s">
        <v>40</v>
      </c>
      <c r="D4726">
        <v>4.9200299999999997</v>
      </c>
      <c r="E4726">
        <v>0.41208669999999997</v>
      </c>
      <c r="F4726" t="s">
        <v>41</v>
      </c>
      <c r="G4726">
        <v>-419.80939999999998</v>
      </c>
      <c r="H4726">
        <v>1.0349360000000001</v>
      </c>
      <c r="I4726">
        <v>44.857469999999999</v>
      </c>
      <c r="J4726">
        <v>-420.37349999999998</v>
      </c>
      <c r="K4726">
        <v>1.1178239999999999</v>
      </c>
      <c r="L4726">
        <v>45.273620000000001</v>
      </c>
      <c r="M4726">
        <v>0.25664799999999999</v>
      </c>
      <c r="N4726">
        <v>-1.4468369999999999E-2</v>
      </c>
      <c r="O4726">
        <v>-0.96639679999999994</v>
      </c>
      <c r="P4726">
        <v>0.45073570000000002</v>
      </c>
      <c r="Q4726">
        <v>0.3944588</v>
      </c>
      <c r="R4726">
        <v>-0.80077469999999995</v>
      </c>
      <c r="S4726">
        <v>2.2725219999999999</v>
      </c>
      <c r="T4726">
        <v>-0.2857288</v>
      </c>
      <c r="U4726">
        <v>-2.612152</v>
      </c>
      <c r="V4726">
        <v>-0.2370718</v>
      </c>
      <c r="W4726">
        <v>0.40326879999999998</v>
      </c>
      <c r="X4726">
        <v>0.88383899999999904</v>
      </c>
      <c r="Y4726">
        <v>-0.43875890000000001</v>
      </c>
      <c r="Z4726">
        <v>7.1300699999999995E-2</v>
      </c>
      <c r="AA4726">
        <v>0.8957716</v>
      </c>
      <c r="AB4726">
        <v>38</v>
      </c>
      <c r="AC4726">
        <v>0.56409999999999605</v>
      </c>
      <c r="AD4726">
        <v>-8.2887999999999795E-2</v>
      </c>
      <c r="AE4726">
        <v>-0.41615000000000102</v>
      </c>
      <c r="AF4726">
        <v>-0.43234135946053998</v>
      </c>
      <c r="AG4726">
        <v>-8.2887999999999795E-2</v>
      </c>
      <c r="AH4726">
        <v>0.53945587317348997</v>
      </c>
      <c r="AI4726">
        <v>96.836962357060401</v>
      </c>
      <c r="AJ4726">
        <v>128.71007135796</v>
      </c>
      <c r="AK4726">
        <v>0.69627732315906998</v>
      </c>
      <c r="AL4726">
        <v>66.217315136142105</v>
      </c>
      <c r="AM4726">
        <v>105.01499001256801</v>
      </c>
      <c r="AN4726">
        <v>1.00000007066483</v>
      </c>
    </row>
    <row r="4727" spans="1:40" x14ac:dyDescent="0.25">
      <c r="A4727" t="str">
        <f>"20190304164506167"</f>
        <v>20190304164506167</v>
      </c>
      <c r="B4727" t="str">
        <f>"1551689106165262"</f>
        <v>1551689106165262</v>
      </c>
      <c r="C4727" t="s">
        <v>40</v>
      </c>
      <c r="D4727">
        <v>4.8987170000000004</v>
      </c>
      <c r="E4727">
        <v>0.41196199999999999</v>
      </c>
      <c r="F4727" t="s">
        <v>41</v>
      </c>
      <c r="G4727">
        <v>-419.7244</v>
      </c>
      <c r="H4727">
        <v>1.037085</v>
      </c>
      <c r="I4727">
        <v>44.536610000000003</v>
      </c>
      <c r="J4727">
        <v>-420.2715</v>
      </c>
      <c r="K4727">
        <v>1.117988</v>
      </c>
      <c r="L4727">
        <v>44.914700000000003</v>
      </c>
      <c r="M4727">
        <v>0.26389410000000002</v>
      </c>
      <c r="N4727">
        <v>-1.4483609999999999E-2</v>
      </c>
      <c r="O4727">
        <v>-0.9644431</v>
      </c>
      <c r="P4727">
        <v>0.4571655</v>
      </c>
      <c r="Q4727">
        <v>0.3941829</v>
      </c>
      <c r="R4727">
        <v>-0.79725749999999995</v>
      </c>
      <c r="S4727">
        <v>2.2893680000000001</v>
      </c>
      <c r="T4727">
        <v>-0.28462310000000002</v>
      </c>
      <c r="U4727">
        <v>-2.597931</v>
      </c>
      <c r="V4727">
        <v>-0.2376675</v>
      </c>
      <c r="W4727">
        <v>0.4029083</v>
      </c>
      <c r="X4727">
        <v>0.88384339999999995</v>
      </c>
      <c r="Y4727">
        <v>-0.43773810000000002</v>
      </c>
      <c r="Z4727">
        <v>7.0967499999999906E-2</v>
      </c>
      <c r="AA4727">
        <v>0.89629729999999996</v>
      </c>
      <c r="AB4727">
        <v>38</v>
      </c>
      <c r="AC4727">
        <v>0.54710000000000003</v>
      </c>
      <c r="AD4727">
        <v>-8.0902999999999906E-2</v>
      </c>
      <c r="AE4727">
        <v>-0.37809000000000698</v>
      </c>
      <c r="AF4727">
        <v>-0.42167540427766098</v>
      </c>
      <c r="AG4727">
        <v>-8.0902999999999906E-2</v>
      </c>
      <c r="AH4727">
        <v>0.50165195924762596</v>
      </c>
      <c r="AI4727">
        <v>97.037713608055995</v>
      </c>
      <c r="AJ4727">
        <v>130.04952335831501</v>
      </c>
      <c r="AK4727">
        <v>0.66031063159600201</v>
      </c>
      <c r="AL4727">
        <v>66.239884483832299</v>
      </c>
      <c r="AM4727">
        <v>105.050937381559</v>
      </c>
      <c r="AN4727">
        <v>1.00000004724434</v>
      </c>
    </row>
    <row r="4728" spans="1:40" x14ac:dyDescent="0.25">
      <c r="A4728" t="str">
        <f>"20190304164506190"</f>
        <v>20190304164506190</v>
      </c>
      <c r="B4728" t="str">
        <f>"1551689106184785"</f>
        <v>1551689106184785</v>
      </c>
      <c r="C4728" t="s">
        <v>40</v>
      </c>
      <c r="D4728">
        <v>4.9302469999999996</v>
      </c>
      <c r="E4728">
        <v>0.41176499999999999</v>
      </c>
      <c r="F4728" t="s">
        <v>41</v>
      </c>
      <c r="G4728">
        <v>-419.6343</v>
      </c>
      <c r="H4728">
        <v>1.0389729999999999</v>
      </c>
      <c r="I4728">
        <v>44.204140000000002</v>
      </c>
      <c r="J4728">
        <v>-420.16300000000001</v>
      </c>
      <c r="K4728">
        <v>1.118166</v>
      </c>
      <c r="L4728">
        <v>44.544159999999998</v>
      </c>
      <c r="M4728">
        <v>0.27157769999999998</v>
      </c>
      <c r="N4728">
        <v>-1.449986E-2</v>
      </c>
      <c r="O4728">
        <v>-0.96230740000000003</v>
      </c>
      <c r="P4728">
        <v>0.46387149999999999</v>
      </c>
      <c r="Q4728">
        <v>0.39439039999999997</v>
      </c>
      <c r="R4728">
        <v>-0.79327139999999996</v>
      </c>
      <c r="S4728">
        <v>2.3115230000000002</v>
      </c>
      <c r="T4728">
        <v>-0.28678429999999999</v>
      </c>
      <c r="U4728">
        <v>-2.5791930000000001</v>
      </c>
      <c r="V4728">
        <v>-0.23827110000000001</v>
      </c>
      <c r="W4728">
        <v>0.40302130000000003</v>
      </c>
      <c r="X4728">
        <v>0.88362929999999995</v>
      </c>
      <c r="Y4728">
        <v>-0.43804670000000001</v>
      </c>
      <c r="Z4728">
        <v>7.1602120000000005E-2</v>
      </c>
      <c r="AA4728">
        <v>0.89609609999999995</v>
      </c>
      <c r="AB4728">
        <v>38</v>
      </c>
      <c r="AC4728">
        <v>0.52870000000001405</v>
      </c>
      <c r="AD4728">
        <v>-7.9193E-2</v>
      </c>
      <c r="AE4728">
        <v>-0.34001999999999499</v>
      </c>
      <c r="AF4728">
        <v>-0.40996690559188398</v>
      </c>
      <c r="AG4728">
        <v>-7.9193E-2</v>
      </c>
      <c r="AH4728">
        <v>0.46348008455113299</v>
      </c>
      <c r="AI4728">
        <v>97.293227940728002</v>
      </c>
      <c r="AJ4728">
        <v>131.49406126293999</v>
      </c>
      <c r="AK4728">
        <v>0.62382544329733003</v>
      </c>
      <c r="AL4728">
        <v>66.232809403403706</v>
      </c>
      <c r="AM4728">
        <v>105.09091028444</v>
      </c>
      <c r="AN4728">
        <v>1.0000000125836901</v>
      </c>
    </row>
    <row r="4729" spans="1:40" x14ac:dyDescent="0.25">
      <c r="A4729" t="str">
        <f>"20190304164506205"</f>
        <v>20190304164506205</v>
      </c>
      <c r="B4729" t="str">
        <f>"1551689106194542"</f>
        <v>1551689106194542</v>
      </c>
      <c r="C4729" t="s">
        <v>40</v>
      </c>
      <c r="D4729">
        <v>4.9424929999999998</v>
      </c>
      <c r="E4729">
        <v>0.41168060000000001</v>
      </c>
      <c r="F4729" t="s">
        <v>49</v>
      </c>
      <c r="G4729">
        <v>-411.05630000000002</v>
      </c>
      <c r="H4729" s="1">
        <v>-5.1773639999999996E-6</v>
      </c>
      <c r="I4729">
        <v>34.563160000000003</v>
      </c>
      <c r="J4729">
        <v>-420.09300000000002</v>
      </c>
      <c r="K4729">
        <v>1.118279</v>
      </c>
      <c r="L4729">
        <v>44.311610000000002</v>
      </c>
      <c r="M4729">
        <v>0.27652729999999998</v>
      </c>
      <c r="N4729">
        <v>-1.451118E-2</v>
      </c>
      <c r="O4729">
        <v>-0.96089669999999905</v>
      </c>
      <c r="P4729">
        <v>0.46791650000000001</v>
      </c>
      <c r="Q4729">
        <v>0.39430379999999998</v>
      </c>
      <c r="R4729">
        <v>-0.79093559999999996</v>
      </c>
      <c r="S4729">
        <v>2.3348689999999999</v>
      </c>
      <c r="T4729">
        <v>-0.28668700000000003</v>
      </c>
      <c r="U4729">
        <v>-2.559021</v>
      </c>
      <c r="V4729">
        <v>-0.23833190000000001</v>
      </c>
      <c r="W4729">
        <v>0.4028813</v>
      </c>
      <c r="X4729">
        <v>0.88367680000000004</v>
      </c>
      <c r="Y4729">
        <v>-0.4413974</v>
      </c>
      <c r="Z4729">
        <v>7.1614699999999906E-2</v>
      </c>
      <c r="AA4729">
        <v>0.89444939999999995</v>
      </c>
      <c r="AB4729">
        <v>37</v>
      </c>
      <c r="AC4729">
        <v>9.0366999999999909</v>
      </c>
      <c r="AD4729">
        <v>-1.118284177364</v>
      </c>
      <c r="AE4729">
        <v>-9.7484499999999894</v>
      </c>
      <c r="AF4729">
        <v>-5.9461677936940101</v>
      </c>
      <c r="AG4729">
        <v>-1.118284177364</v>
      </c>
      <c r="AH4729">
        <v>11.7839933011819</v>
      </c>
      <c r="AI4729">
        <v>94.842734161653198</v>
      </c>
      <c r="AJ4729">
        <v>116.775374934846</v>
      </c>
      <c r="AK4729">
        <v>13.246507805999499</v>
      </c>
      <c r="AL4729">
        <v>66.241575087292404</v>
      </c>
      <c r="AM4729">
        <v>105.093811002941</v>
      </c>
      <c r="AN4729">
        <v>1.00000006165276</v>
      </c>
    </row>
    <row r="4730" spans="1:40" x14ac:dyDescent="0.25">
      <c r="A4730" t="str">
        <f>"20190304164506223"</f>
        <v>20190304164506223</v>
      </c>
      <c r="B4730" t="str">
        <f>"1551689106214617"</f>
        <v>1551689106214617</v>
      </c>
      <c r="C4730" t="s">
        <v>40</v>
      </c>
      <c r="D4730">
        <v>4.9352900000000002</v>
      </c>
      <c r="E4730">
        <v>0.41150510000000001</v>
      </c>
      <c r="F4730" t="s">
        <v>41</v>
      </c>
      <c r="G4730">
        <v>-419.4307</v>
      </c>
      <c r="H4730">
        <v>1.0372779999999999</v>
      </c>
      <c r="I4730">
        <v>43.593530000000001</v>
      </c>
      <c r="J4730">
        <v>-420.00380000000001</v>
      </c>
      <c r="K4730">
        <v>1.1184179999999999</v>
      </c>
      <c r="L4730">
        <v>44.021210000000004</v>
      </c>
      <c r="M4730">
        <v>0.2828252</v>
      </c>
      <c r="N4730">
        <v>-1.4526229999999999E-2</v>
      </c>
      <c r="O4730">
        <v>-0.95906139999999995</v>
      </c>
      <c r="P4730">
        <v>0.47339599999999998</v>
      </c>
      <c r="Q4730">
        <v>0.3940977</v>
      </c>
      <c r="R4730">
        <v>-0.7877712</v>
      </c>
      <c r="S4730">
        <v>2.349243</v>
      </c>
      <c r="T4730">
        <v>-0.28724159999999999</v>
      </c>
      <c r="U4730">
        <v>-2.5463559999999998</v>
      </c>
      <c r="V4730">
        <v>-0.23878150000000001</v>
      </c>
      <c r="W4730">
        <v>0.40259800000000001</v>
      </c>
      <c r="X4730">
        <v>0.88368449999999998</v>
      </c>
      <c r="Y4730">
        <v>-0.44045200000000001</v>
      </c>
      <c r="Z4730">
        <v>7.1757260000000003E-2</v>
      </c>
      <c r="AA4730">
        <v>0.89490380000000003</v>
      </c>
      <c r="AB4730">
        <v>37</v>
      </c>
      <c r="AC4730">
        <v>0.57310000000001005</v>
      </c>
      <c r="AD4730">
        <v>-8.1139999999999907E-2</v>
      </c>
      <c r="AE4730">
        <v>-0.42767999999999501</v>
      </c>
      <c r="AF4730">
        <v>-0.42327498744893599</v>
      </c>
      <c r="AG4730">
        <v>-8.1139999999999907E-2</v>
      </c>
      <c r="AH4730">
        <v>0.56504396121716205</v>
      </c>
      <c r="AI4730">
        <v>96.556188994392997</v>
      </c>
      <c r="AJ4730">
        <v>126.836917137429</v>
      </c>
      <c r="AK4730">
        <v>0.71064765721690704</v>
      </c>
      <c r="AL4730">
        <v>66.259307839430704</v>
      </c>
      <c r="AM4730">
        <v>105.120856249121</v>
      </c>
      <c r="AN4730">
        <v>1.0000000249432399</v>
      </c>
    </row>
    <row r="4731" spans="1:40" x14ac:dyDescent="0.25">
      <c r="A4731" t="str">
        <f>"20190304164506237"</f>
        <v>20190304164506237</v>
      </c>
      <c r="B4731" t="str">
        <f>"1551689106225341"</f>
        <v>1551689106225341</v>
      </c>
      <c r="C4731" t="s">
        <v>40</v>
      </c>
      <c r="D4731">
        <v>4.9460620000000004</v>
      </c>
      <c r="E4731">
        <v>0.41147899999999998</v>
      </c>
      <c r="F4731" t="s">
        <v>41</v>
      </c>
      <c r="G4731">
        <v>-419.31659999999999</v>
      </c>
      <c r="H4731">
        <v>1.034843</v>
      </c>
      <c r="I4731">
        <v>43.287950000000002</v>
      </c>
      <c r="J4731">
        <v>-419.93950000000001</v>
      </c>
      <c r="K4731">
        <v>1.118522</v>
      </c>
      <c r="L4731">
        <v>43.815489999999997</v>
      </c>
      <c r="M4731">
        <v>0.28736209999999901</v>
      </c>
      <c r="N4731">
        <v>-1.4537410000000001E-2</v>
      </c>
      <c r="O4731">
        <v>-0.95771189999999995</v>
      </c>
      <c r="P4731">
        <v>0.47692800000000002</v>
      </c>
      <c r="Q4731">
        <v>0.39425850000000001</v>
      </c>
      <c r="R4731">
        <v>-0.78555710000000001</v>
      </c>
      <c r="S4731">
        <v>2.3699650000000001</v>
      </c>
      <c r="T4731">
        <v>-0.2881591</v>
      </c>
      <c r="U4731">
        <v>-2.5281370000000001</v>
      </c>
      <c r="V4731">
        <v>-0.23869580000000001</v>
      </c>
      <c r="W4731">
        <v>0.4027097</v>
      </c>
      <c r="X4731">
        <v>0.88365669999999996</v>
      </c>
      <c r="Y4731">
        <v>-0.44330920000000001</v>
      </c>
      <c r="Z4731">
        <v>7.2055560000000005E-2</v>
      </c>
      <c r="AA4731">
        <v>0.89346800000000004</v>
      </c>
      <c r="AB4731">
        <v>37</v>
      </c>
      <c r="AC4731">
        <v>0.622900000000015</v>
      </c>
      <c r="AD4731">
        <v>-8.3679000000000003E-2</v>
      </c>
      <c r="AE4731">
        <v>-0.52754000000000101</v>
      </c>
      <c r="AF4731">
        <v>-0.440382697423088</v>
      </c>
      <c r="AG4731">
        <v>-8.3679000000000003E-2</v>
      </c>
      <c r="AH4731">
        <v>0.67718483128335205</v>
      </c>
      <c r="AI4731">
        <v>95.914215696775699</v>
      </c>
      <c r="AJ4731">
        <v>123.036508410441</v>
      </c>
      <c r="AK4731">
        <v>0.81210737649087805</v>
      </c>
      <c r="AL4731">
        <v>66.252314815410301</v>
      </c>
      <c r="AM4731">
        <v>105.11613144176999</v>
      </c>
      <c r="AN4731">
        <v>0.99999997543330899</v>
      </c>
    </row>
    <row r="4732" spans="1:40" x14ac:dyDescent="0.25">
      <c r="A4732" t="str">
        <f>"20190304164506250"</f>
        <v>20190304164506250</v>
      </c>
      <c r="B4732" t="str">
        <f>"1551689106244861"</f>
        <v>1551689106244861</v>
      </c>
      <c r="C4732" t="s">
        <v>40</v>
      </c>
      <c r="D4732">
        <v>4.9354529999999999</v>
      </c>
      <c r="E4732">
        <v>0.41152030000000001</v>
      </c>
      <c r="F4732" t="s">
        <v>41</v>
      </c>
      <c r="G4732">
        <v>-419.1687</v>
      </c>
      <c r="H4732">
        <v>1.025477</v>
      </c>
      <c r="I4732">
        <v>43.001370000000001</v>
      </c>
      <c r="J4732">
        <v>-419.86810000000003</v>
      </c>
      <c r="K4732">
        <v>1.1186389999999999</v>
      </c>
      <c r="L4732">
        <v>43.592379999999999</v>
      </c>
      <c r="M4732">
        <v>0.29238069999999999</v>
      </c>
      <c r="N4732">
        <v>-1.455069E-2</v>
      </c>
      <c r="O4732">
        <v>-0.95619140000000002</v>
      </c>
      <c r="P4732">
        <v>0.48097450000000003</v>
      </c>
      <c r="Q4732">
        <v>0.3941926</v>
      </c>
      <c r="R4732">
        <v>-0.78311940000000002</v>
      </c>
      <c r="S4732">
        <v>2.3827210000000001</v>
      </c>
      <c r="T4732">
        <v>-0.28763460000000002</v>
      </c>
      <c r="U4732">
        <v>-2.5166930000000001</v>
      </c>
      <c r="V4732">
        <v>-0.23872650000000001</v>
      </c>
      <c r="W4732">
        <v>0.40258880000000002</v>
      </c>
      <c r="X4732">
        <v>0.88370349999999998</v>
      </c>
      <c r="Y4732">
        <v>-0.44303720000000002</v>
      </c>
      <c r="Z4732">
        <v>7.1886149999999996E-2</v>
      </c>
      <c r="AA4732">
        <v>0.89361639999999998</v>
      </c>
      <c r="AB4732">
        <v>37</v>
      </c>
      <c r="AC4732">
        <v>0.699400000000025</v>
      </c>
      <c r="AD4732">
        <v>-9.3161999999999898E-2</v>
      </c>
      <c r="AE4732">
        <v>-0.59100999999999704</v>
      </c>
      <c r="AF4732">
        <v>-0.49093099236680299</v>
      </c>
      <c r="AG4732">
        <v>-9.3161999999999898E-2</v>
      </c>
      <c r="AH4732">
        <v>0.76180540565428401</v>
      </c>
      <c r="AI4732">
        <v>95.869102981982394</v>
      </c>
      <c r="AJ4732">
        <v>122.79898556431399</v>
      </c>
      <c r="AK4732">
        <v>0.91106524112949305</v>
      </c>
      <c r="AL4732">
        <v>66.259882552095505</v>
      </c>
      <c r="AM4732">
        <v>105.11722263960699</v>
      </c>
      <c r="AN4732">
        <v>0.99999997979996902</v>
      </c>
    </row>
    <row r="4733" spans="1:40" x14ac:dyDescent="0.25">
      <c r="A4733" t="str">
        <f>"20190304164506264"</f>
        <v>20190304164506264</v>
      </c>
      <c r="B4733" t="str">
        <f>"1551689106254621"</f>
        <v>1551689106254621</v>
      </c>
      <c r="C4733" t="s">
        <v>40</v>
      </c>
      <c r="D4733">
        <v>4.9399550000000003</v>
      </c>
      <c r="E4733">
        <v>0.41149819999999998</v>
      </c>
      <c r="F4733" t="s">
        <v>41</v>
      </c>
      <c r="G4733">
        <v>-419.1866</v>
      </c>
      <c r="H4733">
        <v>1.036599</v>
      </c>
      <c r="I4733">
        <v>42.88017</v>
      </c>
      <c r="J4733">
        <v>-419.80180000000001</v>
      </c>
      <c r="K4733">
        <v>1.1187499999999999</v>
      </c>
      <c r="L4733">
        <v>43.388849999999998</v>
      </c>
      <c r="M4733">
        <v>0.29704380000000002</v>
      </c>
      <c r="N4733">
        <v>-1.456343E-2</v>
      </c>
      <c r="O4733">
        <v>-0.95475290000000002</v>
      </c>
      <c r="P4733">
        <v>0.48475819999999997</v>
      </c>
      <c r="Q4733">
        <v>0.3945652</v>
      </c>
      <c r="R4733">
        <v>-0.78059489999999998</v>
      </c>
      <c r="S4733">
        <v>2.3963619999999999</v>
      </c>
      <c r="T4733">
        <v>-0.2884697</v>
      </c>
      <c r="U4733">
        <v>-2.5042719999999998</v>
      </c>
      <c r="V4733">
        <v>-0.23886170000000001</v>
      </c>
      <c r="W4733">
        <v>0.40290480000000001</v>
      </c>
      <c r="X4733">
        <v>0.88352299999999995</v>
      </c>
      <c r="Y4733">
        <v>-0.4434072</v>
      </c>
      <c r="Z4733">
        <v>7.212433E-2</v>
      </c>
      <c r="AA4733">
        <v>0.89341380000000004</v>
      </c>
      <c r="AB4733">
        <v>37</v>
      </c>
      <c r="AC4733">
        <v>0.61520000000001496</v>
      </c>
      <c r="AD4733">
        <v>-8.2150999999999794E-2</v>
      </c>
      <c r="AE4733">
        <v>-0.50867999999999802</v>
      </c>
      <c r="AF4733">
        <v>-0.43173749016576501</v>
      </c>
      <c r="AG4733">
        <v>-8.2150999999999794E-2</v>
      </c>
      <c r="AH4733">
        <v>0.66147032188924304</v>
      </c>
      <c r="AI4733">
        <v>95.937524890365395</v>
      </c>
      <c r="AJ4733">
        <v>123.132230191999</v>
      </c>
      <c r="AK4733">
        <v>0.79415932529681499</v>
      </c>
      <c r="AL4733">
        <v>66.240103421654695</v>
      </c>
      <c r="AM4733">
        <v>105.128340388268</v>
      </c>
      <c r="AN4733">
        <v>1.00000004055946</v>
      </c>
    </row>
    <row r="4734" spans="1:40" x14ac:dyDescent="0.25">
      <c r="A4734" t="str">
        <f>"20190304164506279"</f>
        <v>20190304164506279</v>
      </c>
      <c r="B4734" t="str">
        <f>"1551689106275117"</f>
        <v>1551689106275117</v>
      </c>
      <c r="C4734" t="s">
        <v>40</v>
      </c>
      <c r="D4734">
        <v>4.957973</v>
      </c>
      <c r="E4734">
        <v>0.41148689999999999</v>
      </c>
      <c r="F4734" t="s">
        <v>41</v>
      </c>
      <c r="G4734">
        <v>-419.10480000000001</v>
      </c>
      <c r="H4734">
        <v>1.0355620000000001</v>
      </c>
      <c r="I4734">
        <v>42.667810000000003</v>
      </c>
      <c r="J4734">
        <v>-419.7201</v>
      </c>
      <c r="K4734">
        <v>1.1188910000000001</v>
      </c>
      <c r="L4734">
        <v>43.142180000000003</v>
      </c>
      <c r="M4734">
        <v>0.30277809999999999</v>
      </c>
      <c r="N4734">
        <v>-1.457898E-2</v>
      </c>
      <c r="O4734">
        <v>-0.95294959999999995</v>
      </c>
      <c r="P4734">
        <v>0.48940539999999999</v>
      </c>
      <c r="Q4734">
        <v>0.3952582</v>
      </c>
      <c r="R4734">
        <v>-0.77733750000000001</v>
      </c>
      <c r="S4734">
        <v>2.4097599999999999</v>
      </c>
      <c r="T4734">
        <v>-0.28753640000000003</v>
      </c>
      <c r="U4734">
        <v>-2.4920960000000001</v>
      </c>
      <c r="V4734">
        <v>-0.2390746</v>
      </c>
      <c r="W4734">
        <v>0.40352569999999999</v>
      </c>
      <c r="X4734">
        <v>0.88318189999999996</v>
      </c>
      <c r="Y4734">
        <v>-0.4427027</v>
      </c>
      <c r="Z4734">
        <v>7.1820590000000004E-2</v>
      </c>
      <c r="AA4734">
        <v>0.89378760000000002</v>
      </c>
      <c r="AB4734">
        <v>37</v>
      </c>
      <c r="AC4734">
        <v>0.61529999999998997</v>
      </c>
      <c r="AD4734">
        <v>-8.3328999999999903E-2</v>
      </c>
      <c r="AE4734">
        <v>-0.47437000000000001</v>
      </c>
      <c r="AF4734">
        <v>-0.43773264972195303</v>
      </c>
      <c r="AG4734">
        <v>-8.3328999999999903E-2</v>
      </c>
      <c r="AH4734">
        <v>0.631157410408549</v>
      </c>
      <c r="AI4734">
        <v>96.191684286940102</v>
      </c>
      <c r="AJ4734">
        <v>124.742839706214</v>
      </c>
      <c r="AK4734">
        <v>0.772601625410682</v>
      </c>
      <c r="AL4734">
        <v>66.201226171683402</v>
      </c>
      <c r="AM4734">
        <v>105.14678479862501</v>
      </c>
      <c r="AN4734">
        <v>0.99999996170662897</v>
      </c>
    </row>
    <row r="4735" spans="1:40" x14ac:dyDescent="0.25">
      <c r="A4735" t="str">
        <f>"20190304164506303"</f>
        <v>20190304164506303</v>
      </c>
      <c r="B4735" t="str">
        <f>"1551689106294647"</f>
        <v>1551689106294647</v>
      </c>
      <c r="C4735" t="s">
        <v>40</v>
      </c>
      <c r="D4735">
        <v>4.9506170000000003</v>
      </c>
      <c r="E4735">
        <v>0.41143550000000001</v>
      </c>
      <c r="F4735" t="s">
        <v>41</v>
      </c>
      <c r="G4735">
        <v>-418.96850000000001</v>
      </c>
      <c r="H4735">
        <v>1.0304580000000001</v>
      </c>
      <c r="I4735">
        <v>42.375230000000002</v>
      </c>
      <c r="J4735">
        <v>-419.59249999999997</v>
      </c>
      <c r="K4735">
        <v>1.1191009999999999</v>
      </c>
      <c r="L4735">
        <v>42.767609999999998</v>
      </c>
      <c r="M4735">
        <v>0.3117183</v>
      </c>
      <c r="N4735">
        <v>-1.4604239999999999E-2</v>
      </c>
      <c r="O4735">
        <v>-0.95006250000000003</v>
      </c>
      <c r="P4735">
        <v>0.49716379999999999</v>
      </c>
      <c r="Q4735">
        <v>0.39531159999999999</v>
      </c>
      <c r="R4735">
        <v>-0.77237109999999998</v>
      </c>
      <c r="S4735">
        <v>2.4268800000000001</v>
      </c>
      <c r="T4735">
        <v>-0.28556429999999999</v>
      </c>
      <c r="U4735">
        <v>-2.4765929999999998</v>
      </c>
      <c r="V4735">
        <v>-0.239845</v>
      </c>
      <c r="W4735">
        <v>0.40346110000000002</v>
      </c>
      <c r="X4735">
        <v>0.88300249999999902</v>
      </c>
      <c r="Y4735">
        <v>-0.44026759999999898</v>
      </c>
      <c r="Z4735">
        <v>7.1165259999999994E-2</v>
      </c>
      <c r="AA4735">
        <v>0.89504189999999995</v>
      </c>
      <c r="AB4735">
        <v>37</v>
      </c>
      <c r="AC4735">
        <v>0.62399999999996603</v>
      </c>
      <c r="AD4735">
        <v>-8.8643E-2</v>
      </c>
      <c r="AE4735">
        <v>-0.39237999999999501</v>
      </c>
      <c r="AF4735">
        <v>-0.46386875848574799</v>
      </c>
      <c r="AG4735">
        <v>-8.8643E-2</v>
      </c>
      <c r="AH4735">
        <v>0.55927016848098798</v>
      </c>
      <c r="AI4735">
        <v>96.955476640597794</v>
      </c>
      <c r="AJ4735">
        <v>129.67292404799099</v>
      </c>
      <c r="AK4735">
        <v>0.73199380318474205</v>
      </c>
      <c r="AL4735">
        <v>66.205271075711394</v>
      </c>
      <c r="AM4735">
        <v>105.196285523547</v>
      </c>
      <c r="AN4735">
        <v>0.999999949122228</v>
      </c>
    </row>
    <row r="4736" spans="1:40" x14ac:dyDescent="0.25">
      <c r="A4736" t="str">
        <f>"20190304164506335"</f>
        <v>20190304164506335</v>
      </c>
      <c r="B4736" t="str">
        <f>"1551689106324550"</f>
        <v>1551689106324550</v>
      </c>
      <c r="C4736" t="s">
        <v>40</v>
      </c>
      <c r="D4736">
        <v>4.9699099999999996</v>
      </c>
      <c r="E4736">
        <v>0.41182289999999999</v>
      </c>
      <c r="F4736" t="s">
        <v>41</v>
      </c>
      <c r="G4736">
        <v>-418.87950000000001</v>
      </c>
      <c r="H4736">
        <v>1.036009</v>
      </c>
      <c r="I4736">
        <v>42.055259999999997</v>
      </c>
      <c r="J4736">
        <v>-419.4187</v>
      </c>
      <c r="K4736">
        <v>1.119381</v>
      </c>
      <c r="L4736">
        <v>42.275120000000001</v>
      </c>
      <c r="M4736">
        <v>0.32384689999999999</v>
      </c>
      <c r="N4736">
        <v>-1.4639910000000001E-2</v>
      </c>
      <c r="O4736">
        <v>-0.94599619999999995</v>
      </c>
      <c r="P4736">
        <v>0.50751309999999905</v>
      </c>
      <c r="Q4736">
        <v>0.39492840000000001</v>
      </c>
      <c r="R4736">
        <v>-0.76580789999999999</v>
      </c>
      <c r="S4736">
        <v>2.4539789999999999</v>
      </c>
      <c r="T4736">
        <v>-0.28588999999999998</v>
      </c>
      <c r="U4736">
        <v>-2.4508670000000001</v>
      </c>
      <c r="V4736">
        <v>-0.2406478</v>
      </c>
      <c r="W4736">
        <v>0.40293089999999998</v>
      </c>
      <c r="X4736">
        <v>0.88302619999999898</v>
      </c>
      <c r="Y4736">
        <v>-0.43842789999999998</v>
      </c>
      <c r="Z4736">
        <v>7.1175199999999994E-2</v>
      </c>
      <c r="AA4736">
        <v>0.89594370000000001</v>
      </c>
      <c r="AB4736">
        <v>37</v>
      </c>
      <c r="AC4736">
        <v>0.53919999999999302</v>
      </c>
      <c r="AD4736">
        <v>-8.3372000000000002E-2</v>
      </c>
      <c r="AE4736">
        <v>-0.219860000000004</v>
      </c>
      <c r="AF4736">
        <v>-0.43011015168157701</v>
      </c>
      <c r="AG4736">
        <v>-8.3372000000000002E-2</v>
      </c>
      <c r="AH4736">
        <v>0.37495948466784301</v>
      </c>
      <c r="AI4736">
        <v>98.312763819401795</v>
      </c>
      <c r="AJ4736">
        <v>138.91888009387401</v>
      </c>
      <c r="AK4736">
        <v>0.57666302821138404</v>
      </c>
      <c r="AL4736">
        <v>66.238467771708599</v>
      </c>
      <c r="AM4736">
        <v>105.244396641371</v>
      </c>
      <c r="AN4736">
        <v>0.99999997185304401</v>
      </c>
    </row>
    <row r="4737" spans="1:40" x14ac:dyDescent="0.25">
      <c r="A4737" t="str">
        <f>"20190304164506357"</f>
        <v>20190304164506357</v>
      </c>
      <c r="B4737" t="str">
        <f>"1551689106345047"</f>
        <v>1551689106345047</v>
      </c>
      <c r="C4737" t="s">
        <v>40</v>
      </c>
      <c r="D4737">
        <v>4.9586969999999999</v>
      </c>
      <c r="E4737">
        <v>0.41184789999999999</v>
      </c>
      <c r="F4737" t="s">
        <v>41</v>
      </c>
      <c r="G4737">
        <v>-418.5985</v>
      </c>
      <c r="H4737">
        <v>1.023183</v>
      </c>
      <c r="I4737">
        <v>41.476469999999999</v>
      </c>
      <c r="J4737">
        <v>-419.2937</v>
      </c>
      <c r="K4737">
        <v>1.11958</v>
      </c>
      <c r="L4737">
        <v>41.934269999999998</v>
      </c>
      <c r="M4737">
        <v>0.33253349999999998</v>
      </c>
      <c r="N4737">
        <v>-1.466626E-2</v>
      </c>
      <c r="O4737">
        <v>-0.94297759999999997</v>
      </c>
      <c r="P4737">
        <v>0.51469609999999899</v>
      </c>
      <c r="Q4737">
        <v>0.39455210000000002</v>
      </c>
      <c r="R4737">
        <v>-0.7611945</v>
      </c>
      <c r="S4737">
        <v>2.48584</v>
      </c>
      <c r="T4737">
        <v>-0.29153759999999901</v>
      </c>
      <c r="U4737">
        <v>-2.4203800000000002</v>
      </c>
      <c r="V4737">
        <v>-0.24096229999999999</v>
      </c>
      <c r="W4737">
        <v>0.40245829999999999</v>
      </c>
      <c r="X4737">
        <v>0.88315599999999905</v>
      </c>
      <c r="Y4737">
        <v>-0.44145459999999898</v>
      </c>
      <c r="Z4737">
        <v>7.2817549999999995E-2</v>
      </c>
      <c r="AA4737">
        <v>0.89432400000000001</v>
      </c>
      <c r="AB4737">
        <v>37</v>
      </c>
      <c r="AC4737">
        <v>0.69519999999999904</v>
      </c>
      <c r="AD4737">
        <v>-9.6396999999999997E-2</v>
      </c>
      <c r="AE4737">
        <v>-0.45779999999999799</v>
      </c>
      <c r="AF4737">
        <v>-0.49671668557022403</v>
      </c>
      <c r="AG4737">
        <v>-9.6396999999999997E-2</v>
      </c>
      <c r="AH4737">
        <v>0.65417042207465204</v>
      </c>
      <c r="AI4737">
        <v>96.693596353256595</v>
      </c>
      <c r="AJ4737">
        <v>127.20968503264299</v>
      </c>
      <c r="AK4737">
        <v>0.82701800974960504</v>
      </c>
      <c r="AL4737">
        <v>66.268051520703693</v>
      </c>
      <c r="AM4737">
        <v>105.261251967066</v>
      </c>
      <c r="AN4737">
        <v>1.00000001679808</v>
      </c>
    </row>
    <row r="4738" spans="1:40" x14ac:dyDescent="0.25">
      <c r="A4738" t="str">
        <f>"20190304164506380"</f>
        <v>20190304164506380</v>
      </c>
      <c r="B4738" t="str">
        <f>"1551689106375303"</f>
        <v>1551689106375303</v>
      </c>
      <c r="C4738" t="s">
        <v>40</v>
      </c>
      <c r="D4738">
        <v>4.9564890000000004</v>
      </c>
      <c r="E4738">
        <v>0.41186899999999999</v>
      </c>
      <c r="F4738" t="s">
        <v>41</v>
      </c>
      <c r="G4738">
        <v>-418.49079999999998</v>
      </c>
      <c r="H4738">
        <v>1.0254779999999999</v>
      </c>
      <c r="I4738">
        <v>41.167380000000001</v>
      </c>
      <c r="J4738">
        <v>-419.15780000000001</v>
      </c>
      <c r="K4738">
        <v>1.119783</v>
      </c>
      <c r="L4738">
        <v>41.575069999999997</v>
      </c>
      <c r="M4738">
        <v>0.34191260000000001</v>
      </c>
      <c r="N4738">
        <v>-1.469493E-2</v>
      </c>
      <c r="O4738">
        <v>-0.93961709999999998</v>
      </c>
      <c r="P4738">
        <v>0.52266629999999903</v>
      </c>
      <c r="Q4738">
        <v>0.39446769999999998</v>
      </c>
      <c r="R4738">
        <v>-0.75578800000000002</v>
      </c>
      <c r="S4738">
        <v>2.5095830000000001</v>
      </c>
      <c r="T4738">
        <v>-0.29410350000000002</v>
      </c>
      <c r="U4738">
        <v>-2.3967290000000001</v>
      </c>
      <c r="V4738">
        <v>-0.2416336</v>
      </c>
      <c r="W4738">
        <v>0.40226529999999999</v>
      </c>
      <c r="X4738">
        <v>0.88306049999999903</v>
      </c>
      <c r="Y4738">
        <v>-0.44111519999999999</v>
      </c>
      <c r="Z4738">
        <v>7.3500570000000001E-2</v>
      </c>
      <c r="AA4738">
        <v>0.8944356</v>
      </c>
      <c r="AB4738">
        <v>37</v>
      </c>
      <c r="AC4738">
        <v>0.66700000000003001</v>
      </c>
      <c r="AD4738">
        <v>-9.4304999999999806E-2</v>
      </c>
      <c r="AE4738">
        <v>-0.407690000000002</v>
      </c>
      <c r="AF4738">
        <v>-0.48039155981889697</v>
      </c>
      <c r="AG4738">
        <v>-9.4304999999999806E-2</v>
      </c>
      <c r="AH4738">
        <v>0.602426843809023</v>
      </c>
      <c r="AI4738">
        <v>96.977845724719003</v>
      </c>
      <c r="AJ4738">
        <v>128.56981137557699</v>
      </c>
      <c r="AK4738">
        <v>0.77626515180828104</v>
      </c>
      <c r="AL4738">
        <v>66.280130278096607</v>
      </c>
      <c r="AM4738">
        <v>105.303355300547</v>
      </c>
      <c r="AN4738">
        <v>1.00000000744664</v>
      </c>
    </row>
    <row r="4739" spans="1:40" x14ac:dyDescent="0.25">
      <c r="A4739" t="str">
        <f>"20190304164506402"</f>
        <v>20190304164506402</v>
      </c>
      <c r="B4739" t="str">
        <f>"1551689106394832"</f>
        <v>1551689106394832</v>
      </c>
      <c r="C4739" t="s">
        <v>40</v>
      </c>
      <c r="D4739">
        <v>4.968191</v>
      </c>
      <c r="E4739">
        <v>0.41186889999999998</v>
      </c>
      <c r="F4739" t="s">
        <v>41</v>
      </c>
      <c r="G4739">
        <v>-418.38749999999999</v>
      </c>
      <c r="H4739">
        <v>1.029763</v>
      </c>
      <c r="I4739">
        <v>40.85501</v>
      </c>
      <c r="J4739">
        <v>-419.02730000000003</v>
      </c>
      <c r="K4739">
        <v>1.119985</v>
      </c>
      <c r="L4739">
        <v>41.239989999999999</v>
      </c>
      <c r="M4739">
        <v>0.35088789999999997</v>
      </c>
      <c r="N4739">
        <v>-1.4721919999999999E-2</v>
      </c>
      <c r="O4739">
        <v>-0.93630190000000002</v>
      </c>
      <c r="P4739">
        <v>0.52959009999999995</v>
      </c>
      <c r="Q4739">
        <v>0.39473330000000001</v>
      </c>
      <c r="R4739">
        <v>-0.75081309999999901</v>
      </c>
      <c r="S4739">
        <v>2.5362239999999998</v>
      </c>
      <c r="T4739">
        <v>-0.29629699999999998</v>
      </c>
      <c r="U4739">
        <v>-2.3700559999999999</v>
      </c>
      <c r="V4739">
        <v>-0.24154819999999999</v>
      </c>
      <c r="W4739">
        <v>0.402443</v>
      </c>
      <c r="X4739">
        <v>0.88300290000000003</v>
      </c>
      <c r="Y4739">
        <v>-0.44220799999999999</v>
      </c>
      <c r="Z4739">
        <v>7.4088619999999994E-2</v>
      </c>
      <c r="AA4739">
        <v>0.89384730000000001</v>
      </c>
      <c r="AB4739">
        <v>37</v>
      </c>
      <c r="AC4739">
        <v>0.63980000000003601</v>
      </c>
      <c r="AD4739">
        <v>-9.0221999999999997E-2</v>
      </c>
      <c r="AE4739">
        <v>-0.38497999999999799</v>
      </c>
      <c r="AF4739">
        <v>-0.45733448953133399</v>
      </c>
      <c r="AG4739">
        <v>-9.0221999999999997E-2</v>
      </c>
      <c r="AH4739">
        <v>0.57660080763728505</v>
      </c>
      <c r="AI4739">
        <v>96.989156808525394</v>
      </c>
      <c r="AJ4739">
        <v>128.41990971089299</v>
      </c>
      <c r="AK4739">
        <v>0.74146027268280201</v>
      </c>
      <c r="AL4739">
        <v>66.269008980284696</v>
      </c>
      <c r="AM4739">
        <v>105.299151300243</v>
      </c>
      <c r="AN4739">
        <v>1.00000001129032</v>
      </c>
    </row>
    <row r="4740" spans="1:40" x14ac:dyDescent="0.25">
      <c r="A4740" t="str">
        <f>"20190304164506423"</f>
        <v>20190304164506423</v>
      </c>
      <c r="B4740" t="str">
        <f>"1551689106414983"</f>
        <v>1551689106414983</v>
      </c>
      <c r="C4740" t="s">
        <v>40</v>
      </c>
      <c r="D4740">
        <v>4.9779910000000003</v>
      </c>
      <c r="E4740">
        <v>0.41193289999999999</v>
      </c>
      <c r="F4740" t="s">
        <v>41</v>
      </c>
      <c r="G4740">
        <v>-418.27330000000001</v>
      </c>
      <c r="H4740">
        <v>1.0327470000000001</v>
      </c>
      <c r="I4740">
        <v>40.549109999999999</v>
      </c>
      <c r="J4740">
        <v>-418.89640000000003</v>
      </c>
      <c r="K4740">
        <v>1.120193</v>
      </c>
      <c r="L4740">
        <v>40.913269999999997</v>
      </c>
      <c r="M4740">
        <v>0.35986420000000002</v>
      </c>
      <c r="N4740">
        <v>-1.475075E-2</v>
      </c>
      <c r="O4740">
        <v>-0.93288819999999995</v>
      </c>
      <c r="P4740">
        <v>0.53678789999999998</v>
      </c>
      <c r="Q4740">
        <v>0.3952077</v>
      </c>
      <c r="R4740">
        <v>-0.74543289999999995</v>
      </c>
      <c r="S4740">
        <v>2.5597530000000002</v>
      </c>
      <c r="T4740">
        <v>-0.29620360000000001</v>
      </c>
      <c r="U4740">
        <v>-2.3458559999999999</v>
      </c>
      <c r="V4740">
        <v>-0.24186389999999999</v>
      </c>
      <c r="W4740">
        <v>0.40281620000000001</v>
      </c>
      <c r="X4740">
        <v>0.88274629999999998</v>
      </c>
      <c r="Y4740">
        <v>-0.44229170000000001</v>
      </c>
      <c r="Z4740">
        <v>7.3988010000000007E-2</v>
      </c>
      <c r="AA4740">
        <v>0.8938142</v>
      </c>
      <c r="AB4740">
        <v>37</v>
      </c>
      <c r="AC4740">
        <v>0.62310000000002197</v>
      </c>
      <c r="AD4740">
        <v>-8.7446000000000093E-2</v>
      </c>
      <c r="AE4740">
        <v>-0.36416000000000498</v>
      </c>
      <c r="AF4740">
        <v>-0.44376849314438999</v>
      </c>
      <c r="AG4740">
        <v>-8.7446000000000093E-2</v>
      </c>
      <c r="AH4740">
        <v>0.555852810906874</v>
      </c>
      <c r="AI4740">
        <v>97.008984290373604</v>
      </c>
      <c r="AJ4740">
        <v>128.602330833189</v>
      </c>
      <c r="AK4740">
        <v>0.71662376866576005</v>
      </c>
      <c r="AL4740">
        <v>66.245649647074501</v>
      </c>
      <c r="AM4740">
        <v>105.322451830286</v>
      </c>
      <c r="AN4740">
        <v>1.0000000336346599</v>
      </c>
    </row>
    <row r="4741" spans="1:40" x14ac:dyDescent="0.25">
      <c r="A4741" t="str">
        <f>"20190304164506446"</f>
        <v>20190304164506446</v>
      </c>
      <c r="B4741" t="str">
        <f>"1551689106434507"</f>
        <v>1551689106434507</v>
      </c>
      <c r="C4741" t="s">
        <v>40</v>
      </c>
      <c r="D4741">
        <v>4.9651969999999999</v>
      </c>
      <c r="E4741">
        <v>0.41197479999999997</v>
      </c>
      <c r="F4741" t="s">
        <v>41</v>
      </c>
      <c r="G4741">
        <v>-418.15410000000003</v>
      </c>
      <c r="H4741">
        <v>1.0351250000000001</v>
      </c>
      <c r="I4741">
        <v>40.246169999999999</v>
      </c>
      <c r="J4741">
        <v>-418.75659999999999</v>
      </c>
      <c r="K4741">
        <v>1.1204229999999999</v>
      </c>
      <c r="L4741">
        <v>40.574800000000003</v>
      </c>
      <c r="M4741">
        <v>0.36940410000000001</v>
      </c>
      <c r="N4741">
        <v>-1.4783940000000001E-2</v>
      </c>
      <c r="O4741">
        <v>-0.92915130000000001</v>
      </c>
      <c r="P4741">
        <v>0.54426319999999995</v>
      </c>
      <c r="Q4741">
        <v>0.39688689999999999</v>
      </c>
      <c r="R4741">
        <v>-0.73909320000000001</v>
      </c>
      <c r="S4741">
        <v>2.5833439999999999</v>
      </c>
      <c r="T4741">
        <v>-0.296014</v>
      </c>
      <c r="U4741">
        <v>-2.321167</v>
      </c>
      <c r="V4741">
        <v>-0.2422917</v>
      </c>
      <c r="W4741">
        <v>0.40437810000000002</v>
      </c>
      <c r="X4741">
        <v>0.88191439999999999</v>
      </c>
      <c r="Y4741">
        <v>-0.44190180000000001</v>
      </c>
      <c r="Z4741">
        <v>7.3835429999999994E-2</v>
      </c>
      <c r="AA4741">
        <v>0.89401969999999997</v>
      </c>
      <c r="AB4741">
        <v>37</v>
      </c>
      <c r="AC4741">
        <v>0.60249999999996295</v>
      </c>
      <c r="AD4741">
        <v>-8.5297999999999805E-2</v>
      </c>
      <c r="AE4741">
        <v>-0.32863000000000397</v>
      </c>
      <c r="AF4741">
        <v>-0.43179422376496601</v>
      </c>
      <c r="AG4741">
        <v>-8.5297999999999805E-2</v>
      </c>
      <c r="AH4741">
        <v>0.51993897449402704</v>
      </c>
      <c r="AI4741">
        <v>97.193107103167506</v>
      </c>
      <c r="AJ4741">
        <v>129.70864702038099</v>
      </c>
      <c r="AK4741">
        <v>0.68121842141760303</v>
      </c>
      <c r="AL4741">
        <v>66.147837485947093</v>
      </c>
      <c r="AM4741">
        <v>105.362070833191</v>
      </c>
      <c r="AN4741">
        <v>0.99999996228792898</v>
      </c>
    </row>
    <row r="4742" spans="1:40" x14ac:dyDescent="0.25">
      <c r="A4742" t="str">
        <f>"20190304164506470"</f>
        <v>20190304164506470</v>
      </c>
      <c r="B4742" t="str">
        <f>"1551689106464759"</f>
        <v>1551689106464759</v>
      </c>
      <c r="C4742" t="s">
        <v>40</v>
      </c>
      <c r="D4742">
        <v>4.9601769999999998</v>
      </c>
      <c r="E4742">
        <v>0.41198869999999999</v>
      </c>
      <c r="F4742" t="s">
        <v>41</v>
      </c>
      <c r="G4742">
        <v>-418.03730000000002</v>
      </c>
      <c r="H4742">
        <v>1.0397529999999999</v>
      </c>
      <c r="I4742">
        <v>39.941270000000003</v>
      </c>
      <c r="J4742">
        <v>-418.60500000000002</v>
      </c>
      <c r="K4742">
        <v>1.1206640000000001</v>
      </c>
      <c r="L4742">
        <v>40.218539999999997</v>
      </c>
      <c r="M4742">
        <v>0.3797046</v>
      </c>
      <c r="N4742">
        <v>-1.482121E-2</v>
      </c>
      <c r="O4742">
        <v>-0.92498910000000001</v>
      </c>
      <c r="P4742">
        <v>0.55245359999999999</v>
      </c>
      <c r="Q4742">
        <v>0.3999104</v>
      </c>
      <c r="R4742">
        <v>-0.731346099999999</v>
      </c>
      <c r="S4742">
        <v>2.6073</v>
      </c>
      <c r="T4742">
        <v>-0.2923751</v>
      </c>
      <c r="U4742">
        <v>-2.2960210000000001</v>
      </c>
      <c r="V4742">
        <v>-0.2432395</v>
      </c>
      <c r="W4742">
        <v>0.407254</v>
      </c>
      <c r="X4742">
        <v>0.88032880000000002</v>
      </c>
      <c r="Y4742">
        <v>-0.44094480000000003</v>
      </c>
      <c r="Z4742">
        <v>7.2649749999999999E-2</v>
      </c>
      <c r="AA4742">
        <v>0.89458909999999903</v>
      </c>
      <c r="AB4742">
        <v>37</v>
      </c>
      <c r="AC4742">
        <v>0.56770000000000198</v>
      </c>
      <c r="AD4742">
        <v>-8.0910999999999705E-2</v>
      </c>
      <c r="AE4742">
        <v>-0.27727000000000102</v>
      </c>
      <c r="AF4742">
        <v>-0.41310642816356402</v>
      </c>
      <c r="AG4742">
        <v>-8.0910999999999705E-2</v>
      </c>
      <c r="AH4742">
        <v>0.46446425970469801</v>
      </c>
      <c r="AI4742">
        <v>97.416272724376498</v>
      </c>
      <c r="AJ4742">
        <v>131.650714803564</v>
      </c>
      <c r="AK4742">
        <v>0.62684173397604204</v>
      </c>
      <c r="AL4742">
        <v>65.967549201664895</v>
      </c>
      <c r="AM4742">
        <v>105.445757198325</v>
      </c>
      <c r="AN4742">
        <v>1.00000003549284</v>
      </c>
    </row>
    <row r="4743" spans="1:40" x14ac:dyDescent="0.25">
      <c r="A4743" t="str">
        <f>"20190304164506492"</f>
        <v>20190304164506492</v>
      </c>
      <c r="B4743" t="str">
        <f>"1551689106485254"</f>
        <v>1551689106485254</v>
      </c>
      <c r="C4743" t="s">
        <v>40</v>
      </c>
      <c r="D4743">
        <v>4.9740919999999997</v>
      </c>
      <c r="E4743">
        <v>0.41202509999999998</v>
      </c>
      <c r="F4743" t="s">
        <v>41</v>
      </c>
      <c r="G4743">
        <v>-417.8716</v>
      </c>
      <c r="H4743">
        <v>1.041274</v>
      </c>
      <c r="I4743">
        <v>39.58672</v>
      </c>
      <c r="J4743">
        <v>-418.46129999999999</v>
      </c>
      <c r="K4743">
        <v>1.1208739999999999</v>
      </c>
      <c r="L4743">
        <v>39.89114</v>
      </c>
      <c r="M4743">
        <v>0.38940940000000002</v>
      </c>
      <c r="N4743">
        <v>-1.485656E-2</v>
      </c>
      <c r="O4743">
        <v>-0.92094520000000002</v>
      </c>
      <c r="P4743">
        <v>0.5607548</v>
      </c>
      <c r="Q4743">
        <v>0.40071279999999998</v>
      </c>
      <c r="R4743">
        <v>-0.72455740000000002</v>
      </c>
      <c r="S4743">
        <v>2.633972</v>
      </c>
      <c r="T4743">
        <v>-0.28503859999999998</v>
      </c>
      <c r="U4743">
        <v>-2.2682190000000002</v>
      </c>
      <c r="V4743">
        <v>-0.2444334</v>
      </c>
      <c r="W4743">
        <v>0.40792499999999998</v>
      </c>
      <c r="X4743">
        <v>0.879687199999999</v>
      </c>
      <c r="Y4743">
        <v>-0.44155179999999999</v>
      </c>
      <c r="Z4743">
        <v>7.0415370000000005E-2</v>
      </c>
      <c r="AA4743">
        <v>0.89446840000000005</v>
      </c>
      <c r="AB4743">
        <v>37</v>
      </c>
      <c r="AC4743">
        <v>0.58969999999999301</v>
      </c>
      <c r="AD4743">
        <v>-7.9599999999999893E-2</v>
      </c>
      <c r="AE4743">
        <v>-0.30442000000000002</v>
      </c>
      <c r="AF4743">
        <v>-0.41856240120218102</v>
      </c>
      <c r="AG4743">
        <v>-7.9599999999999893E-2</v>
      </c>
      <c r="AH4743">
        <v>0.50281123607965705</v>
      </c>
      <c r="AI4743">
        <v>96.937092438770605</v>
      </c>
      <c r="AJ4743">
        <v>129.77549987677199</v>
      </c>
      <c r="AK4743">
        <v>0.65905218520849196</v>
      </c>
      <c r="AL4743">
        <v>65.9254477678478</v>
      </c>
      <c r="AM4743">
        <v>105.52869693350399</v>
      </c>
      <c r="AN4743">
        <v>1.0000000312521899</v>
      </c>
    </row>
    <row r="4744" spans="1:40" x14ac:dyDescent="0.25">
      <c r="A4744" t="str">
        <f>"20190304164506516"</f>
        <v>20190304164506516</v>
      </c>
      <c r="B4744" t="str">
        <f>"1551689106505300"</f>
        <v>1551689106505300</v>
      </c>
      <c r="C4744" t="s">
        <v>40</v>
      </c>
      <c r="D4744">
        <v>4.9646080000000001</v>
      </c>
      <c r="E4744">
        <v>0.41212359999999998</v>
      </c>
      <c r="F4744" t="s">
        <v>49</v>
      </c>
      <c r="G4744">
        <v>-408.76260000000002</v>
      </c>
      <c r="H4744">
        <v>7.9987429999999998E-2</v>
      </c>
      <c r="I4744">
        <v>31.716930000000001</v>
      </c>
      <c r="J4744">
        <v>-418.30919999999998</v>
      </c>
      <c r="K4744">
        <v>1.1210739999999999</v>
      </c>
      <c r="L4744">
        <v>39.554929999999999</v>
      </c>
      <c r="M4744">
        <v>0.39960400000000001</v>
      </c>
      <c r="N4744">
        <v>-1.4893139999999999E-2</v>
      </c>
      <c r="O4744">
        <v>-0.91656709999999997</v>
      </c>
      <c r="P4744">
        <v>0.57021369999999905</v>
      </c>
      <c r="Q4744">
        <v>0.39848460000000002</v>
      </c>
      <c r="R4744">
        <v>-0.71837799999999996</v>
      </c>
      <c r="S4744">
        <v>2.658569</v>
      </c>
      <c r="T4744">
        <v>-0.28532479999999999</v>
      </c>
      <c r="U4744">
        <v>-2.2406920000000001</v>
      </c>
      <c r="V4744">
        <v>-0.24589050000000001</v>
      </c>
      <c r="W4744">
        <v>0.40557749999999998</v>
      </c>
      <c r="X4744">
        <v>0.88036630000000005</v>
      </c>
      <c r="Y4744">
        <v>-0.44109739999999997</v>
      </c>
      <c r="Z4744">
        <v>7.0374320000000004E-2</v>
      </c>
      <c r="AA4744">
        <v>0.89469580000000004</v>
      </c>
      <c r="AB4744">
        <v>37</v>
      </c>
      <c r="AC4744">
        <v>9.54659999999995</v>
      </c>
      <c r="AD4744">
        <v>-1.0410865699999901</v>
      </c>
      <c r="AE4744">
        <v>-7.8380000000000001</v>
      </c>
      <c r="AF4744">
        <v>-5.5789924892769198</v>
      </c>
      <c r="AG4744">
        <v>-1.0410865699999901</v>
      </c>
      <c r="AH4744">
        <v>10.9225371625182</v>
      </c>
      <c r="AI4744">
        <v>94.851843605093904</v>
      </c>
      <c r="AJ4744">
        <v>117.056948852489</v>
      </c>
      <c r="AK4744">
        <v>12.3089738202757</v>
      </c>
      <c r="AL4744">
        <v>66.072679549707502</v>
      </c>
      <c r="AM4744">
        <v>105.605301554855</v>
      </c>
      <c r="AN4744">
        <v>1.00000003433609</v>
      </c>
    </row>
    <row r="4745" spans="1:40" x14ac:dyDescent="0.25">
      <c r="A4745" t="str">
        <f>"20190304164506537"</f>
        <v>20190304164506537</v>
      </c>
      <c r="B4745" t="str">
        <f>"1551689106524800"</f>
        <v>1551689106524800</v>
      </c>
      <c r="C4745" t="s">
        <v>40</v>
      </c>
      <c r="D4745">
        <v>4.9778409999999997</v>
      </c>
      <c r="E4745">
        <v>0.41221039999999998</v>
      </c>
      <c r="F4745" t="s">
        <v>41</v>
      </c>
      <c r="G4745">
        <v>-417.42169999999999</v>
      </c>
      <c r="H4745">
        <v>1.023013</v>
      </c>
      <c r="I4745">
        <v>38.824129999999997</v>
      </c>
      <c r="J4745">
        <v>-418.15219999999999</v>
      </c>
      <c r="K4745">
        <v>1.1212610000000001</v>
      </c>
      <c r="L4745">
        <v>39.21884</v>
      </c>
      <c r="M4745">
        <v>0.41002329999999998</v>
      </c>
      <c r="N4745">
        <v>-1.492926E-2</v>
      </c>
      <c r="O4745">
        <v>-0.91195289999999996</v>
      </c>
      <c r="P4745">
        <v>0.57986470000000001</v>
      </c>
      <c r="Q4745">
        <v>0.39601249999999999</v>
      </c>
      <c r="R4745">
        <v>-0.71199060000000003</v>
      </c>
      <c r="S4745">
        <v>2.684113</v>
      </c>
      <c r="T4745">
        <v>-0.29656090000000002</v>
      </c>
      <c r="U4745">
        <v>-2.2100219999999999</v>
      </c>
      <c r="V4745">
        <v>-0.24733279999999999</v>
      </c>
      <c r="W4745">
        <v>0.40299479999999999</v>
      </c>
      <c r="X4745">
        <v>0.88114799999999904</v>
      </c>
      <c r="Y4745">
        <v>-0.44095000000000001</v>
      </c>
      <c r="Z4745">
        <v>7.3497519999999997E-2</v>
      </c>
      <c r="AA4745">
        <v>0.89451729999999996</v>
      </c>
      <c r="AB4745">
        <v>37</v>
      </c>
      <c r="AC4745">
        <v>0.73050000000000603</v>
      </c>
      <c r="AD4745">
        <v>-9.8248000000000099E-2</v>
      </c>
      <c r="AE4745">
        <v>-0.394710000000003</v>
      </c>
      <c r="AF4745">
        <v>-0.49743292254659399</v>
      </c>
      <c r="AG4745">
        <v>-9.8248000000000099E-2</v>
      </c>
      <c r="AH4745">
        <v>0.65044552865959304</v>
      </c>
      <c r="AI4745">
        <v>96.841789652337894</v>
      </c>
      <c r="AJ4745">
        <v>127.407213101545</v>
      </c>
      <c r="AK4745">
        <v>0.82472514675527198</v>
      </c>
      <c r="AL4745">
        <v>66.234469638124494</v>
      </c>
      <c r="AM4745">
        <v>105.67910283272801</v>
      </c>
      <c r="AN4745">
        <v>1.00000006034343</v>
      </c>
    </row>
    <row r="4746" spans="1:40" x14ac:dyDescent="0.25">
      <c r="A4746" t="str">
        <f>"20190304164506558"</f>
        <v>20190304164506558</v>
      </c>
      <c r="B4746" t="str">
        <f>"1551689106555056"</f>
        <v>1551689106555056</v>
      </c>
      <c r="C4746" t="s">
        <v>40</v>
      </c>
      <c r="D4746">
        <v>4.9761899999999999</v>
      </c>
      <c r="E4746">
        <v>0.41232020000000003</v>
      </c>
      <c r="F4746" t="s">
        <v>41</v>
      </c>
      <c r="G4746">
        <v>-417.29230000000001</v>
      </c>
      <c r="H4746">
        <v>1.0232870000000001</v>
      </c>
      <c r="I4746">
        <v>38.527180000000001</v>
      </c>
      <c r="J4746">
        <v>-418.00450000000001</v>
      </c>
      <c r="K4746">
        <v>1.121416</v>
      </c>
      <c r="L4746">
        <v>38.911470000000001</v>
      </c>
      <c r="M4746">
        <v>0.41970550000000001</v>
      </c>
      <c r="N4746">
        <v>-1.4960380000000001E-2</v>
      </c>
      <c r="O4746">
        <v>-0.90753709999999999</v>
      </c>
      <c r="P4746">
        <v>0.58839680000000005</v>
      </c>
      <c r="Q4746">
        <v>0.39539049999999998</v>
      </c>
      <c r="R4746">
        <v>-0.70530550000000003</v>
      </c>
      <c r="S4746">
        <v>2.7096559999999998</v>
      </c>
      <c r="T4746">
        <v>-0.30859959999999997</v>
      </c>
      <c r="U4746">
        <v>-2.1783450000000002</v>
      </c>
      <c r="V4746">
        <v>-0.24857609999999999</v>
      </c>
      <c r="W4746">
        <v>0.40227099999999999</v>
      </c>
      <c r="X4746">
        <v>0.88112880000000005</v>
      </c>
      <c r="Y4746">
        <v>-0.44164940000000003</v>
      </c>
      <c r="Z4746">
        <v>7.6861869999999999E-2</v>
      </c>
      <c r="AA4746">
        <v>0.8938893</v>
      </c>
      <c r="AB4746">
        <v>37</v>
      </c>
      <c r="AC4746">
        <v>0.71219999999999495</v>
      </c>
      <c r="AD4746">
        <v>-9.8128999999999897E-2</v>
      </c>
      <c r="AE4746">
        <v>-0.38429000000000002</v>
      </c>
      <c r="AF4746">
        <v>-0.47808414780292002</v>
      </c>
      <c r="AG4746">
        <v>-9.8128999999999897E-2</v>
      </c>
      <c r="AH4746">
        <v>0.63835817631564296</v>
      </c>
      <c r="AI4746">
        <v>97.014419233899304</v>
      </c>
      <c r="AJ4746">
        <v>126.830558468777</v>
      </c>
      <c r="AK4746">
        <v>0.80355143848447996</v>
      </c>
      <c r="AL4746">
        <v>66.279773333333594</v>
      </c>
      <c r="AM4746">
        <v>105.75434144155101</v>
      </c>
      <c r="AN4746">
        <v>0.999999998560825</v>
      </c>
    </row>
    <row r="4747" spans="1:40" x14ac:dyDescent="0.25">
      <c r="A4747" t="str">
        <f>"20190304164506582"</f>
        <v>20190304164506582</v>
      </c>
      <c r="B4747" t="str">
        <f>"1551689106574576"</f>
        <v>1551689106574576</v>
      </c>
      <c r="C4747" t="s">
        <v>40</v>
      </c>
      <c r="D4747">
        <v>5.2680150000000001</v>
      </c>
      <c r="E4747">
        <v>0.42109809999999998</v>
      </c>
      <c r="F4747" t="s">
        <v>41</v>
      </c>
      <c r="G4747">
        <v>-417.14980000000003</v>
      </c>
      <c r="H4747">
        <v>1.023261</v>
      </c>
      <c r="I4747">
        <v>38.239539999999998</v>
      </c>
      <c r="J4747">
        <v>-417.83580000000001</v>
      </c>
      <c r="K4747">
        <v>1.121591</v>
      </c>
      <c r="L4747">
        <v>38.570830000000001</v>
      </c>
      <c r="M4747">
        <v>0.43059989999999998</v>
      </c>
      <c r="N4747">
        <v>-1.4991630000000001E-2</v>
      </c>
      <c r="O4747">
        <v>-0.90241870000000002</v>
      </c>
      <c r="P4747">
        <v>0.59666399999999997</v>
      </c>
      <c r="Q4747">
        <v>0.39651609999999998</v>
      </c>
      <c r="R4747">
        <v>-0.69768719999999995</v>
      </c>
      <c r="S4747">
        <v>2.733215</v>
      </c>
      <c r="T4747">
        <v>-0.31393710000000002</v>
      </c>
      <c r="U4747">
        <v>-2.1492610000000001</v>
      </c>
      <c r="V4747">
        <v>-0.24881429999999999</v>
      </c>
      <c r="W4747">
        <v>0.40331410000000001</v>
      </c>
      <c r="X4747">
        <v>0.88058459999999905</v>
      </c>
      <c r="Y4747">
        <v>-0.44038260000000001</v>
      </c>
      <c r="Z4747">
        <v>7.8207540000000006E-2</v>
      </c>
      <c r="AA4747">
        <v>0.89439740000000001</v>
      </c>
      <c r="AB4747">
        <v>37</v>
      </c>
      <c r="AC4747">
        <v>0.68599999999997796</v>
      </c>
      <c r="AD4747">
        <v>-9.8330000000000001E-2</v>
      </c>
      <c r="AE4747">
        <v>-0.33128999999999498</v>
      </c>
      <c r="AF4747">
        <v>-0.46865133389115599</v>
      </c>
      <c r="AG4747">
        <v>-9.8330000000000001E-2</v>
      </c>
      <c r="AH4747">
        <v>0.58467952979831495</v>
      </c>
      <c r="AI4747">
        <v>97.4759337040974</v>
      </c>
      <c r="AJ4747">
        <v>128.71400573967401</v>
      </c>
      <c r="AK4747">
        <v>0.75574666008070401</v>
      </c>
      <c r="AL4747">
        <v>66.214477681511397</v>
      </c>
      <c r="AM4747">
        <v>105.777947561593</v>
      </c>
      <c r="AN4747">
        <v>1.00000002845022</v>
      </c>
    </row>
    <row r="4748" spans="1:40" x14ac:dyDescent="0.25">
      <c r="A4748" t="str">
        <f>"20190304164506603"</f>
        <v>20190304164506603</v>
      </c>
      <c r="B4748" t="str">
        <f>"1551689106595072"</f>
        <v>1551689106595072</v>
      </c>
      <c r="C4748" t="s">
        <v>40</v>
      </c>
      <c r="D4748">
        <v>5.1282899999999998</v>
      </c>
      <c r="E4748">
        <v>0.47780489999999998</v>
      </c>
      <c r="F4748" t="s">
        <v>41</v>
      </c>
      <c r="G4748">
        <v>-417.03530000000001</v>
      </c>
      <c r="H4748">
        <v>1.00993</v>
      </c>
      <c r="I4748">
        <v>37.929859999999998</v>
      </c>
      <c r="J4748">
        <v>-417.67500000000001</v>
      </c>
      <c r="K4748">
        <v>1.1217299999999999</v>
      </c>
      <c r="L4748">
        <v>38.255279999999999</v>
      </c>
      <c r="M4748">
        <v>0.44082660000000001</v>
      </c>
      <c r="N4748">
        <v>-1.501826E-2</v>
      </c>
      <c r="O4748">
        <v>-0.89746700000000001</v>
      </c>
      <c r="P4748">
        <v>0.60379519999999998</v>
      </c>
      <c r="Q4748">
        <v>0.39847870000000002</v>
      </c>
      <c r="R4748">
        <v>-0.69039600000000001</v>
      </c>
      <c r="S4748">
        <v>2.7276310000000001</v>
      </c>
      <c r="T4748">
        <v>-0.38039699999999999</v>
      </c>
      <c r="U4748">
        <v>-2.1834410000000002</v>
      </c>
      <c r="V4748">
        <v>-0.24853130000000001</v>
      </c>
      <c r="W4748">
        <v>0.4052152</v>
      </c>
      <c r="X4748">
        <v>0.87979130000000005</v>
      </c>
      <c r="Y4748">
        <v>-0.42098859999999999</v>
      </c>
      <c r="Z4748">
        <v>9.5822299999999999E-2</v>
      </c>
      <c r="AA4748">
        <v>0.90199039999999997</v>
      </c>
      <c r="AB4748">
        <v>37</v>
      </c>
      <c r="AC4748">
        <v>0.63970000000000404</v>
      </c>
      <c r="AD4748">
        <v>-0.111799999999999</v>
      </c>
      <c r="AE4748">
        <v>-0.32542000000000099</v>
      </c>
      <c r="AF4748">
        <v>-0.42050083506525299</v>
      </c>
      <c r="AG4748">
        <v>-0.111799999999999</v>
      </c>
      <c r="AH4748">
        <v>0.56051417969564998</v>
      </c>
      <c r="AI4748">
        <v>99.065249191285901</v>
      </c>
      <c r="AJ4748">
        <v>126.87743340038</v>
      </c>
      <c r="AK4748">
        <v>0.70957475852123097</v>
      </c>
      <c r="AL4748">
        <v>66.0953853101703</v>
      </c>
      <c r="AM4748">
        <v>105.774398388056</v>
      </c>
      <c r="AN4748">
        <v>0.99999994847320794</v>
      </c>
    </row>
    <row r="4749" spans="1:40" x14ac:dyDescent="0.25">
      <c r="A4749" t="str">
        <f>"20190304164506625"</f>
        <v>20190304164506625</v>
      </c>
      <c r="B4749" t="str">
        <f>"1551689106615100"</f>
        <v>1551689106615100</v>
      </c>
      <c r="C4749" t="s">
        <v>40</v>
      </c>
      <c r="D4749">
        <v>5.1010720000000003</v>
      </c>
      <c r="E4749">
        <v>0.49060740000000003</v>
      </c>
      <c r="F4749" t="s">
        <v>49</v>
      </c>
      <c r="G4749">
        <v>-411.52519999999998</v>
      </c>
      <c r="H4749" s="1">
        <v>-6.1358359999999999E-6</v>
      </c>
      <c r="I4749">
        <v>32.008879999999998</v>
      </c>
      <c r="J4749">
        <v>-417.51100000000002</v>
      </c>
      <c r="K4749">
        <v>1.121847</v>
      </c>
      <c r="L4749">
        <v>37.942320000000002</v>
      </c>
      <c r="M4749">
        <v>0.45109080000000001</v>
      </c>
      <c r="N4749">
        <v>-1.5043630000000001E-2</v>
      </c>
      <c r="O4749">
        <v>-0.89235119999999901</v>
      </c>
      <c r="P4749">
        <v>0.61129270000000002</v>
      </c>
      <c r="Q4749">
        <v>0.39878809999999998</v>
      </c>
      <c r="R4749">
        <v>-0.68358549999999996</v>
      </c>
      <c r="S4749">
        <v>2.4343870000000001</v>
      </c>
      <c r="T4749">
        <v>-0.44403169999999997</v>
      </c>
      <c r="U4749">
        <v>-2.4725950000000001</v>
      </c>
      <c r="V4749">
        <v>-0.24825710000000001</v>
      </c>
      <c r="W4749">
        <v>0.40547800000000001</v>
      </c>
      <c r="X4749">
        <v>0.87974769999999902</v>
      </c>
      <c r="Y4749">
        <v>-0.29968119999999998</v>
      </c>
      <c r="Z4749">
        <v>0.1098982</v>
      </c>
      <c r="AA4749">
        <v>0.94768850000000004</v>
      </c>
      <c r="AB4749">
        <v>37</v>
      </c>
      <c r="AC4749">
        <v>5.9857999999999798</v>
      </c>
      <c r="AD4749">
        <v>-1.121853135836</v>
      </c>
      <c r="AE4749">
        <v>-5.93344</v>
      </c>
      <c r="AF4749">
        <v>-2.6188190788903198</v>
      </c>
      <c r="AG4749">
        <v>-1.121853135836</v>
      </c>
      <c r="AH4749">
        <v>7.85656018943713</v>
      </c>
      <c r="AI4749">
        <v>97.714581755754395</v>
      </c>
      <c r="AJ4749">
        <v>108.43472358058</v>
      </c>
      <c r="AK4749">
        <v>8.35717092302135</v>
      </c>
      <c r="AL4749">
        <v>66.078915604132902</v>
      </c>
      <c r="AM4749">
        <v>105.75860180732001</v>
      </c>
      <c r="AN4749">
        <v>1.00000000591984</v>
      </c>
    </row>
    <row r="4750" spans="1:40" x14ac:dyDescent="0.25">
      <c r="A4750" t="str">
        <f>"20190304164506647"</f>
        <v>20190304164506647</v>
      </c>
      <c r="B4750" t="str">
        <f>"1551689106645356"</f>
        <v>1551689106645356</v>
      </c>
      <c r="C4750" t="s">
        <v>40</v>
      </c>
      <c r="D4750">
        <v>5.0296190000000003</v>
      </c>
      <c r="E4750">
        <v>0.49918390000000001</v>
      </c>
      <c r="F4750" t="s">
        <v>49</v>
      </c>
      <c r="G4750">
        <v>-411.64699999999999</v>
      </c>
      <c r="H4750" s="1">
        <v>-6.2062680000000002E-6</v>
      </c>
      <c r="I4750">
        <v>31.77251</v>
      </c>
      <c r="J4750">
        <v>-417.34199999999998</v>
      </c>
      <c r="K4750">
        <v>1.1219809999999999</v>
      </c>
      <c r="L4750">
        <v>37.62885</v>
      </c>
      <c r="M4750">
        <v>0.46149020000000002</v>
      </c>
      <c r="N4750">
        <v>-1.506854E-2</v>
      </c>
      <c r="O4750">
        <v>-0.88701749999999902</v>
      </c>
      <c r="P4750">
        <v>0.61757419999999996</v>
      </c>
      <c r="Q4750">
        <v>0.3992153</v>
      </c>
      <c r="R4750">
        <v>-0.67766499999999996</v>
      </c>
      <c r="S4750">
        <v>2.3918759999999999</v>
      </c>
      <c r="T4750">
        <v>-0.4575922</v>
      </c>
      <c r="U4750">
        <v>-2.5166019999999998</v>
      </c>
      <c r="V4750">
        <v>-0.2463303</v>
      </c>
      <c r="W4750">
        <v>0.4059122</v>
      </c>
      <c r="X4750">
        <v>0.88008899999999901</v>
      </c>
      <c r="Y4750">
        <v>-0.27151459999999999</v>
      </c>
      <c r="Z4750">
        <v>0.1120912</v>
      </c>
      <c r="AA4750">
        <v>0.95588459999999997</v>
      </c>
      <c r="AB4750">
        <v>37</v>
      </c>
      <c r="AC4750">
        <v>5.6949999999999896</v>
      </c>
      <c r="AD4750">
        <v>-1.1219872062680001</v>
      </c>
      <c r="AE4750">
        <v>-5.8563400000000003</v>
      </c>
      <c r="AF4750">
        <v>-2.3056906894203801</v>
      </c>
      <c r="AG4750">
        <v>-1.1219872062680001</v>
      </c>
      <c r="AH4750">
        <v>7.6788877565864802</v>
      </c>
      <c r="AI4750">
        <v>97.966292007642593</v>
      </c>
      <c r="AJ4750">
        <v>106.71310076659501</v>
      </c>
      <c r="AK4750">
        <v>8.0957014535222793</v>
      </c>
      <c r="AL4750">
        <v>66.051696805270495</v>
      </c>
      <c r="AM4750">
        <v>105.63653415433799</v>
      </c>
      <c r="AN4750">
        <v>0.99999998936396495</v>
      </c>
    </row>
    <row r="4751" spans="1:40" x14ac:dyDescent="0.25">
      <c r="A4751" t="str">
        <f>"20190304164506671"</f>
        <v>20190304164506671</v>
      </c>
      <c r="B4751" t="str">
        <f>"1551689106664879"</f>
        <v>1551689106664879</v>
      </c>
      <c r="C4751" t="s">
        <v>40</v>
      </c>
      <c r="D4751">
        <v>5.0616879999999904</v>
      </c>
      <c r="E4751">
        <v>0.50212489999999999</v>
      </c>
      <c r="F4751" t="s">
        <v>49</v>
      </c>
      <c r="G4751">
        <v>-411.60210000000001</v>
      </c>
      <c r="H4751" s="1">
        <v>-6.324326E-6</v>
      </c>
      <c r="I4751">
        <v>31.47908</v>
      </c>
      <c r="J4751">
        <v>-417.15390000000002</v>
      </c>
      <c r="K4751">
        <v>1.1221159999999999</v>
      </c>
      <c r="L4751">
        <v>37.289639999999999</v>
      </c>
      <c r="M4751">
        <v>0.47286640000000002</v>
      </c>
      <c r="N4751">
        <v>-1.5095300000000001E-2</v>
      </c>
      <c r="O4751">
        <v>-0.88100489999999998</v>
      </c>
      <c r="P4751">
        <v>0.62442659999999905</v>
      </c>
      <c r="Q4751">
        <v>0.40017000000000003</v>
      </c>
      <c r="R4751">
        <v>-0.67078719999999903</v>
      </c>
      <c r="S4751">
        <v>2.370422</v>
      </c>
      <c r="T4751">
        <v>-0.46334819999999999</v>
      </c>
      <c r="U4751">
        <v>-2.5396730000000001</v>
      </c>
      <c r="V4751">
        <v>-0.2443574</v>
      </c>
      <c r="W4751">
        <v>0.40687060000000003</v>
      </c>
      <c r="X4751">
        <v>0.88019650000000005</v>
      </c>
      <c r="Y4751">
        <v>-0.25038840000000001</v>
      </c>
      <c r="Z4751">
        <v>0.1122906</v>
      </c>
      <c r="AA4751">
        <v>0.96161140000000001</v>
      </c>
      <c r="AB4751">
        <v>37</v>
      </c>
      <c r="AC4751">
        <v>5.5518000000000098</v>
      </c>
      <c r="AD4751">
        <v>-1.1221223243259999</v>
      </c>
      <c r="AE4751">
        <v>-5.8105599999999997</v>
      </c>
      <c r="AF4751">
        <v>-2.1027922506678798</v>
      </c>
      <c r="AG4751">
        <v>-1.1221223243259999</v>
      </c>
      <c r="AH4751">
        <v>7.5971584002794899</v>
      </c>
      <c r="AI4751">
        <v>98.101664279563707</v>
      </c>
      <c r="AJ4751">
        <v>105.47137955688601</v>
      </c>
      <c r="AK4751">
        <v>7.9622678628112604</v>
      </c>
      <c r="AL4751">
        <v>65.991599520456006</v>
      </c>
      <c r="AM4751">
        <v>105.515551878297</v>
      </c>
      <c r="AN4751">
        <v>1.0000000513456799</v>
      </c>
    </row>
    <row r="4752" spans="1:40" x14ac:dyDescent="0.25">
      <c r="A4752" t="str">
        <f>"20190304164506693"</f>
        <v>20190304164506693</v>
      </c>
      <c r="B4752" t="str">
        <f>"1551689106685372"</f>
        <v>1551689106685372</v>
      </c>
      <c r="C4752" t="s">
        <v>40</v>
      </c>
      <c r="D4752">
        <v>5.0304779999999996</v>
      </c>
      <c r="E4752">
        <v>0.50434889999999999</v>
      </c>
      <c r="F4752" t="s">
        <v>49</v>
      </c>
      <c r="G4752">
        <v>-411.4006</v>
      </c>
      <c r="H4752" s="1">
        <v>-6.4619059999999997E-6</v>
      </c>
      <c r="I4752">
        <v>31.198709999999998</v>
      </c>
      <c r="J4752">
        <v>-416.98340000000002</v>
      </c>
      <c r="K4752">
        <v>1.1222270000000001</v>
      </c>
      <c r="L4752">
        <v>36.991149999999998</v>
      </c>
      <c r="M4752">
        <v>0.48299120000000001</v>
      </c>
      <c r="N4752">
        <v>-1.511884E-2</v>
      </c>
      <c r="O4752">
        <v>-0.87549500000000002</v>
      </c>
      <c r="P4752">
        <v>0.63021569999999905</v>
      </c>
      <c r="Q4752">
        <v>0.40030359999999998</v>
      </c>
      <c r="R4752">
        <v>-0.66527130000000001</v>
      </c>
      <c r="S4752">
        <v>2.3875120000000001</v>
      </c>
      <c r="T4752">
        <v>-0.46565869999999998</v>
      </c>
      <c r="U4752">
        <v>-2.5276179999999999</v>
      </c>
      <c r="V4752">
        <v>-0.2419789</v>
      </c>
      <c r="W4752">
        <v>0.40703489999999998</v>
      </c>
      <c r="X4752">
        <v>0.88077739999999904</v>
      </c>
      <c r="Y4752">
        <v>-0.2449557</v>
      </c>
      <c r="Z4752">
        <v>0.11212270000000001</v>
      </c>
      <c r="AA4752">
        <v>0.96302909999999997</v>
      </c>
      <c r="AB4752">
        <v>37</v>
      </c>
      <c r="AC4752">
        <v>5.5828000000000104</v>
      </c>
      <c r="AD4752">
        <v>-1.1222334619059999</v>
      </c>
      <c r="AE4752">
        <v>-5.7924399999999903</v>
      </c>
      <c r="AF4752">
        <v>-2.0503557068157501</v>
      </c>
      <c r="AG4752">
        <v>-1.1222334619059999</v>
      </c>
      <c r="AH4752">
        <v>7.6202954036053203</v>
      </c>
      <c r="AI4752">
        <v>98.093829566980105</v>
      </c>
      <c r="AJ4752">
        <v>105.059638317932</v>
      </c>
      <c r="AK4752">
        <v>7.9707131742210997</v>
      </c>
      <c r="AL4752">
        <v>65.981292885202905</v>
      </c>
      <c r="AM4752">
        <v>105.362044965626</v>
      </c>
      <c r="AN4752">
        <v>1.0000000131069799</v>
      </c>
    </row>
    <row r="4753" spans="1:40" x14ac:dyDescent="0.25">
      <c r="A4753" t="str">
        <f>"20190304164506716"</f>
        <v>20190304164506716</v>
      </c>
      <c r="B4753" t="str">
        <f>"1551689106704892"</f>
        <v>1551689106704892</v>
      </c>
      <c r="C4753" t="s">
        <v>40</v>
      </c>
      <c r="D4753">
        <v>5.060594</v>
      </c>
      <c r="E4753">
        <v>0.50592919999999997</v>
      </c>
      <c r="F4753" t="s">
        <v>49</v>
      </c>
      <c r="G4753">
        <v>-411.28449999999998</v>
      </c>
      <c r="H4753" s="1">
        <v>-6.5493750000000003E-6</v>
      </c>
      <c r="I4753">
        <v>31.015499999999999</v>
      </c>
      <c r="J4753">
        <v>-416.80009999999999</v>
      </c>
      <c r="K4753">
        <v>1.122341</v>
      </c>
      <c r="L4753">
        <v>36.679470000000002</v>
      </c>
      <c r="M4753">
        <v>0.49368010000000001</v>
      </c>
      <c r="N4753">
        <v>-1.5143520000000001E-2</v>
      </c>
      <c r="O4753">
        <v>-0.86951199999999995</v>
      </c>
      <c r="P4753">
        <v>0.63720699999999997</v>
      </c>
      <c r="Q4753">
        <v>0.40090930000000002</v>
      </c>
      <c r="R4753">
        <v>-0.6582093</v>
      </c>
      <c r="S4753">
        <v>2.4020079999999999</v>
      </c>
      <c r="T4753">
        <v>-0.47300979999999998</v>
      </c>
      <c r="U4753">
        <v>-2.5186769999999998</v>
      </c>
      <c r="V4753">
        <v>-0.2407977</v>
      </c>
      <c r="W4753">
        <v>0.4076302</v>
      </c>
      <c r="X4753">
        <v>0.88082579999999999</v>
      </c>
      <c r="Y4753">
        <v>-0.2375813</v>
      </c>
      <c r="Z4753">
        <v>0.1131154</v>
      </c>
      <c r="AA4753">
        <v>0.96475909999999998</v>
      </c>
      <c r="AB4753">
        <v>37</v>
      </c>
      <c r="AC4753">
        <v>5.5156000000000001</v>
      </c>
      <c r="AD4753">
        <v>-1.1223475493749999</v>
      </c>
      <c r="AE4753">
        <v>-5.6639699999999999</v>
      </c>
      <c r="AF4753">
        <v>-1.96041014274138</v>
      </c>
      <c r="AG4753">
        <v>-1.1223475493749999</v>
      </c>
      <c r="AH4753">
        <v>7.4976015192715204</v>
      </c>
      <c r="AI4753">
        <v>98.240588278266401</v>
      </c>
      <c r="AJ4753">
        <v>104.653167421685</v>
      </c>
      <c r="AK4753">
        <v>7.8305108703796504</v>
      </c>
      <c r="AL4753">
        <v>65.943945673459197</v>
      </c>
      <c r="AM4753">
        <v>105.28977360089701</v>
      </c>
      <c r="AN4753">
        <v>1.00000000111148</v>
      </c>
    </row>
    <row r="4754" spans="1:40" x14ac:dyDescent="0.25">
      <c r="A4754" t="str">
        <f>"20190304164506738"</f>
        <v>20190304164506738</v>
      </c>
      <c r="B4754" t="str">
        <f>"1551689106735147"</f>
        <v>1551689106735147</v>
      </c>
      <c r="C4754" t="s">
        <v>40</v>
      </c>
      <c r="D4754">
        <v>5.0256040000000004</v>
      </c>
      <c r="E4754">
        <v>0.50773659999999998</v>
      </c>
      <c r="F4754" t="s">
        <v>49</v>
      </c>
      <c r="G4754">
        <v>-411.08390000000003</v>
      </c>
      <c r="H4754" s="1">
        <v>-6.6728529999999999E-6</v>
      </c>
      <c r="I4754">
        <v>30.772020000000001</v>
      </c>
      <c r="J4754">
        <v>-416.61419999999998</v>
      </c>
      <c r="K4754">
        <v>1.1224459999999901</v>
      </c>
      <c r="L4754">
        <v>36.372280000000003</v>
      </c>
      <c r="M4754">
        <v>0.50432770000000005</v>
      </c>
      <c r="N4754">
        <v>-1.5167689999999999E-2</v>
      </c>
      <c r="O4754">
        <v>-0.86337909999999995</v>
      </c>
      <c r="P4754">
        <v>0.64414439999999995</v>
      </c>
      <c r="Q4754">
        <v>0.4023563</v>
      </c>
      <c r="R4754">
        <v>-0.65052860000000001</v>
      </c>
      <c r="S4754">
        <v>2.4218440000000001</v>
      </c>
      <c r="T4754">
        <v>-0.4755162</v>
      </c>
      <c r="U4754">
        <v>-2.502869</v>
      </c>
      <c r="V4754">
        <v>-0.23989920000000001</v>
      </c>
      <c r="W4754">
        <v>0.40905659999999999</v>
      </c>
      <c r="X4754">
        <v>0.88040959999999902</v>
      </c>
      <c r="Y4754">
        <v>-0.23263909999999999</v>
      </c>
      <c r="Z4754">
        <v>0.1129312</v>
      </c>
      <c r="AA4754">
        <v>0.96598430000000002</v>
      </c>
      <c r="AB4754">
        <v>36</v>
      </c>
      <c r="AC4754">
        <v>5.5302999999999498</v>
      </c>
      <c r="AD4754">
        <v>-1.12245267285299</v>
      </c>
      <c r="AE4754">
        <v>-5.6002599999999898</v>
      </c>
      <c r="AF4754">
        <v>-1.91172241687811</v>
      </c>
      <c r="AG4754">
        <v>-1.12245267285299</v>
      </c>
      <c r="AH4754">
        <v>7.4731176483379498</v>
      </c>
      <c r="AI4754">
        <v>98.279169632810806</v>
      </c>
      <c r="AJ4754">
        <v>104.34929351821</v>
      </c>
      <c r="AK4754">
        <v>7.7950028856883202</v>
      </c>
      <c r="AL4754">
        <v>65.854414240529195</v>
      </c>
      <c r="AM4754">
        <v>105.24224557770999</v>
      </c>
      <c r="AN4754">
        <v>0.99999999596818001</v>
      </c>
    </row>
    <row r="4755" spans="1:40" x14ac:dyDescent="0.25">
      <c r="A4755" t="str">
        <f>"20190304164506759"</f>
        <v>20190304164506759</v>
      </c>
      <c r="B4755" t="str">
        <f>"1551689106754668"</f>
        <v>1551689106754668</v>
      </c>
      <c r="C4755" t="s">
        <v>40</v>
      </c>
      <c r="D4755">
        <v>5.0489139999999999</v>
      </c>
      <c r="E4755">
        <v>0.50884929999999995</v>
      </c>
      <c r="F4755" t="s">
        <v>49</v>
      </c>
      <c r="G4755">
        <v>-410.88139999999999</v>
      </c>
      <c r="H4755" s="1">
        <v>-6.7929520000000004E-6</v>
      </c>
      <c r="I4755">
        <v>30.53828</v>
      </c>
      <c r="J4755">
        <v>-416.42860000000002</v>
      </c>
      <c r="K4755">
        <v>1.122541</v>
      </c>
      <c r="L4755">
        <v>36.073880000000003</v>
      </c>
      <c r="M4755">
        <v>0.51476140000000004</v>
      </c>
      <c r="N4755">
        <v>-1.519062E-2</v>
      </c>
      <c r="O4755">
        <v>-0.85719880000000004</v>
      </c>
      <c r="P4755">
        <v>0.65036569999999905</v>
      </c>
      <c r="Q4755">
        <v>0.40352339999999998</v>
      </c>
      <c r="R4755">
        <v>-0.64357849999999905</v>
      </c>
      <c r="S4755">
        <v>2.4442140000000001</v>
      </c>
      <c r="T4755">
        <v>-0.47855910000000002</v>
      </c>
      <c r="U4755">
        <v>-2.4873349999999999</v>
      </c>
      <c r="V4755">
        <v>-0.23817630000000001</v>
      </c>
      <c r="W4755">
        <v>0.41023710000000002</v>
      </c>
      <c r="X4755">
        <v>0.88032809999999995</v>
      </c>
      <c r="Y4755">
        <v>-0.2282786</v>
      </c>
      <c r="Z4755">
        <v>0.11280809999999999</v>
      </c>
      <c r="AA4755">
        <v>0.96703830000000002</v>
      </c>
      <c r="AB4755">
        <v>36</v>
      </c>
      <c r="AC4755">
        <v>5.5472000000000303</v>
      </c>
      <c r="AD4755">
        <v>-1.122547792952</v>
      </c>
      <c r="AE4755">
        <v>-5.5355999999999899</v>
      </c>
      <c r="AF4755">
        <v>-1.86744336740913</v>
      </c>
      <c r="AG4755">
        <v>-1.122547792952</v>
      </c>
      <c r="AH4755">
        <v>7.44863883022298</v>
      </c>
      <c r="AI4755">
        <v>98.316648054392502</v>
      </c>
      <c r="AJ4755">
        <v>104.074488857044</v>
      </c>
      <c r="AK4755">
        <v>7.7607782277969601</v>
      </c>
      <c r="AL4755">
        <v>65.780269972212494</v>
      </c>
      <c r="AM4755">
        <v>105.139156784351</v>
      </c>
      <c r="AN4755">
        <v>0.99999999587385502</v>
      </c>
    </row>
    <row r="4756" spans="1:40" x14ac:dyDescent="0.25">
      <c r="A4756" t="str">
        <f>"20190304164506782"</f>
        <v>20190304164506782</v>
      </c>
      <c r="B4756" t="str">
        <f>"1551689106775164"</f>
        <v>1551689106775164</v>
      </c>
      <c r="C4756" t="s">
        <v>40</v>
      </c>
      <c r="D4756">
        <v>5.0298109999999996</v>
      </c>
      <c r="E4756">
        <v>0.50991889999999995</v>
      </c>
      <c r="F4756" t="s">
        <v>49</v>
      </c>
      <c r="G4756">
        <v>-410.64319999999998</v>
      </c>
      <c r="H4756" s="1">
        <v>-6.9216729999999996E-6</v>
      </c>
      <c r="I4756">
        <v>30.29645</v>
      </c>
      <c r="J4756">
        <v>-416.22949999999997</v>
      </c>
      <c r="K4756">
        <v>1.122627</v>
      </c>
      <c r="L4756">
        <v>35.762729999999998</v>
      </c>
      <c r="M4756">
        <v>0.5257347</v>
      </c>
      <c r="N4756">
        <v>-1.521278E-2</v>
      </c>
      <c r="O4756">
        <v>-0.85051259999999995</v>
      </c>
      <c r="P4756">
        <v>0.65719689999999997</v>
      </c>
      <c r="Q4756">
        <v>0.40450589999999997</v>
      </c>
      <c r="R4756">
        <v>-0.63597709999999996</v>
      </c>
      <c r="S4756">
        <v>2.4696349999999998</v>
      </c>
      <c r="T4756">
        <v>-0.47918240000000001</v>
      </c>
      <c r="U4756">
        <v>-2.4662169999999999</v>
      </c>
      <c r="V4756">
        <v>-0.23669699999999999</v>
      </c>
      <c r="W4756">
        <v>0.41122930000000002</v>
      </c>
      <c r="X4756">
        <v>0.88026419999999905</v>
      </c>
      <c r="Y4756">
        <v>-0.2249352</v>
      </c>
      <c r="Z4756">
        <v>0.1120979</v>
      </c>
      <c r="AA4756">
        <v>0.96790399999999999</v>
      </c>
      <c r="AB4756">
        <v>36</v>
      </c>
      <c r="AC4756">
        <v>5.5862999999999898</v>
      </c>
      <c r="AD4756">
        <v>-1.1226339216729999</v>
      </c>
      <c r="AE4756">
        <v>-5.4662799999999896</v>
      </c>
      <c r="AF4756">
        <v>-1.8396678190742399</v>
      </c>
      <c r="AG4756">
        <v>-1.1226339216729999</v>
      </c>
      <c r="AH4756">
        <v>7.43356488573093</v>
      </c>
      <c r="AI4756">
        <v>98.340129997837394</v>
      </c>
      <c r="AJ4756">
        <v>103.900337673374</v>
      </c>
      <c r="AK4756">
        <v>7.7396751557801302</v>
      </c>
      <c r="AL4756">
        <v>65.717919962393097</v>
      </c>
      <c r="AM4756">
        <v>105.050449048743</v>
      </c>
      <c r="AN4756">
        <v>1.0000000343945601</v>
      </c>
    </row>
    <row r="4757" spans="1:40" x14ac:dyDescent="0.25">
      <c r="A4757" t="str">
        <f>"20190304164506804"</f>
        <v>20190304164506804</v>
      </c>
      <c r="B4757" t="str">
        <f>"1551689106794684"</f>
        <v>1551689106794684</v>
      </c>
      <c r="C4757" t="s">
        <v>40</v>
      </c>
      <c r="D4757">
        <v>5.0327919999999997</v>
      </c>
      <c r="E4757">
        <v>0.51090839999999904</v>
      </c>
      <c r="F4757" t="s">
        <v>49</v>
      </c>
      <c r="G4757">
        <v>-410.39510000000001</v>
      </c>
      <c r="H4757" s="1">
        <v>-7.0498949999999997E-6</v>
      </c>
      <c r="I4757">
        <v>30.060009999999998</v>
      </c>
      <c r="J4757">
        <v>-416.04140000000001</v>
      </c>
      <c r="K4757">
        <v>1.1227020000000001</v>
      </c>
      <c r="L4757">
        <v>35.476469999999999</v>
      </c>
      <c r="M4757">
        <v>0.53590539999999998</v>
      </c>
      <c r="N4757">
        <v>-1.523183E-2</v>
      </c>
      <c r="O4757">
        <v>-0.84414059999999902</v>
      </c>
      <c r="P4757">
        <v>0.66374919999999904</v>
      </c>
      <c r="Q4757">
        <v>0.4042326</v>
      </c>
      <c r="R4757">
        <v>-0.62931159999999997</v>
      </c>
      <c r="S4757">
        <v>2.4979550000000001</v>
      </c>
      <c r="T4757">
        <v>-0.48065029999999997</v>
      </c>
      <c r="U4757">
        <v>-2.441589</v>
      </c>
      <c r="V4757">
        <v>-0.2352157</v>
      </c>
      <c r="W4757">
        <v>0.41098099999999999</v>
      </c>
      <c r="X4757">
        <v>0.88077700000000003</v>
      </c>
      <c r="Y4757">
        <v>-0.22362750000000001</v>
      </c>
      <c r="Z4757">
        <v>0.1117108</v>
      </c>
      <c r="AA4757">
        <v>0.9682518</v>
      </c>
      <c r="AB4757">
        <v>36</v>
      </c>
      <c r="AC4757">
        <v>5.6462999999999903</v>
      </c>
      <c r="AD4757">
        <v>-1.1227090498950001</v>
      </c>
      <c r="AE4757">
        <v>-5.4164599999999998</v>
      </c>
      <c r="AF4757">
        <v>-1.8261767308941199</v>
      </c>
      <c r="AG4757">
        <v>-1.1227090498950001</v>
      </c>
      <c r="AH4757">
        <v>7.4457131718357603</v>
      </c>
      <c r="AI4757">
        <v>98.331489356341294</v>
      </c>
      <c r="AJ4757">
        <v>103.780651649123</v>
      </c>
      <c r="AK4757">
        <v>7.7481637631392299</v>
      </c>
      <c r="AL4757">
        <v>65.733524520240294</v>
      </c>
      <c r="AM4757">
        <v>104.952175611424</v>
      </c>
      <c r="AN4757">
        <v>0.99999996580824402</v>
      </c>
    </row>
    <row r="4758" spans="1:40" x14ac:dyDescent="0.25">
      <c r="A4758" t="str">
        <f>"20190304164506826"</f>
        <v>20190304164506826</v>
      </c>
      <c r="B4758" t="str">
        <f>"1551689106815180"</f>
        <v>1551689106815180</v>
      </c>
      <c r="C4758" t="s">
        <v>40</v>
      </c>
      <c r="D4758">
        <v>5.0152390000000002</v>
      </c>
      <c r="E4758">
        <v>0.52289200000000002</v>
      </c>
      <c r="F4758" t="s">
        <v>49</v>
      </c>
      <c r="G4758">
        <v>-410.22300000000001</v>
      </c>
      <c r="H4758" s="1">
        <v>-7.1393609999999998E-6</v>
      </c>
      <c r="I4758">
        <v>29.894690000000001</v>
      </c>
      <c r="J4758">
        <v>-415.84039999999999</v>
      </c>
      <c r="K4758">
        <v>1.1227659999999999</v>
      </c>
      <c r="L4758">
        <v>35.178739999999998</v>
      </c>
      <c r="M4758">
        <v>0.54655209999999999</v>
      </c>
      <c r="N4758">
        <v>-1.525027E-2</v>
      </c>
      <c r="O4758">
        <v>-0.83728639999999999</v>
      </c>
      <c r="P4758">
        <v>0.67163790000000001</v>
      </c>
      <c r="Q4758">
        <v>0.40401290000000001</v>
      </c>
      <c r="R4758">
        <v>-0.62102869999999999</v>
      </c>
      <c r="S4758">
        <v>2.522125</v>
      </c>
      <c r="T4758">
        <v>-0.4866645</v>
      </c>
      <c r="U4758">
        <v>-2.419556</v>
      </c>
      <c r="V4758">
        <v>-0.2351637</v>
      </c>
      <c r="W4758">
        <v>0.4107423</v>
      </c>
      <c r="X4758">
        <v>0.88090219999999897</v>
      </c>
      <c r="Y4758">
        <v>-0.22024099999999999</v>
      </c>
      <c r="Z4758">
        <v>0.1123492</v>
      </c>
      <c r="AA4758">
        <v>0.96895379999999998</v>
      </c>
      <c r="AB4758">
        <v>36</v>
      </c>
      <c r="AC4758">
        <v>5.6173999999999698</v>
      </c>
      <c r="AD4758">
        <v>-1.1227731393610001</v>
      </c>
      <c r="AE4758">
        <v>-5.2840499999999997</v>
      </c>
      <c r="AF4758">
        <v>-1.7778919232432999</v>
      </c>
      <c r="AG4758">
        <v>-1.1227731393610001</v>
      </c>
      <c r="AH4758">
        <v>7.3397669785173898</v>
      </c>
      <c r="AI4758">
        <v>98.456325579701399</v>
      </c>
      <c r="AJ4758">
        <v>103.61633664559599</v>
      </c>
      <c r="AK4758">
        <v>7.6350310092453801</v>
      </c>
      <c r="AL4758">
        <v>65.748525105420001</v>
      </c>
      <c r="AM4758">
        <v>104.946988518064</v>
      </c>
      <c r="AN4758">
        <v>0.999999944385908</v>
      </c>
    </row>
    <row r="4759" spans="1:40" x14ac:dyDescent="0.25">
      <c r="A4759" t="str">
        <f>"20190304164506849"</f>
        <v>20190304164506849</v>
      </c>
      <c r="B4759" t="str">
        <f>"1551689106845436"</f>
        <v>1551689106845436</v>
      </c>
      <c r="C4759" t="s">
        <v>40</v>
      </c>
      <c r="D4759">
        <v>4.9946849999999996</v>
      </c>
      <c r="E4759">
        <v>0.49162679999999997</v>
      </c>
      <c r="F4759" t="s">
        <v>49</v>
      </c>
      <c r="G4759">
        <v>-410.65719999999999</v>
      </c>
      <c r="H4759" s="1">
        <v>-7.0066570000000001E-6</v>
      </c>
      <c r="I4759">
        <v>30.066120000000002</v>
      </c>
      <c r="J4759">
        <v>-415.63229999999999</v>
      </c>
      <c r="K4759">
        <v>1.1228229999999999</v>
      </c>
      <c r="L4759">
        <v>34.878809999999902</v>
      </c>
      <c r="M4759">
        <v>0.55733630000000001</v>
      </c>
      <c r="N4759">
        <v>-1.526681E-2</v>
      </c>
      <c r="O4759">
        <v>-0.83014669999999902</v>
      </c>
      <c r="P4759">
        <v>0.67922689999999997</v>
      </c>
      <c r="Q4759">
        <v>0.40417530000000002</v>
      </c>
      <c r="R4759">
        <v>-0.61261209999999999</v>
      </c>
      <c r="S4759">
        <v>2.506866</v>
      </c>
      <c r="T4759">
        <v>-0.5430353</v>
      </c>
      <c r="U4759">
        <v>-2.4727480000000002</v>
      </c>
      <c r="V4759">
        <v>-0.2347282</v>
      </c>
      <c r="W4759">
        <v>0.41090019999999999</v>
      </c>
      <c r="X4759">
        <v>0.88094479999999997</v>
      </c>
      <c r="Y4759">
        <v>-0.1929256</v>
      </c>
      <c r="Z4759">
        <v>0.1233617</v>
      </c>
      <c r="AA4759">
        <v>0.97342779999999995</v>
      </c>
      <c r="AB4759">
        <v>36</v>
      </c>
      <c r="AC4759">
        <v>4.9750999999999896</v>
      </c>
      <c r="AD4759">
        <v>-1.1228300066569901</v>
      </c>
      <c r="AE4759">
        <v>-4.8126899999999901</v>
      </c>
      <c r="AF4759">
        <v>-1.41082164355979</v>
      </c>
      <c r="AG4759">
        <v>-1.1228300066569901</v>
      </c>
      <c r="AH4759">
        <v>6.5952888071749802</v>
      </c>
      <c r="AI4759">
        <v>99.4519652822312</v>
      </c>
      <c r="AJ4759">
        <v>102.074368244358</v>
      </c>
      <c r="AK4759">
        <v>6.83732399289618</v>
      </c>
      <c r="AL4759">
        <v>65.738604043454899</v>
      </c>
      <c r="AM4759">
        <v>104.91985445484799</v>
      </c>
      <c r="AN4759">
        <v>1.00000002144116</v>
      </c>
    </row>
    <row r="4760" spans="1:40" x14ac:dyDescent="0.25">
      <c r="A4760" t="str">
        <f>"20190304164506861"</f>
        <v>20190304164506861</v>
      </c>
      <c r="B4760" t="str">
        <f>"1551689106855196"</f>
        <v>1551689106855196</v>
      </c>
      <c r="C4760" t="s">
        <v>40</v>
      </c>
      <c r="D4760">
        <v>5.0562399999999998</v>
      </c>
      <c r="E4760">
        <v>0.4883459</v>
      </c>
      <c r="F4760" t="s">
        <v>49</v>
      </c>
      <c r="G4760">
        <v>-409.22590000000002</v>
      </c>
      <c r="H4760" s="1">
        <v>-3.448795E-6</v>
      </c>
      <c r="I4760">
        <v>29.524740000000001</v>
      </c>
      <c r="J4760">
        <v>-415.52179999999998</v>
      </c>
      <c r="K4760">
        <v>1.1228499999999999</v>
      </c>
      <c r="L4760">
        <v>34.723239999999997</v>
      </c>
      <c r="M4760">
        <v>0.56295519999999999</v>
      </c>
      <c r="N4760">
        <v>-1.527453E-2</v>
      </c>
      <c r="O4760">
        <v>-0.82634619999999903</v>
      </c>
      <c r="P4760">
        <v>0.68316519999999903</v>
      </c>
      <c r="Q4760">
        <v>0.40420820000000002</v>
      </c>
      <c r="R4760">
        <v>-0.60819480000000004</v>
      </c>
      <c r="S4760">
        <v>2.677673</v>
      </c>
      <c r="T4760">
        <v>-0.46931050000000002</v>
      </c>
      <c r="U4760">
        <v>-2.237854</v>
      </c>
      <c r="V4760">
        <v>-0.23447390000000001</v>
      </c>
      <c r="W4760">
        <v>0.41093410000000002</v>
      </c>
      <c r="X4760">
        <v>0.88099660000000002</v>
      </c>
      <c r="Y4760">
        <v>-0.2673605</v>
      </c>
      <c r="Z4760">
        <v>0.10920879999999999</v>
      </c>
      <c r="AA4760">
        <v>0.95738800000000002</v>
      </c>
      <c r="AB4760">
        <v>36</v>
      </c>
      <c r="AC4760">
        <v>6.2958999999999596</v>
      </c>
      <c r="AD4760">
        <v>-1.1228534487949999</v>
      </c>
      <c r="AE4760">
        <v>-5.1985000000000001</v>
      </c>
      <c r="AF4760">
        <v>-2.2340826545488102</v>
      </c>
      <c r="AG4760">
        <v>-1.1228534487949999</v>
      </c>
      <c r="AH4760">
        <v>7.6954407713531197</v>
      </c>
      <c r="AI4760">
        <v>97.976688203215403</v>
      </c>
      <c r="AJ4760">
        <v>106.188673613856</v>
      </c>
      <c r="AK4760">
        <v>8.0914605504958494</v>
      </c>
      <c r="AL4760">
        <v>65.736471089404802</v>
      </c>
      <c r="AM4760">
        <v>104.903572979884</v>
      </c>
      <c r="AN4760">
        <v>0.99999992676778704</v>
      </c>
    </row>
    <row r="4761" spans="1:40" x14ac:dyDescent="0.25">
      <c r="A4761" t="str">
        <f>"20190304164506872"</f>
        <v>20190304164506872</v>
      </c>
      <c r="B4761" t="str">
        <f>"1551689106864956"</f>
        <v>1551689106864956</v>
      </c>
      <c r="C4761" t="s">
        <v>40</v>
      </c>
      <c r="D4761">
        <v>5.0310430000000004</v>
      </c>
      <c r="E4761">
        <v>0.48618919999999999</v>
      </c>
      <c r="F4761" t="s">
        <v>49</v>
      </c>
      <c r="G4761">
        <v>-408.85660000000001</v>
      </c>
      <c r="H4761" s="1">
        <v>-3.5965039999999999E-6</v>
      </c>
      <c r="I4761">
        <v>29.310469999999999</v>
      </c>
      <c r="J4761">
        <v>-415.41399999999999</v>
      </c>
      <c r="K4761">
        <v>1.1228739999999999</v>
      </c>
      <c r="L4761">
        <v>34.572809999999997</v>
      </c>
      <c r="M4761">
        <v>0.56838659999999996</v>
      </c>
      <c r="N4761">
        <v>-1.528155E-2</v>
      </c>
      <c r="O4761">
        <v>-0.82261969999999995</v>
      </c>
      <c r="P4761">
        <v>0.6871486</v>
      </c>
      <c r="Q4761">
        <v>0.40431679999999998</v>
      </c>
      <c r="R4761">
        <v>-0.6036184</v>
      </c>
      <c r="S4761">
        <v>2.7052</v>
      </c>
      <c r="T4761">
        <v>-0.45573089999999999</v>
      </c>
      <c r="U4761">
        <v>-2.196869</v>
      </c>
      <c r="V4761">
        <v>-0.2345296</v>
      </c>
      <c r="W4761">
        <v>0.41103319999999999</v>
      </c>
      <c r="X4761">
        <v>0.88093559999999904</v>
      </c>
      <c r="Y4761">
        <v>-0.2748176</v>
      </c>
      <c r="Z4761">
        <v>0.1059274</v>
      </c>
      <c r="AA4761">
        <v>0.95564360000000004</v>
      </c>
      <c r="AB4761">
        <v>36</v>
      </c>
      <c r="AC4761">
        <v>6.5573999999999701</v>
      </c>
      <c r="AD4761">
        <v>-1.1228775965040001</v>
      </c>
      <c r="AE4761">
        <v>-5.2623399999999902</v>
      </c>
      <c r="AF4761">
        <v>-2.3613662891376301</v>
      </c>
      <c r="AG4761">
        <v>-1.1228775965040001</v>
      </c>
      <c r="AH4761">
        <v>7.91579776738861</v>
      </c>
      <c r="AI4761">
        <v>97.740959670099201</v>
      </c>
      <c r="AJ4761">
        <v>106.610399179504</v>
      </c>
      <c r="AK4761">
        <v>8.3364716242785093</v>
      </c>
      <c r="AL4761">
        <v>65.730244083902093</v>
      </c>
      <c r="AM4761">
        <v>104.907942033159</v>
      </c>
      <c r="AN4761">
        <v>0.99999997806287899</v>
      </c>
    </row>
    <row r="4762" spans="1:40" x14ac:dyDescent="0.25">
      <c r="A4762" t="str">
        <f>"20190304164506884"</f>
        <v>20190304164506884</v>
      </c>
      <c r="B4762" t="str">
        <f>"1551689106874717"</f>
        <v>1551689106874717</v>
      </c>
      <c r="C4762" t="s">
        <v>40</v>
      </c>
      <c r="D4762">
        <v>5.0185170000000001</v>
      </c>
      <c r="E4762">
        <v>0.48491220000000002</v>
      </c>
      <c r="F4762" t="s">
        <v>49</v>
      </c>
      <c r="G4762">
        <v>-408.56939999999997</v>
      </c>
      <c r="H4762" s="1">
        <v>-3.7109879999999998E-6</v>
      </c>
      <c r="I4762">
        <v>29.141770000000001</v>
      </c>
      <c r="J4762">
        <v>-415.30860000000001</v>
      </c>
      <c r="K4762">
        <v>1.1228899999999999</v>
      </c>
      <c r="L4762">
        <v>34.42886</v>
      </c>
      <c r="M4762">
        <v>0.57361499999999999</v>
      </c>
      <c r="N4762">
        <v>-1.528761E-2</v>
      </c>
      <c r="O4762">
        <v>-0.81898249999999995</v>
      </c>
      <c r="P4762">
        <v>0.69054259999999901</v>
      </c>
      <c r="Q4762">
        <v>0.40409699999999998</v>
      </c>
      <c r="R4762">
        <v>-0.59988059999999999</v>
      </c>
      <c r="S4762">
        <v>2.727814</v>
      </c>
      <c r="T4762">
        <v>-0.4475055</v>
      </c>
      <c r="U4762">
        <v>-2.1644589999999999</v>
      </c>
      <c r="V4762">
        <v>-0.23381070000000001</v>
      </c>
      <c r="W4762">
        <v>0.41083459999999999</v>
      </c>
      <c r="X4762">
        <v>0.88121930000000004</v>
      </c>
      <c r="Y4762">
        <v>-0.27970640000000002</v>
      </c>
      <c r="Z4762">
        <v>0.1038311</v>
      </c>
      <c r="AA4762">
        <v>0.95445449999999998</v>
      </c>
      <c r="AB4762">
        <v>36</v>
      </c>
      <c r="AC4762">
        <v>6.7392000000000296</v>
      </c>
      <c r="AD4762">
        <v>-1.1228937109879999</v>
      </c>
      <c r="AE4762">
        <v>-5.2870899999999903</v>
      </c>
      <c r="AF4762">
        <v>-2.4448082376434601</v>
      </c>
      <c r="AG4762">
        <v>-1.1228937109879999</v>
      </c>
      <c r="AH4762">
        <v>8.0582142987687106</v>
      </c>
      <c r="AI4762">
        <v>97.595340544943696</v>
      </c>
      <c r="AJ4762">
        <v>106.877445886491</v>
      </c>
      <c r="AK4762">
        <v>8.4954573325928795</v>
      </c>
      <c r="AL4762">
        <v>65.742725713278801</v>
      </c>
      <c r="AM4762">
        <v>104.85969715904901</v>
      </c>
      <c r="AN4762">
        <v>0.99999998334206996</v>
      </c>
    </row>
    <row r="4763" spans="1:40" x14ac:dyDescent="0.25">
      <c r="A4763" t="str">
        <f>"20190304164506896"</f>
        <v>20190304164506896</v>
      </c>
      <c r="B4763" t="str">
        <f>"1551689106885452"</f>
        <v>1551689106885452</v>
      </c>
      <c r="C4763" t="s">
        <v>40</v>
      </c>
      <c r="D4763">
        <v>5.0027559999999998</v>
      </c>
      <c r="E4763">
        <v>0.48411100000000001</v>
      </c>
      <c r="F4763" t="s">
        <v>49</v>
      </c>
      <c r="G4763">
        <v>-408.3553</v>
      </c>
      <c r="H4763" s="1">
        <v>-3.7955689999999999E-6</v>
      </c>
      <c r="I4763">
        <v>29.011510000000001</v>
      </c>
      <c r="J4763">
        <v>-415.19920000000002</v>
      </c>
      <c r="K4763">
        <v>1.122906</v>
      </c>
      <c r="L4763">
        <v>34.2804</v>
      </c>
      <c r="M4763">
        <v>0.57899560000000005</v>
      </c>
      <c r="N4763">
        <v>-1.529349E-2</v>
      </c>
      <c r="O4763">
        <v>-0.81518740000000001</v>
      </c>
      <c r="P4763">
        <v>0.69411389999999995</v>
      </c>
      <c r="Q4763">
        <v>0.40389649999999999</v>
      </c>
      <c r="R4763">
        <v>-0.59588069999999904</v>
      </c>
      <c r="S4763">
        <v>2.7456360000000002</v>
      </c>
      <c r="T4763">
        <v>-0.44339329999999999</v>
      </c>
      <c r="U4763">
        <v>-2.1391300000000002</v>
      </c>
      <c r="V4763">
        <v>-0.2332023</v>
      </c>
      <c r="W4763">
        <v>0.4106515</v>
      </c>
      <c r="X4763">
        <v>0.88146589999999903</v>
      </c>
      <c r="Y4763">
        <v>-0.28197169999999999</v>
      </c>
      <c r="Z4763">
        <v>0.1026236</v>
      </c>
      <c r="AA4763">
        <v>0.9539185</v>
      </c>
      <c r="AB4763">
        <v>36</v>
      </c>
      <c r="AC4763">
        <v>6.8439000000000103</v>
      </c>
      <c r="AD4763">
        <v>-1.1229097955689999</v>
      </c>
      <c r="AE4763">
        <v>-5.2688899999999999</v>
      </c>
      <c r="AF4763">
        <v>-2.4866615868378301</v>
      </c>
      <c r="AG4763">
        <v>-1.1229097955689999</v>
      </c>
      <c r="AH4763">
        <v>8.1214135185814307</v>
      </c>
      <c r="AI4763">
        <v>97.531223906510903</v>
      </c>
      <c r="AJ4763">
        <v>107.023844886474</v>
      </c>
      <c r="AK4763">
        <v>8.5674832825186709</v>
      </c>
      <c r="AL4763">
        <v>65.754233706790501</v>
      </c>
      <c r="AM4763">
        <v>104.81877071317101</v>
      </c>
      <c r="AN4763">
        <v>1.00000005002017</v>
      </c>
    </row>
    <row r="4764" spans="1:40" x14ac:dyDescent="0.25">
      <c r="A4764" t="str">
        <f>"20190304164506908"</f>
        <v>20190304164506908</v>
      </c>
      <c r="B4764" t="str">
        <f>"1551689106904972"</f>
        <v>1551689106904972</v>
      </c>
      <c r="C4764" t="s">
        <v>40</v>
      </c>
      <c r="D4764">
        <v>4.9667279999999998</v>
      </c>
      <c r="E4764">
        <v>0.48385210000000001</v>
      </c>
      <c r="F4764" t="s">
        <v>49</v>
      </c>
      <c r="G4764">
        <v>-408.16050000000001</v>
      </c>
      <c r="H4764" s="1">
        <v>-3.8713880000000004E-6</v>
      </c>
      <c r="I4764">
        <v>28.886759999999999</v>
      </c>
      <c r="J4764">
        <v>-415.07420000000002</v>
      </c>
      <c r="K4764">
        <v>1.1229199999999999</v>
      </c>
      <c r="L4764">
        <v>34.113979999999998</v>
      </c>
      <c r="M4764">
        <v>0.58505200000000002</v>
      </c>
      <c r="N4764">
        <v>-1.5299460000000001E-2</v>
      </c>
      <c r="O4764">
        <v>-0.81085130000000005</v>
      </c>
      <c r="P4764">
        <v>0.698096099999999</v>
      </c>
      <c r="Q4764">
        <v>0.4033774</v>
      </c>
      <c r="R4764">
        <v>-0.59156430000000004</v>
      </c>
      <c r="S4764">
        <v>2.7616879999999999</v>
      </c>
      <c r="T4764">
        <v>-0.44057750000000001</v>
      </c>
      <c r="U4764">
        <v>-2.1162109999999998</v>
      </c>
      <c r="V4764">
        <v>-0.23233999999999999</v>
      </c>
      <c r="W4764">
        <v>0.410161</v>
      </c>
      <c r="X4764">
        <v>0.88192179999999998</v>
      </c>
      <c r="Y4764">
        <v>-0.28257320000000002</v>
      </c>
      <c r="Z4764">
        <v>0.1016201</v>
      </c>
      <c r="AA4764">
        <v>0.95384789999999997</v>
      </c>
      <c r="AB4764">
        <v>36</v>
      </c>
      <c r="AC4764">
        <v>6.9137000000000004</v>
      </c>
      <c r="AD4764">
        <v>-1.1229238713879901</v>
      </c>
      <c r="AE4764">
        <v>-5.2272199999999902</v>
      </c>
      <c r="AF4764">
        <v>-2.5060215324437198</v>
      </c>
      <c r="AG4764">
        <v>-1.1229238713879901</v>
      </c>
      <c r="AH4764">
        <v>8.1475837657529198</v>
      </c>
      <c r="AI4764">
        <v>97.504504392556996</v>
      </c>
      <c r="AJ4764">
        <v>107.096771639607</v>
      </c>
      <c r="AK4764">
        <v>8.5979196996695109</v>
      </c>
      <c r="AL4764">
        <v>65.785050809016496</v>
      </c>
      <c r="AM4764">
        <v>104.75907452845701</v>
      </c>
      <c r="AN4764">
        <v>0.99999999141812002</v>
      </c>
    </row>
    <row r="4765" spans="1:40" x14ac:dyDescent="0.25">
      <c r="A4765" t="str">
        <f>"20190304164506923"</f>
        <v>20190304164506923</v>
      </c>
      <c r="B4765" t="str">
        <f>"1551689106914883"</f>
        <v>1551689106914883</v>
      </c>
      <c r="C4765" t="s">
        <v>40</v>
      </c>
      <c r="D4765">
        <v>4.9886999999999997</v>
      </c>
      <c r="E4765">
        <v>0.48396670000000003</v>
      </c>
      <c r="F4765" t="s">
        <v>49</v>
      </c>
      <c r="G4765">
        <v>-408.0027</v>
      </c>
      <c r="H4765" s="1">
        <v>-3.9318320000000002E-6</v>
      </c>
      <c r="I4765">
        <v>28.780270000000002</v>
      </c>
      <c r="J4765">
        <v>-414.93400000000003</v>
      </c>
      <c r="K4765">
        <v>1.1229309999999999</v>
      </c>
      <c r="L4765">
        <v>33.930329999999998</v>
      </c>
      <c r="M4765">
        <v>0.59174530000000003</v>
      </c>
      <c r="N4765">
        <v>-1.5304699999999999E-2</v>
      </c>
      <c r="O4765">
        <v>-0.80598000000000003</v>
      </c>
      <c r="P4765">
        <v>0.7025401</v>
      </c>
      <c r="Q4765">
        <v>0.40293040000000002</v>
      </c>
      <c r="R4765">
        <v>-0.58658710000000003</v>
      </c>
      <c r="S4765">
        <v>2.777161</v>
      </c>
      <c r="T4765">
        <v>-0.44100299999999998</v>
      </c>
      <c r="U4765">
        <v>-2.0946959999999999</v>
      </c>
      <c r="V4765">
        <v>-0.2315102</v>
      </c>
      <c r="W4765">
        <v>0.40974050000000001</v>
      </c>
      <c r="X4765">
        <v>0.88233539999999899</v>
      </c>
      <c r="Y4765">
        <v>-0.28190959999999998</v>
      </c>
      <c r="Z4765">
        <v>0.1013172</v>
      </c>
      <c r="AA4765">
        <v>0.95407640000000005</v>
      </c>
      <c r="AB4765">
        <v>36</v>
      </c>
      <c r="AC4765">
        <v>6.9313000000000198</v>
      </c>
      <c r="AD4765">
        <v>-1.1229349318320001</v>
      </c>
      <c r="AE4765">
        <v>-5.1500599999999901</v>
      </c>
      <c r="AF4765">
        <v>-2.4970349111465802</v>
      </c>
      <c r="AG4765">
        <v>-1.1229349318320001</v>
      </c>
      <c r="AH4765">
        <v>8.1161228005962407</v>
      </c>
      <c r="AI4765">
        <v>97.533156451804004</v>
      </c>
      <c r="AJ4765">
        <v>107.101222205626</v>
      </c>
      <c r="AK4765">
        <v>8.5654898005292992</v>
      </c>
      <c r="AL4765">
        <v>65.811465643476694</v>
      </c>
      <c r="AM4765">
        <v>104.702055995405</v>
      </c>
      <c r="AN4765">
        <v>1.00000000406872</v>
      </c>
    </row>
    <row r="4766" spans="1:40" x14ac:dyDescent="0.25">
      <c r="A4766" t="str">
        <f>"20190304164506941"</f>
        <v>20190304164506941</v>
      </c>
      <c r="B4766" t="str">
        <f>"1551689106935229"</f>
        <v>1551689106935229</v>
      </c>
      <c r="C4766" t="s">
        <v>40</v>
      </c>
      <c r="D4766">
        <v>4.9882090000000003</v>
      </c>
      <c r="E4766">
        <v>0.48445490000000002</v>
      </c>
      <c r="F4766" t="s">
        <v>49</v>
      </c>
      <c r="G4766">
        <v>-407.84789999999998</v>
      </c>
      <c r="H4766" s="1">
        <v>-3.9895139999999996E-6</v>
      </c>
      <c r="I4766">
        <v>28.666640000000001</v>
      </c>
      <c r="J4766">
        <v>-414.77440000000001</v>
      </c>
      <c r="K4766">
        <v>1.1229340000000001</v>
      </c>
      <c r="L4766">
        <v>33.724789999999999</v>
      </c>
      <c r="M4766">
        <v>0.59924339999999998</v>
      </c>
      <c r="N4766">
        <v>-1.5306729999999999E-2</v>
      </c>
      <c r="O4766">
        <v>-0.80042060000000004</v>
      </c>
      <c r="P4766">
        <v>0.70739240000000003</v>
      </c>
      <c r="Q4766">
        <v>0.40228350000000002</v>
      </c>
      <c r="R4766">
        <v>-0.58117459999999999</v>
      </c>
      <c r="S4766">
        <v>2.7922359999999999</v>
      </c>
      <c r="T4766">
        <v>-0.44248599999999999</v>
      </c>
      <c r="U4766">
        <v>-2.0741269999999998</v>
      </c>
      <c r="V4766">
        <v>-0.23033020000000001</v>
      </c>
      <c r="W4766">
        <v>0.40913139999999998</v>
      </c>
      <c r="X4766">
        <v>0.88292660000000001</v>
      </c>
      <c r="Y4766">
        <v>-0.27994530000000001</v>
      </c>
      <c r="Z4766">
        <v>0.1011469</v>
      </c>
      <c r="AA4766">
        <v>0.95467270000000004</v>
      </c>
      <c r="AB4766">
        <v>36</v>
      </c>
      <c r="AC4766">
        <v>6.9265000000000301</v>
      </c>
      <c r="AD4766">
        <v>-1.1229379895139999</v>
      </c>
      <c r="AE4766">
        <v>-5.0581500000000004</v>
      </c>
      <c r="AF4766">
        <v>-2.47098689410848</v>
      </c>
      <c r="AG4766">
        <v>-1.1229379895139999</v>
      </c>
      <c r="AH4766">
        <v>8.0620670247476696</v>
      </c>
      <c r="AI4766">
        <v>97.585557522238403</v>
      </c>
      <c r="AJ4766">
        <v>107.04006403699699</v>
      </c>
      <c r="AK4766">
        <v>8.5066850576868802</v>
      </c>
      <c r="AL4766">
        <v>65.849716136215406</v>
      </c>
      <c r="AM4766">
        <v>104.620966446799</v>
      </c>
      <c r="AN4766">
        <v>0.99999994224277799</v>
      </c>
    </row>
    <row r="4767" spans="1:40" x14ac:dyDescent="0.25">
      <c r="A4767" t="str">
        <f>"20190304164506954"</f>
        <v>20190304164506954</v>
      </c>
      <c r="B4767" t="str">
        <f>"1551689106944988"</f>
        <v>1551689106944988</v>
      </c>
      <c r="C4767" t="s">
        <v>40</v>
      </c>
      <c r="D4767">
        <v>4.9429600000000002</v>
      </c>
      <c r="E4767">
        <v>0.48476720000000001</v>
      </c>
      <c r="F4767" t="s">
        <v>49</v>
      </c>
      <c r="G4767">
        <v>-407.70549999999997</v>
      </c>
      <c r="H4767" s="1">
        <v>-4.0401730000000002E-6</v>
      </c>
      <c r="I4767">
        <v>28.548729999999999</v>
      </c>
      <c r="J4767">
        <v>-414.62979999999999</v>
      </c>
      <c r="K4767">
        <v>1.12294</v>
      </c>
      <c r="L4767">
        <v>33.541379999999997</v>
      </c>
      <c r="M4767">
        <v>0.60593839999999999</v>
      </c>
      <c r="N4767">
        <v>-1.5303270000000001E-2</v>
      </c>
      <c r="O4767">
        <v>-0.79536439999999997</v>
      </c>
      <c r="P4767">
        <v>0.71187230000000001</v>
      </c>
      <c r="Q4767">
        <v>0.40246670000000001</v>
      </c>
      <c r="R4767">
        <v>-0.57555069999999997</v>
      </c>
      <c r="S4767">
        <v>2.806244</v>
      </c>
      <c r="T4767">
        <v>-0.44578709999999999</v>
      </c>
      <c r="U4767">
        <v>-2.0548099999999998</v>
      </c>
      <c r="V4767">
        <v>-0.22985120000000001</v>
      </c>
      <c r="W4767">
        <v>0.40931980000000001</v>
      </c>
      <c r="X4767">
        <v>0.88296409999999903</v>
      </c>
      <c r="Y4767">
        <v>-0.27838649999999998</v>
      </c>
      <c r="Z4767">
        <v>0.101483</v>
      </c>
      <c r="AA4767">
        <v>0.95509270000000002</v>
      </c>
      <c r="AB4767">
        <v>36</v>
      </c>
      <c r="AC4767">
        <v>6.9243000000000103</v>
      </c>
      <c r="AD4767">
        <v>-1.122944040173</v>
      </c>
      <c r="AE4767">
        <v>-4.9926499999999896</v>
      </c>
      <c r="AF4767">
        <v>-2.44016869968506</v>
      </c>
      <c r="AG4767">
        <v>-1.122944040173</v>
      </c>
      <c r="AH4767">
        <v>8.0287009140014494</v>
      </c>
      <c r="AI4767">
        <v>97.622145304717705</v>
      </c>
      <c r="AJ4767">
        <v>106.905637117347</v>
      </c>
      <c r="AK4767">
        <v>8.4661363659446494</v>
      </c>
      <c r="AL4767">
        <v>65.837885527737498</v>
      </c>
      <c r="AM4767">
        <v>104.59126614018599</v>
      </c>
      <c r="AN4767">
        <v>0.99999993735114201</v>
      </c>
    </row>
    <row r="4768" spans="1:40" x14ac:dyDescent="0.25">
      <c r="A4768" t="str">
        <f>"20190304164506966"</f>
        <v>20190304164506966</v>
      </c>
      <c r="B4768" t="str">
        <f>"1551689106954748"</f>
        <v>1551689106954748</v>
      </c>
      <c r="C4768" t="s">
        <v>40</v>
      </c>
      <c r="D4768">
        <v>4.9492279999999997</v>
      </c>
      <c r="E4768">
        <v>0.48516090000000001</v>
      </c>
      <c r="F4768" t="s">
        <v>49</v>
      </c>
      <c r="G4768">
        <v>-407.50689999999997</v>
      </c>
      <c r="H4768" s="1">
        <v>-4.114025E-6</v>
      </c>
      <c r="I4768">
        <v>28.40222</v>
      </c>
      <c r="J4768">
        <v>-414.50389999999999</v>
      </c>
      <c r="K4768">
        <v>1.122943</v>
      </c>
      <c r="L4768">
        <v>33.385440000000003</v>
      </c>
      <c r="M4768">
        <v>0.61165780000000003</v>
      </c>
      <c r="N4768">
        <v>-1.5293799999999899E-2</v>
      </c>
      <c r="O4768">
        <v>-0.79097479999999998</v>
      </c>
      <c r="P4768">
        <v>0.71583589999999997</v>
      </c>
      <c r="Q4768">
        <v>0.40224680000000002</v>
      </c>
      <c r="R4768">
        <v>-0.57076890000000002</v>
      </c>
      <c r="S4768">
        <v>2.8204039999999999</v>
      </c>
      <c r="T4768">
        <v>-0.4446427</v>
      </c>
      <c r="U4768">
        <v>-2.0349119999999998</v>
      </c>
      <c r="V4768">
        <v>-0.22949749999999999</v>
      </c>
      <c r="W4768">
        <v>0.40910010000000002</v>
      </c>
      <c r="X4768">
        <v>0.883158</v>
      </c>
      <c r="Y4768">
        <v>-0.2782193</v>
      </c>
      <c r="Z4768">
        <v>0.10083250000000001</v>
      </c>
      <c r="AA4768">
        <v>0.95521040000000002</v>
      </c>
      <c r="AB4768">
        <v>36</v>
      </c>
      <c r="AC4768">
        <v>6.9970000000000097</v>
      </c>
      <c r="AD4768">
        <v>-1.122947114025</v>
      </c>
      <c r="AE4768">
        <v>-4.9832200000000002</v>
      </c>
      <c r="AF4768">
        <v>-2.4449341312859398</v>
      </c>
      <c r="AG4768">
        <v>-1.122947114025</v>
      </c>
      <c r="AH4768">
        <v>8.0841804442531409</v>
      </c>
      <c r="AI4768">
        <v>97.573575247462998</v>
      </c>
      <c r="AJ4768">
        <v>106.827121569602</v>
      </c>
      <c r="AK4768">
        <v>8.5201341880553105</v>
      </c>
      <c r="AL4768">
        <v>65.851683588814893</v>
      </c>
      <c r="AM4768">
        <v>104.56670622031901</v>
      </c>
      <c r="AN4768">
        <v>1.0000000236451201</v>
      </c>
    </row>
    <row r="4769" spans="1:40" x14ac:dyDescent="0.25">
      <c r="A4769" t="str">
        <f>"20190304164506979"</f>
        <v>20190304164506979</v>
      </c>
      <c r="B4769" t="str">
        <f>"1551689106975244"</f>
        <v>1551689106975244</v>
      </c>
      <c r="C4769" t="s">
        <v>40</v>
      </c>
      <c r="D4769">
        <v>4.9001929999999998</v>
      </c>
      <c r="E4769">
        <v>0.48562559999999999</v>
      </c>
      <c r="F4769" t="s">
        <v>49</v>
      </c>
      <c r="G4769">
        <v>-407.37240000000003</v>
      </c>
      <c r="H4769" s="1">
        <v>-4.1645139999999996E-6</v>
      </c>
      <c r="I4769">
        <v>28.305589999999999</v>
      </c>
      <c r="J4769">
        <v>-414.38310000000001</v>
      </c>
      <c r="K4769">
        <v>1.122946</v>
      </c>
      <c r="L4769">
        <v>33.237180000000002</v>
      </c>
      <c r="M4769">
        <v>0.61708859999999999</v>
      </c>
      <c r="N4769">
        <v>-1.528155E-2</v>
      </c>
      <c r="O4769">
        <v>-0.78674540000000004</v>
      </c>
      <c r="P4769">
        <v>0.71935389999999999</v>
      </c>
      <c r="Q4769">
        <v>0.40231319999999998</v>
      </c>
      <c r="R4769">
        <v>-0.56628109999999998</v>
      </c>
      <c r="S4769">
        <v>2.832703</v>
      </c>
      <c r="T4769">
        <v>-0.44604440000000001</v>
      </c>
      <c r="U4769">
        <v>-2.0177610000000001</v>
      </c>
      <c r="V4769">
        <v>-0.2289168</v>
      </c>
      <c r="W4769">
        <v>0.4091706</v>
      </c>
      <c r="X4769">
        <v>0.88327599999999995</v>
      </c>
      <c r="Y4769">
        <v>-0.27739269999999999</v>
      </c>
      <c r="Z4769">
        <v>0.10078810000000001</v>
      </c>
      <c r="AA4769">
        <v>0.95545539999999995</v>
      </c>
      <c r="AB4769">
        <v>36</v>
      </c>
      <c r="AC4769">
        <v>7.0106999999999804</v>
      </c>
      <c r="AD4769">
        <v>-1.1229501645139901</v>
      </c>
      <c r="AE4769">
        <v>-4.9315899999999999</v>
      </c>
      <c r="AF4769">
        <v>-2.4309723077567398</v>
      </c>
      <c r="AG4769">
        <v>-1.1229501645139901</v>
      </c>
      <c r="AH4769">
        <v>8.0686002469290301</v>
      </c>
      <c r="AI4769">
        <v>97.590428604474397</v>
      </c>
      <c r="AJ4769">
        <v>106.76692304349</v>
      </c>
      <c r="AK4769">
        <v>8.5013500914740199</v>
      </c>
      <c r="AL4769">
        <v>65.847255824562794</v>
      </c>
      <c r="AM4769">
        <v>104.52955099955</v>
      </c>
      <c r="AN4769">
        <v>0.99999998670129997</v>
      </c>
    </row>
    <row r="4770" spans="1:40" x14ac:dyDescent="0.25">
      <c r="A4770" t="str">
        <f>"20190304164506994"</f>
        <v>20190304164506994</v>
      </c>
      <c r="B4770" t="str">
        <f>"1551689106985005"</f>
        <v>1551689106985005</v>
      </c>
      <c r="C4770" t="s">
        <v>40</v>
      </c>
      <c r="D4770">
        <v>4.9364759999999999</v>
      </c>
      <c r="E4770">
        <v>0.48602909999999999</v>
      </c>
      <c r="F4770" t="s">
        <v>49</v>
      </c>
      <c r="G4770">
        <v>-407.23910000000001</v>
      </c>
      <c r="H4770" s="1">
        <v>-4.2138950000000001E-6</v>
      </c>
      <c r="I4770">
        <v>28.20627</v>
      </c>
      <c r="J4770">
        <v>-414.22770000000003</v>
      </c>
      <c r="K4770">
        <v>1.122946</v>
      </c>
      <c r="L4770">
        <v>33.049289999999999</v>
      </c>
      <c r="M4770">
        <v>0.62397209999999903</v>
      </c>
      <c r="N4770">
        <v>-1.525995E-2</v>
      </c>
      <c r="O4770">
        <v>-0.78129759999999904</v>
      </c>
      <c r="P4770">
        <v>0.72416480000000005</v>
      </c>
      <c r="Q4770">
        <v>0.40236359999999999</v>
      </c>
      <c r="R4770">
        <v>-0.56007959999999901</v>
      </c>
      <c r="S4770">
        <v>2.843842</v>
      </c>
      <c r="T4770">
        <v>-0.44701930000000001</v>
      </c>
      <c r="U4770">
        <v>-2.0026860000000002</v>
      </c>
      <c r="V4770">
        <v>-0.22873750000000001</v>
      </c>
      <c r="W4770">
        <v>0.40920319999999999</v>
      </c>
      <c r="X4770">
        <v>0.88330739999999996</v>
      </c>
      <c r="Y4770">
        <v>-0.27412429999999999</v>
      </c>
      <c r="Z4770">
        <v>0.1004065</v>
      </c>
      <c r="AA4770">
        <v>0.95643840000000002</v>
      </c>
      <c r="AB4770">
        <v>36</v>
      </c>
      <c r="AC4770">
        <v>6.9886000000000204</v>
      </c>
      <c r="AD4770">
        <v>-1.122950213895</v>
      </c>
      <c r="AE4770">
        <v>-4.8430199999999903</v>
      </c>
      <c r="AF4770">
        <v>-2.3967456016695898</v>
      </c>
      <c r="AG4770">
        <v>-1.122950213895</v>
      </c>
      <c r="AH4770">
        <v>8.0058374409342097</v>
      </c>
      <c r="AI4770">
        <v>97.653218132650096</v>
      </c>
      <c r="AJ4770">
        <v>106.666372481385</v>
      </c>
      <c r="AK4770">
        <v>8.4320127960454094</v>
      </c>
      <c r="AL4770">
        <v>65.845209948797105</v>
      </c>
      <c r="AM4770">
        <v>104.518157485606</v>
      </c>
      <c r="AN4770">
        <v>1.00000003284562</v>
      </c>
    </row>
    <row r="4771" spans="1:40" x14ac:dyDescent="0.25">
      <c r="A4771" t="str">
        <f>"20190304164507007"</f>
        <v>20190304164507007</v>
      </c>
      <c r="B4771" t="str">
        <f>"1551689107004525"</f>
        <v>1551689107004525</v>
      </c>
      <c r="C4771" t="s">
        <v>40</v>
      </c>
      <c r="D4771">
        <v>4.9068639999999997</v>
      </c>
      <c r="E4771">
        <v>0.48666150000000002</v>
      </c>
      <c r="F4771" t="s">
        <v>49</v>
      </c>
      <c r="G4771">
        <v>-407.05130000000003</v>
      </c>
      <c r="H4771" s="1">
        <v>-4.2865189999999998E-6</v>
      </c>
      <c r="I4771">
        <v>28.08333</v>
      </c>
      <c r="J4771">
        <v>-414.08789999999999</v>
      </c>
      <c r="K4771">
        <v>1.1229439999999999</v>
      </c>
      <c r="L4771">
        <v>32.883940000000003</v>
      </c>
      <c r="M4771">
        <v>0.63005250000000002</v>
      </c>
      <c r="N4771">
        <v>-1.5228429999999999E-2</v>
      </c>
      <c r="O4771">
        <v>-0.77640319999999996</v>
      </c>
      <c r="P4771">
        <v>0.72853749999999995</v>
      </c>
      <c r="Q4771">
        <v>0.40218140000000002</v>
      </c>
      <c r="R4771">
        <v>-0.5545118</v>
      </c>
      <c r="S4771">
        <v>2.860474</v>
      </c>
      <c r="T4771">
        <v>-0.44760129999999998</v>
      </c>
      <c r="U4771">
        <v>-1.979401</v>
      </c>
      <c r="V4771">
        <v>-0.22868910000000001</v>
      </c>
      <c r="W4771">
        <v>0.40899350000000001</v>
      </c>
      <c r="X4771">
        <v>0.88341700000000001</v>
      </c>
      <c r="Y4771">
        <v>-0.2744933</v>
      </c>
      <c r="Z4771">
        <v>0.1001523</v>
      </c>
      <c r="AA4771">
        <v>0.95635919999999996</v>
      </c>
      <c r="AB4771">
        <v>36</v>
      </c>
      <c r="AC4771">
        <v>7.03659999999996</v>
      </c>
      <c r="AD4771">
        <v>-1.1229482865189999</v>
      </c>
      <c r="AE4771">
        <v>-4.8006099999999998</v>
      </c>
      <c r="AF4771">
        <v>-2.3972239101969199</v>
      </c>
      <c r="AG4771">
        <v>-1.1229482865189999</v>
      </c>
      <c r="AH4771">
        <v>8.0221656753503296</v>
      </c>
      <c r="AI4771">
        <v>97.638951141346496</v>
      </c>
      <c r="AJ4771">
        <v>106.637462132384</v>
      </c>
      <c r="AK4771">
        <v>8.4476527777001298</v>
      </c>
      <c r="AL4771">
        <v>65.858376072678098</v>
      </c>
      <c r="AM4771">
        <v>104.513490517394</v>
      </c>
      <c r="AN4771">
        <v>0.99999999169502995</v>
      </c>
    </row>
    <row r="4772" spans="1:40" x14ac:dyDescent="0.25">
      <c r="A4772" t="str">
        <f>"20190304164507020"</f>
        <v>20190304164507020</v>
      </c>
      <c r="B4772" t="str">
        <f>"1551689107015260"</f>
        <v>1551689107015260</v>
      </c>
      <c r="C4772" t="s">
        <v>40</v>
      </c>
      <c r="D4772">
        <v>4.9436210000000003</v>
      </c>
      <c r="E4772">
        <v>0.48699229999999999</v>
      </c>
      <c r="F4772" t="s">
        <v>49</v>
      </c>
      <c r="G4772">
        <v>-406.90449999999998</v>
      </c>
      <c r="H4772" s="1">
        <v>-4.3424269999999998E-6</v>
      </c>
      <c r="I4772">
        <v>27.982399999999998</v>
      </c>
      <c r="J4772">
        <v>-413.96660000000003</v>
      </c>
      <c r="K4772">
        <v>1.122933</v>
      </c>
      <c r="L4772">
        <v>32.742159999999998</v>
      </c>
      <c r="M4772">
        <v>0.63526179999999999</v>
      </c>
      <c r="N4772">
        <v>-1.519741E-2</v>
      </c>
      <c r="O4772">
        <v>-0.77214719999999903</v>
      </c>
      <c r="P4772">
        <v>0.73254259999999904</v>
      </c>
      <c r="Q4772">
        <v>0.40175709999999998</v>
      </c>
      <c r="R4772">
        <v>-0.54952040000000002</v>
      </c>
      <c r="S4772">
        <v>2.8734739999999999</v>
      </c>
      <c r="T4772">
        <v>-0.4491965</v>
      </c>
      <c r="U4772">
        <v>-1.960693</v>
      </c>
      <c r="V4772">
        <v>-0.2289525</v>
      </c>
      <c r="W4772">
        <v>0.40853440000000002</v>
      </c>
      <c r="X4772">
        <v>0.88356119999999905</v>
      </c>
      <c r="Y4772">
        <v>-0.27426830000000002</v>
      </c>
      <c r="Z4772">
        <v>0.1001742</v>
      </c>
      <c r="AA4772">
        <v>0.95642150000000004</v>
      </c>
      <c r="AB4772">
        <v>36</v>
      </c>
      <c r="AC4772">
        <v>7.06210000000004</v>
      </c>
      <c r="AD4772">
        <v>-1.1229373424269999</v>
      </c>
      <c r="AE4772">
        <v>-4.75976</v>
      </c>
      <c r="AF4772">
        <v>-2.3880490107906298</v>
      </c>
      <c r="AG4772">
        <v>-1.1229373424269999</v>
      </c>
      <c r="AH4772">
        <v>8.0229730024098291</v>
      </c>
      <c r="AI4772">
        <v>97.640544529651606</v>
      </c>
      <c r="AJ4772">
        <v>106.575709676382</v>
      </c>
      <c r="AK4772">
        <v>8.4458192113229593</v>
      </c>
      <c r="AL4772">
        <v>65.887198667231104</v>
      </c>
      <c r="AM4772">
        <v>104.527228861171</v>
      </c>
      <c r="AN4772">
        <v>0.99999999869252498</v>
      </c>
    </row>
    <row r="4773" spans="1:40" x14ac:dyDescent="0.25">
      <c r="A4773" t="str">
        <f>"20190304164507032"</f>
        <v>20190304164507032</v>
      </c>
      <c r="B4773" t="str">
        <f>"1551689107025020"</f>
        <v>1551689107025020</v>
      </c>
      <c r="C4773" t="s">
        <v>40</v>
      </c>
      <c r="D4773">
        <v>4.9196359999999997</v>
      </c>
      <c r="E4773">
        <v>0.48736800000000002</v>
      </c>
      <c r="F4773" t="s">
        <v>49</v>
      </c>
      <c r="G4773">
        <v>-406.7833</v>
      </c>
      <c r="H4773" s="1">
        <v>-4.389995E-6</v>
      </c>
      <c r="I4773">
        <v>27.906860000000002</v>
      </c>
      <c r="J4773">
        <v>-413.8306</v>
      </c>
      <c r="K4773">
        <v>1.122925</v>
      </c>
      <c r="L4773">
        <v>32.585050000000003</v>
      </c>
      <c r="M4773">
        <v>0.64102869999999901</v>
      </c>
      <c r="N4773">
        <v>-1.515858E-2</v>
      </c>
      <c r="O4773">
        <v>-0.76736719999999903</v>
      </c>
      <c r="P4773">
        <v>0.73707880000000003</v>
      </c>
      <c r="Q4773">
        <v>0.40145829999999999</v>
      </c>
      <c r="R4773">
        <v>-0.54364159999999995</v>
      </c>
      <c r="S4773">
        <v>2.8856199999999999</v>
      </c>
      <c r="T4773">
        <v>-0.45109460000000001</v>
      </c>
      <c r="U4773">
        <v>-1.942383</v>
      </c>
      <c r="V4773">
        <v>-0.22952249999999999</v>
      </c>
      <c r="W4773">
        <v>0.40818270000000001</v>
      </c>
      <c r="X4773">
        <v>0.88357589999999997</v>
      </c>
      <c r="Y4773">
        <v>-0.27308490000000002</v>
      </c>
      <c r="Z4773">
        <v>0.1001865</v>
      </c>
      <c r="AA4773">
        <v>0.95675869999999996</v>
      </c>
      <c r="AB4773">
        <v>36</v>
      </c>
      <c r="AC4773">
        <v>7.0472999999999999</v>
      </c>
      <c r="AD4773">
        <v>-1.1229293899949999</v>
      </c>
      <c r="AE4773">
        <v>-4.6781899999999998</v>
      </c>
      <c r="AF4773">
        <v>-2.3675645115334798</v>
      </c>
      <c r="AG4773">
        <v>-1.1229293899949999</v>
      </c>
      <c r="AH4773">
        <v>7.9679189458341098</v>
      </c>
      <c r="AI4773">
        <v>97.693720779296399</v>
      </c>
      <c r="AJ4773">
        <v>106.548638964948</v>
      </c>
      <c r="AK4773">
        <v>8.3877329749205405</v>
      </c>
      <c r="AL4773">
        <v>65.909274967549806</v>
      </c>
      <c r="AM4773">
        <v>104.561628218869</v>
      </c>
      <c r="AN4773">
        <v>1.00000003282317</v>
      </c>
    </row>
    <row r="4774" spans="1:40" x14ac:dyDescent="0.25">
      <c r="A4774" t="str">
        <f>"20190304164507044"</f>
        <v>20190304164507044</v>
      </c>
      <c r="B4774" t="str">
        <f>"1551689107034780"</f>
        <v>1551689107034780</v>
      </c>
      <c r="C4774" t="s">
        <v>40</v>
      </c>
      <c r="D4774">
        <v>4.9497289999999996</v>
      </c>
      <c r="E4774">
        <v>0.48736800000000002</v>
      </c>
      <c r="F4774" t="s">
        <v>49</v>
      </c>
      <c r="G4774">
        <v>-406.63780000000003</v>
      </c>
      <c r="H4774" s="1">
        <v>-4.4476709999999996E-6</v>
      </c>
      <c r="I4774">
        <v>27.819739999999999</v>
      </c>
      <c r="J4774">
        <v>-413.71289999999999</v>
      </c>
      <c r="K4774">
        <v>1.1229209999999901</v>
      </c>
      <c r="L4774">
        <v>32.45187</v>
      </c>
      <c r="M4774">
        <v>0.64592859999999996</v>
      </c>
      <c r="N4774">
        <v>-1.512174E-2</v>
      </c>
      <c r="O4774">
        <v>-0.76324799999999904</v>
      </c>
      <c r="P4774">
        <v>0.74093100000000001</v>
      </c>
      <c r="Q4774">
        <v>0.4011381</v>
      </c>
      <c r="R4774">
        <v>-0.53861829999999999</v>
      </c>
      <c r="S4774">
        <v>2.8997190000000002</v>
      </c>
      <c r="T4774">
        <v>-0.452704</v>
      </c>
      <c r="U4774">
        <v>-1.9211119999999999</v>
      </c>
      <c r="V4774">
        <v>-0.22999320000000001</v>
      </c>
      <c r="W4774">
        <v>0.40781879999999998</v>
      </c>
      <c r="X4774">
        <v>0.88362149999999995</v>
      </c>
      <c r="Y4774">
        <v>-0.27391890000000002</v>
      </c>
      <c r="Z4774">
        <v>0.10027560000000001</v>
      </c>
      <c r="AA4774">
        <v>0.956511</v>
      </c>
      <c r="AB4774">
        <v>36</v>
      </c>
      <c r="AC4774">
        <v>7.07509999999996</v>
      </c>
      <c r="AD4774">
        <v>-1.12292544767099</v>
      </c>
      <c r="AE4774">
        <v>-4.6321299999999903</v>
      </c>
      <c r="AF4774">
        <v>-2.3665775526886899</v>
      </c>
      <c r="AG4774">
        <v>-1.12292544767099</v>
      </c>
      <c r="AH4774">
        <v>7.9659414480681301</v>
      </c>
      <c r="AI4774">
        <v>97.695685192498004</v>
      </c>
      <c r="AJ4774">
        <v>106.545999456834</v>
      </c>
      <c r="AK4774">
        <v>8.3855753546174103</v>
      </c>
      <c r="AL4774">
        <v>65.932111329043593</v>
      </c>
      <c r="AM4774">
        <v>104.58949697948999</v>
      </c>
      <c r="AN4774">
        <v>1.0000000004709599</v>
      </c>
    </row>
    <row r="4775" spans="1:40" x14ac:dyDescent="0.25">
      <c r="A4775" t="str">
        <f>"20190304164507056"</f>
        <v>20190304164507056</v>
      </c>
      <c r="B4775" t="str">
        <f>"1551689107044541"</f>
        <v>1551689107044541</v>
      </c>
      <c r="C4775" t="s">
        <v>40</v>
      </c>
      <c r="D4775">
        <v>4.9527359999999998</v>
      </c>
      <c r="E4775">
        <v>0.49716060000000001</v>
      </c>
      <c r="F4775" t="s">
        <v>49</v>
      </c>
      <c r="G4775">
        <v>-406.50889999999998</v>
      </c>
      <c r="H4775" s="1">
        <v>-4.4997560000000002E-6</v>
      </c>
      <c r="I4775">
        <v>27.74784</v>
      </c>
      <c r="J4775">
        <v>-413.58800000000002</v>
      </c>
      <c r="K4775">
        <v>1.1229070000000001</v>
      </c>
      <c r="L4775">
        <v>32.311430000000001</v>
      </c>
      <c r="M4775">
        <v>0.65107969999999904</v>
      </c>
      <c r="N4775">
        <v>-1.508225E-2</v>
      </c>
      <c r="O4775">
        <v>-0.75885959999999997</v>
      </c>
      <c r="P4775">
        <v>0.74503199999999903</v>
      </c>
      <c r="Q4775">
        <v>0.40089180000000002</v>
      </c>
      <c r="R4775">
        <v>-0.53311640000000005</v>
      </c>
      <c r="S4775">
        <v>2.9123540000000001</v>
      </c>
      <c r="T4775">
        <v>-0.45396629999999899</v>
      </c>
      <c r="U4775">
        <v>-1.9017029999999999</v>
      </c>
      <c r="V4775">
        <v>-0.23064750000000001</v>
      </c>
      <c r="W4775">
        <v>0.40751959999999998</v>
      </c>
      <c r="X4775">
        <v>0.88358899999999996</v>
      </c>
      <c r="Y4775">
        <v>-0.27376820000000002</v>
      </c>
      <c r="Z4775">
        <v>0.10020610000000001</v>
      </c>
      <c r="AA4775">
        <v>0.95656140000000001</v>
      </c>
      <c r="AB4775">
        <v>36</v>
      </c>
      <c r="AC4775">
        <v>7.0791000000000404</v>
      </c>
      <c r="AD4775">
        <v>-1.1229114997559999</v>
      </c>
      <c r="AE4775">
        <v>-4.5635899999999898</v>
      </c>
      <c r="AF4775">
        <v>-2.35912266059194</v>
      </c>
      <c r="AG4775">
        <v>-1.1229114997559999</v>
      </c>
      <c r="AH4775">
        <v>7.9321100002179197</v>
      </c>
      <c r="AI4775">
        <v>97.727335208764202</v>
      </c>
      <c r="AJ4775">
        <v>106.56322866472399</v>
      </c>
      <c r="AK4775">
        <v>8.35133276905907</v>
      </c>
      <c r="AL4775">
        <v>65.950885284810099</v>
      </c>
      <c r="AM4775">
        <v>104.629739004953</v>
      </c>
      <c r="AN4775">
        <v>1.0000000072807</v>
      </c>
    </row>
    <row r="4776" spans="1:40" x14ac:dyDescent="0.25">
      <c r="A4776" t="str">
        <f>"20190304164507072"</f>
        <v>20190304164507072</v>
      </c>
      <c r="B4776" t="str">
        <f>"1551689107065036"</f>
        <v>1551689107065036</v>
      </c>
      <c r="C4776" t="s">
        <v>40</v>
      </c>
      <c r="D4776">
        <v>4.9189910000000001</v>
      </c>
      <c r="E4776">
        <v>0.4974924</v>
      </c>
      <c r="F4776" t="s">
        <v>49</v>
      </c>
      <c r="G4776">
        <v>-406.62779999999998</v>
      </c>
      <c r="H4776" s="1">
        <v>-4.416893E-6</v>
      </c>
      <c r="I4776">
        <v>27.618400000000001</v>
      </c>
      <c r="J4776">
        <v>-413.40589999999997</v>
      </c>
      <c r="K4776">
        <v>1.122876</v>
      </c>
      <c r="L4776">
        <v>32.110570000000003</v>
      </c>
      <c r="M4776">
        <v>0.65844689999999995</v>
      </c>
      <c r="N4776">
        <v>-1.5024050000000001E-2</v>
      </c>
      <c r="O4776">
        <v>-0.75247730000000002</v>
      </c>
      <c r="P4776">
        <v>0.75101830000000003</v>
      </c>
      <c r="Q4776">
        <v>0.40107100000000001</v>
      </c>
      <c r="R4776">
        <v>-0.52451309999999995</v>
      </c>
      <c r="S4776">
        <v>2.885132</v>
      </c>
      <c r="T4776">
        <v>-0.46546670000000001</v>
      </c>
      <c r="U4776">
        <v>-1.945343</v>
      </c>
      <c r="V4776">
        <v>-0.23212279999999999</v>
      </c>
      <c r="W4776">
        <v>0.40760360000000001</v>
      </c>
      <c r="X4776">
        <v>0.88316380000000005</v>
      </c>
      <c r="Y4776">
        <v>-0.25003999999999998</v>
      </c>
      <c r="Z4776">
        <v>0.10113750000000001</v>
      </c>
      <c r="AA4776">
        <v>0.96293879999999998</v>
      </c>
      <c r="AB4776">
        <v>36</v>
      </c>
      <c r="AC4776">
        <v>6.7780999999999896</v>
      </c>
      <c r="AD4776">
        <v>-1.122880416893</v>
      </c>
      <c r="AE4776">
        <v>-4.4921699999999998</v>
      </c>
      <c r="AF4776">
        <v>-2.1026578773994</v>
      </c>
      <c r="AG4776">
        <v>-1.122880416893</v>
      </c>
      <c r="AH4776">
        <v>7.6973812059168498</v>
      </c>
      <c r="AI4776">
        <v>98.010200424843404</v>
      </c>
      <c r="AJ4776">
        <v>105.278478712077</v>
      </c>
      <c r="AK4776">
        <v>8.0580213457916301</v>
      </c>
      <c r="AL4776">
        <v>65.945614491011</v>
      </c>
      <c r="AM4776">
        <v>104.72604330164501</v>
      </c>
      <c r="AN4776">
        <v>0.99999999332162004</v>
      </c>
    </row>
    <row r="4777" spans="1:40" x14ac:dyDescent="0.25">
      <c r="A4777" t="str">
        <f>"20190304164507085"</f>
        <v>20190304164507085</v>
      </c>
      <c r="B4777" t="str">
        <f>"1551689107074796"</f>
        <v>1551689107074796</v>
      </c>
      <c r="C4777" t="s">
        <v>40</v>
      </c>
      <c r="D4777">
        <v>4.9141680000000001</v>
      </c>
      <c r="E4777">
        <v>0.49788189999999999</v>
      </c>
      <c r="F4777" t="s">
        <v>49</v>
      </c>
      <c r="G4777">
        <v>-406.53019999999998</v>
      </c>
      <c r="H4777" s="1">
        <v>-4.4582239999999998E-6</v>
      </c>
      <c r="I4777">
        <v>27.574870000000001</v>
      </c>
      <c r="J4777">
        <v>-413.28160000000003</v>
      </c>
      <c r="K4777">
        <v>1.122854</v>
      </c>
      <c r="L4777">
        <v>31.976379999999999</v>
      </c>
      <c r="M4777">
        <v>0.66337179999999996</v>
      </c>
      <c r="N4777">
        <v>-1.498564E-2</v>
      </c>
      <c r="O4777">
        <v>-0.74813989999999997</v>
      </c>
      <c r="P4777">
        <v>0.75497599999999998</v>
      </c>
      <c r="Q4777">
        <v>0.40119500000000002</v>
      </c>
      <c r="R4777">
        <v>-0.5187041</v>
      </c>
      <c r="S4777">
        <v>2.908325</v>
      </c>
      <c r="T4777">
        <v>-0.47496630000000001</v>
      </c>
      <c r="U4777">
        <v>-1.9185490000000001</v>
      </c>
      <c r="V4777">
        <v>-0.23308429999999999</v>
      </c>
      <c r="W4777">
        <v>0.40766849999999999</v>
      </c>
      <c r="X4777">
        <v>0.88288060000000002</v>
      </c>
      <c r="Y4777">
        <v>-0.25317410000000001</v>
      </c>
      <c r="Z4777">
        <v>0.1030007</v>
      </c>
      <c r="AA4777">
        <v>0.9619219</v>
      </c>
      <c r="AB4777">
        <v>36</v>
      </c>
      <c r="AC4777">
        <v>6.7514000000000403</v>
      </c>
      <c r="AD4777">
        <v>-1.122858458224</v>
      </c>
      <c r="AE4777">
        <v>-4.4015099999999903</v>
      </c>
      <c r="AF4777">
        <v>-2.0908095023384199</v>
      </c>
      <c r="AG4777">
        <v>-1.122858458224</v>
      </c>
      <c r="AH4777">
        <v>7.6245098151731998</v>
      </c>
      <c r="AI4777">
        <v>98.083447654694297</v>
      </c>
      <c r="AJ4777">
        <v>105.33480914051199</v>
      </c>
      <c r="AK4777">
        <v>7.98532688209733</v>
      </c>
      <c r="AL4777">
        <v>65.941543121599395</v>
      </c>
      <c r="AM4777">
        <v>104.78890946307099</v>
      </c>
      <c r="AN4777">
        <v>1.0000000253275401</v>
      </c>
    </row>
    <row r="4778" spans="1:40" x14ac:dyDescent="0.25">
      <c r="A4778" t="str">
        <f>"20190304164507098"</f>
        <v>20190304164507098</v>
      </c>
      <c r="B4778" t="str">
        <f>"1551689107095293"</f>
        <v>1551689107095293</v>
      </c>
      <c r="C4778" t="s">
        <v>40</v>
      </c>
      <c r="D4778">
        <v>4.9494569999999998</v>
      </c>
      <c r="E4778">
        <v>0.49889620000000001</v>
      </c>
      <c r="F4778" t="s">
        <v>49</v>
      </c>
      <c r="G4778">
        <v>-406.38139999999999</v>
      </c>
      <c r="H4778" s="1">
        <v>-4.5167990000000003E-6</v>
      </c>
      <c r="I4778">
        <v>27.4832</v>
      </c>
      <c r="J4778">
        <v>-413.14690000000002</v>
      </c>
      <c r="K4778">
        <v>1.1228309999999999</v>
      </c>
      <c r="L4778">
        <v>31.831849999999999</v>
      </c>
      <c r="M4778">
        <v>0.66865779999999997</v>
      </c>
      <c r="N4778">
        <v>-1.4944799999999901E-2</v>
      </c>
      <c r="O4778">
        <v>-0.74342019999999998</v>
      </c>
      <c r="P4778">
        <v>0.75951000000000002</v>
      </c>
      <c r="Q4778">
        <v>0.4008099</v>
      </c>
      <c r="R4778">
        <v>-0.51234369999999996</v>
      </c>
      <c r="S4778">
        <v>2.919861</v>
      </c>
      <c r="T4778">
        <v>-0.47514149999999999</v>
      </c>
      <c r="U4778">
        <v>-1.9013059999999999</v>
      </c>
      <c r="V4778">
        <v>-0.23437230000000001</v>
      </c>
      <c r="W4778">
        <v>0.40721560000000001</v>
      </c>
      <c r="X4778">
        <v>0.88274850000000005</v>
      </c>
      <c r="Y4778">
        <v>-0.25207439999999998</v>
      </c>
      <c r="Z4778">
        <v>0.1025407</v>
      </c>
      <c r="AA4778">
        <v>0.9622598</v>
      </c>
      <c r="AB4778">
        <v>36</v>
      </c>
      <c r="AC4778">
        <v>6.7655000000000296</v>
      </c>
      <c r="AD4778">
        <v>-1.1228355167989901</v>
      </c>
      <c r="AE4778">
        <v>-4.3486499999999904</v>
      </c>
      <c r="AF4778">
        <v>-2.0815156803463002</v>
      </c>
      <c r="AG4778">
        <v>-1.1228355167989901</v>
      </c>
      <c r="AH4778">
        <v>7.6092294008219996</v>
      </c>
      <c r="AI4778">
        <v>98.100667659058303</v>
      </c>
      <c r="AJ4778">
        <v>105.299061783383</v>
      </c>
      <c r="AK4778">
        <v>7.9683021528834299</v>
      </c>
      <c r="AL4778">
        <v>65.969955134377997</v>
      </c>
      <c r="AM4778">
        <v>104.869147863821</v>
      </c>
      <c r="AN4778">
        <v>0.99999991707144598</v>
      </c>
    </row>
    <row r="4779" spans="1:40" x14ac:dyDescent="0.25">
      <c r="A4779" t="str">
        <f>"20190304164507109"</f>
        <v>20190304164507109</v>
      </c>
      <c r="B4779" t="str">
        <f>"1551689107105055"</f>
        <v>1551689107105055</v>
      </c>
      <c r="C4779" t="s">
        <v>40</v>
      </c>
      <c r="D4779">
        <v>4.9899779999999998</v>
      </c>
      <c r="E4779">
        <v>0.49889620000000001</v>
      </c>
      <c r="F4779" t="s">
        <v>49</v>
      </c>
      <c r="G4779">
        <v>-406.3229</v>
      </c>
      <c r="H4779" s="1">
        <v>-4.5391829999999998E-6</v>
      </c>
      <c r="I4779">
        <v>27.443439999999999</v>
      </c>
      <c r="J4779">
        <v>-413.0111</v>
      </c>
      <c r="K4779">
        <v>1.1228</v>
      </c>
      <c r="L4779">
        <v>31.688780000000001</v>
      </c>
      <c r="M4779">
        <v>0.67388959999999998</v>
      </c>
      <c r="N4779">
        <v>-1.4905389999999999E-2</v>
      </c>
      <c r="O4779">
        <v>-0.7386819</v>
      </c>
      <c r="P4779">
        <v>0.76351239999999998</v>
      </c>
      <c r="Q4779">
        <v>0.40053139999999998</v>
      </c>
      <c r="R4779">
        <v>-0.50658019999999904</v>
      </c>
      <c r="S4779">
        <v>2.9324340000000002</v>
      </c>
      <c r="T4779">
        <v>-0.48250999999999999</v>
      </c>
      <c r="U4779">
        <v>-1.8858029999999999</v>
      </c>
      <c r="V4779">
        <v>-0.23490340000000001</v>
      </c>
      <c r="W4779">
        <v>0.4068968</v>
      </c>
      <c r="X4779">
        <v>0.88275439999999905</v>
      </c>
      <c r="Y4779">
        <v>-0.25056539999999999</v>
      </c>
      <c r="Z4779">
        <v>0.10366060000000001</v>
      </c>
      <c r="AA4779">
        <v>0.96253390000000005</v>
      </c>
      <c r="AB4779">
        <v>36</v>
      </c>
      <c r="AC4779">
        <v>6.6881999999999904</v>
      </c>
      <c r="AD4779">
        <v>-1.1228045391829999</v>
      </c>
      <c r="AE4779">
        <v>-4.2453399999999899</v>
      </c>
      <c r="AF4779">
        <v>-2.0388341885635399</v>
      </c>
      <c r="AG4779">
        <v>-1.1228045391829999</v>
      </c>
      <c r="AH4779">
        <v>7.4933770228537204</v>
      </c>
      <c r="AI4779">
        <v>98.2270061703679</v>
      </c>
      <c r="AJ4779">
        <v>105.220852018483</v>
      </c>
      <c r="AK4779">
        <v>7.8465428112193196</v>
      </c>
      <c r="AL4779">
        <v>65.989954163832707</v>
      </c>
      <c r="AM4779">
        <v>104.90124957701001</v>
      </c>
      <c r="AN4779">
        <v>0.99999997195057899</v>
      </c>
    </row>
    <row r="4780" spans="1:40" x14ac:dyDescent="0.25">
      <c r="A4780" t="str">
        <f>"20190304164507122"</f>
        <v>20190304164507122</v>
      </c>
      <c r="B4780" t="str">
        <f>"1551689107114812"</f>
        <v>1551689107114812</v>
      </c>
      <c r="C4780" t="s">
        <v>40</v>
      </c>
      <c r="D4780">
        <v>4.9393260000000003</v>
      </c>
      <c r="E4780">
        <v>0.47688190000000003</v>
      </c>
      <c r="F4780" t="s">
        <v>49</v>
      </c>
      <c r="G4780">
        <v>-406.16860000000003</v>
      </c>
      <c r="H4780" s="1">
        <v>-4.6023739999999999E-6</v>
      </c>
      <c r="I4780">
        <v>27.362459999999999</v>
      </c>
      <c r="J4780">
        <v>-412.87729999999999</v>
      </c>
      <c r="K4780">
        <v>1.1227739999999999</v>
      </c>
      <c r="L4780">
        <v>31.549679999999999</v>
      </c>
      <c r="M4780">
        <v>0.67896990000000002</v>
      </c>
      <c r="N4780">
        <v>-1.486815E-2</v>
      </c>
      <c r="O4780">
        <v>-0.73401590000000005</v>
      </c>
      <c r="P4780">
        <v>0.76780579999999998</v>
      </c>
      <c r="Q4780">
        <v>0.39922390000000002</v>
      </c>
      <c r="R4780">
        <v>-0.50109359999999903</v>
      </c>
      <c r="S4780">
        <v>2.9467159999999999</v>
      </c>
      <c r="T4780">
        <v>-0.4835351</v>
      </c>
      <c r="U4780">
        <v>-1.863129</v>
      </c>
      <c r="V4780">
        <v>-0.23558219999999999</v>
      </c>
      <c r="W4780">
        <v>0.40555350000000001</v>
      </c>
      <c r="X4780">
        <v>0.88319159999999997</v>
      </c>
      <c r="Y4780">
        <v>-0.25128010000000001</v>
      </c>
      <c r="Z4780">
        <v>0.1034948</v>
      </c>
      <c r="AA4780">
        <v>0.96236540000000004</v>
      </c>
      <c r="AB4780">
        <v>36</v>
      </c>
      <c r="AC4780">
        <v>6.7086999999999604</v>
      </c>
      <c r="AD4780">
        <v>-1.1227786023739901</v>
      </c>
      <c r="AE4780">
        <v>-4.1872199999999999</v>
      </c>
      <c r="AF4780">
        <v>-2.0403966098828699</v>
      </c>
      <c r="AG4780">
        <v>-1.1227786023739901</v>
      </c>
      <c r="AH4780">
        <v>7.4785840731937796</v>
      </c>
      <c r="AI4780">
        <v>98.241327976882701</v>
      </c>
      <c r="AJ4780">
        <v>105.260700433605</v>
      </c>
      <c r="AK4780">
        <v>7.8328200448751604</v>
      </c>
      <c r="AL4780">
        <v>66.074183263918897</v>
      </c>
      <c r="AM4780">
        <v>104.935320018792</v>
      </c>
      <c r="AN4780">
        <v>1.0000000083148199</v>
      </c>
    </row>
    <row r="4781" spans="1:40" x14ac:dyDescent="0.25">
      <c r="A4781" t="str">
        <f>"20190304164507136"</f>
        <v>20190304164507136</v>
      </c>
      <c r="B4781" t="str">
        <f>"1551689107124573"</f>
        <v>1551689107124573</v>
      </c>
      <c r="C4781" t="s">
        <v>40</v>
      </c>
      <c r="D4781">
        <v>4.9392769999999997</v>
      </c>
      <c r="E4781">
        <v>0.47292079999999997</v>
      </c>
      <c r="F4781" t="s">
        <v>49</v>
      </c>
      <c r="G4781">
        <v>-403.96980000000002</v>
      </c>
      <c r="H4781" s="1">
        <v>-5.5383379999999998E-6</v>
      </c>
      <c r="I4781">
        <v>26.612110000000001</v>
      </c>
      <c r="J4781">
        <v>-412.72449999999998</v>
      </c>
      <c r="K4781">
        <v>1.122743</v>
      </c>
      <c r="L4781">
        <v>31.392610000000001</v>
      </c>
      <c r="M4781">
        <v>0.68468859999999998</v>
      </c>
      <c r="N4781">
        <v>-1.48272E-2</v>
      </c>
      <c r="O4781">
        <v>-0.72868509999999997</v>
      </c>
      <c r="P4781">
        <v>0.77238600000000002</v>
      </c>
      <c r="Q4781">
        <v>0.39772750000000001</v>
      </c>
      <c r="R4781">
        <v>-0.49520960000000003</v>
      </c>
      <c r="S4781">
        <v>3.014313</v>
      </c>
      <c r="T4781">
        <v>-0.37995410000000002</v>
      </c>
      <c r="U4781">
        <v>-1.670898</v>
      </c>
      <c r="V4781">
        <v>-0.2359183</v>
      </c>
      <c r="W4781">
        <v>0.40403309999999998</v>
      </c>
      <c r="X4781">
        <v>0.88379850000000004</v>
      </c>
      <c r="Y4781">
        <v>-0.30121140000000002</v>
      </c>
      <c r="Z4781">
        <v>8.2387310000000005E-2</v>
      </c>
      <c r="AA4781">
        <v>0.94999160000000005</v>
      </c>
      <c r="AB4781">
        <v>36</v>
      </c>
      <c r="AC4781">
        <v>8.75469999999995</v>
      </c>
      <c r="AD4781">
        <v>-1.122748538338</v>
      </c>
      <c r="AE4781">
        <v>-4.7805</v>
      </c>
      <c r="AF4781">
        <v>-3.06774066431087</v>
      </c>
      <c r="AG4781">
        <v>-1.122748538338</v>
      </c>
      <c r="AH4781">
        <v>9.3601765739293104</v>
      </c>
      <c r="AI4781">
        <v>96.502724555849895</v>
      </c>
      <c r="AJ4781">
        <v>108.14624069102101</v>
      </c>
      <c r="AK4781">
        <v>9.9138540719006798</v>
      </c>
      <c r="AL4781">
        <v>66.169449337383099</v>
      </c>
      <c r="AM4781">
        <v>104.94586352559899</v>
      </c>
      <c r="AN4781">
        <v>0.99999998938637402</v>
      </c>
    </row>
    <row r="4782" spans="1:40" x14ac:dyDescent="0.25">
      <c r="A4782" t="str">
        <f>"20190304164507151"</f>
        <v>20190304164507151</v>
      </c>
      <c r="B4782" t="str">
        <f>"1551689107145068"</f>
        <v>1551689107145068</v>
      </c>
      <c r="C4782" t="s">
        <v>40</v>
      </c>
      <c r="D4782">
        <v>4.9044299999999996</v>
      </c>
      <c r="E4782">
        <v>0.47007500000000002</v>
      </c>
      <c r="F4782" t="s">
        <v>49</v>
      </c>
      <c r="G4782">
        <v>-403.61700000000002</v>
      </c>
      <c r="H4782" s="1">
        <v>-5.6911499999999997E-6</v>
      </c>
      <c r="I4782">
        <v>26.5472</v>
      </c>
      <c r="J4782">
        <v>-412.53640000000001</v>
      </c>
      <c r="K4782">
        <v>1.1227039999999999</v>
      </c>
      <c r="L4782">
        <v>31.203060000000001</v>
      </c>
      <c r="M4782">
        <v>0.69158199999999903</v>
      </c>
      <c r="N4782">
        <v>-1.478001E-2</v>
      </c>
      <c r="O4782">
        <v>-0.72214690000000004</v>
      </c>
      <c r="P4782">
        <v>0.778756</v>
      </c>
      <c r="Q4782">
        <v>0.3946868</v>
      </c>
      <c r="R4782">
        <v>-0.48760789999999998</v>
      </c>
      <c r="S4782">
        <v>3.0400999999999998</v>
      </c>
      <c r="T4782">
        <v>-0.37477450000000001</v>
      </c>
      <c r="U4782">
        <v>-1.6174010000000001</v>
      </c>
      <c r="V4782">
        <v>-0.23718810000000001</v>
      </c>
      <c r="W4782">
        <v>0.40094479999999999</v>
      </c>
      <c r="X4782">
        <v>0.8848644</v>
      </c>
      <c r="Y4782">
        <v>-0.308608099999999</v>
      </c>
      <c r="Z4782">
        <v>8.1113110000000002E-2</v>
      </c>
      <c r="AA4782">
        <v>0.94772449999999997</v>
      </c>
      <c r="AB4782">
        <v>36</v>
      </c>
      <c r="AC4782">
        <v>8.9194000000000493</v>
      </c>
      <c r="AD4782">
        <v>-1.1227096911499901</v>
      </c>
      <c r="AE4782">
        <v>-4.6558599999999899</v>
      </c>
      <c r="AF4782">
        <v>-3.1819403378292699</v>
      </c>
      <c r="AG4782">
        <v>-1.1227096911499901</v>
      </c>
      <c r="AH4782">
        <v>9.4145283610332093</v>
      </c>
      <c r="AI4782">
        <v>96.445642762608102</v>
      </c>
      <c r="AJ4782">
        <v>108.674323375879</v>
      </c>
      <c r="AK4782">
        <v>10.000928238158901</v>
      </c>
      <c r="AL4782">
        <v>66.362743386407601</v>
      </c>
      <c r="AM4782">
        <v>105.00540073982999</v>
      </c>
      <c r="AN4782">
        <v>0.99999996690800397</v>
      </c>
    </row>
    <row r="4783" spans="1:40" x14ac:dyDescent="0.25">
      <c r="A4783" t="str">
        <f>"20190304164507166"</f>
        <v>20190304164507166</v>
      </c>
      <c r="B4783" t="str">
        <f>"1551689107154828"</f>
        <v>1551689107154828</v>
      </c>
      <c r="C4783" t="s">
        <v>40</v>
      </c>
      <c r="D4783">
        <v>4.9276749999999998</v>
      </c>
      <c r="E4783">
        <v>0.46988590000000002</v>
      </c>
      <c r="F4783" t="s">
        <v>49</v>
      </c>
      <c r="G4783">
        <v>-403.36040000000003</v>
      </c>
      <c r="H4783" s="1">
        <v>-5.7994379999999997E-6</v>
      </c>
      <c r="I4783">
        <v>26.520569999999999</v>
      </c>
      <c r="J4783">
        <v>-412.38339999999999</v>
      </c>
      <c r="K4783">
        <v>1.122671</v>
      </c>
      <c r="L4783">
        <v>31.051819999999999</v>
      </c>
      <c r="M4783">
        <v>0.69707719999999995</v>
      </c>
      <c r="N4783">
        <v>-1.474468E-2</v>
      </c>
      <c r="O4783">
        <v>-0.71684459999999905</v>
      </c>
      <c r="P4783">
        <v>0.78310800000000003</v>
      </c>
      <c r="Q4783">
        <v>0.39318720000000001</v>
      </c>
      <c r="R4783">
        <v>-0.4818153</v>
      </c>
      <c r="S4783">
        <v>3.0634459999999999</v>
      </c>
      <c r="T4783">
        <v>-0.37481930000000002</v>
      </c>
      <c r="U4783">
        <v>-1.5632629999999901</v>
      </c>
      <c r="V4783">
        <v>-0.23746590000000001</v>
      </c>
      <c r="W4783">
        <v>0.39942800000000001</v>
      </c>
      <c r="X4783">
        <v>0.88547569999999998</v>
      </c>
      <c r="Y4783">
        <v>-0.31749189999999999</v>
      </c>
      <c r="Z4783">
        <v>8.1282999999999994E-2</v>
      </c>
      <c r="AA4783">
        <v>0.94477089999999997</v>
      </c>
      <c r="AB4783">
        <v>36</v>
      </c>
      <c r="AC4783">
        <v>9.0229999999999606</v>
      </c>
      <c r="AD4783">
        <v>-1.122676799438</v>
      </c>
      <c r="AE4783">
        <v>-4.53125</v>
      </c>
      <c r="AF4783">
        <v>-3.2693965370139302</v>
      </c>
      <c r="AG4783">
        <v>-1.122676799438</v>
      </c>
      <c r="AH4783">
        <v>9.4224723388405902</v>
      </c>
      <c r="AI4783">
        <v>96.422480236370404</v>
      </c>
      <c r="AJ4783">
        <v>109.135681313399</v>
      </c>
      <c r="AK4783">
        <v>10.036550298207599</v>
      </c>
      <c r="AL4783">
        <v>66.457575084663901</v>
      </c>
      <c r="AM4783">
        <v>105.01227897881699</v>
      </c>
      <c r="AN4783">
        <v>0.99999999806864903</v>
      </c>
    </row>
    <row r="4784" spans="1:40" x14ac:dyDescent="0.25">
      <c r="A4784" t="str">
        <f>"20190304164507178"</f>
        <v>20190304164507178</v>
      </c>
      <c r="B4784" t="str">
        <f>"1551689107175324"</f>
        <v>1551689107175324</v>
      </c>
      <c r="C4784" t="s">
        <v>40</v>
      </c>
      <c r="D4784">
        <v>4.9167059999999996</v>
      </c>
      <c r="E4784">
        <v>0.4702075</v>
      </c>
      <c r="F4784" t="s">
        <v>49</v>
      </c>
      <c r="G4784">
        <v>-403.25839999999999</v>
      </c>
      <c r="H4784" s="1">
        <v>-5.8300919999999899E-6</v>
      </c>
      <c r="I4784">
        <v>26.489509999999999</v>
      </c>
      <c r="J4784">
        <v>-412.2484</v>
      </c>
      <c r="K4784">
        <v>1.1226389999999999</v>
      </c>
      <c r="L4784">
        <v>30.919889999999999</v>
      </c>
      <c r="M4784">
        <v>0.70185629999999999</v>
      </c>
      <c r="N4784">
        <v>-1.4714990000000001E-2</v>
      </c>
      <c r="O4784">
        <v>-0.71216650000000004</v>
      </c>
      <c r="P4784">
        <v>0.78696840000000001</v>
      </c>
      <c r="Q4784">
        <v>0.39182899999999998</v>
      </c>
      <c r="R4784">
        <v>-0.4766032</v>
      </c>
      <c r="S4784">
        <v>3.074951</v>
      </c>
      <c r="T4784">
        <v>-0.37832159999999998</v>
      </c>
      <c r="U4784">
        <v>-1.537415</v>
      </c>
      <c r="V4784">
        <v>-0.23784449999999999</v>
      </c>
      <c r="W4784">
        <v>0.3980514</v>
      </c>
      <c r="X4784">
        <v>0.88599380000000005</v>
      </c>
      <c r="Y4784">
        <v>-0.3188376</v>
      </c>
      <c r="Z4784">
        <v>8.1891660000000005E-2</v>
      </c>
      <c r="AA4784">
        <v>0.94426500000000002</v>
      </c>
      <c r="AB4784">
        <v>36</v>
      </c>
      <c r="AC4784">
        <v>8.99</v>
      </c>
      <c r="AD4784">
        <v>-1.122644830092</v>
      </c>
      <c r="AE4784">
        <v>-4.4303800000000004</v>
      </c>
      <c r="AF4784">
        <v>-3.2524349279891398</v>
      </c>
      <c r="AG4784">
        <v>-1.122644830092</v>
      </c>
      <c r="AH4784">
        <v>9.3485843912100801</v>
      </c>
      <c r="AI4784">
        <v>96.470783204491198</v>
      </c>
      <c r="AJ4784">
        <v>109.18312703599899</v>
      </c>
      <c r="AK4784">
        <v>9.9616612316878594</v>
      </c>
      <c r="AL4784">
        <v>66.543580743374093</v>
      </c>
      <c r="AM4784">
        <v>105.026736353662</v>
      </c>
      <c r="AN4784">
        <v>0.99999996843032402</v>
      </c>
    </row>
    <row r="4785" spans="1:40" x14ac:dyDescent="0.25">
      <c r="A4785" t="str">
        <f>"20190304164507190"</f>
        <v>20190304164507190</v>
      </c>
      <c r="B4785" t="str">
        <f>"1551689107185085"</f>
        <v>1551689107185085</v>
      </c>
      <c r="C4785" t="s">
        <v>40</v>
      </c>
      <c r="D4785">
        <v>4.8806159999999998</v>
      </c>
      <c r="E4785">
        <v>0.47081410000000001</v>
      </c>
      <c r="F4785" t="s">
        <v>49</v>
      </c>
      <c r="G4785">
        <v>-403.1825</v>
      </c>
      <c r="H4785" s="1">
        <v>-5.8515549999999901E-6</v>
      </c>
      <c r="I4785">
        <v>26.454360000000001</v>
      </c>
      <c r="J4785">
        <v>-412.09840000000003</v>
      </c>
      <c r="K4785">
        <v>1.122609</v>
      </c>
      <c r="L4785">
        <v>30.775269999999999</v>
      </c>
      <c r="M4785">
        <v>0.70708729999999997</v>
      </c>
      <c r="N4785">
        <v>-1.4683949999999999E-2</v>
      </c>
      <c r="O4785">
        <v>-0.70697410000000005</v>
      </c>
      <c r="P4785">
        <v>0.79077589999999998</v>
      </c>
      <c r="Q4785">
        <v>0.39128279999999999</v>
      </c>
      <c r="R4785">
        <v>-0.47071410000000002</v>
      </c>
      <c r="S4785">
        <v>3.082611</v>
      </c>
      <c r="T4785">
        <v>-0.38172210000000001</v>
      </c>
      <c r="U4785">
        <v>-1.5183719999999901</v>
      </c>
      <c r="V4785">
        <v>-0.2380813</v>
      </c>
      <c r="W4785">
        <v>0.3974857</v>
      </c>
      <c r="X4785">
        <v>0.88618419999999898</v>
      </c>
      <c r="Y4785">
        <v>-0.31741259999999999</v>
      </c>
      <c r="Z4785">
        <v>8.2303429999999997E-2</v>
      </c>
      <c r="AA4785">
        <v>0.94470920000000003</v>
      </c>
      <c r="AB4785">
        <v>36</v>
      </c>
      <c r="AC4785">
        <v>8.9159000000000201</v>
      </c>
      <c r="AD4785">
        <v>-1.1226148515549901</v>
      </c>
      <c r="AE4785">
        <v>-4.3209099999999996</v>
      </c>
      <c r="AF4785">
        <v>-3.2072236296037602</v>
      </c>
      <c r="AG4785">
        <v>-1.1226148515549901</v>
      </c>
      <c r="AH4785">
        <v>9.2414525933330296</v>
      </c>
      <c r="AI4785">
        <v>96.546703894793296</v>
      </c>
      <c r="AJ4785">
        <v>109.139206591362</v>
      </c>
      <c r="AK4785">
        <v>9.8463695619270002</v>
      </c>
      <c r="AL4785">
        <v>66.578909040043996</v>
      </c>
      <c r="AM4785">
        <v>105.037934257621</v>
      </c>
      <c r="AN4785">
        <v>1.0000000117218999</v>
      </c>
    </row>
    <row r="4786" spans="1:40" x14ac:dyDescent="0.25">
      <c r="A4786" t="str">
        <f>"20190304164507206"</f>
        <v>20190304164507206</v>
      </c>
      <c r="B4786" t="str">
        <f>"1551689107194845"</f>
        <v>1551689107194845</v>
      </c>
      <c r="C4786" t="s">
        <v>40</v>
      </c>
      <c r="D4786">
        <v>4.9005409999999996</v>
      </c>
      <c r="E4786">
        <v>0.47149380000000002</v>
      </c>
      <c r="F4786" t="s">
        <v>49</v>
      </c>
      <c r="G4786">
        <v>-403.06990000000002</v>
      </c>
      <c r="H4786" s="1">
        <v>-5.8824529999999998E-6</v>
      </c>
      <c r="I4786">
        <v>26.393969999999999</v>
      </c>
      <c r="J4786">
        <v>-411.92610000000002</v>
      </c>
      <c r="K4786">
        <v>1.122582</v>
      </c>
      <c r="L4786">
        <v>30.61215</v>
      </c>
      <c r="M4786">
        <v>0.71298490000000003</v>
      </c>
      <c r="N4786">
        <v>-1.4654159999999999E-2</v>
      </c>
      <c r="O4786">
        <v>-0.70102629999999999</v>
      </c>
      <c r="P4786">
        <v>0.79448369999999902</v>
      </c>
      <c r="Q4786">
        <v>0.39083449999999997</v>
      </c>
      <c r="R4786">
        <v>-0.46480569999999999</v>
      </c>
      <c r="S4786">
        <v>3.0910639999999998</v>
      </c>
      <c r="T4786">
        <v>-0.38434279999999998</v>
      </c>
      <c r="U4786">
        <v>-1.5</v>
      </c>
      <c r="V4786">
        <v>-0.23737610000000001</v>
      </c>
      <c r="W4786">
        <v>0.39705079999999998</v>
      </c>
      <c r="X4786">
        <v>0.88656819999999903</v>
      </c>
      <c r="Y4786">
        <v>-0.31499700000000003</v>
      </c>
      <c r="Z4786">
        <v>8.238318E-2</v>
      </c>
      <c r="AA4786">
        <v>0.94551039999999997</v>
      </c>
      <c r="AB4786">
        <v>36</v>
      </c>
      <c r="AC4786">
        <v>8.8561999999999994</v>
      </c>
      <c r="AD4786">
        <v>-1.122587882453</v>
      </c>
      <c r="AE4786">
        <v>-4.2181800000000003</v>
      </c>
      <c r="AF4786">
        <v>-3.1598909436614901</v>
      </c>
      <c r="AG4786">
        <v>-1.122587882453</v>
      </c>
      <c r="AH4786">
        <v>9.1525223161769595</v>
      </c>
      <c r="AI4786">
        <v>96.613242147449398</v>
      </c>
      <c r="AJ4786">
        <v>109.047136501059</v>
      </c>
      <c r="AK4786">
        <v>9.7475011709556405</v>
      </c>
      <c r="AL4786">
        <v>66.606060324147805</v>
      </c>
      <c r="AM4786">
        <v>104.989198200372</v>
      </c>
      <c r="AN4786">
        <v>0.99999996194154395</v>
      </c>
    </row>
    <row r="4787" spans="1:40" x14ac:dyDescent="0.25">
      <c r="A4787" t="str">
        <f>"20190304164507219"</f>
        <v>20190304164507219</v>
      </c>
      <c r="B4787" t="str">
        <f>"1551689107215341"</f>
        <v>1551689107215341</v>
      </c>
      <c r="C4787" t="s">
        <v>40</v>
      </c>
      <c r="D4787">
        <v>4.9055499999999999</v>
      </c>
      <c r="E4787">
        <v>0.47245280000000001</v>
      </c>
      <c r="F4787" t="s">
        <v>49</v>
      </c>
      <c r="G4787">
        <v>-402.9126</v>
      </c>
      <c r="H4787" s="1">
        <v>-5.9253249999999999E-6</v>
      </c>
      <c r="I4787">
        <v>26.30706</v>
      </c>
      <c r="J4787">
        <v>-411.78210000000001</v>
      </c>
      <c r="K4787">
        <v>1.12256</v>
      </c>
      <c r="L4787">
        <v>30.47766</v>
      </c>
      <c r="M4787">
        <v>0.717836699999999</v>
      </c>
      <c r="N4787">
        <v>-1.463217E-2</v>
      </c>
      <c r="O4787">
        <v>-0.69605779999999995</v>
      </c>
      <c r="P4787">
        <v>0.79721049999999904</v>
      </c>
      <c r="Q4787">
        <v>0.39071040000000001</v>
      </c>
      <c r="R4787">
        <v>-0.46021869999999998</v>
      </c>
      <c r="S4787">
        <v>3.0997620000000001</v>
      </c>
      <c r="T4787">
        <v>-0.38606020000000002</v>
      </c>
      <c r="U4787">
        <v>-1.4805299999999999</v>
      </c>
      <c r="V4787">
        <v>-0.23634140000000001</v>
      </c>
      <c r="W4787">
        <v>0.39695269999999999</v>
      </c>
      <c r="X4787">
        <v>0.88688860000000003</v>
      </c>
      <c r="Y4787">
        <v>-0.31425259999999999</v>
      </c>
      <c r="Z4787">
        <v>8.2396230000000001E-2</v>
      </c>
      <c r="AA4787">
        <v>0.94575690000000001</v>
      </c>
      <c r="AB4787">
        <v>36</v>
      </c>
      <c r="AC4787">
        <v>8.8695000000000093</v>
      </c>
      <c r="AD4787">
        <v>-1.122565925325</v>
      </c>
      <c r="AE4787">
        <v>-4.1706000000000003</v>
      </c>
      <c r="AF4787">
        <v>-3.1390368981894499</v>
      </c>
      <c r="AG4787">
        <v>-1.122565925325</v>
      </c>
      <c r="AH4787">
        <v>9.1507820806254401</v>
      </c>
      <c r="AI4787">
        <v>96.618826543796501</v>
      </c>
      <c r="AJ4787">
        <v>108.933753337955</v>
      </c>
      <c r="AK4787">
        <v>9.7391231428702802</v>
      </c>
      <c r="AL4787">
        <v>66.612186409250597</v>
      </c>
      <c r="AM4787">
        <v>104.921632173094</v>
      </c>
      <c r="AN4787">
        <v>1.0000000461006</v>
      </c>
    </row>
    <row r="4788" spans="1:40" x14ac:dyDescent="0.25">
      <c r="A4788" t="str">
        <f>"20190304164507229"</f>
        <v>20190304164507229</v>
      </c>
      <c r="B4788" t="str">
        <f>"1551689107225103"</f>
        <v>1551689107225103</v>
      </c>
      <c r="C4788" t="s">
        <v>40</v>
      </c>
      <c r="D4788">
        <v>4.9217190000000004</v>
      </c>
      <c r="E4788">
        <v>0.47305130000000001</v>
      </c>
      <c r="F4788" t="s">
        <v>49</v>
      </c>
      <c r="G4788">
        <v>-402.7278</v>
      </c>
      <c r="H4788" s="1">
        <v>-5.9746450000000001E-6</v>
      </c>
      <c r="I4788">
        <v>26.195530000000002</v>
      </c>
      <c r="J4788">
        <v>-411.65609999999998</v>
      </c>
      <c r="K4788">
        <v>1.122541</v>
      </c>
      <c r="L4788">
        <v>30.36148</v>
      </c>
      <c r="M4788">
        <v>0.72202419999999901</v>
      </c>
      <c r="N4788">
        <v>-1.461526E-2</v>
      </c>
      <c r="O4788">
        <v>-0.69171359999999904</v>
      </c>
      <c r="P4788">
        <v>0.79969019999999902</v>
      </c>
      <c r="Q4788">
        <v>0.39045170000000001</v>
      </c>
      <c r="R4788">
        <v>-0.45611770000000001</v>
      </c>
      <c r="S4788">
        <v>3.1042480000000001</v>
      </c>
      <c r="T4788">
        <v>-0.3848666</v>
      </c>
      <c r="U4788">
        <v>-1.4681090000000001</v>
      </c>
      <c r="V4788">
        <v>-0.23560449999999999</v>
      </c>
      <c r="W4788">
        <v>0.39671329999999999</v>
      </c>
      <c r="X4788">
        <v>0.88719169999999903</v>
      </c>
      <c r="Y4788">
        <v>-0.31219750000000002</v>
      </c>
      <c r="Z4788">
        <v>8.1724500000000005E-2</v>
      </c>
      <c r="AA4788">
        <v>0.94649550000000005</v>
      </c>
      <c r="AB4788">
        <v>36</v>
      </c>
      <c r="AC4788">
        <v>8.9282999999999699</v>
      </c>
      <c r="AD4788">
        <v>-1.1225469746449901</v>
      </c>
      <c r="AE4788">
        <v>-4.1659499999999996</v>
      </c>
      <c r="AF4788">
        <v>-3.1276462173398998</v>
      </c>
      <c r="AG4788">
        <v>-1.1225469746449901</v>
      </c>
      <c r="AH4788">
        <v>9.2095344427884491</v>
      </c>
      <c r="AI4788">
        <v>96.583692580973405</v>
      </c>
      <c r="AJ4788">
        <v>108.75797988865099</v>
      </c>
      <c r="AK4788">
        <v>9.7907000374861894</v>
      </c>
      <c r="AL4788">
        <v>66.627129322534302</v>
      </c>
      <c r="AM4788">
        <v>104.872316110984</v>
      </c>
      <c r="AN4788">
        <v>1.0000000176830099</v>
      </c>
    </row>
    <row r="4789" spans="1:40" x14ac:dyDescent="0.25">
      <c r="A4789" t="str">
        <f>"20190304164507241"</f>
        <v>20190304164507241</v>
      </c>
      <c r="B4789" t="str">
        <f>"1551689107234861"</f>
        <v>1551689107234861</v>
      </c>
      <c r="C4789" t="s">
        <v>40</v>
      </c>
      <c r="D4789">
        <v>4.9304379999999997</v>
      </c>
      <c r="E4789">
        <v>0.47359309999999899</v>
      </c>
      <c r="F4789" t="s">
        <v>49</v>
      </c>
      <c r="G4789">
        <v>-402.60840000000002</v>
      </c>
      <c r="H4789" s="1">
        <v>-6.0070309999999899E-6</v>
      </c>
      <c r="I4789">
        <v>26.128209999999999</v>
      </c>
      <c r="J4789">
        <v>-411.52390000000003</v>
      </c>
      <c r="K4789">
        <v>1.1225259999999999</v>
      </c>
      <c r="L4789">
        <v>30.24127</v>
      </c>
      <c r="M4789">
        <v>0.72635939999999999</v>
      </c>
      <c r="N4789">
        <v>-1.459921E-2</v>
      </c>
      <c r="O4789">
        <v>-0.68715999999999999</v>
      </c>
      <c r="P4789">
        <v>0.80233350000000003</v>
      </c>
      <c r="Q4789">
        <v>0.39026080000000002</v>
      </c>
      <c r="R4789">
        <v>-0.45161639999999997</v>
      </c>
      <c r="S4789">
        <v>3.1099239999999999</v>
      </c>
      <c r="T4789">
        <v>-0.38584689999999999</v>
      </c>
      <c r="U4789">
        <v>-1.4550780000000001</v>
      </c>
      <c r="V4789">
        <v>-0.23505119999999999</v>
      </c>
      <c r="W4789">
        <v>0.39653640000000001</v>
      </c>
      <c r="X4789">
        <v>0.88741749999999997</v>
      </c>
      <c r="Y4789">
        <v>-0.31014419999999998</v>
      </c>
      <c r="Z4789">
        <v>8.1516290000000005E-2</v>
      </c>
      <c r="AA4789">
        <v>0.94718829999999998</v>
      </c>
      <c r="AB4789">
        <v>36</v>
      </c>
      <c r="AC4789">
        <v>8.9154999999999998</v>
      </c>
      <c r="AD4789">
        <v>-1.1225320070310001</v>
      </c>
      <c r="AE4789">
        <v>-4.1130599999999999</v>
      </c>
      <c r="AF4789">
        <v>-3.0986476912940701</v>
      </c>
      <c r="AG4789">
        <v>-1.1225320070310001</v>
      </c>
      <c r="AH4789">
        <v>9.1831472181388403</v>
      </c>
      <c r="AI4789">
        <v>96.606694459266095</v>
      </c>
      <c r="AJ4789">
        <v>108.64581669232599</v>
      </c>
      <c r="AK4789">
        <v>9.7566330489355906</v>
      </c>
      <c r="AL4789">
        <v>66.638170130201104</v>
      </c>
      <c r="AM4789">
        <v>104.835323042071</v>
      </c>
      <c r="AN4789">
        <v>1.0000000012263199</v>
      </c>
    </row>
    <row r="4790" spans="1:40" x14ac:dyDescent="0.25">
      <c r="A4790" t="str">
        <f>"20190304164507252"</f>
        <v>20190304164507252</v>
      </c>
      <c r="B4790" t="str">
        <f>"1551689107244621"</f>
        <v>1551689107244621</v>
      </c>
      <c r="C4790" t="s">
        <v>40</v>
      </c>
      <c r="D4790">
        <v>4.9246150000000002</v>
      </c>
      <c r="E4790">
        <v>0.47409750000000001</v>
      </c>
      <c r="F4790" t="s">
        <v>49</v>
      </c>
      <c r="G4790">
        <v>-402.45690000000002</v>
      </c>
      <c r="H4790" s="1">
        <v>-6.048968E-6</v>
      </c>
      <c r="I4790">
        <v>26.0501</v>
      </c>
      <c r="J4790">
        <v>-411.3852</v>
      </c>
      <c r="K4790">
        <v>1.122512</v>
      </c>
      <c r="L4790">
        <v>30.116240000000001</v>
      </c>
      <c r="M4790">
        <v>0.73085469999999997</v>
      </c>
      <c r="N4790">
        <v>-1.4583459999999999E-2</v>
      </c>
      <c r="O4790">
        <v>-0.68237709999999996</v>
      </c>
      <c r="P4790">
        <v>0.80488359999999903</v>
      </c>
      <c r="Q4790">
        <v>0.38990089999999999</v>
      </c>
      <c r="R4790">
        <v>-0.44736910000000002</v>
      </c>
      <c r="S4790">
        <v>3.1159669999999999</v>
      </c>
      <c r="T4790">
        <v>-0.3857701</v>
      </c>
      <c r="U4790">
        <v>-1.4403379999999999</v>
      </c>
      <c r="V4790">
        <v>-0.23400280000000001</v>
      </c>
      <c r="W4790">
        <v>0.39620719999999998</v>
      </c>
      <c r="X4790">
        <v>0.88784149999999995</v>
      </c>
      <c r="Y4790">
        <v>-0.30832340000000003</v>
      </c>
      <c r="Z4790">
        <v>8.1062040000000002E-2</v>
      </c>
      <c r="AA4790">
        <v>0.94782160000000004</v>
      </c>
      <c r="AB4790">
        <v>36</v>
      </c>
      <c r="AC4790">
        <v>8.9282999999999699</v>
      </c>
      <c r="AD4790">
        <v>-1.122518048968</v>
      </c>
      <c r="AE4790">
        <v>-4.0661399999999999</v>
      </c>
      <c r="AF4790">
        <v>-3.0807105639249501</v>
      </c>
      <c r="AG4790">
        <v>-1.122518048968</v>
      </c>
      <c r="AH4790">
        <v>9.1807299634865291</v>
      </c>
      <c r="AI4790">
        <v>96.612030419944404</v>
      </c>
      <c r="AJ4790">
        <v>108.549831969811</v>
      </c>
      <c r="AK4790">
        <v>9.7486730897798193</v>
      </c>
      <c r="AL4790">
        <v>66.658714487988604</v>
      </c>
      <c r="AM4790">
        <v>104.765306261528</v>
      </c>
      <c r="AN4790">
        <v>0.99999999243096505</v>
      </c>
    </row>
    <row r="4791" spans="1:40" x14ac:dyDescent="0.25">
      <c r="A4791" t="str">
        <f>"20190304164507265"</f>
        <v>20190304164507265</v>
      </c>
      <c r="B4791" t="str">
        <f>"1551689107255356"</f>
        <v>1551689107255356</v>
      </c>
      <c r="C4791" t="s">
        <v>40</v>
      </c>
      <c r="D4791">
        <v>5.0069239999999997</v>
      </c>
      <c r="E4791">
        <v>0.47409750000000001</v>
      </c>
      <c r="F4791" t="s">
        <v>49</v>
      </c>
      <c r="G4791">
        <v>-402.31580000000002</v>
      </c>
      <c r="H4791" s="1">
        <v>-6.0873040000000003E-6</v>
      </c>
      <c r="I4791">
        <v>25.971</v>
      </c>
      <c r="J4791">
        <v>-411.25080000000003</v>
      </c>
      <c r="K4791">
        <v>1.1225020000000001</v>
      </c>
      <c r="L4791">
        <v>29.997499999999999</v>
      </c>
      <c r="M4791">
        <v>0.73513989999999996</v>
      </c>
      <c r="N4791">
        <v>-1.456986E-2</v>
      </c>
      <c r="O4791">
        <v>-0.67775909999999995</v>
      </c>
      <c r="P4791">
        <v>0.80738569999999998</v>
      </c>
      <c r="Q4791">
        <v>0.3896773</v>
      </c>
      <c r="R4791">
        <v>-0.44303559999999997</v>
      </c>
      <c r="S4791">
        <v>3.121429</v>
      </c>
      <c r="T4791">
        <v>-0.38633669999999998</v>
      </c>
      <c r="U4791">
        <v>-1.426666</v>
      </c>
      <c r="V4791">
        <v>-0.2332311</v>
      </c>
      <c r="W4791">
        <v>0.39600459999999998</v>
      </c>
      <c r="X4791">
        <v>0.88813500000000001</v>
      </c>
      <c r="Y4791">
        <v>-0.3064037</v>
      </c>
      <c r="Z4791">
        <v>8.0759440000000002E-2</v>
      </c>
      <c r="AA4791">
        <v>0.94846960000000002</v>
      </c>
      <c r="AB4791">
        <v>36</v>
      </c>
      <c r="AC4791">
        <v>8.9350000000000005</v>
      </c>
      <c r="AD4791">
        <v>-1.1225080873039901</v>
      </c>
      <c r="AE4791">
        <v>-4.0264999999999898</v>
      </c>
      <c r="AF4791">
        <v>-3.05597400442511</v>
      </c>
      <c r="AG4791">
        <v>-1.1225080873039901</v>
      </c>
      <c r="AH4791">
        <v>9.1780519766525508</v>
      </c>
      <c r="AI4791">
        <v>96.619005527902999</v>
      </c>
      <c r="AJ4791">
        <v>108.415975247845</v>
      </c>
      <c r="AK4791">
        <v>9.7383591845813893</v>
      </c>
      <c r="AL4791">
        <v>66.671358939416194</v>
      </c>
      <c r="AM4791">
        <v>104.71407733451299</v>
      </c>
      <c r="AN4791">
        <v>1.00000008372668</v>
      </c>
    </row>
    <row r="4792" spans="1:40" x14ac:dyDescent="0.25">
      <c r="A4792" t="str">
        <f>"20190304164507286"</f>
        <v>20190304164507286</v>
      </c>
      <c r="B4792" t="str">
        <f>"1551689107274876"</f>
        <v>1551689107274876</v>
      </c>
      <c r="C4792" t="s">
        <v>40</v>
      </c>
      <c r="D4792">
        <v>4.9508010000000002</v>
      </c>
      <c r="E4792">
        <v>0.48401309999999897</v>
      </c>
      <c r="F4792" t="s">
        <v>49</v>
      </c>
      <c r="G4792">
        <v>-402.17689999999999</v>
      </c>
      <c r="H4792" s="1">
        <v>-6.1269569999999998E-6</v>
      </c>
      <c r="I4792">
        <v>25.910240000000002</v>
      </c>
      <c r="J4792">
        <v>-410.99290000000002</v>
      </c>
      <c r="K4792">
        <v>1.1224799999999999</v>
      </c>
      <c r="L4792">
        <v>29.773040000000002</v>
      </c>
      <c r="M4792">
        <v>0.74322239999999995</v>
      </c>
      <c r="N4792">
        <v>-1.454631E-2</v>
      </c>
      <c r="O4792">
        <v>-0.66888630000000004</v>
      </c>
      <c r="P4792">
        <v>0.81214830000000005</v>
      </c>
      <c r="Q4792">
        <v>0.38968150000000001</v>
      </c>
      <c r="R4792">
        <v>-0.43423919999999999</v>
      </c>
      <c r="S4792">
        <v>3.1291199999999999</v>
      </c>
      <c r="T4792">
        <v>-0.38709549999999998</v>
      </c>
      <c r="U4792">
        <v>-1.4094850000000001</v>
      </c>
      <c r="V4792">
        <v>-0.232187</v>
      </c>
      <c r="W4792">
        <v>0.39603509999999997</v>
      </c>
      <c r="X4792">
        <v>0.88839480000000004</v>
      </c>
      <c r="Y4792">
        <v>-0.30022569999999998</v>
      </c>
      <c r="Z4792">
        <v>7.9930509999999996E-2</v>
      </c>
      <c r="AA4792">
        <v>0.95051339999999995</v>
      </c>
      <c r="AB4792">
        <v>36</v>
      </c>
      <c r="AC4792">
        <v>8.8160000000000291</v>
      </c>
      <c r="AD4792">
        <v>-1.1224861269569999</v>
      </c>
      <c r="AE4792">
        <v>-3.8628</v>
      </c>
      <c r="AF4792">
        <v>-2.9856959003516601</v>
      </c>
      <c r="AG4792">
        <v>-1.1224861269569999</v>
      </c>
      <c r="AH4792">
        <v>9.0143907818005005</v>
      </c>
      <c r="AI4792">
        <v>96.741448757354604</v>
      </c>
      <c r="AJ4792">
        <v>108.325613343886</v>
      </c>
      <c r="AK4792">
        <v>9.5620916269191607</v>
      </c>
      <c r="AL4792">
        <v>66.669452816017198</v>
      </c>
      <c r="AM4792">
        <v>104.646946921135</v>
      </c>
      <c r="AN4792">
        <v>0.99999996203402397</v>
      </c>
    </row>
    <row r="4793" spans="1:40" x14ac:dyDescent="0.25">
      <c r="A4793" t="str">
        <f>"20190304164507301"</f>
        <v>20190304164507301</v>
      </c>
      <c r="B4793" t="str">
        <f>"1551689107295373"</f>
        <v>1551689107295373</v>
      </c>
      <c r="C4793" t="s">
        <v>40</v>
      </c>
      <c r="D4793">
        <v>4.9461769999999996</v>
      </c>
      <c r="E4793">
        <v>0.48495949999999999</v>
      </c>
      <c r="F4793" t="s">
        <v>49</v>
      </c>
      <c r="G4793">
        <v>-401.88369999999998</v>
      </c>
      <c r="H4793" s="1">
        <v>-6.1823209999999899E-6</v>
      </c>
      <c r="I4793">
        <v>25.529789999999998</v>
      </c>
      <c r="J4793">
        <v>-410.82040000000001</v>
      </c>
      <c r="K4793">
        <v>1.1224639999999999</v>
      </c>
      <c r="L4793">
        <v>29.62585</v>
      </c>
      <c r="M4793">
        <v>0.7485214</v>
      </c>
      <c r="N4793">
        <v>-1.45325E-2</v>
      </c>
      <c r="O4793">
        <v>-0.66295150000000003</v>
      </c>
      <c r="P4793">
        <v>0.81553889999999996</v>
      </c>
      <c r="Q4793">
        <v>0.38958510000000002</v>
      </c>
      <c r="R4793">
        <v>-0.42792479999999999</v>
      </c>
      <c r="S4793">
        <v>3.1042480000000001</v>
      </c>
      <c r="T4793">
        <v>-0.38252069999999999</v>
      </c>
      <c r="U4793">
        <v>-1.4460139999999999</v>
      </c>
      <c r="V4793">
        <v>-0.2320228</v>
      </c>
      <c r="W4793">
        <v>0.39594059999999998</v>
      </c>
      <c r="X4793">
        <v>0.88847989999999999</v>
      </c>
      <c r="Y4793">
        <v>-0.28070630000000002</v>
      </c>
      <c r="Z4793">
        <v>7.7638040000000005E-2</v>
      </c>
      <c r="AA4793">
        <v>0.95664850000000001</v>
      </c>
      <c r="AB4793">
        <v>36</v>
      </c>
      <c r="AC4793">
        <v>8.9367000000000303</v>
      </c>
      <c r="AD4793">
        <v>-1.1224701823209999</v>
      </c>
      <c r="AE4793">
        <v>-4.0960599999999996</v>
      </c>
      <c r="AF4793">
        <v>-2.8221194038373798</v>
      </c>
      <c r="AG4793">
        <v>-1.1224701823209999</v>
      </c>
      <c r="AH4793">
        <v>9.2847462554577298</v>
      </c>
      <c r="AI4793">
        <v>96.5980171415342</v>
      </c>
      <c r="AJ4793">
        <v>106.906766724584</v>
      </c>
      <c r="AK4793">
        <v>9.7688694467656596</v>
      </c>
      <c r="AL4793">
        <v>66.675351085349106</v>
      </c>
      <c r="AM4793">
        <v>104.63569197014</v>
      </c>
      <c r="AN4793">
        <v>1.0000000355761001</v>
      </c>
    </row>
    <row r="4794" spans="1:40" x14ac:dyDescent="0.25">
      <c r="A4794" t="str">
        <f>"20190304164507313"</f>
        <v>20190304164507313</v>
      </c>
      <c r="B4794" t="str">
        <f>"1551689107305133"</f>
        <v>1551689107305133</v>
      </c>
      <c r="C4794" t="s">
        <v>40</v>
      </c>
      <c r="D4794">
        <v>4.9687580000000002</v>
      </c>
      <c r="E4794">
        <v>0.48546499999999998</v>
      </c>
      <c r="F4794" t="s">
        <v>49</v>
      </c>
      <c r="G4794">
        <v>-401.7851</v>
      </c>
      <c r="H4794" s="1">
        <v>-6.2090639999999901E-6</v>
      </c>
      <c r="I4794">
        <v>25.47411</v>
      </c>
      <c r="J4794">
        <v>-410.66309999999999</v>
      </c>
      <c r="K4794">
        <v>1.1224559999999999</v>
      </c>
      <c r="L4794">
        <v>29.493189999999998</v>
      </c>
      <c r="M4794">
        <v>0.75328949999999995</v>
      </c>
      <c r="N4794">
        <v>-1.452086E-2</v>
      </c>
      <c r="O4794">
        <v>-0.65752900000000003</v>
      </c>
      <c r="P4794">
        <v>0.81838049999999996</v>
      </c>
      <c r="Q4794">
        <v>0.3894435</v>
      </c>
      <c r="R4794">
        <v>-0.42259580000000002</v>
      </c>
      <c r="S4794">
        <v>3.1127929999999999</v>
      </c>
      <c r="T4794">
        <v>-0.38670480000000002</v>
      </c>
      <c r="U4794">
        <v>-1.430328</v>
      </c>
      <c r="V4794">
        <v>-0.23142579999999999</v>
      </c>
      <c r="W4794">
        <v>0.3958158</v>
      </c>
      <c r="X4794">
        <v>0.88869120000000001</v>
      </c>
      <c r="Y4794">
        <v>-0.27869139999999998</v>
      </c>
      <c r="Z4794">
        <v>7.8000130000000001E-2</v>
      </c>
      <c r="AA4794">
        <v>0.95720799999999995</v>
      </c>
      <c r="AB4794">
        <v>36</v>
      </c>
      <c r="AC4794">
        <v>8.8779999999999806</v>
      </c>
      <c r="AD4794">
        <v>-1.122462209064</v>
      </c>
      <c r="AE4794">
        <v>-4.0190799999999998</v>
      </c>
      <c r="AF4794">
        <v>-2.7735134197406301</v>
      </c>
      <c r="AG4794">
        <v>-1.122462209064</v>
      </c>
      <c r="AH4794">
        <v>9.2091769112076403</v>
      </c>
      <c r="AI4794">
        <v>96.6567180996704</v>
      </c>
      <c r="AJ4794">
        <v>106.76064329965</v>
      </c>
      <c r="AK4794">
        <v>9.6830386492143106</v>
      </c>
      <c r="AL4794">
        <v>66.683138068854603</v>
      </c>
      <c r="AM4794">
        <v>104.596321939783</v>
      </c>
      <c r="AN4794">
        <v>1.0000000486963501</v>
      </c>
    </row>
    <row r="4795" spans="1:40" x14ac:dyDescent="0.25">
      <c r="A4795" t="str">
        <f>"20190304164507332"</f>
        <v>20190304164507332</v>
      </c>
      <c r="B4795" t="str">
        <f>"1551689107324653"</f>
        <v>1551689107324653</v>
      </c>
      <c r="C4795" t="s">
        <v>40</v>
      </c>
      <c r="D4795">
        <v>4.9982850000000001</v>
      </c>
      <c r="E4795">
        <v>0.4864675</v>
      </c>
      <c r="F4795" t="s">
        <v>49</v>
      </c>
      <c r="G4795">
        <v>-401.67090000000002</v>
      </c>
      <c r="H4795" s="1">
        <v>-6.2410479999999997E-6</v>
      </c>
      <c r="I4795">
        <v>25.418780000000002</v>
      </c>
      <c r="J4795">
        <v>-410.43709999999999</v>
      </c>
      <c r="K4795">
        <v>1.1224459999999901</v>
      </c>
      <c r="L4795">
        <v>29.30688</v>
      </c>
      <c r="M4795">
        <v>0.76000419999999902</v>
      </c>
      <c r="N4795">
        <v>-1.4506109999999999E-2</v>
      </c>
      <c r="O4795">
        <v>-0.64975629999999995</v>
      </c>
      <c r="P4795">
        <v>0.82180280000000006</v>
      </c>
      <c r="Q4795">
        <v>0.38985609999999998</v>
      </c>
      <c r="R4795">
        <v>-0.4155143</v>
      </c>
      <c r="S4795">
        <v>3.1209410000000002</v>
      </c>
      <c r="T4795">
        <v>-0.38957730000000002</v>
      </c>
      <c r="U4795">
        <v>-1.4141239999999999</v>
      </c>
      <c r="V4795">
        <v>-0.229827</v>
      </c>
      <c r="W4795">
        <v>0.39627509999999999</v>
      </c>
      <c r="X4795">
        <v>0.88890139999999995</v>
      </c>
      <c r="Y4795">
        <v>-0.27388020000000002</v>
      </c>
      <c r="Z4795">
        <v>7.773302E-2</v>
      </c>
      <c r="AA4795">
        <v>0.95861730000000001</v>
      </c>
      <c r="AB4795">
        <v>36</v>
      </c>
      <c r="AC4795">
        <v>8.7661999999999694</v>
      </c>
      <c r="AD4795">
        <v>-1.12245224104799</v>
      </c>
      <c r="AE4795">
        <v>-3.8881000000000001</v>
      </c>
      <c r="AF4795">
        <v>-2.7041627231795</v>
      </c>
      <c r="AG4795">
        <v>-1.12245224104799</v>
      </c>
      <c r="AH4795">
        <v>9.0654366564618503</v>
      </c>
      <c r="AI4795">
        <v>96.766535023274997</v>
      </c>
      <c r="AJ4795">
        <v>106.609511086114</v>
      </c>
      <c r="AK4795">
        <v>9.5265175609552895</v>
      </c>
      <c r="AL4795">
        <v>66.654478743374895</v>
      </c>
      <c r="AM4795">
        <v>104.49646362390899</v>
      </c>
      <c r="AN4795">
        <v>1.0000000518654799</v>
      </c>
    </row>
    <row r="4796" spans="1:40" x14ac:dyDescent="0.25">
      <c r="A4796" t="str">
        <f>"20190304164507348"</f>
        <v>20190304164507348</v>
      </c>
      <c r="B4796" t="str">
        <f>"1551689107345148"</f>
        <v>1551689107345148</v>
      </c>
      <c r="C4796" t="s">
        <v>40</v>
      </c>
      <c r="D4796">
        <v>4.9994050000000003</v>
      </c>
      <c r="E4796">
        <v>0.48682019999999998</v>
      </c>
      <c r="F4796" t="s">
        <v>49</v>
      </c>
      <c r="G4796">
        <v>-401.44080000000002</v>
      </c>
      <c r="H4796" s="1">
        <v>-6.30543699999999E-6</v>
      </c>
      <c r="I4796">
        <v>25.306239999999999</v>
      </c>
      <c r="J4796">
        <v>-410.24829999999997</v>
      </c>
      <c r="K4796">
        <v>1.122433</v>
      </c>
      <c r="L4796">
        <v>29.154450000000001</v>
      </c>
      <c r="M4796">
        <v>0.76550680000000004</v>
      </c>
      <c r="N4796">
        <v>-1.449519E-2</v>
      </c>
      <c r="O4796">
        <v>-0.64326459999999996</v>
      </c>
      <c r="P4796">
        <v>0.82497189999999998</v>
      </c>
      <c r="Q4796">
        <v>0.38967390000000002</v>
      </c>
      <c r="R4796">
        <v>-0.40936</v>
      </c>
      <c r="S4796">
        <v>3.1317140000000001</v>
      </c>
      <c r="T4796">
        <v>-0.39073790000000003</v>
      </c>
      <c r="U4796">
        <v>-1.3926700000000001</v>
      </c>
      <c r="V4796">
        <v>-0.2289351</v>
      </c>
      <c r="W4796">
        <v>0.39612140000000001</v>
      </c>
      <c r="X4796">
        <v>0.88919999999999999</v>
      </c>
      <c r="Y4796">
        <v>-0.27241650000000001</v>
      </c>
      <c r="Z4796">
        <v>7.7347200000000005E-2</v>
      </c>
      <c r="AA4796">
        <v>0.95906550000000002</v>
      </c>
      <c r="AB4796">
        <v>36</v>
      </c>
      <c r="AC4796">
        <v>8.8074999999999406</v>
      </c>
      <c r="AD4796">
        <v>-1.1224393054369901</v>
      </c>
      <c r="AE4796">
        <v>-3.8482099999999999</v>
      </c>
      <c r="AF4796">
        <v>-2.6834118310452899</v>
      </c>
      <c r="AG4796">
        <v>-1.1224393054369901</v>
      </c>
      <c r="AH4796">
        <v>9.0945566897641292</v>
      </c>
      <c r="AI4796">
        <v>96.750892811366995</v>
      </c>
      <c r="AJ4796">
        <v>106.439059046542</v>
      </c>
      <c r="AK4796">
        <v>9.5483784190153091</v>
      </c>
      <c r="AL4796">
        <v>66.6640697557594</v>
      </c>
      <c r="AM4796">
        <v>104.437916578778</v>
      </c>
      <c r="AN4796">
        <v>1.0000000417749799</v>
      </c>
    </row>
    <row r="4797" spans="1:40" x14ac:dyDescent="0.25">
      <c r="A4797" t="str">
        <f>"20190304164507365"</f>
        <v>20190304164507365</v>
      </c>
      <c r="B4797" t="str">
        <f>"1551689107354910"</f>
        <v>1551689107354910</v>
      </c>
      <c r="C4797" t="s">
        <v>40</v>
      </c>
      <c r="D4797">
        <v>5.0307740000000001</v>
      </c>
      <c r="E4797">
        <v>0.49176700000000001</v>
      </c>
      <c r="F4797" t="s">
        <v>49</v>
      </c>
      <c r="G4797">
        <v>-401.25479999999999</v>
      </c>
      <c r="H4797" s="1">
        <v>-6.3593250000000003E-6</v>
      </c>
      <c r="I4797">
        <v>25.231780000000001</v>
      </c>
      <c r="J4797">
        <v>-410.03489999999999</v>
      </c>
      <c r="K4797">
        <v>1.122411</v>
      </c>
      <c r="L4797">
        <v>28.98499</v>
      </c>
      <c r="M4797">
        <v>0.77162149999999996</v>
      </c>
      <c r="N4797">
        <v>-1.4484210000000001E-2</v>
      </c>
      <c r="O4797">
        <v>-0.63591739999999997</v>
      </c>
      <c r="P4797">
        <v>0.82838459999999903</v>
      </c>
      <c r="Q4797">
        <v>0.38953270000000001</v>
      </c>
      <c r="R4797">
        <v>-0.40254649999999997</v>
      </c>
      <c r="S4797">
        <v>3.1416930000000001</v>
      </c>
      <c r="T4797">
        <v>-0.3920999</v>
      </c>
      <c r="U4797">
        <v>-1.3703000000000001</v>
      </c>
      <c r="V4797">
        <v>-0.2277788</v>
      </c>
      <c r="W4797">
        <v>0.39601720000000001</v>
      </c>
      <c r="X4797">
        <v>0.88954319999999898</v>
      </c>
      <c r="Y4797">
        <v>-0.2700861</v>
      </c>
      <c r="Z4797">
        <v>7.6902479999999995E-2</v>
      </c>
      <c r="AA4797">
        <v>0.9597601</v>
      </c>
      <c r="AB4797">
        <v>36</v>
      </c>
      <c r="AC4797">
        <v>8.7800999999999991</v>
      </c>
      <c r="AD4797">
        <v>-1.122417359325</v>
      </c>
      <c r="AE4797">
        <v>-3.7532100000000002</v>
      </c>
      <c r="AF4797">
        <v>-2.6510121817425598</v>
      </c>
      <c r="AG4797">
        <v>-1.122417359325</v>
      </c>
      <c r="AH4797">
        <v>9.0377270739183508</v>
      </c>
      <c r="AI4797">
        <v>96.795967779655697</v>
      </c>
      <c r="AJ4797">
        <v>106.34785383962399</v>
      </c>
      <c r="AK4797">
        <v>9.4851566660176108</v>
      </c>
      <c r="AL4797">
        <v>66.670569545246394</v>
      </c>
      <c r="AM4797">
        <v>104.36270595625599</v>
      </c>
      <c r="AN4797">
        <v>0.99999995454575796</v>
      </c>
    </row>
    <row r="4798" spans="1:40" x14ac:dyDescent="0.25">
      <c r="A4798" t="str">
        <f>"20190304164507386"</f>
        <v>20190304164507386</v>
      </c>
      <c r="B4798" t="str">
        <f>"1551689107375405"</f>
        <v>1551689107375405</v>
      </c>
      <c r="C4798" t="s">
        <v>40</v>
      </c>
      <c r="D4798">
        <v>5.026173</v>
      </c>
      <c r="E4798">
        <v>0.49249270000000001</v>
      </c>
      <c r="F4798" t="s">
        <v>49</v>
      </c>
      <c r="G4798">
        <v>-401.55509999999998</v>
      </c>
      <c r="H4798" s="1">
        <v>-6.2624159999999898E-6</v>
      </c>
      <c r="I4798">
        <v>25.264099999999999</v>
      </c>
      <c r="J4798">
        <v>-409.77589999999998</v>
      </c>
      <c r="K4798">
        <v>1.1223909999999999</v>
      </c>
      <c r="L4798">
        <v>28.783719999999999</v>
      </c>
      <c r="M4798">
        <v>0.7788889</v>
      </c>
      <c r="N4798">
        <v>-1.447244E-2</v>
      </c>
      <c r="O4798">
        <v>-0.62699510000000003</v>
      </c>
      <c r="P4798">
        <v>0.83304230000000001</v>
      </c>
      <c r="Q4798">
        <v>0.38938919999999999</v>
      </c>
      <c r="R4798">
        <v>-0.39295920000000001</v>
      </c>
      <c r="S4798">
        <v>3.146423</v>
      </c>
      <c r="T4798">
        <v>-0.41647580000000001</v>
      </c>
      <c r="U4798">
        <v>-1.38064599999999</v>
      </c>
      <c r="V4798">
        <v>-0.2278268</v>
      </c>
      <c r="W4798">
        <v>0.39587319999999998</v>
      </c>
      <c r="X4798">
        <v>0.88959500000000002</v>
      </c>
      <c r="Y4798">
        <v>-0.25641989999999998</v>
      </c>
      <c r="Z4798">
        <v>8.0330739999999998E-2</v>
      </c>
      <c r="AA4798">
        <v>0.96322149999999995</v>
      </c>
      <c r="AB4798">
        <v>36</v>
      </c>
      <c r="AC4798">
        <v>8.2207999999999899</v>
      </c>
      <c r="AD4798">
        <v>-1.1223972624159999</v>
      </c>
      <c r="AE4798">
        <v>-3.5196200000000002</v>
      </c>
      <c r="AF4798">
        <v>-2.37583374866756</v>
      </c>
      <c r="AG4798">
        <v>-1.1223972624159999</v>
      </c>
      <c r="AH4798">
        <v>8.4772313083541508</v>
      </c>
      <c r="AI4798">
        <v>97.265396816775294</v>
      </c>
      <c r="AJ4798">
        <v>105.65609013780499</v>
      </c>
      <c r="AK4798">
        <v>8.8751232256981396</v>
      </c>
      <c r="AL4798">
        <v>66.679554389047894</v>
      </c>
      <c r="AM4798">
        <v>104.364805496728</v>
      </c>
      <c r="AN4798">
        <v>0.99999995265073804</v>
      </c>
    </row>
    <row r="4799" spans="1:40" x14ac:dyDescent="0.25">
      <c r="A4799" t="str">
        <f>"20190304164507398"</f>
        <v>20190304164507398</v>
      </c>
      <c r="B4799" t="str">
        <f>"1551689107394925"</f>
        <v>1551689107394925</v>
      </c>
      <c r="C4799" t="s">
        <v>40</v>
      </c>
      <c r="D4799">
        <v>5.0384129999999896</v>
      </c>
      <c r="E4799">
        <v>0.49278339999999998</v>
      </c>
      <c r="F4799" t="s">
        <v>49</v>
      </c>
      <c r="G4799">
        <v>-401.26310000000001</v>
      </c>
      <c r="H4799" s="1">
        <v>-6.3474770000000002E-6</v>
      </c>
      <c r="I4799">
        <v>25.151199999999999</v>
      </c>
      <c r="J4799">
        <v>-409.62299999999999</v>
      </c>
      <c r="K4799">
        <v>1.1223799999999999</v>
      </c>
      <c r="L4799">
        <v>28.667020000000001</v>
      </c>
      <c r="M4799">
        <v>0.78310459999999904</v>
      </c>
      <c r="N4799">
        <v>-1.4466089999999999E-2</v>
      </c>
      <c r="O4799">
        <v>-0.62172179999999999</v>
      </c>
      <c r="P4799">
        <v>0.83559359999999905</v>
      </c>
      <c r="Q4799">
        <v>0.38930609999999999</v>
      </c>
      <c r="R4799">
        <v>-0.38758799999999999</v>
      </c>
      <c r="S4799">
        <v>3.1599430000000002</v>
      </c>
      <c r="T4799">
        <v>-0.41663289999999997</v>
      </c>
      <c r="U4799">
        <v>-1.3483889999999901</v>
      </c>
      <c r="V4799">
        <v>-0.22755649999999999</v>
      </c>
      <c r="W4799">
        <v>0.39579920000000002</v>
      </c>
      <c r="X4799">
        <v>0.88969719999999997</v>
      </c>
      <c r="Y4799">
        <v>-0.25970009999999999</v>
      </c>
      <c r="Z4799">
        <v>8.0076369999999994E-2</v>
      </c>
      <c r="AA4799">
        <v>0.96236350000000004</v>
      </c>
      <c r="AB4799">
        <v>36</v>
      </c>
      <c r="AC4799">
        <v>8.3599000000000299</v>
      </c>
      <c r="AD4799">
        <v>-1.1223863474769999</v>
      </c>
      <c r="AE4799">
        <v>-3.5158200000000002</v>
      </c>
      <c r="AF4799">
        <v>-2.4076565108214401</v>
      </c>
      <c r="AG4799">
        <v>-1.1223863474769999</v>
      </c>
      <c r="AH4799">
        <v>8.6017050970419398</v>
      </c>
      <c r="AI4799">
        <v>97.161946331604199</v>
      </c>
      <c r="AJ4799">
        <v>105.637175757751</v>
      </c>
      <c r="AK4799">
        <v>9.0025491702950902</v>
      </c>
      <c r="AL4799">
        <v>66.684173484766305</v>
      </c>
      <c r="AM4799">
        <v>104.346886576305</v>
      </c>
      <c r="AN4799">
        <v>1.0000000375503599</v>
      </c>
    </row>
    <row r="4800" spans="1:40" x14ac:dyDescent="0.25">
      <c r="A4800" t="str">
        <f>"20190304164507411"</f>
        <v>20190304164507411</v>
      </c>
      <c r="B4800" t="str">
        <f>"1551689107404685"</f>
        <v>1551689107404685</v>
      </c>
      <c r="C4800" t="s">
        <v>40</v>
      </c>
      <c r="D4800">
        <v>5.0428169999999897</v>
      </c>
      <c r="E4800">
        <v>0.49278339999999998</v>
      </c>
      <c r="F4800" t="s">
        <v>49</v>
      </c>
      <c r="G4800">
        <v>-401.12799999999999</v>
      </c>
      <c r="H4800" s="1">
        <v>-6.3869539999999898E-6</v>
      </c>
      <c r="I4800">
        <v>25.100210000000001</v>
      </c>
      <c r="J4800">
        <v>-409.45620000000002</v>
      </c>
      <c r="K4800">
        <v>1.1223650000000001</v>
      </c>
      <c r="L4800">
        <v>28.54147</v>
      </c>
      <c r="M4800">
        <v>0.78764100000000004</v>
      </c>
      <c r="N4800">
        <v>-1.4459649999999999E-2</v>
      </c>
      <c r="O4800">
        <v>-0.61596509999999904</v>
      </c>
      <c r="P4800">
        <v>0.83840079999999995</v>
      </c>
      <c r="Q4800">
        <v>0.38919350000000003</v>
      </c>
      <c r="R4800">
        <v>-0.38159219999999999</v>
      </c>
      <c r="S4800">
        <v>3.1682429999999999</v>
      </c>
      <c r="T4800">
        <v>-0.41859980000000002</v>
      </c>
      <c r="U4800">
        <v>-1.3302609999999999</v>
      </c>
      <c r="V4800">
        <v>-0.2274254</v>
      </c>
      <c r="W4800">
        <v>0.39569140000000003</v>
      </c>
      <c r="X4800">
        <v>0.88977859999999998</v>
      </c>
      <c r="Y4800">
        <v>-0.25819699999999901</v>
      </c>
      <c r="Z4800">
        <v>7.9858299999999993E-2</v>
      </c>
      <c r="AA4800">
        <v>0.96278600000000003</v>
      </c>
      <c r="AB4800">
        <v>36</v>
      </c>
      <c r="AC4800">
        <v>8.3281999999999794</v>
      </c>
      <c r="AD4800">
        <v>-1.122371386954</v>
      </c>
      <c r="AE4800">
        <v>-3.4412600000000002</v>
      </c>
      <c r="AF4800">
        <v>-2.3826915511789801</v>
      </c>
      <c r="AG4800">
        <v>-1.122371386954</v>
      </c>
      <c r="AH4800">
        <v>8.5476294925672303</v>
      </c>
      <c r="AI4800">
        <v>97.208810598487204</v>
      </c>
      <c r="AJ4800">
        <v>105.576059712424</v>
      </c>
      <c r="AK4800">
        <v>8.9442107813108898</v>
      </c>
      <c r="AL4800">
        <v>66.690897542448099</v>
      </c>
      <c r="AM4800">
        <v>104.33770425852001</v>
      </c>
      <c r="AN4800">
        <v>0.99999997680853903</v>
      </c>
    </row>
    <row r="4801" spans="1:40" x14ac:dyDescent="0.25">
      <c r="A4801" t="str">
        <f>"20190304164507424"</f>
        <v>20190304164507424</v>
      </c>
      <c r="B4801" t="str">
        <f>"1551689107415421"</f>
        <v>1551689107415421</v>
      </c>
      <c r="C4801" t="s">
        <v>40</v>
      </c>
      <c r="D4801">
        <v>5.0718220000000001</v>
      </c>
      <c r="E4801">
        <v>0.49811230000000001</v>
      </c>
      <c r="F4801" t="s">
        <v>49</v>
      </c>
      <c r="G4801">
        <v>-400.94349999999997</v>
      </c>
      <c r="H4801" s="1">
        <v>-6.441956E-6</v>
      </c>
      <c r="I4801">
        <v>25.040130000000001</v>
      </c>
      <c r="J4801">
        <v>-409.30090000000001</v>
      </c>
      <c r="K4801">
        <v>1.1223540000000001</v>
      </c>
      <c r="L4801">
        <v>28.426880000000001</v>
      </c>
      <c r="M4801">
        <v>0.79179849999999996</v>
      </c>
      <c r="N4801">
        <v>-1.445418E-2</v>
      </c>
      <c r="O4801">
        <v>-0.61061129999999997</v>
      </c>
      <c r="P4801">
        <v>0.84102440000000001</v>
      </c>
      <c r="Q4801">
        <v>0.3890381</v>
      </c>
      <c r="R4801">
        <v>-0.37593529999999997</v>
      </c>
      <c r="S4801">
        <v>3.1778870000000001</v>
      </c>
      <c r="T4801">
        <v>-0.41899629999999999</v>
      </c>
      <c r="U4801">
        <v>-1.3070980000000001</v>
      </c>
      <c r="V4801">
        <v>-0.2274167</v>
      </c>
      <c r="W4801">
        <v>0.39553820000000001</v>
      </c>
      <c r="X4801">
        <v>0.88984889999999905</v>
      </c>
      <c r="Y4801">
        <v>-0.25869409999999998</v>
      </c>
      <c r="Z4801">
        <v>7.9474329999999996E-2</v>
      </c>
      <c r="AA4801">
        <v>0.96268430000000005</v>
      </c>
      <c r="AB4801">
        <v>36</v>
      </c>
      <c r="AC4801">
        <v>8.3574000000000392</v>
      </c>
      <c r="AD4801">
        <v>-1.122360441956</v>
      </c>
      <c r="AE4801">
        <v>-3.3867500000000001</v>
      </c>
      <c r="AF4801">
        <v>-2.3848086049834301</v>
      </c>
      <c r="AG4801">
        <v>-1.122360441956</v>
      </c>
      <c r="AH4801">
        <v>8.5537634351793006</v>
      </c>
      <c r="AI4801">
        <v>97.203538170809196</v>
      </c>
      <c r="AJ4801">
        <v>105.578590503109</v>
      </c>
      <c r="AK4801">
        <v>8.9506353935953094</v>
      </c>
      <c r="AL4801">
        <v>66.700454175032604</v>
      </c>
      <c r="AM4801">
        <v>104.33609241016499</v>
      </c>
      <c r="AN4801">
        <v>0.99999994396466796</v>
      </c>
    </row>
    <row r="4802" spans="1:40" x14ac:dyDescent="0.25">
      <c r="A4802" t="str">
        <f>"20190304164507454"</f>
        <v>20190304164507454</v>
      </c>
      <c r="B4802" t="str">
        <f>"1551689107444700"</f>
        <v>1551689107444700</v>
      </c>
      <c r="C4802" t="s">
        <v>40</v>
      </c>
      <c r="D4802">
        <v>5.4624689999999996</v>
      </c>
      <c r="E4802">
        <v>0.49862430000000002</v>
      </c>
      <c r="F4802" t="s">
        <v>49</v>
      </c>
      <c r="G4802">
        <v>-400.87959999999998</v>
      </c>
      <c r="H4802" s="1">
        <v>-6.4487359999999999E-6</v>
      </c>
      <c r="I4802">
        <v>24.910070000000001</v>
      </c>
      <c r="J4802">
        <v>-408.91789999999997</v>
      </c>
      <c r="K4802">
        <v>1.1223160000000001</v>
      </c>
      <c r="L4802">
        <v>28.149660000000001</v>
      </c>
      <c r="M4802">
        <v>0.80183539999999998</v>
      </c>
      <c r="N4802">
        <v>-1.444206E-2</v>
      </c>
      <c r="O4802">
        <v>-0.59737039999999997</v>
      </c>
      <c r="P4802">
        <v>0.84706399999999904</v>
      </c>
      <c r="Q4802">
        <v>0.38890580000000002</v>
      </c>
      <c r="R4802">
        <v>-0.36226340000000001</v>
      </c>
      <c r="S4802">
        <v>3.1706850000000002</v>
      </c>
      <c r="T4802">
        <v>-0.4225739</v>
      </c>
      <c r="U4802">
        <v>-1.3240970000000001</v>
      </c>
      <c r="V4802">
        <v>-0.22705069999999999</v>
      </c>
      <c r="W4802">
        <v>0.39542080000000002</v>
      </c>
      <c r="X4802">
        <v>0.88999459999999997</v>
      </c>
      <c r="Y4802">
        <v>-0.2375295</v>
      </c>
      <c r="Z4802">
        <v>7.7752219999999997E-2</v>
      </c>
      <c r="AA4802">
        <v>0.9682636</v>
      </c>
      <c r="AB4802">
        <v>36</v>
      </c>
      <c r="AC4802">
        <v>8.0382999999999907</v>
      </c>
      <c r="AD4802">
        <v>-1.122322448736</v>
      </c>
      <c r="AE4802">
        <v>-3.23958999999999</v>
      </c>
      <c r="AF4802">
        <v>-2.1680947693513799</v>
      </c>
      <c r="AG4802">
        <v>-1.122322448736</v>
      </c>
      <c r="AH4802">
        <v>8.2432605345399299</v>
      </c>
      <c r="AI4802">
        <v>97.501106778429303</v>
      </c>
      <c r="AJ4802">
        <v>104.73586395845</v>
      </c>
      <c r="AK4802">
        <v>8.5971848210986597</v>
      </c>
      <c r="AL4802">
        <v>66.707779354079506</v>
      </c>
      <c r="AM4802">
        <v>104.31172193562099</v>
      </c>
      <c r="AN4802">
        <v>1.00000000873614</v>
      </c>
    </row>
    <row r="4803" spans="1:40" x14ac:dyDescent="0.25">
      <c r="A4803" t="str">
        <f>"20190304164507482"</f>
        <v>20190304164507482</v>
      </c>
      <c r="B4803" t="str">
        <f>"1551689107474958"</f>
        <v>1551689107474958</v>
      </c>
      <c r="C4803" t="s">
        <v>40</v>
      </c>
      <c r="D4803">
        <v>5.0573249999999996</v>
      </c>
      <c r="E4803">
        <v>0.50153449999999999</v>
      </c>
      <c r="F4803" t="s">
        <v>49</v>
      </c>
      <c r="G4803">
        <v>-400.48099999999999</v>
      </c>
      <c r="H4803" s="1">
        <v>-6.5676170000000003E-6</v>
      </c>
      <c r="I4803">
        <v>24.7807</v>
      </c>
      <c r="J4803">
        <v>-408.56310000000002</v>
      </c>
      <c r="K4803">
        <v>1.122306</v>
      </c>
      <c r="L4803">
        <v>27.902439999999999</v>
      </c>
      <c r="M4803">
        <v>0.81083079999999996</v>
      </c>
      <c r="N4803">
        <v>-1.442352E-2</v>
      </c>
      <c r="O4803">
        <v>-0.58510299999999904</v>
      </c>
      <c r="P4803">
        <v>0.85245559999999998</v>
      </c>
      <c r="Q4803">
        <v>0.38877980000000001</v>
      </c>
      <c r="R4803">
        <v>-0.34952820000000001</v>
      </c>
      <c r="S4803">
        <v>3.1915279999999999</v>
      </c>
      <c r="T4803">
        <v>-0.42455359999999998</v>
      </c>
      <c r="U4803">
        <v>-1.2744139999999999</v>
      </c>
      <c r="V4803">
        <v>-0.22685820000000001</v>
      </c>
      <c r="W4803">
        <v>0.39529560000000002</v>
      </c>
      <c r="X4803">
        <v>0.89009930000000004</v>
      </c>
      <c r="Y4803">
        <v>-0.237952</v>
      </c>
      <c r="Z4803">
        <v>7.6989230000000006E-2</v>
      </c>
      <c r="AA4803">
        <v>0.96822079999999999</v>
      </c>
      <c r="AB4803">
        <v>35</v>
      </c>
      <c r="AC4803">
        <v>8.08210000000002</v>
      </c>
      <c r="AD4803">
        <v>-1.122312567617</v>
      </c>
      <c r="AE4803">
        <v>-3.12174</v>
      </c>
      <c r="AF4803">
        <v>-2.1616150293573502</v>
      </c>
      <c r="AG4803">
        <v>-1.122312567617</v>
      </c>
      <c r="AH4803">
        <v>8.2423217500837893</v>
      </c>
      <c r="AI4803">
        <v>97.503264133849399</v>
      </c>
      <c r="AJ4803">
        <v>104.695332762284</v>
      </c>
      <c r="AK4803">
        <v>8.5946514104109504</v>
      </c>
      <c r="AL4803">
        <v>66.715589074407802</v>
      </c>
      <c r="AM4803">
        <v>104.29847280156</v>
      </c>
      <c r="AN4803">
        <v>1.0000000090735399</v>
      </c>
    </row>
    <row r="4804" spans="1:40" x14ac:dyDescent="0.25">
      <c r="A4804" t="str">
        <f>"20190304164507500"</f>
        <v>20190304164507500</v>
      </c>
      <c r="B4804" t="str">
        <f>"1551689107495454"</f>
        <v>1551689107495454</v>
      </c>
      <c r="C4804" t="s">
        <v>40</v>
      </c>
      <c r="D4804">
        <v>5.0519759999999998</v>
      </c>
      <c r="E4804">
        <v>0.50221179999999999</v>
      </c>
      <c r="F4804" t="s">
        <v>42</v>
      </c>
      <c r="G4804">
        <v>-398.34539999999998</v>
      </c>
      <c r="H4804" s="1">
        <v>-1.90563E-6</v>
      </c>
      <c r="I4804">
        <v>23.912230000000001</v>
      </c>
      <c r="J4804">
        <v>-408.34410000000003</v>
      </c>
      <c r="K4804">
        <v>1.122293</v>
      </c>
      <c r="L4804">
        <v>27.753360000000001</v>
      </c>
      <c r="M4804">
        <v>0.8162528</v>
      </c>
      <c r="N4804">
        <v>-1.4405619999999999E-2</v>
      </c>
      <c r="O4804">
        <v>-0.57751540000000001</v>
      </c>
      <c r="P4804">
        <v>0.85531710000000005</v>
      </c>
      <c r="Q4804">
        <v>0.38905600000000001</v>
      </c>
      <c r="R4804">
        <v>-0.34215250000000003</v>
      </c>
      <c r="S4804">
        <v>3.1703800000000002</v>
      </c>
      <c r="T4804">
        <v>-0.3482343</v>
      </c>
      <c r="U4804">
        <v>-1.2380979999999999</v>
      </c>
      <c r="V4804">
        <v>-0.2261648</v>
      </c>
      <c r="W4804">
        <v>0.39558189999999999</v>
      </c>
      <c r="X4804">
        <v>0.89014850000000001</v>
      </c>
      <c r="Y4804">
        <v>-0.237874</v>
      </c>
      <c r="Z4804">
        <v>6.2069350000000002E-2</v>
      </c>
      <c r="AA4804">
        <v>0.96931080000000003</v>
      </c>
      <c r="AB4804">
        <v>35</v>
      </c>
      <c r="AC4804">
        <v>9.9987000000000403</v>
      </c>
      <c r="AD4804">
        <v>-1.12229490563</v>
      </c>
      <c r="AE4804">
        <v>-3.8411300000000002</v>
      </c>
      <c r="AF4804">
        <v>-2.61068232490807</v>
      </c>
      <c r="AG4804">
        <v>-1.12229490563</v>
      </c>
      <c r="AH4804">
        <v>10.2681260343919</v>
      </c>
      <c r="AI4804">
        <v>96.046718616839001</v>
      </c>
      <c r="AJ4804">
        <v>104.265255536924</v>
      </c>
      <c r="AK4804">
        <v>10.6540893705162</v>
      </c>
      <c r="AL4804">
        <v>66.697728255851402</v>
      </c>
      <c r="AM4804">
        <v>104.255797403711</v>
      </c>
      <c r="AN4804">
        <v>0.99999995420944898</v>
      </c>
    </row>
    <row r="4805" spans="1:40" x14ac:dyDescent="0.25">
      <c r="A4805" t="str">
        <f>"20190304164507515"</f>
        <v>20190304164507515</v>
      </c>
      <c r="B4805" t="str">
        <f>"1551689107505213"</f>
        <v>1551689107505213</v>
      </c>
      <c r="C4805" t="s">
        <v>40</v>
      </c>
      <c r="D4805">
        <v>5.0753830000000004</v>
      </c>
      <c r="E4805">
        <v>0.50388929999999998</v>
      </c>
      <c r="F4805" t="s">
        <v>42</v>
      </c>
      <c r="G4805">
        <v>-398.11559999999997</v>
      </c>
      <c r="H4805" s="1">
        <v>-1.9962259999999999E-6</v>
      </c>
      <c r="I4805">
        <v>23.844429999999999</v>
      </c>
      <c r="J4805">
        <v>-408.1266</v>
      </c>
      <c r="K4805">
        <v>1.1222810000000001</v>
      </c>
      <c r="L4805">
        <v>27.60812</v>
      </c>
      <c r="M4805">
        <v>0.82153929999999997</v>
      </c>
      <c r="N4805">
        <v>-1.4380189999999999E-2</v>
      </c>
      <c r="O4805">
        <v>-0.56997039999999999</v>
      </c>
      <c r="P4805">
        <v>0.85829940000000005</v>
      </c>
      <c r="Q4805">
        <v>0.38905919999999999</v>
      </c>
      <c r="R4805">
        <v>-0.33459709999999998</v>
      </c>
      <c r="S4805">
        <v>3.1799930000000001</v>
      </c>
      <c r="T4805">
        <v>-0.3489178</v>
      </c>
      <c r="U4805">
        <v>-1.215271</v>
      </c>
      <c r="V4805">
        <v>-0.22579959999999999</v>
      </c>
      <c r="W4805">
        <v>0.39557979999999998</v>
      </c>
      <c r="X4805">
        <v>0.89024219999999898</v>
      </c>
      <c r="Y4805">
        <v>-0.2359984</v>
      </c>
      <c r="Z4805">
        <v>6.1520310000000002E-2</v>
      </c>
      <c r="AA4805">
        <v>0.96980409999999995</v>
      </c>
      <c r="AB4805">
        <v>35</v>
      </c>
      <c r="AC4805">
        <v>10.010999999999999</v>
      </c>
      <c r="AD4805">
        <v>-1.1222829962259999</v>
      </c>
      <c r="AE4805">
        <v>-3.76369</v>
      </c>
      <c r="AF4805">
        <v>-2.5857527221560801</v>
      </c>
      <c r="AG4805">
        <v>-1.1222829962259999</v>
      </c>
      <c r="AH4805">
        <v>10.2577449692545</v>
      </c>
      <c r="AI4805">
        <v>96.055835651979294</v>
      </c>
      <c r="AJ4805">
        <v>104.148250278197</v>
      </c>
      <c r="AK4805">
        <v>10.637996433446499</v>
      </c>
      <c r="AL4805">
        <v>66.697860543524598</v>
      </c>
      <c r="AM4805">
        <v>104.23227676161601</v>
      </c>
      <c r="AN4805">
        <v>1.00000000609451</v>
      </c>
    </row>
    <row r="4806" spans="1:40" x14ac:dyDescent="0.25">
      <c r="A4806" t="str">
        <f>"20190304164507533"</f>
        <v>20190304164507533</v>
      </c>
      <c r="B4806" t="str">
        <f>"1551689107524732"</f>
        <v>1551689107524732</v>
      </c>
      <c r="C4806" t="s">
        <v>40</v>
      </c>
      <c r="D4806">
        <v>5.0804780000000003</v>
      </c>
      <c r="E4806">
        <v>0.50531300000000001</v>
      </c>
      <c r="F4806" t="s">
        <v>42</v>
      </c>
      <c r="G4806">
        <v>-398.4443</v>
      </c>
      <c r="H4806" s="1">
        <v>-1.872804E-6</v>
      </c>
      <c r="I4806">
        <v>23.96454</v>
      </c>
      <c r="J4806">
        <v>-407.89620000000002</v>
      </c>
      <c r="K4806">
        <v>1.122269</v>
      </c>
      <c r="L4806">
        <v>27.45758</v>
      </c>
      <c r="M4806">
        <v>0.82702919999999902</v>
      </c>
      <c r="N4806">
        <v>-1.434297E-2</v>
      </c>
      <c r="O4806">
        <v>-0.56197600000000003</v>
      </c>
      <c r="P4806">
        <v>0.86090979999999995</v>
      </c>
      <c r="Q4806">
        <v>0.38951029999999998</v>
      </c>
      <c r="R4806">
        <v>-0.32728600000000002</v>
      </c>
      <c r="S4806">
        <v>3.1945190000000001</v>
      </c>
      <c r="T4806">
        <v>-0.37028060000000002</v>
      </c>
      <c r="U4806">
        <v>-1.202148</v>
      </c>
      <c r="V4806">
        <v>-0.2246177</v>
      </c>
      <c r="W4806">
        <v>0.39603739999999998</v>
      </c>
      <c r="X4806">
        <v>0.89033779999999996</v>
      </c>
      <c r="Y4806">
        <v>-0.23117289999999999</v>
      </c>
      <c r="Z4806">
        <v>6.4580799999999994E-2</v>
      </c>
      <c r="AA4806">
        <v>0.97076689999999999</v>
      </c>
      <c r="AB4806">
        <v>35</v>
      </c>
      <c r="AC4806">
        <v>9.4519000000000197</v>
      </c>
      <c r="AD4806">
        <v>-1.1222708728039901</v>
      </c>
      <c r="AE4806">
        <v>-3.4930400000000001</v>
      </c>
      <c r="AF4806">
        <v>-2.39345582398709</v>
      </c>
      <c r="AG4806">
        <v>-1.1222708728039901</v>
      </c>
      <c r="AH4806">
        <v>9.6611713632442697</v>
      </c>
      <c r="AI4806">
        <v>96.433180018952498</v>
      </c>
      <c r="AJ4806">
        <v>103.914291842162</v>
      </c>
      <c r="AK4806">
        <v>10.016304448412701</v>
      </c>
      <c r="AL4806">
        <v>66.669311863743104</v>
      </c>
      <c r="AM4806">
        <v>104.159325793821</v>
      </c>
      <c r="AN4806">
        <v>1.00000006573044</v>
      </c>
    </row>
    <row r="4807" spans="1:40" x14ac:dyDescent="0.25">
      <c r="A4807" t="str">
        <f>"20190304164507556"</f>
        <v>20190304164507556</v>
      </c>
      <c r="B4807" t="str">
        <f>"1551689107545229"</f>
        <v>1551689107545229</v>
      </c>
      <c r="C4807" t="s">
        <v>40</v>
      </c>
      <c r="D4807">
        <v>5.0573839999999999</v>
      </c>
      <c r="E4807">
        <v>0.50652109999999995</v>
      </c>
      <c r="F4807" t="s">
        <v>42</v>
      </c>
      <c r="G4807">
        <v>-398.7561</v>
      </c>
      <c r="H4807" s="1">
        <v>-1.7548910000000001E-6</v>
      </c>
      <c r="I4807">
        <v>24.075199999999999</v>
      </c>
      <c r="J4807">
        <v>-407.59530000000001</v>
      </c>
      <c r="K4807">
        <v>1.12225</v>
      </c>
      <c r="L4807">
        <v>27.266020000000001</v>
      </c>
      <c r="M4807">
        <v>0.8340303</v>
      </c>
      <c r="N4807">
        <v>-1.4282950000000001E-2</v>
      </c>
      <c r="O4807">
        <v>-0.55153369999999902</v>
      </c>
      <c r="P4807">
        <v>0.86428859999999996</v>
      </c>
      <c r="Q4807">
        <v>0.39032410000000001</v>
      </c>
      <c r="R4807">
        <v>-0.31725730000000002</v>
      </c>
      <c r="S4807">
        <v>3.2112729999999998</v>
      </c>
      <c r="T4807">
        <v>-0.39429520000000001</v>
      </c>
      <c r="U4807">
        <v>-1.1883539999999999</v>
      </c>
      <c r="V4807">
        <v>-0.22357479999999999</v>
      </c>
      <c r="W4807">
        <v>0.3968332</v>
      </c>
      <c r="X4807">
        <v>0.89024590000000003</v>
      </c>
      <c r="Y4807">
        <v>-0.2238764</v>
      </c>
      <c r="Z4807">
        <v>6.7606429999999995E-2</v>
      </c>
      <c r="AA4807">
        <v>0.97226990000000002</v>
      </c>
      <c r="AB4807">
        <v>35</v>
      </c>
      <c r="AC4807">
        <v>8.8391999999999999</v>
      </c>
      <c r="AD4807">
        <v>-1.122251754891</v>
      </c>
      <c r="AE4807">
        <v>-3.19082</v>
      </c>
      <c r="AF4807">
        <v>-2.1829701696311101</v>
      </c>
      <c r="AG4807">
        <v>-1.122251754891</v>
      </c>
      <c r="AH4807">
        <v>9.0045216075741301</v>
      </c>
      <c r="AI4807">
        <v>96.906221493063796</v>
      </c>
      <c r="AJ4807">
        <v>103.627330450203</v>
      </c>
      <c r="AK4807">
        <v>9.3330711528480599</v>
      </c>
      <c r="AL4807">
        <v>66.619645325888698</v>
      </c>
      <c r="AM4807">
        <v>104.09760779891501</v>
      </c>
      <c r="AN4807">
        <v>1.0000000211420399</v>
      </c>
    </row>
    <row r="4808" spans="1:40" x14ac:dyDescent="0.25">
      <c r="A4808" t="str">
        <f>"20190304164507573"</f>
        <v>20190304164507573</v>
      </c>
      <c r="B4808" t="str">
        <f>"1551689107564749"</f>
        <v>1551689107564749</v>
      </c>
      <c r="C4808" t="s">
        <v>40</v>
      </c>
      <c r="D4808">
        <v>5.1095280000000001</v>
      </c>
      <c r="E4808">
        <v>0.50762050000000003</v>
      </c>
      <c r="F4808" t="s">
        <v>42</v>
      </c>
      <c r="G4808">
        <v>-398.73509999999999</v>
      </c>
      <c r="H4808" s="1">
        <v>-1.766026E-6</v>
      </c>
      <c r="I4808">
        <v>24.079789999999999</v>
      </c>
      <c r="J4808">
        <v>-407.3646</v>
      </c>
      <c r="K4808">
        <v>1.1222299999999901</v>
      </c>
      <c r="L4808">
        <v>27.122409999999999</v>
      </c>
      <c r="M4808">
        <v>0.83928219999999998</v>
      </c>
      <c r="N4808">
        <v>-1.4221900000000001E-2</v>
      </c>
      <c r="O4808">
        <v>-0.5435103</v>
      </c>
      <c r="P4808">
        <v>0.86684380000000005</v>
      </c>
      <c r="Q4808">
        <v>0.39094259999999997</v>
      </c>
      <c r="R4808">
        <v>-0.30942890000000001</v>
      </c>
      <c r="S4808">
        <v>3.2294619999999998</v>
      </c>
      <c r="T4808">
        <v>-0.40904800000000002</v>
      </c>
      <c r="U4808">
        <v>-1.161346</v>
      </c>
      <c r="V4808">
        <v>-0.22293969999999999</v>
      </c>
      <c r="W4808">
        <v>0.39741880000000002</v>
      </c>
      <c r="X4808">
        <v>0.89014389999999999</v>
      </c>
      <c r="Y4808">
        <v>-0.22323599999999999</v>
      </c>
      <c r="Z4808">
        <v>6.9417350000000003E-2</v>
      </c>
      <c r="AA4808">
        <v>0.97228959999999998</v>
      </c>
      <c r="AB4808">
        <v>35</v>
      </c>
      <c r="AC4808">
        <v>8.6295000000000002</v>
      </c>
      <c r="AD4808">
        <v>-1.1222317660259999</v>
      </c>
      <c r="AE4808">
        <v>-3.0426199999999901</v>
      </c>
      <c r="AF4808">
        <v>-2.1051553345147598</v>
      </c>
      <c r="AG4808">
        <v>-1.1222317660259999</v>
      </c>
      <c r="AH4808">
        <v>8.7653312878013097</v>
      </c>
      <c r="AI4808">
        <v>97.096282645833995</v>
      </c>
      <c r="AJ4808">
        <v>103.504854465523</v>
      </c>
      <c r="AK4808">
        <v>9.0841684101530298</v>
      </c>
      <c r="AL4808">
        <v>66.583085633497106</v>
      </c>
      <c r="AM4808">
        <v>104.060698753918</v>
      </c>
      <c r="AN4808">
        <v>0.99999998756836905</v>
      </c>
    </row>
    <row r="4809" spans="1:40" x14ac:dyDescent="0.25">
      <c r="A4809" t="str">
        <f>"20190304164507588"</f>
        <v>20190304164507588</v>
      </c>
      <c r="B4809" t="str">
        <f>"1551689107575485"</f>
        <v>1551689107575485</v>
      </c>
      <c r="C4809" t="s">
        <v>40</v>
      </c>
      <c r="D4809">
        <v>5.0669469999999999</v>
      </c>
      <c r="E4809">
        <v>0.50819139999999996</v>
      </c>
      <c r="F4809" t="s">
        <v>42</v>
      </c>
      <c r="G4809">
        <v>-398.72149999999999</v>
      </c>
      <c r="H4809" s="1">
        <v>-1.7727129999999999E-6</v>
      </c>
      <c r="I4809">
        <v>24.0808</v>
      </c>
      <c r="J4809">
        <v>-407.17500000000001</v>
      </c>
      <c r="K4809">
        <v>1.1222209999999999</v>
      </c>
      <c r="L4809">
        <v>27.007259999999999</v>
      </c>
      <c r="M4809">
        <v>0.84350930000000002</v>
      </c>
      <c r="N4809">
        <v>-1.416663E-2</v>
      </c>
      <c r="O4809">
        <v>-0.53692779999999996</v>
      </c>
      <c r="P4809">
        <v>0.86864039999999998</v>
      </c>
      <c r="Q4809">
        <v>0.39204319999999998</v>
      </c>
      <c r="R4809">
        <v>-0.30292940000000002</v>
      </c>
      <c r="S4809">
        <v>3.2433169999999998</v>
      </c>
      <c r="T4809">
        <v>-0.42111599999999999</v>
      </c>
      <c r="U4809">
        <v>-1.141357</v>
      </c>
      <c r="V4809">
        <v>-0.22239590000000001</v>
      </c>
      <c r="W4809">
        <v>0.39848489999999998</v>
      </c>
      <c r="X4809">
        <v>0.88980329999999996</v>
      </c>
      <c r="Y4809">
        <v>-0.2220451</v>
      </c>
      <c r="Z4809">
        <v>7.0802519999999994E-2</v>
      </c>
      <c r="AA4809">
        <v>0.97246239999999995</v>
      </c>
      <c r="AB4809">
        <v>35</v>
      </c>
      <c r="AC4809">
        <v>8.4535000000000196</v>
      </c>
      <c r="AD4809">
        <v>-1.1222227727130001</v>
      </c>
      <c r="AE4809">
        <v>-2.9264599999999898</v>
      </c>
      <c r="AF4809">
        <v>-2.03854952560825</v>
      </c>
      <c r="AG4809">
        <v>-1.1222227727130001</v>
      </c>
      <c r="AH4809">
        <v>8.5679409662277592</v>
      </c>
      <c r="AI4809">
        <v>97.261626226543299</v>
      </c>
      <c r="AJ4809">
        <v>103.38340707518699</v>
      </c>
      <c r="AK4809">
        <v>8.8783264481948994</v>
      </c>
      <c r="AL4809">
        <v>66.516504429982803</v>
      </c>
      <c r="AM4809">
        <v>104.032914757207</v>
      </c>
      <c r="AN4809">
        <v>1.0000000322778499</v>
      </c>
    </row>
    <row r="4810" spans="1:40" x14ac:dyDescent="0.25">
      <c r="A4810" t="str">
        <f>"20190304164507603"</f>
        <v>20190304164507603</v>
      </c>
      <c r="B4810" t="str">
        <f>"1551689107595005"</f>
        <v>1551689107595005</v>
      </c>
      <c r="C4810" t="s">
        <v>40</v>
      </c>
      <c r="D4810">
        <v>5.1458570000000003</v>
      </c>
      <c r="E4810">
        <v>0.50789229999999996</v>
      </c>
      <c r="F4810" t="s">
        <v>42</v>
      </c>
      <c r="G4810">
        <v>-398.52390000000003</v>
      </c>
      <c r="H4810" s="1">
        <v>-1.849996E-6</v>
      </c>
      <c r="I4810">
        <v>24.020150000000001</v>
      </c>
      <c r="J4810">
        <v>-406.96809999999999</v>
      </c>
      <c r="K4810">
        <v>1.1221989999999999</v>
      </c>
      <c r="L4810">
        <v>26.883389999999999</v>
      </c>
      <c r="M4810">
        <v>0.84805019999999998</v>
      </c>
      <c r="N4810">
        <v>-1.409928E-2</v>
      </c>
      <c r="O4810">
        <v>-0.52972869999999905</v>
      </c>
      <c r="P4810">
        <v>0.87083719999999998</v>
      </c>
      <c r="Q4810">
        <v>0.3927813</v>
      </c>
      <c r="R4810">
        <v>-0.29557650000000002</v>
      </c>
      <c r="S4810">
        <v>3.2524410000000001</v>
      </c>
      <c r="T4810">
        <v>-0.42190430000000001</v>
      </c>
      <c r="U4810">
        <v>-1.123016</v>
      </c>
      <c r="V4810">
        <v>-0.22217690000000001</v>
      </c>
      <c r="W4810">
        <v>0.39917000000000002</v>
      </c>
      <c r="X4810">
        <v>0.88955090000000003</v>
      </c>
      <c r="Y4810">
        <v>-0.21953490000000001</v>
      </c>
      <c r="Z4810">
        <v>7.0060800000000006E-2</v>
      </c>
      <c r="AA4810">
        <v>0.9730858</v>
      </c>
      <c r="AB4810">
        <v>35</v>
      </c>
      <c r="AC4810">
        <v>8.4441999999999595</v>
      </c>
      <c r="AD4810">
        <v>-1.1222008499959999</v>
      </c>
      <c r="AE4810">
        <v>-2.8632399999999998</v>
      </c>
      <c r="AF4810">
        <v>-2.01327607268873</v>
      </c>
      <c r="AG4810">
        <v>-1.1222008499959999</v>
      </c>
      <c r="AH4810">
        <v>8.5433782383229602</v>
      </c>
      <c r="AI4810">
        <v>97.285813632369894</v>
      </c>
      <c r="AJ4810">
        <v>103.26002346675099</v>
      </c>
      <c r="AK4810">
        <v>8.8488376081631799</v>
      </c>
      <c r="AL4810">
        <v>66.473699421805804</v>
      </c>
      <c r="AM4810">
        <v>104.023462339132</v>
      </c>
      <c r="AN4810">
        <v>1.0000000337421999</v>
      </c>
    </row>
    <row r="4811" spans="1:40" x14ac:dyDescent="0.25">
      <c r="A4811" t="str">
        <f>"20190304164507617"</f>
        <v>20190304164507617</v>
      </c>
      <c r="B4811" t="str">
        <f>"1551689107604765"</f>
        <v>1551689107604765</v>
      </c>
      <c r="C4811" t="s">
        <v>40</v>
      </c>
      <c r="D4811">
        <v>5.1478039999999998</v>
      </c>
      <c r="E4811">
        <v>0.50740339999999995</v>
      </c>
      <c r="F4811" t="s">
        <v>42</v>
      </c>
      <c r="G4811">
        <v>-398.29969999999997</v>
      </c>
      <c r="H4811" s="1">
        <v>-1.9441970000000001E-6</v>
      </c>
      <c r="I4811">
        <v>23.97588</v>
      </c>
      <c r="J4811">
        <v>-406.78379999999999</v>
      </c>
      <c r="K4811">
        <v>1.1221829999999999</v>
      </c>
      <c r="L4811">
        <v>26.774809999999999</v>
      </c>
      <c r="M4811">
        <v>0.8520259</v>
      </c>
      <c r="N4811">
        <v>-1.403386E-2</v>
      </c>
      <c r="O4811">
        <v>-0.52331159999999999</v>
      </c>
      <c r="P4811">
        <v>0.87299090000000001</v>
      </c>
      <c r="Q4811">
        <v>0.39297080000000001</v>
      </c>
      <c r="R4811">
        <v>-0.28889609999999999</v>
      </c>
      <c r="S4811">
        <v>3.2639770000000001</v>
      </c>
      <c r="T4811">
        <v>-0.42255090000000001</v>
      </c>
      <c r="U4811">
        <v>-1.0947880000000001</v>
      </c>
      <c r="V4811">
        <v>-0.22222819999999999</v>
      </c>
      <c r="W4811">
        <v>0.3993025</v>
      </c>
      <c r="X4811">
        <v>0.88947860000000001</v>
      </c>
      <c r="Y4811">
        <v>-0.22079170000000001</v>
      </c>
      <c r="Z4811">
        <v>6.960827E-2</v>
      </c>
      <c r="AA4811">
        <v>0.97283390000000003</v>
      </c>
      <c r="AB4811">
        <v>35</v>
      </c>
      <c r="AC4811">
        <v>8.4841000000000104</v>
      </c>
      <c r="AD4811">
        <v>-1.122184944197</v>
      </c>
      <c r="AE4811">
        <v>-2.7989299999999901</v>
      </c>
      <c r="AF4811">
        <v>-2.0233451805267202</v>
      </c>
      <c r="AG4811">
        <v>-1.122184944197</v>
      </c>
      <c r="AH4811">
        <v>8.5591948119021293</v>
      </c>
      <c r="AI4811">
        <v>97.271200747283302</v>
      </c>
      <c r="AJ4811">
        <v>103.30023624884799</v>
      </c>
      <c r="AK4811">
        <v>8.8663995283675003</v>
      </c>
      <c r="AL4811">
        <v>66.4654188639918</v>
      </c>
      <c r="AM4811">
        <v>104.027667613722</v>
      </c>
      <c r="AN4811">
        <v>1.0000000196197201</v>
      </c>
    </row>
    <row r="4812" spans="1:40" x14ac:dyDescent="0.25">
      <c r="A4812" t="str">
        <f>"20190304164507635"</f>
        <v>20190304164507635</v>
      </c>
      <c r="B4812" t="str">
        <f>"1551689107625261"</f>
        <v>1551689107625261</v>
      </c>
      <c r="C4812" t="s">
        <v>40</v>
      </c>
      <c r="D4812">
        <v>5.1261359999999998</v>
      </c>
      <c r="E4812">
        <v>0.50636440000000005</v>
      </c>
      <c r="F4812" t="s">
        <v>42</v>
      </c>
      <c r="G4812">
        <v>-398.0718</v>
      </c>
      <c r="H4812" s="1">
        <v>-2.0411429999999999E-6</v>
      </c>
      <c r="I4812">
        <v>23.93543</v>
      </c>
      <c r="J4812">
        <v>-406.54680000000002</v>
      </c>
      <c r="K4812">
        <v>1.122152</v>
      </c>
      <c r="L4812">
        <v>26.638000000000002</v>
      </c>
      <c r="M4812">
        <v>0.85704080000000005</v>
      </c>
      <c r="N4812">
        <v>-1.39431E-2</v>
      </c>
      <c r="O4812">
        <v>-0.51505999999999996</v>
      </c>
      <c r="P4812">
        <v>0.87567039999999996</v>
      </c>
      <c r="Q4812">
        <v>0.39250309999999999</v>
      </c>
      <c r="R4812">
        <v>-0.28132309999999999</v>
      </c>
      <c r="S4812">
        <v>3.2732239999999999</v>
      </c>
      <c r="T4812">
        <v>-0.42162300000000003</v>
      </c>
      <c r="U4812">
        <v>-1.0668029999999999</v>
      </c>
      <c r="V4812">
        <v>-0.22142120000000001</v>
      </c>
      <c r="W4812">
        <v>0.39878789999999997</v>
      </c>
      <c r="X4812">
        <v>0.8899106</v>
      </c>
      <c r="Y4812">
        <v>-0.21977289999999999</v>
      </c>
      <c r="Z4812">
        <v>6.8607509999999997E-2</v>
      </c>
      <c r="AA4812">
        <v>0.97313559999999999</v>
      </c>
      <c r="AB4812">
        <v>35</v>
      </c>
      <c r="AC4812">
        <v>8.4750000000000192</v>
      </c>
      <c r="AD4812">
        <v>-1.122154041143</v>
      </c>
      <c r="AE4812">
        <v>-2.7025700000000001</v>
      </c>
      <c r="AF4812">
        <v>-2.0170218550263401</v>
      </c>
      <c r="AG4812">
        <v>-1.122154041143</v>
      </c>
      <c r="AH4812">
        <v>8.5206536583439796</v>
      </c>
      <c r="AI4812">
        <v>97.303007503527198</v>
      </c>
      <c r="AJ4812">
        <v>103.317987562711</v>
      </c>
      <c r="AK4812">
        <v>8.8277486156527001</v>
      </c>
      <c r="AL4812">
        <v>66.4975740642777</v>
      </c>
      <c r="AM4812">
        <v>103.972208468817</v>
      </c>
      <c r="AN4812">
        <v>1.0000000064940999</v>
      </c>
    </row>
    <row r="4813" spans="1:40" x14ac:dyDescent="0.25">
      <c r="A4813" t="str">
        <f>"20190304164507646"</f>
        <v>20190304164507646</v>
      </c>
      <c r="B4813" t="str">
        <f>"1551689107635022"</f>
        <v>1551689107635022</v>
      </c>
      <c r="C4813" t="s">
        <v>40</v>
      </c>
      <c r="D4813">
        <v>5.1547159999999996</v>
      </c>
      <c r="E4813">
        <v>0.50609859999999995</v>
      </c>
      <c r="F4813" t="s">
        <v>42</v>
      </c>
      <c r="G4813">
        <v>-397.79750000000001</v>
      </c>
      <c r="H4813" s="1">
        <v>-2.1598029999999999E-6</v>
      </c>
      <c r="I4813">
        <v>23.894079999999999</v>
      </c>
      <c r="J4813">
        <v>-406.37099999999998</v>
      </c>
      <c r="K4813">
        <v>1.1221299999999901</v>
      </c>
      <c r="L4813">
        <v>26.53903</v>
      </c>
      <c r="M4813">
        <v>0.86068259999999996</v>
      </c>
      <c r="N4813">
        <v>-1.3873949999999999E-2</v>
      </c>
      <c r="O4813">
        <v>-0.50895329999999905</v>
      </c>
      <c r="P4813">
        <v>0.87776549999999998</v>
      </c>
      <c r="Q4813">
        <v>0.39200210000000002</v>
      </c>
      <c r="R4813">
        <v>-0.27543119999999999</v>
      </c>
      <c r="S4813">
        <v>3.2838440000000002</v>
      </c>
      <c r="T4813">
        <v>-0.42117789999999999</v>
      </c>
      <c r="U4813">
        <v>-1.0298769999999999</v>
      </c>
      <c r="V4813">
        <v>-0.221161</v>
      </c>
      <c r="W4813">
        <v>0.39824120000000002</v>
      </c>
      <c r="X4813">
        <v>0.89022000000000001</v>
      </c>
      <c r="Y4813">
        <v>-0.22370409999999999</v>
      </c>
      <c r="Z4813">
        <v>6.8218609999999999E-2</v>
      </c>
      <c r="AA4813">
        <v>0.97226679999999999</v>
      </c>
      <c r="AB4813">
        <v>35</v>
      </c>
      <c r="AC4813">
        <v>8.5734999999999602</v>
      </c>
      <c r="AD4813">
        <v>-1.1221321598030001</v>
      </c>
      <c r="AE4813">
        <v>-2.6449500000000001</v>
      </c>
      <c r="AF4813">
        <v>-2.0551034084628599</v>
      </c>
      <c r="AG4813">
        <v>-1.1221321598030001</v>
      </c>
      <c r="AH4813">
        <v>8.5916663513554994</v>
      </c>
      <c r="AI4813">
        <v>97.23915533249</v>
      </c>
      <c r="AJ4813">
        <v>103.45223895940001</v>
      </c>
      <c r="AK4813">
        <v>8.9050188824366998</v>
      </c>
      <c r="AL4813">
        <v>66.531725278986002</v>
      </c>
      <c r="AM4813">
        <v>103.951770286624</v>
      </c>
      <c r="AN4813">
        <v>0.99999994484921795</v>
      </c>
    </row>
    <row r="4814" spans="1:40" x14ac:dyDescent="0.25">
      <c r="A4814" t="str">
        <f>"20190304164507667"</f>
        <v>20190304164507667</v>
      </c>
      <c r="B4814" t="str">
        <f>"1551689107654541"</f>
        <v>1551689107654541</v>
      </c>
      <c r="C4814" t="s">
        <v>40</v>
      </c>
      <c r="D4814">
        <v>5.1318099999999998</v>
      </c>
      <c r="E4814">
        <v>0.50565870000000002</v>
      </c>
      <c r="F4814" t="s">
        <v>42</v>
      </c>
      <c r="G4814">
        <v>-397.6463</v>
      </c>
      <c r="H4814" s="1">
        <v>-2.2263490000000001E-6</v>
      </c>
      <c r="I4814">
        <v>23.875440000000001</v>
      </c>
      <c r="J4814">
        <v>-406.11149999999998</v>
      </c>
      <c r="K4814">
        <v>1.1220969999999999</v>
      </c>
      <c r="L4814">
        <v>26.39536</v>
      </c>
      <c r="M4814">
        <v>0.86595519999999904</v>
      </c>
      <c r="N4814">
        <v>-1.3771520000000001E-2</v>
      </c>
      <c r="O4814">
        <v>-0.49993219999999999</v>
      </c>
      <c r="P4814">
        <v>0.88059929999999997</v>
      </c>
      <c r="Q4814">
        <v>0.39138630000000002</v>
      </c>
      <c r="R4814">
        <v>-0.2671367</v>
      </c>
      <c r="S4814">
        <v>3.2915339999999902</v>
      </c>
      <c r="T4814">
        <v>-0.4233422</v>
      </c>
      <c r="U4814">
        <v>-1.004883</v>
      </c>
      <c r="V4814">
        <v>-0.22035550000000001</v>
      </c>
      <c r="W4814">
        <v>0.39757019999999998</v>
      </c>
      <c r="X4814">
        <v>0.89071959999999994</v>
      </c>
      <c r="Y4814">
        <v>-0.22092629999999999</v>
      </c>
      <c r="Z4814">
        <v>6.7570160000000004E-2</v>
      </c>
      <c r="AA4814">
        <v>0.97294700000000001</v>
      </c>
      <c r="AB4814">
        <v>35</v>
      </c>
      <c r="AC4814">
        <v>8.4651999999999799</v>
      </c>
      <c r="AD4814">
        <v>-1.1220992263489999</v>
      </c>
      <c r="AE4814">
        <v>-2.5199199999999902</v>
      </c>
      <c r="AF4814">
        <v>-2.0175187997570498</v>
      </c>
      <c r="AG4814">
        <v>-1.1220992263489999</v>
      </c>
      <c r="AH4814">
        <v>8.4546255849675305</v>
      </c>
      <c r="AI4814">
        <v>97.355940677986496</v>
      </c>
      <c r="AJ4814">
        <v>103.421435579884</v>
      </c>
      <c r="AK4814">
        <v>8.7641418611940392</v>
      </c>
      <c r="AL4814">
        <v>66.5736326352974</v>
      </c>
      <c r="AM4814">
        <v>103.895434789105</v>
      </c>
      <c r="AN4814">
        <v>1.0000000080662199</v>
      </c>
    </row>
    <row r="4815" spans="1:40" x14ac:dyDescent="0.25">
      <c r="A4815" t="str">
        <f>"20190304164507680"</f>
        <v>20190304164507680</v>
      </c>
      <c r="B4815" t="str">
        <f>"1551689107675037"</f>
        <v>1551689107675037</v>
      </c>
      <c r="C4815" t="s">
        <v>40</v>
      </c>
      <c r="D4815">
        <v>5.1271170000000001</v>
      </c>
      <c r="E4815">
        <v>0.50555680000000003</v>
      </c>
      <c r="F4815" t="s">
        <v>42</v>
      </c>
      <c r="G4815">
        <v>-397.41890000000001</v>
      </c>
      <c r="H4815" s="1">
        <v>-2.3251360000000001E-6</v>
      </c>
      <c r="I4815">
        <v>23.842770000000002</v>
      </c>
      <c r="J4815">
        <v>-405.91550000000001</v>
      </c>
      <c r="K4815">
        <v>1.1220730000000001</v>
      </c>
      <c r="L4815">
        <v>26.28912</v>
      </c>
      <c r="M4815">
        <v>0.869849599999999</v>
      </c>
      <c r="N4815">
        <v>-1.369102E-2</v>
      </c>
      <c r="O4815">
        <v>-0.49312739999999999</v>
      </c>
      <c r="P4815">
        <v>0.88266060000000002</v>
      </c>
      <c r="Q4815">
        <v>0.39121640000000002</v>
      </c>
      <c r="R4815">
        <v>-0.26049990000000001</v>
      </c>
      <c r="S4815">
        <v>3.3020939999999999</v>
      </c>
      <c r="T4815">
        <v>-0.42625859999999899</v>
      </c>
      <c r="U4815">
        <v>-0.96966549999999996</v>
      </c>
      <c r="V4815">
        <v>-0.22009310000000001</v>
      </c>
      <c r="W4815">
        <v>0.39734439999999999</v>
      </c>
      <c r="X4815">
        <v>0.89088519999999904</v>
      </c>
      <c r="Y4815">
        <v>-0.22362599999999999</v>
      </c>
      <c r="Z4815">
        <v>6.7584309999999995E-2</v>
      </c>
      <c r="AA4815">
        <v>0.972329</v>
      </c>
      <c r="AB4815">
        <v>35</v>
      </c>
      <c r="AC4815">
        <v>8.4966000000000008</v>
      </c>
      <c r="AD4815">
        <v>-1.1220753251359901</v>
      </c>
      <c r="AE4815">
        <v>-2.44634999999999</v>
      </c>
      <c r="AF4815">
        <v>-2.0294577519976298</v>
      </c>
      <c r="AG4815">
        <v>-1.1220753251359901</v>
      </c>
      <c r="AH4815">
        <v>8.4616538831440096</v>
      </c>
      <c r="AI4815">
        <v>97.347748153292201</v>
      </c>
      <c r="AJ4815">
        <v>103.48715894537401</v>
      </c>
      <c r="AK4815">
        <v>8.7736730187845797</v>
      </c>
      <c r="AL4815">
        <v>66.587731082319706</v>
      </c>
      <c r="AM4815">
        <v>103.87704795991201</v>
      </c>
      <c r="AN4815">
        <v>0.99999999222900504</v>
      </c>
    </row>
    <row r="4816" spans="1:40" x14ac:dyDescent="0.25">
      <c r="A4816" t="str">
        <f>"20190304164507694"</f>
        <v>20190304164507694</v>
      </c>
      <c r="B4816" t="str">
        <f>"1551689107684797"</f>
        <v>1551689107684797</v>
      </c>
      <c r="C4816" t="s">
        <v>40</v>
      </c>
      <c r="D4816">
        <v>5.1431180000000003</v>
      </c>
      <c r="E4816">
        <v>0.50556319999999999</v>
      </c>
      <c r="F4816" t="s">
        <v>42</v>
      </c>
      <c r="G4816">
        <v>-397.2516</v>
      </c>
      <c r="H4816" s="1">
        <v>-2.3974300000000001E-6</v>
      </c>
      <c r="I4816">
        <v>23.817219999999999</v>
      </c>
      <c r="J4816">
        <v>-405.7253</v>
      </c>
      <c r="K4816">
        <v>1.1220479999999999</v>
      </c>
      <c r="L4816">
        <v>26.187470000000001</v>
      </c>
      <c r="M4816">
        <v>0.873565699999999</v>
      </c>
      <c r="N4816">
        <v>-1.360929E-2</v>
      </c>
      <c r="O4816">
        <v>-0.48651610000000001</v>
      </c>
      <c r="P4816">
        <v>0.88442399999999999</v>
      </c>
      <c r="Q4816">
        <v>0.391349</v>
      </c>
      <c r="R4816">
        <v>-0.254245</v>
      </c>
      <c r="S4816">
        <v>3.3100890000000001</v>
      </c>
      <c r="T4816">
        <v>-0.42869230000000003</v>
      </c>
      <c r="U4816">
        <v>-0.94439700000000004</v>
      </c>
      <c r="V4816">
        <v>-0.2195995</v>
      </c>
      <c r="W4816">
        <v>0.3974258</v>
      </c>
      <c r="X4816">
        <v>0.8909707</v>
      </c>
      <c r="Y4816">
        <v>-0.2237026</v>
      </c>
      <c r="Z4816">
        <v>6.7350060000000003E-2</v>
      </c>
      <c r="AA4816">
        <v>0.97232770000000002</v>
      </c>
      <c r="AB4816">
        <v>35</v>
      </c>
      <c r="AC4816">
        <v>8.4736999999999991</v>
      </c>
      <c r="AD4816">
        <v>-1.12205039742999</v>
      </c>
      <c r="AE4816">
        <v>-2.3702499999999902</v>
      </c>
      <c r="AF4816">
        <v>-2.0193740989263498</v>
      </c>
      <c r="AG4816">
        <v>-1.12205039742999</v>
      </c>
      <c r="AH4816">
        <v>8.4193779710036196</v>
      </c>
      <c r="AI4816">
        <v>97.384063710520905</v>
      </c>
      <c r="AJ4816">
        <v>103.487518504029</v>
      </c>
      <c r="AK4816">
        <v>8.7305666634192995</v>
      </c>
      <c r="AL4816">
        <v>66.582648812673</v>
      </c>
      <c r="AM4816">
        <v>103.845847441617</v>
      </c>
      <c r="AN4816">
        <v>0.99999999758219005</v>
      </c>
    </row>
    <row r="4817" spans="1:40" x14ac:dyDescent="0.25">
      <c r="A4817" t="str">
        <f>"20190304164507711"</f>
        <v>20190304164507711</v>
      </c>
      <c r="B4817" t="str">
        <f>"1551689107705295"</f>
        <v>1551689107705295</v>
      </c>
      <c r="C4817" t="s">
        <v>40</v>
      </c>
      <c r="D4817">
        <v>5.1357109999999997</v>
      </c>
      <c r="E4817">
        <v>0.50570909999999902</v>
      </c>
      <c r="F4817" t="s">
        <v>42</v>
      </c>
      <c r="G4817">
        <v>-397.04610000000002</v>
      </c>
      <c r="H4817" s="1">
        <v>-2.4840549999999999E-6</v>
      </c>
      <c r="I4817">
        <v>23.777819999999998</v>
      </c>
      <c r="J4817">
        <v>-405.48719999999997</v>
      </c>
      <c r="K4817">
        <v>1.1220129999999999</v>
      </c>
      <c r="L4817">
        <v>26.063510000000001</v>
      </c>
      <c r="M4817">
        <v>0.87810580000000005</v>
      </c>
      <c r="N4817">
        <v>-1.349881E-2</v>
      </c>
      <c r="O4817">
        <v>-0.47827619999999998</v>
      </c>
      <c r="P4817">
        <v>0.88637759999999999</v>
      </c>
      <c r="Q4817">
        <v>0.39143820000000001</v>
      </c>
      <c r="R4817">
        <v>-0.24720629999999999</v>
      </c>
      <c r="S4817">
        <v>3.3170169999999999</v>
      </c>
      <c r="T4817">
        <v>-0.42882979999999998</v>
      </c>
      <c r="U4817">
        <v>-0.920929</v>
      </c>
      <c r="V4817">
        <v>-0.21825269999999999</v>
      </c>
      <c r="W4817">
        <v>0.39746959999999998</v>
      </c>
      <c r="X4817">
        <v>0.89128209999999997</v>
      </c>
      <c r="Y4817">
        <v>-0.22150320000000001</v>
      </c>
      <c r="Z4817">
        <v>6.6432569999999996E-2</v>
      </c>
      <c r="AA4817">
        <v>0.97289420000000004</v>
      </c>
      <c r="AB4817">
        <v>35</v>
      </c>
      <c r="AC4817">
        <v>8.4410999999999401</v>
      </c>
      <c r="AD4817">
        <v>-1.1220154840549901</v>
      </c>
      <c r="AE4817">
        <v>-2.28568999999999</v>
      </c>
      <c r="AF4817">
        <v>-1.9974041618915199</v>
      </c>
      <c r="AG4817">
        <v>-1.1220154840549901</v>
      </c>
      <c r="AH4817">
        <v>8.3683882047139004</v>
      </c>
      <c r="AI4817">
        <v>97.430261332968101</v>
      </c>
      <c r="AJ4817">
        <v>103.42444190817901</v>
      </c>
      <c r="AK4817">
        <v>8.6763162273625891</v>
      </c>
      <c r="AL4817">
        <v>66.579915347183501</v>
      </c>
      <c r="AM4817">
        <v>103.75954381487399</v>
      </c>
      <c r="AN4817">
        <v>1.0000000528809201</v>
      </c>
    </row>
    <row r="4818" spans="1:40" x14ac:dyDescent="0.25">
      <c r="A4818" t="str">
        <f>"20190304164507725"</f>
        <v>20190304164507725</v>
      </c>
      <c r="B4818" t="str">
        <f>"1551689107715054"</f>
        <v>1551689107715054</v>
      </c>
      <c r="C4818" t="s">
        <v>40</v>
      </c>
      <c r="D4818">
        <v>5.1437229999999996</v>
      </c>
      <c r="E4818">
        <v>0.50583599999999995</v>
      </c>
      <c r="F4818" t="s">
        <v>42</v>
      </c>
      <c r="G4818">
        <v>-396.81049999999999</v>
      </c>
      <c r="H4818" s="1">
        <v>-2.582729E-6</v>
      </c>
      <c r="I4818">
        <v>23.73011</v>
      </c>
      <c r="J4818">
        <v>-405.29160000000002</v>
      </c>
      <c r="K4818">
        <v>1.1219809999999999</v>
      </c>
      <c r="L4818">
        <v>25.963840000000001</v>
      </c>
      <c r="M4818">
        <v>0.88174940000000002</v>
      </c>
      <c r="N4818">
        <v>-1.3408689999999999E-2</v>
      </c>
      <c r="O4818">
        <v>-0.4715279</v>
      </c>
      <c r="P4818">
        <v>0.88816010000000001</v>
      </c>
      <c r="Q4818">
        <v>0.39136510000000002</v>
      </c>
      <c r="R4818">
        <v>-0.24084240000000001</v>
      </c>
      <c r="S4818">
        <v>3.325043</v>
      </c>
      <c r="T4818">
        <v>-0.42997489999999999</v>
      </c>
      <c r="U4818">
        <v>-0.89419559999999998</v>
      </c>
      <c r="V4818">
        <v>-0.2177984</v>
      </c>
      <c r="W4818">
        <v>0.3973409</v>
      </c>
      <c r="X4818">
        <v>0.89145059999999998</v>
      </c>
      <c r="Y4818">
        <v>-0.22192110000000001</v>
      </c>
      <c r="Z4818">
        <v>6.5977190000000005E-2</v>
      </c>
      <c r="AA4818">
        <v>0.97282990000000003</v>
      </c>
      <c r="AB4818">
        <v>35</v>
      </c>
      <c r="AC4818">
        <v>8.4811000000000192</v>
      </c>
      <c r="AD4818">
        <v>-1.1219835827289999</v>
      </c>
      <c r="AE4818">
        <v>-2.23373</v>
      </c>
      <c r="AF4818">
        <v>-1.9969847103082199</v>
      </c>
      <c r="AG4818">
        <v>-1.1219835827289999</v>
      </c>
      <c r="AH4818">
        <v>8.3948466197372298</v>
      </c>
      <c r="AI4818">
        <v>97.408220306716203</v>
      </c>
      <c r="AJ4818">
        <v>103.38094667900501</v>
      </c>
      <c r="AK4818">
        <v>8.7017380368540103</v>
      </c>
      <c r="AL4818">
        <v>66.587951117580502</v>
      </c>
      <c r="AM4818">
        <v>103.729490832664</v>
      </c>
      <c r="AN4818">
        <v>1.0000000530478601</v>
      </c>
    </row>
    <row r="4819" spans="1:40" x14ac:dyDescent="0.25">
      <c r="A4819" t="str">
        <f>"20190304164507741"</f>
        <v>20190304164507741</v>
      </c>
      <c r="B4819" t="str">
        <f>"1551689107734572"</f>
        <v>1551689107734572</v>
      </c>
      <c r="C4819" t="s">
        <v>40</v>
      </c>
      <c r="D4819">
        <v>5.1528210000000003</v>
      </c>
      <c r="E4819">
        <v>0.50623070000000003</v>
      </c>
      <c r="F4819" t="s">
        <v>42</v>
      </c>
      <c r="G4819">
        <v>-396.62540000000001</v>
      </c>
      <c r="H4819" s="1">
        <v>-2.6622020000000002E-6</v>
      </c>
      <c r="I4819">
        <v>23.699919999999999</v>
      </c>
      <c r="J4819">
        <v>-405.08350000000002</v>
      </c>
      <c r="K4819">
        <v>1.121942</v>
      </c>
      <c r="L4819">
        <v>25.859529999999999</v>
      </c>
      <c r="M4819">
        <v>0.88554189999999999</v>
      </c>
      <c r="N4819">
        <v>-1.3311170000000001E-2</v>
      </c>
      <c r="O4819">
        <v>-0.46436880000000003</v>
      </c>
      <c r="P4819">
        <v>0.89003659999999996</v>
      </c>
      <c r="Q4819">
        <v>0.39112439999999998</v>
      </c>
      <c r="R4819">
        <v>-0.2342147</v>
      </c>
      <c r="S4819">
        <v>3.3318180000000002</v>
      </c>
      <c r="T4819">
        <v>-0.43136079999999999</v>
      </c>
      <c r="U4819">
        <v>-0.87039179999999905</v>
      </c>
      <c r="V4819">
        <v>-0.21723219999999999</v>
      </c>
      <c r="W4819">
        <v>0.3970456</v>
      </c>
      <c r="X4819">
        <v>0.89172019999999996</v>
      </c>
      <c r="Y4819">
        <v>-0.22103049999999999</v>
      </c>
      <c r="Z4819">
        <v>6.5436889999999998E-2</v>
      </c>
      <c r="AA4819">
        <v>0.97306910000000002</v>
      </c>
      <c r="AB4819">
        <v>35</v>
      </c>
      <c r="AC4819">
        <v>8.4581</v>
      </c>
      <c r="AD4819">
        <v>-1.121944662202</v>
      </c>
      <c r="AE4819">
        <v>-2.15960999999999</v>
      </c>
      <c r="AF4819">
        <v>-1.98268037912926</v>
      </c>
      <c r="AG4819">
        <v>-1.121944662202</v>
      </c>
      <c r="AH4819">
        <v>8.3555886678357805</v>
      </c>
      <c r="AI4819">
        <v>97.443366097396904</v>
      </c>
      <c r="AJ4819">
        <v>103.34871622257801</v>
      </c>
      <c r="AK4819">
        <v>8.6605798476137501</v>
      </c>
      <c r="AL4819">
        <v>66.606385298918099</v>
      </c>
      <c r="AM4819">
        <v>103.69115989367999</v>
      </c>
      <c r="AN4819">
        <v>0.999999976142119</v>
      </c>
    </row>
    <row r="4820" spans="1:40" x14ac:dyDescent="0.25">
      <c r="A4820" t="str">
        <f>"20190304164507757"</f>
        <v>20190304164507757</v>
      </c>
      <c r="B4820" t="str">
        <f>"1551689107745309"</f>
        <v>1551689107745309</v>
      </c>
      <c r="C4820" t="s">
        <v>40</v>
      </c>
      <c r="D4820">
        <v>5.1290930000000001</v>
      </c>
      <c r="E4820">
        <v>0.50640580000000002</v>
      </c>
      <c r="F4820" t="s">
        <v>42</v>
      </c>
      <c r="G4820">
        <v>-396.46789999999999</v>
      </c>
      <c r="H4820" s="1">
        <v>-2.728975E-6</v>
      </c>
      <c r="I4820">
        <v>23.67108</v>
      </c>
      <c r="J4820">
        <v>-404.84969999999998</v>
      </c>
      <c r="K4820">
        <v>1.121888</v>
      </c>
      <c r="L4820">
        <v>25.744630000000001</v>
      </c>
      <c r="M4820">
        <v>0.88969900000000002</v>
      </c>
      <c r="N4820">
        <v>-1.319878E-2</v>
      </c>
      <c r="O4820">
        <v>-0.45635700000000001</v>
      </c>
      <c r="P4820">
        <v>0.89223739999999996</v>
      </c>
      <c r="Q4820">
        <v>0.39054850000000002</v>
      </c>
      <c r="R4820">
        <v>-0.22668070000000001</v>
      </c>
      <c r="S4820">
        <v>3.3385310000000001</v>
      </c>
      <c r="T4820">
        <v>-0.43475229999999998</v>
      </c>
      <c r="U4820">
        <v>-0.84802250000000001</v>
      </c>
      <c r="V4820">
        <v>-0.21677869999999999</v>
      </c>
      <c r="W4820">
        <v>0.39640550000000002</v>
      </c>
      <c r="X4820">
        <v>0.8921152</v>
      </c>
      <c r="Y4820">
        <v>-0.21881229999999999</v>
      </c>
      <c r="Z4820">
        <v>6.5029499999999907E-2</v>
      </c>
      <c r="AA4820">
        <v>0.97359759999999995</v>
      </c>
      <c r="AB4820">
        <v>35</v>
      </c>
      <c r="AC4820">
        <v>8.3817999999999895</v>
      </c>
      <c r="AD4820">
        <v>-1.121890728975</v>
      </c>
      <c r="AE4820">
        <v>-2.0735499999999898</v>
      </c>
      <c r="AF4820">
        <v>-1.947551071875</v>
      </c>
      <c r="AG4820">
        <v>-1.121890728975</v>
      </c>
      <c r="AH4820">
        <v>8.2647618612261198</v>
      </c>
      <c r="AI4820">
        <v>97.526613024528103</v>
      </c>
      <c r="AJ4820">
        <v>103.25957615789299</v>
      </c>
      <c r="AK4820">
        <v>8.5649216346735795</v>
      </c>
      <c r="AL4820">
        <v>66.646337842775097</v>
      </c>
      <c r="AM4820">
        <v>103.65782710132601</v>
      </c>
      <c r="AN4820">
        <v>0.99999992763748702</v>
      </c>
    </row>
    <row r="4821" spans="1:40" x14ac:dyDescent="0.25">
      <c r="A4821" t="str">
        <f>"20190304164507779"</f>
        <v>20190304164507779</v>
      </c>
      <c r="B4821" t="str">
        <f>"1551689107774589"</f>
        <v>1551689107774589</v>
      </c>
      <c r="C4821" t="s">
        <v>40</v>
      </c>
      <c r="D4821">
        <v>5.1763510000000004</v>
      </c>
      <c r="E4821">
        <v>0.50720240000000005</v>
      </c>
      <c r="F4821" t="s">
        <v>42</v>
      </c>
      <c r="G4821">
        <v>-396.2842</v>
      </c>
      <c r="H4821" s="1">
        <v>-2.80858E-6</v>
      </c>
      <c r="I4821">
        <v>23.64378</v>
      </c>
      <c r="J4821">
        <v>-404.5421</v>
      </c>
      <c r="K4821">
        <v>1.121804</v>
      </c>
      <c r="L4821">
        <v>25.597719999999999</v>
      </c>
      <c r="M4821">
        <v>0.89498369999999905</v>
      </c>
      <c r="N4821">
        <v>-1.305076E-2</v>
      </c>
      <c r="O4821">
        <v>-0.44590819999999998</v>
      </c>
      <c r="P4821">
        <v>0.89457119999999901</v>
      </c>
      <c r="Q4821">
        <v>0.3907776</v>
      </c>
      <c r="R4821">
        <v>-0.2168775</v>
      </c>
      <c r="S4821">
        <v>3.3456730000000001</v>
      </c>
      <c r="T4821">
        <v>-0.43820920000000002</v>
      </c>
      <c r="U4821">
        <v>-0.82058719999999996</v>
      </c>
      <c r="V4821">
        <v>-0.2160147</v>
      </c>
      <c r="W4821">
        <v>0.39655620000000003</v>
      </c>
      <c r="X4821">
        <v>0.89223369999999902</v>
      </c>
      <c r="Y4821">
        <v>-0.21541179999999999</v>
      </c>
      <c r="Z4821">
        <v>6.4302120000000004E-2</v>
      </c>
      <c r="AA4821">
        <v>0.97440389999999999</v>
      </c>
      <c r="AB4821">
        <v>35</v>
      </c>
      <c r="AC4821">
        <v>8.2578999999999994</v>
      </c>
      <c r="AD4821">
        <v>-1.1218068085799999</v>
      </c>
      <c r="AE4821">
        <v>-1.95394</v>
      </c>
      <c r="AF4821">
        <v>-1.9004728990345601</v>
      </c>
      <c r="AG4821">
        <v>-1.1218068085799999</v>
      </c>
      <c r="AH4821">
        <v>8.1207492706353896</v>
      </c>
      <c r="AI4821">
        <v>97.660678570450301</v>
      </c>
      <c r="AJ4821">
        <v>103.171697257733</v>
      </c>
      <c r="AK4821">
        <v>8.4152728103292294</v>
      </c>
      <c r="AL4821">
        <v>66.636936132520503</v>
      </c>
      <c r="AM4821">
        <v>103.609745560387</v>
      </c>
      <c r="AN4821">
        <v>1.0000000728951</v>
      </c>
    </row>
    <row r="4822" spans="1:40" x14ac:dyDescent="0.25">
      <c r="A4822" t="str">
        <f>"20190304164507794"</f>
        <v>20190304164507794</v>
      </c>
      <c r="B4822" t="str">
        <f>"1551689107785326"</f>
        <v>1551689107785326</v>
      </c>
      <c r="C4822" t="s">
        <v>40</v>
      </c>
      <c r="D4822">
        <v>5.2114250000000002</v>
      </c>
      <c r="E4822">
        <v>0.50720240000000005</v>
      </c>
      <c r="F4822" t="s">
        <v>42</v>
      </c>
      <c r="G4822">
        <v>-395.99919999999997</v>
      </c>
      <c r="H4822" s="1">
        <v>-2.9260520000000002E-6</v>
      </c>
      <c r="I4822">
        <v>23.57902</v>
      </c>
      <c r="J4822">
        <v>-404.33089999999999</v>
      </c>
      <c r="K4822">
        <v>1.1217459999999999</v>
      </c>
      <c r="L4822">
        <v>25.49887</v>
      </c>
      <c r="M4822">
        <v>0.89850620000000003</v>
      </c>
      <c r="N4822">
        <v>-1.295059E-2</v>
      </c>
      <c r="O4822">
        <v>-0.43876999999999999</v>
      </c>
      <c r="P4822">
        <v>0.89594219999999902</v>
      </c>
      <c r="Q4822">
        <v>0.39134910000000001</v>
      </c>
      <c r="R4822">
        <v>-0.21008060000000001</v>
      </c>
      <c r="S4822">
        <v>3.3538209999999999</v>
      </c>
      <c r="T4822">
        <v>-0.44040509999999999</v>
      </c>
      <c r="U4822">
        <v>-0.79251099999999997</v>
      </c>
      <c r="V4822">
        <v>-0.2155396</v>
      </c>
      <c r="W4822">
        <v>0.39707389999999998</v>
      </c>
      <c r="X4822">
        <v>0.89211830000000003</v>
      </c>
      <c r="Y4822">
        <v>-0.215893</v>
      </c>
      <c r="Z4822">
        <v>6.3922859999999998E-2</v>
      </c>
      <c r="AA4822">
        <v>0.97432240000000003</v>
      </c>
      <c r="AB4822">
        <v>36</v>
      </c>
      <c r="AC4822">
        <v>8.3317000000000103</v>
      </c>
      <c r="AD4822">
        <v>-1.1217489260519999</v>
      </c>
      <c r="AE4822">
        <v>-1.9198500000000001</v>
      </c>
      <c r="AF4822">
        <v>-1.8981910855192199</v>
      </c>
      <c r="AG4822">
        <v>-1.1217489260519999</v>
      </c>
      <c r="AH4822">
        <v>8.1882108341030495</v>
      </c>
      <c r="AI4822">
        <v>97.601578229937502</v>
      </c>
      <c r="AJ4822">
        <v>103.05176453518</v>
      </c>
      <c r="AK4822">
        <v>8.4798730364296198</v>
      </c>
      <c r="AL4822">
        <v>66.604619957345193</v>
      </c>
      <c r="AM4822">
        <v>103.582613935502</v>
      </c>
      <c r="AN4822">
        <v>1.00000003121212</v>
      </c>
    </row>
    <row r="4823" spans="1:40" x14ac:dyDescent="0.25">
      <c r="A4823" t="str">
        <f>"20190304164507812"</f>
        <v>20190304164507812</v>
      </c>
      <c r="B4823" t="str">
        <f>"1551689107804845"</f>
        <v>1551689107804845</v>
      </c>
      <c r="C4823" t="s">
        <v>40</v>
      </c>
      <c r="D4823">
        <v>5.1685189999999999</v>
      </c>
      <c r="E4823">
        <v>0.51840439999999999</v>
      </c>
      <c r="F4823" t="s">
        <v>42</v>
      </c>
      <c r="G4823">
        <v>-395.73140000000001</v>
      </c>
      <c r="H4823" s="1">
        <v>-3.0401509999999998E-6</v>
      </c>
      <c r="I4823">
        <v>23.532080000000001</v>
      </c>
      <c r="J4823">
        <v>-404.06529999999998</v>
      </c>
      <c r="K4823">
        <v>1.1216630000000001</v>
      </c>
      <c r="L4823">
        <v>25.3779</v>
      </c>
      <c r="M4823">
        <v>0.90279039999999999</v>
      </c>
      <c r="N4823">
        <v>-1.2826499999999999E-2</v>
      </c>
      <c r="O4823">
        <v>-0.42988969999999999</v>
      </c>
      <c r="P4823">
        <v>0.89745989999999998</v>
      </c>
      <c r="Q4823">
        <v>0.39186009999999999</v>
      </c>
      <c r="R4823">
        <v>-0.20251379999999999</v>
      </c>
      <c r="S4823">
        <v>3.3597109999999999</v>
      </c>
      <c r="T4823">
        <v>-0.43825459999999999</v>
      </c>
      <c r="U4823">
        <v>-0.76840209999999998</v>
      </c>
      <c r="V4823">
        <v>-0.21410950000000001</v>
      </c>
      <c r="W4823">
        <v>0.39755089999999998</v>
      </c>
      <c r="X4823">
        <v>0.89225019999999999</v>
      </c>
      <c r="Y4823">
        <v>-0.2134009</v>
      </c>
      <c r="Z4823">
        <v>6.2522140000000004E-2</v>
      </c>
      <c r="AA4823">
        <v>0.97496210000000005</v>
      </c>
      <c r="AB4823">
        <v>36</v>
      </c>
      <c r="AC4823">
        <v>8.3338999999999697</v>
      </c>
      <c r="AD4823">
        <v>-1.1216660401509999</v>
      </c>
      <c r="AE4823">
        <v>-1.84582</v>
      </c>
      <c r="AF4823">
        <v>-1.8838962770001599</v>
      </c>
      <c r="AG4823">
        <v>-1.1216660401509999</v>
      </c>
      <c r="AH4823">
        <v>8.1767543820007091</v>
      </c>
      <c r="AI4823">
        <v>97.613897598740294</v>
      </c>
      <c r="AJ4823">
        <v>102.974343594278</v>
      </c>
      <c r="AK4823">
        <v>8.4656076044009296</v>
      </c>
      <c r="AL4823">
        <v>66.574837768371793</v>
      </c>
      <c r="AM4823">
        <v>103.49387846539901</v>
      </c>
      <c r="AN4823">
        <v>1.00000000774055</v>
      </c>
    </row>
    <row r="4824" spans="1:40" x14ac:dyDescent="0.25">
      <c r="A4824" t="str">
        <f>"20190304164507836"</f>
        <v>20190304164507836</v>
      </c>
      <c r="B4824" t="str">
        <f>"1551689107825341"</f>
        <v>1551689107825341</v>
      </c>
      <c r="C4824" t="s">
        <v>40</v>
      </c>
      <c r="D4824">
        <v>5.2202270000000004</v>
      </c>
      <c r="E4824">
        <v>0.51981199999999905</v>
      </c>
      <c r="F4824" t="s">
        <v>42</v>
      </c>
      <c r="G4824">
        <v>-396.04700000000003</v>
      </c>
      <c r="H4824" s="1">
        <v>-2.854463E-6</v>
      </c>
      <c r="I4824">
        <v>23.394929999999999</v>
      </c>
      <c r="J4824">
        <v>-403.73899999999998</v>
      </c>
      <c r="K4824">
        <v>1.1215349999999999</v>
      </c>
      <c r="L4824">
        <v>25.233280000000001</v>
      </c>
      <c r="M4824">
        <v>0.90783689999999995</v>
      </c>
      <c r="N4824">
        <v>-1.2674029999999999E-2</v>
      </c>
      <c r="O4824">
        <v>-0.41913210000000001</v>
      </c>
      <c r="P4824">
        <v>0.89942649999999902</v>
      </c>
      <c r="Q4824">
        <v>0.3915421</v>
      </c>
      <c r="R4824">
        <v>-0.1942334</v>
      </c>
      <c r="S4824">
        <v>3.360535</v>
      </c>
      <c r="T4824">
        <v>-0.47010229999999997</v>
      </c>
      <c r="U4824">
        <v>-0.83108519999999897</v>
      </c>
      <c r="V4824">
        <v>-0.21165239999999999</v>
      </c>
      <c r="W4824">
        <v>0.39722839999999998</v>
      </c>
      <c r="X4824">
        <v>0.89297969999999904</v>
      </c>
      <c r="Y4824">
        <v>-0.18423429999999999</v>
      </c>
      <c r="Z4824">
        <v>6.3810119999999998E-2</v>
      </c>
      <c r="AA4824">
        <v>0.98080889999999998</v>
      </c>
      <c r="AB4824">
        <v>36</v>
      </c>
      <c r="AC4824">
        <v>7.6920000000000597</v>
      </c>
      <c r="AD4824">
        <v>-1.1215378544629999</v>
      </c>
      <c r="AE4824">
        <v>-1.8383499999999999</v>
      </c>
      <c r="AF4824">
        <v>-1.52450810063068</v>
      </c>
      <c r="AG4824">
        <v>-1.1215378544629999</v>
      </c>
      <c r="AH4824">
        <v>7.6013471703048197</v>
      </c>
      <c r="AI4824">
        <v>98.231523860788499</v>
      </c>
      <c r="AJ4824">
        <v>101.340649655882</v>
      </c>
      <c r="AK4824">
        <v>7.8334188520328203</v>
      </c>
      <c r="AL4824">
        <v>66.594972245062294</v>
      </c>
      <c r="AM4824">
        <v>103.334081970554</v>
      </c>
      <c r="AN4824">
        <v>0.99999994240220302</v>
      </c>
    </row>
    <row r="4825" spans="1:40" x14ac:dyDescent="0.25">
      <c r="A4825" t="str">
        <f>"20190304164507848"</f>
        <v>20190304164507848</v>
      </c>
      <c r="B4825" t="str">
        <f>"1551689107844861"</f>
        <v>1551689107844861</v>
      </c>
      <c r="C4825" t="s">
        <v>40</v>
      </c>
      <c r="D4825">
        <v>5.2581899999999999</v>
      </c>
      <c r="E4825">
        <v>0.52118640000000005</v>
      </c>
      <c r="F4825" t="s">
        <v>42</v>
      </c>
      <c r="G4825">
        <v>-395.80970000000002</v>
      </c>
      <c r="H4825" s="1">
        <v>-2.9491569999999999E-6</v>
      </c>
      <c r="I4825">
        <v>23.329180000000001</v>
      </c>
      <c r="J4825">
        <v>-403.55239999999998</v>
      </c>
      <c r="K4825">
        <v>1.1214470000000001</v>
      </c>
      <c r="L4825">
        <v>25.15286</v>
      </c>
      <c r="M4825">
        <v>0.91060419999999997</v>
      </c>
      <c r="N4825">
        <v>-1.258534E-2</v>
      </c>
      <c r="O4825">
        <v>-0.41308800000000001</v>
      </c>
      <c r="P4825">
        <v>0.90034150000000002</v>
      </c>
      <c r="Q4825">
        <v>0.39169510000000002</v>
      </c>
      <c r="R4825">
        <v>-0.18963189999999999</v>
      </c>
      <c r="S4825">
        <v>3.3682560000000001</v>
      </c>
      <c r="T4825">
        <v>-0.47641670000000003</v>
      </c>
      <c r="U4825">
        <v>-0.8088379</v>
      </c>
      <c r="V4825">
        <v>-0.2101722</v>
      </c>
      <c r="W4825">
        <v>0.39738509999999999</v>
      </c>
      <c r="X4825">
        <v>0.89325959999999904</v>
      </c>
      <c r="Y4825">
        <v>-0.18425630000000001</v>
      </c>
      <c r="Z4825">
        <v>6.3990839999999993E-2</v>
      </c>
      <c r="AA4825">
        <v>0.98079289999999997</v>
      </c>
      <c r="AB4825">
        <v>36</v>
      </c>
      <c r="AC4825">
        <v>7.7426999999999504</v>
      </c>
      <c r="AD4825">
        <v>-1.12144994915699</v>
      </c>
      <c r="AE4825">
        <v>-1.82368</v>
      </c>
      <c r="AF4825">
        <v>-1.50791636308203</v>
      </c>
      <c r="AG4825">
        <v>-1.12144994915699</v>
      </c>
      <c r="AH4825">
        <v>7.6523951708417597</v>
      </c>
      <c r="AI4825">
        <v>98.182135646519001</v>
      </c>
      <c r="AJ4825">
        <v>101.14740470636301</v>
      </c>
      <c r="AK4825">
        <v>7.8797597423549099</v>
      </c>
      <c r="AL4825">
        <v>66.585189904104396</v>
      </c>
      <c r="AM4825">
        <v>103.240123073115</v>
      </c>
      <c r="AN4825">
        <v>0.99999999217350499</v>
      </c>
    </row>
    <row r="4826" spans="1:40" x14ac:dyDescent="0.25">
      <c r="A4826" t="str">
        <f>"20190304164507867"</f>
        <v>20190304164507867</v>
      </c>
      <c r="B4826" t="str">
        <f>"1551689107854620"</f>
        <v>1551689107854620</v>
      </c>
      <c r="C4826" t="s">
        <v>40</v>
      </c>
      <c r="D4826">
        <v>5.2350029999999999</v>
      </c>
      <c r="E4826">
        <v>0.52169560000000004</v>
      </c>
      <c r="F4826" t="s">
        <v>42</v>
      </c>
      <c r="G4826">
        <v>-395.73289999999997</v>
      </c>
      <c r="H4826" s="1">
        <v>-2.976593E-6</v>
      </c>
      <c r="I4826">
        <v>23.295909999999999</v>
      </c>
      <c r="J4826">
        <v>-403.28269999999998</v>
      </c>
      <c r="K4826">
        <v>1.1213150000000001</v>
      </c>
      <c r="L4826">
        <v>25.038730000000001</v>
      </c>
      <c r="M4826">
        <v>0.91447970000000001</v>
      </c>
      <c r="N4826">
        <v>-1.246092E-2</v>
      </c>
      <c r="O4826">
        <v>-0.40444029999999997</v>
      </c>
      <c r="P4826">
        <v>0.90149780000000002</v>
      </c>
      <c r="Q4826">
        <v>0.39203939999999998</v>
      </c>
      <c r="R4826">
        <v>-0.1833216</v>
      </c>
      <c r="S4826">
        <v>3.3738100000000002</v>
      </c>
      <c r="T4826">
        <v>-0.48386600000000002</v>
      </c>
      <c r="U4826">
        <v>-0.80120849999999999</v>
      </c>
      <c r="V4826">
        <v>-0.2077803</v>
      </c>
      <c r="W4826">
        <v>0.39774520000000002</v>
      </c>
      <c r="X4826">
        <v>0.89365890000000003</v>
      </c>
      <c r="Y4826">
        <v>-0.17738409999999999</v>
      </c>
      <c r="Z4826">
        <v>6.3489240000000002E-2</v>
      </c>
      <c r="AA4826">
        <v>0.98209170000000001</v>
      </c>
      <c r="AB4826">
        <v>36</v>
      </c>
      <c r="AC4826">
        <v>7.5498000000000003</v>
      </c>
      <c r="AD4826">
        <v>-1.1213179765929999</v>
      </c>
      <c r="AE4826">
        <v>-1.74281999999999</v>
      </c>
      <c r="AF4826">
        <v>-1.4298378252813999</v>
      </c>
      <c r="AG4826">
        <v>-1.1213179765929999</v>
      </c>
      <c r="AH4826">
        <v>7.4534962349906202</v>
      </c>
      <c r="AI4826">
        <v>98.404524583168595</v>
      </c>
      <c r="AJ4826">
        <v>100.859380496176</v>
      </c>
      <c r="AK4826">
        <v>7.6717922505927696</v>
      </c>
      <c r="AL4826">
        <v>66.562706061814296</v>
      </c>
      <c r="AM4826">
        <v>103.089012937307</v>
      </c>
      <c r="AN4826">
        <v>1.00000006337016</v>
      </c>
    </row>
    <row r="4827" spans="1:40" x14ac:dyDescent="0.25">
      <c r="A4827" t="str">
        <f>"20190304164507893"</f>
        <v>20190304164507893</v>
      </c>
      <c r="B4827" t="str">
        <f>"1551689107884877"</f>
        <v>1551689107884877</v>
      </c>
      <c r="C4827" t="s">
        <v>40</v>
      </c>
      <c r="D4827">
        <v>5.253152</v>
      </c>
      <c r="E4827">
        <v>0.5231017</v>
      </c>
      <c r="F4827" t="s">
        <v>42</v>
      </c>
      <c r="G4827">
        <v>-395.44810000000001</v>
      </c>
      <c r="H4827" s="1">
        <v>-3.0938540000000001E-6</v>
      </c>
      <c r="I4827">
        <v>23.23049</v>
      </c>
      <c r="J4827">
        <v>-402.892</v>
      </c>
      <c r="K4827">
        <v>1.121108</v>
      </c>
      <c r="L4827">
        <v>24.878019999999999</v>
      </c>
      <c r="M4827">
        <v>0.91981970000000002</v>
      </c>
      <c r="N4827">
        <v>-1.22839E-2</v>
      </c>
      <c r="O4827">
        <v>-0.39214939999999998</v>
      </c>
      <c r="P4827">
        <v>0.90328129999999995</v>
      </c>
      <c r="Q4827">
        <v>0.39255600000000002</v>
      </c>
      <c r="R4827">
        <v>-0.173156</v>
      </c>
      <c r="S4827">
        <v>3.3795169999999999</v>
      </c>
      <c r="T4827">
        <v>-0.48368860000000002</v>
      </c>
      <c r="U4827">
        <v>-0.77999879999999999</v>
      </c>
      <c r="V4827">
        <v>-0.2055959</v>
      </c>
      <c r="W4827">
        <v>0.3982561</v>
      </c>
      <c r="X4827">
        <v>0.89393650000000002</v>
      </c>
      <c r="Y4827">
        <v>-0.17056959999999999</v>
      </c>
      <c r="Z4827">
        <v>6.1542409999999999E-2</v>
      </c>
      <c r="AA4827">
        <v>0.98342189999999996</v>
      </c>
      <c r="AB4827">
        <v>36</v>
      </c>
      <c r="AC4827">
        <v>7.4438999999999798</v>
      </c>
      <c r="AD4827">
        <v>-1.1211110938539901</v>
      </c>
      <c r="AE4827">
        <v>-1.6475299999999999</v>
      </c>
      <c r="AF4827">
        <v>-1.3740835022873801</v>
      </c>
      <c r="AG4827">
        <v>-1.1211110938539901</v>
      </c>
      <c r="AH4827">
        <v>7.3350775780630801</v>
      </c>
      <c r="AI4827">
        <v>98.543607632803301</v>
      </c>
      <c r="AJ4827">
        <v>100.61027131153899</v>
      </c>
      <c r="AK4827">
        <v>7.5464136271625497</v>
      </c>
      <c r="AL4827">
        <v>66.530796716864103</v>
      </c>
      <c r="AM4827">
        <v>102.952186517401</v>
      </c>
      <c r="AN4827">
        <v>1.00000003065813</v>
      </c>
    </row>
    <row r="4828" spans="1:40" x14ac:dyDescent="0.25">
      <c r="A4828" t="str">
        <f>"20190304164507907"</f>
        <v>20190304164507907</v>
      </c>
      <c r="B4828" t="str">
        <f>"1551689107894638"</f>
        <v>1551689107894638</v>
      </c>
      <c r="C4828" t="s">
        <v>40</v>
      </c>
      <c r="D4828">
        <v>5.2432889999999999</v>
      </c>
      <c r="E4828">
        <v>0.52354529999999999</v>
      </c>
      <c r="F4828" t="s">
        <v>42</v>
      </c>
      <c r="G4828">
        <v>-395.09089999999998</v>
      </c>
      <c r="H4828" s="1">
        <v>-3.2387570000000001E-6</v>
      </c>
      <c r="I4828">
        <v>23.14057</v>
      </c>
      <c r="J4828">
        <v>-402.70249999999999</v>
      </c>
      <c r="K4828">
        <v>1.120994</v>
      </c>
      <c r="L4828">
        <v>24.802610000000001</v>
      </c>
      <c r="M4828">
        <v>0.92227199999999998</v>
      </c>
      <c r="N4828">
        <v>-1.2193280000000001E-2</v>
      </c>
      <c r="O4828">
        <v>-0.38634950000000001</v>
      </c>
      <c r="P4828">
        <v>0.90400290000000005</v>
      </c>
      <c r="Q4828">
        <v>0.39293990000000001</v>
      </c>
      <c r="R4828">
        <v>-0.16845579999999999</v>
      </c>
      <c r="S4828">
        <v>3.3881839999999999</v>
      </c>
      <c r="T4828">
        <v>-0.48692020000000003</v>
      </c>
      <c r="U4828">
        <v>-0.75460819999999995</v>
      </c>
      <c r="V4828">
        <v>-0.20444979999999999</v>
      </c>
      <c r="W4828">
        <v>0.39864050000000001</v>
      </c>
      <c r="X4828">
        <v>0.89402789999999999</v>
      </c>
      <c r="Y4828">
        <v>-0.171899</v>
      </c>
      <c r="Z4828">
        <v>6.1339480000000002E-2</v>
      </c>
      <c r="AA4828">
        <v>0.9832031</v>
      </c>
      <c r="AB4828">
        <v>36</v>
      </c>
      <c r="AC4828">
        <v>7.6116000000000099</v>
      </c>
      <c r="AD4828">
        <v>-1.120997238757</v>
      </c>
      <c r="AE4828">
        <v>-1.66204</v>
      </c>
      <c r="AF4828">
        <v>-1.37943132243653</v>
      </c>
      <c r="AG4828">
        <v>-1.120997238757</v>
      </c>
      <c r="AH4828">
        <v>7.5072417469038797</v>
      </c>
      <c r="AI4828">
        <v>98.354927765118106</v>
      </c>
      <c r="AJ4828">
        <v>100.411773274913</v>
      </c>
      <c r="AK4828">
        <v>7.71480033630659</v>
      </c>
      <c r="AL4828">
        <v>66.506781152890596</v>
      </c>
      <c r="AM4828">
        <v>102.881126389922</v>
      </c>
      <c r="AN4828">
        <v>0.99999992746934696</v>
      </c>
    </row>
    <row r="4829" spans="1:40" x14ac:dyDescent="0.25">
      <c r="A4829" t="str">
        <f>"20190304164507925"</f>
        <v>20190304164507925</v>
      </c>
      <c r="B4829" t="str">
        <f>"1551689107915134"</f>
        <v>1551689107915134</v>
      </c>
      <c r="C4829" t="s">
        <v>40</v>
      </c>
      <c r="D4829">
        <v>5.2085569999999999</v>
      </c>
      <c r="E4829">
        <v>0.52419459999999996</v>
      </c>
      <c r="F4829" t="s">
        <v>42</v>
      </c>
      <c r="G4829">
        <v>-394.89409999999998</v>
      </c>
      <c r="H4829" s="1">
        <v>-3.3192969999999998E-6</v>
      </c>
      <c r="I4829">
        <v>23.093620000000001</v>
      </c>
      <c r="J4829">
        <v>-402.43049999999999</v>
      </c>
      <c r="K4829">
        <v>1.1208180000000001</v>
      </c>
      <c r="L4829">
        <v>24.69623</v>
      </c>
      <c r="M4829">
        <v>0.9256607</v>
      </c>
      <c r="N4829">
        <v>-1.206136E-2</v>
      </c>
      <c r="O4829">
        <v>-0.3781622</v>
      </c>
      <c r="P4829">
        <v>0.90506629999999999</v>
      </c>
      <c r="Q4829">
        <v>0.39321289999999998</v>
      </c>
      <c r="R4829">
        <v>-0.16198399999999999</v>
      </c>
      <c r="S4829">
        <v>3.3918759999999999</v>
      </c>
      <c r="T4829">
        <v>-0.48694989999999999</v>
      </c>
      <c r="U4829">
        <v>-0.74237059999999999</v>
      </c>
      <c r="V4829">
        <v>-0.202712</v>
      </c>
      <c r="W4829">
        <v>0.39892260000000002</v>
      </c>
      <c r="X4829">
        <v>0.89429780000000003</v>
      </c>
      <c r="Y4829">
        <v>-0.1668895</v>
      </c>
      <c r="Z4829">
        <v>6.0008069999999997E-2</v>
      </c>
      <c r="AA4829">
        <v>0.98414780000000002</v>
      </c>
      <c r="AB4829">
        <v>36</v>
      </c>
      <c r="AC4829">
        <v>7.5364000000000102</v>
      </c>
      <c r="AD4829">
        <v>-1.120821319297</v>
      </c>
      <c r="AE4829">
        <v>-1.6026099999999901</v>
      </c>
      <c r="AF4829">
        <v>-1.33828842196558</v>
      </c>
      <c r="AG4829">
        <v>-1.120821319297</v>
      </c>
      <c r="AH4829">
        <v>7.4256141188137503</v>
      </c>
      <c r="AI4829">
        <v>98.449310353772901</v>
      </c>
      <c r="AJ4829">
        <v>100.216513394137</v>
      </c>
      <c r="AK4829">
        <v>7.6280404673601403</v>
      </c>
      <c r="AL4829">
        <v>66.489157123192896</v>
      </c>
      <c r="AM4829">
        <v>102.771516700238</v>
      </c>
      <c r="AN4829">
        <v>0.99999997540979901</v>
      </c>
    </row>
    <row r="4830" spans="1:40" x14ac:dyDescent="0.25">
      <c r="A4830" t="str">
        <f>"20190304164507948"</f>
        <v>20190304164507948</v>
      </c>
      <c r="B4830" t="str">
        <f>"1551689107945389"</f>
        <v>1551689107945389</v>
      </c>
      <c r="C4830" t="s">
        <v>40</v>
      </c>
      <c r="D4830">
        <v>5.2349600000000001</v>
      </c>
      <c r="E4830">
        <v>0.53078879999999995</v>
      </c>
      <c r="F4830" t="s">
        <v>42</v>
      </c>
      <c r="G4830">
        <v>-394.6397</v>
      </c>
      <c r="H4830" s="1">
        <v>-3.4229849999999999E-6</v>
      </c>
      <c r="I4830">
        <v>23.03135</v>
      </c>
      <c r="J4830">
        <v>-402.09589999999997</v>
      </c>
      <c r="K4830">
        <v>1.1205719999999999</v>
      </c>
      <c r="L4830">
        <v>24.56888</v>
      </c>
      <c r="M4830">
        <v>0.92960209999999999</v>
      </c>
      <c r="N4830">
        <v>-1.1897090000000001E-2</v>
      </c>
      <c r="O4830">
        <v>-0.3683729</v>
      </c>
      <c r="P4830">
        <v>0.90680269999999996</v>
      </c>
      <c r="Q4830">
        <v>0.39225169999999998</v>
      </c>
      <c r="R4830">
        <v>-0.15442639999999999</v>
      </c>
      <c r="S4830">
        <v>3.3970950000000002</v>
      </c>
      <c r="T4830">
        <v>-0.48872280000000001</v>
      </c>
      <c r="U4830">
        <v>-0.72595209999999999</v>
      </c>
      <c r="V4830">
        <v>-0.20062740000000001</v>
      </c>
      <c r="W4830">
        <v>0.39798450000000002</v>
      </c>
      <c r="X4830">
        <v>0.89518549999999997</v>
      </c>
      <c r="Y4830">
        <v>-0.16143859999999999</v>
      </c>
      <c r="Z4830">
        <v>5.8661539999999998E-2</v>
      </c>
      <c r="AA4830">
        <v>0.98513779999999995</v>
      </c>
      <c r="AB4830">
        <v>36</v>
      </c>
      <c r="AC4830">
        <v>7.45619999999996</v>
      </c>
      <c r="AD4830">
        <v>-1.12057542298499</v>
      </c>
      <c r="AE4830">
        <v>-1.5375300000000001</v>
      </c>
      <c r="AF4830">
        <v>-1.2895262167424599</v>
      </c>
      <c r="AG4830">
        <v>-1.12057542298499</v>
      </c>
      <c r="AH4830">
        <v>7.3392083566188502</v>
      </c>
      <c r="AI4830">
        <v>98.552047360865899</v>
      </c>
      <c r="AJ4830">
        <v>99.965362949068407</v>
      </c>
      <c r="AK4830">
        <v>7.5354194603968896</v>
      </c>
      <c r="AL4830">
        <v>66.547761021887695</v>
      </c>
      <c r="AM4830">
        <v>102.632287762514</v>
      </c>
      <c r="AN4830">
        <v>1.0000000476406199</v>
      </c>
    </row>
    <row r="4831" spans="1:40" x14ac:dyDescent="0.25">
      <c r="A4831" t="str">
        <f>"20190304164507969"</f>
        <v>20190304164507969</v>
      </c>
      <c r="B4831" t="str">
        <f>"1551689107964909"</f>
        <v>1551689107964909</v>
      </c>
      <c r="C4831" t="s">
        <v>40</v>
      </c>
      <c r="D4831">
        <v>5.2646639999999998</v>
      </c>
      <c r="E4831">
        <v>0.53153760000000005</v>
      </c>
      <c r="F4831" t="s">
        <v>42</v>
      </c>
      <c r="G4831">
        <v>-394.77069999999998</v>
      </c>
      <c r="H4831" s="1">
        <v>-3.3410010000000001E-6</v>
      </c>
      <c r="I4831">
        <v>22.956</v>
      </c>
      <c r="J4831">
        <v>-401.78070000000002</v>
      </c>
      <c r="K4831">
        <v>1.1203190000000001</v>
      </c>
      <c r="L4831">
        <v>24.452210000000001</v>
      </c>
      <c r="M4831">
        <v>0.93309350000000002</v>
      </c>
      <c r="N4831">
        <v>-1.1743409999999999E-2</v>
      </c>
      <c r="O4831">
        <v>-0.35944219999999999</v>
      </c>
      <c r="P4831">
        <v>0.90825849999999997</v>
      </c>
      <c r="Q4831">
        <v>0.39155129999999999</v>
      </c>
      <c r="R4831">
        <v>-0.1474926</v>
      </c>
      <c r="S4831">
        <v>3.4060060000000001</v>
      </c>
      <c r="T4831">
        <v>-0.5210321</v>
      </c>
      <c r="U4831">
        <v>-0.74993900000000002</v>
      </c>
      <c r="V4831">
        <v>-0.19873350000000001</v>
      </c>
      <c r="W4831">
        <v>0.39731070000000002</v>
      </c>
      <c r="X4831">
        <v>0.89590689999999995</v>
      </c>
      <c r="Y4831">
        <v>-0.1455042</v>
      </c>
      <c r="Z4831">
        <v>6.0119880000000001E-2</v>
      </c>
      <c r="AA4831">
        <v>0.98752930000000005</v>
      </c>
      <c r="AB4831">
        <v>36</v>
      </c>
      <c r="AC4831">
        <v>7.0100000000000398</v>
      </c>
      <c r="AD4831">
        <v>-1.1203223410009999</v>
      </c>
      <c r="AE4831">
        <v>-1.49621</v>
      </c>
      <c r="AF4831">
        <v>-1.09686823579517</v>
      </c>
      <c r="AG4831">
        <v>-1.1203223410009999</v>
      </c>
      <c r="AH4831">
        <v>6.9104599283658796</v>
      </c>
      <c r="AI4831">
        <v>99.096722399775103</v>
      </c>
      <c r="AJ4831">
        <v>99.019078470394703</v>
      </c>
      <c r="AK4831">
        <v>7.0860919056975904</v>
      </c>
      <c r="AL4831">
        <v>66.589834983281705</v>
      </c>
      <c r="AM4831">
        <v>102.507053863011</v>
      </c>
      <c r="AN4831">
        <v>0.99999998491217401</v>
      </c>
    </row>
    <row r="4832" spans="1:40" x14ac:dyDescent="0.25">
      <c r="A4832" t="str">
        <f>"20190304164507993"</f>
        <v>20190304164507993</v>
      </c>
      <c r="B4832" t="str">
        <f>"1551689107985405"</f>
        <v>1551689107985405</v>
      </c>
      <c r="C4832" t="s">
        <v>40</v>
      </c>
      <c r="D4832">
        <v>5.266553</v>
      </c>
      <c r="E4832">
        <v>0.51987399999999995</v>
      </c>
      <c r="F4832" t="s">
        <v>42</v>
      </c>
      <c r="G4832">
        <v>-394.48500000000001</v>
      </c>
      <c r="H4832" s="1">
        <v>-3.4605679999999999E-6</v>
      </c>
      <c r="I4832">
        <v>22.897839999999999</v>
      </c>
      <c r="J4832">
        <v>-401.42759999999998</v>
      </c>
      <c r="K4832">
        <v>1.120028</v>
      </c>
      <c r="L4832">
        <v>24.325199999999999</v>
      </c>
      <c r="M4832">
        <v>0.93675410000000003</v>
      </c>
      <c r="N4832">
        <v>-1.1577509999999999E-2</v>
      </c>
      <c r="O4832">
        <v>-0.34979640000000001</v>
      </c>
      <c r="P4832">
        <v>0.90974679999999997</v>
      </c>
      <c r="Q4832">
        <v>0.39144309999999899</v>
      </c>
      <c r="R4832">
        <v>-0.13832149999999999</v>
      </c>
      <c r="S4832">
        <v>3.4107970000000001</v>
      </c>
      <c r="T4832">
        <v>-0.52376389999999995</v>
      </c>
      <c r="U4832">
        <v>-0.72668459999999901</v>
      </c>
      <c r="V4832">
        <v>-0.19825899999999999</v>
      </c>
      <c r="W4832">
        <v>0.39719870000000002</v>
      </c>
      <c r="X4832">
        <v>0.89606169999999996</v>
      </c>
      <c r="Y4832">
        <v>-0.14208699999999999</v>
      </c>
      <c r="Z4832">
        <v>5.8955729999999998E-2</v>
      </c>
      <c r="AA4832">
        <v>0.98809689999999994</v>
      </c>
      <c r="AB4832">
        <v>36</v>
      </c>
      <c r="AC4832">
        <v>6.9425999999999704</v>
      </c>
      <c r="AD4832">
        <v>-1.120031460568</v>
      </c>
      <c r="AE4832">
        <v>-1.42736</v>
      </c>
      <c r="AF4832">
        <v>-1.0648929500455599</v>
      </c>
      <c r="AG4832">
        <v>-1.120031460568</v>
      </c>
      <c r="AH4832">
        <v>6.8326463048429602</v>
      </c>
      <c r="AI4832">
        <v>99.200197383772306</v>
      </c>
      <c r="AJ4832">
        <v>98.858490529402502</v>
      </c>
      <c r="AK4832">
        <v>7.0052496739804297</v>
      </c>
      <c r="AL4832">
        <v>66.596828019750504</v>
      </c>
      <c r="AM4832">
        <v>102.47603999396701</v>
      </c>
      <c r="AN4832">
        <v>1.0000000042847901</v>
      </c>
    </row>
    <row r="4833" spans="1:40" x14ac:dyDescent="0.25">
      <c r="A4833" t="str">
        <f>"20190304164508016"</f>
        <v>20190304164508016</v>
      </c>
      <c r="B4833" t="str">
        <f>"1551689108004925"</f>
        <v>1551689108004925</v>
      </c>
      <c r="C4833" t="s">
        <v>40</v>
      </c>
      <c r="D4833">
        <v>5.2643040000000001</v>
      </c>
      <c r="E4833">
        <v>0.51356599999999997</v>
      </c>
      <c r="F4833" t="s">
        <v>42</v>
      </c>
      <c r="G4833">
        <v>-393.0224</v>
      </c>
      <c r="H4833" s="1">
        <v>-4.123371E-6</v>
      </c>
      <c r="I4833">
        <v>22.84515</v>
      </c>
      <c r="J4833">
        <v>-401.08780000000002</v>
      </c>
      <c r="K4833">
        <v>1.119704</v>
      </c>
      <c r="L4833">
        <v>24.206630000000001</v>
      </c>
      <c r="M4833">
        <v>0.94001659999999998</v>
      </c>
      <c r="N4833">
        <v>-1.142252E-2</v>
      </c>
      <c r="O4833">
        <v>-0.3409375</v>
      </c>
      <c r="P4833">
        <v>0.91094299999999995</v>
      </c>
      <c r="Q4833">
        <v>0.39129809999999998</v>
      </c>
      <c r="R4833">
        <v>-0.13064780000000001</v>
      </c>
      <c r="S4833">
        <v>3.4015200000000001</v>
      </c>
      <c r="T4833">
        <v>-0.45327250000000002</v>
      </c>
      <c r="U4833">
        <v>-0.59896850000000001</v>
      </c>
      <c r="V4833">
        <v>-0.19706650000000001</v>
      </c>
      <c r="W4833">
        <v>0.3970862</v>
      </c>
      <c r="X4833">
        <v>0.89637459999999902</v>
      </c>
      <c r="Y4833">
        <v>-0.168902</v>
      </c>
      <c r="Z4833">
        <v>5.2025080000000001E-2</v>
      </c>
      <c r="AA4833">
        <v>0.98425890000000005</v>
      </c>
      <c r="AB4833">
        <v>36</v>
      </c>
      <c r="AC4833">
        <v>8.0654000000000092</v>
      </c>
      <c r="AD4833">
        <v>-1.119708123371</v>
      </c>
      <c r="AE4833">
        <v>-1.36148</v>
      </c>
      <c r="AF4833">
        <v>-1.44303771804704</v>
      </c>
      <c r="AG4833">
        <v>-1.119708123371</v>
      </c>
      <c r="AH4833">
        <v>7.8983046999944602</v>
      </c>
      <c r="AI4833">
        <v>97.939105051018998</v>
      </c>
      <c r="AJ4833">
        <v>100.35386903714701</v>
      </c>
      <c r="AK4833">
        <v>8.1067454179346292</v>
      </c>
      <c r="AL4833">
        <v>66.603852295789494</v>
      </c>
      <c r="AM4833">
        <v>102.39913190218699</v>
      </c>
      <c r="AN4833">
        <v>1.0000000395889199</v>
      </c>
    </row>
    <row r="4834" spans="1:40" x14ac:dyDescent="0.25">
      <c r="A4834" t="str">
        <f>"20190304164508037"</f>
        <v>20190304164508037</v>
      </c>
      <c r="B4834" t="str">
        <f>"1551689108025421"</f>
        <v>1551689108025421</v>
      </c>
      <c r="C4834" t="s">
        <v>40</v>
      </c>
      <c r="D4834">
        <v>5.2145679999999999</v>
      </c>
      <c r="E4834">
        <v>0.50735470000000005</v>
      </c>
      <c r="F4834" t="s">
        <v>42</v>
      </c>
      <c r="G4834">
        <v>-392.11079999999998</v>
      </c>
      <c r="H4834" s="1">
        <v>-4.4698040000000001E-6</v>
      </c>
      <c r="I4834">
        <v>22.824670000000001</v>
      </c>
      <c r="J4834">
        <v>-400.7758</v>
      </c>
      <c r="K4834">
        <v>1.1193949999999999</v>
      </c>
      <c r="L4834">
        <v>24.100619999999999</v>
      </c>
      <c r="M4834">
        <v>0.94279939999999995</v>
      </c>
      <c r="N4834">
        <v>-1.128562E-2</v>
      </c>
      <c r="O4834">
        <v>-0.33316980000000002</v>
      </c>
      <c r="P4834">
        <v>0.91211710000000001</v>
      </c>
      <c r="Q4834">
        <v>0.39085310000000001</v>
      </c>
      <c r="R4834">
        <v>-0.1235984</v>
      </c>
      <c r="S4834">
        <v>3.40036</v>
      </c>
      <c r="T4834">
        <v>-0.42413010000000001</v>
      </c>
      <c r="U4834">
        <v>-0.52346800000000004</v>
      </c>
      <c r="V4834">
        <v>-0.19635810000000001</v>
      </c>
      <c r="W4834">
        <v>0.39667609999999998</v>
      </c>
      <c r="X4834">
        <v>0.89671149999999999</v>
      </c>
      <c r="Y4834">
        <v>-0.1823842</v>
      </c>
      <c r="Z4834">
        <v>4.8791460000000002E-2</v>
      </c>
      <c r="AA4834">
        <v>0.982016</v>
      </c>
      <c r="AB4834">
        <v>36</v>
      </c>
      <c r="AC4834">
        <v>8.6650000000000098</v>
      </c>
      <c r="AD4834">
        <v>-1.119399469804</v>
      </c>
      <c r="AE4834">
        <v>-1.2759499999999999</v>
      </c>
      <c r="AF4834">
        <v>-1.6569917064277999</v>
      </c>
      <c r="AG4834">
        <v>-1.119399469804</v>
      </c>
      <c r="AH4834">
        <v>8.4568691923215606</v>
      </c>
      <c r="AI4834">
        <v>97.401042138958402</v>
      </c>
      <c r="AJ4834">
        <v>101.085776689244</v>
      </c>
      <c r="AK4834">
        <v>8.6900698054851997</v>
      </c>
      <c r="AL4834">
        <v>66.629450130604994</v>
      </c>
      <c r="AM4834">
        <v>102.351432177386</v>
      </c>
      <c r="AN4834">
        <v>0.99999997298953403</v>
      </c>
    </row>
    <row r="4835" spans="1:40" x14ac:dyDescent="0.25">
      <c r="A4835" t="str">
        <f>"20190304164508051"</f>
        <v>20190304164508051</v>
      </c>
      <c r="B4835" t="str">
        <f>"1551689108044941"</f>
        <v>1551689108044941</v>
      </c>
      <c r="C4835" t="s">
        <v>40</v>
      </c>
      <c r="D4835">
        <v>5.5142980000000001</v>
      </c>
      <c r="E4835">
        <v>0.50490570000000001</v>
      </c>
      <c r="F4835" t="s">
        <v>42</v>
      </c>
      <c r="G4835">
        <v>-391.30900000000003</v>
      </c>
      <c r="H4835" s="1">
        <v>-4.7820960000000002E-6</v>
      </c>
      <c r="I4835">
        <v>22.849319999999999</v>
      </c>
      <c r="J4835">
        <v>-400.53719999999998</v>
      </c>
      <c r="K4835">
        <v>1.119167</v>
      </c>
      <c r="L4835">
        <v>24.0213</v>
      </c>
      <c r="M4835">
        <v>0.94480759999999997</v>
      </c>
      <c r="N4835">
        <v>-1.1187870000000001E-2</v>
      </c>
      <c r="O4835">
        <v>-0.32743460000000002</v>
      </c>
      <c r="P4835">
        <v>0.91296949999999999</v>
      </c>
      <c r="Q4835">
        <v>0.39029469999999999</v>
      </c>
      <c r="R4835">
        <v>-0.1189827</v>
      </c>
      <c r="S4835">
        <v>3.400452</v>
      </c>
      <c r="T4835">
        <v>-0.40208729999999998</v>
      </c>
      <c r="U4835">
        <v>-0.4494629</v>
      </c>
      <c r="V4835">
        <v>-0.1952866</v>
      </c>
      <c r="W4835">
        <v>0.39616170000000001</v>
      </c>
      <c r="X4835">
        <v>0.89717279999999999</v>
      </c>
      <c r="Y4835">
        <v>-0.19760179999999999</v>
      </c>
      <c r="Z4835">
        <v>4.6666539999999999E-2</v>
      </c>
      <c r="AA4835">
        <v>0.97917100000000001</v>
      </c>
      <c r="AB4835">
        <v>36</v>
      </c>
      <c r="AC4835">
        <v>9.2281999999999496</v>
      </c>
      <c r="AD4835">
        <v>-1.1191717820960001</v>
      </c>
      <c r="AE4835">
        <v>-1.17197999999999</v>
      </c>
      <c r="AF4835">
        <v>-1.88714033610063</v>
      </c>
      <c r="AG4835">
        <v>-1.1191717820960001</v>
      </c>
      <c r="AH4835">
        <v>8.9733038787547308</v>
      </c>
      <c r="AI4835">
        <v>96.958673646907599</v>
      </c>
      <c r="AJ4835">
        <v>101.876574291829</v>
      </c>
      <c r="AK4835">
        <v>9.2376418325486398</v>
      </c>
      <c r="AL4835">
        <v>66.661553744284305</v>
      </c>
      <c r="AM4835">
        <v>102.27995916917899</v>
      </c>
      <c r="AN4835">
        <v>0.99999999087314495</v>
      </c>
    </row>
    <row r="4836" spans="1:40" x14ac:dyDescent="0.25">
      <c r="A4836" t="str">
        <f>"20190304164508068"</f>
        <v>20190304164508068</v>
      </c>
      <c r="B4836" t="str">
        <f>"1551689108065437"</f>
        <v>1551689108065437</v>
      </c>
      <c r="C4836" t="s">
        <v>40</v>
      </c>
      <c r="D4836">
        <v>5.2561619999999998</v>
      </c>
      <c r="E4836">
        <v>0.50467600000000001</v>
      </c>
      <c r="F4836" t="s">
        <v>42</v>
      </c>
      <c r="G4836">
        <v>-390.44639999999998</v>
      </c>
      <c r="H4836" s="1">
        <v>-5.1039359999999997E-6</v>
      </c>
      <c r="I4836">
        <v>22.796279999999999</v>
      </c>
      <c r="J4836">
        <v>-400.28320000000002</v>
      </c>
      <c r="K4836">
        <v>1.118916</v>
      </c>
      <c r="L4836">
        <v>23.938569999999999</v>
      </c>
      <c r="M4836">
        <v>0.94682999999999995</v>
      </c>
      <c r="N4836">
        <v>-1.109192E-2</v>
      </c>
      <c r="O4836">
        <v>-0.32154310000000003</v>
      </c>
      <c r="P4836">
        <v>0.91462010000000005</v>
      </c>
      <c r="Q4836">
        <v>0.38734930000000001</v>
      </c>
      <c r="R4836">
        <v>-0.1158912</v>
      </c>
      <c r="S4836">
        <v>3.3931269999999998</v>
      </c>
      <c r="T4836">
        <v>-0.37633319999999998</v>
      </c>
      <c r="U4836">
        <v>-0.41192630000000002</v>
      </c>
      <c r="V4836">
        <v>-0.1928309</v>
      </c>
      <c r="W4836">
        <v>0.39330910000000002</v>
      </c>
      <c r="X4836">
        <v>0.89895729999999996</v>
      </c>
      <c r="Y4836">
        <v>-0.20227039999999999</v>
      </c>
      <c r="Z4836">
        <v>4.343209E-2</v>
      </c>
      <c r="AA4836">
        <v>0.97836619999999996</v>
      </c>
      <c r="AB4836">
        <v>36</v>
      </c>
      <c r="AC4836">
        <v>9.8368000000000393</v>
      </c>
      <c r="AD4836">
        <v>-1.1189211039360001</v>
      </c>
      <c r="AE4836">
        <v>-1.14229</v>
      </c>
      <c r="AF4836">
        <v>-2.0552897422679801</v>
      </c>
      <c r="AG4836">
        <v>-1.1189211039360001</v>
      </c>
      <c r="AH4836">
        <v>9.5596246323022296</v>
      </c>
      <c r="AI4836">
        <v>96.528058212270295</v>
      </c>
      <c r="AJ4836">
        <v>102.133710866134</v>
      </c>
      <c r="AK4836">
        <v>9.8418810941823995</v>
      </c>
      <c r="AL4836">
        <v>66.839441772563703</v>
      </c>
      <c r="AM4836">
        <v>102.10677300826799</v>
      </c>
      <c r="AN4836">
        <v>1.00000001568045</v>
      </c>
    </row>
    <row r="4837" spans="1:40" x14ac:dyDescent="0.25">
      <c r="A4837" t="str">
        <f>"20190304164508091"</f>
        <v>20190304164508091</v>
      </c>
      <c r="B4837" t="str">
        <f>"1551689108084957"</f>
        <v>1551689108084957</v>
      </c>
      <c r="C4837" t="s">
        <v>40</v>
      </c>
      <c r="D4837">
        <v>5.2598019999999996</v>
      </c>
      <c r="E4837">
        <v>0.50497559999999997</v>
      </c>
      <c r="F4837" t="s">
        <v>42</v>
      </c>
      <c r="G4837">
        <v>-390.53800000000001</v>
      </c>
      <c r="H4837" s="1">
        <v>-5.0705690000000004E-6</v>
      </c>
      <c r="I4837">
        <v>22.8064</v>
      </c>
      <c r="J4837">
        <v>-399.9332</v>
      </c>
      <c r="K4837">
        <v>1.1185590000000001</v>
      </c>
      <c r="L4837">
        <v>23.826899999999998</v>
      </c>
      <c r="M4837">
        <v>0.94943540000000004</v>
      </c>
      <c r="N4837">
        <v>-1.096833E-2</v>
      </c>
      <c r="O4837">
        <v>-0.31377149999999998</v>
      </c>
      <c r="P4837">
        <v>0.91687019999999997</v>
      </c>
      <c r="Q4837">
        <v>0.38369569999999997</v>
      </c>
      <c r="R4837">
        <v>-0.11012139999999999</v>
      </c>
      <c r="S4837">
        <v>3.3951720000000001</v>
      </c>
      <c r="T4837">
        <v>-0.389824</v>
      </c>
      <c r="U4837">
        <v>-0.3944397</v>
      </c>
      <c r="V4837">
        <v>-0.19119729999999999</v>
      </c>
      <c r="W4837">
        <v>0.3897525</v>
      </c>
      <c r="X4837">
        <v>0.90085329999999997</v>
      </c>
      <c r="Y4837">
        <v>-0.1991272</v>
      </c>
      <c r="Z4837">
        <v>4.4139530000000003E-2</v>
      </c>
      <c r="AA4837">
        <v>0.97897909999999999</v>
      </c>
      <c r="AB4837">
        <v>36</v>
      </c>
      <c r="AC4837">
        <v>9.3951999999999796</v>
      </c>
      <c r="AD4837">
        <v>-1.1185640705689901</v>
      </c>
      <c r="AE4837">
        <v>-1.02049999999999</v>
      </c>
      <c r="AF4837">
        <v>-1.95182217131267</v>
      </c>
      <c r="AG4837">
        <v>-1.1185640705689901</v>
      </c>
      <c r="AH4837">
        <v>9.1132234501060196</v>
      </c>
      <c r="AI4837">
        <v>96.843843770496505</v>
      </c>
      <c r="AJ4837">
        <v>102.088677176945</v>
      </c>
      <c r="AK4837">
        <v>9.3867799068667797</v>
      </c>
      <c r="AL4837">
        <v>67.060900946086093</v>
      </c>
      <c r="AM4837">
        <v>101.98265718136</v>
      </c>
      <c r="AN4837">
        <v>1.0000000434522101</v>
      </c>
    </row>
    <row r="4838" spans="1:40" x14ac:dyDescent="0.25">
      <c r="A4838" t="str">
        <f>"20190304164508105"</f>
        <v>20190304164508105</v>
      </c>
      <c r="B4838" t="str">
        <f>"1551689108094717"</f>
        <v>1551689108094717</v>
      </c>
      <c r="C4838" t="s">
        <v>40</v>
      </c>
      <c r="D4838">
        <v>5.2508540000000004</v>
      </c>
      <c r="E4838">
        <v>0.50516609999999995</v>
      </c>
      <c r="F4838" t="s">
        <v>42</v>
      </c>
      <c r="G4838">
        <v>-390.56479999999999</v>
      </c>
      <c r="H4838" s="1">
        <v>-5.0595880000000003E-6</v>
      </c>
      <c r="I4838">
        <v>22.802489999999999</v>
      </c>
      <c r="J4838">
        <v>-399.72629999999998</v>
      </c>
      <c r="K4838">
        <v>1.1183399999999999</v>
      </c>
      <c r="L4838">
        <v>23.76239</v>
      </c>
      <c r="M4838">
        <v>0.95086210000000004</v>
      </c>
      <c r="N4838">
        <v>-1.089877E-2</v>
      </c>
      <c r="O4838">
        <v>-0.30942330000000001</v>
      </c>
      <c r="P4838">
        <v>0.91779370000000005</v>
      </c>
      <c r="Q4838">
        <v>0.38246590000000003</v>
      </c>
      <c r="R4838">
        <v>-0.1066527</v>
      </c>
      <c r="S4838">
        <v>3.3970639999999999</v>
      </c>
      <c r="T4838">
        <v>-0.4055995</v>
      </c>
      <c r="U4838">
        <v>-0.37146000000000001</v>
      </c>
      <c r="V4838">
        <v>-0.19040699999999999</v>
      </c>
      <c r="W4838">
        <v>0.3885788</v>
      </c>
      <c r="X4838">
        <v>0.90152739999999998</v>
      </c>
      <c r="Y4838">
        <v>-0.20099620000000001</v>
      </c>
      <c r="Z4838">
        <v>4.5705259999999998E-2</v>
      </c>
      <c r="AA4838">
        <v>0.97852519999999998</v>
      </c>
      <c r="AB4838">
        <v>36</v>
      </c>
      <c r="AC4838">
        <v>9.1614999999999895</v>
      </c>
      <c r="AD4838">
        <v>-1.11834505958799</v>
      </c>
      <c r="AE4838">
        <v>-0.95990000000000097</v>
      </c>
      <c r="AF4838">
        <v>-1.89424309863149</v>
      </c>
      <c r="AG4838">
        <v>-1.11834505958799</v>
      </c>
      <c r="AH4838">
        <v>8.8780165558780197</v>
      </c>
      <c r="AI4838">
        <v>97.023162920501903</v>
      </c>
      <c r="AJ4838">
        <v>102.044218522416</v>
      </c>
      <c r="AK4838">
        <v>9.1464764010771997</v>
      </c>
      <c r="AL4838">
        <v>67.1339024939046</v>
      </c>
      <c r="AM4838">
        <v>101.92588260788</v>
      </c>
      <c r="AN4838">
        <v>0.99999998120459899</v>
      </c>
    </row>
    <row r="4839" spans="1:40" x14ac:dyDescent="0.25">
      <c r="A4839" t="str">
        <f>"20190304164508119"</f>
        <v>20190304164508119</v>
      </c>
      <c r="B4839" t="str">
        <f>"1551689108115214"</f>
        <v>1551689108115214</v>
      </c>
      <c r="C4839" t="s">
        <v>40</v>
      </c>
      <c r="D4839">
        <v>5.2281630000000003</v>
      </c>
      <c r="E4839">
        <v>0.50554359999999998</v>
      </c>
      <c r="F4839" t="s">
        <v>42</v>
      </c>
      <c r="G4839">
        <v>-390.45190000000002</v>
      </c>
      <c r="H4839" s="1">
        <v>-5.0995470000000003E-6</v>
      </c>
      <c r="I4839">
        <v>22.783460000000002</v>
      </c>
      <c r="J4839">
        <v>-399.5181</v>
      </c>
      <c r="K4839">
        <v>1.1181099999999999</v>
      </c>
      <c r="L4839">
        <v>23.698239999999998</v>
      </c>
      <c r="M4839">
        <v>0.95223709999999995</v>
      </c>
      <c r="N4839">
        <v>-1.0831530000000001E-2</v>
      </c>
      <c r="O4839">
        <v>-0.30516759999999998</v>
      </c>
      <c r="P4839">
        <v>0.91855920000000002</v>
      </c>
      <c r="Q4839">
        <v>0.38156469999999998</v>
      </c>
      <c r="R4839">
        <v>-0.1032354</v>
      </c>
      <c r="S4839">
        <v>3.3977659999999998</v>
      </c>
      <c r="T4839">
        <v>-0.4097171</v>
      </c>
      <c r="U4839">
        <v>-0.35864259999999998</v>
      </c>
      <c r="V4839">
        <v>-0.18961320000000001</v>
      </c>
      <c r="W4839">
        <v>0.38773679999999999</v>
      </c>
      <c r="X4839">
        <v>0.90205709999999995</v>
      </c>
      <c r="Y4839">
        <v>-0.20024629999999999</v>
      </c>
      <c r="Z4839">
        <v>4.5721110000000002E-2</v>
      </c>
      <c r="AA4839">
        <v>0.97867820000000005</v>
      </c>
      <c r="AB4839">
        <v>36</v>
      </c>
      <c r="AC4839">
        <v>9.0661999999999807</v>
      </c>
      <c r="AD4839">
        <v>-1.1181150995469999</v>
      </c>
      <c r="AE4839">
        <v>-0.91477999999999604</v>
      </c>
      <c r="AF4839">
        <v>-1.86761448188784</v>
      </c>
      <c r="AG4839">
        <v>-1.1181150995469999</v>
      </c>
      <c r="AH4839">
        <v>8.7806500650143704</v>
      </c>
      <c r="AI4839">
        <v>97.099760091697604</v>
      </c>
      <c r="AJ4839">
        <v>102.00767696799799</v>
      </c>
      <c r="AK4839">
        <v>9.0464347006447294</v>
      </c>
      <c r="AL4839">
        <v>67.186250448475306</v>
      </c>
      <c r="AM4839">
        <v>101.870802347139</v>
      </c>
      <c r="AN4839">
        <v>1.0000000016744399</v>
      </c>
    </row>
    <row r="4840" spans="1:40" x14ac:dyDescent="0.25">
      <c r="A4840" t="str">
        <f>"20190304164508136"</f>
        <v>20190304164508136</v>
      </c>
      <c r="B4840" t="str">
        <f>"1551689108124974"</f>
        <v>1551689108124974</v>
      </c>
      <c r="C4840" t="s">
        <v>40</v>
      </c>
      <c r="D4840">
        <v>5.2556349999999998</v>
      </c>
      <c r="E4840">
        <v>0.50581419999999999</v>
      </c>
      <c r="F4840" t="s">
        <v>42</v>
      </c>
      <c r="G4840">
        <v>-390.3177</v>
      </c>
      <c r="H4840" s="1">
        <v>-5.1461520000000003E-6</v>
      </c>
      <c r="I4840">
        <v>22.75563</v>
      </c>
      <c r="J4840">
        <v>-399.24689999999998</v>
      </c>
      <c r="K4840">
        <v>1.117815</v>
      </c>
      <c r="L4840">
        <v>23.616029999999999</v>
      </c>
      <c r="M4840">
        <v>0.95392390000000005</v>
      </c>
      <c r="N4840">
        <v>-1.074877E-2</v>
      </c>
      <c r="O4840">
        <v>-0.29985620000000002</v>
      </c>
      <c r="P4840">
        <v>0.91886579999999995</v>
      </c>
      <c r="Q4840">
        <v>0.38197110000000001</v>
      </c>
      <c r="R4840">
        <v>-9.8913509999999996E-2</v>
      </c>
      <c r="S4840">
        <v>3.3984070000000002</v>
      </c>
      <c r="T4840">
        <v>-0.41300320000000001</v>
      </c>
      <c r="U4840">
        <v>-0.34817500000000001</v>
      </c>
      <c r="V4840">
        <v>-0.18850030000000001</v>
      </c>
      <c r="W4840">
        <v>0.3882216</v>
      </c>
      <c r="X4840">
        <v>0.90208180000000004</v>
      </c>
      <c r="Y4840">
        <v>-0.1977815</v>
      </c>
      <c r="Z4840">
        <v>4.5407469999999998E-2</v>
      </c>
      <c r="AA4840">
        <v>0.97919389999999995</v>
      </c>
      <c r="AB4840">
        <v>36</v>
      </c>
      <c r="AC4840">
        <v>8.9291999999999803</v>
      </c>
      <c r="AD4840">
        <v>-1.1178201461519901</v>
      </c>
      <c r="AE4840">
        <v>-0.86039999999999806</v>
      </c>
      <c r="AF4840">
        <v>-1.82843578496128</v>
      </c>
      <c r="AG4840">
        <v>-1.1178201461519901</v>
      </c>
      <c r="AH4840">
        <v>8.6420890892577802</v>
      </c>
      <c r="AI4840">
        <v>97.212147527377496</v>
      </c>
      <c r="AJ4840">
        <v>101.946090805061</v>
      </c>
      <c r="AK4840">
        <v>8.9038420429351</v>
      </c>
      <c r="AL4840">
        <v>67.156112036971393</v>
      </c>
      <c r="AM4840">
        <v>101.802774738914</v>
      </c>
      <c r="AN4840">
        <v>0.99999997384894401</v>
      </c>
    </row>
    <row r="4841" spans="1:40" x14ac:dyDescent="0.25">
      <c r="A4841" t="str">
        <f>"20190304164508151"</f>
        <v>20190304164508151</v>
      </c>
      <c r="B4841" t="str">
        <f>"1551689108145469"</f>
        <v>1551689108145469</v>
      </c>
      <c r="C4841" t="s">
        <v>40</v>
      </c>
      <c r="D4841">
        <v>5.2542799999999996</v>
      </c>
      <c r="E4841">
        <v>0.50653549999999903</v>
      </c>
      <c r="F4841" t="s">
        <v>42</v>
      </c>
      <c r="G4841">
        <v>-390.01249999999999</v>
      </c>
      <c r="H4841" s="1">
        <v>-5.2540309999999998E-6</v>
      </c>
      <c r="I4841">
        <v>22.70298</v>
      </c>
      <c r="J4841">
        <v>-399.00869999999998</v>
      </c>
      <c r="K4841">
        <v>1.1175649999999999</v>
      </c>
      <c r="L4841">
        <v>23.54504</v>
      </c>
      <c r="M4841">
        <v>0.95531339999999998</v>
      </c>
      <c r="N4841">
        <v>-1.0681410000000001E-2</v>
      </c>
      <c r="O4841">
        <v>-0.2954019</v>
      </c>
      <c r="P4841">
        <v>0.91899050000000004</v>
      </c>
      <c r="Q4841">
        <v>0.38270900000000002</v>
      </c>
      <c r="R4841">
        <v>-9.4817990000000005E-2</v>
      </c>
      <c r="S4841">
        <v>3.3997799999999998</v>
      </c>
      <c r="T4841">
        <v>-0.41154000000000002</v>
      </c>
      <c r="U4841">
        <v>-0.33615109999999998</v>
      </c>
      <c r="V4841">
        <v>-0.18798599999999999</v>
      </c>
      <c r="W4841">
        <v>0.38901940000000002</v>
      </c>
      <c r="X4841">
        <v>0.90184540000000002</v>
      </c>
      <c r="Y4841">
        <v>-0.1967344</v>
      </c>
      <c r="Z4841">
        <v>4.4715369999999997E-2</v>
      </c>
      <c r="AA4841">
        <v>0.97943659999999999</v>
      </c>
      <c r="AB4841">
        <v>36</v>
      </c>
      <c r="AC4841">
        <v>8.9961999999999804</v>
      </c>
      <c r="AD4841">
        <v>-1.117570254031</v>
      </c>
      <c r="AE4841">
        <v>-0.84206000000000003</v>
      </c>
      <c r="AF4841">
        <v>-1.82524587670244</v>
      </c>
      <c r="AG4841">
        <v>-1.117570254031</v>
      </c>
      <c r="AH4841">
        <v>8.7101896761067099</v>
      </c>
      <c r="AI4841">
        <v>97.157647977393594</v>
      </c>
      <c r="AJ4841">
        <v>101.835244299072</v>
      </c>
      <c r="AK4841">
        <v>8.9692747742986505</v>
      </c>
      <c r="AL4841">
        <v>67.1065021001601</v>
      </c>
      <c r="AM4841">
        <v>101.774471559386</v>
      </c>
      <c r="AN4841">
        <v>0.99999997763675896</v>
      </c>
    </row>
    <row r="4842" spans="1:40" x14ac:dyDescent="0.25">
      <c r="A4842" t="str">
        <f>"20190304164508175"</f>
        <v>20190304164508175</v>
      </c>
      <c r="B4842" t="str">
        <f>"1551689108164989"</f>
        <v>1551689108164989</v>
      </c>
      <c r="C4842" t="s">
        <v>40</v>
      </c>
      <c r="D4842">
        <v>5.2443799999999996</v>
      </c>
      <c r="E4842">
        <v>0.50720690000000002</v>
      </c>
      <c r="F4842" t="s">
        <v>50</v>
      </c>
      <c r="G4842">
        <v>-389.69720000000001</v>
      </c>
      <c r="H4842" s="1">
        <v>-9.4892069999999995E-7</v>
      </c>
      <c r="I4842">
        <v>22.64301</v>
      </c>
      <c r="J4842">
        <v>-398.6533</v>
      </c>
      <c r="K4842">
        <v>1.1172169999999999</v>
      </c>
      <c r="L4842">
        <v>23.441099999999999</v>
      </c>
      <c r="M4842">
        <v>0.95725280000000001</v>
      </c>
      <c r="N4842">
        <v>-1.059033E-2</v>
      </c>
      <c r="O4842">
        <v>-0.28905900000000001</v>
      </c>
      <c r="P4842">
        <v>0.9189408</v>
      </c>
      <c r="Q4842">
        <v>0.38384430000000003</v>
      </c>
      <c r="R4842">
        <v>-9.0616150000000006E-2</v>
      </c>
      <c r="S4842">
        <v>3.4004210000000001</v>
      </c>
      <c r="T4842">
        <v>-0.40811710000000001</v>
      </c>
      <c r="U4842">
        <v>-0.3294067</v>
      </c>
      <c r="V4842">
        <v>-0.1856486</v>
      </c>
      <c r="W4842">
        <v>0.39027499999999998</v>
      </c>
      <c r="X4842">
        <v>0.90178720000000001</v>
      </c>
      <c r="Y4842">
        <v>-0.19229669999999999</v>
      </c>
      <c r="Z4842">
        <v>4.3400439999999998E-2</v>
      </c>
      <c r="AA4842">
        <v>0.98037669999999999</v>
      </c>
      <c r="AB4842">
        <v>36</v>
      </c>
      <c r="AC4842">
        <v>8.9560999999999904</v>
      </c>
      <c r="AD4842">
        <v>-1.1172179489206999</v>
      </c>
      <c r="AE4842">
        <v>-0.79808999999999797</v>
      </c>
      <c r="AF4842">
        <v>-1.79722330632565</v>
      </c>
      <c r="AG4842">
        <v>-1.1172179489206999</v>
      </c>
      <c r="AH4842">
        <v>8.6705797681512902</v>
      </c>
      <c r="AI4842">
        <v>97.190994192133303</v>
      </c>
      <c r="AJ4842">
        <v>101.710344026594</v>
      </c>
      <c r="AK4842">
        <v>8.9250849337171694</v>
      </c>
      <c r="AL4842">
        <v>67.028389823594594</v>
      </c>
      <c r="AM4842">
        <v>101.632812934591</v>
      </c>
      <c r="AN4842">
        <v>1.0000000661953901</v>
      </c>
    </row>
    <row r="4843" spans="1:40" x14ac:dyDescent="0.25">
      <c r="A4843" t="str">
        <f>"20190304164508192"</f>
        <v>20190304164508192</v>
      </c>
      <c r="B4843" t="str">
        <f>"1551689108185486"</f>
        <v>1551689108185486</v>
      </c>
      <c r="C4843" t="s">
        <v>40</v>
      </c>
      <c r="D4843">
        <v>5.2716250000000002</v>
      </c>
      <c r="E4843">
        <v>0.50797020000000004</v>
      </c>
      <c r="F4843" t="s">
        <v>50</v>
      </c>
      <c r="G4843">
        <v>-389.26220000000001</v>
      </c>
      <c r="H4843" s="1">
        <v>-1.131227E-6</v>
      </c>
      <c r="I4843">
        <v>22.55538</v>
      </c>
      <c r="J4843">
        <v>-398.36970000000002</v>
      </c>
      <c r="K4843">
        <v>1.116941</v>
      </c>
      <c r="L4843">
        <v>23.3598</v>
      </c>
      <c r="M4843">
        <v>0.95867979999999997</v>
      </c>
      <c r="N4843">
        <v>-1.052052E-2</v>
      </c>
      <c r="O4843">
        <v>-0.28429280000000001</v>
      </c>
      <c r="P4843">
        <v>0.91890190000000005</v>
      </c>
      <c r="Q4843">
        <v>0.38411299999999998</v>
      </c>
      <c r="R4843">
        <v>-8.9869420000000005E-2</v>
      </c>
      <c r="S4843">
        <v>3.4020079999999999</v>
      </c>
      <c r="T4843">
        <v>-0.40472249999999999</v>
      </c>
      <c r="U4843">
        <v>-0.32086179999999997</v>
      </c>
      <c r="V4843">
        <v>-0.1815715</v>
      </c>
      <c r="W4843">
        <v>0.39068239999999999</v>
      </c>
      <c r="X4843">
        <v>0.90244060000000004</v>
      </c>
      <c r="Y4843">
        <v>-0.18999650000000001</v>
      </c>
      <c r="Z4843">
        <v>4.2388040000000002E-2</v>
      </c>
      <c r="AA4843">
        <v>0.98086930000000006</v>
      </c>
      <c r="AB4843">
        <v>36</v>
      </c>
      <c r="AC4843">
        <v>9.1075000000000106</v>
      </c>
      <c r="AD4843">
        <v>-1.116942131227</v>
      </c>
      <c r="AE4843">
        <v>-0.80442000000000002</v>
      </c>
      <c r="AF4843">
        <v>-1.79138130798256</v>
      </c>
      <c r="AG4843">
        <v>-1.116942131227</v>
      </c>
      <c r="AH4843">
        <v>8.8286038734818604</v>
      </c>
      <c r="AI4843">
        <v>97.067884853073494</v>
      </c>
      <c r="AJ4843">
        <v>101.469969005709</v>
      </c>
      <c r="AK4843">
        <v>9.0774915626486905</v>
      </c>
      <c r="AL4843">
        <v>67.003032818574695</v>
      </c>
      <c r="AM4843">
        <v>101.376055243713</v>
      </c>
      <c r="AN4843">
        <v>0.99999999190518496</v>
      </c>
    </row>
    <row r="4844" spans="1:40" x14ac:dyDescent="0.25">
      <c r="A4844" t="str">
        <f>"20190304164508215"</f>
        <v>20190304164508215</v>
      </c>
      <c r="B4844" t="str">
        <f>"1551689108205005"</f>
        <v>1551689108205005</v>
      </c>
      <c r="C4844" t="s">
        <v>40</v>
      </c>
      <c r="D4844">
        <v>5.2554869999999996</v>
      </c>
      <c r="E4844">
        <v>0.50865899999999997</v>
      </c>
      <c r="F4844" t="s">
        <v>50</v>
      </c>
      <c r="G4844">
        <v>-388.97340000000003</v>
      </c>
      <c r="H4844" s="1">
        <v>-1.246812E-6</v>
      </c>
      <c r="I4844">
        <v>22.476680000000002</v>
      </c>
      <c r="J4844">
        <v>-398.02539999999999</v>
      </c>
      <c r="K4844">
        <v>1.1166199999999999</v>
      </c>
      <c r="L4844">
        <v>23.262910000000002</v>
      </c>
      <c r="M4844">
        <v>0.96029240000000005</v>
      </c>
      <c r="N4844">
        <v>-1.043971E-2</v>
      </c>
      <c r="O4844">
        <v>-0.27880070000000001</v>
      </c>
      <c r="P4844">
        <v>0.91894600000000004</v>
      </c>
      <c r="Q4844">
        <v>0.38400139999999999</v>
      </c>
      <c r="R4844">
        <v>-8.9896019999999993E-2</v>
      </c>
      <c r="S4844">
        <v>3.4025569999999998</v>
      </c>
      <c r="T4844">
        <v>-0.40446330000000003</v>
      </c>
      <c r="U4844">
        <v>-0.31979370000000001</v>
      </c>
      <c r="V4844">
        <v>-0.17604829999999999</v>
      </c>
      <c r="W4844">
        <v>0.3907368</v>
      </c>
      <c r="X4844">
        <v>0.90351079999999995</v>
      </c>
      <c r="Y4844">
        <v>-0.1847685</v>
      </c>
      <c r="Z4844">
        <v>4.1467789999999997E-2</v>
      </c>
      <c r="AA4844">
        <v>0.98190679999999997</v>
      </c>
      <c r="AB4844">
        <v>36</v>
      </c>
      <c r="AC4844">
        <v>9.0519999999999605</v>
      </c>
      <c r="AD4844">
        <v>-1.116621246812</v>
      </c>
      <c r="AE4844">
        <v>-0.78623000000000298</v>
      </c>
      <c r="AF4844">
        <v>-1.7424730673851601</v>
      </c>
      <c r="AG4844">
        <v>-1.116621246812</v>
      </c>
      <c r="AH4844">
        <v>8.7796548513348096</v>
      </c>
      <c r="AI4844">
        <v>97.110892696779104</v>
      </c>
      <c r="AJ4844">
        <v>101.225459659403</v>
      </c>
      <c r="AK4844">
        <v>9.0202768642631703</v>
      </c>
      <c r="AL4844">
        <v>66.999647183729905</v>
      </c>
      <c r="AM4844">
        <v>101.025881616224</v>
      </c>
      <c r="AN4844">
        <v>1.0000000082618801</v>
      </c>
    </row>
    <row r="4845" spans="1:40" x14ac:dyDescent="0.25">
      <c r="A4845" t="str">
        <f>"20190304164508247"</f>
        <v>20190304164508247</v>
      </c>
      <c r="B4845" t="str">
        <f>"1551689108235262"</f>
        <v>1551689108235262</v>
      </c>
      <c r="C4845" t="s">
        <v>40</v>
      </c>
      <c r="D4845">
        <v>5.3073560000000004</v>
      </c>
      <c r="E4845">
        <v>0.50980259999999999</v>
      </c>
      <c r="F4845" t="s">
        <v>50</v>
      </c>
      <c r="G4845">
        <v>-388.65929999999997</v>
      </c>
      <c r="H4845" s="1">
        <v>-1.3694970000000001E-6</v>
      </c>
      <c r="I4845">
        <v>22.379909999999999</v>
      </c>
      <c r="J4845">
        <v>-397.5188</v>
      </c>
      <c r="K4845">
        <v>1.116141</v>
      </c>
      <c r="L4845">
        <v>23.123809999999999</v>
      </c>
      <c r="M4845">
        <v>0.962426</v>
      </c>
      <c r="N4845">
        <v>-1.0332829999999999E-2</v>
      </c>
      <c r="O4845">
        <v>-0.27134799999999998</v>
      </c>
      <c r="P4845">
        <v>0.91799710000000001</v>
      </c>
      <c r="Q4845">
        <v>0.38689590000000001</v>
      </c>
      <c r="R4845">
        <v>-8.7139099999999997E-2</v>
      </c>
      <c r="S4845">
        <v>3.4027400000000001</v>
      </c>
      <c r="T4845">
        <v>-0.4056767</v>
      </c>
      <c r="U4845">
        <v>-0.3208008</v>
      </c>
      <c r="V4845">
        <v>-0.17098279999999999</v>
      </c>
      <c r="W4845">
        <v>0.39380540000000003</v>
      </c>
      <c r="X4845">
        <v>0.90315129999999999</v>
      </c>
      <c r="Y4845">
        <v>-0.17694370000000001</v>
      </c>
      <c r="Z4845">
        <v>4.033817E-2</v>
      </c>
      <c r="AA4845">
        <v>0.98339399999999999</v>
      </c>
      <c r="AB4845">
        <v>36</v>
      </c>
      <c r="AC4845">
        <v>8.8595000000000201</v>
      </c>
      <c r="AD4845">
        <v>-1.1161423694970001</v>
      </c>
      <c r="AE4845">
        <v>-0.74390000000000001</v>
      </c>
      <c r="AF4845">
        <v>-1.66195553954088</v>
      </c>
      <c r="AG4845">
        <v>-1.1161423694970001</v>
      </c>
      <c r="AH4845">
        <v>8.5934959027522808</v>
      </c>
      <c r="AI4845">
        <v>97.267099602878801</v>
      </c>
      <c r="AJ4845">
        <v>100.945696701861</v>
      </c>
      <c r="AK4845">
        <v>8.8236070761915304</v>
      </c>
      <c r="AL4845">
        <v>66.808510276303707</v>
      </c>
      <c r="AM4845">
        <v>100.72024827278101</v>
      </c>
      <c r="AN4845">
        <v>1.00000004082834</v>
      </c>
    </row>
    <row r="4846" spans="1:40" x14ac:dyDescent="0.25">
      <c r="A4846" t="str">
        <f>"20190304164508271"</f>
        <v>20190304164508271</v>
      </c>
      <c r="B4846" t="str">
        <f>"1551689108265518"</f>
        <v>1551689108265518</v>
      </c>
      <c r="C4846" t="s">
        <v>40</v>
      </c>
      <c r="D4846">
        <v>5.2471509999999997</v>
      </c>
      <c r="E4846">
        <v>0.51082929999999904</v>
      </c>
      <c r="F4846" t="s">
        <v>50</v>
      </c>
      <c r="G4846">
        <v>-387.9393</v>
      </c>
      <c r="H4846" s="1">
        <v>-1.6672370000000001E-6</v>
      </c>
      <c r="I4846">
        <v>22.219750000000001</v>
      </c>
      <c r="J4846">
        <v>-397.16789999999997</v>
      </c>
      <c r="K4846">
        <v>1.115823</v>
      </c>
      <c r="L4846">
        <v>23.02948</v>
      </c>
      <c r="M4846">
        <v>0.96377089999999999</v>
      </c>
      <c r="N4846">
        <v>-1.0266620000000001E-2</v>
      </c>
      <c r="O4846">
        <v>-0.26653329999999997</v>
      </c>
      <c r="P4846">
        <v>0.91758289999999998</v>
      </c>
      <c r="Q4846">
        <v>0.38840970000000002</v>
      </c>
      <c r="R4846">
        <v>-8.4731529999999999E-2</v>
      </c>
      <c r="S4846">
        <v>3.4047239999999999</v>
      </c>
      <c r="T4846">
        <v>-0.39669969999999999</v>
      </c>
      <c r="U4846">
        <v>-0.32131959999999998</v>
      </c>
      <c r="V4846">
        <v>-0.16836679999999901</v>
      </c>
      <c r="W4846">
        <v>0.39542300000000002</v>
      </c>
      <c r="X4846">
        <v>0.90293590000000001</v>
      </c>
      <c r="Y4846">
        <v>-0.17212</v>
      </c>
      <c r="Z4846">
        <v>3.8605529999999999E-2</v>
      </c>
      <c r="AA4846">
        <v>0.98431919999999995</v>
      </c>
      <c r="AB4846">
        <v>36</v>
      </c>
      <c r="AC4846">
        <v>9.2285999999999699</v>
      </c>
      <c r="AD4846">
        <v>-1.115824667237</v>
      </c>
      <c r="AE4846">
        <v>-0.80972999999999795</v>
      </c>
      <c r="AF4846">
        <v>-1.6554080516835501</v>
      </c>
      <c r="AG4846">
        <v>-1.115824667237</v>
      </c>
      <c r="AH4846">
        <v>8.9802769397097997</v>
      </c>
      <c r="AI4846">
        <v>96.966666022720503</v>
      </c>
      <c r="AJ4846">
        <v>100.44455005577299</v>
      </c>
      <c r="AK4846">
        <v>9.1995007701220892</v>
      </c>
      <c r="AL4846">
        <v>66.707641505757195</v>
      </c>
      <c r="AM4846">
        <v>100.56241000102</v>
      </c>
      <c r="AN4846">
        <v>0.99999998389002398</v>
      </c>
    </row>
    <row r="4847" spans="1:40" x14ac:dyDescent="0.25">
      <c r="A4847" t="str">
        <f>"20190304164508293"</f>
        <v>20190304164508293</v>
      </c>
      <c r="B4847" t="str">
        <f>"1551689108285037"</f>
        <v>1551689108285037</v>
      </c>
      <c r="C4847" t="s">
        <v>40</v>
      </c>
      <c r="D4847">
        <v>5.25108</v>
      </c>
      <c r="E4847">
        <v>0.51145719999999995</v>
      </c>
      <c r="F4847" t="s">
        <v>50</v>
      </c>
      <c r="G4847">
        <v>-387.46749999999997</v>
      </c>
      <c r="H4847" s="1">
        <v>-1.8610770000000001E-6</v>
      </c>
      <c r="I4847">
        <v>22.110040000000001</v>
      </c>
      <c r="J4847">
        <v>-396.80610000000001</v>
      </c>
      <c r="K4847">
        <v>1.1154839999999999</v>
      </c>
      <c r="L4847">
        <v>22.93384</v>
      </c>
      <c r="M4847">
        <v>0.96503729999999999</v>
      </c>
      <c r="N4847">
        <v>-1.019946E-2</v>
      </c>
      <c r="O4847">
        <v>-0.2619147</v>
      </c>
      <c r="P4847">
        <v>0.91750869999999995</v>
      </c>
      <c r="Q4847">
        <v>0.38906859999999999</v>
      </c>
      <c r="R4847">
        <v>-8.2483319999999999E-2</v>
      </c>
      <c r="S4847">
        <v>3.4054869999999999</v>
      </c>
      <c r="T4847">
        <v>-0.39173069999999999</v>
      </c>
      <c r="U4847">
        <v>-0.32278440000000003</v>
      </c>
      <c r="V4847">
        <v>-0.16584579999999999</v>
      </c>
      <c r="W4847">
        <v>0.39619199999999999</v>
      </c>
      <c r="X4847">
        <v>0.90306540000000002</v>
      </c>
      <c r="Y4847">
        <v>-0.16713039999999901</v>
      </c>
      <c r="Z4847">
        <v>3.73309E-2</v>
      </c>
      <c r="AA4847">
        <v>0.98522779999999999</v>
      </c>
      <c r="AB4847">
        <v>36</v>
      </c>
      <c r="AC4847">
        <v>9.3386000000000404</v>
      </c>
      <c r="AD4847">
        <v>-1.115485861077</v>
      </c>
      <c r="AE4847">
        <v>-0.82380000000000198</v>
      </c>
      <c r="AF4847">
        <v>-1.6279560967393301</v>
      </c>
      <c r="AG4847">
        <v>-1.115485861077</v>
      </c>
      <c r="AH4847">
        <v>9.09951141182108</v>
      </c>
      <c r="AI4847">
        <v>96.8806967333323</v>
      </c>
      <c r="AJ4847">
        <v>100.143241064473</v>
      </c>
      <c r="AK4847">
        <v>9.31105030020972</v>
      </c>
      <c r="AL4847">
        <v>66.659663773538597</v>
      </c>
      <c r="AM4847">
        <v>100.4062778789</v>
      </c>
      <c r="AN4847">
        <v>1.00000002345939</v>
      </c>
    </row>
    <row r="4848" spans="1:40" x14ac:dyDescent="0.25">
      <c r="A4848" t="str">
        <f>"20190304164508316"</f>
        <v>20190304164508316</v>
      </c>
      <c r="B4848" t="str">
        <f>"1551689108305533"</f>
        <v>1551689108305533</v>
      </c>
      <c r="C4848" t="s">
        <v>40</v>
      </c>
      <c r="D4848">
        <v>5.2792339999999998</v>
      </c>
      <c r="E4848">
        <v>0.51174960000000003</v>
      </c>
      <c r="F4848" t="s">
        <v>50</v>
      </c>
      <c r="G4848">
        <v>-387.0847</v>
      </c>
      <c r="H4848" s="1">
        <v>-2.0190929999999999E-6</v>
      </c>
      <c r="I4848">
        <v>22.02384</v>
      </c>
      <c r="J4848">
        <v>-396.44409999999999</v>
      </c>
      <c r="K4848">
        <v>1.115102</v>
      </c>
      <c r="L4848">
        <v>22.839780000000001</v>
      </c>
      <c r="M4848">
        <v>0.96616349999999995</v>
      </c>
      <c r="N4848">
        <v>-1.013232E-2</v>
      </c>
      <c r="O4848">
        <v>-0.2577315</v>
      </c>
      <c r="P4848">
        <v>0.91788570000000003</v>
      </c>
      <c r="Q4848">
        <v>0.38869860000000001</v>
      </c>
      <c r="R4848">
        <v>-7.9994599999999999E-2</v>
      </c>
      <c r="S4848">
        <v>3.4068299999999998</v>
      </c>
      <c r="T4848">
        <v>-0.3909204</v>
      </c>
      <c r="U4848">
        <v>-0.31890869999999999</v>
      </c>
      <c r="V4848">
        <v>-0.16404360000000001</v>
      </c>
      <c r="W4848">
        <v>0.39593660000000003</v>
      </c>
      <c r="X4848">
        <v>0.90350640000000004</v>
      </c>
      <c r="Y4848">
        <v>-0.16406109999999999</v>
      </c>
      <c r="Z4848">
        <v>3.6641380000000001E-2</v>
      </c>
      <c r="AA4848">
        <v>0.98576949999999997</v>
      </c>
      <c r="AB4848">
        <v>36</v>
      </c>
      <c r="AC4848">
        <v>9.3593999999999902</v>
      </c>
      <c r="AD4848">
        <v>-1.1151040190929999</v>
      </c>
      <c r="AE4848">
        <v>-0.815939999999997</v>
      </c>
      <c r="AF4848">
        <v>-1.6014036099381601</v>
      </c>
      <c r="AG4848">
        <v>-1.1151040190929999</v>
      </c>
      <c r="AH4848">
        <v>9.1249275089492095</v>
      </c>
      <c r="AI4848">
        <v>96.863367507736697</v>
      </c>
      <c r="AJ4848">
        <v>99.953910820503495</v>
      </c>
      <c r="AK4848">
        <v>9.3312513919033595</v>
      </c>
      <c r="AL4848">
        <v>66.675598658963807</v>
      </c>
      <c r="AM4848">
        <v>100.290709281049</v>
      </c>
      <c r="AN4848">
        <v>0.99999995438073896</v>
      </c>
    </row>
    <row r="4849" spans="1:40" x14ac:dyDescent="0.25">
      <c r="A4849" t="str">
        <f>"20190304164508338"</f>
        <v>20190304164508338</v>
      </c>
      <c r="B4849" t="str">
        <f>"1551689108335542"</f>
        <v>1551689108335542</v>
      </c>
      <c r="C4849" t="s">
        <v>40</v>
      </c>
      <c r="D4849">
        <v>5.3062639999999996</v>
      </c>
      <c r="E4849">
        <v>0.52321739999999906</v>
      </c>
      <c r="F4849" t="s">
        <v>50</v>
      </c>
      <c r="G4849">
        <v>-386.78019999999998</v>
      </c>
      <c r="H4849" s="1">
        <v>-2.1452400000000001E-6</v>
      </c>
      <c r="I4849">
        <v>21.956849999999999</v>
      </c>
      <c r="J4849">
        <v>-396.11950000000002</v>
      </c>
      <c r="K4849">
        <v>1.1147290000000001</v>
      </c>
      <c r="L4849">
        <v>22.756530000000001</v>
      </c>
      <c r="M4849">
        <v>0.9670607</v>
      </c>
      <c r="N4849">
        <v>-1.007576E-2</v>
      </c>
      <c r="O4849">
        <v>-0.25434600000000002</v>
      </c>
      <c r="P4849">
        <v>0.9181203</v>
      </c>
      <c r="Q4849">
        <v>0.38887890000000003</v>
      </c>
      <c r="R4849">
        <v>-7.6343770000000005E-2</v>
      </c>
      <c r="S4849">
        <v>3.407715</v>
      </c>
      <c r="T4849">
        <v>-0.39320840000000001</v>
      </c>
      <c r="U4849">
        <v>-0.31134030000000001</v>
      </c>
      <c r="V4849">
        <v>-0.16409760000000001</v>
      </c>
      <c r="W4849">
        <v>0.39620810000000001</v>
      </c>
      <c r="X4849">
        <v>0.9033776</v>
      </c>
      <c r="Y4849">
        <v>-0.162797</v>
      </c>
      <c r="Z4849">
        <v>3.6450799999999998E-2</v>
      </c>
      <c r="AA4849">
        <v>0.98598609999999998</v>
      </c>
      <c r="AB4849">
        <v>37</v>
      </c>
      <c r="AC4849">
        <v>9.3393000000000299</v>
      </c>
      <c r="AD4849">
        <v>-1.1147311452399999</v>
      </c>
      <c r="AE4849">
        <v>-0.79967999999999795</v>
      </c>
      <c r="AF4849">
        <v>-1.5798128125637301</v>
      </c>
      <c r="AG4849">
        <v>-1.1147311452399999</v>
      </c>
      <c r="AH4849">
        <v>9.1067392163295597</v>
      </c>
      <c r="AI4849">
        <v>96.876996352046206</v>
      </c>
      <c r="AJ4849">
        <v>99.841573573513102</v>
      </c>
      <c r="AK4849">
        <v>9.3097332509123696</v>
      </c>
      <c r="AL4849">
        <v>66.658658129574206</v>
      </c>
      <c r="AM4849">
        <v>100.29546066183001</v>
      </c>
      <c r="AN4849">
        <v>0.99999998450656402</v>
      </c>
    </row>
    <row r="4850" spans="1:40" x14ac:dyDescent="0.25">
      <c r="A4850" t="str">
        <f>"20190304164508359"</f>
        <v>20190304164508359</v>
      </c>
      <c r="B4850" t="str">
        <f>"1551689108355062"</f>
        <v>1551689108355062</v>
      </c>
      <c r="C4850" t="s">
        <v>40</v>
      </c>
      <c r="D4850">
        <v>5.2665709999999999</v>
      </c>
      <c r="E4850">
        <v>0.52303060000000001</v>
      </c>
      <c r="F4850" t="s">
        <v>50</v>
      </c>
      <c r="G4850">
        <v>-387.31979999999999</v>
      </c>
      <c r="H4850" s="1">
        <v>-1.8350729999999999E-6</v>
      </c>
      <c r="I4850">
        <v>21.749890000000001</v>
      </c>
      <c r="J4850">
        <v>-395.75920000000002</v>
      </c>
      <c r="K4850">
        <v>1.114317</v>
      </c>
      <c r="L4850">
        <v>22.665130000000001</v>
      </c>
      <c r="M4850">
        <v>0.96794749999999996</v>
      </c>
      <c r="N4850">
        <v>-1.0017939999999999E-2</v>
      </c>
      <c r="O4850">
        <v>-0.25095289999999998</v>
      </c>
      <c r="P4850">
        <v>0.9188809</v>
      </c>
      <c r="Q4850">
        <v>0.38794919999999999</v>
      </c>
      <c r="R4850">
        <v>-7.1787309999999993E-2</v>
      </c>
      <c r="S4850">
        <v>3.4184269999999999</v>
      </c>
      <c r="T4850">
        <v>-0.43304199999999998</v>
      </c>
      <c r="U4850">
        <v>-0.39105220000000002</v>
      </c>
      <c r="V4850">
        <v>-0.16511799999999999</v>
      </c>
      <c r="W4850">
        <v>0.3953739</v>
      </c>
      <c r="X4850">
        <v>0.90355719999999995</v>
      </c>
      <c r="Y4850">
        <v>-0.13653489999999999</v>
      </c>
      <c r="Z4850">
        <v>3.7941719999999998E-2</v>
      </c>
      <c r="AA4850">
        <v>0.98990840000000002</v>
      </c>
      <c r="AB4850">
        <v>37</v>
      </c>
      <c r="AC4850">
        <v>8.4394000000000293</v>
      </c>
      <c r="AD4850">
        <v>-1.114318835073</v>
      </c>
      <c r="AE4850">
        <v>-0.91523999999999694</v>
      </c>
      <c r="AF4850">
        <v>-1.21117922779856</v>
      </c>
      <c r="AG4850">
        <v>-1.114318835073</v>
      </c>
      <c r="AH4850">
        <v>8.2567253536707792</v>
      </c>
      <c r="AI4850">
        <v>97.605710616448206</v>
      </c>
      <c r="AJ4850">
        <v>98.345201589795394</v>
      </c>
      <c r="AK4850">
        <v>8.4191552518052006</v>
      </c>
      <c r="AL4850">
        <v>66.710705805461203</v>
      </c>
      <c r="AM4850">
        <v>100.356084434328</v>
      </c>
      <c r="AN4850">
        <v>1.00000004419852</v>
      </c>
    </row>
    <row r="4851" spans="1:40" x14ac:dyDescent="0.25">
      <c r="A4851" t="str">
        <f>"20190304164508383"</f>
        <v>20190304164508383</v>
      </c>
      <c r="B4851" t="str">
        <f>"1551689108375558"</f>
        <v>1551689108375558</v>
      </c>
      <c r="C4851" t="s">
        <v>40</v>
      </c>
      <c r="D4851">
        <v>5.2879379999999996</v>
      </c>
      <c r="E4851">
        <v>0.52311969999999997</v>
      </c>
      <c r="F4851" t="s">
        <v>50</v>
      </c>
      <c r="G4851">
        <v>-387.04160000000002</v>
      </c>
      <c r="H4851" s="1">
        <v>-1.9552509999999999E-6</v>
      </c>
      <c r="I4851">
        <v>21.707239999999999</v>
      </c>
      <c r="J4851">
        <v>-395.38279999999997</v>
      </c>
      <c r="K4851">
        <v>1.1138950000000001</v>
      </c>
      <c r="L4851">
        <v>22.570650000000001</v>
      </c>
      <c r="M4851">
        <v>0.96875299999999998</v>
      </c>
      <c r="N4851">
        <v>-9.9585400000000001E-3</v>
      </c>
      <c r="O4851">
        <v>-0.2478281</v>
      </c>
      <c r="P4851">
        <v>0.92001460000000002</v>
      </c>
      <c r="Q4851">
        <v>0.38594020000000001</v>
      </c>
      <c r="R4851">
        <v>-6.7998729999999993E-2</v>
      </c>
      <c r="S4851">
        <v>3.4200129999999902</v>
      </c>
      <c r="T4851">
        <v>-0.43716060000000001</v>
      </c>
      <c r="U4851">
        <v>-0.3757935</v>
      </c>
      <c r="V4851">
        <v>-0.16572600000000001</v>
      </c>
      <c r="W4851">
        <v>0.39347349999999998</v>
      </c>
      <c r="X4851">
        <v>0.9042751</v>
      </c>
      <c r="Y4851">
        <v>-0.13770669999999999</v>
      </c>
      <c r="Z4851">
        <v>3.8051550000000003E-2</v>
      </c>
      <c r="AA4851">
        <v>0.98974189999999995</v>
      </c>
      <c r="AB4851">
        <v>37</v>
      </c>
      <c r="AC4851">
        <v>8.3411999999999509</v>
      </c>
      <c r="AD4851">
        <v>-1.1138969552509901</v>
      </c>
      <c r="AE4851">
        <v>-0.86341000000000101</v>
      </c>
      <c r="AF4851">
        <v>-1.20947325136519</v>
      </c>
      <c r="AG4851">
        <v>-1.1138969552509901</v>
      </c>
      <c r="AH4851">
        <v>8.1511288478108597</v>
      </c>
      <c r="AI4851">
        <v>97.698326929869495</v>
      </c>
      <c r="AJ4851">
        <v>98.440027620655798</v>
      </c>
      <c r="AK4851">
        <v>8.3153167989138996</v>
      </c>
      <c r="AL4851">
        <v>66.829195372548398</v>
      </c>
      <c r="AM4851">
        <v>100.385316540503</v>
      </c>
      <c r="AN4851">
        <v>0.99999997937912899</v>
      </c>
    </row>
    <row r="4852" spans="1:40" x14ac:dyDescent="0.25">
      <c r="A4852" t="str">
        <f>"20190304164508404"</f>
        <v>20190304164508404</v>
      </c>
      <c r="B4852" t="str">
        <f>"1551689108395078"</f>
        <v>1551689108395078</v>
      </c>
      <c r="C4852" t="s">
        <v>40</v>
      </c>
      <c r="D4852">
        <v>5.3592370000000003</v>
      </c>
      <c r="E4852">
        <v>0.52363700000000002</v>
      </c>
      <c r="F4852" t="s">
        <v>50</v>
      </c>
      <c r="G4852">
        <v>-386.82260000000002</v>
      </c>
      <c r="H4852" s="1">
        <v>-2.047076E-6</v>
      </c>
      <c r="I4852">
        <v>21.663409999999999</v>
      </c>
      <c r="J4852">
        <v>-395.04399999999998</v>
      </c>
      <c r="K4852">
        <v>1.1135170000000001</v>
      </c>
      <c r="L4852">
        <v>22.48639</v>
      </c>
      <c r="M4852">
        <v>0.96936789999999995</v>
      </c>
      <c r="N4852">
        <v>-9.9078329999999996E-3</v>
      </c>
      <c r="O4852">
        <v>-0.24541350000000001</v>
      </c>
      <c r="P4852">
        <v>0.92097410000000002</v>
      </c>
      <c r="Q4852">
        <v>0.38418089999999999</v>
      </c>
      <c r="R4852">
        <v>-6.4899849999999995E-2</v>
      </c>
      <c r="S4852">
        <v>3.420776</v>
      </c>
      <c r="T4852">
        <v>-0.44513229999999998</v>
      </c>
      <c r="U4852">
        <v>-0.3625488</v>
      </c>
      <c r="V4852">
        <v>-0.1663317</v>
      </c>
      <c r="W4852">
        <v>0.39181589999999999</v>
      </c>
      <c r="X4852">
        <v>0.9048834</v>
      </c>
      <c r="Y4852">
        <v>-0.13894709999999999</v>
      </c>
      <c r="Z4852">
        <v>3.8592729999999999E-2</v>
      </c>
      <c r="AA4852">
        <v>0.98954759999999997</v>
      </c>
      <c r="AB4852">
        <v>37</v>
      </c>
      <c r="AC4852">
        <v>8.2214000000000098</v>
      </c>
      <c r="AD4852">
        <v>-1.1135190470759999</v>
      </c>
      <c r="AE4852">
        <v>-0.82298000000000104</v>
      </c>
      <c r="AF4852">
        <v>-1.1981703208835599</v>
      </c>
      <c r="AG4852">
        <v>-1.1135190470759999</v>
      </c>
      <c r="AH4852">
        <v>8.0261580436489108</v>
      </c>
      <c r="AI4852">
        <v>97.8130897502827</v>
      </c>
      <c r="AJ4852">
        <v>98.490593865035805</v>
      </c>
      <c r="AK4852">
        <v>8.1911384878829505</v>
      </c>
      <c r="AL4852">
        <v>66.9324615156101</v>
      </c>
      <c r="AM4852">
        <v>100.415589747892</v>
      </c>
      <c r="AN4852">
        <v>0.99999995075662795</v>
      </c>
    </row>
    <row r="4853" spans="1:40" x14ac:dyDescent="0.25">
      <c r="A4853" t="str">
        <f>"20190304164508426"</f>
        <v>20190304164508426</v>
      </c>
      <c r="B4853" t="str">
        <f>"1551689108415294"</f>
        <v>1551689108415294</v>
      </c>
      <c r="C4853" t="s">
        <v>40</v>
      </c>
      <c r="D4853">
        <v>5.2753069999999997</v>
      </c>
      <c r="E4853">
        <v>0.5238855</v>
      </c>
      <c r="F4853" t="s">
        <v>50</v>
      </c>
      <c r="G4853">
        <v>-386.61630000000002</v>
      </c>
      <c r="H4853" s="1">
        <v>-2.1315069999999998E-6</v>
      </c>
      <c r="I4853">
        <v>21.614149999999999</v>
      </c>
      <c r="J4853">
        <v>-394.70359999999999</v>
      </c>
      <c r="K4853">
        <v>1.1131500000000001</v>
      </c>
      <c r="L4853">
        <v>22.402249999999999</v>
      </c>
      <c r="M4853">
        <v>0.9698812</v>
      </c>
      <c r="N4853">
        <v>-9.8609769999999999E-3</v>
      </c>
      <c r="O4853">
        <v>-0.24337909999999999</v>
      </c>
      <c r="P4853">
        <v>0.92167949999999998</v>
      </c>
      <c r="Q4853">
        <v>0.38300220000000001</v>
      </c>
      <c r="R4853">
        <v>-6.177734E-2</v>
      </c>
      <c r="S4853">
        <v>3.4210509999999998</v>
      </c>
      <c r="T4853">
        <v>-0.45201029999999998</v>
      </c>
      <c r="U4853">
        <v>-0.35406490000000002</v>
      </c>
      <c r="V4853">
        <v>-0.16725209999999999</v>
      </c>
      <c r="W4853">
        <v>0.39074249999999999</v>
      </c>
      <c r="X4853">
        <v>0.90517789999999998</v>
      </c>
      <c r="Y4853">
        <v>-0.13922109999999999</v>
      </c>
      <c r="Z4853">
        <v>3.9004490000000003E-2</v>
      </c>
      <c r="AA4853">
        <v>0.98949290000000001</v>
      </c>
      <c r="AB4853">
        <v>37</v>
      </c>
      <c r="AC4853">
        <v>8.0872999999999706</v>
      </c>
      <c r="AD4853">
        <v>-1.1131521315070001</v>
      </c>
      <c r="AE4853">
        <v>-0.78810000000000002</v>
      </c>
      <c r="AF4853">
        <v>-1.18179597438275</v>
      </c>
      <c r="AG4853">
        <v>-1.1131521315070001</v>
      </c>
      <c r="AH4853">
        <v>7.8878846080564999</v>
      </c>
      <c r="AI4853">
        <v>97.945110014583904</v>
      </c>
      <c r="AJ4853">
        <v>98.520914214591102</v>
      </c>
      <c r="AK4853">
        <v>8.0532274885886892</v>
      </c>
      <c r="AL4853">
        <v>66.999292153781596</v>
      </c>
      <c r="AM4853">
        <v>100.468621323265</v>
      </c>
      <c r="AN4853">
        <v>0.99999999845453402</v>
      </c>
    </row>
    <row r="4854" spans="1:40" x14ac:dyDescent="0.25">
      <c r="A4854" t="str">
        <f>"20190304164508449"</f>
        <v>20190304164508449</v>
      </c>
      <c r="B4854" t="str">
        <f>"1551689108445540"</f>
        <v>1551689108445540</v>
      </c>
      <c r="C4854" t="s">
        <v>40</v>
      </c>
      <c r="D4854">
        <v>5.2853300000000001</v>
      </c>
      <c r="E4854">
        <v>0.52428169999999996</v>
      </c>
      <c r="F4854" t="s">
        <v>50</v>
      </c>
      <c r="G4854">
        <v>-386.3596</v>
      </c>
      <c r="H4854" s="1">
        <v>-2.2381400000000001E-6</v>
      </c>
      <c r="I4854">
        <v>21.558789999999998</v>
      </c>
      <c r="J4854">
        <v>-394.32780000000002</v>
      </c>
      <c r="K4854">
        <v>1.112744</v>
      </c>
      <c r="L4854">
        <v>22.309840000000001</v>
      </c>
      <c r="M4854">
        <v>0.97033970000000003</v>
      </c>
      <c r="N4854">
        <v>-9.8143439999999992E-3</v>
      </c>
      <c r="O4854">
        <v>-0.2415465</v>
      </c>
      <c r="P4854">
        <v>0.92215729999999996</v>
      </c>
      <c r="Q4854">
        <v>0.3825153</v>
      </c>
      <c r="R4854">
        <v>-5.7513759999999997E-2</v>
      </c>
      <c r="S4854">
        <v>3.4214169999999999</v>
      </c>
      <c r="T4854">
        <v>-0.45644000000000001</v>
      </c>
      <c r="U4854">
        <v>-0.34585569999999999</v>
      </c>
      <c r="V4854">
        <v>-0.1693857</v>
      </c>
      <c r="W4854">
        <v>0.39036500000000002</v>
      </c>
      <c r="X4854">
        <v>0.90494399999999997</v>
      </c>
      <c r="Y4854">
        <v>-0.13965749999999999</v>
      </c>
      <c r="Z4854">
        <v>3.922498E-2</v>
      </c>
      <c r="AA4854">
        <v>0.98942269999999999</v>
      </c>
      <c r="AB4854">
        <v>37</v>
      </c>
      <c r="AC4854">
        <v>7.9682000000000199</v>
      </c>
      <c r="AD4854">
        <v>-1.11274623814</v>
      </c>
      <c r="AE4854">
        <v>-0.751049999999999</v>
      </c>
      <c r="AF4854">
        <v>-1.1732949690891801</v>
      </c>
      <c r="AG4854">
        <v>-1.11274623814</v>
      </c>
      <c r="AH4854">
        <v>7.7635851391489297</v>
      </c>
      <c r="AI4854">
        <v>98.066221449588397</v>
      </c>
      <c r="AJ4854">
        <v>98.593961690044296</v>
      </c>
      <c r="AK4854">
        <v>7.9302004695845403</v>
      </c>
      <c r="AL4854">
        <v>67.022787228751</v>
      </c>
      <c r="AM4854">
        <v>100.601837199939</v>
      </c>
      <c r="AN4854">
        <v>0.99999999586274502</v>
      </c>
    </row>
    <row r="4855" spans="1:40" x14ac:dyDescent="0.25">
      <c r="A4855" t="str">
        <f>"20190304164508471"</f>
        <v>20190304164508471</v>
      </c>
      <c r="B4855" t="str">
        <f>"1551689108465060"</f>
        <v>1551689108465060</v>
      </c>
      <c r="C4855" t="s">
        <v>40</v>
      </c>
      <c r="D4855">
        <v>5.2856540000000001</v>
      </c>
      <c r="E4855">
        <v>0.52445140000000001</v>
      </c>
      <c r="F4855" t="s">
        <v>50</v>
      </c>
      <c r="G4855">
        <v>-386.02289999999999</v>
      </c>
      <c r="H4855" s="1">
        <v>-2.3810799999999998E-6</v>
      </c>
      <c r="I4855">
        <v>21.497879999999999</v>
      </c>
      <c r="J4855">
        <v>-393.97989999999999</v>
      </c>
      <c r="K4855">
        <v>1.112385</v>
      </c>
      <c r="L4855">
        <v>22.224640000000001</v>
      </c>
      <c r="M4855">
        <v>0.97067400000000004</v>
      </c>
      <c r="N4855">
        <v>-9.7758700000000007E-3</v>
      </c>
      <c r="O4855">
        <v>-0.24020059999999999</v>
      </c>
      <c r="P4855">
        <v>0.92274350000000005</v>
      </c>
      <c r="Q4855">
        <v>0.38150400000000001</v>
      </c>
      <c r="R4855">
        <v>-5.4766950000000002E-2</v>
      </c>
      <c r="S4855">
        <v>3.4226070000000002</v>
      </c>
      <c r="T4855">
        <v>-0.4585843</v>
      </c>
      <c r="U4855">
        <v>-0.33462520000000001</v>
      </c>
      <c r="V4855">
        <v>-0.1705777</v>
      </c>
      <c r="W4855">
        <v>0.38946350000000002</v>
      </c>
      <c r="X4855">
        <v>0.90510849999999998</v>
      </c>
      <c r="Y4855">
        <v>-0.14149600000000001</v>
      </c>
      <c r="Z4855">
        <v>3.9388479999999997E-2</v>
      </c>
      <c r="AA4855">
        <v>0.98915489999999995</v>
      </c>
      <c r="AB4855">
        <v>37</v>
      </c>
      <c r="AC4855">
        <v>7.9569999999999901</v>
      </c>
      <c r="AD4855">
        <v>-1.11238738108</v>
      </c>
      <c r="AE4855">
        <v>-0.72676000000000196</v>
      </c>
      <c r="AF4855">
        <v>-1.1829583556299601</v>
      </c>
      <c r="AG4855">
        <v>-1.11238738108</v>
      </c>
      <c r="AH4855">
        <v>7.7484168164359497</v>
      </c>
      <c r="AI4855">
        <v>98.0774052922648</v>
      </c>
      <c r="AJ4855">
        <v>98.680374751872506</v>
      </c>
      <c r="AK4855">
        <v>7.91673918466235</v>
      </c>
      <c r="AL4855">
        <v>67.078878665860501</v>
      </c>
      <c r="AM4855">
        <v>100.67284011524499</v>
      </c>
      <c r="AN4855">
        <v>0.999999983170894</v>
      </c>
    </row>
    <row r="4856" spans="1:40" x14ac:dyDescent="0.25">
      <c r="A4856" t="str">
        <f>"20190304164508494"</f>
        <v>20190304164508494</v>
      </c>
      <c r="B4856" t="str">
        <f>"1551689108485557"</f>
        <v>1551689108485557</v>
      </c>
      <c r="C4856" t="s">
        <v>40</v>
      </c>
      <c r="D4856">
        <v>5.2818559999999897</v>
      </c>
      <c r="E4856">
        <v>0.52482930000000005</v>
      </c>
      <c r="F4856" t="s">
        <v>50</v>
      </c>
      <c r="G4856">
        <v>-385.7296</v>
      </c>
      <c r="H4856" s="1">
        <v>-2.5047980000000001E-6</v>
      </c>
      <c r="I4856">
        <v>21.441800000000001</v>
      </c>
      <c r="J4856">
        <v>-393.61439999999999</v>
      </c>
      <c r="K4856">
        <v>1.112033</v>
      </c>
      <c r="L4856">
        <v>22.135380000000001</v>
      </c>
      <c r="M4856">
        <v>0.97094760000000002</v>
      </c>
      <c r="N4856">
        <v>-9.7399489999999995E-3</v>
      </c>
      <c r="O4856">
        <v>-0.2390938</v>
      </c>
      <c r="P4856">
        <v>0.92296900000000004</v>
      </c>
      <c r="Q4856">
        <v>0.3811078</v>
      </c>
      <c r="R4856">
        <v>-5.371244E-2</v>
      </c>
      <c r="S4856">
        <v>3.4226990000000002</v>
      </c>
      <c r="T4856">
        <v>-0.46148479999999997</v>
      </c>
      <c r="U4856">
        <v>-0.324768099999999</v>
      </c>
      <c r="V4856">
        <v>-0.170284299999999</v>
      </c>
      <c r="W4856">
        <v>0.38918199999999997</v>
      </c>
      <c r="X4856">
        <v>0.9052848</v>
      </c>
      <c r="Y4856">
        <v>-0.143142299999999</v>
      </c>
      <c r="Z4856">
        <v>3.9644409999999998E-2</v>
      </c>
      <c r="AA4856">
        <v>0.9889078</v>
      </c>
      <c r="AB4856">
        <v>37</v>
      </c>
      <c r="AC4856">
        <v>7.8847999999999798</v>
      </c>
      <c r="AD4856">
        <v>-1.112035504798</v>
      </c>
      <c r="AE4856">
        <v>-0.69357999999999698</v>
      </c>
      <c r="AF4856">
        <v>-1.1883779780860499</v>
      </c>
      <c r="AG4856">
        <v>-1.112035504798</v>
      </c>
      <c r="AH4856">
        <v>7.6705268200846897</v>
      </c>
      <c r="AI4856">
        <v>98.153054412863298</v>
      </c>
      <c r="AJ4856">
        <v>98.806694210628507</v>
      </c>
      <c r="AK4856">
        <v>7.8412911488076897</v>
      </c>
      <c r="AL4856">
        <v>67.096388660354805</v>
      </c>
      <c r="AM4856">
        <v>100.65287560021</v>
      </c>
      <c r="AN4856">
        <v>0.99999997053076395</v>
      </c>
    </row>
    <row r="4857" spans="1:40" x14ac:dyDescent="0.25">
      <c r="A4857" t="str">
        <f>"20190304164508517"</f>
        <v>20190304164508517</v>
      </c>
      <c r="B4857" t="str">
        <f>"1551689108505078"</f>
        <v>1551689108505078</v>
      </c>
      <c r="C4857" t="s">
        <v>40</v>
      </c>
      <c r="D4857">
        <v>5.2875110000000003</v>
      </c>
      <c r="E4857">
        <v>0.52501149999999996</v>
      </c>
      <c r="F4857" t="s">
        <v>50</v>
      </c>
      <c r="G4857">
        <v>-385.39159999999998</v>
      </c>
      <c r="H4857" s="1">
        <v>-2.6450429999999998E-6</v>
      </c>
      <c r="I4857">
        <v>21.368390000000002</v>
      </c>
      <c r="J4857">
        <v>-393.26490000000001</v>
      </c>
      <c r="K4857">
        <v>1.1117509999999999</v>
      </c>
      <c r="L4857">
        <v>22.050260000000002</v>
      </c>
      <c r="M4857">
        <v>0.97114389999999995</v>
      </c>
      <c r="N4857">
        <v>-9.7097450000000005E-3</v>
      </c>
      <c r="O4857">
        <v>-0.2382967</v>
      </c>
      <c r="P4857">
        <v>0.92195579999999999</v>
      </c>
      <c r="Q4857">
        <v>0.38357229999999998</v>
      </c>
      <c r="R4857">
        <v>-5.3572790000000002E-2</v>
      </c>
      <c r="S4857">
        <v>3.4229129999999999</v>
      </c>
      <c r="T4857">
        <v>-0.46290920000000002</v>
      </c>
      <c r="U4857">
        <v>-0.31927489999999997</v>
      </c>
      <c r="V4857">
        <v>-0.1691684</v>
      </c>
      <c r="W4857">
        <v>0.39173259999999899</v>
      </c>
      <c r="X4857">
        <v>0.90439360000000002</v>
      </c>
      <c r="Y4857">
        <v>-0.14388670000000001</v>
      </c>
      <c r="Z4857">
        <v>3.973521E-2</v>
      </c>
      <c r="AA4857">
        <v>0.98879609999999996</v>
      </c>
      <c r="AB4857">
        <v>37</v>
      </c>
      <c r="AC4857">
        <v>7.8733000000000199</v>
      </c>
      <c r="AD4857">
        <v>-1.1117536450429999</v>
      </c>
      <c r="AE4857">
        <v>-0.68187000000000297</v>
      </c>
      <c r="AF4857">
        <v>-1.19048434353701</v>
      </c>
      <c r="AG4857">
        <v>-1.1117536450429999</v>
      </c>
      <c r="AH4857">
        <v>7.6574178334554102</v>
      </c>
      <c r="AI4857">
        <v>98.164122192513005</v>
      </c>
      <c r="AJ4857">
        <v>98.836923084064594</v>
      </c>
      <c r="AK4857">
        <v>7.8287481129229199</v>
      </c>
      <c r="AL4857">
        <v>66.937652096222095</v>
      </c>
      <c r="AM4857">
        <v>100.594842336235</v>
      </c>
      <c r="AN4857">
        <v>1.00000008059113</v>
      </c>
    </row>
    <row r="4858" spans="1:40" x14ac:dyDescent="0.25">
      <c r="A4858" t="str">
        <f>"20190304164508537"</f>
        <v>20190304164508537</v>
      </c>
      <c r="B4858" t="str">
        <f>"1551689108525572"</f>
        <v>1551689108525572</v>
      </c>
      <c r="C4858" t="s">
        <v>40</v>
      </c>
      <c r="D4858">
        <v>5.29739</v>
      </c>
      <c r="E4858">
        <v>0.52959499999999904</v>
      </c>
      <c r="F4858" t="s">
        <v>50</v>
      </c>
      <c r="G4858">
        <v>-384.89269999999999</v>
      </c>
      <c r="H4858" s="1">
        <v>-2.8578439999999999E-6</v>
      </c>
      <c r="I4858">
        <v>21.2818</v>
      </c>
      <c r="J4858">
        <v>-392.92540000000002</v>
      </c>
      <c r="K4858">
        <v>1.111523</v>
      </c>
      <c r="L4858">
        <v>21.967739999999999</v>
      </c>
      <c r="M4858">
        <v>0.97129489999999996</v>
      </c>
      <c r="N4858">
        <v>-9.6836890000000005E-3</v>
      </c>
      <c r="O4858">
        <v>-0.2376819</v>
      </c>
      <c r="P4858">
        <v>0.92117179999999999</v>
      </c>
      <c r="Q4858">
        <v>0.385349</v>
      </c>
      <c r="R4858">
        <v>-5.430546E-2</v>
      </c>
      <c r="S4858">
        <v>3.4248660000000002</v>
      </c>
      <c r="T4858">
        <v>-0.4547929</v>
      </c>
      <c r="U4858">
        <v>-0.31436160000000002</v>
      </c>
      <c r="V4858">
        <v>-0.1674805</v>
      </c>
      <c r="W4858">
        <v>0.39358100000000001</v>
      </c>
      <c r="X4858">
        <v>0.90390499999999996</v>
      </c>
      <c r="Y4858">
        <v>-0.14483089999999901</v>
      </c>
      <c r="Z4858">
        <v>3.8995490000000001E-2</v>
      </c>
      <c r="AA4858">
        <v>0.98868769999999995</v>
      </c>
      <c r="AB4858">
        <v>37</v>
      </c>
      <c r="AC4858">
        <v>8.0327000000000304</v>
      </c>
      <c r="AD4858">
        <v>-1.1115258578439999</v>
      </c>
      <c r="AE4858">
        <v>-0.685939999999998</v>
      </c>
      <c r="AF4858">
        <v>-1.2198473557220899</v>
      </c>
      <c r="AG4858">
        <v>-1.1115258578439999</v>
      </c>
      <c r="AH4858">
        <v>7.8169359833922796</v>
      </c>
      <c r="AI4858">
        <v>97.997379238247703</v>
      </c>
      <c r="AJ4858">
        <v>98.869576472565896</v>
      </c>
      <c r="AK4858">
        <v>7.9892431101056802</v>
      </c>
      <c r="AL4858">
        <v>66.822495625278705</v>
      </c>
      <c r="AM4858">
        <v>100.497034577549</v>
      </c>
      <c r="AN4858">
        <v>0.99999998523312394</v>
      </c>
    </row>
    <row r="4859" spans="1:40" x14ac:dyDescent="0.25">
      <c r="A4859" t="str">
        <f>"20190304164508560"</f>
        <v>20190304164508560</v>
      </c>
      <c r="B4859" t="str">
        <f>"1551689108554852"</f>
        <v>1551689108554852</v>
      </c>
      <c r="C4859" t="s">
        <v>40</v>
      </c>
      <c r="D4859">
        <v>5.3187639999999998</v>
      </c>
      <c r="E4859">
        <v>0.53031689999999998</v>
      </c>
      <c r="F4859" t="s">
        <v>50</v>
      </c>
      <c r="G4859">
        <v>-384.55799999999999</v>
      </c>
      <c r="H4859" s="1">
        <v>-2.9728160000000002E-6</v>
      </c>
      <c r="I4859">
        <v>21.119260000000001</v>
      </c>
      <c r="J4859">
        <v>-392.54410000000001</v>
      </c>
      <c r="K4859">
        <v>1.111329</v>
      </c>
      <c r="L4859">
        <v>21.875150000000001</v>
      </c>
      <c r="M4859">
        <v>0.97143349999999995</v>
      </c>
      <c r="N4859">
        <v>-9.6580369999999995E-3</v>
      </c>
      <c r="O4859">
        <v>-0.23711489999999999</v>
      </c>
      <c r="P4859">
        <v>0.92061499999999996</v>
      </c>
      <c r="Q4859">
        <v>0.38646370000000002</v>
      </c>
      <c r="R4859">
        <v>-5.5800530000000001E-2</v>
      </c>
      <c r="S4859">
        <v>3.426666</v>
      </c>
      <c r="T4859">
        <v>-0.4551946</v>
      </c>
      <c r="U4859">
        <v>-0.34747309999999998</v>
      </c>
      <c r="V4859">
        <v>-0.1651736</v>
      </c>
      <c r="W4859">
        <v>0.39476060000000002</v>
      </c>
      <c r="X4859">
        <v>0.90381509999999998</v>
      </c>
      <c r="Y4859">
        <v>-0.13492570000000001</v>
      </c>
      <c r="Z4859">
        <v>3.8218969999999998E-2</v>
      </c>
      <c r="AA4859">
        <v>0.99011839999999995</v>
      </c>
      <c r="AB4859">
        <v>37</v>
      </c>
      <c r="AC4859">
        <v>7.9860999999999596</v>
      </c>
      <c r="AD4859">
        <v>-1.111331972816</v>
      </c>
      <c r="AE4859">
        <v>-0.75588999999999995</v>
      </c>
      <c r="AF4859">
        <v>-1.1375475809845399</v>
      </c>
      <c r="AG4859">
        <v>-1.111331972816</v>
      </c>
      <c r="AH4859">
        <v>7.7880913880176799</v>
      </c>
      <c r="AI4859">
        <v>98.036925263030994</v>
      </c>
      <c r="AJ4859">
        <v>98.309997673645896</v>
      </c>
      <c r="AK4859">
        <v>7.9488012128195802</v>
      </c>
      <c r="AL4859">
        <v>66.748955673213999</v>
      </c>
      <c r="AM4859">
        <v>100.35660407158301</v>
      </c>
      <c r="AN4859">
        <v>0.99999999221866498</v>
      </c>
    </row>
    <row r="4860" spans="1:40" x14ac:dyDescent="0.25">
      <c r="A4860" t="str">
        <f>"20190304164508583"</f>
        <v>20190304164508583</v>
      </c>
      <c r="B4860" t="str">
        <f>"1551689108575347"</f>
        <v>1551689108575347</v>
      </c>
      <c r="C4860" t="s">
        <v>40</v>
      </c>
      <c r="D4860">
        <v>5.3301339999999904</v>
      </c>
      <c r="E4860">
        <v>0.53035679999999996</v>
      </c>
      <c r="F4860" t="s">
        <v>50</v>
      </c>
      <c r="G4860">
        <v>-384.1592</v>
      </c>
      <c r="H4860" s="1">
        <v>-3.1325239999999999E-6</v>
      </c>
      <c r="I4860">
        <v>21.011130000000001</v>
      </c>
      <c r="J4860">
        <v>-392.17039999999997</v>
      </c>
      <c r="K4860">
        <v>1.111173</v>
      </c>
      <c r="L4860">
        <v>21.784610000000001</v>
      </c>
      <c r="M4860">
        <v>0.97155259999999999</v>
      </c>
      <c r="N4860">
        <v>-9.6362549999999998E-3</v>
      </c>
      <c r="O4860">
        <v>-0.23662810000000001</v>
      </c>
      <c r="P4860">
        <v>0.92062250000000001</v>
      </c>
      <c r="Q4860">
        <v>0.38616660000000003</v>
      </c>
      <c r="R4860">
        <v>-5.7703530000000003E-2</v>
      </c>
      <c r="S4860">
        <v>3.4280089999999999</v>
      </c>
      <c r="T4860">
        <v>-0.45434819999999998</v>
      </c>
      <c r="U4860">
        <v>-0.35324100000000003</v>
      </c>
      <c r="V4860">
        <v>-0.16272120000000001</v>
      </c>
      <c r="W4860">
        <v>0.3945166</v>
      </c>
      <c r="X4860">
        <v>0.90436629999999996</v>
      </c>
      <c r="Y4860">
        <v>-0.1328558</v>
      </c>
      <c r="Z4860">
        <v>3.7925319999999998E-2</v>
      </c>
      <c r="AA4860">
        <v>0.99040950000000005</v>
      </c>
      <c r="AB4860">
        <v>37</v>
      </c>
      <c r="AC4860">
        <v>8.0111999999999703</v>
      </c>
      <c r="AD4860">
        <v>-1.1111761325239999</v>
      </c>
      <c r="AE4860">
        <v>-0.77348000000000205</v>
      </c>
      <c r="AF4860">
        <v>-1.1228491638514899</v>
      </c>
      <c r="AG4860">
        <v>-1.1111761325239999</v>
      </c>
      <c r="AH4860">
        <v>7.8176871866360402</v>
      </c>
      <c r="AI4860">
        <v>98.008514646949294</v>
      </c>
      <c r="AJ4860">
        <v>98.173455798077896</v>
      </c>
      <c r="AK4860">
        <v>7.9756965583167903</v>
      </c>
      <c r="AL4860">
        <v>66.764170221915094</v>
      </c>
      <c r="AM4860">
        <v>100.20000118310401</v>
      </c>
      <c r="AN4860">
        <v>0.99999997059034396</v>
      </c>
    </row>
    <row r="4861" spans="1:40" x14ac:dyDescent="0.25">
      <c r="A4861" t="str">
        <f>"20190304164508605"</f>
        <v>20190304164508605</v>
      </c>
      <c r="B4861" t="str">
        <f>"1551689108594868"</f>
        <v>1551689108594868</v>
      </c>
      <c r="C4861" t="s">
        <v>40</v>
      </c>
      <c r="D4861">
        <v>5.2929599999999999</v>
      </c>
      <c r="E4861">
        <v>0.53057339999999997</v>
      </c>
      <c r="F4861" t="s">
        <v>50</v>
      </c>
      <c r="G4861">
        <v>-383.85199999999998</v>
      </c>
      <c r="H4861" s="1">
        <v>-3.2513889999999998E-6</v>
      </c>
      <c r="I4861">
        <v>20.911999999999999</v>
      </c>
      <c r="J4861">
        <v>-391.82499999999999</v>
      </c>
      <c r="K4861">
        <v>1.1110679999999999</v>
      </c>
      <c r="L4861">
        <v>21.701049999999999</v>
      </c>
      <c r="M4861">
        <v>0.97165550000000001</v>
      </c>
      <c r="N4861">
        <v>-9.6188220000000008E-3</v>
      </c>
      <c r="O4861">
        <v>-0.23620630000000001</v>
      </c>
      <c r="P4861">
        <v>0.92067069999999995</v>
      </c>
      <c r="Q4861">
        <v>0.38582379999999999</v>
      </c>
      <c r="R4861">
        <v>-5.9207740000000002E-2</v>
      </c>
      <c r="S4861">
        <v>3.4281920000000001</v>
      </c>
      <c r="T4861">
        <v>-0.45794079999999898</v>
      </c>
      <c r="U4861">
        <v>-0.35961910000000002</v>
      </c>
      <c r="V4861">
        <v>-0.1607674</v>
      </c>
      <c r="W4861">
        <v>0.39421200000000001</v>
      </c>
      <c r="X4861">
        <v>0.90484849999999994</v>
      </c>
      <c r="Y4861">
        <v>-0.1305846</v>
      </c>
      <c r="Z4861">
        <v>3.8019379999999998E-2</v>
      </c>
      <c r="AA4861">
        <v>0.99070789999999997</v>
      </c>
      <c r="AB4861">
        <v>37</v>
      </c>
      <c r="AC4861">
        <v>7.9730000000000096</v>
      </c>
      <c r="AD4861">
        <v>-1.111071251389</v>
      </c>
      <c r="AE4861">
        <v>-0.78904999999999903</v>
      </c>
      <c r="AF4861">
        <v>-1.0955703367414</v>
      </c>
      <c r="AG4861">
        <v>-1.111071251389</v>
      </c>
      <c r="AH4861">
        <v>7.78405641596619</v>
      </c>
      <c r="AI4861">
        <v>98.045104816706001</v>
      </c>
      <c r="AJ4861">
        <v>98.0114948475685</v>
      </c>
      <c r="AK4861">
        <v>7.9389097472735699</v>
      </c>
      <c r="AL4861">
        <v>66.783163227947895</v>
      </c>
      <c r="AM4861">
        <v>100.074793976642</v>
      </c>
      <c r="AN4861">
        <v>1.0000000328995</v>
      </c>
    </row>
    <row r="4862" spans="1:40" x14ac:dyDescent="0.25">
      <c r="A4862" t="str">
        <f>"20190304164508627"</f>
        <v>20190304164508627</v>
      </c>
      <c r="B4862" t="str">
        <f>"1551689108615363"</f>
        <v>1551689108615363</v>
      </c>
      <c r="C4862" t="s">
        <v>40</v>
      </c>
      <c r="D4862">
        <v>5.3127420000000001</v>
      </c>
      <c r="E4862">
        <v>0.53075930000000004</v>
      </c>
      <c r="F4862" t="s">
        <v>50</v>
      </c>
      <c r="G4862">
        <v>-383.5514</v>
      </c>
      <c r="H4862" s="1">
        <v>-3.3681770000000002E-6</v>
      </c>
      <c r="I4862">
        <v>20.816939999999999</v>
      </c>
      <c r="J4862">
        <v>-391.47550000000001</v>
      </c>
      <c r="K4862">
        <v>1.110981</v>
      </c>
      <c r="L4862">
        <v>21.61664</v>
      </c>
      <c r="M4862">
        <v>0.97175769999999995</v>
      </c>
      <c r="N4862">
        <v>-9.6008150000000004E-3</v>
      </c>
      <c r="O4862">
        <v>-0.2357863</v>
      </c>
      <c r="P4862">
        <v>0.92039099999999996</v>
      </c>
      <c r="Q4862">
        <v>0.38633519999999999</v>
      </c>
      <c r="R4862">
        <v>-6.0216390000000002E-2</v>
      </c>
      <c r="S4862">
        <v>3.4278870000000001</v>
      </c>
      <c r="T4862">
        <v>-0.46033550000000001</v>
      </c>
      <c r="U4862">
        <v>-0.36630249999999998</v>
      </c>
      <c r="V4862">
        <v>-0.1592411</v>
      </c>
      <c r="W4862">
        <v>0.39474579999999998</v>
      </c>
      <c r="X4862">
        <v>0.90488559999999996</v>
      </c>
      <c r="Y4862">
        <v>-0.1282298</v>
      </c>
      <c r="Z4862">
        <v>3.8007399999999997E-2</v>
      </c>
      <c r="AA4862">
        <v>0.99101589999999995</v>
      </c>
      <c r="AB4862">
        <v>37</v>
      </c>
      <c r="AC4862">
        <v>7.9241000000000099</v>
      </c>
      <c r="AD4862">
        <v>-1.110984368177</v>
      </c>
      <c r="AE4862">
        <v>-0.79970000000000097</v>
      </c>
      <c r="AF4862">
        <v>-1.0704990920767701</v>
      </c>
      <c r="AG4862">
        <v>-1.110984368177</v>
      </c>
      <c r="AH4862">
        <v>7.7386412319001199</v>
      </c>
      <c r="AI4862">
        <v>98.093708798452795</v>
      </c>
      <c r="AJ4862">
        <v>97.875837713185206</v>
      </c>
      <c r="AK4862">
        <v>7.8909329415814602</v>
      </c>
      <c r="AL4862">
        <v>66.749877856229503</v>
      </c>
      <c r="AM4862">
        <v>99.980676778556301</v>
      </c>
      <c r="AN4862">
        <v>0.99999996181710404</v>
      </c>
    </row>
    <row r="4863" spans="1:40" x14ac:dyDescent="0.25">
      <c r="A4863" t="str">
        <f>"20190304164508649"</f>
        <v>20190304164508649</v>
      </c>
      <c r="B4863" t="str">
        <f>"1551689108645620"</f>
        <v>1551689108645620</v>
      </c>
      <c r="C4863" t="s">
        <v>40</v>
      </c>
      <c r="D4863">
        <v>5.2905790000000001</v>
      </c>
      <c r="E4863">
        <v>0.53073099999999995</v>
      </c>
      <c r="F4863" t="s">
        <v>50</v>
      </c>
      <c r="G4863">
        <v>-383.20139999999998</v>
      </c>
      <c r="H4863" s="1">
        <v>-3.5073970000000002E-6</v>
      </c>
      <c r="I4863">
        <v>20.718299999999999</v>
      </c>
      <c r="J4863">
        <v>-391.11470000000003</v>
      </c>
      <c r="K4863">
        <v>1.1109070000000001</v>
      </c>
      <c r="L4863">
        <v>21.529630000000001</v>
      </c>
      <c r="M4863">
        <v>0.9718639</v>
      </c>
      <c r="N4863">
        <v>-9.5806390000000002E-3</v>
      </c>
      <c r="O4863">
        <v>-0.23534859999999999</v>
      </c>
      <c r="P4863">
        <v>0.92018149999999999</v>
      </c>
      <c r="Q4863">
        <v>0.386876</v>
      </c>
      <c r="R4863">
        <v>-5.9944539999999998E-2</v>
      </c>
      <c r="S4863">
        <v>3.4283450000000002</v>
      </c>
      <c r="T4863">
        <v>-0.46033380000000002</v>
      </c>
      <c r="U4863">
        <v>-0.37222290000000002</v>
      </c>
      <c r="V4863">
        <v>-0.15897439999999999</v>
      </c>
      <c r="W4863">
        <v>0.39529639999999999</v>
      </c>
      <c r="X4863">
        <v>0.90469219999999895</v>
      </c>
      <c r="Y4863">
        <v>-0.1261293</v>
      </c>
      <c r="Z4863">
        <v>3.7797959999999999E-2</v>
      </c>
      <c r="AA4863">
        <v>0.99129339999999999</v>
      </c>
      <c r="AB4863">
        <v>37</v>
      </c>
      <c r="AC4863">
        <v>7.9133000000000404</v>
      </c>
      <c r="AD4863">
        <v>-1.11091050739699</v>
      </c>
      <c r="AE4863">
        <v>-0.811329999999998</v>
      </c>
      <c r="AF4863">
        <v>-1.0533867200470799</v>
      </c>
      <c r="AG4863">
        <v>-1.11091050739699</v>
      </c>
      <c r="AH4863">
        <v>7.7311758276234102</v>
      </c>
      <c r="AI4863">
        <v>98.103129660931501</v>
      </c>
      <c r="AJ4863">
        <v>97.758875858640096</v>
      </c>
      <c r="AK4863">
        <v>7.8812959223115797</v>
      </c>
      <c r="AL4863">
        <v>66.715539941641296</v>
      </c>
      <c r="AM4863">
        <v>99.9663836414759</v>
      </c>
      <c r="AN4863">
        <v>1.0000000402245699</v>
      </c>
    </row>
    <row r="4864" spans="1:40" x14ac:dyDescent="0.25">
      <c r="A4864" t="str">
        <f>"20190304164508671"</f>
        <v>20190304164508671</v>
      </c>
      <c r="B4864" t="str">
        <f>"1551689108665139"</f>
        <v>1551689108665139</v>
      </c>
      <c r="C4864" t="s">
        <v>40</v>
      </c>
      <c r="D4864">
        <v>5.3081239999999896</v>
      </c>
      <c r="E4864">
        <v>0.53082229999999997</v>
      </c>
      <c r="F4864" t="s">
        <v>50</v>
      </c>
      <c r="G4864">
        <v>-382.82810000000001</v>
      </c>
      <c r="H4864" s="1">
        <v>-3.6592979999999998E-6</v>
      </c>
      <c r="I4864">
        <v>20.626090000000001</v>
      </c>
      <c r="J4864">
        <v>-390.73630000000003</v>
      </c>
      <c r="K4864">
        <v>1.1108309999999999</v>
      </c>
      <c r="L4864">
        <v>21.438569999999999</v>
      </c>
      <c r="M4864">
        <v>0.97197710000000004</v>
      </c>
      <c r="N4864">
        <v>-9.5571230000000007E-3</v>
      </c>
      <c r="O4864">
        <v>-0.2348816</v>
      </c>
      <c r="P4864">
        <v>0.91998610000000003</v>
      </c>
      <c r="Q4864">
        <v>0.38746989999999998</v>
      </c>
      <c r="R4864">
        <v>-5.910178E-2</v>
      </c>
      <c r="S4864">
        <v>3.4291079999999998</v>
      </c>
      <c r="T4864">
        <v>-0.45971469999999998</v>
      </c>
      <c r="U4864">
        <v>-0.37390139999999999</v>
      </c>
      <c r="V4864">
        <v>-0.159251</v>
      </c>
      <c r="W4864">
        <v>0.39589029999999997</v>
      </c>
      <c r="X4864">
        <v>0.90438379999999996</v>
      </c>
      <c r="Y4864">
        <v>-0.125218</v>
      </c>
      <c r="Z4864">
        <v>3.7618480000000003E-2</v>
      </c>
      <c r="AA4864">
        <v>0.99141579999999996</v>
      </c>
      <c r="AB4864">
        <v>37</v>
      </c>
      <c r="AC4864">
        <v>7.9082000000000203</v>
      </c>
      <c r="AD4864">
        <v>-1.1108346592979901</v>
      </c>
      <c r="AE4864">
        <v>-0.81248000000000398</v>
      </c>
      <c r="AF4864">
        <v>-1.0473776896990701</v>
      </c>
      <c r="AG4864">
        <v>-1.1108346592979901</v>
      </c>
      <c r="AH4864">
        <v>7.7269194726390804</v>
      </c>
      <c r="AI4864">
        <v>98.107737733072696</v>
      </c>
      <c r="AJ4864">
        <v>97.719348679621504</v>
      </c>
      <c r="AK4864">
        <v>7.8763086659821901</v>
      </c>
      <c r="AL4864">
        <v>66.678489478646</v>
      </c>
      <c r="AM4864">
        <v>99.986711484169206</v>
      </c>
      <c r="AN4864">
        <v>1.00000003416876</v>
      </c>
    </row>
    <row r="4865" spans="1:40" x14ac:dyDescent="0.25">
      <c r="A4865" t="str">
        <f>"20190304164508693"</f>
        <v>20190304164508693</v>
      </c>
      <c r="B4865" t="str">
        <f>"1551689108684663"</f>
        <v>1551689108684663</v>
      </c>
      <c r="C4865" t="s">
        <v>40</v>
      </c>
      <c r="D4865">
        <v>5.3067299999999999</v>
      </c>
      <c r="E4865">
        <v>0.53093669999999904</v>
      </c>
      <c r="F4865" t="s">
        <v>50</v>
      </c>
      <c r="G4865">
        <v>-382.41539999999998</v>
      </c>
      <c r="H4865" s="1">
        <v>-3.828076E-6</v>
      </c>
      <c r="I4865">
        <v>20.52712</v>
      </c>
      <c r="J4865">
        <v>-390.38490000000002</v>
      </c>
      <c r="K4865">
        <v>1.1107769999999999</v>
      </c>
      <c r="L4865">
        <v>21.354189999999999</v>
      </c>
      <c r="M4865">
        <v>0.97208340000000004</v>
      </c>
      <c r="N4865">
        <v>-9.5294679999999993E-3</v>
      </c>
      <c r="O4865">
        <v>-0.2344425</v>
      </c>
      <c r="P4865">
        <v>0.92006149999999998</v>
      </c>
      <c r="Q4865">
        <v>0.3874454</v>
      </c>
      <c r="R4865">
        <v>-5.8080809999999997E-2</v>
      </c>
      <c r="S4865">
        <v>3.4296259999999998</v>
      </c>
      <c r="T4865">
        <v>-0.45785389999999998</v>
      </c>
      <c r="U4865">
        <v>-0.37567139999999999</v>
      </c>
      <c r="V4865">
        <v>-0.1598068</v>
      </c>
      <c r="W4865">
        <v>0.3958566</v>
      </c>
      <c r="X4865">
        <v>0.90430049999999995</v>
      </c>
      <c r="Y4865">
        <v>-0.12431689999999899</v>
      </c>
      <c r="Z4865">
        <v>3.7341979999999997E-2</v>
      </c>
      <c r="AA4865">
        <v>0.99153970000000002</v>
      </c>
      <c r="AB4865">
        <v>37</v>
      </c>
      <c r="AC4865">
        <v>7.9695000000000302</v>
      </c>
      <c r="AD4865">
        <v>-1.1107808280760001</v>
      </c>
      <c r="AE4865">
        <v>-0.82706999999999897</v>
      </c>
      <c r="AF4865">
        <v>-1.04438414937325</v>
      </c>
      <c r="AG4865">
        <v>-1.1107808280760001</v>
      </c>
      <c r="AH4865">
        <v>7.7915293411283502</v>
      </c>
      <c r="AI4865">
        <v>98.042588902525296</v>
      </c>
      <c r="AJ4865">
        <v>97.634476052094499</v>
      </c>
      <c r="AK4865">
        <v>7.9393010884552799</v>
      </c>
      <c r="AL4865">
        <v>66.680591961703101</v>
      </c>
      <c r="AM4865">
        <v>100.02176509903001</v>
      </c>
      <c r="AN4865">
        <v>1.0000000276950201</v>
      </c>
    </row>
    <row r="4866" spans="1:40" x14ac:dyDescent="0.25">
      <c r="A4866" t="str">
        <f>"20190304164508714"</f>
        <v>20190304164508714</v>
      </c>
      <c r="B4866" t="str">
        <f>"1551689108705156"</f>
        <v>1551689108705156</v>
      </c>
      <c r="C4866" t="s">
        <v>40</v>
      </c>
      <c r="D4866">
        <v>5.3259840000000001</v>
      </c>
      <c r="E4866">
        <v>0.5309355</v>
      </c>
      <c r="F4866" t="s">
        <v>50</v>
      </c>
      <c r="G4866">
        <v>-382.07580000000002</v>
      </c>
      <c r="H4866" s="1">
        <v>-3.9670630000000001E-6</v>
      </c>
      <c r="I4866">
        <v>20.44622</v>
      </c>
      <c r="J4866">
        <v>-390.03550000000001</v>
      </c>
      <c r="K4866">
        <v>1.1107359999999999</v>
      </c>
      <c r="L4866">
        <v>21.270389999999999</v>
      </c>
      <c r="M4866">
        <v>0.97218979999999999</v>
      </c>
      <c r="N4866">
        <v>-9.4957570000000005E-3</v>
      </c>
      <c r="O4866">
        <v>-0.23400260000000001</v>
      </c>
      <c r="P4866">
        <v>0.92070419999999997</v>
      </c>
      <c r="Q4866">
        <v>0.38620209999999999</v>
      </c>
      <c r="R4866">
        <v>-5.6142070000000002E-2</v>
      </c>
      <c r="S4866">
        <v>3.4300839999999901</v>
      </c>
      <c r="T4866">
        <v>-0.45854080000000003</v>
      </c>
      <c r="U4866">
        <v>-0.37481690000000001</v>
      </c>
      <c r="V4866">
        <v>-0.16139679999999901</v>
      </c>
      <c r="W4866">
        <v>0.3945959</v>
      </c>
      <c r="X4866">
        <v>0.90456899999999996</v>
      </c>
      <c r="Y4866">
        <v>-0.1241223</v>
      </c>
      <c r="Z4866">
        <v>3.733508E-2</v>
      </c>
      <c r="AA4866">
        <v>0.99156429999999995</v>
      </c>
      <c r="AB4866">
        <v>37</v>
      </c>
      <c r="AC4866">
        <v>7.95969999999999</v>
      </c>
      <c r="AD4866">
        <v>-1.110739967063</v>
      </c>
      <c r="AE4866">
        <v>-0.82416999999999796</v>
      </c>
      <c r="AF4866">
        <v>-1.0413258949748401</v>
      </c>
      <c r="AG4866">
        <v>-1.110739967063</v>
      </c>
      <c r="AH4866">
        <v>7.7816293081652299</v>
      </c>
      <c r="AI4866">
        <v>98.052627085279198</v>
      </c>
      <c r="AJ4866">
        <v>97.621953596671901</v>
      </c>
      <c r="AK4866">
        <v>7.9291776108038103</v>
      </c>
      <c r="AL4866">
        <v>66.759225337751204</v>
      </c>
      <c r="AM4866">
        <v>100.116484262841</v>
      </c>
      <c r="AN4866">
        <v>0.99999996355402399</v>
      </c>
    </row>
    <row r="4867" spans="1:40" x14ac:dyDescent="0.25">
      <c r="A4867" t="str">
        <f>"20190304164508738"</f>
        <v>20190304164508738</v>
      </c>
      <c r="B4867" t="str">
        <f>"1551689108735411"</f>
        <v>1551689108735411</v>
      </c>
      <c r="C4867" t="s">
        <v>40</v>
      </c>
      <c r="D4867">
        <v>5.3217220000000003</v>
      </c>
      <c r="E4867">
        <v>0.53090619999999999</v>
      </c>
      <c r="F4867" t="s">
        <v>50</v>
      </c>
      <c r="G4867">
        <v>-381.83010000000002</v>
      </c>
      <c r="H4867" s="1">
        <v>-4.0676949999999997E-6</v>
      </c>
      <c r="I4867">
        <v>20.38785</v>
      </c>
      <c r="J4867">
        <v>-389.66419999999999</v>
      </c>
      <c r="K4867">
        <v>1.1107</v>
      </c>
      <c r="L4867">
        <v>21.181519999999999</v>
      </c>
      <c r="M4867">
        <v>0.97230269999999996</v>
      </c>
      <c r="N4867">
        <v>-9.4601200000000007E-3</v>
      </c>
      <c r="O4867">
        <v>-0.2335342</v>
      </c>
      <c r="P4867">
        <v>0.92090269999999996</v>
      </c>
      <c r="Q4867">
        <v>0.38607330000000001</v>
      </c>
      <c r="R4867">
        <v>-5.3721570000000003E-2</v>
      </c>
      <c r="S4867">
        <v>3.4306640000000002</v>
      </c>
      <c r="T4867">
        <v>-0.46439979999999997</v>
      </c>
      <c r="U4867">
        <v>-0.36898799999999998</v>
      </c>
      <c r="V4867">
        <v>-0.16333429999999999</v>
      </c>
      <c r="W4867">
        <v>0.3944395</v>
      </c>
      <c r="X4867">
        <v>0.90428949999999997</v>
      </c>
      <c r="Y4867">
        <v>-0.1252431</v>
      </c>
      <c r="Z4867">
        <v>3.7857370000000001E-2</v>
      </c>
      <c r="AA4867">
        <v>0.99140349999999999</v>
      </c>
      <c r="AB4867">
        <v>38</v>
      </c>
      <c r="AC4867">
        <v>7.8340999999999701</v>
      </c>
      <c r="AD4867">
        <v>-1.110704067695</v>
      </c>
      <c r="AE4867">
        <v>-0.79367000000000199</v>
      </c>
      <c r="AF4867">
        <v>-1.0372519739650601</v>
      </c>
      <c r="AG4867">
        <v>-1.110704067695</v>
      </c>
      <c r="AH4867">
        <v>7.6505913519791102</v>
      </c>
      <c r="AI4867">
        <v>98.186554825641196</v>
      </c>
      <c r="AJ4867">
        <v>97.720970213839095</v>
      </c>
      <c r="AK4867">
        <v>7.8000707188118596</v>
      </c>
      <c r="AL4867">
        <v>66.768979684437994</v>
      </c>
      <c r="AM4867">
        <v>100.238472454328</v>
      </c>
      <c r="AN4867">
        <v>1.0000000562634901</v>
      </c>
    </row>
    <row r="4868" spans="1:40" x14ac:dyDescent="0.25">
      <c r="A4868" t="str">
        <f>"20190304164508762"</f>
        <v>20190304164508762</v>
      </c>
      <c r="B4868" t="str">
        <f>"1551689108754932"</f>
        <v>1551689108754932</v>
      </c>
      <c r="C4868" t="s">
        <v>40</v>
      </c>
      <c r="D4868">
        <v>5.3286179999999996</v>
      </c>
      <c r="E4868">
        <v>0.53089819999999999</v>
      </c>
      <c r="F4868" t="s">
        <v>50</v>
      </c>
      <c r="G4868">
        <v>-381.50560000000002</v>
      </c>
      <c r="H4868" s="1">
        <v>-4.2039679999999999E-6</v>
      </c>
      <c r="I4868">
        <v>20.32348</v>
      </c>
      <c r="J4868">
        <v>-389.26949999999999</v>
      </c>
      <c r="K4868">
        <v>1.1106769999999999</v>
      </c>
      <c r="L4868">
        <v>21.087219999999999</v>
      </c>
      <c r="M4868">
        <v>0.97242220000000001</v>
      </c>
      <c r="N4868">
        <v>-9.4236739999999999E-3</v>
      </c>
      <c r="O4868">
        <v>-0.2330372</v>
      </c>
      <c r="P4868">
        <v>0.92114960000000001</v>
      </c>
      <c r="Q4868">
        <v>0.38598440000000001</v>
      </c>
      <c r="R4868">
        <v>-4.9995409999999997E-2</v>
      </c>
      <c r="S4868">
        <v>3.4325260000000002</v>
      </c>
      <c r="T4868">
        <v>-0.46729680000000001</v>
      </c>
      <c r="U4868">
        <v>-0.36099239999999999</v>
      </c>
      <c r="V4868">
        <v>-0.1665333</v>
      </c>
      <c r="W4868">
        <v>0.39431640000000001</v>
      </c>
      <c r="X4868">
        <v>0.90375950000000005</v>
      </c>
      <c r="Y4868">
        <v>-0.127026</v>
      </c>
      <c r="Z4868">
        <v>3.8161720000000003E-2</v>
      </c>
      <c r="AA4868">
        <v>0.99116499999999996</v>
      </c>
      <c r="AB4868">
        <v>38</v>
      </c>
      <c r="AC4868">
        <v>7.7638999999999703</v>
      </c>
      <c r="AD4868">
        <v>-1.1106812039680001</v>
      </c>
      <c r="AE4868">
        <v>-0.76374000000000197</v>
      </c>
      <c r="AF4868">
        <v>-1.0454565403761</v>
      </c>
      <c r="AG4868">
        <v>-1.1106812039680001</v>
      </c>
      <c r="AH4868">
        <v>7.5745807175805604</v>
      </c>
      <c r="AI4868">
        <v>98.264733603856598</v>
      </c>
      <c r="AJ4868">
        <v>97.858411250601804</v>
      </c>
      <c r="AK4868">
        <v>7.7266334947250002</v>
      </c>
      <c r="AL4868">
        <v>66.776653463867206</v>
      </c>
      <c r="AM4868">
        <v>100.44062004742</v>
      </c>
      <c r="AN4868">
        <v>0.99999999857904998</v>
      </c>
    </row>
    <row r="4869" spans="1:40" x14ac:dyDescent="0.25">
      <c r="A4869" t="str">
        <f>"20190304164508785"</f>
        <v>20190304164508785</v>
      </c>
      <c r="B4869" t="str">
        <f>"1551689108775427"</f>
        <v>1551689108775427</v>
      </c>
      <c r="C4869" t="s">
        <v>40</v>
      </c>
      <c r="D4869">
        <v>5.3623989999999999</v>
      </c>
      <c r="E4869">
        <v>0.53091449999999996</v>
      </c>
      <c r="F4869" t="s">
        <v>50</v>
      </c>
      <c r="G4869">
        <v>-381.1277</v>
      </c>
      <c r="H4869" s="1">
        <v>-4.3646090000000001E-6</v>
      </c>
      <c r="I4869">
        <v>20.255800000000001</v>
      </c>
      <c r="J4869">
        <v>-388.89109999999999</v>
      </c>
      <c r="K4869">
        <v>1.11066</v>
      </c>
      <c r="L4869">
        <v>20.99701</v>
      </c>
      <c r="M4869">
        <v>0.97253690000000004</v>
      </c>
      <c r="N4869">
        <v>-9.3870559999999995E-3</v>
      </c>
      <c r="O4869">
        <v>-0.2325593</v>
      </c>
      <c r="P4869">
        <v>0.92127539999999997</v>
      </c>
      <c r="Q4869">
        <v>0.386154</v>
      </c>
      <c r="R4869">
        <v>-4.6222939999999997E-2</v>
      </c>
      <c r="S4869">
        <v>3.4340820000000001</v>
      </c>
      <c r="T4869">
        <v>-0.46846640000000001</v>
      </c>
      <c r="U4869">
        <v>-0.35067749999999998</v>
      </c>
      <c r="V4869">
        <v>-0.16977539999999999</v>
      </c>
      <c r="W4869">
        <v>0.39444699999999999</v>
      </c>
      <c r="X4869">
        <v>0.90309910000000004</v>
      </c>
      <c r="Y4869">
        <v>-0.1294951</v>
      </c>
      <c r="Z4869">
        <v>3.837786E-2</v>
      </c>
      <c r="AA4869">
        <v>0.99083710000000003</v>
      </c>
      <c r="AB4869">
        <v>38</v>
      </c>
      <c r="AC4869">
        <v>7.7633999999999901</v>
      </c>
      <c r="AD4869">
        <v>-1.110664364609</v>
      </c>
      <c r="AE4869">
        <v>-0.74120999999999804</v>
      </c>
      <c r="AF4869">
        <v>-1.06308265638438</v>
      </c>
      <c r="AG4869">
        <v>-1.110664364609</v>
      </c>
      <c r="AH4869">
        <v>7.5693828462851602</v>
      </c>
      <c r="AI4869">
        <v>98.267507699915498</v>
      </c>
      <c r="AJ4869">
        <v>97.994620425935096</v>
      </c>
      <c r="AK4869">
        <v>7.7239417876336702</v>
      </c>
      <c r="AL4869">
        <v>66.768511978539195</v>
      </c>
      <c r="AM4869">
        <v>100.64688462284199</v>
      </c>
      <c r="AN4869">
        <v>1.00000005333748</v>
      </c>
    </row>
    <row r="4870" spans="1:40" x14ac:dyDescent="0.25">
      <c r="A4870" t="str">
        <f>"20190304164508797"</f>
        <v>20190304164508797</v>
      </c>
      <c r="B4870" t="str">
        <f>"1551689108794948"</f>
        <v>1551689108794948</v>
      </c>
      <c r="C4870" t="s">
        <v>40</v>
      </c>
      <c r="D4870">
        <v>5.3837489999999999</v>
      </c>
      <c r="E4870">
        <v>0.53087090000000003</v>
      </c>
      <c r="F4870" t="s">
        <v>50</v>
      </c>
      <c r="G4870">
        <v>-380.76339999999999</v>
      </c>
      <c r="H4870" s="1">
        <v>-4.5213360000000004E-6</v>
      </c>
      <c r="I4870">
        <v>20.19764</v>
      </c>
      <c r="J4870">
        <v>-388.68239999999997</v>
      </c>
      <c r="K4870">
        <v>1.110652</v>
      </c>
      <c r="L4870">
        <v>20.947330000000001</v>
      </c>
      <c r="M4870">
        <v>0.9726011</v>
      </c>
      <c r="N4870">
        <v>-9.3672779999999997E-3</v>
      </c>
      <c r="O4870">
        <v>-0.2322919</v>
      </c>
      <c r="P4870">
        <v>0.92134680000000002</v>
      </c>
      <c r="Q4870">
        <v>0.38617489999999999</v>
      </c>
      <c r="R4870">
        <v>-4.4603719999999999E-2</v>
      </c>
      <c r="S4870">
        <v>3.436188</v>
      </c>
      <c r="T4870">
        <v>-0.46955590000000003</v>
      </c>
      <c r="U4870">
        <v>-0.33795170000000002</v>
      </c>
      <c r="V4870">
        <v>-0.17111589999999999</v>
      </c>
      <c r="W4870">
        <v>0.39444659999999998</v>
      </c>
      <c r="X4870">
        <v>0.90284620000000004</v>
      </c>
      <c r="Y4870">
        <v>-0.1328722</v>
      </c>
      <c r="Z4870">
        <v>3.8671770000000001E-2</v>
      </c>
      <c r="AA4870">
        <v>0.99037839999999999</v>
      </c>
      <c r="AB4870">
        <v>38</v>
      </c>
      <c r="AC4870">
        <v>7.9189999999999801</v>
      </c>
      <c r="AD4870">
        <v>-1.110656521336</v>
      </c>
      <c r="AE4870">
        <v>-0.74968999999999697</v>
      </c>
      <c r="AF4870">
        <v>-1.0891842044901601</v>
      </c>
      <c r="AG4870">
        <v>-1.110656521336</v>
      </c>
      <c r="AH4870">
        <v>7.7258964084341599</v>
      </c>
      <c r="AI4870">
        <v>98.101623733100197</v>
      </c>
      <c r="AJ4870">
        <v>98.024581311406394</v>
      </c>
      <c r="AK4870">
        <v>7.88094889296669</v>
      </c>
      <c r="AL4870">
        <v>66.768536004936095</v>
      </c>
      <c r="AM4870">
        <v>100.73194100128499</v>
      </c>
      <c r="AN4870">
        <v>1.0000000161694</v>
      </c>
    </row>
    <row r="4871" spans="1:40" x14ac:dyDescent="0.25">
      <c r="A4871" t="str">
        <f>"20190304164508817"</f>
        <v>20190304164508817</v>
      </c>
      <c r="B4871" t="str">
        <f>"1551689108804708"</f>
        <v>1551689108804708</v>
      </c>
      <c r="C4871" t="s">
        <v>40</v>
      </c>
      <c r="D4871">
        <v>5.3367509999999996</v>
      </c>
      <c r="E4871">
        <v>0.53108420000000001</v>
      </c>
      <c r="F4871" t="s">
        <v>50</v>
      </c>
      <c r="G4871">
        <v>-381.0222</v>
      </c>
      <c r="H4871" s="1">
        <v>-4.4030589999999997E-6</v>
      </c>
      <c r="I4871">
        <v>20.212879999999998</v>
      </c>
      <c r="J4871">
        <v>-388.36880000000002</v>
      </c>
      <c r="K4871">
        <v>1.110657</v>
      </c>
      <c r="L4871">
        <v>20.872769999999999</v>
      </c>
      <c r="M4871">
        <v>0.97270080000000003</v>
      </c>
      <c r="N4871">
        <v>-9.339778E-3</v>
      </c>
      <c r="O4871">
        <v>-0.231875</v>
      </c>
      <c r="P4871">
        <v>0.92160370000000003</v>
      </c>
      <c r="Q4871">
        <v>0.38589909999999999</v>
      </c>
      <c r="R4871">
        <v>-4.1577040000000003E-2</v>
      </c>
      <c r="S4871">
        <v>3.4497379999999902</v>
      </c>
      <c r="T4871">
        <v>-0.50017339999999999</v>
      </c>
      <c r="U4871">
        <v>-0.33074949999999997</v>
      </c>
      <c r="V4871">
        <v>-0.1737349</v>
      </c>
      <c r="W4871">
        <v>0.39413759999999998</v>
      </c>
      <c r="X4871">
        <v>0.90248090000000003</v>
      </c>
      <c r="Y4871">
        <v>-0.13445689999999999</v>
      </c>
      <c r="Z4871">
        <v>4.1182330000000003E-2</v>
      </c>
      <c r="AA4871">
        <v>0.99006329999999998</v>
      </c>
      <c r="AB4871">
        <v>38</v>
      </c>
      <c r="AC4871">
        <v>7.34660000000002</v>
      </c>
      <c r="AD4871">
        <v>-1.1106614030589901</v>
      </c>
      <c r="AE4871">
        <v>-0.65989000000000397</v>
      </c>
      <c r="AF4871">
        <v>-1.03812660505365</v>
      </c>
      <c r="AG4871">
        <v>-1.1106614030589901</v>
      </c>
      <c r="AH4871">
        <v>7.1375472026937903</v>
      </c>
      <c r="AI4871">
        <v>98.754102983270499</v>
      </c>
      <c r="AJ4871">
        <v>98.275404819928497</v>
      </c>
      <c r="AK4871">
        <v>7.2976609726025998</v>
      </c>
      <c r="AL4871">
        <v>66.787801234723304</v>
      </c>
      <c r="AM4871">
        <v>100.89660067271301</v>
      </c>
      <c r="AN4871">
        <v>1.0000000190382801</v>
      </c>
    </row>
    <row r="4872" spans="1:40" x14ac:dyDescent="0.25">
      <c r="A4872" t="str">
        <f>"20190304164508831"</f>
        <v>20190304164508831</v>
      </c>
      <c r="B4872" t="str">
        <f>"1551689108825204"</f>
        <v>1551689108825204</v>
      </c>
      <c r="C4872" t="s">
        <v>40</v>
      </c>
      <c r="D4872">
        <v>5.3714570000000004</v>
      </c>
      <c r="E4872">
        <v>0.53133249999999999</v>
      </c>
      <c r="F4872" t="s">
        <v>50</v>
      </c>
      <c r="G4872">
        <v>-380.7122</v>
      </c>
      <c r="H4872" s="1">
        <v>-4.5352729999999999E-6</v>
      </c>
      <c r="I4872">
        <v>20.159179999999999</v>
      </c>
      <c r="J4872">
        <v>-388.1431</v>
      </c>
      <c r="K4872">
        <v>1.110665</v>
      </c>
      <c r="L4872">
        <v>20.819240000000001</v>
      </c>
      <c r="M4872">
        <v>0.972777</v>
      </c>
      <c r="N4872">
        <v>-9.3216259999999995E-3</v>
      </c>
      <c r="O4872">
        <v>-0.2315556</v>
      </c>
      <c r="P4872">
        <v>0.92145299999999997</v>
      </c>
      <c r="Q4872">
        <v>0.3864185</v>
      </c>
      <c r="R4872">
        <v>-4.006436E-2</v>
      </c>
      <c r="S4872">
        <v>3.4502559999999902</v>
      </c>
      <c r="T4872">
        <v>-0.50049069999999996</v>
      </c>
      <c r="U4872">
        <v>-0.32156370000000001</v>
      </c>
      <c r="V4872">
        <v>-0.17488709999999999</v>
      </c>
      <c r="W4872">
        <v>0.39462920000000001</v>
      </c>
      <c r="X4872">
        <v>0.90204340000000005</v>
      </c>
      <c r="Y4872">
        <v>-0.1367305</v>
      </c>
      <c r="Z4872">
        <v>4.1346069999999999E-2</v>
      </c>
      <c r="AA4872">
        <v>0.98974510000000004</v>
      </c>
      <c r="AB4872">
        <v>38</v>
      </c>
      <c r="AC4872">
        <v>7.4309000000000003</v>
      </c>
      <c r="AD4872">
        <v>-1.1106695352730001</v>
      </c>
      <c r="AE4872">
        <v>-0.66006000000000098</v>
      </c>
      <c r="AF4872">
        <v>-1.05523264279699</v>
      </c>
      <c r="AG4872">
        <v>-1.1106695352730001</v>
      </c>
      <c r="AH4872">
        <v>7.2216988381428804</v>
      </c>
      <c r="AI4872">
        <v>98.652890560519197</v>
      </c>
      <c r="AJ4872">
        <v>98.313211594105695</v>
      </c>
      <c r="AK4872">
        <v>7.3824140263088802</v>
      </c>
      <c r="AL4872">
        <v>66.757149759729401</v>
      </c>
      <c r="AM4872">
        <v>100.972309700031</v>
      </c>
      <c r="AN4872">
        <v>0.99999999936130501</v>
      </c>
    </row>
    <row r="4873" spans="1:40" x14ac:dyDescent="0.25">
      <c r="A4873" t="str">
        <f>"20190304164508850"</f>
        <v>20190304164508850</v>
      </c>
      <c r="B4873" t="str">
        <f>"1551689108844725"</f>
        <v>1551689108844725</v>
      </c>
      <c r="C4873" t="s">
        <v>40</v>
      </c>
      <c r="D4873">
        <v>5.3739939999999997</v>
      </c>
      <c r="E4873">
        <v>0.53139989999999904</v>
      </c>
      <c r="F4873" t="s">
        <v>50</v>
      </c>
      <c r="G4873">
        <v>-380.3956</v>
      </c>
      <c r="H4873" s="1">
        <v>-4.6626510000000004E-6</v>
      </c>
      <c r="I4873">
        <v>20.107060000000001</v>
      </c>
      <c r="J4873">
        <v>-387.82049999999998</v>
      </c>
      <c r="K4873">
        <v>1.110689</v>
      </c>
      <c r="L4873">
        <v>20.74286</v>
      </c>
      <c r="M4873">
        <v>0.97289539999999997</v>
      </c>
      <c r="N4873">
        <v>-9.2945340000000001E-3</v>
      </c>
      <c r="O4873">
        <v>-0.2310596</v>
      </c>
      <c r="P4873">
        <v>0.92126479999999999</v>
      </c>
      <c r="Q4873">
        <v>0.38705669999999998</v>
      </c>
      <c r="R4873">
        <v>-3.8194600000000002E-2</v>
      </c>
      <c r="S4873">
        <v>3.449341</v>
      </c>
      <c r="T4873">
        <v>-0.49448819999999999</v>
      </c>
      <c r="U4873">
        <v>-0.31707760000000001</v>
      </c>
      <c r="V4873">
        <v>-0.176231</v>
      </c>
      <c r="W4873">
        <v>0.3952233</v>
      </c>
      <c r="X4873">
        <v>0.90152160000000003</v>
      </c>
      <c r="Y4873">
        <v>-0.1375565</v>
      </c>
      <c r="Z4873">
        <v>4.0854550000000003E-2</v>
      </c>
      <c r="AA4873">
        <v>0.98965099999999995</v>
      </c>
      <c r="AB4873">
        <v>38</v>
      </c>
      <c r="AC4873">
        <v>7.4248999999999796</v>
      </c>
      <c r="AD4873">
        <v>-1.110693662651</v>
      </c>
      <c r="AE4873">
        <v>-0.63579999999999903</v>
      </c>
      <c r="AF4873">
        <v>-1.07323347390143</v>
      </c>
      <c r="AG4873">
        <v>-1.110693662651</v>
      </c>
      <c r="AH4873">
        <v>7.2106945029573097</v>
      </c>
      <c r="AI4873">
        <v>98.662731599673407</v>
      </c>
      <c r="AJ4873">
        <v>98.465705041019504</v>
      </c>
      <c r="AK4873">
        <v>7.3742515360363399</v>
      </c>
      <c r="AL4873">
        <v>66.720098779205301</v>
      </c>
      <c r="AM4873">
        <v>101.060796483518</v>
      </c>
      <c r="AN4873">
        <v>1.0000000087452201</v>
      </c>
    </row>
    <row r="4874" spans="1:40" x14ac:dyDescent="0.25">
      <c r="A4874" t="str">
        <f>"20190304164508873"</f>
        <v>20190304164508873</v>
      </c>
      <c r="B4874" t="str">
        <f>"1551689108865220"</f>
        <v>1551689108865220</v>
      </c>
      <c r="C4874" t="s">
        <v>40</v>
      </c>
      <c r="D4874">
        <v>5.3975710000000001</v>
      </c>
      <c r="E4874">
        <v>0.53142389999999995</v>
      </c>
      <c r="F4874" t="s">
        <v>50</v>
      </c>
      <c r="G4874">
        <v>-380.01830000000001</v>
      </c>
      <c r="H4874" s="1">
        <v>-4.7966199999999997E-6</v>
      </c>
      <c r="I4874">
        <v>20.045590000000001</v>
      </c>
      <c r="J4874">
        <v>-387.44499999999999</v>
      </c>
      <c r="K4874">
        <v>1.11077</v>
      </c>
      <c r="L4874">
        <v>20.654240000000001</v>
      </c>
      <c r="M4874">
        <v>0.97305660000000005</v>
      </c>
      <c r="N4874">
        <v>-9.2628710000000006E-3</v>
      </c>
      <c r="O4874">
        <v>-0.23038030000000001</v>
      </c>
      <c r="P4874">
        <v>0.92072949999999998</v>
      </c>
      <c r="Q4874">
        <v>0.38836799999999999</v>
      </c>
      <c r="R4874">
        <v>-3.7783509999999999E-2</v>
      </c>
      <c r="S4874">
        <v>3.449951</v>
      </c>
      <c r="T4874">
        <v>-0.4911256</v>
      </c>
      <c r="U4874">
        <v>-0.30831910000000001</v>
      </c>
      <c r="V4874">
        <v>-0.17594470000000001</v>
      </c>
      <c r="W4874">
        <v>0.39647209999999999</v>
      </c>
      <c r="X4874">
        <v>0.90102910000000003</v>
      </c>
      <c r="Y4874">
        <v>-0.13940669999999999</v>
      </c>
      <c r="Z4874">
        <v>4.0626210000000003E-2</v>
      </c>
      <c r="AA4874">
        <v>0.98940150000000004</v>
      </c>
      <c r="AB4874">
        <v>38</v>
      </c>
      <c r="AC4874">
        <v>7.4266999999999799</v>
      </c>
      <c r="AD4874">
        <v>-1.1107747966199999</v>
      </c>
      <c r="AE4874">
        <v>-0.60864999999999703</v>
      </c>
      <c r="AF4874">
        <v>-1.0944434156859899</v>
      </c>
      <c r="AG4874">
        <v>-1.1107747966199999</v>
      </c>
      <c r="AH4874">
        <v>7.2069936417709402</v>
      </c>
      <c r="AI4874">
        <v>98.663947363650607</v>
      </c>
      <c r="AJ4874">
        <v>98.634879477547202</v>
      </c>
      <c r="AK4874">
        <v>7.3737632448751196</v>
      </c>
      <c r="AL4874">
        <v>66.642184426366796</v>
      </c>
      <c r="AM4874">
        <v>101.04915721041699</v>
      </c>
      <c r="AN4874">
        <v>1.00000005129165</v>
      </c>
    </row>
    <row r="4875" spans="1:40" x14ac:dyDescent="0.25">
      <c r="A4875" t="str">
        <f>"20190304164508884"</f>
        <v>20190304164508884</v>
      </c>
      <c r="B4875" t="str">
        <f>"1551689108874980"</f>
        <v>1551689108874980</v>
      </c>
      <c r="C4875" t="s">
        <v>40</v>
      </c>
      <c r="D4875">
        <v>5.5135370000000004</v>
      </c>
      <c r="E4875">
        <v>0.53142389999999995</v>
      </c>
      <c r="F4875" t="s">
        <v>51</v>
      </c>
      <c r="G4875">
        <v>-379.62459999999999</v>
      </c>
      <c r="H4875" s="1">
        <v>-2.5226460000000002E-7</v>
      </c>
      <c r="I4875">
        <v>19.970890000000001</v>
      </c>
      <c r="J4875">
        <v>-387.25450000000001</v>
      </c>
      <c r="K4875">
        <v>1.1108290000000001</v>
      </c>
      <c r="L4875">
        <v>20.609500000000001</v>
      </c>
      <c r="M4875">
        <v>0.9731573</v>
      </c>
      <c r="N4875">
        <v>-9.2485929999999994E-3</v>
      </c>
      <c r="O4875">
        <v>-0.22995460000000001</v>
      </c>
      <c r="P4875">
        <v>0.92031289999999999</v>
      </c>
      <c r="Q4875">
        <v>0.3893934</v>
      </c>
      <c r="R4875">
        <v>-3.7376489999999998E-2</v>
      </c>
      <c r="S4875">
        <v>3.452728</v>
      </c>
      <c r="T4875">
        <v>-0.49040640000000002</v>
      </c>
      <c r="U4875">
        <v>-0.30169679999999999</v>
      </c>
      <c r="V4875">
        <v>-0.17590739999999999</v>
      </c>
      <c r="W4875">
        <v>0.39745599999999998</v>
      </c>
      <c r="X4875">
        <v>0.90060280000000004</v>
      </c>
      <c r="Y4875">
        <v>-0.1409292</v>
      </c>
      <c r="Z4875">
        <v>4.0599200000000002E-2</v>
      </c>
      <c r="AA4875">
        <v>0.98918689999999998</v>
      </c>
      <c r="AB4875">
        <v>38</v>
      </c>
      <c r="AC4875">
        <v>7.6299000000000099</v>
      </c>
      <c r="AD4875">
        <v>-1.1108292522645999</v>
      </c>
      <c r="AE4875">
        <v>-0.63860999999999901</v>
      </c>
      <c r="AF4875">
        <v>-1.1097523670990601</v>
      </c>
      <c r="AG4875">
        <v>-1.1108292522645999</v>
      </c>
      <c r="AH4875">
        <v>7.4161682209947601</v>
      </c>
      <c r="AI4875">
        <v>98.426257317923998</v>
      </c>
      <c r="AJ4875">
        <v>98.510568934678204</v>
      </c>
      <c r="AK4875">
        <v>7.5805700990137499</v>
      </c>
      <c r="AL4875">
        <v>66.580764314611997</v>
      </c>
      <c r="AM4875">
        <v>101.051972749201</v>
      </c>
      <c r="AN4875">
        <v>1.00000004433929</v>
      </c>
    </row>
    <row r="4876" spans="1:40" x14ac:dyDescent="0.25">
      <c r="A4876" t="str">
        <f>"20190304164508896"</f>
        <v>20190304164508896</v>
      </c>
      <c r="B4876" t="str">
        <f>"1551689108884740"</f>
        <v>1551689108884740</v>
      </c>
      <c r="C4876" t="s">
        <v>40</v>
      </c>
      <c r="D4876">
        <v>5.4059720000000002</v>
      </c>
      <c r="E4876">
        <v>0.53305389999999997</v>
      </c>
      <c r="F4876" t="s">
        <v>51</v>
      </c>
      <c r="G4876">
        <v>-379.37209999999999</v>
      </c>
      <c r="H4876" s="1">
        <v>-3.6045519999999999E-7</v>
      </c>
      <c r="I4876">
        <v>19.928909999999998</v>
      </c>
      <c r="J4876">
        <v>-387.06560000000002</v>
      </c>
      <c r="K4876">
        <v>1.110894</v>
      </c>
      <c r="L4876">
        <v>20.565190000000001</v>
      </c>
      <c r="M4876">
        <v>0.97326299999999999</v>
      </c>
      <c r="N4876">
        <v>-9.2349749999999994E-3</v>
      </c>
      <c r="O4876">
        <v>-0.22950770000000001</v>
      </c>
      <c r="P4876">
        <v>0.9199948</v>
      </c>
      <c r="Q4876">
        <v>0.3901789</v>
      </c>
      <c r="R4876">
        <v>-3.701786E-2</v>
      </c>
      <c r="S4876">
        <v>3.4535520000000002</v>
      </c>
      <c r="T4876">
        <v>-0.48669180000000001</v>
      </c>
      <c r="U4876">
        <v>-0.29818729999999999</v>
      </c>
      <c r="V4876">
        <v>-0.1758315</v>
      </c>
      <c r="W4876">
        <v>0.39819929999999998</v>
      </c>
      <c r="X4876">
        <v>0.90028920000000001</v>
      </c>
      <c r="Y4876">
        <v>-0.14154420000000001</v>
      </c>
      <c r="Z4876">
        <v>4.0267619999999997E-2</v>
      </c>
      <c r="AA4876">
        <v>0.98911260000000001</v>
      </c>
      <c r="AB4876">
        <v>38</v>
      </c>
      <c r="AC4876">
        <v>7.6935000000000198</v>
      </c>
      <c r="AD4876">
        <v>-1.1108943604552</v>
      </c>
      <c r="AE4876">
        <v>-0.63627999999999896</v>
      </c>
      <c r="AF4876">
        <v>-1.1232386604711799</v>
      </c>
      <c r="AG4876">
        <v>-1.1108943604552</v>
      </c>
      <c r="AH4876">
        <v>7.4792753465870501</v>
      </c>
      <c r="AI4876">
        <v>98.355997936889906</v>
      </c>
      <c r="AJ4876">
        <v>98.540859799908404</v>
      </c>
      <c r="AK4876">
        <v>7.6442992535962997</v>
      </c>
      <c r="AL4876">
        <v>66.534344338830394</v>
      </c>
      <c r="AM4876">
        <v>101.051074840257</v>
      </c>
      <c r="AN4876">
        <v>1.00000002127468</v>
      </c>
    </row>
    <row r="4877" spans="1:40" x14ac:dyDescent="0.25">
      <c r="A4877" t="str">
        <f>"20190304164508910"</f>
        <v>20190304164508910</v>
      </c>
      <c r="B4877" t="str">
        <f>"1551689108905236"</f>
        <v>1551689108905236</v>
      </c>
      <c r="C4877" t="s">
        <v>40</v>
      </c>
      <c r="D4877">
        <v>5.4379540000000004</v>
      </c>
      <c r="E4877">
        <v>0.53309469999999903</v>
      </c>
      <c r="F4877" t="s">
        <v>51</v>
      </c>
      <c r="G4877">
        <v>-379.44029999999998</v>
      </c>
      <c r="H4877" s="1">
        <v>-3.1751100000000002E-7</v>
      </c>
      <c r="I4877">
        <v>19.888680000000001</v>
      </c>
      <c r="J4877">
        <v>-386.8374</v>
      </c>
      <c r="K4877">
        <v>1.111</v>
      </c>
      <c r="L4877">
        <v>20.511900000000001</v>
      </c>
      <c r="M4877">
        <v>0.97341540000000004</v>
      </c>
      <c r="N4877">
        <v>-9.2208910000000002E-3</v>
      </c>
      <c r="O4877">
        <v>-0.22886100000000001</v>
      </c>
      <c r="P4877">
        <v>0.9197902</v>
      </c>
      <c r="Q4877">
        <v>0.39071939999999999</v>
      </c>
      <c r="R4877">
        <v>-3.6394959999999997E-2</v>
      </c>
      <c r="S4877">
        <v>3.4625240000000002</v>
      </c>
      <c r="T4877">
        <v>-0.50444079999999902</v>
      </c>
      <c r="U4877">
        <v>-0.30718990000000002</v>
      </c>
      <c r="V4877">
        <v>-0.1758914</v>
      </c>
      <c r="W4877">
        <v>0.3986807</v>
      </c>
      <c r="X4877">
        <v>0.90006439999999999</v>
      </c>
      <c r="Y4877">
        <v>-0.1383567</v>
      </c>
      <c r="Z4877">
        <v>4.1329350000000001E-2</v>
      </c>
      <c r="AA4877">
        <v>0.9895197</v>
      </c>
      <c r="AB4877">
        <v>38</v>
      </c>
      <c r="AC4877">
        <v>7.3971000000000204</v>
      </c>
      <c r="AD4877">
        <v>-1.1110003175109999</v>
      </c>
      <c r="AE4877">
        <v>-0.62322000000000299</v>
      </c>
      <c r="AF4877">
        <v>-1.06250271714428</v>
      </c>
      <c r="AG4877">
        <v>-1.1110003175109999</v>
      </c>
      <c r="AH4877">
        <v>7.1825114104139498</v>
      </c>
      <c r="AI4877">
        <v>98.699700203384594</v>
      </c>
      <c r="AJ4877">
        <v>98.414689734651802</v>
      </c>
      <c r="AK4877">
        <v>7.3451823592185299</v>
      </c>
      <c r="AL4877">
        <v>66.504271577876693</v>
      </c>
      <c r="AM4877">
        <v>101.057439847507</v>
      </c>
      <c r="AN4877">
        <v>1.0000000046469</v>
      </c>
    </row>
    <row r="4878" spans="1:40" x14ac:dyDescent="0.25">
      <c r="A4878" t="str">
        <f>"20190304164508922"</f>
        <v>20190304164508922</v>
      </c>
      <c r="B4878" t="str">
        <f>"1551689108914996"</f>
        <v>1551689108914996</v>
      </c>
      <c r="C4878" t="s">
        <v>40</v>
      </c>
      <c r="D4878">
        <v>5.4969449999999904</v>
      </c>
      <c r="E4878">
        <v>0.53309469999999903</v>
      </c>
      <c r="F4878" t="s">
        <v>51</v>
      </c>
      <c r="G4878">
        <v>-379.15309999999999</v>
      </c>
      <c r="H4878" s="1">
        <v>-4.3900159999999998E-7</v>
      </c>
      <c r="I4878">
        <v>19.835100000000001</v>
      </c>
      <c r="J4878">
        <v>-386.61930000000001</v>
      </c>
      <c r="K4878">
        <v>1.1111139999999999</v>
      </c>
      <c r="L4878">
        <v>20.461179999999999</v>
      </c>
      <c r="M4878">
        <v>0.97358129999999998</v>
      </c>
      <c r="N4878">
        <v>-9.209142E-3</v>
      </c>
      <c r="O4878">
        <v>-0.228155</v>
      </c>
      <c r="P4878">
        <v>0.91928600000000005</v>
      </c>
      <c r="Q4878">
        <v>0.3919784</v>
      </c>
      <c r="R4878">
        <v>-3.5587380000000002E-2</v>
      </c>
      <c r="S4878">
        <v>3.4621580000000001</v>
      </c>
      <c r="T4878">
        <v>-0.50056120000000004</v>
      </c>
      <c r="U4878">
        <v>-0.30493160000000002</v>
      </c>
      <c r="V4878">
        <v>-0.17601849999999999</v>
      </c>
      <c r="W4878">
        <v>0.39987600000000001</v>
      </c>
      <c r="X4878">
        <v>0.89950909999999995</v>
      </c>
      <c r="Y4878">
        <v>-0.13833119999999999</v>
      </c>
      <c r="Z4878">
        <v>4.0917330000000002E-2</v>
      </c>
      <c r="AA4878">
        <v>0.98954039999999999</v>
      </c>
      <c r="AB4878">
        <v>38</v>
      </c>
      <c r="AC4878">
        <v>7.4662000000000104</v>
      </c>
      <c r="AD4878">
        <v>-1.1111144390015999</v>
      </c>
      <c r="AE4878">
        <v>-0.62607999999999797</v>
      </c>
      <c r="AF4878">
        <v>-1.0704162746841801</v>
      </c>
      <c r="AG4878">
        <v>-1.1111144390015999</v>
      </c>
      <c r="AH4878">
        <v>7.2526068950294</v>
      </c>
      <c r="AI4878">
        <v>98.618174315814201</v>
      </c>
      <c r="AJ4878">
        <v>98.395704872566697</v>
      </c>
      <c r="AK4878">
        <v>7.4148953513515403</v>
      </c>
      <c r="AL4878">
        <v>66.429572489576699</v>
      </c>
      <c r="AM4878">
        <v>101.071895114971</v>
      </c>
      <c r="AN4878">
        <v>0.99999997435052901</v>
      </c>
    </row>
    <row r="4879" spans="1:40" x14ac:dyDescent="0.25">
      <c r="A4879" t="str">
        <f>"20190304164508940"</f>
        <v>20190304164508940</v>
      </c>
      <c r="B4879" t="str">
        <f>"1551689108935492"</f>
        <v>1551689108935492</v>
      </c>
      <c r="C4879" t="s">
        <v>40</v>
      </c>
      <c r="D4879">
        <v>5.383248</v>
      </c>
      <c r="E4879">
        <v>0.51150909999999905</v>
      </c>
      <c r="F4879" t="s">
        <v>51</v>
      </c>
      <c r="G4879">
        <v>-378.85980000000001</v>
      </c>
      <c r="H4879" s="1">
        <v>-5.6440569999999998E-7</v>
      </c>
      <c r="I4879">
        <v>19.785340000000001</v>
      </c>
      <c r="J4879">
        <v>-386.3417</v>
      </c>
      <c r="K4879">
        <v>1.1112740000000001</v>
      </c>
      <c r="L4879">
        <v>20.39697</v>
      </c>
      <c r="M4879">
        <v>0.97382060000000004</v>
      </c>
      <c r="N4879">
        <v>-9.1961679999999994E-3</v>
      </c>
      <c r="O4879">
        <v>-0.227132</v>
      </c>
      <c r="P4879">
        <v>0.91842069999999998</v>
      </c>
      <c r="Q4879">
        <v>0.39405469999999998</v>
      </c>
      <c r="R4879">
        <v>-3.4990340000000002E-2</v>
      </c>
      <c r="S4879">
        <v>3.4631349999999999</v>
      </c>
      <c r="T4879">
        <v>-0.49590339999999999</v>
      </c>
      <c r="U4879">
        <v>-0.30163570000000001</v>
      </c>
      <c r="V4879">
        <v>-0.17561689999999999</v>
      </c>
      <c r="W4879">
        <v>0.40186549999999999</v>
      </c>
      <c r="X4879">
        <v>0.89870069999999902</v>
      </c>
      <c r="Y4879">
        <v>-0.1383269</v>
      </c>
      <c r="Z4879">
        <v>4.038709E-2</v>
      </c>
      <c r="AA4879">
        <v>0.98956279999999996</v>
      </c>
      <c r="AB4879">
        <v>38</v>
      </c>
      <c r="AC4879">
        <v>7.4818999999999898</v>
      </c>
      <c r="AD4879">
        <v>-1.1112745644056901</v>
      </c>
      <c r="AE4879">
        <v>-0.61163000000000101</v>
      </c>
      <c r="AF4879">
        <v>-1.0801372676596099</v>
      </c>
      <c r="AG4879">
        <v>-1.1112745644056901</v>
      </c>
      <c r="AH4879">
        <v>7.2660332263352796</v>
      </c>
      <c r="AI4879">
        <v>98.602400792318903</v>
      </c>
      <c r="AJ4879">
        <v>98.455423049138901</v>
      </c>
      <c r="AK4879">
        <v>7.4294593693411199</v>
      </c>
      <c r="AL4879">
        <v>66.305149754761899</v>
      </c>
      <c r="AM4879">
        <v>101.056948298821</v>
      </c>
      <c r="AN4879">
        <v>1.0000000619181699</v>
      </c>
    </row>
    <row r="4880" spans="1:40" x14ac:dyDescent="0.25">
      <c r="A4880" t="str">
        <f>"20190304164508952"</f>
        <v>20190304164508952</v>
      </c>
      <c r="B4880" t="str">
        <f>"1551689108945252"</f>
        <v>1551689108945252</v>
      </c>
      <c r="C4880" t="s">
        <v>40</v>
      </c>
      <c r="D4880">
        <v>5.4076190000000004</v>
      </c>
      <c r="E4880">
        <v>0.50938409999999901</v>
      </c>
      <c r="F4880" t="s">
        <v>51</v>
      </c>
      <c r="G4880">
        <v>-376.5453</v>
      </c>
      <c r="H4880" s="1">
        <v>-1.7225889999999999E-6</v>
      </c>
      <c r="I4880">
        <v>20.0261</v>
      </c>
      <c r="J4880">
        <v>-386.12520000000001</v>
      </c>
      <c r="K4880">
        <v>1.1114139999999999</v>
      </c>
      <c r="L4880">
        <v>20.347169999999998</v>
      </c>
      <c r="M4880">
        <v>0.97403139999999999</v>
      </c>
      <c r="N4880">
        <v>-9.1874799999999996E-3</v>
      </c>
      <c r="O4880">
        <v>-0.2262265</v>
      </c>
      <c r="P4880">
        <v>0.91808429999999996</v>
      </c>
      <c r="Q4880">
        <v>0.39486890000000002</v>
      </c>
      <c r="R4880">
        <v>-3.4636670000000001E-2</v>
      </c>
      <c r="S4880">
        <v>3.4283450000000002</v>
      </c>
      <c r="T4880">
        <v>-0.38889800000000002</v>
      </c>
      <c r="U4880">
        <v>-0.1297913</v>
      </c>
      <c r="V4880">
        <v>-0.17518689999999901</v>
      </c>
      <c r="W4880">
        <v>0.4026111</v>
      </c>
      <c r="X4880">
        <v>0.89845079999999999</v>
      </c>
      <c r="Y4880">
        <v>-0.1867327</v>
      </c>
      <c r="Z4880">
        <v>3.4702579999999997E-2</v>
      </c>
      <c r="AA4880">
        <v>0.98179760000000005</v>
      </c>
      <c r="AB4880">
        <v>38</v>
      </c>
      <c r="AC4880">
        <v>9.5799000000000092</v>
      </c>
      <c r="AD4880">
        <v>-1.111415722589</v>
      </c>
      <c r="AE4880">
        <v>-0.32107000000000202</v>
      </c>
      <c r="AF4880">
        <v>-1.8299702786748799</v>
      </c>
      <c r="AG4880">
        <v>-1.111415722589</v>
      </c>
      <c r="AH4880">
        <v>9.2793982678783191</v>
      </c>
      <c r="AI4880">
        <v>96.702043833610105</v>
      </c>
      <c r="AJ4880">
        <v>101.15602538436301</v>
      </c>
      <c r="AK4880">
        <v>9.5231963301800402</v>
      </c>
      <c r="AL4880">
        <v>66.258487092020701</v>
      </c>
      <c r="AM4880">
        <v>101.033532840834</v>
      </c>
      <c r="AN4880">
        <v>0.99999999389772998</v>
      </c>
    </row>
    <row r="4881" spans="1:40" x14ac:dyDescent="0.25">
      <c r="A4881" t="str">
        <f>"20190304164508966"</f>
        <v>20190304164508966</v>
      </c>
      <c r="B4881" t="str">
        <f>"1551689108955013"</f>
        <v>1551689108955013</v>
      </c>
      <c r="C4881" t="s">
        <v>40</v>
      </c>
      <c r="D4881">
        <v>5.3727210000000003</v>
      </c>
      <c r="E4881">
        <v>0.50779220000000003</v>
      </c>
      <c r="F4881" t="s">
        <v>51</v>
      </c>
      <c r="G4881">
        <v>-376.07470000000001</v>
      </c>
      <c r="H4881" s="1">
        <v>-1.9435760000000001E-6</v>
      </c>
      <c r="I4881">
        <v>20.020700000000001</v>
      </c>
      <c r="J4881">
        <v>-385.9024</v>
      </c>
      <c r="K4881">
        <v>1.111577</v>
      </c>
      <c r="L4881">
        <v>20.29636</v>
      </c>
      <c r="M4881">
        <v>0.97428519999999996</v>
      </c>
      <c r="N4881">
        <v>-9.1812109999999999E-3</v>
      </c>
      <c r="O4881">
        <v>-0.22513179999999999</v>
      </c>
      <c r="P4881">
        <v>0.91786190000000001</v>
      </c>
      <c r="Q4881">
        <v>0.39541939999999998</v>
      </c>
      <c r="R4881">
        <v>-3.4259570000000003E-2</v>
      </c>
      <c r="S4881">
        <v>3.4263919999999999</v>
      </c>
      <c r="T4881">
        <v>-0.37890020000000002</v>
      </c>
      <c r="U4881">
        <v>-0.1112976</v>
      </c>
      <c r="V4881">
        <v>-0.1746511</v>
      </c>
      <c r="W4881">
        <v>0.4030881</v>
      </c>
      <c r="X4881">
        <v>0.89834119999999995</v>
      </c>
      <c r="Y4881">
        <v>-0.19100149999999999</v>
      </c>
      <c r="Z4881">
        <v>3.3959019999999999E-2</v>
      </c>
      <c r="AA4881">
        <v>0.98100220000000005</v>
      </c>
      <c r="AB4881">
        <v>38</v>
      </c>
      <c r="AC4881">
        <v>9.8276999999999894</v>
      </c>
      <c r="AD4881">
        <v>-1.111578943576</v>
      </c>
      <c r="AE4881">
        <v>-0.27565999999999802</v>
      </c>
      <c r="AF4881">
        <v>-1.91950088397042</v>
      </c>
      <c r="AG4881">
        <v>-1.111578943576</v>
      </c>
      <c r="AH4881">
        <v>9.5158061278571804</v>
      </c>
      <c r="AI4881">
        <v>96.532347165912995</v>
      </c>
      <c r="AJ4881">
        <v>101.404500190072</v>
      </c>
      <c r="AK4881">
        <v>9.77090874250338</v>
      </c>
      <c r="AL4881">
        <v>66.228626160990203</v>
      </c>
      <c r="AM4881">
        <v>101.001921136787</v>
      </c>
      <c r="AN4881">
        <v>0.99999996735512897</v>
      </c>
    </row>
    <row r="4882" spans="1:40" x14ac:dyDescent="0.25">
      <c r="A4882" t="str">
        <f>"20190304164508986"</f>
        <v>20190304164508986</v>
      </c>
      <c r="B4882" t="str">
        <f>"1551689108975509"</f>
        <v>1551689108975509</v>
      </c>
      <c r="C4882" t="s">
        <v>40</v>
      </c>
      <c r="D4882">
        <v>5.368385</v>
      </c>
      <c r="E4882">
        <v>0.5061464</v>
      </c>
      <c r="F4882" t="s">
        <v>51</v>
      </c>
      <c r="G4882">
        <v>-375.65660000000003</v>
      </c>
      <c r="H4882" s="1">
        <v>-2.1374690000000001E-6</v>
      </c>
      <c r="I4882">
        <v>20.006679999999999</v>
      </c>
      <c r="J4882">
        <v>-385.57440000000003</v>
      </c>
      <c r="K4882">
        <v>1.1118380000000001</v>
      </c>
      <c r="L4882">
        <v>20.222110000000001</v>
      </c>
      <c r="M4882">
        <v>0.97470469999999998</v>
      </c>
      <c r="N4882">
        <v>-9.1745149999999994E-3</v>
      </c>
      <c r="O4882">
        <v>-0.2233086</v>
      </c>
      <c r="P4882">
        <v>0.91722440000000005</v>
      </c>
      <c r="Q4882">
        <v>0.39691480000000001</v>
      </c>
      <c r="R4882">
        <v>-3.4032529999999998E-2</v>
      </c>
      <c r="S4882">
        <v>3.4249269999999998</v>
      </c>
      <c r="T4882">
        <v>-0.37157479999999998</v>
      </c>
      <c r="U4882">
        <v>-9.6832280000000007E-2</v>
      </c>
      <c r="V4882">
        <v>-0.1733034</v>
      </c>
      <c r="W4882">
        <v>0.4044701</v>
      </c>
      <c r="X4882">
        <v>0.89798099999999903</v>
      </c>
      <c r="Y4882">
        <v>-0.1933752</v>
      </c>
      <c r="Z4882">
        <v>3.3267020000000001E-2</v>
      </c>
      <c r="AA4882">
        <v>0.98056069999999995</v>
      </c>
      <c r="AB4882">
        <v>38</v>
      </c>
      <c r="AC4882">
        <v>9.9177999999999997</v>
      </c>
      <c r="AD4882">
        <v>-1.1118401374689999</v>
      </c>
      <c r="AE4882">
        <v>-0.21543000000000101</v>
      </c>
      <c r="AF4882">
        <v>-1.97996189260971</v>
      </c>
      <c r="AG4882">
        <v>-1.1118401374689999</v>
      </c>
      <c r="AH4882">
        <v>9.5949131634414897</v>
      </c>
      <c r="AI4882">
        <v>96.474624153568101</v>
      </c>
      <c r="AJ4882">
        <v>101.659631591159</v>
      </c>
      <c r="AK4882">
        <v>9.8599592393405207</v>
      </c>
      <c r="AL4882">
        <v>66.142074939165695</v>
      </c>
      <c r="AM4882">
        <v>100.92334733876601</v>
      </c>
      <c r="AN4882">
        <v>1.0000000033032801</v>
      </c>
    </row>
    <row r="4883" spans="1:40" x14ac:dyDescent="0.25">
      <c r="A4883" t="str">
        <f>"20190304164509007"</f>
        <v>20190304164509007</v>
      </c>
      <c r="B4883" t="str">
        <f>"1551689108995028"</f>
        <v>1551689108995028</v>
      </c>
      <c r="C4883" t="s">
        <v>40</v>
      </c>
      <c r="D4883">
        <v>5.3940739999999998</v>
      </c>
      <c r="E4883">
        <v>0.50555459999999997</v>
      </c>
      <c r="F4883" t="s">
        <v>51</v>
      </c>
      <c r="G4883">
        <v>-375.1164</v>
      </c>
      <c r="H4883" s="1">
        <v>-2.3833239999999999E-6</v>
      </c>
      <c r="I4883">
        <v>19.9709</v>
      </c>
      <c r="J4883">
        <v>-385.21899999999999</v>
      </c>
      <c r="K4883">
        <v>1.112152</v>
      </c>
      <c r="L4883">
        <v>20.142669999999999</v>
      </c>
      <c r="M4883">
        <v>0.97523119999999996</v>
      </c>
      <c r="N4883">
        <v>-9.1714929999999993E-3</v>
      </c>
      <c r="O4883">
        <v>-0.22099769999999999</v>
      </c>
      <c r="P4883">
        <v>0.91689449999999995</v>
      </c>
      <c r="Q4883">
        <v>0.39777170000000001</v>
      </c>
      <c r="R4883">
        <v>-3.290034E-2</v>
      </c>
      <c r="S4883">
        <v>3.4252319999999998</v>
      </c>
      <c r="T4883">
        <v>-0.36415429999999999</v>
      </c>
      <c r="U4883">
        <v>-8.2275390000000004E-2</v>
      </c>
      <c r="V4883">
        <v>-0.1725043</v>
      </c>
      <c r="W4883">
        <v>0.40519820000000001</v>
      </c>
      <c r="X4883">
        <v>0.89780659999999901</v>
      </c>
      <c r="Y4883">
        <v>-0.1953088</v>
      </c>
      <c r="Z4883">
        <v>3.2478109999999998E-2</v>
      </c>
      <c r="AA4883">
        <v>0.98020390000000002</v>
      </c>
      <c r="AB4883">
        <v>38</v>
      </c>
      <c r="AC4883">
        <v>10.102599999999899</v>
      </c>
      <c r="AD4883">
        <v>-1.112154383324</v>
      </c>
      <c r="AE4883">
        <v>-0.171770000000002</v>
      </c>
      <c r="AF4883">
        <v>-2.0405012488945902</v>
      </c>
      <c r="AG4883">
        <v>-1.112154383324</v>
      </c>
      <c r="AH4883">
        <v>9.7723514282477701</v>
      </c>
      <c r="AI4883">
        <v>96.356744770739795</v>
      </c>
      <c r="AJ4883">
        <v>101.794104878762</v>
      </c>
      <c r="AK4883">
        <v>10.044868598257599</v>
      </c>
      <c r="AL4883">
        <v>66.096452106466202</v>
      </c>
      <c r="AM4883">
        <v>100.876245351215</v>
      </c>
      <c r="AN4883">
        <v>1.0000000029026399</v>
      </c>
    </row>
    <row r="4884" spans="1:40" x14ac:dyDescent="0.25">
      <c r="A4884" t="str">
        <f>"20190304164509029"</f>
        <v>20190304164509029</v>
      </c>
      <c r="B4884" t="str">
        <f>"1551689109025284"</f>
        <v>1551689109025284</v>
      </c>
      <c r="C4884" t="s">
        <v>40</v>
      </c>
      <c r="D4884">
        <v>5.3723839999999896</v>
      </c>
      <c r="E4884">
        <v>0.5053417</v>
      </c>
      <c r="F4884" t="s">
        <v>51</v>
      </c>
      <c r="G4884">
        <v>-374.69779999999997</v>
      </c>
      <c r="H4884" s="1">
        <v>-2.5664180000000002E-6</v>
      </c>
      <c r="I4884">
        <v>19.915240000000001</v>
      </c>
      <c r="J4884">
        <v>-384.85730000000001</v>
      </c>
      <c r="K4884">
        <v>1.1124849999999999</v>
      </c>
      <c r="L4884">
        <v>20.06305</v>
      </c>
      <c r="M4884">
        <v>0.97584029999999999</v>
      </c>
      <c r="N4884">
        <v>-9.1720740000000005E-3</v>
      </c>
      <c r="O4884">
        <v>-0.21829219999999999</v>
      </c>
      <c r="P4884">
        <v>0.91682509999999995</v>
      </c>
      <c r="Q4884">
        <v>0.39806540000000001</v>
      </c>
      <c r="R4884">
        <v>-3.123474E-2</v>
      </c>
      <c r="S4884">
        <v>3.4263919999999999</v>
      </c>
      <c r="T4884">
        <v>-0.36218869999999997</v>
      </c>
      <c r="U4884">
        <v>-7.4066160000000006E-2</v>
      </c>
      <c r="V4884">
        <v>-0.1719377</v>
      </c>
      <c r="W4884">
        <v>0.40536040000000001</v>
      </c>
      <c r="X4884">
        <v>0.89784209999999998</v>
      </c>
      <c r="Y4884">
        <v>-0.19498470000000001</v>
      </c>
      <c r="Z4884">
        <v>3.2016000000000003E-2</v>
      </c>
      <c r="AA4884">
        <v>0.98028360000000003</v>
      </c>
      <c r="AB4884">
        <v>38</v>
      </c>
      <c r="AC4884">
        <v>10.1595</v>
      </c>
      <c r="AD4884">
        <v>-1.1124875664179901</v>
      </c>
      <c r="AE4884">
        <v>-0.147809999999999</v>
      </c>
      <c r="AF4884">
        <v>-2.0490238814834698</v>
      </c>
      <c r="AG4884">
        <v>-1.1124875664179901</v>
      </c>
      <c r="AH4884">
        <v>9.8289033894708808</v>
      </c>
      <c r="AI4884">
        <v>96.322764511421695</v>
      </c>
      <c r="AJ4884">
        <v>101.775750922669</v>
      </c>
      <c r="AK4884">
        <v>10.101656759753601</v>
      </c>
      <c r="AL4884">
        <v>66.086287173158397</v>
      </c>
      <c r="AM4884">
        <v>100.84095115468401</v>
      </c>
      <c r="AN4884">
        <v>1.0000000315509201</v>
      </c>
    </row>
    <row r="4885" spans="1:40" x14ac:dyDescent="0.25">
      <c r="A4885" t="str">
        <f>"20190304164509041"</f>
        <v>20190304164509041</v>
      </c>
      <c r="B4885" t="str">
        <f>"1551689109035045"</f>
        <v>1551689109035045</v>
      </c>
      <c r="C4885" t="s">
        <v>40</v>
      </c>
      <c r="D4885">
        <v>5.384665</v>
      </c>
      <c r="E4885">
        <v>0.50538430000000001</v>
      </c>
      <c r="F4885" t="s">
        <v>51</v>
      </c>
      <c r="G4885">
        <v>-374.39109999999999</v>
      </c>
      <c r="H4885" s="1">
        <v>-2.6953709999999999E-6</v>
      </c>
      <c r="I4885">
        <v>19.855180000000001</v>
      </c>
      <c r="J4885">
        <v>-384.63780000000003</v>
      </c>
      <c r="K4885">
        <v>1.1126860000000001</v>
      </c>
      <c r="L4885">
        <v>20.01538</v>
      </c>
      <c r="M4885">
        <v>0.97624650000000002</v>
      </c>
      <c r="N4885">
        <v>-9.1739360000000006E-3</v>
      </c>
      <c r="O4885">
        <v>-0.2164692</v>
      </c>
      <c r="P4885">
        <v>0.91679529999999998</v>
      </c>
      <c r="Q4885">
        <v>0.39824039999999999</v>
      </c>
      <c r="R4885">
        <v>-2.9847729999999999E-2</v>
      </c>
      <c r="S4885">
        <v>3.4281009999999998</v>
      </c>
      <c r="T4885">
        <v>-0.36438579999999998</v>
      </c>
      <c r="U4885">
        <v>-6.8084720000000001E-2</v>
      </c>
      <c r="V4885">
        <v>-0.1717996</v>
      </c>
      <c r="W4885">
        <v>0.40545500000000001</v>
      </c>
      <c r="X4885">
        <v>0.89782580000000001</v>
      </c>
      <c r="Y4885">
        <v>-0.19485769999999999</v>
      </c>
      <c r="Z4885">
        <v>3.2021189999999998E-2</v>
      </c>
      <c r="AA4885">
        <v>0.98030870000000003</v>
      </c>
      <c r="AB4885">
        <v>38</v>
      </c>
      <c r="AC4885">
        <v>10.246700000000001</v>
      </c>
      <c r="AD4885">
        <v>-1.112688695371</v>
      </c>
      <c r="AE4885">
        <v>-0.16020000000000301</v>
      </c>
      <c r="AF4885">
        <v>-2.0377637251484599</v>
      </c>
      <c r="AG4885">
        <v>-1.112688695371</v>
      </c>
      <c r="AH4885">
        <v>9.9214414305173797</v>
      </c>
      <c r="AI4885">
        <v>96.269185229245096</v>
      </c>
      <c r="AJ4885">
        <v>101.606562478705</v>
      </c>
      <c r="AK4885">
        <v>10.189482675362999</v>
      </c>
      <c r="AL4885">
        <v>66.080357417506406</v>
      </c>
      <c r="AM4885">
        <v>100.832641831091</v>
      </c>
      <c r="AN4885">
        <v>1.0000000133653999</v>
      </c>
    </row>
    <row r="4886" spans="1:40" x14ac:dyDescent="0.25">
      <c r="A4886" t="str">
        <f>"20190304164509064"</f>
        <v>20190304164509064</v>
      </c>
      <c r="B4886" t="str">
        <f>"1551689109055540"</f>
        <v>1551689109055540</v>
      </c>
      <c r="C4886" t="s">
        <v>40</v>
      </c>
      <c r="D4886">
        <v>5.3845039999999997</v>
      </c>
      <c r="E4886">
        <v>0.50533459999999997</v>
      </c>
      <c r="F4886" t="s">
        <v>51</v>
      </c>
      <c r="G4886">
        <v>-374.15660000000003</v>
      </c>
      <c r="H4886" s="1">
        <v>-2.7968590000000002E-6</v>
      </c>
      <c r="I4886">
        <v>19.81982</v>
      </c>
      <c r="J4886">
        <v>-384.26209999999998</v>
      </c>
      <c r="K4886">
        <v>1.1130199999999999</v>
      </c>
      <c r="L4886">
        <v>19.935030000000001</v>
      </c>
      <c r="M4886">
        <v>0.97699259999999999</v>
      </c>
      <c r="N4886">
        <v>-9.1786439999999997E-3</v>
      </c>
      <c r="O4886">
        <v>-0.2130755</v>
      </c>
      <c r="P4886">
        <v>0.91683170000000003</v>
      </c>
      <c r="Q4886">
        <v>0.39837739999999999</v>
      </c>
      <c r="R4886">
        <v>-2.6741910000000001E-2</v>
      </c>
      <c r="S4886">
        <v>3.4282530000000002</v>
      </c>
      <c r="T4886">
        <v>-0.3639444</v>
      </c>
      <c r="U4886">
        <v>-6.3964839999999995E-2</v>
      </c>
      <c r="V4886">
        <v>-0.17204410000000001</v>
      </c>
      <c r="W4886">
        <v>0.4054545</v>
      </c>
      <c r="X4886">
        <v>0.8977792</v>
      </c>
      <c r="Y4886">
        <v>-0.192663</v>
      </c>
      <c r="Z4886">
        <v>3.1533409999999998E-2</v>
      </c>
      <c r="AA4886">
        <v>0.98075820000000002</v>
      </c>
      <c r="AB4886">
        <v>38</v>
      </c>
      <c r="AC4886">
        <v>10.1054999999999</v>
      </c>
      <c r="AD4886">
        <v>-1.1130227968590001</v>
      </c>
      <c r="AE4886">
        <v>-0.115209999999997</v>
      </c>
      <c r="AF4886">
        <v>-2.01630477459782</v>
      </c>
      <c r="AG4886">
        <v>-1.1130227968590001</v>
      </c>
      <c r="AH4886">
        <v>9.77934758116659</v>
      </c>
      <c r="AI4886">
        <v>96.360445347888998</v>
      </c>
      <c r="AJ4886">
        <v>101.64998724170199</v>
      </c>
      <c r="AK4886">
        <v>10.0468872693816</v>
      </c>
      <c r="AL4886">
        <v>66.080388618948604</v>
      </c>
      <c r="AM4886">
        <v>100.848242692325</v>
      </c>
      <c r="AN4886">
        <v>1.00000000793385</v>
      </c>
    </row>
    <row r="4887" spans="1:40" x14ac:dyDescent="0.25">
      <c r="A4887" t="str">
        <f>"20190304164509077"</f>
        <v>20190304164509077</v>
      </c>
      <c r="B4887" t="str">
        <f>"1551689109065301"</f>
        <v>1551689109065301</v>
      </c>
      <c r="C4887" t="s">
        <v>40</v>
      </c>
      <c r="D4887">
        <v>5.3656709999999999</v>
      </c>
      <c r="E4887">
        <v>0.50532619999999995</v>
      </c>
      <c r="F4887" t="s">
        <v>51</v>
      </c>
      <c r="G4887">
        <v>-373.82159999999999</v>
      </c>
      <c r="H4887" s="1">
        <v>-2.9420189999999998E-6</v>
      </c>
      <c r="I4887">
        <v>19.770309999999998</v>
      </c>
      <c r="J4887">
        <v>-384.05110000000002</v>
      </c>
      <c r="K4887">
        <v>1.1131979999999999</v>
      </c>
      <c r="L4887">
        <v>19.890529999999998</v>
      </c>
      <c r="M4887">
        <v>0.97743429999999998</v>
      </c>
      <c r="N4887">
        <v>-9.1816759999999997E-3</v>
      </c>
      <c r="O4887">
        <v>-0.21104010000000001</v>
      </c>
      <c r="P4887">
        <v>0.91706299999999996</v>
      </c>
      <c r="Q4887">
        <v>0.3979973</v>
      </c>
      <c r="R4887">
        <v>-2.4371319999999998E-2</v>
      </c>
      <c r="S4887">
        <v>3.429443</v>
      </c>
      <c r="T4887">
        <v>-0.36560169999999997</v>
      </c>
      <c r="U4887">
        <v>-5.4107669999999997E-2</v>
      </c>
      <c r="V4887">
        <v>-0.17271220000000001</v>
      </c>
      <c r="W4887">
        <v>0.40499639999999998</v>
      </c>
      <c r="X4887">
        <v>0.89785769999999998</v>
      </c>
      <c r="Y4887">
        <v>-0.19343009999999999</v>
      </c>
      <c r="Z4887">
        <v>3.1523000000000002E-2</v>
      </c>
      <c r="AA4887">
        <v>0.98060749999999997</v>
      </c>
      <c r="AB4887">
        <v>38</v>
      </c>
      <c r="AC4887">
        <v>10.2295</v>
      </c>
      <c r="AD4887">
        <v>-1.1132009420190001</v>
      </c>
      <c r="AE4887">
        <v>-0.120219999999996</v>
      </c>
      <c r="AF4887">
        <v>-2.0175246070246402</v>
      </c>
      <c r="AG4887">
        <v>-1.1132009420190001</v>
      </c>
      <c r="AH4887">
        <v>9.9071499293891101</v>
      </c>
      <c r="AI4887">
        <v>96.283160509988093</v>
      </c>
      <c r="AJ4887">
        <v>101.51050761078599</v>
      </c>
      <c r="AK4887">
        <v>10.1715899249162</v>
      </c>
      <c r="AL4887">
        <v>66.109098929229603</v>
      </c>
      <c r="AM4887">
        <v>100.888435172961</v>
      </c>
      <c r="AN4887">
        <v>1.00000001874554</v>
      </c>
    </row>
    <row r="4888" spans="1:40" x14ac:dyDescent="0.25">
      <c r="A4888" t="str">
        <f>"20190304164509088"</f>
        <v>20190304164509088</v>
      </c>
      <c r="B4888" t="str">
        <f>"1551689109084820"</f>
        <v>1551689109084820</v>
      </c>
      <c r="C4888" t="s">
        <v>40</v>
      </c>
      <c r="D4888">
        <v>5.3266999999999998</v>
      </c>
      <c r="E4888">
        <v>0.50532250000000001</v>
      </c>
      <c r="F4888" t="s">
        <v>51</v>
      </c>
      <c r="G4888">
        <v>-373.70269999999999</v>
      </c>
      <c r="H4888" s="1">
        <v>-2.992864E-6</v>
      </c>
      <c r="I4888">
        <v>19.750129999999999</v>
      </c>
      <c r="J4888">
        <v>-383.84519999999998</v>
      </c>
      <c r="K4888">
        <v>1.113364</v>
      </c>
      <c r="L4888">
        <v>19.84769</v>
      </c>
      <c r="M4888">
        <v>0.97788520000000001</v>
      </c>
      <c r="N4888">
        <v>-9.1851799999999994E-3</v>
      </c>
      <c r="O4888">
        <v>-0.2089413</v>
      </c>
      <c r="P4888">
        <v>0.91734830000000001</v>
      </c>
      <c r="Q4888">
        <v>0.39746710000000002</v>
      </c>
      <c r="R4888">
        <v>-2.2190519999999998E-2</v>
      </c>
      <c r="S4888">
        <v>3.430237</v>
      </c>
      <c r="T4888">
        <v>-0.36899779999999999</v>
      </c>
      <c r="U4888">
        <v>-4.653931E-2</v>
      </c>
      <c r="V4888">
        <v>-0.17313489999999901</v>
      </c>
      <c r="W4888">
        <v>0.40439639999999999</v>
      </c>
      <c r="X4888">
        <v>0.89804669999999898</v>
      </c>
      <c r="Y4888">
        <v>-0.1934604</v>
      </c>
      <c r="Z4888">
        <v>3.1618210000000001E-2</v>
      </c>
      <c r="AA4888">
        <v>0.98059839999999998</v>
      </c>
      <c r="AB4888">
        <v>38</v>
      </c>
      <c r="AC4888">
        <v>10.142499999999901</v>
      </c>
      <c r="AD4888">
        <v>-1.113366992864</v>
      </c>
      <c r="AE4888">
        <v>-9.7560000000001396E-2</v>
      </c>
      <c r="AF4888">
        <v>-1.9997746952944799</v>
      </c>
      <c r="AG4888">
        <v>-1.113366992864</v>
      </c>
      <c r="AH4888">
        <v>9.8206746691358795</v>
      </c>
      <c r="AI4888">
        <v>96.338993363328896</v>
      </c>
      <c r="AJ4888">
        <v>101.50972443564</v>
      </c>
      <c r="AK4888">
        <v>10.0838651245316</v>
      </c>
      <c r="AL4888">
        <v>66.146692228615095</v>
      </c>
      <c r="AM4888">
        <v>100.912202661141</v>
      </c>
      <c r="AN4888">
        <v>1.00000000865592</v>
      </c>
    </row>
    <row r="4889" spans="1:40" x14ac:dyDescent="0.25">
      <c r="A4889" t="str">
        <f>"20190304164509107"</f>
        <v>20190304164509107</v>
      </c>
      <c r="B4889" t="str">
        <f>"1551689109095557"</f>
        <v>1551689109095557</v>
      </c>
      <c r="C4889" t="s">
        <v>40</v>
      </c>
      <c r="D4889">
        <v>5.3811030000000004</v>
      </c>
      <c r="E4889">
        <v>0.50533569999999906</v>
      </c>
      <c r="F4889" t="s">
        <v>51</v>
      </c>
      <c r="G4889">
        <v>-373.59059999999999</v>
      </c>
      <c r="H4889" s="1">
        <v>-3.04113E-6</v>
      </c>
      <c r="I4889">
        <v>19.732479999999999</v>
      </c>
      <c r="J4889">
        <v>-383.55029999999999</v>
      </c>
      <c r="K4889">
        <v>1.1135889999999999</v>
      </c>
      <c r="L4889">
        <v>19.787289999999999</v>
      </c>
      <c r="M4889">
        <v>0.97855060000000005</v>
      </c>
      <c r="N4889">
        <v>-9.1956420000000004E-3</v>
      </c>
      <c r="O4889">
        <v>-0.20580209999999999</v>
      </c>
      <c r="P4889">
        <v>0.91811390000000004</v>
      </c>
      <c r="Q4889">
        <v>0.39589079999999999</v>
      </c>
      <c r="R4889">
        <v>-1.8370649999999999E-2</v>
      </c>
      <c r="S4889">
        <v>3.4307560000000001</v>
      </c>
      <c r="T4889">
        <v>-0.3724885</v>
      </c>
      <c r="U4889">
        <v>-3.8543699999999903E-2</v>
      </c>
      <c r="V4889">
        <v>-0.1743537</v>
      </c>
      <c r="W4889">
        <v>0.40272720000000001</v>
      </c>
      <c r="X4889">
        <v>0.8985609</v>
      </c>
      <c r="Y4889">
        <v>-0.19257859999999999</v>
      </c>
      <c r="Z4889">
        <v>3.1564799999999997E-2</v>
      </c>
      <c r="AA4889">
        <v>0.98077369999999997</v>
      </c>
      <c r="AB4889">
        <v>38</v>
      </c>
      <c r="AC4889">
        <v>9.9596999999999891</v>
      </c>
      <c r="AD4889">
        <v>-1.11359204113</v>
      </c>
      <c r="AE4889">
        <v>-5.4809999999999803E-2</v>
      </c>
      <c r="AF4889">
        <v>-1.97153066874728</v>
      </c>
      <c r="AG4889">
        <v>-1.11359204113</v>
      </c>
      <c r="AH4889">
        <v>9.6372851216110504</v>
      </c>
      <c r="AI4889">
        <v>96.458718870177094</v>
      </c>
      <c r="AJ4889">
        <v>101.561658994895</v>
      </c>
      <c r="AK4889">
        <v>9.8997113557469394</v>
      </c>
      <c r="AL4889">
        <v>66.251221278802106</v>
      </c>
      <c r="AM4889">
        <v>100.98102256466601</v>
      </c>
      <c r="AN4889">
        <v>1.0000000506661599</v>
      </c>
    </row>
    <row r="4890" spans="1:40" x14ac:dyDescent="0.25">
      <c r="A4890" t="str">
        <f>"20190304164509119"</f>
        <v>20190304164509119</v>
      </c>
      <c r="B4890" t="str">
        <f>"1551689109115077"</f>
        <v>1551689109115077</v>
      </c>
      <c r="C4890" t="s">
        <v>40</v>
      </c>
      <c r="D4890">
        <v>5.3929140000000002</v>
      </c>
      <c r="E4890">
        <v>0.5053242</v>
      </c>
      <c r="F4890" t="s">
        <v>51</v>
      </c>
      <c r="G4890">
        <v>-373.47789999999998</v>
      </c>
      <c r="H4890" s="1">
        <v>-3.08986E-6</v>
      </c>
      <c r="I4890">
        <v>19.715340000000001</v>
      </c>
      <c r="J4890">
        <v>-383.32619999999997</v>
      </c>
      <c r="K4890">
        <v>1.1137520000000001</v>
      </c>
      <c r="L4890">
        <v>19.742000000000001</v>
      </c>
      <c r="M4890">
        <v>0.97906879999999996</v>
      </c>
      <c r="N4890">
        <v>-9.2079520000000002E-3</v>
      </c>
      <c r="O4890">
        <v>-0.2033219</v>
      </c>
      <c r="P4890">
        <v>0.91856249999999995</v>
      </c>
      <c r="Q4890">
        <v>0.39495659999999999</v>
      </c>
      <c r="R4890">
        <v>-1.5888739999999998E-2</v>
      </c>
      <c r="S4890">
        <v>3.4306030000000001</v>
      </c>
      <c r="T4890">
        <v>-0.37928240000000002</v>
      </c>
      <c r="U4890">
        <v>-2.4505619999999999E-2</v>
      </c>
      <c r="V4890">
        <v>-0.17474500000000001</v>
      </c>
      <c r="W4890">
        <v>0.40173399999999998</v>
      </c>
      <c r="X4890">
        <v>0.89892939999999999</v>
      </c>
      <c r="Y4890">
        <v>-0.19402430000000001</v>
      </c>
      <c r="Z4890">
        <v>3.1999590000000001E-2</v>
      </c>
      <c r="AA4890">
        <v>0.98047470000000003</v>
      </c>
      <c r="AB4890">
        <v>39</v>
      </c>
      <c r="AC4890">
        <v>9.8482999999999894</v>
      </c>
      <c r="AD4890">
        <v>-1.1137550898599999</v>
      </c>
      <c r="AE4890">
        <v>-2.6660000000003199E-2</v>
      </c>
      <c r="AF4890">
        <v>-1.9513991601674801</v>
      </c>
      <c r="AG4890">
        <v>-1.1137550898599999</v>
      </c>
      <c r="AH4890">
        <v>9.5261565999521807</v>
      </c>
      <c r="AI4890">
        <v>96.534016745542502</v>
      </c>
      <c r="AJ4890">
        <v>101.57668185497501</v>
      </c>
      <c r="AK4890">
        <v>9.7875466103260003</v>
      </c>
      <c r="AL4890">
        <v>66.313377072561906</v>
      </c>
      <c r="AM4890">
        <v>101.000664860553</v>
      </c>
      <c r="AN4890">
        <v>1.00000004398267</v>
      </c>
    </row>
    <row r="4891" spans="1:40" x14ac:dyDescent="0.25">
      <c r="A4891" t="str">
        <f>"20190304164509131"</f>
        <v>20190304164509131</v>
      </c>
      <c r="B4891" t="str">
        <f>"1551689109124836"</f>
        <v>1551689109124836</v>
      </c>
      <c r="C4891" t="s">
        <v>40</v>
      </c>
      <c r="D4891">
        <v>5.359496</v>
      </c>
      <c r="E4891">
        <v>0.50540980000000002</v>
      </c>
      <c r="F4891" t="s">
        <v>51</v>
      </c>
      <c r="G4891">
        <v>-373.40379999999999</v>
      </c>
      <c r="H4891" s="1">
        <v>-3.1209519999999998E-6</v>
      </c>
      <c r="I4891">
        <v>19.700530000000001</v>
      </c>
      <c r="J4891">
        <v>-383.12150000000003</v>
      </c>
      <c r="K4891">
        <v>1.1138969999999999</v>
      </c>
      <c r="L4891">
        <v>19.701139999999999</v>
      </c>
      <c r="M4891">
        <v>0.97954819999999998</v>
      </c>
      <c r="N4891">
        <v>-9.2221500000000001E-3</v>
      </c>
      <c r="O4891">
        <v>-0.20099790000000001</v>
      </c>
      <c r="P4891">
        <v>0.91859400000000002</v>
      </c>
      <c r="Q4891">
        <v>0.39496150000000002</v>
      </c>
      <c r="R4891">
        <v>-1.3804510000000001E-2</v>
      </c>
      <c r="S4891">
        <v>3.431305</v>
      </c>
      <c r="T4891">
        <v>-0.38515260000000001</v>
      </c>
      <c r="U4891">
        <v>-1.434326E-2</v>
      </c>
      <c r="V4891">
        <v>-0.17479500000000001</v>
      </c>
      <c r="W4891">
        <v>0.40168989999999999</v>
      </c>
      <c r="X4891">
        <v>0.8989393</v>
      </c>
      <c r="Y4891">
        <v>-0.1945385</v>
      </c>
      <c r="Z4891">
        <v>3.2297920000000001E-2</v>
      </c>
      <c r="AA4891">
        <v>0.98036299999999998</v>
      </c>
      <c r="AB4891">
        <v>39</v>
      </c>
      <c r="AC4891">
        <v>9.7177000000000309</v>
      </c>
      <c r="AD4891">
        <v>-1.1139001209520001</v>
      </c>
      <c r="AE4891">
        <v>-6.0999999999822297E-4</v>
      </c>
      <c r="AF4891">
        <v>-1.9273986468686399</v>
      </c>
      <c r="AG4891">
        <v>-1.1139001209520001</v>
      </c>
      <c r="AH4891">
        <v>9.3960282106209796</v>
      </c>
      <c r="AI4891">
        <v>96.624199388676104</v>
      </c>
      <c r="AJ4891">
        <v>101.592223655314</v>
      </c>
      <c r="AK4891">
        <v>9.6561371758168999</v>
      </c>
      <c r="AL4891">
        <v>66.316134282150003</v>
      </c>
      <c r="AM4891">
        <v>101.003617449975</v>
      </c>
      <c r="AN4891">
        <v>0.99999996643574895</v>
      </c>
    </row>
    <row r="4892" spans="1:40" x14ac:dyDescent="0.25">
      <c r="A4892" t="str">
        <f>"20190304164509145"</f>
        <v>20190304164509145</v>
      </c>
      <c r="B4892" t="str">
        <f>"1551689109135573"</f>
        <v>1551689109135573</v>
      </c>
      <c r="C4892" t="s">
        <v>40</v>
      </c>
      <c r="D4892">
        <v>5.3792650000000002</v>
      </c>
      <c r="E4892">
        <v>0.50542159999999903</v>
      </c>
      <c r="F4892" t="s">
        <v>51</v>
      </c>
      <c r="G4892">
        <v>-373.21530000000001</v>
      </c>
      <c r="H4892" s="1">
        <v>-3.2056019999999999E-6</v>
      </c>
      <c r="I4892">
        <v>19.683789999999998</v>
      </c>
      <c r="J4892">
        <v>-382.9051</v>
      </c>
      <c r="K4892">
        <v>1.1140369999999999</v>
      </c>
      <c r="L4892">
        <v>19.658750000000001</v>
      </c>
      <c r="M4892">
        <v>0.98006610000000005</v>
      </c>
      <c r="N4892">
        <v>-9.2391929999999997E-3</v>
      </c>
      <c r="O4892">
        <v>-0.19845769999999999</v>
      </c>
      <c r="P4892">
        <v>0.91875450000000003</v>
      </c>
      <c r="Q4892">
        <v>0.3946595</v>
      </c>
      <c r="R4892">
        <v>-1.159203E-2</v>
      </c>
      <c r="S4892">
        <v>3.4316710000000001</v>
      </c>
      <c r="T4892">
        <v>-0.38587440000000001</v>
      </c>
      <c r="U4892">
        <v>-6.0119630000000004E-3</v>
      </c>
      <c r="V4892">
        <v>-0.17479129999999901</v>
      </c>
      <c r="W4892">
        <v>0.40134530000000002</v>
      </c>
      <c r="X4892">
        <v>0.89909399999999995</v>
      </c>
      <c r="Y4892">
        <v>-0.19438279999999999</v>
      </c>
      <c r="Z4892">
        <v>3.2090199999999999E-2</v>
      </c>
      <c r="AA4892">
        <v>0.98040070000000001</v>
      </c>
      <c r="AB4892">
        <v>39</v>
      </c>
      <c r="AC4892">
        <v>9.6897999999999893</v>
      </c>
      <c r="AD4892">
        <v>-1.114040205602</v>
      </c>
      <c r="AE4892">
        <v>2.5039999999996999E-2</v>
      </c>
      <c r="AF4892">
        <v>-1.92223078577593</v>
      </c>
      <c r="AG4892">
        <v>-1.114040205602</v>
      </c>
      <c r="AH4892">
        <v>9.3682479596415504</v>
      </c>
      <c r="AI4892">
        <v>96.644421801723198</v>
      </c>
      <c r="AJ4892">
        <v>101.595338159409</v>
      </c>
      <c r="AK4892">
        <v>9.6280904963970197</v>
      </c>
      <c r="AL4892">
        <v>66.337694216657496</v>
      </c>
      <c r="AM4892">
        <v>101.00154314490599</v>
      </c>
      <c r="AN4892">
        <v>1.00000003461188</v>
      </c>
    </row>
    <row r="4893" spans="1:40" x14ac:dyDescent="0.25">
      <c r="A4893" t="str">
        <f>"20190304164509164"</f>
        <v>20190304164509164</v>
      </c>
      <c r="B4893" t="str">
        <f>"1551689109155092"</f>
        <v>1551689109155092</v>
      </c>
      <c r="C4893" t="s">
        <v>40</v>
      </c>
      <c r="D4893">
        <v>5.3952749999999998</v>
      </c>
      <c r="E4893">
        <v>0.50404189999999904</v>
      </c>
      <c r="F4893" t="s">
        <v>51</v>
      </c>
      <c r="G4893">
        <v>-373.04430000000002</v>
      </c>
      <c r="H4893" s="1">
        <v>-3.281996E-6</v>
      </c>
      <c r="I4893">
        <v>19.667079999999999</v>
      </c>
      <c r="J4893">
        <v>-382.58080000000001</v>
      </c>
      <c r="K4893">
        <v>1.1142319999999999</v>
      </c>
      <c r="L4893">
        <v>19.59619</v>
      </c>
      <c r="M4893">
        <v>0.9808443</v>
      </c>
      <c r="N4893">
        <v>-9.2686699999999997E-3</v>
      </c>
      <c r="O4893">
        <v>-0.19457260000000001</v>
      </c>
      <c r="P4893">
        <v>0.91917309999999997</v>
      </c>
      <c r="Q4893">
        <v>0.39376929999999999</v>
      </c>
      <c r="R4893">
        <v>-8.1571969999999997E-3</v>
      </c>
      <c r="S4893">
        <v>3.4318849999999999</v>
      </c>
      <c r="T4893">
        <v>-0.3877234</v>
      </c>
      <c r="U4893">
        <v>2.89917E-3</v>
      </c>
      <c r="V4893">
        <v>-0.17484939999999999</v>
      </c>
      <c r="W4893">
        <v>0.4004026</v>
      </c>
      <c r="X4893">
        <v>0.89950289999999999</v>
      </c>
      <c r="Y4893">
        <v>-0.19304979999999999</v>
      </c>
      <c r="Z4893">
        <v>3.176826E-2</v>
      </c>
      <c r="AA4893">
        <v>0.9806745</v>
      </c>
      <c r="AB4893">
        <v>39</v>
      </c>
      <c r="AC4893">
        <v>9.5364999999999895</v>
      </c>
      <c r="AD4893">
        <v>-1.114235281996</v>
      </c>
      <c r="AE4893">
        <v>7.0889999999998496E-2</v>
      </c>
      <c r="AF4893">
        <v>-1.89923075748387</v>
      </c>
      <c r="AG4893">
        <v>-1.114235281996</v>
      </c>
      <c r="AH4893">
        <v>9.2146444478823195</v>
      </c>
      <c r="AI4893">
        <v>96.754117303440395</v>
      </c>
      <c r="AJ4893">
        <v>101.646148591959</v>
      </c>
      <c r="AK4893">
        <v>9.4740841264317499</v>
      </c>
      <c r="AL4893">
        <v>66.396650915001999</v>
      </c>
      <c r="AM4893">
        <v>101.000230058798</v>
      </c>
      <c r="AN4893">
        <v>1.00000001093776</v>
      </c>
    </row>
    <row r="4894" spans="1:40" x14ac:dyDescent="0.25">
      <c r="A4894" t="str">
        <f>"20190304164509187"</f>
        <v>20190304164509187</v>
      </c>
      <c r="B4894" t="str">
        <f>"1551689109175588"</f>
        <v>1551689109175588</v>
      </c>
      <c r="C4894" t="s">
        <v>40</v>
      </c>
      <c r="D4894">
        <v>5.3985310000000002</v>
      </c>
      <c r="E4894">
        <v>0.50474209999999997</v>
      </c>
      <c r="F4894" t="s">
        <v>52</v>
      </c>
      <c r="G4894">
        <v>-369.3553</v>
      </c>
      <c r="H4894" s="1">
        <v>-3.23198999999999E-7</v>
      </c>
      <c r="I4894">
        <v>19.68404</v>
      </c>
      <c r="J4894">
        <v>-382.19650000000001</v>
      </c>
      <c r="K4894">
        <v>1.114439</v>
      </c>
      <c r="L4894">
        <v>19.523859999999999</v>
      </c>
      <c r="M4894">
        <v>0.981769</v>
      </c>
      <c r="N4894">
        <v>-9.3127790000000002E-3</v>
      </c>
      <c r="O4894">
        <v>-0.18984980000000001</v>
      </c>
      <c r="P4894">
        <v>0.91955779999999998</v>
      </c>
      <c r="Q4894">
        <v>0.39293499999999998</v>
      </c>
      <c r="R4894">
        <v>-3.9266350000000004E-3</v>
      </c>
      <c r="S4894">
        <v>3.3862299999999999</v>
      </c>
      <c r="T4894">
        <v>-0.28528520000000002</v>
      </c>
      <c r="U4894">
        <v>2.2491460000000001E-2</v>
      </c>
      <c r="V4894">
        <v>-0.17492170000000001</v>
      </c>
      <c r="W4894">
        <v>0.39952369999999998</v>
      </c>
      <c r="X4894">
        <v>0.8998796</v>
      </c>
      <c r="Y4894">
        <v>-0.19508159999999999</v>
      </c>
      <c r="Z4894">
        <v>2.32354E-2</v>
      </c>
      <c r="AA4894">
        <v>0.98051169999999999</v>
      </c>
      <c r="AB4894">
        <v>39</v>
      </c>
      <c r="AC4894">
        <v>12.841200000000001</v>
      </c>
      <c r="AD4894">
        <v>-1.114439323199</v>
      </c>
      <c r="AE4894">
        <v>0.16017999999999999</v>
      </c>
      <c r="AF4894">
        <v>-2.5758734242344401</v>
      </c>
      <c r="AG4894">
        <v>-1.114439323199</v>
      </c>
      <c r="AH4894">
        <v>12.48321996916</v>
      </c>
      <c r="AI4894">
        <v>94.996834136596206</v>
      </c>
      <c r="AJ4894">
        <v>101.65916450448</v>
      </c>
      <c r="AK4894">
        <v>12.794838009963399</v>
      </c>
      <c r="AL4894">
        <v>66.451594986140194</v>
      </c>
      <c r="AM4894">
        <v>101.00017333049701</v>
      </c>
      <c r="AN4894">
        <v>1.0000000412443599</v>
      </c>
    </row>
    <row r="4895" spans="1:40" x14ac:dyDescent="0.25">
      <c r="A4895" t="str">
        <f>"20190304164509208"</f>
        <v>20190304164509208</v>
      </c>
      <c r="B4895" t="str">
        <f>"1551689109204869"</f>
        <v>1551689109204869</v>
      </c>
      <c r="C4895" t="s">
        <v>40</v>
      </c>
      <c r="D4895">
        <v>5.4080760000000003</v>
      </c>
      <c r="E4895">
        <v>0.50551140000000006</v>
      </c>
      <c r="F4895" t="s">
        <v>52</v>
      </c>
      <c r="G4895">
        <v>-369.47140000000002</v>
      </c>
      <c r="H4895" s="1">
        <v>-2.5952799999999999E-7</v>
      </c>
      <c r="I4895">
        <v>19.651039999999998</v>
      </c>
      <c r="J4895">
        <v>-381.83550000000002</v>
      </c>
      <c r="K4895">
        <v>1.1145989999999999</v>
      </c>
      <c r="L4895">
        <v>19.457730000000002</v>
      </c>
      <c r="M4895">
        <v>0.98263160000000005</v>
      </c>
      <c r="N4895">
        <v>-9.3621529999999998E-3</v>
      </c>
      <c r="O4895">
        <v>-0.18533060000000001</v>
      </c>
      <c r="P4895">
        <v>0.9197727</v>
      </c>
      <c r="Q4895">
        <v>0.3924511</v>
      </c>
      <c r="R4895">
        <v>4.9282609999999995E-4</v>
      </c>
      <c r="S4895">
        <v>3.3894350000000002</v>
      </c>
      <c r="T4895">
        <v>-0.29684169999999999</v>
      </c>
      <c r="U4895">
        <v>3.3874509999999997E-2</v>
      </c>
      <c r="V4895">
        <v>-0.1753033</v>
      </c>
      <c r="W4895">
        <v>0.39901219999999998</v>
      </c>
      <c r="X4895">
        <v>0.90003219999999995</v>
      </c>
      <c r="Y4895">
        <v>-0.19376930000000001</v>
      </c>
      <c r="Z4895">
        <v>2.3770719999999999E-2</v>
      </c>
      <c r="AA4895">
        <v>0.98075909999999999</v>
      </c>
      <c r="AB4895">
        <v>39</v>
      </c>
      <c r="AC4895">
        <v>12.364100000000001</v>
      </c>
      <c r="AD4895">
        <v>-1.1145992595280001</v>
      </c>
      <c r="AE4895">
        <v>0.19331000000000001</v>
      </c>
      <c r="AF4895">
        <v>-2.4615084401360501</v>
      </c>
      <c r="AG4895">
        <v>-1.1145992595280001</v>
      </c>
      <c r="AH4895">
        <v>12.0164306955544</v>
      </c>
      <c r="AI4895">
        <v>95.192170491663703</v>
      </c>
      <c r="AJ4895">
        <v>101.576615614242</v>
      </c>
      <c r="AK4895">
        <v>12.3164914635323</v>
      </c>
      <c r="AL4895">
        <v>66.483558455971007</v>
      </c>
      <c r="AM4895">
        <v>101.021760238113</v>
      </c>
      <c r="AN4895">
        <v>0.99999997188828404</v>
      </c>
    </row>
    <row r="4896" spans="1:40" x14ac:dyDescent="0.25">
      <c r="A4896" t="str">
        <f>"20190304164509223"</f>
        <v>20190304164509223</v>
      </c>
      <c r="B4896" t="str">
        <f>"1551689109215605"</f>
        <v>1551689109215605</v>
      </c>
      <c r="C4896" t="s">
        <v>40</v>
      </c>
      <c r="D4896">
        <v>5.372763</v>
      </c>
      <c r="E4896">
        <v>0.50566460000000002</v>
      </c>
      <c r="F4896" t="s">
        <v>52</v>
      </c>
      <c r="G4896">
        <v>-369.28390000000002</v>
      </c>
      <c r="H4896" s="1">
        <v>-3.3930080000000002E-7</v>
      </c>
      <c r="I4896">
        <v>19.61422</v>
      </c>
      <c r="J4896">
        <v>-381.58269999999999</v>
      </c>
      <c r="K4896">
        <v>1.1146990000000001</v>
      </c>
      <c r="L4896">
        <v>19.412479999999999</v>
      </c>
      <c r="M4896">
        <v>0.98322929999999997</v>
      </c>
      <c r="N4896">
        <v>-9.4002630000000007E-3</v>
      </c>
      <c r="O4896">
        <v>-0.1821313</v>
      </c>
      <c r="P4896">
        <v>0.91981270000000004</v>
      </c>
      <c r="Q4896">
        <v>0.39233790000000002</v>
      </c>
      <c r="R4896">
        <v>3.9639810000000001E-3</v>
      </c>
      <c r="S4896">
        <v>3.3901370000000002</v>
      </c>
      <c r="T4896">
        <v>-0.30104829999999999</v>
      </c>
      <c r="U4896">
        <v>4.2266850000000002E-2</v>
      </c>
      <c r="V4896">
        <v>-0.1758787</v>
      </c>
      <c r="W4896">
        <v>0.39888449999999998</v>
      </c>
      <c r="X4896">
        <v>0.89997660000000002</v>
      </c>
      <c r="Y4896">
        <v>-0.19297639999999999</v>
      </c>
      <c r="Z4896">
        <v>2.3821849999999999E-2</v>
      </c>
      <c r="AA4896">
        <v>0.98091419999999996</v>
      </c>
      <c r="AB4896">
        <v>39</v>
      </c>
      <c r="AC4896">
        <v>12.2987999999999</v>
      </c>
      <c r="AD4896">
        <v>-1.11469933930079</v>
      </c>
      <c r="AE4896">
        <v>0.20174</v>
      </c>
      <c r="AF4896">
        <v>-2.4185981759297301</v>
      </c>
      <c r="AG4896">
        <v>-1.11469933930079</v>
      </c>
      <c r="AH4896">
        <v>11.9581242498236</v>
      </c>
      <c r="AI4896">
        <v>95.220440429548901</v>
      </c>
      <c r="AJ4896">
        <v>101.43414680513401</v>
      </c>
      <c r="AK4896">
        <v>12.251077802702399</v>
      </c>
      <c r="AL4896">
        <v>66.491538833274703</v>
      </c>
      <c r="AM4896">
        <v>101.057713217081</v>
      </c>
      <c r="AN4896">
        <v>1.00000002100074</v>
      </c>
    </row>
    <row r="4897" spans="1:40" x14ac:dyDescent="0.25">
      <c r="A4897" t="str">
        <f>"20190304164509236"</f>
        <v>20190304164509236</v>
      </c>
      <c r="B4897" t="str">
        <f>"1551689109225365"</f>
        <v>1551689109225365</v>
      </c>
      <c r="C4897" t="s">
        <v>40</v>
      </c>
      <c r="D4897">
        <v>5.4039789999999996</v>
      </c>
      <c r="E4897">
        <v>0.50576129999999997</v>
      </c>
      <c r="F4897" t="s">
        <v>52</v>
      </c>
      <c r="G4897">
        <v>-369.13630000000001</v>
      </c>
      <c r="H4897" s="1">
        <v>-4.1075190000000001E-7</v>
      </c>
      <c r="I4897">
        <v>19.60492</v>
      </c>
      <c r="J4897">
        <v>-381.36070000000001</v>
      </c>
      <c r="K4897">
        <v>1.1147830000000001</v>
      </c>
      <c r="L4897">
        <v>19.37332</v>
      </c>
      <c r="M4897">
        <v>0.98374799999999996</v>
      </c>
      <c r="N4897">
        <v>-9.4352589999999997E-3</v>
      </c>
      <c r="O4897">
        <v>-0.1793071</v>
      </c>
      <c r="P4897">
        <v>0.91994540000000002</v>
      </c>
      <c r="Q4897">
        <v>0.3919839</v>
      </c>
      <c r="R4897">
        <v>7.0408729999999996E-3</v>
      </c>
      <c r="S4897">
        <v>3.3908079999999998</v>
      </c>
      <c r="T4897">
        <v>-0.30367889999999997</v>
      </c>
      <c r="U4897">
        <v>5.2429199999999898E-2</v>
      </c>
      <c r="V4897">
        <v>-0.17640839999999999</v>
      </c>
      <c r="W4897">
        <v>0.39852290000000001</v>
      </c>
      <c r="X4897">
        <v>0.90003310000000003</v>
      </c>
      <c r="Y4897">
        <v>-0.19308030000000001</v>
      </c>
      <c r="Z4897">
        <v>2.3811789999999999E-2</v>
      </c>
      <c r="AA4897">
        <v>0.98089400000000004</v>
      </c>
      <c r="AB4897">
        <v>39</v>
      </c>
      <c r="AC4897">
        <v>12.224399999999999</v>
      </c>
      <c r="AD4897">
        <v>-1.1147834107518999</v>
      </c>
      <c r="AE4897">
        <v>0.2316</v>
      </c>
      <c r="AF4897">
        <v>-2.3999141889817701</v>
      </c>
      <c r="AG4897">
        <v>-1.1147834107518999</v>
      </c>
      <c r="AH4897">
        <v>11.8859234100624</v>
      </c>
      <c r="AI4897">
        <v>95.252717180288897</v>
      </c>
      <c r="AJ4897">
        <v>101.415246498486</v>
      </c>
      <c r="AK4897">
        <v>12.176925124070999</v>
      </c>
      <c r="AL4897">
        <v>66.514129831795302</v>
      </c>
      <c r="AM4897">
        <v>101.08951277456499</v>
      </c>
      <c r="AN4897">
        <v>1.00000000325529</v>
      </c>
    </row>
    <row r="4898" spans="1:40" x14ac:dyDescent="0.25">
      <c r="A4898" t="str">
        <f>"20190304164509254"</f>
        <v>20190304164509254</v>
      </c>
      <c r="B4898" t="str">
        <f>"1551689109244885"</f>
        <v>1551689109244885</v>
      </c>
      <c r="C4898" t="s">
        <v>40</v>
      </c>
      <c r="D4898">
        <v>5.4726670000000004</v>
      </c>
      <c r="E4898">
        <v>0.51140759999999996</v>
      </c>
      <c r="F4898" t="s">
        <v>52</v>
      </c>
      <c r="G4898">
        <v>-368.9436</v>
      </c>
      <c r="H4898" s="1">
        <v>-5.0234699999999997E-7</v>
      </c>
      <c r="I4898">
        <v>19.60201</v>
      </c>
      <c r="J4898">
        <v>-381.05509999999998</v>
      </c>
      <c r="K4898">
        <v>1.114881</v>
      </c>
      <c r="L4898">
        <v>19.320589999999999</v>
      </c>
      <c r="M4898">
        <v>0.98445179999999999</v>
      </c>
      <c r="N4898">
        <v>-9.4870830000000003E-3</v>
      </c>
      <c r="O4898">
        <v>-0.1753991</v>
      </c>
      <c r="P4898">
        <v>0.91983950000000003</v>
      </c>
      <c r="Q4898">
        <v>0.39213680000000001</v>
      </c>
      <c r="R4898">
        <v>1.114244E-2</v>
      </c>
      <c r="S4898">
        <v>3.3902890000000001</v>
      </c>
      <c r="T4898">
        <v>-0.3043728</v>
      </c>
      <c r="U4898">
        <v>6.2438960000000002E-2</v>
      </c>
      <c r="V4898">
        <v>-0.17693339999999999</v>
      </c>
      <c r="W4898">
        <v>0.39867419999999998</v>
      </c>
      <c r="X4898">
        <v>0.89986299999999997</v>
      </c>
      <c r="Y4898">
        <v>-0.19209229999999999</v>
      </c>
      <c r="Z4898">
        <v>2.3510179999999999E-2</v>
      </c>
      <c r="AA4898">
        <v>0.98109519999999995</v>
      </c>
      <c r="AB4898">
        <v>39</v>
      </c>
      <c r="AC4898">
        <v>12.1114999999999</v>
      </c>
      <c r="AD4898">
        <v>-1.114881502347</v>
      </c>
      <c r="AE4898">
        <v>0.28142</v>
      </c>
      <c r="AF4898">
        <v>-2.3813312038377199</v>
      </c>
      <c r="AG4898">
        <v>-1.114881502347</v>
      </c>
      <c r="AH4898">
        <v>11.7746420888885</v>
      </c>
      <c r="AI4898">
        <v>95.302204689372104</v>
      </c>
      <c r="AJ4898">
        <v>101.433414409055</v>
      </c>
      <c r="AK4898">
        <v>12.0646547977168</v>
      </c>
      <c r="AL4898">
        <v>66.504677111738701</v>
      </c>
      <c r="AM4898">
        <v>101.123743989944</v>
      </c>
      <c r="AN4898">
        <v>0.99999998227509901</v>
      </c>
    </row>
    <row r="4899" spans="1:40" x14ac:dyDescent="0.25">
      <c r="A4899" t="str">
        <f>"20190304164509266"</f>
        <v>20190304164509266</v>
      </c>
      <c r="B4899" t="str">
        <f>"1551689109255621"</f>
        <v>1551689109255621</v>
      </c>
      <c r="C4899" t="s">
        <v>40</v>
      </c>
      <c r="D4899">
        <v>5.4353870000000004</v>
      </c>
      <c r="E4899">
        <v>0.51092040000000005</v>
      </c>
      <c r="F4899" t="s">
        <v>51</v>
      </c>
      <c r="G4899">
        <v>-371.91269999999997</v>
      </c>
      <c r="H4899" s="1">
        <v>-3.8372210000000002E-6</v>
      </c>
      <c r="I4899">
        <v>19.425619999999999</v>
      </c>
      <c r="J4899">
        <v>-380.8383</v>
      </c>
      <c r="K4899">
        <v>1.11494</v>
      </c>
      <c r="L4899">
        <v>19.28415</v>
      </c>
      <c r="M4899">
        <v>0.98494289999999995</v>
      </c>
      <c r="N4899">
        <v>-9.5266729999999994E-3</v>
      </c>
      <c r="O4899">
        <v>-0.17261679999999999</v>
      </c>
      <c r="P4899">
        <v>0.91959290000000005</v>
      </c>
      <c r="Q4899">
        <v>0.39263409999999999</v>
      </c>
      <c r="R4899">
        <v>1.368902E-2</v>
      </c>
      <c r="S4899">
        <v>3.4397890000000002</v>
      </c>
      <c r="T4899">
        <v>-0.41947010000000001</v>
      </c>
      <c r="U4899">
        <v>3.9520260000000001E-2</v>
      </c>
      <c r="V4899">
        <v>-0.1769076</v>
      </c>
      <c r="W4899">
        <v>0.39918189999999998</v>
      </c>
      <c r="X4899">
        <v>0.89964299999999997</v>
      </c>
      <c r="Y4899">
        <v>-0.18140239999999999</v>
      </c>
      <c r="Z4899">
        <v>3.1139650000000001E-2</v>
      </c>
      <c r="AA4899">
        <v>0.98291580000000001</v>
      </c>
      <c r="AB4899">
        <v>39</v>
      </c>
      <c r="AC4899">
        <v>8.9256000000000295</v>
      </c>
      <c r="AD4899">
        <v>-1.1149438372210001</v>
      </c>
      <c r="AE4899">
        <v>0.14147000000000101</v>
      </c>
      <c r="AF4899">
        <v>-1.65431756307196</v>
      </c>
      <c r="AG4899">
        <v>-1.1149438372210001</v>
      </c>
      <c r="AH4899">
        <v>8.6325183360606399</v>
      </c>
      <c r="AI4899">
        <v>97.2292470770074</v>
      </c>
      <c r="AJ4899">
        <v>100.848514031363</v>
      </c>
      <c r="AK4899">
        <v>8.8600360711494108</v>
      </c>
      <c r="AL4899">
        <v>66.472955140715598</v>
      </c>
      <c r="AM4899">
        <v>101.12481439003599</v>
      </c>
      <c r="AN4899">
        <v>1.00000000783718</v>
      </c>
    </row>
    <row r="4900" spans="1:40" x14ac:dyDescent="0.25">
      <c r="A4900" t="str">
        <f>"20190304164509279"</f>
        <v>20190304164509279</v>
      </c>
      <c r="B4900" t="str">
        <f>"1551689109275140"</f>
        <v>1551689109275140</v>
      </c>
      <c r="C4900" t="s">
        <v>40</v>
      </c>
      <c r="D4900">
        <v>5.4002239999999997</v>
      </c>
      <c r="E4900">
        <v>0.51157889999999995</v>
      </c>
      <c r="F4900" t="s">
        <v>51</v>
      </c>
      <c r="G4900">
        <v>-371.58589999999998</v>
      </c>
      <c r="H4900" s="1">
        <v>-3.991232E-6</v>
      </c>
      <c r="I4900">
        <v>19.428349999999998</v>
      </c>
      <c r="J4900">
        <v>-380.63920000000002</v>
      </c>
      <c r="K4900">
        <v>1.1149990000000001</v>
      </c>
      <c r="L4900">
        <v>19.25104</v>
      </c>
      <c r="M4900">
        <v>0.98538749999999997</v>
      </c>
      <c r="N4900">
        <v>-9.5627479999999994E-3</v>
      </c>
      <c r="O4900">
        <v>-0.1700593</v>
      </c>
      <c r="P4900">
        <v>0.91942360000000001</v>
      </c>
      <c r="Q4900">
        <v>0.39293210000000001</v>
      </c>
      <c r="R4900">
        <v>1.627201E-2</v>
      </c>
      <c r="S4900">
        <v>3.4384459999999999</v>
      </c>
      <c r="T4900">
        <v>-0.41434199999999999</v>
      </c>
      <c r="U4900">
        <v>5.3588869999999997E-2</v>
      </c>
      <c r="V4900">
        <v>-0.1771307</v>
      </c>
      <c r="W4900">
        <v>0.39948699999999998</v>
      </c>
      <c r="X4900">
        <v>0.89946369999999898</v>
      </c>
      <c r="Y4900">
        <v>-0.1829395</v>
      </c>
      <c r="Z4900">
        <v>3.0583030000000001E-2</v>
      </c>
      <c r="AA4900">
        <v>0.98264839999999998</v>
      </c>
      <c r="AB4900">
        <v>39</v>
      </c>
      <c r="AC4900">
        <v>9.0533000000000303</v>
      </c>
      <c r="AD4900">
        <v>-1.1150029912320001</v>
      </c>
      <c r="AE4900">
        <v>0.177309999999998</v>
      </c>
      <c r="AF4900">
        <v>-1.68878887735997</v>
      </c>
      <c r="AG4900">
        <v>-1.1150029912320001</v>
      </c>
      <c r="AH4900">
        <v>8.7584609447870001</v>
      </c>
      <c r="AI4900">
        <v>97.1252016276311</v>
      </c>
      <c r="AJ4900">
        <v>100.913719835221</v>
      </c>
      <c r="AK4900">
        <v>8.9892089565272801</v>
      </c>
      <c r="AL4900">
        <v>66.453888904597093</v>
      </c>
      <c r="AM4900">
        <v>101.140658226252</v>
      </c>
      <c r="AN4900">
        <v>1.0000000478345801</v>
      </c>
    </row>
    <row r="4901" spans="1:40" x14ac:dyDescent="0.25">
      <c r="A4901" t="str">
        <f>"20190304164509297"</f>
        <v>20190304164509297</v>
      </c>
      <c r="B4901" t="str">
        <f>"1551689109284901"</f>
        <v>1551689109284901</v>
      </c>
      <c r="C4901" t="s">
        <v>40</v>
      </c>
      <c r="D4901">
        <v>5.4273230000000003</v>
      </c>
      <c r="E4901">
        <v>0.51181069999999995</v>
      </c>
      <c r="F4901" t="s">
        <v>51</v>
      </c>
      <c r="G4901">
        <v>-371.35879999999997</v>
      </c>
      <c r="H4901" s="1">
        <v>-4.1019230000000001E-6</v>
      </c>
      <c r="I4901">
        <v>19.409520000000001</v>
      </c>
      <c r="J4901">
        <v>-380.3261</v>
      </c>
      <c r="K4901">
        <v>1.1150709999999999</v>
      </c>
      <c r="L4901">
        <v>19.200099999999999</v>
      </c>
      <c r="M4901">
        <v>0.98607339999999999</v>
      </c>
      <c r="N4901">
        <v>-9.6198770000000006E-3</v>
      </c>
      <c r="O4901">
        <v>-0.1660326</v>
      </c>
      <c r="P4901">
        <v>0.91958240000000002</v>
      </c>
      <c r="Q4901">
        <v>0.39236520000000003</v>
      </c>
      <c r="R4901">
        <v>2.0436079999999999E-2</v>
      </c>
      <c r="S4901">
        <v>3.4383849999999998</v>
      </c>
      <c r="T4901">
        <v>-0.41310910000000001</v>
      </c>
      <c r="U4901">
        <v>5.8715820000000002E-2</v>
      </c>
      <c r="V4901">
        <v>-0.17763289999999901</v>
      </c>
      <c r="W4901">
        <v>0.39893840000000003</v>
      </c>
      <c r="X4901">
        <v>0.89960810000000002</v>
      </c>
      <c r="Y4901">
        <v>-0.18044830000000001</v>
      </c>
      <c r="Z4901">
        <v>2.9887589999999999E-2</v>
      </c>
      <c r="AA4901">
        <v>0.98313030000000001</v>
      </c>
      <c r="AB4901">
        <v>39</v>
      </c>
      <c r="AC4901">
        <v>8.9673000000000194</v>
      </c>
      <c r="AD4901">
        <v>-1.1150751019230001</v>
      </c>
      <c r="AE4901">
        <v>0.20942000000000099</v>
      </c>
      <c r="AF4901">
        <v>-1.6696428934366701</v>
      </c>
      <c r="AG4901">
        <v>-1.1150751019230001</v>
      </c>
      <c r="AH4901">
        <v>8.6740022740012801</v>
      </c>
      <c r="AI4901">
        <v>97.194752786082503</v>
      </c>
      <c r="AJ4901">
        <v>100.89549899058299</v>
      </c>
      <c r="AK4901">
        <v>8.9033373138341592</v>
      </c>
      <c r="AL4901">
        <v>66.4881708497104</v>
      </c>
      <c r="AM4901">
        <v>101.169702689524</v>
      </c>
      <c r="AN4901">
        <v>1.0000000138712899</v>
      </c>
    </row>
    <row r="4902" spans="1:40" x14ac:dyDescent="0.25">
      <c r="A4902" t="str">
        <f>"20190304164509310"</f>
        <v>20190304164509310</v>
      </c>
      <c r="B4902" t="str">
        <f>"1551689109305397"</f>
        <v>1551689109305397</v>
      </c>
      <c r="C4902" t="s">
        <v>40</v>
      </c>
      <c r="D4902">
        <v>5.4078109999999997</v>
      </c>
      <c r="E4902">
        <v>0.51208620000000005</v>
      </c>
      <c r="F4902" t="s">
        <v>51</v>
      </c>
      <c r="G4902">
        <v>-371.09660000000002</v>
      </c>
      <c r="H4902" s="1">
        <v>-4.2282100000000003E-6</v>
      </c>
      <c r="I4902">
        <v>19.396319999999999</v>
      </c>
      <c r="J4902">
        <v>-380.09019999999998</v>
      </c>
      <c r="K4902">
        <v>1.1151199999999999</v>
      </c>
      <c r="L4902">
        <v>19.162659999999999</v>
      </c>
      <c r="M4902">
        <v>0.9865794</v>
      </c>
      <c r="N4902">
        <v>-9.6659209999999992E-3</v>
      </c>
      <c r="O4902">
        <v>-0.16299659999999999</v>
      </c>
      <c r="P4902">
        <v>0.91965540000000001</v>
      </c>
      <c r="Q4902">
        <v>0.39203700000000002</v>
      </c>
      <c r="R4902">
        <v>2.3265040000000001E-2</v>
      </c>
      <c r="S4902">
        <v>3.4379270000000002</v>
      </c>
      <c r="T4902">
        <v>-0.41535660000000002</v>
      </c>
      <c r="U4902">
        <v>7.3089600000000005E-2</v>
      </c>
      <c r="V4902">
        <v>-0.17769550000000001</v>
      </c>
      <c r="W4902">
        <v>0.39863270000000001</v>
      </c>
      <c r="X4902">
        <v>0.89973119999999995</v>
      </c>
      <c r="Y4902">
        <v>-0.18151619999999999</v>
      </c>
      <c r="Z4902">
        <v>2.9791419999999999E-2</v>
      </c>
      <c r="AA4902">
        <v>0.98293660000000005</v>
      </c>
      <c r="AB4902">
        <v>39</v>
      </c>
      <c r="AC4902">
        <v>8.9935999999999492</v>
      </c>
      <c r="AD4902">
        <v>-1.11512422821</v>
      </c>
      <c r="AE4902">
        <v>0.233660000000004</v>
      </c>
      <c r="AF4902">
        <v>-1.67085939989264</v>
      </c>
      <c r="AG4902">
        <v>-1.11512422821</v>
      </c>
      <c r="AH4902">
        <v>8.7015414705861502</v>
      </c>
      <c r="AI4902">
        <v>97.173150283803693</v>
      </c>
      <c r="AJ4902">
        <v>100.869563238822</v>
      </c>
      <c r="AK4902">
        <v>8.93040296643332</v>
      </c>
      <c r="AL4902">
        <v>66.507269667436006</v>
      </c>
      <c r="AM4902">
        <v>101.172049710248</v>
      </c>
      <c r="AN4902">
        <v>0.99999997624148895</v>
      </c>
    </row>
    <row r="4903" spans="1:40" x14ac:dyDescent="0.25">
      <c r="A4903" t="str">
        <f>"20190304164509323"</f>
        <v>20190304164509323</v>
      </c>
      <c r="B4903" t="str">
        <f>"1551689109315158"</f>
        <v>1551689109315158</v>
      </c>
      <c r="C4903" t="s">
        <v>40</v>
      </c>
      <c r="D4903">
        <v>5.4320219999999999</v>
      </c>
      <c r="E4903">
        <v>0.51236910000000002</v>
      </c>
      <c r="F4903" t="s">
        <v>51</v>
      </c>
      <c r="G4903">
        <v>-370.88659999999999</v>
      </c>
      <c r="H4903" s="1">
        <v>-4.3299510000000002E-6</v>
      </c>
      <c r="I4903">
        <v>19.382210000000001</v>
      </c>
      <c r="J4903">
        <v>-379.86099999999999</v>
      </c>
      <c r="K4903">
        <v>1.1151610000000001</v>
      </c>
      <c r="L4903">
        <v>19.127079999999999</v>
      </c>
      <c r="M4903">
        <v>0.98706159999999998</v>
      </c>
      <c r="N4903">
        <v>-9.7135539999999992E-3</v>
      </c>
      <c r="O4903">
        <v>-0.16004749999999901</v>
      </c>
      <c r="P4903">
        <v>0.91977430000000004</v>
      </c>
      <c r="Q4903">
        <v>0.39158539999999997</v>
      </c>
      <c r="R4903">
        <v>2.6007249999999999E-2</v>
      </c>
      <c r="S4903">
        <v>3.4375610000000001</v>
      </c>
      <c r="T4903">
        <v>-0.41650090000000001</v>
      </c>
      <c r="U4903">
        <v>8.2000729999999994E-2</v>
      </c>
      <c r="V4903">
        <v>-0.1777531</v>
      </c>
      <c r="W4903">
        <v>0.39820889999999998</v>
      </c>
      <c r="X4903">
        <v>0.89990749999999997</v>
      </c>
      <c r="Y4903">
        <v>-0.18113489999999999</v>
      </c>
      <c r="Z4903">
        <v>2.9526159999999999E-2</v>
      </c>
      <c r="AA4903">
        <v>0.98301490000000002</v>
      </c>
      <c r="AB4903">
        <v>39</v>
      </c>
      <c r="AC4903">
        <v>8.9743999999999993</v>
      </c>
      <c r="AD4903">
        <v>-1.115165329951</v>
      </c>
      <c r="AE4903">
        <v>0.25513000000000102</v>
      </c>
      <c r="AF4903">
        <v>-1.66258799181776</v>
      </c>
      <c r="AG4903">
        <v>-1.115165329951</v>
      </c>
      <c r="AH4903">
        <v>8.68389073104054</v>
      </c>
      <c r="AI4903">
        <v>97.188579704288401</v>
      </c>
      <c r="AJ4903">
        <v>100.838493443922</v>
      </c>
      <c r="AK4903">
        <v>8.9116637488357497</v>
      </c>
      <c r="AL4903">
        <v>66.533744193200704</v>
      </c>
      <c r="AM4903">
        <v>101.17344568660501</v>
      </c>
      <c r="AN4903">
        <v>1.00000000057753</v>
      </c>
    </row>
    <row r="4904" spans="1:40" x14ac:dyDescent="0.25">
      <c r="A4904" t="str">
        <f>"20190304164509342"</f>
        <v>20190304164509342</v>
      </c>
      <c r="B4904" t="str">
        <f>"1551689109335652"</f>
        <v>1551689109335652</v>
      </c>
      <c r="C4904" t="s">
        <v>40</v>
      </c>
      <c r="D4904">
        <v>5.4971839999999998</v>
      </c>
      <c r="E4904">
        <v>0.51194410000000001</v>
      </c>
      <c r="F4904" t="s">
        <v>51</v>
      </c>
      <c r="G4904">
        <v>-370.7038</v>
      </c>
      <c r="H4904" s="1">
        <v>-4.4191069999999997E-6</v>
      </c>
      <c r="I4904">
        <v>19.36675</v>
      </c>
      <c r="J4904">
        <v>-379.54140000000001</v>
      </c>
      <c r="K4904">
        <v>1.115219</v>
      </c>
      <c r="L4904">
        <v>19.07846</v>
      </c>
      <c r="M4904">
        <v>0.98771900000000001</v>
      </c>
      <c r="N4904">
        <v>-9.784549E-3</v>
      </c>
      <c r="O4904">
        <v>-0.1559343</v>
      </c>
      <c r="P4904">
        <v>0.92027250000000005</v>
      </c>
      <c r="Q4904">
        <v>0.39022770000000001</v>
      </c>
      <c r="R4904">
        <v>2.8653000000000001E-2</v>
      </c>
      <c r="S4904">
        <v>3.4373170000000002</v>
      </c>
      <c r="T4904">
        <v>-0.41859760000000001</v>
      </c>
      <c r="U4904">
        <v>8.9965820000000002E-2</v>
      </c>
      <c r="V4904">
        <v>-0.17670910000000001</v>
      </c>
      <c r="W4904">
        <v>0.39691500000000002</v>
      </c>
      <c r="X4904">
        <v>0.90068440000000005</v>
      </c>
      <c r="Y4904">
        <v>-0.17933299999999999</v>
      </c>
      <c r="Z4904">
        <v>2.9102139999999999E-2</v>
      </c>
      <c r="AA4904">
        <v>0.98335790000000001</v>
      </c>
      <c r="AB4904">
        <v>39</v>
      </c>
      <c r="AC4904">
        <v>8.8376000000000001</v>
      </c>
      <c r="AD4904">
        <v>-1.1152234191069901</v>
      </c>
      <c r="AE4904">
        <v>0.28828999999999899</v>
      </c>
      <c r="AF4904">
        <v>-1.6368759488462801</v>
      </c>
      <c r="AG4904">
        <v>-1.1152234191069901</v>
      </c>
      <c r="AH4904">
        <v>8.5485433598010498</v>
      </c>
      <c r="AI4904">
        <v>97.301521169416503</v>
      </c>
      <c r="AJ4904">
        <v>100.83979364103099</v>
      </c>
      <c r="AK4904">
        <v>8.7750031179957304</v>
      </c>
      <c r="AL4904">
        <v>66.614538799512204</v>
      </c>
      <c r="AM4904">
        <v>101.100113085448</v>
      </c>
      <c r="AN4904">
        <v>1.00000000582558</v>
      </c>
    </row>
    <row r="4905" spans="1:40" x14ac:dyDescent="0.25">
      <c r="A4905" t="str">
        <f>"20190304164509356"</f>
        <v>20190304164509356</v>
      </c>
      <c r="B4905" t="str">
        <f>"1551689109345412"</f>
        <v>1551689109345412</v>
      </c>
      <c r="C4905" t="s">
        <v>40</v>
      </c>
      <c r="D4905">
        <v>5.362857</v>
      </c>
      <c r="E4905">
        <v>0.48180459999999897</v>
      </c>
      <c r="F4905" t="s">
        <v>51</v>
      </c>
      <c r="G4905">
        <v>-370.4821</v>
      </c>
      <c r="H4905" s="1">
        <v>-4.5262599999999999E-6</v>
      </c>
      <c r="I4905">
        <v>19.353560000000002</v>
      </c>
      <c r="J4905">
        <v>-379.3186</v>
      </c>
      <c r="K4905">
        <v>1.1152519999999999</v>
      </c>
      <c r="L4905">
        <v>19.045259999999999</v>
      </c>
      <c r="M4905">
        <v>0.98816669999999995</v>
      </c>
      <c r="N4905">
        <v>-9.8373560000000002E-3</v>
      </c>
      <c r="O4905">
        <v>-0.15306800000000001</v>
      </c>
      <c r="P4905">
        <v>0.92038109999999995</v>
      </c>
      <c r="Q4905">
        <v>0.38982719999999998</v>
      </c>
      <c r="R4905">
        <v>3.0547310000000001E-2</v>
      </c>
      <c r="S4905">
        <v>3.4360050000000002</v>
      </c>
      <c r="T4905">
        <v>-0.42298089999999999</v>
      </c>
      <c r="U4905">
        <v>0.1043396</v>
      </c>
      <c r="V4905">
        <v>-0.1759975</v>
      </c>
      <c r="W4905">
        <v>0.39656190000000002</v>
      </c>
      <c r="X4905">
        <v>0.90097919999999998</v>
      </c>
      <c r="Y4905">
        <v>-0.18055570000000001</v>
      </c>
      <c r="Z4905">
        <v>2.9180169999999998E-2</v>
      </c>
      <c r="AA4905">
        <v>0.9831318</v>
      </c>
      <c r="AB4905">
        <v>39</v>
      </c>
      <c r="AC4905">
        <v>8.8364999999999991</v>
      </c>
      <c r="AD4905">
        <v>-1.11525652626</v>
      </c>
      <c r="AE4905">
        <v>0.30830000000000202</v>
      </c>
      <c r="AF4905">
        <v>-1.6313629438799899</v>
      </c>
      <c r="AG4905">
        <v>-1.11525652626</v>
      </c>
      <c r="AH4905">
        <v>8.5491503817847896</v>
      </c>
      <c r="AI4905">
        <v>97.302099785825902</v>
      </c>
      <c r="AJ4905">
        <v>100.803396796019</v>
      </c>
      <c r="AK4905">
        <v>8.7745720365383804</v>
      </c>
      <c r="AL4905">
        <v>66.636578318513997</v>
      </c>
      <c r="AM4905">
        <v>101.05298842005099</v>
      </c>
      <c r="AN4905">
        <v>0.99999998968524995</v>
      </c>
    </row>
    <row r="4906" spans="1:40" x14ac:dyDescent="0.25">
      <c r="A4906" t="str">
        <f>"20190304164509368"</f>
        <v>20190304164509368</v>
      </c>
      <c r="B4906" t="str">
        <f>"1551689109364932"</f>
        <v>1551689109364932</v>
      </c>
      <c r="C4906" t="s">
        <v>40</v>
      </c>
      <c r="D4906">
        <v>5.4260440000000001</v>
      </c>
      <c r="E4906">
        <v>0.47624559999999999</v>
      </c>
      <c r="F4906" t="s">
        <v>52</v>
      </c>
      <c r="G4906">
        <v>-369.19060000000002</v>
      </c>
      <c r="H4906" s="1">
        <v>-5.0705729999999999E-7</v>
      </c>
      <c r="I4906">
        <v>20.08249</v>
      </c>
      <c r="J4906">
        <v>-379.08609999999999</v>
      </c>
      <c r="K4906">
        <v>1.1152839999999999</v>
      </c>
      <c r="L4906">
        <v>19.011569999999999</v>
      </c>
      <c r="M4906">
        <v>0.98862479999999997</v>
      </c>
      <c r="N4906">
        <v>-9.8979370000000007E-3</v>
      </c>
      <c r="O4906">
        <v>-0.1500775</v>
      </c>
      <c r="P4906">
        <v>0.92052959999999995</v>
      </c>
      <c r="Q4906">
        <v>0.38931260000000001</v>
      </c>
      <c r="R4906">
        <v>3.2572530000000002E-2</v>
      </c>
      <c r="S4906">
        <v>3.40686</v>
      </c>
      <c r="T4906">
        <v>-0.37515080000000001</v>
      </c>
      <c r="U4906">
        <v>0.34890749999999998</v>
      </c>
      <c r="V4906">
        <v>-0.1753045</v>
      </c>
      <c r="W4906">
        <v>0.39610260000000003</v>
      </c>
      <c r="X4906">
        <v>0.90131629999999996</v>
      </c>
      <c r="Y4906">
        <v>-0.24766679999999999</v>
      </c>
      <c r="Z4906">
        <v>2.9731939999999998E-2</v>
      </c>
      <c r="AA4906">
        <v>0.96838900000000006</v>
      </c>
      <c r="AB4906">
        <v>39</v>
      </c>
      <c r="AC4906">
        <v>9.89549999999997</v>
      </c>
      <c r="AD4906">
        <v>-1.1152845070573001</v>
      </c>
      <c r="AE4906">
        <v>1.0709199999999901</v>
      </c>
      <c r="AF4906">
        <v>-2.5124094007374298</v>
      </c>
      <c r="AG4906">
        <v>-1.1152845070573001</v>
      </c>
      <c r="AH4906">
        <v>9.5033651920413291</v>
      </c>
      <c r="AI4906">
        <v>96.473031663133796</v>
      </c>
      <c r="AJ4906">
        <v>104.808520732006</v>
      </c>
      <c r="AK4906">
        <v>9.8929272969075601</v>
      </c>
      <c r="AL4906">
        <v>66.665241967116003</v>
      </c>
      <c r="AM4906">
        <v>101.006514830234</v>
      </c>
      <c r="AN4906">
        <v>1.00000000504635</v>
      </c>
    </row>
    <row r="4907" spans="1:40" x14ac:dyDescent="0.25">
      <c r="A4907" t="str">
        <f>"20190304164509388"</f>
        <v>20190304164509388</v>
      </c>
      <c r="B4907" t="str">
        <f>"1551689109385429"</f>
        <v>1551689109385429</v>
      </c>
      <c r="C4907" t="s">
        <v>40</v>
      </c>
      <c r="D4907">
        <v>5.4443970000000004</v>
      </c>
      <c r="E4907">
        <v>0.47537279999999998</v>
      </c>
      <c r="F4907" t="s">
        <v>52</v>
      </c>
      <c r="G4907">
        <v>-368.72579999999999</v>
      </c>
      <c r="H4907" s="1">
        <v>-7.6617900000000002E-7</v>
      </c>
      <c r="I4907">
        <v>20.230540000000001</v>
      </c>
      <c r="J4907">
        <v>-378.762</v>
      </c>
      <c r="K4907">
        <v>1.1153219999999999</v>
      </c>
      <c r="L4907">
        <v>18.965669999999999</v>
      </c>
      <c r="M4907">
        <v>0.98924789999999996</v>
      </c>
      <c r="N4907">
        <v>-9.9857350000000008E-3</v>
      </c>
      <c r="O4907">
        <v>-0.14590810000000001</v>
      </c>
      <c r="P4907">
        <v>0.92080720000000005</v>
      </c>
      <c r="Q4907">
        <v>0.38848050000000001</v>
      </c>
      <c r="R4907">
        <v>3.4601739999999999E-2</v>
      </c>
      <c r="S4907">
        <v>3.3996279999999999</v>
      </c>
      <c r="T4907">
        <v>-0.3659695</v>
      </c>
      <c r="U4907">
        <v>0.39999390000000001</v>
      </c>
      <c r="V4907">
        <v>-0.17355789999999999</v>
      </c>
      <c r="W4907">
        <v>0.39536389999999999</v>
      </c>
      <c r="X4907">
        <v>0.90197839999999996</v>
      </c>
      <c r="Y4907">
        <v>-0.2582178</v>
      </c>
      <c r="Z4907">
        <v>2.9259629999999998E-2</v>
      </c>
      <c r="AA4907">
        <v>0.96564349999999999</v>
      </c>
      <c r="AB4907">
        <v>39</v>
      </c>
      <c r="AC4907">
        <v>10.0361999999999</v>
      </c>
      <c r="AD4907">
        <v>-1.1153227661789999</v>
      </c>
      <c r="AE4907">
        <v>1.2648699999999899</v>
      </c>
      <c r="AF4907">
        <v>-2.68314941375447</v>
      </c>
      <c r="AG4907">
        <v>-1.1153227661789999</v>
      </c>
      <c r="AH4907">
        <v>9.6271838446484193</v>
      </c>
      <c r="AI4907">
        <v>96.3677558885488</v>
      </c>
      <c r="AJ4907">
        <v>105.573447920098</v>
      </c>
      <c r="AK4907">
        <v>10.056137649612101</v>
      </c>
      <c r="AL4907">
        <v>66.711328400556198</v>
      </c>
      <c r="AM4907">
        <v>100.891684190494</v>
      </c>
      <c r="AN4907">
        <v>0.99999999607108903</v>
      </c>
    </row>
    <row r="4908" spans="1:40" x14ac:dyDescent="0.25">
      <c r="A4908" t="str">
        <f>"20190304164509409"</f>
        <v>20190304164509409</v>
      </c>
      <c r="B4908" t="str">
        <f>"1551689109404949"</f>
        <v>1551689109404949</v>
      </c>
      <c r="C4908" t="s">
        <v>40</v>
      </c>
      <c r="D4908">
        <v>5.5773140000000003</v>
      </c>
      <c r="E4908">
        <v>0.47346500000000002</v>
      </c>
      <c r="F4908" t="s">
        <v>52</v>
      </c>
      <c r="G4908">
        <v>-368.46730000000002</v>
      </c>
      <c r="H4908" s="1">
        <v>-8.8543999999999997E-7</v>
      </c>
      <c r="I4908">
        <v>20.219470000000001</v>
      </c>
      <c r="J4908">
        <v>-378.3963</v>
      </c>
      <c r="K4908">
        <v>1.115232</v>
      </c>
      <c r="L4908">
        <v>18.91534</v>
      </c>
      <c r="M4908">
        <v>0.99001490000000003</v>
      </c>
      <c r="N4908">
        <v>-9.8770409999999996E-3</v>
      </c>
      <c r="O4908">
        <v>-0.14061689999999999</v>
      </c>
      <c r="P4908">
        <v>0.92097689999999999</v>
      </c>
      <c r="Q4908">
        <v>0.38775589999999999</v>
      </c>
      <c r="R4908">
        <v>3.8042869999999999E-2</v>
      </c>
      <c r="S4908">
        <v>3.3977970000000002</v>
      </c>
      <c r="T4908">
        <v>-0.36811450000000001</v>
      </c>
      <c r="U4908">
        <v>0.41381839999999998</v>
      </c>
      <c r="V4908">
        <v>-0.17209869999999999</v>
      </c>
      <c r="W4908">
        <v>0.39457930000000002</v>
      </c>
      <c r="X4908">
        <v>0.9026014</v>
      </c>
      <c r="Y4908">
        <v>-0.25699369999999999</v>
      </c>
      <c r="Z4908">
        <v>2.885602E-2</v>
      </c>
      <c r="AA4908">
        <v>0.96598220000000001</v>
      </c>
      <c r="AB4908">
        <v>39</v>
      </c>
      <c r="AC4908">
        <v>9.9289999999999701</v>
      </c>
      <c r="AD4908">
        <v>-1.11523288544</v>
      </c>
      <c r="AE4908">
        <v>1.30413</v>
      </c>
      <c r="AF4908">
        <v>-2.6545030471477098</v>
      </c>
      <c r="AG4908">
        <v>-1.11523288544</v>
      </c>
      <c r="AH4908">
        <v>9.5287691803814401</v>
      </c>
      <c r="AI4908">
        <v>96.432671251143702</v>
      </c>
      <c r="AJ4908">
        <v>105.566653757616</v>
      </c>
      <c r="AK4908">
        <v>9.9542741025687302</v>
      </c>
      <c r="AL4908">
        <v>66.760262242210999</v>
      </c>
      <c r="AM4908">
        <v>100.794994252623</v>
      </c>
      <c r="AN4908">
        <v>1.00000003690606</v>
      </c>
    </row>
    <row r="4909" spans="1:40" x14ac:dyDescent="0.25">
      <c r="A4909" t="str">
        <f>"20190304164509433"</f>
        <v>20190304164509433</v>
      </c>
      <c r="B4909" t="str">
        <f>"1551689109425445"</f>
        <v>1551689109425445</v>
      </c>
      <c r="C4909" t="s">
        <v>40</v>
      </c>
      <c r="D4909">
        <v>5.4002879999999998</v>
      </c>
      <c r="E4909">
        <v>0.4732963</v>
      </c>
      <c r="F4909" t="s">
        <v>52</v>
      </c>
      <c r="G4909">
        <v>-368.28719999999998</v>
      </c>
      <c r="H4909" s="1">
        <v>-9.7398529999999995E-7</v>
      </c>
      <c r="I4909">
        <v>20.232309999999998</v>
      </c>
      <c r="J4909">
        <v>-377.9855</v>
      </c>
      <c r="K4909">
        <v>1.1152660000000001</v>
      </c>
      <c r="L4909">
        <v>18.860810000000001</v>
      </c>
      <c r="M4909">
        <v>0.99079980000000001</v>
      </c>
      <c r="N4909">
        <v>-9.9643500000000003E-3</v>
      </c>
      <c r="O4909">
        <v>-0.13496830000000001</v>
      </c>
      <c r="P4909">
        <v>0.92102680000000003</v>
      </c>
      <c r="Q4909">
        <v>0.38721519999999998</v>
      </c>
      <c r="R4909">
        <v>4.2121470000000001E-2</v>
      </c>
      <c r="S4909">
        <v>3.3969119999999999</v>
      </c>
      <c r="T4909">
        <v>-0.37474750000000001</v>
      </c>
      <c r="U4909">
        <v>0.44253540000000002</v>
      </c>
      <c r="V4909">
        <v>-0.17104249999999999</v>
      </c>
      <c r="W4909">
        <v>0.39410420000000002</v>
      </c>
      <c r="X4909">
        <v>0.90300959999999997</v>
      </c>
      <c r="Y4909">
        <v>-0.25948310000000002</v>
      </c>
      <c r="Z4909">
        <v>2.8958109999999999E-2</v>
      </c>
      <c r="AA4909">
        <v>0.96531339999999999</v>
      </c>
      <c r="AB4909">
        <v>39</v>
      </c>
      <c r="AC4909">
        <v>9.6983000000000104</v>
      </c>
      <c r="AD4909">
        <v>-1.1152669739853001</v>
      </c>
      <c r="AE4909">
        <v>1.3714999999999999</v>
      </c>
      <c r="AF4909">
        <v>-2.63383031187383</v>
      </c>
      <c r="AG4909">
        <v>-1.1152669739853001</v>
      </c>
      <c r="AH4909">
        <v>9.3038103491296695</v>
      </c>
      <c r="AI4909">
        <v>96.579389704125703</v>
      </c>
      <c r="AJ4909">
        <v>105.80637067844501</v>
      </c>
      <c r="AK4909">
        <v>9.7335383878412998</v>
      </c>
      <c r="AL4909">
        <v>66.789882921514604</v>
      </c>
      <c r="AM4909">
        <v>100.725548297214</v>
      </c>
      <c r="AN4909">
        <v>0.99999999747802504</v>
      </c>
    </row>
    <row r="4910" spans="1:40" x14ac:dyDescent="0.25">
      <c r="A4910" t="str">
        <f>"20190304164509445"</f>
        <v>20190304164509445</v>
      </c>
      <c r="B4910" t="str">
        <f>"1551689109435205"</f>
        <v>1551689109435205</v>
      </c>
      <c r="C4910" t="s">
        <v>40</v>
      </c>
      <c r="D4910">
        <v>5.38354</v>
      </c>
      <c r="E4910">
        <v>0.47332039999999997</v>
      </c>
      <c r="F4910" t="s">
        <v>52</v>
      </c>
      <c r="G4910">
        <v>-367.80459999999999</v>
      </c>
      <c r="H4910" s="1">
        <v>-1.204665E-6</v>
      </c>
      <c r="I4910">
        <v>20.241820000000001</v>
      </c>
      <c r="J4910">
        <v>-377.7593</v>
      </c>
      <c r="K4910">
        <v>1.115383</v>
      </c>
      <c r="L4910">
        <v>18.831969999999998</v>
      </c>
      <c r="M4910">
        <v>0.99117109999999997</v>
      </c>
      <c r="N4910">
        <v>-1.012014E-2</v>
      </c>
      <c r="O4910">
        <v>-0.13220270000000001</v>
      </c>
      <c r="P4910">
        <v>0.92100979999999999</v>
      </c>
      <c r="Q4910">
        <v>0.38700250000000003</v>
      </c>
      <c r="R4910">
        <v>4.4383939999999997E-2</v>
      </c>
      <c r="S4910">
        <v>3.3924560000000001</v>
      </c>
      <c r="T4910">
        <v>-0.37162640000000002</v>
      </c>
      <c r="U4910">
        <v>0.46017459999999999</v>
      </c>
      <c r="V4910">
        <v>-0.1708662</v>
      </c>
      <c r="W4910">
        <v>0.39398729999999998</v>
      </c>
      <c r="X4910">
        <v>0.90309399999999995</v>
      </c>
      <c r="Y4910">
        <v>-0.26191550000000002</v>
      </c>
      <c r="Z4910">
        <v>2.8619789999999999E-2</v>
      </c>
      <c r="AA4910">
        <v>0.96466640000000003</v>
      </c>
      <c r="AB4910">
        <v>39</v>
      </c>
      <c r="AC4910">
        <v>9.9547000000000008</v>
      </c>
      <c r="AD4910">
        <v>-1.115384204665</v>
      </c>
      <c r="AE4910">
        <v>1.4098499999999901</v>
      </c>
      <c r="AF4910">
        <v>-2.68058841076442</v>
      </c>
      <c r="AG4910">
        <v>-1.115384204665</v>
      </c>
      <c r="AH4910">
        <v>9.5632213754073998</v>
      </c>
      <c r="AI4910">
        <v>96.407712466606796</v>
      </c>
      <c r="AJ4910">
        <v>105.658281306219</v>
      </c>
      <c r="AK4910">
        <v>9.99424030264381</v>
      </c>
      <c r="AL4910">
        <v>66.797170776946402</v>
      </c>
      <c r="AM4910">
        <v>100.713770963192</v>
      </c>
      <c r="AN4910">
        <v>1.00000001184986</v>
      </c>
    </row>
    <row r="4911" spans="1:40" x14ac:dyDescent="0.25">
      <c r="A4911" t="str">
        <f>"20190304164509461"</f>
        <v>20190304164509461</v>
      </c>
      <c r="B4911" t="str">
        <f>"1551689109454725"</f>
        <v>1551689109454725</v>
      </c>
      <c r="C4911" t="s">
        <v>40</v>
      </c>
      <c r="D4911">
        <v>5.3629419999999897</v>
      </c>
      <c r="E4911">
        <v>0.4736532</v>
      </c>
      <c r="F4911" t="s">
        <v>52</v>
      </c>
      <c r="G4911">
        <v>-367.55130000000003</v>
      </c>
      <c r="H4911" s="1">
        <v>-1.3251159999999901E-6</v>
      </c>
      <c r="I4911">
        <v>20.244520000000001</v>
      </c>
      <c r="J4911">
        <v>-377.50659999999999</v>
      </c>
      <c r="K4911">
        <v>1.1154999999999999</v>
      </c>
      <c r="L4911">
        <v>18.800419999999999</v>
      </c>
      <c r="M4911">
        <v>0.99156759999999999</v>
      </c>
      <c r="N4911">
        <v>-1.027872E-2</v>
      </c>
      <c r="O4911">
        <v>-0.12918370000000001</v>
      </c>
      <c r="P4911">
        <v>0.92107150000000004</v>
      </c>
      <c r="Q4911">
        <v>0.38659080000000001</v>
      </c>
      <c r="R4911">
        <v>4.6637329999999998E-2</v>
      </c>
      <c r="S4911">
        <v>3.3903810000000001</v>
      </c>
      <c r="T4911">
        <v>-0.37045090000000003</v>
      </c>
      <c r="U4911">
        <v>0.46914670000000003</v>
      </c>
      <c r="V4911">
        <v>-0.17046910000000001</v>
      </c>
      <c r="W4911">
        <v>0.39367340000000001</v>
      </c>
      <c r="X4911">
        <v>0.90330589999999999</v>
      </c>
      <c r="Y4911">
        <v>-0.2615922</v>
      </c>
      <c r="Z4911">
        <v>2.822819E-2</v>
      </c>
      <c r="AA4911">
        <v>0.9647656</v>
      </c>
      <c r="AB4911">
        <v>39</v>
      </c>
      <c r="AC4911">
        <v>9.9552999999999603</v>
      </c>
      <c r="AD4911">
        <v>-1.115501325116</v>
      </c>
      <c r="AE4911">
        <v>1.4440999999999899</v>
      </c>
      <c r="AF4911">
        <v>-2.6851103822614699</v>
      </c>
      <c r="AG4911">
        <v>-1.115501325116</v>
      </c>
      <c r="AH4911">
        <v>9.5676580925160906</v>
      </c>
      <c r="AI4911">
        <v>96.404866791963698</v>
      </c>
      <c r="AJ4911">
        <v>105.676481912201</v>
      </c>
      <c r="AK4911">
        <v>9.9997121131836906</v>
      </c>
      <c r="AL4911">
        <v>66.816737038823703</v>
      </c>
      <c r="AM4911">
        <v>100.686996338684</v>
      </c>
      <c r="AN4911">
        <v>1.0000000044485899</v>
      </c>
    </row>
    <row r="4912" spans="1:40" x14ac:dyDescent="0.25">
      <c r="A4912" t="str">
        <f>"20190304164509476"</f>
        <v>20190304164509476</v>
      </c>
      <c r="B4912" t="str">
        <f>"1551689109465461"</f>
        <v>1551689109465461</v>
      </c>
      <c r="C4912" t="s">
        <v>40</v>
      </c>
      <c r="D4912">
        <v>5.3631149999999996</v>
      </c>
      <c r="E4912">
        <v>0.47391549999999999</v>
      </c>
      <c r="F4912" t="s">
        <v>52</v>
      </c>
      <c r="G4912">
        <v>-367.22089999999997</v>
      </c>
      <c r="H4912" s="1">
        <v>-1.4808760000000001E-6</v>
      </c>
      <c r="I4912">
        <v>20.243089999999999</v>
      </c>
      <c r="J4912">
        <v>-377.24009999999998</v>
      </c>
      <c r="K4912">
        <v>1.115602</v>
      </c>
      <c r="L4912">
        <v>18.768070000000002</v>
      </c>
      <c r="M4912">
        <v>0.99196960000000001</v>
      </c>
      <c r="N4912">
        <v>-1.0411810000000001E-2</v>
      </c>
      <c r="O4912">
        <v>-0.12604760000000001</v>
      </c>
      <c r="P4912">
        <v>0.92058039999999997</v>
      </c>
      <c r="Q4912">
        <v>0.38750380000000001</v>
      </c>
      <c r="R4912">
        <v>4.8707399999999998E-2</v>
      </c>
      <c r="S4912">
        <v>3.3872379999999902</v>
      </c>
      <c r="T4912">
        <v>-0.36735299999999999</v>
      </c>
      <c r="U4912">
        <v>0.47509770000000001</v>
      </c>
      <c r="V4912">
        <v>-0.16971929999999999</v>
      </c>
      <c r="W4912">
        <v>0.39466639999999997</v>
      </c>
      <c r="X4912">
        <v>0.90301370000000003</v>
      </c>
      <c r="Y4912">
        <v>-0.26038299999999998</v>
      </c>
      <c r="Z4912">
        <v>2.7641349999999999E-2</v>
      </c>
      <c r="AA4912">
        <v>0.96510960000000001</v>
      </c>
      <c r="AB4912">
        <v>39</v>
      </c>
      <c r="AC4912">
        <v>10.0192</v>
      </c>
      <c r="AD4912">
        <v>-1.115603480876</v>
      </c>
      <c r="AE4912">
        <v>1.47501999999999</v>
      </c>
      <c r="AF4912">
        <v>-2.6935326161256801</v>
      </c>
      <c r="AG4912">
        <v>-1.115603480876</v>
      </c>
      <c r="AH4912">
        <v>9.6364090347210407</v>
      </c>
      <c r="AI4912">
        <v>96.361973234248296</v>
      </c>
      <c r="AJ4912">
        <v>105.61653976050999</v>
      </c>
      <c r="AK4912">
        <v>10.067773744236</v>
      </c>
      <c r="AL4912">
        <v>66.754829479768105</v>
      </c>
      <c r="AM4912">
        <v>100.644430468194</v>
      </c>
      <c r="AN4912">
        <v>0.99999997523456896</v>
      </c>
    </row>
    <row r="4913" spans="1:40" x14ac:dyDescent="0.25">
      <c r="A4913" t="str">
        <f>"20190304164509499"</f>
        <v>20190304164509499</v>
      </c>
      <c r="B4913" t="str">
        <f>"1551689109494741"</f>
        <v>1551689109494741</v>
      </c>
      <c r="C4913" t="s">
        <v>40</v>
      </c>
      <c r="D4913">
        <v>5.3668750000000003</v>
      </c>
      <c r="E4913">
        <v>0.47476600000000002</v>
      </c>
      <c r="F4913" t="s">
        <v>52</v>
      </c>
      <c r="G4913">
        <v>-366.81310000000002</v>
      </c>
      <c r="H4913" s="1">
        <v>-1.675951E-6</v>
      </c>
      <c r="I4913">
        <v>20.25159</v>
      </c>
      <c r="J4913">
        <v>-376.83920000000001</v>
      </c>
      <c r="K4913">
        <v>1.115637</v>
      </c>
      <c r="L4913">
        <v>18.721530000000001</v>
      </c>
      <c r="M4913">
        <v>0.99257240000000002</v>
      </c>
      <c r="N4913">
        <v>-1.0535569999999999E-2</v>
      </c>
      <c r="O4913">
        <v>-0.1211981</v>
      </c>
      <c r="P4913">
        <v>0.92010630000000004</v>
      </c>
      <c r="Q4913">
        <v>0.38825569999999998</v>
      </c>
      <c r="R4913">
        <v>5.1595830000000002E-2</v>
      </c>
      <c r="S4913">
        <v>3.3858030000000001</v>
      </c>
      <c r="T4913">
        <v>-0.36225269999999998</v>
      </c>
      <c r="U4913">
        <v>0.48171999999999998</v>
      </c>
      <c r="V4913">
        <v>-0.1681752</v>
      </c>
      <c r="W4913">
        <v>0.3955224</v>
      </c>
      <c r="X4913">
        <v>0.90292810000000001</v>
      </c>
      <c r="Y4913">
        <v>-0.25767220000000002</v>
      </c>
      <c r="Z4913">
        <v>2.6648120000000001E-2</v>
      </c>
      <c r="AA4913">
        <v>0.96586479999999997</v>
      </c>
      <c r="AB4913">
        <v>39</v>
      </c>
      <c r="AC4913">
        <v>10.0260999999999</v>
      </c>
      <c r="AD4913">
        <v>-1.115638675951</v>
      </c>
      <c r="AE4913">
        <v>1.53006</v>
      </c>
      <c r="AF4913">
        <v>-2.7013056590332898</v>
      </c>
      <c r="AG4913">
        <v>-1.115638675951</v>
      </c>
      <c r="AH4913">
        <v>9.6499676634502602</v>
      </c>
      <c r="AI4913">
        <v>96.352631586494397</v>
      </c>
      <c r="AJ4913">
        <v>105.638473366673</v>
      </c>
      <c r="AK4913">
        <v>10.082835802711299</v>
      </c>
      <c r="AL4913">
        <v>66.7014414616294</v>
      </c>
      <c r="AM4913">
        <v>100.55074919691199</v>
      </c>
      <c r="AN4913">
        <v>1.0000000102832001</v>
      </c>
    </row>
    <row r="4914" spans="1:40" x14ac:dyDescent="0.25">
      <c r="A4914" t="str">
        <f>"20190304164509523"</f>
        <v>20190304164509523</v>
      </c>
      <c r="B4914" t="str">
        <f>"1551689109515238"</f>
        <v>1551689109515238</v>
      </c>
      <c r="C4914" t="s">
        <v>40</v>
      </c>
      <c r="D4914">
        <v>5.3526629999999997</v>
      </c>
      <c r="E4914">
        <v>0.47531810000000002</v>
      </c>
      <c r="F4914" t="s">
        <v>52</v>
      </c>
      <c r="G4914">
        <v>-366.28699999999998</v>
      </c>
      <c r="H4914" s="1">
        <v>-1.9224189999999999E-6</v>
      </c>
      <c r="I4914">
        <v>20.243400000000001</v>
      </c>
      <c r="J4914">
        <v>-376.4282</v>
      </c>
      <c r="K4914">
        <v>1.1155740000000001</v>
      </c>
      <c r="L4914">
        <v>18.67606</v>
      </c>
      <c r="M4914">
        <v>0.99319100000000005</v>
      </c>
      <c r="N4914">
        <v>-1.063821E-2</v>
      </c>
      <c r="O4914">
        <v>-0.11601119999999999</v>
      </c>
      <c r="P4914">
        <v>0.91955969999999998</v>
      </c>
      <c r="Q4914">
        <v>0.3891425</v>
      </c>
      <c r="R4914">
        <v>5.4570769999999998E-2</v>
      </c>
      <c r="S4914">
        <v>3.3840940000000002</v>
      </c>
      <c r="T4914">
        <v>-0.35778680000000002</v>
      </c>
      <c r="U4914">
        <v>0.48806759999999899</v>
      </c>
      <c r="V4914">
        <v>-0.16630729999999999</v>
      </c>
      <c r="W4914">
        <v>0.39653949999999999</v>
      </c>
      <c r="X4914">
        <v>0.90282790000000002</v>
      </c>
      <c r="Y4914">
        <v>-0.2545618</v>
      </c>
      <c r="Z4914">
        <v>2.566535E-2</v>
      </c>
      <c r="AA4914">
        <v>0.96671589999999996</v>
      </c>
      <c r="AB4914">
        <v>39</v>
      </c>
      <c r="AC4914">
        <v>10.1412</v>
      </c>
      <c r="AD4914">
        <v>-1.1155759224190001</v>
      </c>
      <c r="AE4914">
        <v>1.56734</v>
      </c>
      <c r="AF4914">
        <v>-2.70138848886097</v>
      </c>
      <c r="AG4914">
        <v>-1.1155759224190001</v>
      </c>
      <c r="AH4914">
        <v>9.7753472130190797</v>
      </c>
      <c r="AI4914">
        <v>96.277211407933507</v>
      </c>
      <c r="AJ4914">
        <v>105.44798107422</v>
      </c>
      <c r="AK4914">
        <v>10.2029124538786</v>
      </c>
      <c r="AL4914">
        <v>66.637975508913598</v>
      </c>
      <c r="AM4914">
        <v>100.437284912281</v>
      </c>
      <c r="AN4914">
        <v>0.99999995505597306</v>
      </c>
    </row>
    <row r="4915" spans="1:40" x14ac:dyDescent="0.25">
      <c r="A4915" t="str">
        <f>"20190304164509536"</f>
        <v>20190304164509536</v>
      </c>
      <c r="B4915" t="str">
        <f>"1551689109524996"</f>
        <v>1551689109524996</v>
      </c>
      <c r="C4915" t="s">
        <v>40</v>
      </c>
      <c r="D4915">
        <v>5.3951129999999896</v>
      </c>
      <c r="E4915">
        <v>0.475692</v>
      </c>
      <c r="F4915" t="s">
        <v>52</v>
      </c>
      <c r="G4915">
        <v>-365.78730000000002</v>
      </c>
      <c r="H4915" s="1">
        <v>-2.157073E-6</v>
      </c>
      <c r="I4915">
        <v>20.237500000000001</v>
      </c>
      <c r="J4915">
        <v>-376.19549999999998</v>
      </c>
      <c r="K4915">
        <v>1.115524</v>
      </c>
      <c r="L4915">
        <v>18.651150000000001</v>
      </c>
      <c r="M4915">
        <v>0.99353619999999998</v>
      </c>
      <c r="N4915">
        <v>-1.069989E-2</v>
      </c>
      <c r="O4915">
        <v>-0.1130106</v>
      </c>
      <c r="P4915">
        <v>0.91925950000000001</v>
      </c>
      <c r="Q4915">
        <v>0.38957609999999998</v>
      </c>
      <c r="R4915">
        <v>5.6503110000000002E-2</v>
      </c>
      <c r="S4915">
        <v>3.383057</v>
      </c>
      <c r="T4915">
        <v>-0.35467510000000002</v>
      </c>
      <c r="U4915">
        <v>0.49642940000000002</v>
      </c>
      <c r="V4915">
        <v>-0.1654157</v>
      </c>
      <c r="W4915">
        <v>0.39705819999999997</v>
      </c>
      <c r="X4915">
        <v>0.90276380000000001</v>
      </c>
      <c r="Y4915">
        <v>-0.25407449999999998</v>
      </c>
      <c r="Z4915">
        <v>2.5141500000000001E-2</v>
      </c>
      <c r="AA4915">
        <v>0.96685790000000005</v>
      </c>
      <c r="AB4915">
        <v>39</v>
      </c>
      <c r="AC4915">
        <v>10.4081999999999</v>
      </c>
      <c r="AD4915">
        <v>-1.115526157073</v>
      </c>
      <c r="AE4915">
        <v>1.5863499999999899</v>
      </c>
      <c r="AF4915">
        <v>-2.7219334281389398</v>
      </c>
      <c r="AG4915">
        <v>-1.115526157073</v>
      </c>
      <c r="AH4915">
        <v>10.0494132141524</v>
      </c>
      <c r="AI4915">
        <v>96.115540457027507</v>
      </c>
      <c r="AJ4915">
        <v>105.15522255625901</v>
      </c>
      <c r="AK4915">
        <v>10.471104342098601</v>
      </c>
      <c r="AL4915">
        <v>66.605599880301895</v>
      </c>
      <c r="AM4915">
        <v>100.383270224917</v>
      </c>
      <c r="AN4915">
        <v>1.00000002329208</v>
      </c>
    </row>
    <row r="4916" spans="1:40" x14ac:dyDescent="0.25">
      <c r="A4916" t="str">
        <f>"20190304164509555"</f>
        <v>20190304164509555</v>
      </c>
      <c r="B4916" t="str">
        <f>"1551689109545493"</f>
        <v>1551689109545493</v>
      </c>
      <c r="C4916" t="s">
        <v>40</v>
      </c>
      <c r="D4916">
        <v>5.3944769999999904</v>
      </c>
      <c r="E4916">
        <v>0.47611179999999997</v>
      </c>
      <c r="F4916" t="s">
        <v>52</v>
      </c>
      <c r="G4916">
        <v>-365.52260000000001</v>
      </c>
      <c r="H4916" s="1">
        <v>-2.2804970000000001E-6</v>
      </c>
      <c r="I4916">
        <v>20.231110000000001</v>
      </c>
      <c r="J4916">
        <v>-375.86880000000002</v>
      </c>
      <c r="K4916">
        <v>1.115453</v>
      </c>
      <c r="L4916">
        <v>18.617429999999999</v>
      </c>
      <c r="M4916">
        <v>0.99400929999999998</v>
      </c>
      <c r="N4916">
        <v>-1.080744E-2</v>
      </c>
      <c r="O4916">
        <v>-0.10876089999999999</v>
      </c>
      <c r="P4916">
        <v>0.91884319999999997</v>
      </c>
      <c r="Q4916">
        <v>0.39014729999999997</v>
      </c>
      <c r="R4916">
        <v>5.926671E-2</v>
      </c>
      <c r="S4916">
        <v>3.3825379999999998</v>
      </c>
      <c r="T4916">
        <v>-0.35354229999999998</v>
      </c>
      <c r="U4916">
        <v>0.50073239999999997</v>
      </c>
      <c r="V4916">
        <v>-0.16416810000000001</v>
      </c>
      <c r="W4916">
        <v>0.39777499999999999</v>
      </c>
      <c r="X4916">
        <v>0.90267600000000003</v>
      </c>
      <c r="Y4916">
        <v>-0.2512122</v>
      </c>
      <c r="Z4916">
        <v>2.45071E-2</v>
      </c>
      <c r="AA4916">
        <v>0.96762170000000003</v>
      </c>
      <c r="AB4916">
        <v>39</v>
      </c>
      <c r="AC4916">
        <v>10.3462</v>
      </c>
      <c r="AD4916">
        <v>-1.1154552804969999</v>
      </c>
      <c r="AE4916">
        <v>1.61368</v>
      </c>
      <c r="AF4916">
        <v>-2.69880902399056</v>
      </c>
      <c r="AG4916">
        <v>-1.1154552804969999</v>
      </c>
      <c r="AH4916">
        <v>9.9958737498776404</v>
      </c>
      <c r="AI4916">
        <v>96.148984732954901</v>
      </c>
      <c r="AJ4916">
        <v>105.109164346662</v>
      </c>
      <c r="AK4916">
        <v>10.413707440400501</v>
      </c>
      <c r="AL4916">
        <v>66.560844476599499</v>
      </c>
      <c r="AM4916">
        <v>100.30762306893</v>
      </c>
      <c r="AN4916">
        <v>1.0000000383293</v>
      </c>
    </row>
    <row r="4917" spans="1:40" x14ac:dyDescent="0.25">
      <c r="A4917" t="str">
        <f>"20190304164509577"</f>
        <v>20190304164509577</v>
      </c>
      <c r="B4917" t="str">
        <f>"1551689109565012"</f>
        <v>1551689109565012</v>
      </c>
      <c r="C4917" t="s">
        <v>40</v>
      </c>
      <c r="D4917">
        <v>5.3662229999999997</v>
      </c>
      <c r="E4917">
        <v>0.48265079999999999</v>
      </c>
      <c r="F4917" t="s">
        <v>52</v>
      </c>
      <c r="G4917">
        <v>-365.15899999999999</v>
      </c>
      <c r="H4917" s="1">
        <v>-2.450197E-6</v>
      </c>
      <c r="I4917">
        <v>20.222799999999999</v>
      </c>
      <c r="J4917">
        <v>-375.4873</v>
      </c>
      <c r="K4917">
        <v>1.115383</v>
      </c>
      <c r="L4917">
        <v>18.57986</v>
      </c>
      <c r="M4917">
        <v>0.99453369999999996</v>
      </c>
      <c r="N4917">
        <v>-1.096779E-2</v>
      </c>
      <c r="O4917">
        <v>-0.1038398</v>
      </c>
      <c r="P4917">
        <v>0.91829780000000005</v>
      </c>
      <c r="Q4917">
        <v>0.39087440000000001</v>
      </c>
      <c r="R4917">
        <v>6.2821509999999997E-2</v>
      </c>
      <c r="S4917">
        <v>3.3818359999999998</v>
      </c>
      <c r="T4917">
        <v>-0.35222730000000002</v>
      </c>
      <c r="U4917">
        <v>0.50692749999999998</v>
      </c>
      <c r="V4917">
        <v>-0.16307449999999901</v>
      </c>
      <c r="W4917">
        <v>0.39869690000000002</v>
      </c>
      <c r="X4917">
        <v>0.90246740000000003</v>
      </c>
      <c r="Y4917">
        <v>-0.2482383</v>
      </c>
      <c r="Z4917">
        <v>2.3797860000000001E-2</v>
      </c>
      <c r="AA4917">
        <v>0.96840660000000001</v>
      </c>
      <c r="AB4917">
        <v>39</v>
      </c>
      <c r="AC4917">
        <v>10.3283</v>
      </c>
      <c r="AD4917">
        <v>-1.115385450197</v>
      </c>
      <c r="AE4917">
        <v>1.6429399999999901</v>
      </c>
      <c r="AF4917">
        <v>-2.6761696172694198</v>
      </c>
      <c r="AG4917">
        <v>-1.115385450197</v>
      </c>
      <c r="AH4917">
        <v>9.9882329732728206</v>
      </c>
      <c r="AI4917">
        <v>96.156426028059002</v>
      </c>
      <c r="AJ4917">
        <v>104.999093667892</v>
      </c>
      <c r="AK4917">
        <v>10.400517604969499</v>
      </c>
      <c r="AL4917">
        <v>66.5032583399788</v>
      </c>
      <c r="AM4917">
        <v>100.24273377092</v>
      </c>
      <c r="AN4917">
        <v>0.99999995934130903</v>
      </c>
    </row>
    <row r="4918" spans="1:40" x14ac:dyDescent="0.25">
      <c r="A4918" t="str">
        <f>"20190304164509600"</f>
        <v>20190304164509600</v>
      </c>
      <c r="B4918" t="str">
        <f>"1551689109595269"</f>
        <v>1551689109595269</v>
      </c>
      <c r="C4918" t="s">
        <v>40</v>
      </c>
      <c r="D4918">
        <v>5.3678210000000002</v>
      </c>
      <c r="E4918">
        <v>0.485875</v>
      </c>
      <c r="F4918" t="s">
        <v>52</v>
      </c>
      <c r="G4918">
        <v>-360.7518</v>
      </c>
      <c r="H4918" s="1">
        <v>-4.6131330000000002E-6</v>
      </c>
      <c r="I4918">
        <v>20.59918</v>
      </c>
      <c r="J4918">
        <v>-375.09309999999999</v>
      </c>
      <c r="K4918">
        <v>1.115332</v>
      </c>
      <c r="L4918">
        <v>18.542940000000002</v>
      </c>
      <c r="M4918">
        <v>0.99503900000000001</v>
      </c>
      <c r="N4918">
        <v>-1.1158909999999999E-2</v>
      </c>
      <c r="O4918">
        <v>-9.8857109999999998E-2</v>
      </c>
      <c r="P4918">
        <v>0.91830990000000001</v>
      </c>
      <c r="Q4918">
        <v>0.39011259999999998</v>
      </c>
      <c r="R4918">
        <v>6.7225740000000006E-2</v>
      </c>
      <c r="S4918">
        <v>3.3433229999999998</v>
      </c>
      <c r="T4918">
        <v>-0.25306960000000001</v>
      </c>
      <c r="U4918">
        <v>0.45816040000000002</v>
      </c>
      <c r="V4918">
        <v>-0.1628193</v>
      </c>
      <c r="W4918">
        <v>0.3981498</v>
      </c>
      <c r="X4918">
        <v>0.90275499999999997</v>
      </c>
      <c r="Y4918">
        <v>-0.23209779999999999</v>
      </c>
      <c r="Z4918">
        <v>1.6378980000000001E-2</v>
      </c>
      <c r="AA4918">
        <v>0.97255460000000005</v>
      </c>
      <c r="AB4918">
        <v>39</v>
      </c>
      <c r="AC4918">
        <v>14.341299999999899</v>
      </c>
      <c r="AD4918">
        <v>-1.115336613133</v>
      </c>
      <c r="AE4918">
        <v>2.0562399999999998</v>
      </c>
      <c r="AF4918">
        <v>-3.4435860126001798</v>
      </c>
      <c r="AG4918">
        <v>-1.115336613133</v>
      </c>
      <c r="AH4918">
        <v>13.984874551360001</v>
      </c>
      <c r="AI4918">
        <v>94.428143375558705</v>
      </c>
      <c r="AJ4918">
        <v>103.83311392717199</v>
      </c>
      <c r="AK4918">
        <v>14.445725201735099</v>
      </c>
      <c r="AL4918">
        <v>66.537435335948601</v>
      </c>
      <c r="AM4918">
        <v>100.22385377791601</v>
      </c>
      <c r="AN4918">
        <v>0.99999998885876396</v>
      </c>
    </row>
    <row r="4919" spans="1:40" x14ac:dyDescent="0.25">
      <c r="A4919" t="str">
        <f>"20190304164509621"</f>
        <v>20190304164509621</v>
      </c>
      <c r="B4919" t="str">
        <f>"1551689109614789"</f>
        <v>1551689109614789</v>
      </c>
      <c r="C4919" t="s">
        <v>40</v>
      </c>
      <c r="D4919">
        <v>5.3823369999999997</v>
      </c>
      <c r="E4919">
        <v>0.4861625</v>
      </c>
      <c r="F4919" t="s">
        <v>52</v>
      </c>
      <c r="G4919">
        <v>-364.83300000000003</v>
      </c>
      <c r="H4919" s="1">
        <v>-2.5265759999999998E-6</v>
      </c>
      <c r="I4919">
        <v>19.930769999999999</v>
      </c>
      <c r="J4919">
        <v>-374.71530000000001</v>
      </c>
      <c r="K4919">
        <v>1.1152979999999999</v>
      </c>
      <c r="L4919">
        <v>18.50928</v>
      </c>
      <c r="M4919">
        <v>0.99548729999999996</v>
      </c>
      <c r="N4919">
        <v>-1.13621E-2</v>
      </c>
      <c r="O4919">
        <v>-9.4212820000000003E-2</v>
      </c>
      <c r="P4919">
        <v>0.91829910000000003</v>
      </c>
      <c r="Q4919">
        <v>0.38941510000000001</v>
      </c>
      <c r="R4919">
        <v>7.1294640000000006E-2</v>
      </c>
      <c r="S4919">
        <v>3.3898619999999999</v>
      </c>
      <c r="T4919">
        <v>-0.36849730000000003</v>
      </c>
      <c r="U4919">
        <v>0.45852660000000001</v>
      </c>
      <c r="V4919">
        <v>-0.16254579999999999</v>
      </c>
      <c r="W4919">
        <v>0.3976751</v>
      </c>
      <c r="X4919">
        <v>0.90301350000000002</v>
      </c>
      <c r="Y4919">
        <v>-0.2249341</v>
      </c>
      <c r="Z4919">
        <v>2.25308E-2</v>
      </c>
      <c r="AA4919">
        <v>0.97411349999999997</v>
      </c>
      <c r="AB4919">
        <v>39</v>
      </c>
      <c r="AC4919">
        <v>9.8822999999999794</v>
      </c>
      <c r="AD4919">
        <v>-1.1153005265760001</v>
      </c>
      <c r="AE4919">
        <v>1.4214899999999999</v>
      </c>
      <c r="AF4919">
        <v>-2.31734812915614</v>
      </c>
      <c r="AG4919">
        <v>-1.1153005265760001</v>
      </c>
      <c r="AH4919">
        <v>9.5848003831343291</v>
      </c>
      <c r="AI4919">
        <v>96.452882189742596</v>
      </c>
      <c r="AJ4919">
        <v>103.591759683688</v>
      </c>
      <c r="AK4919">
        <v>9.92382970434379</v>
      </c>
      <c r="AL4919">
        <v>66.567082062406499</v>
      </c>
      <c r="AM4919">
        <v>100.204180835996</v>
      </c>
      <c r="AN4919">
        <v>1.00000000171995</v>
      </c>
    </row>
    <row r="4920" spans="1:40" x14ac:dyDescent="0.25">
      <c r="A4920" t="str">
        <f>"20190304164509635"</f>
        <v>20190304164509635</v>
      </c>
      <c r="B4920" t="str">
        <f>"1551689109625525"</f>
        <v>1551689109625525</v>
      </c>
      <c r="C4920" t="s">
        <v>40</v>
      </c>
      <c r="D4920">
        <v>5.4112619999999998</v>
      </c>
      <c r="E4920">
        <v>0.4861625</v>
      </c>
      <c r="F4920" t="s">
        <v>52</v>
      </c>
      <c r="G4920">
        <v>-364.59910000000002</v>
      </c>
      <c r="H4920" s="1">
        <v>-2.6337389999999999E-6</v>
      </c>
      <c r="I4920">
        <v>19.917919999999999</v>
      </c>
      <c r="J4920">
        <v>-374.48970000000003</v>
      </c>
      <c r="K4920">
        <v>1.1152759999999999</v>
      </c>
      <c r="L4920">
        <v>18.489840000000001</v>
      </c>
      <c r="M4920">
        <v>0.99573920000000005</v>
      </c>
      <c r="N4920">
        <v>-1.149378E-2</v>
      </c>
      <c r="O4920">
        <v>-9.1496770000000005E-2</v>
      </c>
      <c r="P4920">
        <v>0.91830310000000004</v>
      </c>
      <c r="Q4920">
        <v>0.3889706</v>
      </c>
      <c r="R4920">
        <v>7.3630200000000007E-2</v>
      </c>
      <c r="S4920">
        <v>3.3887019999999999</v>
      </c>
      <c r="T4920">
        <v>-0.37359880000000001</v>
      </c>
      <c r="U4920">
        <v>0.47186280000000003</v>
      </c>
      <c r="V4920">
        <v>-0.16234109999999999</v>
      </c>
      <c r="W4920">
        <v>0.39737499999999998</v>
      </c>
      <c r="X4920">
        <v>0.90318240000000005</v>
      </c>
      <c r="Y4920">
        <v>-0.2260375</v>
      </c>
      <c r="Z4920">
        <v>2.2644020000000001E-2</v>
      </c>
      <c r="AA4920">
        <v>0.97385540000000004</v>
      </c>
      <c r="AB4920">
        <v>39</v>
      </c>
      <c r="AC4920">
        <v>9.8905999999999992</v>
      </c>
      <c r="AD4920">
        <v>-1.1152786337389999</v>
      </c>
      <c r="AE4920">
        <v>1.42808</v>
      </c>
      <c r="AF4920">
        <v>-2.2984778885557202</v>
      </c>
      <c r="AG4920">
        <v>-1.1152786337389999</v>
      </c>
      <c r="AH4920">
        <v>9.5988752185330704</v>
      </c>
      <c r="AI4920">
        <v>96.446747374407494</v>
      </c>
      <c r="AJ4920">
        <v>103.46608680982099</v>
      </c>
      <c r="AK4920">
        <v>9.9330384322231708</v>
      </c>
      <c r="AL4920">
        <v>66.585820355078098</v>
      </c>
      <c r="AM4920">
        <v>100.189733898456</v>
      </c>
      <c r="AN4920">
        <v>0.99999998552198499</v>
      </c>
    </row>
    <row r="4921" spans="1:40" x14ac:dyDescent="0.25">
      <c r="A4921" t="str">
        <f>"20190304164509646"</f>
        <v>20190304164509646</v>
      </c>
      <c r="B4921" t="str">
        <f>"1551689109635286"</f>
        <v>1551689109635286</v>
      </c>
      <c r="C4921" t="s">
        <v>40</v>
      </c>
      <c r="D4921">
        <v>5.3901500000000002</v>
      </c>
      <c r="E4921">
        <v>0.4683407</v>
      </c>
      <c r="F4921" t="s">
        <v>52</v>
      </c>
      <c r="G4921">
        <v>-364.4205</v>
      </c>
      <c r="H4921" s="1">
        <v>-2.7184329999999999E-6</v>
      </c>
      <c r="I4921">
        <v>19.91901</v>
      </c>
      <c r="J4921">
        <v>-374.27730000000003</v>
      </c>
      <c r="K4921">
        <v>1.1152489999999999</v>
      </c>
      <c r="L4921">
        <v>18.472380000000001</v>
      </c>
      <c r="M4921">
        <v>0.99596220000000002</v>
      </c>
      <c r="N4921">
        <v>-1.163698E-2</v>
      </c>
      <c r="O4921">
        <v>-8.9016559999999995E-2</v>
      </c>
      <c r="P4921">
        <v>0.9182498</v>
      </c>
      <c r="Q4921">
        <v>0.38871509999999998</v>
      </c>
      <c r="R4921">
        <v>7.5617619999999997E-2</v>
      </c>
      <c r="S4921">
        <v>3.3872680000000002</v>
      </c>
      <c r="T4921">
        <v>-0.37517980000000001</v>
      </c>
      <c r="U4921">
        <v>0.48077389999999998</v>
      </c>
      <c r="V4921">
        <v>-0.161998</v>
      </c>
      <c r="W4921">
        <v>0.39727699999999999</v>
      </c>
      <c r="X4921">
        <v>0.90328710000000001</v>
      </c>
      <c r="Y4921">
        <v>-0.22617490000000001</v>
      </c>
      <c r="Z4921">
        <v>2.251206E-2</v>
      </c>
      <c r="AA4921">
        <v>0.97382650000000004</v>
      </c>
      <c r="AB4921">
        <v>39</v>
      </c>
      <c r="AC4921">
        <v>9.8568000000000193</v>
      </c>
      <c r="AD4921">
        <v>-1.115251718433</v>
      </c>
      <c r="AE4921">
        <v>1.4466300000000001</v>
      </c>
      <c r="AF4921">
        <v>-2.2896700973968098</v>
      </c>
      <c r="AG4921">
        <v>-1.115251718433</v>
      </c>
      <c r="AH4921">
        <v>9.5689641322492598</v>
      </c>
      <c r="AI4921">
        <v>96.466823344605103</v>
      </c>
      <c r="AJ4921">
        <v>103.45676805384799</v>
      </c>
      <c r="AK4921">
        <v>9.9020932188428592</v>
      </c>
      <c r="AL4921">
        <v>66.591938808273099</v>
      </c>
      <c r="AM4921">
        <v>100.16749416988699</v>
      </c>
      <c r="AN4921">
        <v>0.99999997587970402</v>
      </c>
    </row>
    <row r="4922" spans="1:40" x14ac:dyDescent="0.25">
      <c r="A4922" t="str">
        <f>"20190304164509659"</f>
        <v>20190304164509659</v>
      </c>
      <c r="B4922" t="str">
        <f>"1551689109654805"</f>
        <v>1551689109654805</v>
      </c>
      <c r="C4922" t="s">
        <v>40</v>
      </c>
      <c r="D4922">
        <v>5.3835259999999998</v>
      </c>
      <c r="E4922">
        <v>0.4600437</v>
      </c>
      <c r="F4922" t="s">
        <v>52</v>
      </c>
      <c r="G4922">
        <v>-363.46010000000001</v>
      </c>
      <c r="H4922" s="1">
        <v>-3.3246919999999999E-6</v>
      </c>
      <c r="I4922">
        <v>20.49118</v>
      </c>
      <c r="J4922">
        <v>-374.06580000000002</v>
      </c>
      <c r="K4922">
        <v>1.1152230000000001</v>
      </c>
      <c r="L4922">
        <v>18.45532</v>
      </c>
      <c r="M4922">
        <v>0.99617509999999998</v>
      </c>
      <c r="N4922">
        <v>-1.17828E-2</v>
      </c>
      <c r="O4922">
        <v>-8.6581669999999999E-2</v>
      </c>
      <c r="P4922">
        <v>0.91813500000000003</v>
      </c>
      <c r="Q4922">
        <v>0.38855440000000002</v>
      </c>
      <c r="R4922">
        <v>7.7803239999999996E-2</v>
      </c>
      <c r="S4922">
        <v>3.362152</v>
      </c>
      <c r="T4922">
        <v>-0.34663680000000002</v>
      </c>
      <c r="U4922">
        <v>0.62747189999999997</v>
      </c>
      <c r="V4922">
        <v>-0.16188540000000001</v>
      </c>
      <c r="W4922">
        <v>0.39727390000000001</v>
      </c>
      <c r="X4922">
        <v>0.90330869999999996</v>
      </c>
      <c r="Y4922">
        <v>-0.26601190000000002</v>
      </c>
      <c r="Z4922">
        <v>2.2974230000000002E-2</v>
      </c>
      <c r="AA4922">
        <v>0.96369590000000005</v>
      </c>
      <c r="AB4922">
        <v>39</v>
      </c>
      <c r="AC4922">
        <v>10.605700000000001</v>
      </c>
      <c r="AD4922">
        <v>-1.11522632469199</v>
      </c>
      <c r="AE4922">
        <v>2.03586</v>
      </c>
      <c r="AF4922">
        <v>-2.9154455598675901</v>
      </c>
      <c r="AG4922">
        <v>-1.11522632469199</v>
      </c>
      <c r="AH4922">
        <v>10.2799585734461</v>
      </c>
      <c r="AI4922">
        <v>95.958351248110006</v>
      </c>
      <c r="AJ4922">
        <v>105.833590790467</v>
      </c>
      <c r="AK4922">
        <v>10.743421281863901</v>
      </c>
      <c r="AL4922">
        <v>66.592133471411003</v>
      </c>
      <c r="AM4922">
        <v>100.16033643199</v>
      </c>
      <c r="AN4922">
        <v>1.0000000209250299</v>
      </c>
    </row>
    <row r="4923" spans="1:40" x14ac:dyDescent="0.25">
      <c r="A4923" t="str">
        <f>"20190304164509676"</f>
        <v>20190304164509676</v>
      </c>
      <c r="B4923" t="str">
        <f>"1551689109665540"</f>
        <v>1551689109665540</v>
      </c>
      <c r="C4923" t="s">
        <v>40</v>
      </c>
      <c r="D4923">
        <v>5.3998699999999999</v>
      </c>
      <c r="E4923">
        <v>0.45841219999999999</v>
      </c>
      <c r="F4923" t="s">
        <v>52</v>
      </c>
      <c r="G4923">
        <v>-362.8954</v>
      </c>
      <c r="H4923" s="1">
        <v>-3.670759E-6</v>
      </c>
      <c r="I4923">
        <v>20.78856</v>
      </c>
      <c r="J4923">
        <v>-373.7749</v>
      </c>
      <c r="K4923">
        <v>1.1151789999999999</v>
      </c>
      <c r="L4923">
        <v>18.43262</v>
      </c>
      <c r="M4923">
        <v>0.99645170000000005</v>
      </c>
      <c r="N4923">
        <v>-1.1987889999999999E-2</v>
      </c>
      <c r="O4923">
        <v>-8.3308240000000006E-2</v>
      </c>
      <c r="P4923">
        <v>0.91800269999999995</v>
      </c>
      <c r="Q4923">
        <v>0.38839380000000001</v>
      </c>
      <c r="R4923">
        <v>8.0134440000000001E-2</v>
      </c>
      <c r="S4923">
        <v>3.3497309999999998</v>
      </c>
      <c r="T4923">
        <v>-0.33442759999999999</v>
      </c>
      <c r="U4923">
        <v>0.69967650000000003</v>
      </c>
      <c r="V4923">
        <v>-0.16112170000000001</v>
      </c>
      <c r="W4923">
        <v>0.39734609999999998</v>
      </c>
      <c r="X4923">
        <v>0.90341349999999998</v>
      </c>
      <c r="Y4923">
        <v>-0.28347329999999998</v>
      </c>
      <c r="Z4923">
        <v>2.2922310000000001E-2</v>
      </c>
      <c r="AA4923">
        <v>0.95870610000000001</v>
      </c>
      <c r="AB4923">
        <v>39</v>
      </c>
      <c r="AC4923">
        <v>10.8795</v>
      </c>
      <c r="AD4923">
        <v>-1.115182670759</v>
      </c>
      <c r="AE4923">
        <v>2.3559399999999999</v>
      </c>
      <c r="AF4923">
        <v>-3.2218311881013602</v>
      </c>
      <c r="AG4923">
        <v>-1.115182670759</v>
      </c>
      <c r="AH4923">
        <v>10.5396139367231</v>
      </c>
      <c r="AI4923">
        <v>95.777896990837306</v>
      </c>
      <c r="AJ4923">
        <v>106.99775202812999</v>
      </c>
      <c r="AK4923">
        <v>11.0773322839459</v>
      </c>
      <c r="AL4923">
        <v>66.5876260933955</v>
      </c>
      <c r="AM4923">
        <v>100.11224737815699</v>
      </c>
      <c r="AN4923">
        <v>1.0000000386891701</v>
      </c>
    </row>
    <row r="4924" spans="1:40" x14ac:dyDescent="0.25">
      <c r="A4924" t="str">
        <f>"20190304164509699"</f>
        <v>20190304164509699</v>
      </c>
      <c r="B4924" t="str">
        <f>"1551689109694821"</f>
        <v>1551689109694821</v>
      </c>
      <c r="C4924" t="s">
        <v>40</v>
      </c>
      <c r="D4924">
        <v>5.3733760000000004</v>
      </c>
      <c r="E4924">
        <v>0.4560187</v>
      </c>
      <c r="F4924" t="s">
        <v>52</v>
      </c>
      <c r="G4924">
        <v>-362.60570000000001</v>
      </c>
      <c r="H4924" s="1">
        <v>-3.820818E-6</v>
      </c>
      <c r="I4924">
        <v>20.837980000000002</v>
      </c>
      <c r="J4924">
        <v>-373.36900000000003</v>
      </c>
      <c r="K4924">
        <v>1.1150819999999999</v>
      </c>
      <c r="L4924">
        <v>18.402650000000001</v>
      </c>
      <c r="M4924">
        <v>0.9968051</v>
      </c>
      <c r="N4924">
        <v>-1.2256700000000001E-2</v>
      </c>
      <c r="O4924">
        <v>-7.8926699999999905E-2</v>
      </c>
      <c r="P4924">
        <v>0.91773360000000004</v>
      </c>
      <c r="Q4924">
        <v>0.3883704</v>
      </c>
      <c r="R4924">
        <v>8.3267270000000004E-2</v>
      </c>
      <c r="S4924">
        <v>3.3464049999999999</v>
      </c>
      <c r="T4924">
        <v>-0.33412059999999999</v>
      </c>
      <c r="U4924">
        <v>0.7206726</v>
      </c>
      <c r="V4924">
        <v>-0.1600801</v>
      </c>
      <c r="W4924">
        <v>0.3976402</v>
      </c>
      <c r="X4924">
        <v>0.90346919999999997</v>
      </c>
      <c r="Y4924">
        <v>-0.28521350000000001</v>
      </c>
      <c r="Z4924">
        <v>2.264538E-2</v>
      </c>
      <c r="AA4924">
        <v>0.95819650000000001</v>
      </c>
      <c r="AB4924">
        <v>39</v>
      </c>
      <c r="AC4924">
        <v>10.763299999999999</v>
      </c>
      <c r="AD4924">
        <v>-1.1150858208179999</v>
      </c>
      <c r="AE4924">
        <v>2.4353299999999898</v>
      </c>
      <c r="AF4924">
        <v>-3.24418280977613</v>
      </c>
      <c r="AG4924">
        <v>-1.1150858208179999</v>
      </c>
      <c r="AH4924">
        <v>10.430986509433099</v>
      </c>
      <c r="AI4924">
        <v>95.828463246859499</v>
      </c>
      <c r="AJ4924">
        <v>107.276425052562</v>
      </c>
      <c r="AK4924">
        <v>10.9806018983939</v>
      </c>
      <c r="AL4924">
        <v>66.569260897988201</v>
      </c>
      <c r="AM4924">
        <v>100.047604462823</v>
      </c>
      <c r="AN4924">
        <v>0.99999998121034395</v>
      </c>
    </row>
    <row r="4925" spans="1:40" x14ac:dyDescent="0.25">
      <c r="A4925" t="str">
        <f>"20190304164509723"</f>
        <v>20190304164509723</v>
      </c>
      <c r="B4925" t="str">
        <f>"1551689109715317"</f>
        <v>1551689109715317</v>
      </c>
      <c r="C4925" t="s">
        <v>40</v>
      </c>
      <c r="D4925">
        <v>5.3818849999999996</v>
      </c>
      <c r="E4925">
        <v>0.45603900000000003</v>
      </c>
      <c r="F4925" t="s">
        <v>52</v>
      </c>
      <c r="G4925">
        <v>-362.10700000000003</v>
      </c>
      <c r="H4925" s="1">
        <v>-4.0813420000000001E-6</v>
      </c>
      <c r="I4925">
        <v>20.93102</v>
      </c>
      <c r="J4925">
        <v>-372.96730000000002</v>
      </c>
      <c r="K4925">
        <v>1.114965</v>
      </c>
      <c r="L4925">
        <v>18.37454</v>
      </c>
      <c r="M4925">
        <v>0.99712160000000005</v>
      </c>
      <c r="N4925">
        <v>-1.249862E-2</v>
      </c>
      <c r="O4925">
        <v>-7.4781810000000004E-2</v>
      </c>
      <c r="P4925">
        <v>0.91779390000000005</v>
      </c>
      <c r="Q4925">
        <v>0.38759769999999999</v>
      </c>
      <c r="R4925">
        <v>8.6153660000000007E-2</v>
      </c>
      <c r="S4925">
        <v>3.3408509999999998</v>
      </c>
      <c r="T4925">
        <v>-0.33078550000000001</v>
      </c>
      <c r="U4925">
        <v>0.75003050000000004</v>
      </c>
      <c r="V4925">
        <v>-0.15901479999999901</v>
      </c>
      <c r="W4925">
        <v>0.39716800000000002</v>
      </c>
      <c r="X4925">
        <v>0.90386500000000003</v>
      </c>
      <c r="Y4925">
        <v>-0.28961009999999998</v>
      </c>
      <c r="Z4925">
        <v>2.2351010000000001E-2</v>
      </c>
      <c r="AA4925">
        <v>0.9568837</v>
      </c>
      <c r="AB4925">
        <v>39</v>
      </c>
      <c r="AC4925">
        <v>10.860300000000001</v>
      </c>
      <c r="AD4925">
        <v>-1.1149690813419999</v>
      </c>
      <c r="AE4925">
        <v>2.5564800000000001</v>
      </c>
      <c r="AF4925">
        <v>-3.3282982861100399</v>
      </c>
      <c r="AG4925">
        <v>-1.1149690813419999</v>
      </c>
      <c r="AH4925">
        <v>10.533497975198401</v>
      </c>
      <c r="AI4925">
        <v>95.763417225133395</v>
      </c>
      <c r="AJ4925">
        <v>107.535116423256</v>
      </c>
      <c r="AK4925">
        <v>11.1029412827043</v>
      </c>
      <c r="AL4925">
        <v>66.598745365227899</v>
      </c>
      <c r="AM4925">
        <v>99.977805647288804</v>
      </c>
      <c r="AN4925">
        <v>1.0000000325340099</v>
      </c>
    </row>
    <row r="4926" spans="1:40" x14ac:dyDescent="0.25">
      <c r="A4926" t="str">
        <f>"20190304164509734"</f>
        <v>20190304164509734</v>
      </c>
      <c r="B4926" t="str">
        <f>"1551689109725077"</f>
        <v>1551689109725077</v>
      </c>
      <c r="C4926" t="s">
        <v>40</v>
      </c>
      <c r="D4926">
        <v>5.461284</v>
      </c>
      <c r="E4926">
        <v>0.45672230000000003</v>
      </c>
      <c r="F4926" t="s">
        <v>52</v>
      </c>
      <c r="G4926">
        <v>-361.84010000000001</v>
      </c>
      <c r="H4926" s="1">
        <v>-4.2016959999999998E-6</v>
      </c>
      <c r="I4926">
        <v>20.909220000000001</v>
      </c>
      <c r="J4926">
        <v>-372.75720000000001</v>
      </c>
      <c r="K4926">
        <v>1.1148960000000001</v>
      </c>
      <c r="L4926">
        <v>18.360320000000002</v>
      </c>
      <c r="M4926">
        <v>0.99727589999999999</v>
      </c>
      <c r="N4926">
        <v>-1.261808E-2</v>
      </c>
      <c r="O4926">
        <v>-7.2675619999999996E-2</v>
      </c>
      <c r="P4926">
        <v>0.91792470000000004</v>
      </c>
      <c r="Q4926">
        <v>0.38689970000000001</v>
      </c>
      <c r="R4926">
        <v>8.7881650000000006E-2</v>
      </c>
      <c r="S4926">
        <v>3.3385929999999999</v>
      </c>
      <c r="T4926">
        <v>-0.3345321</v>
      </c>
      <c r="U4926">
        <v>0.76049800000000001</v>
      </c>
      <c r="V4926">
        <v>-0.1587324</v>
      </c>
      <c r="W4926">
        <v>0.39662049999999999</v>
      </c>
      <c r="X4926">
        <v>0.90415500000000004</v>
      </c>
      <c r="Y4926">
        <v>-0.290543099999999</v>
      </c>
      <c r="Z4926">
        <v>2.247948E-2</v>
      </c>
      <c r="AA4926">
        <v>0.95659780000000005</v>
      </c>
      <c r="AB4926">
        <v>39</v>
      </c>
      <c r="AC4926">
        <v>10.9171</v>
      </c>
      <c r="AD4926">
        <v>-1.1149002016959999</v>
      </c>
      <c r="AE4926">
        <v>2.5489000000000002</v>
      </c>
      <c r="AF4926">
        <v>-3.3029617836787901</v>
      </c>
      <c r="AG4926">
        <v>-1.1149002016959999</v>
      </c>
      <c r="AH4926">
        <v>10.598150897974</v>
      </c>
      <c r="AI4926">
        <v>95.735164724908103</v>
      </c>
      <c r="AJ4926">
        <v>107.309882161386</v>
      </c>
      <c r="AK4926">
        <v>11.156763036849499</v>
      </c>
      <c r="AL4926">
        <v>66.632921853041495</v>
      </c>
      <c r="AM4926">
        <v>99.957310096998597</v>
      </c>
      <c r="AN4926">
        <v>1.0000000299275</v>
      </c>
    </row>
    <row r="4927" spans="1:40" x14ac:dyDescent="0.25">
      <c r="A4927" t="str">
        <f>"20190304164509746"</f>
        <v>20190304164509746</v>
      </c>
      <c r="B4927" t="str">
        <f>"1551689109734838"</f>
        <v>1551689109734838</v>
      </c>
      <c r="C4927" t="s">
        <v>40</v>
      </c>
      <c r="D4927">
        <v>5.3777169999999996</v>
      </c>
      <c r="E4927">
        <v>0.45700269999999998</v>
      </c>
      <c r="F4927" t="s">
        <v>52</v>
      </c>
      <c r="G4927">
        <v>-361.73039999999997</v>
      </c>
      <c r="H4927" s="1">
        <v>-4.2439610000000003E-6</v>
      </c>
      <c r="I4927">
        <v>20.873259999999998</v>
      </c>
      <c r="J4927">
        <v>-372.54950000000002</v>
      </c>
      <c r="K4927">
        <v>1.1148169999999999</v>
      </c>
      <c r="L4927">
        <v>18.346920000000001</v>
      </c>
      <c r="M4927">
        <v>0.99741769999999996</v>
      </c>
      <c r="N4927">
        <v>-1.2726690000000001E-2</v>
      </c>
      <c r="O4927">
        <v>-7.0682380000000003E-2</v>
      </c>
      <c r="P4927">
        <v>0.91784889999999997</v>
      </c>
      <c r="Q4927">
        <v>0.38671919999999999</v>
      </c>
      <c r="R4927">
        <v>8.9452009999999998E-2</v>
      </c>
      <c r="S4927">
        <v>3.3376160000000001</v>
      </c>
      <c r="T4927">
        <v>-0.33746029999999999</v>
      </c>
      <c r="U4927">
        <v>0.76062010000000002</v>
      </c>
      <c r="V4927">
        <v>-0.15838099999999999</v>
      </c>
      <c r="W4927">
        <v>0.39658019999999999</v>
      </c>
      <c r="X4927">
        <v>0.90423419999999999</v>
      </c>
      <c r="Y4927">
        <v>-0.28870980000000002</v>
      </c>
      <c r="Z4927">
        <v>2.240433E-2</v>
      </c>
      <c r="AA4927">
        <v>0.95715450000000002</v>
      </c>
      <c r="AB4927">
        <v>39</v>
      </c>
      <c r="AC4927">
        <v>10.819100000000001</v>
      </c>
      <c r="AD4927">
        <v>-1.1148212439609999</v>
      </c>
      <c r="AE4927">
        <v>2.5263399999999998</v>
      </c>
      <c r="AF4927">
        <v>-3.25205812037097</v>
      </c>
      <c r="AG4927">
        <v>-1.1148212439609999</v>
      </c>
      <c r="AH4927">
        <v>10.5076556280269</v>
      </c>
      <c r="AI4927">
        <v>95.787333770289607</v>
      </c>
      <c r="AJ4927">
        <v>107.19699127741301</v>
      </c>
      <c r="AK4927">
        <v>11.0557467057392</v>
      </c>
      <c r="AL4927">
        <v>66.635434980394805</v>
      </c>
      <c r="AM4927">
        <v>99.934853544610903</v>
      </c>
      <c r="AN4927">
        <v>0.99999994232133804</v>
      </c>
    </row>
    <row r="4928" spans="1:40" x14ac:dyDescent="0.25">
      <c r="A4928" t="str">
        <f>"20190304164509759"</f>
        <v>20190304164509759</v>
      </c>
      <c r="B4928" t="str">
        <f>"1551689109755333"</f>
        <v>1551689109755333</v>
      </c>
      <c r="C4928" t="s">
        <v>40</v>
      </c>
      <c r="D4928">
        <v>5.3632119999999999</v>
      </c>
      <c r="E4928">
        <v>0.45731569999999999</v>
      </c>
      <c r="F4928" t="s">
        <v>52</v>
      </c>
      <c r="G4928">
        <v>-361.57679999999999</v>
      </c>
      <c r="H4928" s="1">
        <v>-4.3130890000000002E-6</v>
      </c>
      <c r="I4928">
        <v>20.86017</v>
      </c>
      <c r="J4928">
        <v>-372.334</v>
      </c>
      <c r="K4928">
        <v>1.1147320000000001</v>
      </c>
      <c r="L4928">
        <v>18.333279999999998</v>
      </c>
      <c r="M4928">
        <v>0.99755760000000004</v>
      </c>
      <c r="N4928">
        <v>-1.283491E-2</v>
      </c>
      <c r="O4928">
        <v>-6.8659540000000005E-2</v>
      </c>
      <c r="P4928">
        <v>0.91775200000000001</v>
      </c>
      <c r="Q4928">
        <v>0.3864821</v>
      </c>
      <c r="R4928">
        <v>9.1449329999999995E-2</v>
      </c>
      <c r="S4928">
        <v>3.3368229999999999</v>
      </c>
      <c r="T4928">
        <v>-0.33901930000000002</v>
      </c>
      <c r="U4928">
        <v>0.76428219999999902</v>
      </c>
      <c r="V4928">
        <v>-0.15841910000000001</v>
      </c>
      <c r="W4928">
        <v>0.39648090000000002</v>
      </c>
      <c r="X4928">
        <v>0.90427120000000005</v>
      </c>
      <c r="Y4928">
        <v>-0.28781180000000001</v>
      </c>
      <c r="Z4928">
        <v>2.2285949999999999E-2</v>
      </c>
      <c r="AA4928">
        <v>0.95742769999999999</v>
      </c>
      <c r="AB4928">
        <v>39</v>
      </c>
      <c r="AC4928">
        <v>10.757199999999999</v>
      </c>
      <c r="AD4928">
        <v>-1.114736313089</v>
      </c>
      <c r="AE4928">
        <v>2.5268899999999999</v>
      </c>
      <c r="AF4928">
        <v>-3.2267327182876802</v>
      </c>
      <c r="AG4928">
        <v>-1.114736313089</v>
      </c>
      <c r="AH4928">
        <v>10.451931753814801</v>
      </c>
      <c r="AI4928">
        <v>95.818797531417701</v>
      </c>
      <c r="AJ4928">
        <v>107.156565112891</v>
      </c>
      <c r="AK4928">
        <v>10.995331667093501</v>
      </c>
      <c r="AL4928">
        <v>66.641635409077395</v>
      </c>
      <c r="AM4928">
        <v>99.936797336127</v>
      </c>
      <c r="AN4928">
        <v>1.00000005922952</v>
      </c>
    </row>
    <row r="4929" spans="1:40" x14ac:dyDescent="0.25">
      <c r="A4929" t="str">
        <f>"20190304164509778"</f>
        <v>20190304164509778</v>
      </c>
      <c r="B4929" t="str">
        <f>"1551689109774853"</f>
        <v>1551689109774853</v>
      </c>
      <c r="C4929" t="s">
        <v>40</v>
      </c>
      <c r="D4929">
        <v>5.373977</v>
      </c>
      <c r="E4929">
        <v>0.45765879999999998</v>
      </c>
      <c r="F4929" t="s">
        <v>52</v>
      </c>
      <c r="G4929">
        <v>-361.36959999999999</v>
      </c>
      <c r="H4929" s="1">
        <v>-4.4105609999999997E-6</v>
      </c>
      <c r="I4929">
        <v>20.858429999999998</v>
      </c>
      <c r="J4929">
        <v>-372.0061</v>
      </c>
      <c r="K4929">
        <v>1.114584</v>
      </c>
      <c r="L4929">
        <v>18.31326</v>
      </c>
      <c r="M4929">
        <v>0.99775420000000004</v>
      </c>
      <c r="N4929">
        <v>-1.2986330000000001E-2</v>
      </c>
      <c r="O4929">
        <v>-6.5713850000000004E-2</v>
      </c>
      <c r="P4929">
        <v>0.91720239999999997</v>
      </c>
      <c r="Q4929">
        <v>0.38699220000000001</v>
      </c>
      <c r="R4929">
        <v>9.4745949999999995E-2</v>
      </c>
      <c r="S4929">
        <v>3.3351139999999999</v>
      </c>
      <c r="T4929">
        <v>-0.33907939999999998</v>
      </c>
      <c r="U4929">
        <v>0.76809689999999997</v>
      </c>
      <c r="V4929">
        <v>-0.15882779999999999</v>
      </c>
      <c r="W4929">
        <v>0.3971847</v>
      </c>
      <c r="X4929">
        <v>0.90389059999999999</v>
      </c>
      <c r="Y4929">
        <v>-0.28614970000000001</v>
      </c>
      <c r="Z4929">
        <v>2.1957910000000001E-2</v>
      </c>
      <c r="AA4929">
        <v>0.95793329999999999</v>
      </c>
      <c r="AB4929">
        <v>39</v>
      </c>
      <c r="AC4929">
        <v>10.6365</v>
      </c>
      <c r="AD4929">
        <v>-1.114588410561</v>
      </c>
      <c r="AE4929">
        <v>2.5451700000000002</v>
      </c>
      <c r="AF4929">
        <v>-3.2054004209422899</v>
      </c>
      <c r="AG4929">
        <v>-1.114588410561</v>
      </c>
      <c r="AH4929">
        <v>10.3388584923925</v>
      </c>
      <c r="AI4929">
        <v>95.879052573373201</v>
      </c>
      <c r="AJ4929">
        <v>107.225227425714</v>
      </c>
      <c r="AK4929">
        <v>10.8815850917617</v>
      </c>
      <c r="AL4929">
        <v>66.597704098660998</v>
      </c>
      <c r="AM4929">
        <v>99.966030620310804</v>
      </c>
      <c r="AN4929">
        <v>1.0000000863676399</v>
      </c>
    </row>
    <row r="4930" spans="1:40" x14ac:dyDescent="0.25">
      <c r="A4930" t="str">
        <f>"20190304164509802"</f>
        <v>20190304164509802</v>
      </c>
      <c r="B4930" t="str">
        <f>"1551689109795349"</f>
        <v>1551689109795349</v>
      </c>
      <c r="C4930" t="s">
        <v>40</v>
      </c>
      <c r="D4930">
        <v>5.3318180000000002</v>
      </c>
      <c r="E4930">
        <v>0.458173</v>
      </c>
      <c r="F4930" t="s">
        <v>52</v>
      </c>
      <c r="G4930">
        <v>-360.9633</v>
      </c>
      <c r="H4930" s="1">
        <v>-4.5819019999999998E-6</v>
      </c>
      <c r="I4930">
        <v>20.880859999999998</v>
      </c>
      <c r="J4930">
        <v>-371.60210000000001</v>
      </c>
      <c r="K4930">
        <v>1.1143940000000001</v>
      </c>
      <c r="L4930">
        <v>18.289860000000001</v>
      </c>
      <c r="M4930">
        <v>0.99797009999999997</v>
      </c>
      <c r="N4930">
        <v>-1.315099E-2</v>
      </c>
      <c r="O4930">
        <v>-6.2313189999999997E-2</v>
      </c>
      <c r="P4930">
        <v>0.91645770000000004</v>
      </c>
      <c r="Q4930">
        <v>0.3878817</v>
      </c>
      <c r="R4930">
        <v>9.8252069999999997E-2</v>
      </c>
      <c r="S4930">
        <v>3.3327330000000002</v>
      </c>
      <c r="T4930">
        <v>-0.33638370000000001</v>
      </c>
      <c r="U4930">
        <v>0.77490230000000004</v>
      </c>
      <c r="V4930">
        <v>-0.1589719</v>
      </c>
      <c r="W4930">
        <v>0.39830159999999998</v>
      </c>
      <c r="X4930">
        <v>0.90337350000000005</v>
      </c>
      <c r="Y4930">
        <v>-0.28493669999999999</v>
      </c>
      <c r="Z4930">
        <v>2.1453119999999999E-2</v>
      </c>
      <c r="AA4930">
        <v>0.95830630000000006</v>
      </c>
      <c r="AB4930">
        <v>39</v>
      </c>
      <c r="AC4930">
        <v>10.6388</v>
      </c>
      <c r="AD4930">
        <v>-1.1143985819019999</v>
      </c>
      <c r="AE4930">
        <v>2.5910000000000002</v>
      </c>
      <c r="AF4930">
        <v>-3.2156513480654398</v>
      </c>
      <c r="AG4930">
        <v>-1.1143985819019999</v>
      </c>
      <c r="AH4930">
        <v>10.3494554561134</v>
      </c>
      <c r="AI4930">
        <v>95.870970837189802</v>
      </c>
      <c r="AJ4930">
        <v>107.26040099479501</v>
      </c>
      <c r="AK4930">
        <v>10.894655847237001</v>
      </c>
      <c r="AL4930">
        <v>66.527952734366593</v>
      </c>
      <c r="AM4930">
        <v>99.980485961153605</v>
      </c>
      <c r="AN4930">
        <v>0.99999995502720895</v>
      </c>
    </row>
    <row r="4931" spans="1:40" x14ac:dyDescent="0.25">
      <c r="A4931" t="str">
        <f>"20190304164509823"</f>
        <v>20190304164509823</v>
      </c>
      <c r="B4931" t="str">
        <f>"1551689109814869"</f>
        <v>1551689109814869</v>
      </c>
      <c r="C4931" t="s">
        <v>40</v>
      </c>
      <c r="D4931">
        <v>5.3610040000000003</v>
      </c>
      <c r="E4931">
        <v>0.45837040000000001</v>
      </c>
      <c r="F4931" t="s">
        <v>52</v>
      </c>
      <c r="G4931">
        <v>-360.50470000000001</v>
      </c>
      <c r="H4931" s="1">
        <v>-4.7610090000000003E-6</v>
      </c>
      <c r="I4931">
        <v>20.897780000000001</v>
      </c>
      <c r="J4931">
        <v>-371.21929999999998</v>
      </c>
      <c r="K4931">
        <v>1.114198</v>
      </c>
      <c r="L4931">
        <v>18.268740000000001</v>
      </c>
      <c r="M4931">
        <v>0.99815169999999998</v>
      </c>
      <c r="N4931">
        <v>-1.3288090000000001E-2</v>
      </c>
      <c r="O4931">
        <v>-5.930328E-2</v>
      </c>
      <c r="P4931">
        <v>0.91603380000000001</v>
      </c>
      <c r="Q4931">
        <v>0.38824059999999999</v>
      </c>
      <c r="R4931">
        <v>0.1007556</v>
      </c>
      <c r="S4931">
        <v>3.3311769999999998</v>
      </c>
      <c r="T4931">
        <v>-0.33451639999999999</v>
      </c>
      <c r="U4931">
        <v>0.78283689999999995</v>
      </c>
      <c r="V4931">
        <v>-0.1584931</v>
      </c>
      <c r="W4931">
        <v>0.3988719</v>
      </c>
      <c r="X4931">
        <v>0.90320610000000001</v>
      </c>
      <c r="Y4931">
        <v>-0.2843424</v>
      </c>
      <c r="Z4931">
        <v>2.1064510000000002E-2</v>
      </c>
      <c r="AA4931">
        <v>0.95849139999999999</v>
      </c>
      <c r="AB4931">
        <v>39</v>
      </c>
      <c r="AC4931">
        <v>10.7145999999999</v>
      </c>
      <c r="AD4931">
        <v>-1.114202761009</v>
      </c>
      <c r="AE4931">
        <v>2.6290399999999901</v>
      </c>
      <c r="AF4931">
        <v>-3.226965068892</v>
      </c>
      <c r="AG4931">
        <v>-1.114202761009</v>
      </c>
      <c r="AH4931">
        <v>10.433397448273899</v>
      </c>
      <c r="AI4931">
        <v>95.825360988232902</v>
      </c>
      <c r="AJ4931">
        <v>107.186413434762</v>
      </c>
      <c r="AK4931">
        <v>10.977728984728</v>
      </c>
      <c r="AL4931">
        <v>66.4923270027342</v>
      </c>
      <c r="AM4931">
        <v>99.952835376534907</v>
      </c>
      <c r="AN4931">
        <v>1.0000000572172101</v>
      </c>
    </row>
    <row r="4932" spans="1:40" x14ac:dyDescent="0.25">
      <c r="A4932" t="str">
        <f>"20190304164509845"</f>
        <v>20190304164509845</v>
      </c>
      <c r="B4932" t="str">
        <f>"1551689109835364"</f>
        <v>1551689109835364</v>
      </c>
      <c r="C4932" t="s">
        <v>40</v>
      </c>
      <c r="D4932">
        <v>5.3551919999999997</v>
      </c>
      <c r="E4932">
        <v>0.4587735</v>
      </c>
      <c r="F4932" t="s">
        <v>52</v>
      </c>
      <c r="G4932">
        <v>-360.07159999999999</v>
      </c>
      <c r="H4932" s="1">
        <v>-4.9312469999999997E-6</v>
      </c>
      <c r="I4932">
        <v>20.919889999999999</v>
      </c>
      <c r="J4932">
        <v>-370.85359999999997</v>
      </c>
      <c r="K4932">
        <v>1.1140110000000001</v>
      </c>
      <c r="L4932">
        <v>18.249479999999998</v>
      </c>
      <c r="M4932">
        <v>0.99830549999999996</v>
      </c>
      <c r="N4932">
        <v>-1.340323E-2</v>
      </c>
      <c r="O4932">
        <v>-5.6624580000000001E-2</v>
      </c>
      <c r="P4932">
        <v>0.91598760000000001</v>
      </c>
      <c r="Q4932">
        <v>0.38793739999999999</v>
      </c>
      <c r="R4932">
        <v>0.1023293</v>
      </c>
      <c r="S4932">
        <v>3.3289179999999998</v>
      </c>
      <c r="T4932">
        <v>-0.33272309999999999</v>
      </c>
      <c r="U4932">
        <v>0.79168700000000003</v>
      </c>
      <c r="V4932">
        <v>-0.15741240000000001</v>
      </c>
      <c r="W4932">
        <v>0.39876689999999998</v>
      </c>
      <c r="X4932">
        <v>0.90344139999999995</v>
      </c>
      <c r="Y4932">
        <v>-0.28435490000000002</v>
      </c>
      <c r="Z4932">
        <v>2.074813E-2</v>
      </c>
      <c r="AA4932">
        <v>0.95849450000000003</v>
      </c>
      <c r="AB4932">
        <v>39</v>
      </c>
      <c r="AC4932">
        <v>10.781999999999901</v>
      </c>
      <c r="AD4932">
        <v>-1.1140159312469999</v>
      </c>
      <c r="AE4932">
        <v>2.67041</v>
      </c>
      <c r="AF4932">
        <v>-3.2440755724605101</v>
      </c>
      <c r="AG4932">
        <v>-1.1140159312469999</v>
      </c>
      <c r="AH4932">
        <v>10.5077817182217</v>
      </c>
      <c r="AI4932">
        <v>95.784349930691903</v>
      </c>
      <c r="AJ4932">
        <v>107.157066853394</v>
      </c>
      <c r="AK4932">
        <v>11.0534399375354</v>
      </c>
      <c r="AL4932">
        <v>66.498886791381196</v>
      </c>
      <c r="AM4932">
        <v>99.883790420673094</v>
      </c>
      <c r="AN4932">
        <v>1.0000000337216599</v>
      </c>
    </row>
    <row r="4933" spans="1:40" x14ac:dyDescent="0.25">
      <c r="A4933" t="str">
        <f>"20190304164509857"</f>
        <v>20190304164509857</v>
      </c>
      <c r="B4933" t="str">
        <f>"1551689109854885"</f>
        <v>1551689109854885</v>
      </c>
      <c r="C4933" t="s">
        <v>40</v>
      </c>
      <c r="D4933">
        <v>5.3458800000000002</v>
      </c>
      <c r="E4933">
        <v>0.4591134</v>
      </c>
      <c r="F4933" t="s">
        <v>42</v>
      </c>
      <c r="G4933">
        <v>-359.66860000000003</v>
      </c>
      <c r="H4933" s="1">
        <v>-4.7257889999999999E-7</v>
      </c>
      <c r="I4933">
        <v>20.924430000000001</v>
      </c>
      <c r="J4933">
        <v>-370.62920000000003</v>
      </c>
      <c r="K4933">
        <v>1.11389</v>
      </c>
      <c r="L4933">
        <v>18.238009999999999</v>
      </c>
      <c r="M4933">
        <v>0.99839169999999999</v>
      </c>
      <c r="N4933">
        <v>-1.346729E-2</v>
      </c>
      <c r="O4933">
        <v>-5.5069350000000003E-2</v>
      </c>
      <c r="P4933">
        <v>0.91605829999999999</v>
      </c>
      <c r="Q4933">
        <v>0.38754480000000002</v>
      </c>
      <c r="R4933">
        <v>0.1031811</v>
      </c>
      <c r="S4933">
        <v>3.3265989999999999</v>
      </c>
      <c r="T4933">
        <v>-0.33132299999999998</v>
      </c>
      <c r="U4933">
        <v>0.79559329999999995</v>
      </c>
      <c r="V4933">
        <v>-0.15672</v>
      </c>
      <c r="W4933">
        <v>0.39849050000000003</v>
      </c>
      <c r="X4933">
        <v>0.90368369999999998</v>
      </c>
      <c r="Y4933">
        <v>-0.28409620000000002</v>
      </c>
      <c r="Z4933">
        <v>2.05363E-2</v>
      </c>
      <c r="AA4933">
        <v>0.95857579999999998</v>
      </c>
      <c r="AB4933">
        <v>39</v>
      </c>
      <c r="AC4933">
        <v>10.960599999999999</v>
      </c>
      <c r="AD4933">
        <v>-1.1138904725788901</v>
      </c>
      <c r="AE4933">
        <v>2.6864199999999898</v>
      </c>
      <c r="AF4933">
        <v>-3.2542849568092498</v>
      </c>
      <c r="AG4933">
        <v>-1.1138904725788901</v>
      </c>
      <c r="AH4933">
        <v>10.691844075297199</v>
      </c>
      <c r="AI4933">
        <v>95.691697059733102</v>
      </c>
      <c r="AJ4933">
        <v>106.928716902217</v>
      </c>
      <c r="AK4933">
        <v>11.2315026730836</v>
      </c>
      <c r="AL4933">
        <v>66.516154624255293</v>
      </c>
      <c r="AM4933">
        <v>99.838579976643203</v>
      </c>
      <c r="AN4933">
        <v>1.0000000333179599</v>
      </c>
    </row>
    <row r="4934" spans="1:40" x14ac:dyDescent="0.25">
      <c r="A4934" t="str">
        <f>"20190304164509877"</f>
        <v>20190304164509877</v>
      </c>
      <c r="B4934" t="str">
        <f>"1551689109864645"</f>
        <v>1551689109864645</v>
      </c>
      <c r="C4934" t="s">
        <v>40</v>
      </c>
      <c r="D4934">
        <v>5.334981</v>
      </c>
      <c r="E4934">
        <v>0.45926440000000002</v>
      </c>
      <c r="F4934" t="s">
        <v>42</v>
      </c>
      <c r="G4934">
        <v>-359.54590000000002</v>
      </c>
      <c r="H4934" s="1">
        <v>-5.1629579999999899E-7</v>
      </c>
      <c r="I4934">
        <v>20.890969999999999</v>
      </c>
      <c r="J4934">
        <v>-370.29239999999999</v>
      </c>
      <c r="K4934">
        <v>1.1137109999999999</v>
      </c>
      <c r="L4934">
        <v>18.221440000000001</v>
      </c>
      <c r="M4934">
        <v>0.99850879999999997</v>
      </c>
      <c r="N4934">
        <v>-1.3552649999999999E-2</v>
      </c>
      <c r="O4934">
        <v>-5.2884569999999999E-2</v>
      </c>
      <c r="P4934">
        <v>0.91637670000000004</v>
      </c>
      <c r="Q4934">
        <v>0.38669019999999998</v>
      </c>
      <c r="R4934">
        <v>0.1035585</v>
      </c>
      <c r="S4934">
        <v>3.3266909999999998</v>
      </c>
      <c r="T4934">
        <v>-0.33433930000000001</v>
      </c>
      <c r="U4934">
        <v>0.79632569999999903</v>
      </c>
      <c r="V4934">
        <v>-0.15492649999999999</v>
      </c>
      <c r="W4934">
        <v>0.39780949999999998</v>
      </c>
      <c r="X4934">
        <v>0.90429280000000001</v>
      </c>
      <c r="Y4934">
        <v>-0.28218009999999999</v>
      </c>
      <c r="Z4934">
        <v>2.0422940000000001E-2</v>
      </c>
      <c r="AA4934">
        <v>0.95914410000000005</v>
      </c>
      <c r="AB4934">
        <v>39</v>
      </c>
      <c r="AC4934">
        <v>10.7464999999999</v>
      </c>
      <c r="AD4934">
        <v>-1.1137115162958</v>
      </c>
      <c r="AE4934">
        <v>2.66953</v>
      </c>
      <c r="AF4934">
        <v>-3.2017807651302501</v>
      </c>
      <c r="AG4934">
        <v>-1.1137115162958</v>
      </c>
      <c r="AH4934">
        <v>10.484211300781</v>
      </c>
      <c r="AI4934">
        <v>95.801089759671697</v>
      </c>
      <c r="AJ4934">
        <v>106.98218462087399</v>
      </c>
      <c r="AK4934">
        <v>11.018640569912</v>
      </c>
      <c r="AL4934">
        <v>66.558690099276902</v>
      </c>
      <c r="AM4934">
        <v>99.721723549311804</v>
      </c>
      <c r="AN4934">
        <v>1.0000000434121601</v>
      </c>
    </row>
    <row r="4935" spans="1:40" x14ac:dyDescent="0.25">
      <c r="A4935" t="str">
        <f>"20190304164509900"</f>
        <v>20190304164509900</v>
      </c>
      <c r="B4935" t="str">
        <f>"1551689109894902"</f>
        <v>1551689109894902</v>
      </c>
      <c r="C4935" t="s">
        <v>40</v>
      </c>
      <c r="D4935">
        <v>5.3399260000000002</v>
      </c>
      <c r="E4935">
        <v>0.45968819999999999</v>
      </c>
      <c r="F4935" t="s">
        <v>42</v>
      </c>
      <c r="G4935">
        <v>-359.35109999999997</v>
      </c>
      <c r="H4935" s="1">
        <v>-5.8652379999999995E-7</v>
      </c>
      <c r="I4935">
        <v>20.84074</v>
      </c>
      <c r="J4935">
        <v>-369.88749999999999</v>
      </c>
      <c r="K4935">
        <v>1.1135010000000001</v>
      </c>
      <c r="L4935">
        <v>18.202359999999999</v>
      </c>
      <c r="M4935">
        <v>0.99863230000000003</v>
      </c>
      <c r="N4935">
        <v>-1.364084E-2</v>
      </c>
      <c r="O4935">
        <v>-5.0472789999999997E-2</v>
      </c>
      <c r="P4935">
        <v>0.9161087</v>
      </c>
      <c r="Q4935">
        <v>0.3873817</v>
      </c>
      <c r="R4935">
        <v>0.1033454</v>
      </c>
      <c r="S4935">
        <v>3.3266909999999998</v>
      </c>
      <c r="T4935">
        <v>-0.33862029999999999</v>
      </c>
      <c r="U4935">
        <v>0.79641719999999905</v>
      </c>
      <c r="V4935">
        <v>-0.15228239999999901</v>
      </c>
      <c r="W4935">
        <v>0.39868690000000001</v>
      </c>
      <c r="X4935">
        <v>0.90435549999999998</v>
      </c>
      <c r="Y4935">
        <v>-0.27986680000000003</v>
      </c>
      <c r="Z4935">
        <v>2.0334040000000001E-2</v>
      </c>
      <c r="AA4935">
        <v>0.95982350000000005</v>
      </c>
      <c r="AB4935">
        <v>39</v>
      </c>
      <c r="AC4935">
        <v>10.5364</v>
      </c>
      <c r="AD4935">
        <v>-1.1135015865238</v>
      </c>
      <c r="AE4935">
        <v>2.63837999999999</v>
      </c>
      <c r="AF4935">
        <v>-3.1339312805537598</v>
      </c>
      <c r="AG4935">
        <v>-1.1135015865238</v>
      </c>
      <c r="AH4935">
        <v>10.281732756925701</v>
      </c>
      <c r="AI4935">
        <v>95.914380498083503</v>
      </c>
      <c r="AJ4935">
        <v>106.951522937715</v>
      </c>
      <c r="AK4935">
        <v>10.8062685298517</v>
      </c>
      <c r="AL4935">
        <v>66.503884660049707</v>
      </c>
      <c r="AM4935">
        <v>99.5582417509507</v>
      </c>
      <c r="AN4935">
        <v>1.0000000219808001</v>
      </c>
    </row>
    <row r="4936" spans="1:40" x14ac:dyDescent="0.25">
      <c r="A4936" t="str">
        <f>"20190304164509913"</f>
        <v>20190304164509913</v>
      </c>
      <c r="B4936" t="str">
        <f>"1551689109904661"</f>
        <v>1551689109904661</v>
      </c>
      <c r="C4936" t="s">
        <v>40</v>
      </c>
      <c r="D4936">
        <v>5.3433210000000004</v>
      </c>
      <c r="E4936">
        <v>0.45978989999999997</v>
      </c>
      <c r="F4936" t="s">
        <v>42</v>
      </c>
      <c r="G4936">
        <v>-358.93360000000001</v>
      </c>
      <c r="H4936" s="1">
        <v>-7.5881789999999997E-7</v>
      </c>
      <c r="I4936">
        <v>20.815159999999999</v>
      </c>
      <c r="J4936">
        <v>-369.6635</v>
      </c>
      <c r="K4936">
        <v>1.1133879999999901</v>
      </c>
      <c r="L4936">
        <v>18.192080000000001</v>
      </c>
      <c r="M4936">
        <v>0.99869490000000005</v>
      </c>
      <c r="N4936">
        <v>-1.368538E-2</v>
      </c>
      <c r="O4936">
        <v>-4.9207460000000001E-2</v>
      </c>
      <c r="P4936">
        <v>0.91591990000000001</v>
      </c>
      <c r="Q4936">
        <v>0.3879418</v>
      </c>
      <c r="R4936">
        <v>0.10291790000000001</v>
      </c>
      <c r="S4936">
        <v>3.3281860000000001</v>
      </c>
      <c r="T4936">
        <v>-0.33832109999999999</v>
      </c>
      <c r="U4936">
        <v>0.79388429999999999</v>
      </c>
      <c r="V4936">
        <v>-0.1505765</v>
      </c>
      <c r="W4936">
        <v>0.3993449</v>
      </c>
      <c r="X4936">
        <v>0.90435080000000001</v>
      </c>
      <c r="Y4936">
        <v>-0.2778813</v>
      </c>
      <c r="Z4936">
        <v>2.0091600000000001E-2</v>
      </c>
      <c r="AA4936">
        <v>0.96040530000000002</v>
      </c>
      <c r="AB4936">
        <v>39</v>
      </c>
      <c r="AC4936">
        <v>10.729899999999899</v>
      </c>
      <c r="AD4936">
        <v>-1.1133887588178999</v>
      </c>
      <c r="AE4936">
        <v>2.6230799999999999</v>
      </c>
      <c r="AF4936">
        <v>-3.1162808768247001</v>
      </c>
      <c r="AG4936">
        <v>-1.1133887588178999</v>
      </c>
      <c r="AH4936">
        <v>10.4813217564386</v>
      </c>
      <c r="AI4936">
        <v>95.813871788075403</v>
      </c>
      <c r="AJ4936">
        <v>106.55813738730799</v>
      </c>
      <c r="AK4936">
        <v>10.991312332634299</v>
      </c>
      <c r="AL4936">
        <v>66.462768610591496</v>
      </c>
      <c r="AM4936">
        <v>99.453159702050201</v>
      </c>
      <c r="AN4936">
        <v>1.00000000048445</v>
      </c>
    </row>
    <row r="4937" spans="1:40" x14ac:dyDescent="0.25">
      <c r="A4937" t="str">
        <f>"20190304164509927"</f>
        <v>20190304164509927</v>
      </c>
      <c r="B4937" t="str">
        <f>"1551689109915398"</f>
        <v>1551689109915398</v>
      </c>
      <c r="C4937" t="s">
        <v>40</v>
      </c>
      <c r="D4937">
        <v>5.2994070000000004</v>
      </c>
      <c r="E4937">
        <v>0.45978989999999997</v>
      </c>
      <c r="F4937" t="s">
        <v>42</v>
      </c>
      <c r="G4937">
        <v>-358.65230000000003</v>
      </c>
      <c r="H4937" s="1">
        <v>-8.7940619999999899E-7</v>
      </c>
      <c r="I4937">
        <v>20.814789999999999</v>
      </c>
      <c r="J4937">
        <v>-369.44589999999999</v>
      </c>
      <c r="K4937">
        <v>1.1132850000000001</v>
      </c>
      <c r="L4937">
        <v>18.182400000000001</v>
      </c>
      <c r="M4937">
        <v>0.99875000000000003</v>
      </c>
      <c r="N4937">
        <v>-1.372292E-2</v>
      </c>
      <c r="O4937">
        <v>-4.8064379999999997E-2</v>
      </c>
      <c r="P4937">
        <v>0.91570289999999999</v>
      </c>
      <c r="Q4937">
        <v>0.38862279999999999</v>
      </c>
      <c r="R4937">
        <v>0.1022788</v>
      </c>
      <c r="S4937">
        <v>3.3288269999999902</v>
      </c>
      <c r="T4937">
        <v>-0.33659159999999999</v>
      </c>
      <c r="U4937">
        <v>0.79290769999999899</v>
      </c>
      <c r="V4937">
        <v>-0.1487802</v>
      </c>
      <c r="W4937">
        <v>0.40011200000000002</v>
      </c>
      <c r="X4937">
        <v>0.90430900000000003</v>
      </c>
      <c r="Y4937">
        <v>-0.27650269999999999</v>
      </c>
      <c r="Z4937">
        <v>1.9819590000000002E-2</v>
      </c>
      <c r="AA4937">
        <v>0.96080880000000002</v>
      </c>
      <c r="AB4937">
        <v>39</v>
      </c>
      <c r="AC4937">
        <v>10.7935999999999</v>
      </c>
      <c r="AD4937">
        <v>-1.1132858794061999</v>
      </c>
      <c r="AE4937">
        <v>2.6323899999999898</v>
      </c>
      <c r="AF4937">
        <v>-3.1168860848253299</v>
      </c>
      <c r="AG4937">
        <v>-1.1132858794061999</v>
      </c>
      <c r="AH4937">
        <v>10.548664854824301</v>
      </c>
      <c r="AI4937">
        <v>95.779355591414102</v>
      </c>
      <c r="AJ4937">
        <v>106.46118927035999</v>
      </c>
      <c r="AK4937">
        <v>11.055709589821401</v>
      </c>
      <c r="AL4937">
        <v>66.414818773848907</v>
      </c>
      <c r="AM4937">
        <v>99.342812501211498</v>
      </c>
      <c r="AN4937">
        <v>0.99999996396851898</v>
      </c>
    </row>
    <row r="4938" spans="1:40" x14ac:dyDescent="0.25">
      <c r="A4938" t="str">
        <f>"20190304164509940"</f>
        <v>20190304164509940</v>
      </c>
      <c r="B4938" t="str">
        <f>"1551689109934917"</f>
        <v>1551689109934917</v>
      </c>
      <c r="C4938" t="s">
        <v>40</v>
      </c>
      <c r="D4938">
        <v>5.6592859999999998</v>
      </c>
      <c r="E4938">
        <v>0.47891679999999998</v>
      </c>
      <c r="F4938" t="s">
        <v>42</v>
      </c>
      <c r="G4938">
        <v>-358.33960000000002</v>
      </c>
      <c r="H4938" s="1">
        <v>-1.016211E-6</v>
      </c>
      <c r="I4938">
        <v>20.824919999999999</v>
      </c>
      <c r="J4938">
        <v>-369.21230000000003</v>
      </c>
      <c r="K4938">
        <v>1.1131759999999999</v>
      </c>
      <c r="L4938">
        <v>18.172239999999999</v>
      </c>
      <c r="M4938">
        <v>0.99880559999999996</v>
      </c>
      <c r="N4938">
        <v>-1.3760919999999999E-2</v>
      </c>
      <c r="O4938">
        <v>-4.6881369999999999E-2</v>
      </c>
      <c r="P4938">
        <v>0.9156166</v>
      </c>
      <c r="Q4938">
        <v>0.38891769999999998</v>
      </c>
      <c r="R4938">
        <v>0.10192619999999999</v>
      </c>
      <c r="S4938">
        <v>3.3293460000000001</v>
      </c>
      <c r="T4938">
        <v>-0.333731099999999</v>
      </c>
      <c r="U4938">
        <v>0.79217530000000003</v>
      </c>
      <c r="V4938">
        <v>-0.1472301</v>
      </c>
      <c r="W4938">
        <v>0.40049570000000001</v>
      </c>
      <c r="X4938">
        <v>0.90439290000000006</v>
      </c>
      <c r="Y4938">
        <v>-0.27517009999999997</v>
      </c>
      <c r="Z4938">
        <v>1.9487899999999999E-2</v>
      </c>
      <c r="AA4938">
        <v>0.961198</v>
      </c>
      <c r="AB4938">
        <v>39</v>
      </c>
      <c r="AC4938">
        <v>10.8727</v>
      </c>
      <c r="AD4938">
        <v>-1.113177016211</v>
      </c>
      <c r="AE4938">
        <v>2.6526800000000001</v>
      </c>
      <c r="AF4938">
        <v>-3.1285859601463701</v>
      </c>
      <c r="AG4938">
        <v>-1.113177016211</v>
      </c>
      <c r="AH4938">
        <v>10.6311918132273</v>
      </c>
      <c r="AI4938">
        <v>95.736079310510405</v>
      </c>
      <c r="AJ4938">
        <v>106.39829408828101</v>
      </c>
      <c r="AK4938">
        <v>11.137748989319</v>
      </c>
      <c r="AL4938">
        <v>66.390829586432901</v>
      </c>
      <c r="AM4938">
        <v>99.246319426286504</v>
      </c>
      <c r="AN4938">
        <v>1.00000001281745</v>
      </c>
    </row>
    <row r="4939" spans="1:40" x14ac:dyDescent="0.25">
      <c r="A4939" t="str">
        <f>"20190304164509956"</f>
        <v>20190304164509956</v>
      </c>
      <c r="B4939" t="str">
        <f>"1551689109944678"</f>
        <v>1551689109944678</v>
      </c>
      <c r="C4939" t="s">
        <v>40</v>
      </c>
      <c r="D4939">
        <v>5.5879649999999996</v>
      </c>
      <c r="E4939">
        <v>0.53081829999999997</v>
      </c>
      <c r="F4939" t="s">
        <v>42</v>
      </c>
      <c r="G4939">
        <v>-352.56299999999999</v>
      </c>
      <c r="H4939" s="1">
        <v>-3.6306110000000001E-6</v>
      </c>
      <c r="I4939">
        <v>21.337070000000001</v>
      </c>
      <c r="J4939">
        <v>-368.93270000000001</v>
      </c>
      <c r="K4939">
        <v>1.1130500000000001</v>
      </c>
      <c r="L4939">
        <v>18.16028</v>
      </c>
      <c r="M4939">
        <v>0.9988669</v>
      </c>
      <c r="N4939">
        <v>-1.3802139999999999E-2</v>
      </c>
      <c r="O4939">
        <v>-4.5544139999999997E-2</v>
      </c>
      <c r="P4939">
        <v>0.91560770000000002</v>
      </c>
      <c r="Q4939">
        <v>0.38947660000000001</v>
      </c>
      <c r="R4939">
        <v>9.9851830000000003E-2</v>
      </c>
      <c r="S4939">
        <v>3.3003849999999999</v>
      </c>
      <c r="T4939">
        <v>-0.22066530000000001</v>
      </c>
      <c r="U4939">
        <v>0.62738039999999995</v>
      </c>
      <c r="V4939">
        <v>-0.14380370000000001</v>
      </c>
      <c r="W4939">
        <v>0.40116619999999997</v>
      </c>
      <c r="X4939">
        <v>0.90464699999999998</v>
      </c>
      <c r="Y4939">
        <v>-0.23063649999999999</v>
      </c>
      <c r="Z4939">
        <v>1.163669E-2</v>
      </c>
      <c r="AA4939">
        <v>0.97297040000000001</v>
      </c>
      <c r="AB4939">
        <v>39</v>
      </c>
      <c r="AC4939">
        <v>16.369699999999899</v>
      </c>
      <c r="AD4939">
        <v>-1.1130536306109999</v>
      </c>
      <c r="AE4939">
        <v>3.17679</v>
      </c>
      <c r="AF4939">
        <v>-3.9017238125476599</v>
      </c>
      <c r="AG4939">
        <v>-1.1130536306109999</v>
      </c>
      <c r="AH4939">
        <v>16.136118152659101</v>
      </c>
      <c r="AI4939">
        <v>93.835759675280102</v>
      </c>
      <c r="AJ4939">
        <v>103.593243913728</v>
      </c>
      <c r="AK4939">
        <v>16.6384087619758</v>
      </c>
      <c r="AL4939">
        <v>66.348896699245799</v>
      </c>
      <c r="AM4939">
        <v>99.0322298378927</v>
      </c>
      <c r="AN4939">
        <v>1.0000000093825601</v>
      </c>
    </row>
    <row r="4940" spans="1:40" x14ac:dyDescent="0.25">
      <c r="A4940" t="str">
        <f>"20190304164509969"</f>
        <v>20190304164509969</v>
      </c>
      <c r="B4940" t="str">
        <f>"1551689109965174"</f>
        <v>1551689109965174</v>
      </c>
      <c r="C4940" t="s">
        <v>40</v>
      </c>
      <c r="D4940">
        <v>5.3934049999999996</v>
      </c>
      <c r="E4940">
        <v>0.54273549999999904</v>
      </c>
      <c r="F4940" t="s">
        <v>42</v>
      </c>
      <c r="G4940">
        <v>-357.60199999999998</v>
      </c>
      <c r="H4940" s="1">
        <v>-1.1378989999999999E-6</v>
      </c>
      <c r="I4940">
        <v>18.901039999999998</v>
      </c>
      <c r="J4940">
        <v>-368.70710000000003</v>
      </c>
      <c r="K4940">
        <v>1.1129450000000001</v>
      </c>
      <c r="L4940">
        <v>18.150939999999999</v>
      </c>
      <c r="M4940">
        <v>0.99891200000000002</v>
      </c>
      <c r="N4940">
        <v>-1.3831400000000001E-2</v>
      </c>
      <c r="O4940">
        <v>-4.4537670000000001E-2</v>
      </c>
      <c r="P4940">
        <v>0.91562330000000003</v>
      </c>
      <c r="Q4940">
        <v>0.38954620000000001</v>
      </c>
      <c r="R4940">
        <v>9.9436670000000005E-2</v>
      </c>
      <c r="S4940">
        <v>3.3941349999999999</v>
      </c>
      <c r="T4940">
        <v>-0.33341720000000002</v>
      </c>
      <c r="U4940">
        <v>0.2219238</v>
      </c>
      <c r="V4940">
        <v>-0.14236460000000001</v>
      </c>
      <c r="W4940">
        <v>0.40131080000000002</v>
      </c>
      <c r="X4940">
        <v>0.90481049999999996</v>
      </c>
      <c r="Y4940">
        <v>-0.1088736</v>
      </c>
      <c r="Z4940">
        <v>9.8312569999999995E-3</v>
      </c>
      <c r="AA4940">
        <v>0.99400699999999997</v>
      </c>
      <c r="AB4940">
        <v>39</v>
      </c>
      <c r="AC4940">
        <v>11.1051</v>
      </c>
      <c r="AD4940">
        <v>-1.112946137899</v>
      </c>
      <c r="AE4940">
        <v>0.75009999999999899</v>
      </c>
      <c r="AF4940">
        <v>-1.2316833625775701</v>
      </c>
      <c r="AG4940">
        <v>-1.112946137899</v>
      </c>
      <c r="AH4940">
        <v>10.9511742706487</v>
      </c>
      <c r="AI4940">
        <v>95.766821190394495</v>
      </c>
      <c r="AJ4940">
        <v>96.417114093876094</v>
      </c>
      <c r="AK4940">
        <v>11.076276942981901</v>
      </c>
      <c r="AL4940">
        <v>66.339852461070706</v>
      </c>
      <c r="AM4940">
        <v>98.941719047717996</v>
      </c>
      <c r="AN4940">
        <v>1.0000000392200199</v>
      </c>
    </row>
    <row r="4941" spans="1:40" x14ac:dyDescent="0.25">
      <c r="A4941" t="str">
        <f>"20190304164509982"</f>
        <v>20190304164509982</v>
      </c>
      <c r="B4941" t="str">
        <f>"1551689109974935"</f>
        <v>1551689109974935</v>
      </c>
      <c r="C4941" t="s">
        <v>40</v>
      </c>
      <c r="D4941">
        <v>5.3390209999999998</v>
      </c>
      <c r="E4941">
        <v>0.54581550000000001</v>
      </c>
      <c r="F4941" t="s">
        <v>42</v>
      </c>
      <c r="G4941">
        <v>-359.06799999999998</v>
      </c>
      <c r="H4941" s="1">
        <v>-5.9366729999999999E-7</v>
      </c>
      <c r="I4941">
        <v>18.524629999999998</v>
      </c>
      <c r="J4941">
        <v>-368.48270000000002</v>
      </c>
      <c r="K4941">
        <v>1.1128389999999999</v>
      </c>
      <c r="L4941">
        <v>18.141819999999999</v>
      </c>
      <c r="M4941">
        <v>0.99895369999999994</v>
      </c>
      <c r="N4941">
        <v>-1.3857960000000001E-2</v>
      </c>
      <c r="O4941">
        <v>-4.3584959999999999E-2</v>
      </c>
      <c r="P4941">
        <v>0.91565350000000001</v>
      </c>
      <c r="Q4941">
        <v>0.38952740000000002</v>
      </c>
      <c r="R4941">
        <v>9.9233840000000004E-2</v>
      </c>
      <c r="S4941">
        <v>3.4305110000000001</v>
      </c>
      <c r="T4941">
        <v>-0.39609179999999999</v>
      </c>
      <c r="U4941">
        <v>0.13302610000000001</v>
      </c>
      <c r="V4941">
        <v>-0.1411906</v>
      </c>
      <c r="W4941">
        <v>0.40136100000000002</v>
      </c>
      <c r="X4941">
        <v>0.90497209999999995</v>
      </c>
      <c r="Y4941">
        <v>-8.1438150000000001E-2</v>
      </c>
      <c r="Z4941">
        <v>9.6624439999999992E-3</v>
      </c>
      <c r="AA4941">
        <v>0.99663159999999895</v>
      </c>
      <c r="AB4941">
        <v>39</v>
      </c>
      <c r="AC4941">
        <v>9.4146999999999803</v>
      </c>
      <c r="AD4941">
        <v>-1.1128395936672999</v>
      </c>
      <c r="AE4941">
        <v>0.38280999999999499</v>
      </c>
      <c r="AF4941">
        <v>-0.78191808083284797</v>
      </c>
      <c r="AG4941">
        <v>-1.1128395936672999</v>
      </c>
      <c r="AH4941">
        <v>9.2599014746483395</v>
      </c>
      <c r="AI4941">
        <v>96.828774544244993</v>
      </c>
      <c r="AJ4941">
        <v>94.826679662556899</v>
      </c>
      <c r="AK4941">
        <v>9.3592512075786001</v>
      </c>
      <c r="AL4941">
        <v>66.336710473001105</v>
      </c>
      <c r="AM4941">
        <v>98.867600220428699</v>
      </c>
      <c r="AN4941">
        <v>0.99999996981388395</v>
      </c>
    </row>
    <row r="4942" spans="1:40" x14ac:dyDescent="0.25">
      <c r="A4942" t="str">
        <f>"20190304164510003"</f>
        <v>20190304164510003</v>
      </c>
      <c r="B4942" t="str">
        <f>"1551689109995429"</f>
        <v>1551689109995429</v>
      </c>
      <c r="C4942" t="s">
        <v>40</v>
      </c>
      <c r="D4942">
        <v>5.3483409999999996</v>
      </c>
      <c r="E4942">
        <v>0.54859099999999905</v>
      </c>
      <c r="F4942" t="s">
        <v>42</v>
      </c>
      <c r="G4942">
        <v>-359.07810000000001</v>
      </c>
      <c r="H4942" s="1">
        <v>-6.1287199999999996E-7</v>
      </c>
      <c r="I4942">
        <v>18.439540000000001</v>
      </c>
      <c r="J4942">
        <v>-368.13470000000001</v>
      </c>
      <c r="K4942">
        <v>1.1126830000000001</v>
      </c>
      <c r="L4942">
        <v>18.12799</v>
      </c>
      <c r="M4942">
        <v>0.99901249999999997</v>
      </c>
      <c r="N4942">
        <v>-1.389465E-2</v>
      </c>
      <c r="O4942">
        <v>-4.2201519999999999E-2</v>
      </c>
      <c r="P4942">
        <v>0.91567430000000005</v>
      </c>
      <c r="Q4942">
        <v>0.38963170000000003</v>
      </c>
      <c r="R4942">
        <v>9.8631029999999995E-2</v>
      </c>
      <c r="S4942">
        <v>3.437592</v>
      </c>
      <c r="T4942">
        <v>-0.40676810000000002</v>
      </c>
      <c r="U4942">
        <v>0.1088562</v>
      </c>
      <c r="V4942">
        <v>-0.1391703</v>
      </c>
      <c r="W4942">
        <v>0.40156710000000001</v>
      </c>
      <c r="X4942">
        <v>0.90519360000000004</v>
      </c>
      <c r="Y4942">
        <v>-7.3008509999999999E-2</v>
      </c>
      <c r="Z4942">
        <v>9.2030879999999999E-3</v>
      </c>
      <c r="AA4942">
        <v>0.99728890000000003</v>
      </c>
      <c r="AB4942">
        <v>39</v>
      </c>
      <c r="AC4942">
        <v>9.0565999999999995</v>
      </c>
      <c r="AD4942">
        <v>-1.1126836128719999</v>
      </c>
      <c r="AE4942">
        <v>0.31154999999999999</v>
      </c>
      <c r="AF4942">
        <v>-0.68321117126995001</v>
      </c>
      <c r="AG4942">
        <v>-1.1126836128719999</v>
      </c>
      <c r="AH4942">
        <v>8.9011826128231402</v>
      </c>
      <c r="AI4942">
        <v>97.1045606530502</v>
      </c>
      <c r="AJ4942">
        <v>94.389137539468607</v>
      </c>
      <c r="AK4942">
        <v>8.9964378636061895</v>
      </c>
      <c r="AL4942">
        <v>66.323817436652902</v>
      </c>
      <c r="AM4942">
        <v>98.740581494357599</v>
      </c>
      <c r="AN4942">
        <v>0.99999998084272901</v>
      </c>
    </row>
    <row r="4943" spans="1:40" x14ac:dyDescent="0.25">
      <c r="A4943" t="str">
        <f>"20190304164510025"</f>
        <v>20190304164510025</v>
      </c>
      <c r="B4943" t="str">
        <f>"1551689110014949"</f>
        <v>1551689110014949</v>
      </c>
      <c r="C4943" t="s">
        <v>40</v>
      </c>
      <c r="D4943">
        <v>5.2976470000000004</v>
      </c>
      <c r="E4943">
        <v>0.54987359999999996</v>
      </c>
      <c r="F4943" t="s">
        <v>41</v>
      </c>
      <c r="G4943">
        <v>-367.22269999999997</v>
      </c>
      <c r="H4943">
        <v>1.001973</v>
      </c>
      <c r="I4943">
        <v>18.150300000000001</v>
      </c>
      <c r="J4943">
        <v>-367.74169999999998</v>
      </c>
      <c r="K4943">
        <v>1.1125179999999999</v>
      </c>
      <c r="L4943">
        <v>18.112819999999999</v>
      </c>
      <c r="M4943">
        <v>0.99907060000000003</v>
      </c>
      <c r="N4943">
        <v>-1.3929810000000001E-2</v>
      </c>
      <c r="O4943">
        <v>-4.078822E-2</v>
      </c>
      <c r="P4943">
        <v>0.9155818</v>
      </c>
      <c r="Q4943">
        <v>0.3900708</v>
      </c>
      <c r="R4943">
        <v>9.7748080000000001E-2</v>
      </c>
      <c r="S4943">
        <v>3.4450989999999999</v>
      </c>
      <c r="T4943">
        <v>-0.41825319999999999</v>
      </c>
      <c r="U4943">
        <v>8.4655759999999997E-2</v>
      </c>
      <c r="V4943">
        <v>-0.13682069999999999</v>
      </c>
      <c r="W4943">
        <v>0.40211069999999999</v>
      </c>
      <c r="X4943">
        <v>0.90531050000000002</v>
      </c>
      <c r="Y4943">
        <v>-6.4561640000000003E-2</v>
      </c>
      <c r="Z4943">
        <v>8.7220500000000003E-3</v>
      </c>
      <c r="AA4943">
        <v>0.99787559999999997</v>
      </c>
      <c r="AB4943">
        <v>39</v>
      </c>
      <c r="AC4943">
        <v>0.51900000000000501</v>
      </c>
      <c r="AD4943">
        <v>-0.110545</v>
      </c>
      <c r="AE4943">
        <v>3.7479999999998598E-2</v>
      </c>
      <c r="AF4943">
        <v>-5.6088558006152499E-2</v>
      </c>
      <c r="AG4943">
        <v>-0.110545</v>
      </c>
      <c r="AH4943">
        <v>0.49471179317814001</v>
      </c>
      <c r="AI4943">
        <v>102.51836010236001</v>
      </c>
      <c r="AJ4943">
        <v>96.468358711861299</v>
      </c>
      <c r="AK4943">
        <v>0.51000576631420502</v>
      </c>
      <c r="AL4943">
        <v>66.289805251931298</v>
      </c>
      <c r="AM4943">
        <v>98.594144186772397</v>
      </c>
      <c r="AN4943">
        <v>1.00000001020661</v>
      </c>
    </row>
    <row r="4944" spans="1:40" x14ac:dyDescent="0.25">
      <c r="A4944" t="str">
        <f>"20190304164510045"</f>
        <v>20190304164510045</v>
      </c>
      <c r="B4944" t="str">
        <f>"1551689110035445"</f>
        <v>1551689110035445</v>
      </c>
      <c r="C4944" t="s">
        <v>40</v>
      </c>
      <c r="D4944">
        <v>5.302918</v>
      </c>
      <c r="E4944">
        <v>0.55063409999999902</v>
      </c>
      <c r="F4944" t="s">
        <v>41</v>
      </c>
      <c r="G4944">
        <v>-366.87810000000002</v>
      </c>
      <c r="H4944">
        <v>1.006359</v>
      </c>
      <c r="I4944">
        <v>18.130009999999999</v>
      </c>
      <c r="J4944">
        <v>-367.40359999999998</v>
      </c>
      <c r="K4944">
        <v>1.1123769999999999</v>
      </c>
      <c r="L4944">
        <v>18.100159999999999</v>
      </c>
      <c r="M4944">
        <v>0.99911430000000001</v>
      </c>
      <c r="N4944">
        <v>-1.3955469999999999E-2</v>
      </c>
      <c r="O4944">
        <v>-3.970108E-2</v>
      </c>
      <c r="P4944">
        <v>0.91564820000000002</v>
      </c>
      <c r="Q4944">
        <v>0.39021359999999999</v>
      </c>
      <c r="R4944">
        <v>9.6551209999999998E-2</v>
      </c>
      <c r="S4944">
        <v>3.4498289999999998</v>
      </c>
      <c r="T4944">
        <v>-0.42417539999999998</v>
      </c>
      <c r="U4944">
        <v>7.03125E-2</v>
      </c>
      <c r="V4944">
        <v>-0.13448460000000001</v>
      </c>
      <c r="W4944">
        <v>0.40234180000000003</v>
      </c>
      <c r="X4944">
        <v>0.90555790000000003</v>
      </c>
      <c r="Y4944">
        <v>-5.9325299999999997E-2</v>
      </c>
      <c r="Z4944">
        <v>8.3588320000000001E-3</v>
      </c>
      <c r="AA4944">
        <v>0.99820370000000003</v>
      </c>
      <c r="AB4944">
        <v>39</v>
      </c>
      <c r="AC4944">
        <v>0.525499999999965</v>
      </c>
      <c r="AD4944">
        <v>-0.106017999999999</v>
      </c>
      <c r="AE4944">
        <v>2.98500000000032E-2</v>
      </c>
      <c r="AF4944">
        <v>-4.8714996159626801E-2</v>
      </c>
      <c r="AG4944">
        <v>-0.106017999999999</v>
      </c>
      <c r="AH4944">
        <v>0.50347402447550504</v>
      </c>
      <c r="AI4944">
        <v>101.837503168711</v>
      </c>
      <c r="AJ4944">
        <v>95.526604757888506</v>
      </c>
      <c r="AK4944">
        <v>0.51681627344385594</v>
      </c>
      <c r="AL4944">
        <v>66.275344223880893</v>
      </c>
      <c r="AM4944">
        <v>98.447267427195001</v>
      </c>
      <c r="AN4944">
        <v>1.0000000709584</v>
      </c>
    </row>
    <row r="4945" spans="1:40" x14ac:dyDescent="0.25">
      <c r="A4945" t="str">
        <f>"20190304164510058"</f>
        <v>20190304164510058</v>
      </c>
      <c r="B4945" t="str">
        <f>"1551689110054965"</f>
        <v>1551689110054965</v>
      </c>
      <c r="C4945" t="s">
        <v>40</v>
      </c>
      <c r="D4945">
        <v>5.3132109999999999</v>
      </c>
      <c r="E4945">
        <v>0.55110439999999905</v>
      </c>
      <c r="F4945" t="s">
        <v>41</v>
      </c>
      <c r="G4945">
        <v>-366.5369</v>
      </c>
      <c r="H4945">
        <v>1.0047299999999999</v>
      </c>
      <c r="I4945">
        <v>18.115010000000002</v>
      </c>
      <c r="J4945">
        <v>-367.16919999999999</v>
      </c>
      <c r="K4945">
        <v>1.1122749999999999</v>
      </c>
      <c r="L4945">
        <v>18.091460000000001</v>
      </c>
      <c r="M4945">
        <v>0.99914080000000005</v>
      </c>
      <c r="N4945">
        <v>-1.397117E-2</v>
      </c>
      <c r="O4945">
        <v>-3.9018490000000003E-2</v>
      </c>
      <c r="P4945">
        <v>0.91569290000000003</v>
      </c>
      <c r="Q4945">
        <v>0.39022790000000002</v>
      </c>
      <c r="R4945">
        <v>9.6066970000000002E-2</v>
      </c>
      <c r="S4945">
        <v>3.45282</v>
      </c>
      <c r="T4945">
        <v>-0.42882809999999999</v>
      </c>
      <c r="U4945">
        <v>5.9906010000000003E-2</v>
      </c>
      <c r="V4945">
        <v>-0.13327169999999999</v>
      </c>
      <c r="W4945">
        <v>0.40241290000000002</v>
      </c>
      <c r="X4945">
        <v>0.90570550000000005</v>
      </c>
      <c r="Y4945">
        <v>-5.563866E-2</v>
      </c>
      <c r="Z4945">
        <v>8.1151709999999991E-3</v>
      </c>
      <c r="AA4945">
        <v>0.99841800000000003</v>
      </c>
      <c r="AB4945">
        <v>39</v>
      </c>
      <c r="AC4945">
        <v>0.63229999999998598</v>
      </c>
      <c r="AD4945">
        <v>-0.107545</v>
      </c>
      <c r="AE4945">
        <v>2.3550000000000099E-2</v>
      </c>
      <c r="AF4945">
        <v>-4.6852346629866697E-2</v>
      </c>
      <c r="AG4945">
        <v>-0.107545</v>
      </c>
      <c r="AH4945">
        <v>0.61318514031315896</v>
      </c>
      <c r="AI4945">
        <v>99.919448668910604</v>
      </c>
      <c r="AJ4945">
        <v>94.369375024527002</v>
      </c>
      <c r="AK4945">
        <v>0.62430528246250905</v>
      </c>
      <c r="AL4945">
        <v>66.270891832937195</v>
      </c>
      <c r="AM4945">
        <v>98.370822139462803</v>
      </c>
      <c r="AN4945">
        <v>0.99999997041877398</v>
      </c>
    </row>
    <row r="4946" spans="1:40" x14ac:dyDescent="0.25">
      <c r="A4946" t="str">
        <f>"20190304164510071"</f>
        <v>20190304164510071</v>
      </c>
      <c r="B4946" t="str">
        <f>"1551689110064725"</f>
        <v>1551689110064725</v>
      </c>
      <c r="C4946" t="s">
        <v>40</v>
      </c>
      <c r="D4946">
        <v>5.2894920000000001</v>
      </c>
      <c r="E4946">
        <v>0.55129810000000001</v>
      </c>
      <c r="F4946" t="s">
        <v>41</v>
      </c>
      <c r="G4946">
        <v>-366.20100000000002</v>
      </c>
      <c r="H4946">
        <v>0.99076180000000003</v>
      </c>
      <c r="I4946">
        <v>18.106570000000001</v>
      </c>
      <c r="J4946">
        <v>-366.95030000000003</v>
      </c>
      <c r="K4946">
        <v>1.1121749999999999</v>
      </c>
      <c r="L4946">
        <v>18.083469999999998</v>
      </c>
      <c r="M4946">
        <v>0.99916309999999997</v>
      </c>
      <c r="N4946">
        <v>-1.3984379999999999E-2</v>
      </c>
      <c r="O4946">
        <v>-3.8439099999999997E-2</v>
      </c>
      <c r="P4946">
        <v>0.9157208</v>
      </c>
      <c r="Q4946">
        <v>0.39034920000000001</v>
      </c>
      <c r="R4946">
        <v>9.5304440000000004E-2</v>
      </c>
      <c r="S4946">
        <v>3.4552</v>
      </c>
      <c r="T4946">
        <v>-0.43368839999999997</v>
      </c>
      <c r="U4946">
        <v>5.5328370000000002E-2</v>
      </c>
      <c r="V4946">
        <v>-0.13187860000000001</v>
      </c>
      <c r="W4946">
        <v>0.40258699999999997</v>
      </c>
      <c r="X4946">
        <v>0.90583210000000003</v>
      </c>
      <c r="Y4946">
        <v>-5.3730199999999999E-2</v>
      </c>
      <c r="Z4946">
        <v>8.0053880000000004E-3</v>
      </c>
      <c r="AA4946">
        <v>0.99852339999999995</v>
      </c>
      <c r="AB4946">
        <v>38</v>
      </c>
      <c r="AC4946">
        <v>0.74930000000006203</v>
      </c>
      <c r="AD4946">
        <v>-0.121413199999999</v>
      </c>
      <c r="AE4946">
        <v>2.3099999999999399E-2</v>
      </c>
      <c r="AF4946">
        <v>-5.0561891077842598E-2</v>
      </c>
      <c r="AG4946">
        <v>-0.121413199999999</v>
      </c>
      <c r="AH4946">
        <v>0.72874274742055201</v>
      </c>
      <c r="AI4946">
        <v>99.436685114874507</v>
      </c>
      <c r="AJ4946">
        <v>93.968955776503194</v>
      </c>
      <c r="AK4946">
        <v>0.74051580798904104</v>
      </c>
      <c r="AL4946">
        <v>66.259996370966306</v>
      </c>
      <c r="AM4946">
        <v>98.283400230712999</v>
      </c>
      <c r="AN4946">
        <v>1.0000000255486801</v>
      </c>
    </row>
    <row r="4947" spans="1:40" x14ac:dyDescent="0.25">
      <c r="A4947" t="str">
        <f>"20190304164510083"</f>
        <v>20190304164510083</v>
      </c>
      <c r="B4947" t="str">
        <f>"1551689110075461"</f>
        <v>1551689110075461</v>
      </c>
      <c r="C4947" t="s">
        <v>40</v>
      </c>
      <c r="D4947">
        <v>5.2981800000000003</v>
      </c>
      <c r="E4947">
        <v>0.55142009999999997</v>
      </c>
      <c r="F4947" t="s">
        <v>41</v>
      </c>
      <c r="G4947">
        <v>-366.18729999999999</v>
      </c>
      <c r="H4947">
        <v>1.0163340000000001</v>
      </c>
      <c r="I4947">
        <v>18.094259999999998</v>
      </c>
      <c r="J4947">
        <v>-366.74189999999999</v>
      </c>
      <c r="K4947">
        <v>1.1120730000000001</v>
      </c>
      <c r="L4947">
        <v>18.07593</v>
      </c>
      <c r="M4947">
        <v>0.99918130000000005</v>
      </c>
      <c r="N4947">
        <v>-1.3995479999999999E-2</v>
      </c>
      <c r="O4947">
        <v>-3.7962719999999998E-2</v>
      </c>
      <c r="P4947">
        <v>0.91577260000000005</v>
      </c>
      <c r="Q4947">
        <v>0.39032729999999999</v>
      </c>
      <c r="R4947">
        <v>9.4896289999999994E-2</v>
      </c>
      <c r="S4947">
        <v>3.4558409999999999</v>
      </c>
      <c r="T4947">
        <v>-0.43409619999999999</v>
      </c>
      <c r="U4947">
        <v>5.0689699999999997E-2</v>
      </c>
      <c r="V4947">
        <v>-0.1309343</v>
      </c>
      <c r="W4947">
        <v>0.40261370000000002</v>
      </c>
      <c r="X4947">
        <v>0.90595720000000002</v>
      </c>
      <c r="Y4947">
        <v>-5.1928759999999997E-2</v>
      </c>
      <c r="Z4947">
        <v>7.8331359999999992E-3</v>
      </c>
      <c r="AA4947">
        <v>0.99862010000000001</v>
      </c>
      <c r="AB4947">
        <v>38</v>
      </c>
      <c r="AC4947">
        <v>0.55459999999999299</v>
      </c>
      <c r="AD4947">
        <v>-9.5738999999999796E-2</v>
      </c>
      <c r="AE4947">
        <v>1.83300000000024E-2</v>
      </c>
      <c r="AF4947">
        <v>-3.8234809146589298E-2</v>
      </c>
      <c r="AG4947">
        <v>-9.5738999999999796E-2</v>
      </c>
      <c r="AH4947">
        <v>0.53750400990241498</v>
      </c>
      <c r="AI4947">
        <v>100.07454531419501</v>
      </c>
      <c r="AJ4947">
        <v>94.068824286894994</v>
      </c>
      <c r="AK4947">
        <v>0.54730102997587304</v>
      </c>
      <c r="AL4947">
        <v>66.258324889299502</v>
      </c>
      <c r="AM4947">
        <v>98.223782129516493</v>
      </c>
      <c r="AN4947">
        <v>1.00000001528801</v>
      </c>
    </row>
    <row r="4948" spans="1:40" x14ac:dyDescent="0.25">
      <c r="A4948" t="str">
        <f>"20190304164510101"</f>
        <v>20190304164510101</v>
      </c>
      <c r="B4948" t="str">
        <f>"1551689110094981"</f>
        <v>1551689110094981</v>
      </c>
      <c r="C4948" t="s">
        <v>40</v>
      </c>
      <c r="D4948">
        <v>5.2950819999999998</v>
      </c>
      <c r="E4948">
        <v>0.55186190000000002</v>
      </c>
      <c r="F4948" t="s">
        <v>41</v>
      </c>
      <c r="G4948">
        <v>-365.85390000000001</v>
      </c>
      <c r="H4948">
        <v>1.0001230000000001</v>
      </c>
      <c r="I4948">
        <v>18.088360000000002</v>
      </c>
      <c r="J4948">
        <v>-366.43439999999998</v>
      </c>
      <c r="K4948">
        <v>1.111912</v>
      </c>
      <c r="L4948">
        <v>18.064910000000001</v>
      </c>
      <c r="M4948">
        <v>0.99920399999999998</v>
      </c>
      <c r="N4948">
        <v>-1.401027E-2</v>
      </c>
      <c r="O4948">
        <v>-3.735198E-2</v>
      </c>
      <c r="P4948">
        <v>0.91607620000000001</v>
      </c>
      <c r="Q4948">
        <v>0.38991730000000002</v>
      </c>
      <c r="R4948">
        <v>9.3642100000000006E-2</v>
      </c>
      <c r="S4948">
        <v>3.4566650000000001</v>
      </c>
      <c r="T4948">
        <v>-0.43578820000000001</v>
      </c>
      <c r="U4948">
        <v>4.8614499999999998E-2</v>
      </c>
      <c r="V4948">
        <v>-0.1289749</v>
      </c>
      <c r="W4948">
        <v>0.40228019999999998</v>
      </c>
      <c r="X4948">
        <v>0.90638629999999998</v>
      </c>
      <c r="Y4948">
        <v>-5.0724789999999999E-2</v>
      </c>
      <c r="Z4948">
        <v>7.7098389999999996E-3</v>
      </c>
      <c r="AA4948">
        <v>0.99868290000000004</v>
      </c>
      <c r="AB4948">
        <v>38</v>
      </c>
      <c r="AC4948">
        <v>0.58049999999997204</v>
      </c>
      <c r="AD4948">
        <v>-0.111789</v>
      </c>
      <c r="AE4948">
        <v>2.3450000000000401E-2</v>
      </c>
      <c r="AF4948">
        <v>-4.3507745413651398E-2</v>
      </c>
      <c r="AG4948">
        <v>-0.111789</v>
      </c>
      <c r="AH4948">
        <v>0.558539373144885</v>
      </c>
      <c r="AI4948">
        <v>101.28463097372401</v>
      </c>
      <c r="AJ4948">
        <v>94.454093466953594</v>
      </c>
      <c r="AK4948">
        <v>0.571275709080178</v>
      </c>
      <c r="AL4948">
        <v>66.279197720103895</v>
      </c>
      <c r="AM4948">
        <v>98.0985766102892</v>
      </c>
      <c r="AN4948">
        <v>1.00000000448487</v>
      </c>
    </row>
    <row r="4949" spans="1:40" x14ac:dyDescent="0.25">
      <c r="A4949" t="str">
        <f>"20190304164510114"</f>
        <v>20190304164510114</v>
      </c>
      <c r="B4949" t="str">
        <f>"1551689110104741"</f>
        <v>1551689110104741</v>
      </c>
      <c r="C4949" t="s">
        <v>40</v>
      </c>
      <c r="D4949">
        <v>5.294009</v>
      </c>
      <c r="E4949">
        <v>0.55202659999999903</v>
      </c>
      <c r="F4949" t="s">
        <v>41</v>
      </c>
      <c r="G4949">
        <v>-365.5129</v>
      </c>
      <c r="H4949">
        <v>0.99606850000000002</v>
      </c>
      <c r="I4949">
        <v>18.075279999999999</v>
      </c>
      <c r="J4949">
        <v>-366.20940000000002</v>
      </c>
      <c r="K4949">
        <v>1.111788</v>
      </c>
      <c r="L4949">
        <v>18.056850000000001</v>
      </c>
      <c r="M4949">
        <v>0.99921769999999999</v>
      </c>
      <c r="N4949">
        <v>-1.401996E-2</v>
      </c>
      <c r="O4949">
        <v>-3.6975719999999997E-2</v>
      </c>
      <c r="P4949">
        <v>0.91611410000000004</v>
      </c>
      <c r="Q4949">
        <v>0.38988499999999998</v>
      </c>
      <c r="R4949">
        <v>9.3405020000000005E-2</v>
      </c>
      <c r="S4949">
        <v>3.4556269999999998</v>
      </c>
      <c r="T4949">
        <v>-0.43442999999999998</v>
      </c>
      <c r="U4949">
        <v>3.9916989999999999E-2</v>
      </c>
      <c r="V4949">
        <v>-0.12827439999999901</v>
      </c>
      <c r="W4949">
        <v>0.40229809999999999</v>
      </c>
      <c r="X4949">
        <v>0.90647770000000005</v>
      </c>
      <c r="Y4949">
        <v>-4.7870719999999999E-2</v>
      </c>
      <c r="Z4949">
        <v>7.4471210000000001E-3</v>
      </c>
      <c r="AA4949">
        <v>0.99882579999999999</v>
      </c>
      <c r="AB4949">
        <v>38</v>
      </c>
      <c r="AC4949">
        <v>0.696500000000014</v>
      </c>
      <c r="AD4949">
        <v>-0.1157195</v>
      </c>
      <c r="AE4949">
        <v>1.84299999999986E-2</v>
      </c>
      <c r="AF4949">
        <v>-4.2987718204462802E-2</v>
      </c>
      <c r="AG4949">
        <v>-0.1157195</v>
      </c>
      <c r="AH4949">
        <v>0.67667623373689301</v>
      </c>
      <c r="AI4949">
        <v>99.685216385043901</v>
      </c>
      <c r="AJ4949">
        <v>93.634987177638493</v>
      </c>
      <c r="AK4949">
        <v>0.68784422066411399</v>
      </c>
      <c r="AL4949">
        <v>66.278076152503701</v>
      </c>
      <c r="AM4949">
        <v>98.054368205575898</v>
      </c>
      <c r="AN4949">
        <v>0.99999995177812895</v>
      </c>
    </row>
    <row r="4950" spans="1:40" x14ac:dyDescent="0.25">
      <c r="A4950" t="str">
        <f>"20190304164510126"</f>
        <v>20190304164510126</v>
      </c>
      <c r="B4950" t="str">
        <f>"1551689110115478"</f>
        <v>1551689110115478</v>
      </c>
      <c r="C4950" t="s">
        <v>40</v>
      </c>
      <c r="D4950">
        <v>5.2987129999999896</v>
      </c>
      <c r="E4950">
        <v>0.55217320000000003</v>
      </c>
      <c r="F4950" t="s">
        <v>41</v>
      </c>
      <c r="G4950">
        <v>-365.1764</v>
      </c>
      <c r="H4950">
        <v>0.982263</v>
      </c>
      <c r="I4950">
        <v>18.067969999999999</v>
      </c>
      <c r="J4950">
        <v>-366.00360000000001</v>
      </c>
      <c r="K4950">
        <v>1.11168</v>
      </c>
      <c r="L4950">
        <v>18.04956</v>
      </c>
      <c r="M4950">
        <v>0.99922699999999998</v>
      </c>
      <c r="N4950">
        <v>-1.4027619999999999E-2</v>
      </c>
      <c r="O4950">
        <v>-3.6723810000000003E-2</v>
      </c>
      <c r="P4950">
        <v>0.91618279999999996</v>
      </c>
      <c r="Q4950">
        <v>0.38984049999999998</v>
      </c>
      <c r="R4950">
        <v>9.2917449999999999E-2</v>
      </c>
      <c r="S4950">
        <v>3.4552610000000001</v>
      </c>
      <c r="T4950">
        <v>-0.43324639999999998</v>
      </c>
      <c r="U4950">
        <v>3.7506100000000001E-2</v>
      </c>
      <c r="V4950">
        <v>-0.1274469</v>
      </c>
      <c r="W4950">
        <v>0.4023003</v>
      </c>
      <c r="X4950">
        <v>0.90659350000000005</v>
      </c>
      <c r="Y4950">
        <v>-4.693642E-2</v>
      </c>
      <c r="Z4950">
        <v>7.3343459999999899E-3</v>
      </c>
      <c r="AA4950">
        <v>0.99887099999999995</v>
      </c>
      <c r="AB4950">
        <v>38</v>
      </c>
      <c r="AC4950">
        <v>0.82720000000000404</v>
      </c>
      <c r="AD4950">
        <v>-0.129417</v>
      </c>
      <c r="AE4950">
        <v>1.84100000000029E-2</v>
      </c>
      <c r="AF4950">
        <v>-4.7613632795669797E-2</v>
      </c>
      <c r="AG4950">
        <v>-0.129417</v>
      </c>
      <c r="AH4950">
        <v>0.80624100699136503</v>
      </c>
      <c r="AI4950">
        <v>99.103673709487097</v>
      </c>
      <c r="AJ4950">
        <v>93.379752824298706</v>
      </c>
      <c r="AK4950">
        <v>0.81794888548823796</v>
      </c>
      <c r="AL4950">
        <v>66.277939908597403</v>
      </c>
      <c r="AM4950">
        <v>98.002075699558304</v>
      </c>
      <c r="AN4950">
        <v>1.00000000897097</v>
      </c>
    </row>
    <row r="4951" spans="1:40" x14ac:dyDescent="0.25">
      <c r="A4951" t="str">
        <f>"20190304164510138"</f>
        <v>20190304164510138</v>
      </c>
      <c r="B4951" t="str">
        <f>"1551689110134998"</f>
        <v>1551689110134998</v>
      </c>
      <c r="C4951" t="s">
        <v>40</v>
      </c>
      <c r="D4951">
        <v>5.3037960000000002</v>
      </c>
      <c r="E4951">
        <v>0.55241249999999997</v>
      </c>
      <c r="F4951" t="s">
        <v>41</v>
      </c>
      <c r="G4951">
        <v>-365.1653</v>
      </c>
      <c r="H4951">
        <v>1.0067870000000001</v>
      </c>
      <c r="I4951">
        <v>18.057680000000001</v>
      </c>
      <c r="J4951">
        <v>-365.80799999999999</v>
      </c>
      <c r="K4951">
        <v>1.111577</v>
      </c>
      <c r="L4951">
        <v>18.042570000000001</v>
      </c>
      <c r="M4951">
        <v>0.99923450000000003</v>
      </c>
      <c r="N4951">
        <v>-1.403459E-2</v>
      </c>
      <c r="O4951">
        <v>-3.6514150000000002E-2</v>
      </c>
      <c r="P4951">
        <v>0.91615069999999998</v>
      </c>
      <c r="Q4951">
        <v>0.39002759999999997</v>
      </c>
      <c r="R4951">
        <v>9.2447169999999995E-2</v>
      </c>
      <c r="S4951">
        <v>3.454987</v>
      </c>
      <c r="T4951">
        <v>-0.43230869999999999</v>
      </c>
      <c r="U4951">
        <v>3.3874509999999997E-2</v>
      </c>
      <c r="V4951">
        <v>-0.12667999999999999</v>
      </c>
      <c r="W4951">
        <v>0.4025281</v>
      </c>
      <c r="X4951">
        <v>0.90659990000000001</v>
      </c>
      <c r="Y4951">
        <v>-4.56926E-2</v>
      </c>
      <c r="Z4951">
        <v>7.2092340000000001E-3</v>
      </c>
      <c r="AA4951">
        <v>0.99892959999999997</v>
      </c>
      <c r="AB4951">
        <v>38</v>
      </c>
      <c r="AC4951">
        <v>0.64270000000004701</v>
      </c>
      <c r="AD4951">
        <v>-0.104789999999999</v>
      </c>
      <c r="AE4951">
        <v>1.5109999999996401E-2</v>
      </c>
      <c r="AF4951">
        <v>-3.7571620812379899E-2</v>
      </c>
      <c r="AG4951">
        <v>-0.104789999999999</v>
      </c>
      <c r="AH4951">
        <v>0.62511067160609102</v>
      </c>
      <c r="AI4951">
        <v>99.499427981322199</v>
      </c>
      <c r="AJ4951">
        <v>93.439564881414299</v>
      </c>
      <c r="AK4951">
        <v>0.63494560597447003</v>
      </c>
      <c r="AL4951">
        <v>66.263683268745694</v>
      </c>
      <c r="AM4951">
        <v>97.954486693257095</v>
      </c>
      <c r="AN4951">
        <v>1.0000000361848</v>
      </c>
    </row>
    <row r="4952" spans="1:40" x14ac:dyDescent="0.25">
      <c r="A4952" t="str">
        <f>"20190304164510151"</f>
        <v>20190304164510151</v>
      </c>
      <c r="B4952" t="str">
        <f>"1551689110144757"</f>
        <v>1551689110144757</v>
      </c>
      <c r="C4952" t="s">
        <v>40</v>
      </c>
      <c r="D4952">
        <v>5.3120570000000003</v>
      </c>
      <c r="E4952">
        <v>0.55246229999999996</v>
      </c>
      <c r="F4952" t="s">
        <v>41</v>
      </c>
      <c r="G4952">
        <v>-364.8306</v>
      </c>
      <c r="H4952">
        <v>0.98992219999999997</v>
      </c>
      <c r="I4952">
        <v>18.050909999999998</v>
      </c>
      <c r="J4952">
        <v>-365.58359999999999</v>
      </c>
      <c r="K4952">
        <v>1.1114660000000001</v>
      </c>
      <c r="L4952">
        <v>18.034610000000001</v>
      </c>
      <c r="M4952">
        <v>0.99924120000000005</v>
      </c>
      <c r="N4952">
        <v>-1.404189E-2</v>
      </c>
      <c r="O4952">
        <v>-3.6330319999999999E-2</v>
      </c>
      <c r="P4952">
        <v>0.91621969999999997</v>
      </c>
      <c r="Q4952">
        <v>0.39004689999999997</v>
      </c>
      <c r="R4952">
        <v>9.1678090000000004E-2</v>
      </c>
      <c r="S4952">
        <v>3.4545590000000002</v>
      </c>
      <c r="T4952">
        <v>-0.42992370000000002</v>
      </c>
      <c r="U4952">
        <v>3.0273439999999999E-2</v>
      </c>
      <c r="V4952">
        <v>-0.12563060000000001</v>
      </c>
      <c r="W4952">
        <v>0.4025936</v>
      </c>
      <c r="X4952">
        <v>0.90671679999999999</v>
      </c>
      <c r="Y4952">
        <v>-4.4487020000000002E-2</v>
      </c>
      <c r="Z4952">
        <v>7.066073E-3</v>
      </c>
      <c r="AA4952">
        <v>0.99898500000000001</v>
      </c>
      <c r="AB4952">
        <v>38</v>
      </c>
      <c r="AC4952">
        <v>0.75299999999998501</v>
      </c>
      <c r="AD4952">
        <v>-0.12154379999999999</v>
      </c>
      <c r="AE4952">
        <v>1.6300000000001001E-2</v>
      </c>
      <c r="AF4952">
        <v>-4.25408223242357E-2</v>
      </c>
      <c r="AG4952">
        <v>-0.12154379999999999</v>
      </c>
      <c r="AH4952">
        <v>0.73282638439416203</v>
      </c>
      <c r="AI4952">
        <v>99.401590706102795</v>
      </c>
      <c r="AJ4952">
        <v>93.3223110620537</v>
      </c>
      <c r="AK4952">
        <v>0.74405451853119098</v>
      </c>
      <c r="AL4952">
        <v>66.259582741549494</v>
      </c>
      <c r="AM4952">
        <v>97.888421604082197</v>
      </c>
      <c r="AN4952">
        <v>1.0000000049097799</v>
      </c>
    </row>
    <row r="4953" spans="1:40" x14ac:dyDescent="0.25">
      <c r="A4953" t="str">
        <f>"20190304164510169"</f>
        <v>20190304164510169</v>
      </c>
      <c r="B4953" t="str">
        <f>"1551689110165253"</f>
        <v>1551689110165253</v>
      </c>
      <c r="C4953" t="s">
        <v>40</v>
      </c>
      <c r="D4953">
        <v>5.2572159999999997</v>
      </c>
      <c r="E4953">
        <v>0.55269279999999998</v>
      </c>
      <c r="F4953" t="s">
        <v>41</v>
      </c>
      <c r="G4953">
        <v>-364.81740000000002</v>
      </c>
      <c r="H4953">
        <v>1.016186</v>
      </c>
      <c r="I4953">
        <v>18.04072</v>
      </c>
      <c r="J4953">
        <v>-365.28820000000002</v>
      </c>
      <c r="K4953">
        <v>1.1113309999999901</v>
      </c>
      <c r="L4953">
        <v>18.024049999999999</v>
      </c>
      <c r="M4953">
        <v>0.99924619999999997</v>
      </c>
      <c r="N4953">
        <v>-1.4050089999999999E-2</v>
      </c>
      <c r="O4953">
        <v>-3.6188190000000002E-2</v>
      </c>
      <c r="P4953">
        <v>0.91622910000000002</v>
      </c>
      <c r="Q4953">
        <v>0.390482</v>
      </c>
      <c r="R4953">
        <v>8.9711379999999993E-2</v>
      </c>
      <c r="S4953">
        <v>3.454285</v>
      </c>
      <c r="T4953">
        <v>-0.42947360000000001</v>
      </c>
      <c r="U4953">
        <v>2.8594970000000001E-2</v>
      </c>
      <c r="V4953">
        <v>-0.1233952</v>
      </c>
      <c r="W4953">
        <v>0.40308509999999997</v>
      </c>
      <c r="X4953">
        <v>0.90680550000000004</v>
      </c>
      <c r="Y4953">
        <v>-4.38676E-2</v>
      </c>
      <c r="Z4953">
        <v>7.0006519999999996E-3</v>
      </c>
      <c r="AA4953">
        <v>0.99901280000000003</v>
      </c>
      <c r="AB4953">
        <v>38</v>
      </c>
      <c r="AC4953">
        <v>0.470799999999997</v>
      </c>
      <c r="AD4953">
        <v>-9.5144999999999799E-2</v>
      </c>
      <c r="AE4953">
        <v>1.6670000000001298E-2</v>
      </c>
      <c r="AF4953">
        <v>-3.2377479947399403E-2</v>
      </c>
      <c r="AG4953">
        <v>-9.5144999999999799E-2</v>
      </c>
      <c r="AH4953">
        <v>0.45147262628472201</v>
      </c>
      <c r="AI4953">
        <v>101.870963429306</v>
      </c>
      <c r="AJ4953">
        <v>94.101959511119702</v>
      </c>
      <c r="AK4953">
        <v>0.46252395020925002</v>
      </c>
      <c r="AL4953">
        <v>66.228817179503594</v>
      </c>
      <c r="AM4953">
        <v>97.749031487015301</v>
      </c>
      <c r="AN4953">
        <v>1.0000000940276399</v>
      </c>
    </row>
    <row r="4954" spans="1:40" x14ac:dyDescent="0.25">
      <c r="A4954" t="str">
        <f>"20190304164510183"</f>
        <v>20190304164510183</v>
      </c>
      <c r="B4954" t="str">
        <f>"1551689110175013"</f>
        <v>1551689110175013</v>
      </c>
      <c r="C4954" t="s">
        <v>40</v>
      </c>
      <c r="D4954">
        <v>5.3145709999999999</v>
      </c>
      <c r="E4954">
        <v>0.55276969999999903</v>
      </c>
      <c r="F4954" t="s">
        <v>41</v>
      </c>
      <c r="G4954">
        <v>-364.4785</v>
      </c>
      <c r="H4954">
        <v>1.0113939999999999</v>
      </c>
      <c r="I4954">
        <v>18.028929999999999</v>
      </c>
      <c r="J4954">
        <v>-365.03629999999998</v>
      </c>
      <c r="K4954">
        <v>1.111229</v>
      </c>
      <c r="L4954">
        <v>18.015049999999999</v>
      </c>
      <c r="M4954">
        <v>0.99924760000000001</v>
      </c>
      <c r="N4954">
        <v>-1.405615E-2</v>
      </c>
      <c r="O4954">
        <v>-3.6148560000000003E-2</v>
      </c>
      <c r="P4954">
        <v>0.91621839999999999</v>
      </c>
      <c r="Q4954">
        <v>0.39067370000000001</v>
      </c>
      <c r="R4954">
        <v>8.898317E-2</v>
      </c>
      <c r="S4954">
        <v>3.4537960000000001</v>
      </c>
      <c r="T4954">
        <v>-0.42632130000000001</v>
      </c>
      <c r="U4954">
        <v>2.1697999999999999E-2</v>
      </c>
      <c r="V4954">
        <v>-0.12251529999999999</v>
      </c>
      <c r="W4954">
        <v>0.40331850000000002</v>
      </c>
      <c r="X4954">
        <v>0.90682099999999999</v>
      </c>
      <c r="Y4954">
        <v>-4.1860080000000001E-2</v>
      </c>
      <c r="Z4954">
        <v>6.8071779999999997E-3</v>
      </c>
      <c r="AA4954">
        <v>0.99910030000000005</v>
      </c>
      <c r="AB4954">
        <v>38</v>
      </c>
      <c r="AC4954">
        <v>0.55779999999998597</v>
      </c>
      <c r="AD4954">
        <v>-9.9834999999999896E-2</v>
      </c>
      <c r="AE4954">
        <v>1.38800000000003E-2</v>
      </c>
      <c r="AF4954">
        <v>-3.2980739936148702E-2</v>
      </c>
      <c r="AG4954">
        <v>-9.9834999999999896E-2</v>
      </c>
      <c r="AH4954">
        <v>0.53965699995360805</v>
      </c>
      <c r="AI4954">
        <v>100.461972415567</v>
      </c>
      <c r="AJ4954">
        <v>93.497239669039999</v>
      </c>
      <c r="AK4954">
        <v>0.54980399601190999</v>
      </c>
      <c r="AL4954">
        <v>66.214203193229295</v>
      </c>
      <c r="AM4954">
        <v>97.6943094516716</v>
      </c>
      <c r="AN4954">
        <v>1.0000000686086601</v>
      </c>
    </row>
    <row r="4955" spans="1:40" x14ac:dyDescent="0.25">
      <c r="A4955" t="str">
        <f>"20190304164510205"</f>
        <v>20190304164510205</v>
      </c>
      <c r="B4955" t="str">
        <f>"1551689110195509"</f>
        <v>1551689110195509</v>
      </c>
      <c r="C4955" t="s">
        <v>40</v>
      </c>
      <c r="D4955">
        <v>5.2499320000000003</v>
      </c>
      <c r="E4955">
        <v>0.55303310000000006</v>
      </c>
      <c r="F4955" t="s">
        <v>41</v>
      </c>
      <c r="G4955">
        <v>-364.14120000000003</v>
      </c>
      <c r="H4955">
        <v>1.0009870000000001</v>
      </c>
      <c r="I4955">
        <v>18.01998</v>
      </c>
      <c r="J4955">
        <v>-364.66919999999999</v>
      </c>
      <c r="K4955">
        <v>1.111083</v>
      </c>
      <c r="L4955">
        <v>18.001829999999899</v>
      </c>
      <c r="M4955">
        <v>0.99924519999999994</v>
      </c>
      <c r="N4955">
        <v>-1.406369E-2</v>
      </c>
      <c r="O4955">
        <v>-3.6214860000000001E-2</v>
      </c>
      <c r="P4955">
        <v>0.91584620000000005</v>
      </c>
      <c r="Q4955">
        <v>0.39186569999999998</v>
      </c>
      <c r="R4955">
        <v>8.7563539999999995E-2</v>
      </c>
      <c r="S4955">
        <v>3.4538570000000002</v>
      </c>
      <c r="T4955">
        <v>-0.42542669999999999</v>
      </c>
      <c r="U4955">
        <v>1.9317629999999999E-2</v>
      </c>
      <c r="V4955">
        <v>-0.12098390000000001</v>
      </c>
      <c r="W4955">
        <v>0.40456259999999999</v>
      </c>
      <c r="X4955">
        <v>0.90647230000000001</v>
      </c>
      <c r="Y4955">
        <v>-4.1244940000000001E-2</v>
      </c>
      <c r="Z4955">
        <v>6.7574269999999999E-3</v>
      </c>
      <c r="AA4955">
        <v>0.99912619999999996</v>
      </c>
      <c r="AB4955">
        <v>38</v>
      </c>
      <c r="AC4955">
        <v>0.52799999999996305</v>
      </c>
      <c r="AD4955">
        <v>-0.110095999999999</v>
      </c>
      <c r="AE4955">
        <v>1.8150000000002098E-2</v>
      </c>
      <c r="AF4955">
        <v>-3.5710612661003803E-2</v>
      </c>
      <c r="AG4955">
        <v>-0.110095999999999</v>
      </c>
      <c r="AH4955">
        <v>0.50506272627922</v>
      </c>
      <c r="AI4955">
        <v>102.267545111597</v>
      </c>
      <c r="AJ4955">
        <v>94.044384746800006</v>
      </c>
      <c r="AK4955">
        <v>0.51815512595092805</v>
      </c>
      <c r="AL4955">
        <v>66.136280093387796</v>
      </c>
      <c r="AM4955">
        <v>97.602153190189796</v>
      </c>
      <c r="AN4955">
        <v>1.0000000160226299</v>
      </c>
    </row>
    <row r="4956" spans="1:40" x14ac:dyDescent="0.25">
      <c r="A4956" t="str">
        <f>"20190304164510227"</f>
        <v>20190304164510227</v>
      </c>
      <c r="B4956" t="str">
        <f>"1551689110215029"</f>
        <v>1551689110215029</v>
      </c>
      <c r="C4956" t="s">
        <v>40</v>
      </c>
      <c r="D4956">
        <v>5.2768860000000002</v>
      </c>
      <c r="E4956">
        <v>0.55319830000000003</v>
      </c>
      <c r="F4956" t="s">
        <v>41</v>
      </c>
      <c r="G4956">
        <v>-363.79739999999998</v>
      </c>
      <c r="H4956">
        <v>1.0052779999999999</v>
      </c>
      <c r="I4956">
        <v>18.004539999999999</v>
      </c>
      <c r="J4956">
        <v>-364.2869</v>
      </c>
      <c r="K4956">
        <v>1.1109279999999999</v>
      </c>
      <c r="L4956">
        <v>17.987950000000001</v>
      </c>
      <c r="M4956">
        <v>0.9992375</v>
      </c>
      <c r="N4956">
        <v>-1.407017E-2</v>
      </c>
      <c r="O4956">
        <v>-3.642244E-2</v>
      </c>
      <c r="P4956">
        <v>0.91559060000000003</v>
      </c>
      <c r="Q4956">
        <v>0.39276879999999997</v>
      </c>
      <c r="R4956">
        <v>8.6177680000000006E-2</v>
      </c>
      <c r="S4956">
        <v>3.4538880000000001</v>
      </c>
      <c r="T4956">
        <v>-0.41913440000000002</v>
      </c>
      <c r="U4956">
        <v>1.1749269999999999E-2</v>
      </c>
      <c r="V4956">
        <v>-0.1196219</v>
      </c>
      <c r="W4956">
        <v>0.40551559999999998</v>
      </c>
      <c r="X4956">
        <v>0.90622720000000001</v>
      </c>
      <c r="Y4956">
        <v>-3.9294629999999997E-2</v>
      </c>
      <c r="Z4956">
        <v>6.5452649999999998E-3</v>
      </c>
      <c r="AA4956">
        <v>0.99920620000000004</v>
      </c>
      <c r="AB4956">
        <v>38</v>
      </c>
      <c r="AC4956">
        <v>0.48950000000001997</v>
      </c>
      <c r="AD4956">
        <v>-0.10564999999999999</v>
      </c>
      <c r="AE4956">
        <v>1.6589999999997201E-2</v>
      </c>
      <c r="AF4956">
        <v>-3.28796414620161E-2</v>
      </c>
      <c r="AG4956">
        <v>-0.10564999999999999</v>
      </c>
      <c r="AH4956">
        <v>0.46684828561194702</v>
      </c>
      <c r="AI4956">
        <v>102.721038226277</v>
      </c>
      <c r="AJ4956">
        <v>94.028630235172997</v>
      </c>
      <c r="AK4956">
        <v>0.47978152851218098</v>
      </c>
      <c r="AL4956">
        <v>66.076559170310304</v>
      </c>
      <c r="AM4956">
        <v>97.519564707574105</v>
      </c>
      <c r="AN4956">
        <v>1.0000000194114</v>
      </c>
    </row>
    <row r="4957" spans="1:40" x14ac:dyDescent="0.25">
      <c r="A4957" t="str">
        <f>"20190304164510246"</f>
        <v>20190304164510246</v>
      </c>
      <c r="B4957" t="str">
        <f>"1551689110235525"</f>
        <v>1551689110235525</v>
      </c>
      <c r="C4957" t="s">
        <v>40</v>
      </c>
      <c r="D4957">
        <v>5.2456800000000001</v>
      </c>
      <c r="E4957">
        <v>0.55341969999999996</v>
      </c>
      <c r="F4957" t="s">
        <v>41</v>
      </c>
      <c r="G4957">
        <v>-363.45319999999998</v>
      </c>
      <c r="H4957">
        <v>1.010907</v>
      </c>
      <c r="I4957">
        <v>17.988620000000001</v>
      </c>
      <c r="J4957">
        <v>-363.96449999999999</v>
      </c>
      <c r="K4957">
        <v>1.1108129999999901</v>
      </c>
      <c r="L4957">
        <v>17.97607</v>
      </c>
      <c r="M4957">
        <v>0.99922770000000005</v>
      </c>
      <c r="N4957">
        <v>-1.4074649999999999E-2</v>
      </c>
      <c r="O4957">
        <v>-3.6688720000000001E-2</v>
      </c>
      <c r="P4957">
        <v>0.91543589999999997</v>
      </c>
      <c r="Q4957">
        <v>0.39345930000000001</v>
      </c>
      <c r="R4957">
        <v>8.4658170000000005E-2</v>
      </c>
      <c r="S4957">
        <v>3.4538880000000001</v>
      </c>
      <c r="T4957">
        <v>-0.4143249</v>
      </c>
      <c r="U4957">
        <v>4.5166019999999998E-3</v>
      </c>
      <c r="V4957">
        <v>-0.1182178</v>
      </c>
      <c r="W4957">
        <v>0.4062442</v>
      </c>
      <c r="X4957">
        <v>0.90608509999999998</v>
      </c>
      <c r="Y4957">
        <v>-3.7493720000000001E-2</v>
      </c>
      <c r="Z4957">
        <v>6.3755869999999899E-3</v>
      </c>
      <c r="AA4957">
        <v>0.99927650000000001</v>
      </c>
      <c r="AB4957">
        <v>38</v>
      </c>
      <c r="AC4957">
        <v>0.51130000000000497</v>
      </c>
      <c r="AD4957">
        <v>-9.9905999999999801E-2</v>
      </c>
      <c r="AE4957">
        <v>1.2550000000000901E-2</v>
      </c>
      <c r="AF4957">
        <v>-3.0151855221242901E-2</v>
      </c>
      <c r="AG4957">
        <v>-9.9905999999999801E-2</v>
      </c>
      <c r="AH4957">
        <v>0.49173235757669398</v>
      </c>
      <c r="AI4957">
        <v>101.463591029393</v>
      </c>
      <c r="AJ4957">
        <v>93.508847350953303</v>
      </c>
      <c r="AK4957">
        <v>0.50268385163760398</v>
      </c>
      <c r="AL4957">
        <v>66.030881445652696</v>
      </c>
      <c r="AM4957">
        <v>97.4334465435211</v>
      </c>
      <c r="AN4957">
        <v>1.00000000335624</v>
      </c>
    </row>
    <row r="4958" spans="1:40" x14ac:dyDescent="0.25">
      <c r="A4958" t="str">
        <f>"20190304164510258"</f>
        <v>20190304164510258</v>
      </c>
      <c r="B4958" t="str">
        <f>"1551689110255046"</f>
        <v>1551689110255046</v>
      </c>
      <c r="C4958" t="s">
        <v>40</v>
      </c>
      <c r="D4958">
        <v>5.2820660000000004</v>
      </c>
      <c r="E4958">
        <v>0.55353450000000004</v>
      </c>
      <c r="F4958" t="s">
        <v>41</v>
      </c>
      <c r="G4958">
        <v>-363.11259999999999</v>
      </c>
      <c r="H4958">
        <v>1.009325</v>
      </c>
      <c r="I4958">
        <v>17.975189999999898</v>
      </c>
      <c r="J4958">
        <v>-363.7448</v>
      </c>
      <c r="K4958">
        <v>1.110738</v>
      </c>
      <c r="L4958">
        <v>17.9679</v>
      </c>
      <c r="M4958">
        <v>0.99921970000000004</v>
      </c>
      <c r="N4958">
        <v>-1.4077299999999999E-2</v>
      </c>
      <c r="O4958">
        <v>-3.6905390000000003E-2</v>
      </c>
      <c r="P4958">
        <v>0.91549610000000003</v>
      </c>
      <c r="Q4958">
        <v>0.3935225</v>
      </c>
      <c r="R4958">
        <v>8.3710099999999996E-2</v>
      </c>
      <c r="S4958">
        <v>3.4542540000000002</v>
      </c>
      <c r="T4958">
        <v>-0.41141159999999999</v>
      </c>
      <c r="U4958">
        <v>-3.2348630000000001E-3</v>
      </c>
      <c r="V4958">
        <v>-0.1173913</v>
      </c>
      <c r="W4958">
        <v>0.40633399999999997</v>
      </c>
      <c r="X4958">
        <v>0.90615230000000002</v>
      </c>
      <c r="Y4958">
        <v>-3.5489779999999999E-2</v>
      </c>
      <c r="Z4958">
        <v>6.2180810000000003E-3</v>
      </c>
      <c r="AA4958">
        <v>0.99935070000000004</v>
      </c>
      <c r="AB4958">
        <v>38</v>
      </c>
      <c r="AC4958">
        <v>0.63220000000001098</v>
      </c>
      <c r="AD4958">
        <v>-0.101412999999999</v>
      </c>
      <c r="AE4958">
        <v>7.2899999999975701E-3</v>
      </c>
      <c r="AF4958">
        <v>-2.9850900711660602E-2</v>
      </c>
      <c r="AG4958">
        <v>-0.101412999999999</v>
      </c>
      <c r="AH4958">
        <v>0.61565994228298304</v>
      </c>
      <c r="AI4958">
        <v>99.3431201391207</v>
      </c>
      <c r="AJ4958">
        <v>92.775870454799005</v>
      </c>
      <c r="AK4958">
        <v>0.62467018287587905</v>
      </c>
      <c r="AL4958">
        <v>66.025250860107207</v>
      </c>
      <c r="AM4958">
        <v>97.381510638816806</v>
      </c>
      <c r="AN4958">
        <v>1.0000000138334899</v>
      </c>
    </row>
    <row r="4959" spans="1:40" x14ac:dyDescent="0.25">
      <c r="A4959" t="str">
        <f>"20190304164510281"</f>
        <v>20190304164510281</v>
      </c>
      <c r="B4959" t="str">
        <f>"1551689110275542"</f>
        <v>1551689110275542</v>
      </c>
      <c r="C4959" t="s">
        <v>40</v>
      </c>
      <c r="D4959">
        <v>5.283766</v>
      </c>
      <c r="E4959">
        <v>0.55362639999999996</v>
      </c>
      <c r="F4959" t="s">
        <v>41</v>
      </c>
      <c r="G4959">
        <v>-362.77760000000001</v>
      </c>
      <c r="H4959">
        <v>0.99580670000000004</v>
      </c>
      <c r="I4959">
        <v>17.96574</v>
      </c>
      <c r="J4959">
        <v>-363.38080000000002</v>
      </c>
      <c r="K4959">
        <v>1.1106259999999999</v>
      </c>
      <c r="L4959">
        <v>17.954160000000002</v>
      </c>
      <c r="M4959">
        <v>0.99920419999999999</v>
      </c>
      <c r="N4959">
        <v>-1.408102E-2</v>
      </c>
      <c r="O4959">
        <v>-3.7319989999999997E-2</v>
      </c>
      <c r="P4959">
        <v>0.91539360000000003</v>
      </c>
      <c r="Q4959">
        <v>0.39406720000000001</v>
      </c>
      <c r="R4959">
        <v>8.2255529999999993E-2</v>
      </c>
      <c r="S4959">
        <v>3.4539789999999999</v>
      </c>
      <c r="T4959">
        <v>-0.410354</v>
      </c>
      <c r="U4959">
        <v>-7.3547359999999997E-3</v>
      </c>
      <c r="V4959">
        <v>-0.11619169999999999</v>
      </c>
      <c r="W4959">
        <v>0.40691470000000002</v>
      </c>
      <c r="X4959">
        <v>0.90604629999999997</v>
      </c>
      <c r="Y4959">
        <v>-3.4718619999999999E-2</v>
      </c>
      <c r="Z4959">
        <v>6.1940559999999999E-3</v>
      </c>
      <c r="AA4959">
        <v>0.99937790000000004</v>
      </c>
      <c r="AB4959">
        <v>38</v>
      </c>
      <c r="AC4959">
        <v>0.60320000000001495</v>
      </c>
      <c r="AD4959">
        <v>-0.1148193</v>
      </c>
      <c r="AE4959">
        <v>1.1579999999998499E-2</v>
      </c>
      <c r="AF4959">
        <v>-3.2894157711604401E-2</v>
      </c>
      <c r="AG4959">
        <v>-0.1148193</v>
      </c>
      <c r="AH4959">
        <v>0.58129312746795403</v>
      </c>
      <c r="AI4959">
        <v>101.156056668584</v>
      </c>
      <c r="AJ4959">
        <v>93.238793744330195</v>
      </c>
      <c r="AK4959">
        <v>0.59343676773984999</v>
      </c>
      <c r="AL4959">
        <v>65.988831904144106</v>
      </c>
      <c r="AM4959">
        <v>97.307745285309807</v>
      </c>
      <c r="AN4959">
        <v>0.99999999098433401</v>
      </c>
    </row>
    <row r="4960" spans="1:40" x14ac:dyDescent="0.25">
      <c r="A4960" t="str">
        <f>"20190304164510302"</f>
        <v>20190304164510302</v>
      </c>
      <c r="B4960" t="str">
        <f>"1551689110295061"</f>
        <v>1551689110295061</v>
      </c>
      <c r="C4960" t="s">
        <v>40</v>
      </c>
      <c r="D4960">
        <v>5.2814870000000003</v>
      </c>
      <c r="E4960">
        <v>0.5537185</v>
      </c>
      <c r="F4960" t="s">
        <v>41</v>
      </c>
      <c r="G4960">
        <v>-362.43520000000001</v>
      </c>
      <c r="H4960">
        <v>0.99918600000000002</v>
      </c>
      <c r="I4960">
        <v>17.94999</v>
      </c>
      <c r="J4960">
        <v>-362.9905</v>
      </c>
      <c r="K4960">
        <v>1.1105229999999999</v>
      </c>
      <c r="L4960">
        <v>17.939209999999999</v>
      </c>
      <c r="M4960">
        <v>0.9991852</v>
      </c>
      <c r="N4960">
        <v>-1.4083999999999999E-2</v>
      </c>
      <c r="O4960">
        <v>-3.7822870000000001E-2</v>
      </c>
      <c r="P4960">
        <v>0.91550430000000005</v>
      </c>
      <c r="Q4960">
        <v>0.39405050000000003</v>
      </c>
      <c r="R4960">
        <v>8.1094289999999999E-2</v>
      </c>
      <c r="S4960">
        <v>3.4538880000000001</v>
      </c>
      <c r="T4960">
        <v>-0.4070957</v>
      </c>
      <c r="U4960">
        <v>-1.525879E-2</v>
      </c>
      <c r="V4960">
        <v>-0.1153844</v>
      </c>
      <c r="W4960">
        <v>0.4069334</v>
      </c>
      <c r="X4960">
        <v>0.90614099999999997</v>
      </c>
      <c r="Y4960">
        <v>-3.2953199999999898E-2</v>
      </c>
      <c r="Z4960">
        <v>6.0788179999999997E-3</v>
      </c>
      <c r="AA4960">
        <v>0.99943839999999995</v>
      </c>
      <c r="AB4960">
        <v>38</v>
      </c>
      <c r="AC4960">
        <v>0.55529999999998803</v>
      </c>
      <c r="AD4960">
        <v>-0.11133699999999901</v>
      </c>
      <c r="AE4960">
        <v>1.07800000000004E-2</v>
      </c>
      <c r="AF4960">
        <v>-3.05497764480884E-2</v>
      </c>
      <c r="AG4960">
        <v>-0.11133699999999901</v>
      </c>
      <c r="AH4960">
        <v>0.53307344762377895</v>
      </c>
      <c r="AI4960">
        <v>101.7783475028</v>
      </c>
      <c r="AJ4960">
        <v>93.279962234214594</v>
      </c>
      <c r="AK4960">
        <v>0.54543241283547605</v>
      </c>
      <c r="AL4960">
        <v>65.987657460013295</v>
      </c>
      <c r="AM4960">
        <v>97.256763900768405</v>
      </c>
      <c r="AN4960">
        <v>0.99999993183995695</v>
      </c>
    </row>
    <row r="4961" spans="1:40" x14ac:dyDescent="0.25">
      <c r="A4961" t="str">
        <f>"20190304164510314"</f>
        <v>20190304164510314</v>
      </c>
      <c r="B4961" t="str">
        <f>"1551689110304821"</f>
        <v>1551689110304821</v>
      </c>
      <c r="C4961" t="s">
        <v>40</v>
      </c>
      <c r="D4961">
        <v>5.3838569999999999</v>
      </c>
      <c r="E4961">
        <v>0.55374029999999996</v>
      </c>
      <c r="F4961" t="s">
        <v>41</v>
      </c>
      <c r="G4961">
        <v>-362.09210000000002</v>
      </c>
      <c r="H4961">
        <v>1.004918</v>
      </c>
      <c r="I4961">
        <v>17.932690000000001</v>
      </c>
      <c r="J4961">
        <v>-362.7903</v>
      </c>
      <c r="K4961">
        <v>1.1104750000000001</v>
      </c>
      <c r="L4961">
        <v>17.931460000000001</v>
      </c>
      <c r="M4961">
        <v>0.99917489999999998</v>
      </c>
      <c r="N4961">
        <v>-1.4085240000000001E-2</v>
      </c>
      <c r="O4961">
        <v>-3.809651E-2</v>
      </c>
      <c r="P4961">
        <v>0.91566780000000003</v>
      </c>
      <c r="Q4961">
        <v>0.39385439999999999</v>
      </c>
      <c r="R4961">
        <v>8.0196569999999995E-2</v>
      </c>
      <c r="S4961">
        <v>3.4537659999999999</v>
      </c>
      <c r="T4961">
        <v>-0.40593669999999998</v>
      </c>
      <c r="U4961">
        <v>-2.453613E-2</v>
      </c>
      <c r="V4961">
        <v>-0.1146949</v>
      </c>
      <c r="W4961">
        <v>0.4067539</v>
      </c>
      <c r="X4961">
        <v>0.90630920000000004</v>
      </c>
      <c r="Y4961">
        <v>-3.0561749999999999E-2</v>
      </c>
      <c r="Z4961">
        <v>5.932087E-3</v>
      </c>
      <c r="AA4961">
        <v>0.9995153</v>
      </c>
      <c r="AB4961">
        <v>38</v>
      </c>
      <c r="AC4961">
        <v>0.69819999999998505</v>
      </c>
      <c r="AD4961">
        <v>-0.105557</v>
      </c>
      <c r="AE4961">
        <v>1.2299999999996201E-3</v>
      </c>
      <c r="AF4961">
        <v>-2.7208823017381201E-2</v>
      </c>
      <c r="AG4961">
        <v>-0.105557</v>
      </c>
      <c r="AH4961">
        <v>0.68205664141882505</v>
      </c>
      <c r="AI4961">
        <v>98.790578628688607</v>
      </c>
      <c r="AJ4961">
        <v>92.284450364545293</v>
      </c>
      <c r="AK4961">
        <v>0.69071257582479195</v>
      </c>
      <c r="AL4961">
        <v>65.998917946135293</v>
      </c>
      <c r="AM4961">
        <v>97.212533290059</v>
      </c>
      <c r="AN4961">
        <v>1.0000000106279301</v>
      </c>
    </row>
    <row r="4962" spans="1:40" x14ac:dyDescent="0.25">
      <c r="A4962" t="str">
        <f>"20190304164510326"</f>
        <v>20190304164510326</v>
      </c>
      <c r="B4962" t="str">
        <f>"1551689110315558"</f>
        <v>1551689110315558</v>
      </c>
      <c r="C4962" t="s">
        <v>40</v>
      </c>
      <c r="D4962">
        <v>5.5738849999999998</v>
      </c>
      <c r="E4962">
        <v>0.55378099999999997</v>
      </c>
      <c r="F4962" t="s">
        <v>41</v>
      </c>
      <c r="G4962">
        <v>-361.75900000000001</v>
      </c>
      <c r="H4962">
        <v>0.98908790000000002</v>
      </c>
      <c r="I4962">
        <v>17.922639999999902</v>
      </c>
      <c r="J4962">
        <v>-362.59780000000001</v>
      </c>
      <c r="K4962">
        <v>1.110444</v>
      </c>
      <c r="L4962">
        <v>17.92389</v>
      </c>
      <c r="M4962">
        <v>0.99916419999999995</v>
      </c>
      <c r="N4962">
        <v>-1.408616E-2</v>
      </c>
      <c r="O4962">
        <v>-3.8375659999999999E-2</v>
      </c>
      <c r="P4962">
        <v>0.91586730000000005</v>
      </c>
      <c r="Q4962">
        <v>0.3935768</v>
      </c>
      <c r="R4962">
        <v>7.927534E-2</v>
      </c>
      <c r="S4962">
        <v>3.4537049999999998</v>
      </c>
      <c r="T4962">
        <v>-0.40650579999999997</v>
      </c>
      <c r="U4962">
        <v>-2.9357910000000001E-2</v>
      </c>
      <c r="V4962">
        <v>-0.1139999</v>
      </c>
      <c r="W4962">
        <v>0.40648990000000002</v>
      </c>
      <c r="X4962">
        <v>0.90651530000000002</v>
      </c>
      <c r="Y4962">
        <v>-2.945132E-2</v>
      </c>
      <c r="Z4962">
        <v>5.896648E-3</v>
      </c>
      <c r="AA4962">
        <v>0.99954889999999996</v>
      </c>
      <c r="AB4962">
        <v>38</v>
      </c>
      <c r="AC4962">
        <v>0.838799999999992</v>
      </c>
      <c r="AD4962">
        <v>-0.121356099999999</v>
      </c>
      <c r="AE4962">
        <v>-1.25000000000241E-3</v>
      </c>
      <c r="AF4962">
        <v>-3.0309190953970899E-2</v>
      </c>
      <c r="AG4962">
        <v>-0.121356099999999</v>
      </c>
      <c r="AH4962">
        <v>0.82104409275047197</v>
      </c>
      <c r="AI4962">
        <v>98.402202642925502</v>
      </c>
      <c r="AJ4962">
        <v>92.114138006999497</v>
      </c>
      <c r="AK4962">
        <v>0.83051752076879104</v>
      </c>
      <c r="AL4962">
        <v>66.015474377102805</v>
      </c>
      <c r="AM4962">
        <v>97.167671663927294</v>
      </c>
      <c r="AN4962">
        <v>1.00000000256805</v>
      </c>
    </row>
    <row r="4963" spans="1:40" x14ac:dyDescent="0.25">
      <c r="A4963" t="str">
        <f>"20190304164510338"</f>
        <v>20190304164510338</v>
      </c>
      <c r="B4963" t="str">
        <f>"1551689110335077"</f>
        <v>1551689110335077</v>
      </c>
      <c r="C4963" t="s">
        <v>40</v>
      </c>
      <c r="D4963">
        <v>5.3006830000000003</v>
      </c>
      <c r="E4963">
        <v>0.55383499999999997</v>
      </c>
      <c r="F4963" t="s">
        <v>41</v>
      </c>
      <c r="G4963">
        <v>-361.74930000000001</v>
      </c>
      <c r="H4963">
        <v>1.0103200000000001</v>
      </c>
      <c r="I4963">
        <v>17.91555</v>
      </c>
      <c r="J4963">
        <v>-362.40050000000002</v>
      </c>
      <c r="K4963">
        <v>1.110412</v>
      </c>
      <c r="L4963">
        <v>17.91611</v>
      </c>
      <c r="M4963">
        <v>0.99915299999999996</v>
      </c>
      <c r="N4963">
        <v>-1.4086950000000001E-2</v>
      </c>
      <c r="O4963">
        <v>-3.8665739999999997E-2</v>
      </c>
      <c r="P4963">
        <v>0.91589399999999999</v>
      </c>
      <c r="Q4963">
        <v>0.39373900000000001</v>
      </c>
      <c r="R4963">
        <v>7.8154150000000006E-2</v>
      </c>
      <c r="S4963">
        <v>3.4535830000000001</v>
      </c>
      <c r="T4963">
        <v>-0.40749479999999999</v>
      </c>
      <c r="U4963">
        <v>-3.3752440000000002E-2</v>
      </c>
      <c r="V4963">
        <v>-0.1131098</v>
      </c>
      <c r="W4963">
        <v>0.40666239999999998</v>
      </c>
      <c r="X4963">
        <v>0.90654950000000001</v>
      </c>
      <c r="Y4963">
        <v>-2.8473269999999998E-2</v>
      </c>
      <c r="Z4963">
        <v>5.8774379999999996E-3</v>
      </c>
      <c r="AA4963">
        <v>0.9995773</v>
      </c>
      <c r="AB4963">
        <v>38</v>
      </c>
      <c r="AC4963">
        <v>0.65120000000001699</v>
      </c>
      <c r="AD4963">
        <v>-0.100092</v>
      </c>
      <c r="AE4963">
        <v>-5.6000000000011596E-4</v>
      </c>
      <c r="AF4963">
        <v>-2.4053777278997799E-2</v>
      </c>
      <c r="AG4963">
        <v>-0.100092</v>
      </c>
      <c r="AH4963">
        <v>0.63571587944669805</v>
      </c>
      <c r="AI4963">
        <v>98.941339612108806</v>
      </c>
      <c r="AJ4963">
        <v>92.166884346424396</v>
      </c>
      <c r="AK4963">
        <v>0.64399663977856003</v>
      </c>
      <c r="AL4963">
        <v>66.004657958495201</v>
      </c>
      <c r="AM4963">
        <v>97.112016973420793</v>
      </c>
      <c r="AN4963">
        <v>1.00000006519002</v>
      </c>
    </row>
    <row r="4964" spans="1:40" x14ac:dyDescent="0.25">
      <c r="A4964" t="str">
        <f>"20190304164510350"</f>
        <v>20190304164510350</v>
      </c>
      <c r="B4964" t="str">
        <f>"1551689110344838"</f>
        <v>1551689110344838</v>
      </c>
      <c r="C4964" t="s">
        <v>40</v>
      </c>
      <c r="D4964">
        <v>5.2760160000000003</v>
      </c>
      <c r="E4964">
        <v>0.55386080000000004</v>
      </c>
      <c r="F4964" t="s">
        <v>41</v>
      </c>
      <c r="G4964">
        <v>-361.41649999999998</v>
      </c>
      <c r="H4964">
        <v>0.99452209999999996</v>
      </c>
      <c r="I4964">
        <v>17.90503</v>
      </c>
      <c r="J4964">
        <v>-362.18579999999997</v>
      </c>
      <c r="K4964">
        <v>1.110384</v>
      </c>
      <c r="L4964">
        <v>17.907529999999898</v>
      </c>
      <c r="M4964">
        <v>0.99914040000000004</v>
      </c>
      <c r="N4964">
        <v>-1.4087550000000001E-2</v>
      </c>
      <c r="O4964">
        <v>-3.8990919999999998E-2</v>
      </c>
      <c r="P4964">
        <v>0.91597439999999997</v>
      </c>
      <c r="Q4964">
        <v>0.39375680000000002</v>
      </c>
      <c r="R4964">
        <v>7.7116499999999893E-2</v>
      </c>
      <c r="S4964">
        <v>3.4535830000000001</v>
      </c>
      <c r="T4964">
        <v>-0.40669440000000001</v>
      </c>
      <c r="U4964">
        <v>-3.8360600000000002E-2</v>
      </c>
      <c r="V4964">
        <v>-0.112341899999999</v>
      </c>
      <c r="W4964">
        <v>0.40668949999999998</v>
      </c>
      <c r="X4964">
        <v>0.90663280000000002</v>
      </c>
      <c r="Y4964">
        <v>-2.7472739999999999E-2</v>
      </c>
      <c r="Z4964">
        <v>5.8329940000000002E-3</v>
      </c>
      <c r="AA4964">
        <v>0.99960550000000004</v>
      </c>
      <c r="AB4964">
        <v>38</v>
      </c>
      <c r="AC4964">
        <v>0.76929999999998699</v>
      </c>
      <c r="AD4964">
        <v>-0.1158619</v>
      </c>
      <c r="AE4964">
        <v>-2.4999999999977202E-3</v>
      </c>
      <c r="AF4964">
        <v>-2.6890649592275901E-2</v>
      </c>
      <c r="AG4964">
        <v>-0.1158619</v>
      </c>
      <c r="AH4964">
        <v>0.75176077740020297</v>
      </c>
      <c r="AI4964">
        <v>98.756015416997499</v>
      </c>
      <c r="AJ4964">
        <v>92.048609289589805</v>
      </c>
      <c r="AK4964">
        <v>0.76111191906608699</v>
      </c>
      <c r="AL4964">
        <v>66.002957783317797</v>
      </c>
      <c r="AM4964">
        <v>97.063580620945203</v>
      </c>
      <c r="AN4964">
        <v>1.00000004297084</v>
      </c>
    </row>
    <row r="4965" spans="1:40" x14ac:dyDescent="0.25">
      <c r="A4965" t="str">
        <f>"20190304164510370"</f>
        <v>20190304164510370</v>
      </c>
      <c r="B4965" t="str">
        <f>"1551689110365333"</f>
        <v>1551689110365333</v>
      </c>
      <c r="C4965" t="s">
        <v>40</v>
      </c>
      <c r="D4965">
        <v>5.2934449999999904</v>
      </c>
      <c r="E4965">
        <v>0.55389359999999999</v>
      </c>
      <c r="F4965" t="s">
        <v>41</v>
      </c>
      <c r="G4965">
        <v>-361.40539999999999</v>
      </c>
      <c r="H4965">
        <v>1.01851</v>
      </c>
      <c r="I4965">
        <v>17.897879999999901</v>
      </c>
      <c r="J4965">
        <v>-361.85950000000003</v>
      </c>
      <c r="K4965">
        <v>1.1103540000000001</v>
      </c>
      <c r="L4965">
        <v>17.894379999999899</v>
      </c>
      <c r="M4965">
        <v>0.99912040000000002</v>
      </c>
      <c r="N4965">
        <v>-1.4088410000000001E-2</v>
      </c>
      <c r="O4965">
        <v>-3.949515E-2</v>
      </c>
      <c r="P4965">
        <v>0.91569849999999997</v>
      </c>
      <c r="Q4965">
        <v>0.39458890000000002</v>
      </c>
      <c r="R4965">
        <v>7.6129180000000005E-2</v>
      </c>
      <c r="S4965">
        <v>3.4534910000000001</v>
      </c>
      <c r="T4965">
        <v>-0.40647840000000002</v>
      </c>
      <c r="U4965">
        <v>-4.2083740000000001E-2</v>
      </c>
      <c r="V4965">
        <v>-0.1117657</v>
      </c>
      <c r="W4965">
        <v>0.40752830000000001</v>
      </c>
      <c r="X4965">
        <v>0.9063272</v>
      </c>
      <c r="Y4965">
        <v>-2.690159E-2</v>
      </c>
      <c r="Z4965">
        <v>5.8442879999999996E-3</v>
      </c>
      <c r="AA4965">
        <v>0.99962099999999998</v>
      </c>
      <c r="AB4965">
        <v>38</v>
      </c>
      <c r="AC4965">
        <v>0.45410000000003897</v>
      </c>
      <c r="AD4965">
        <v>-9.1843999999999995E-2</v>
      </c>
      <c r="AE4965">
        <v>3.4999999999989402E-3</v>
      </c>
      <c r="AF4965">
        <v>-2.0591508430523799E-2</v>
      </c>
      <c r="AG4965">
        <v>-9.1843999999999995E-2</v>
      </c>
      <c r="AH4965">
        <v>0.43578186813195802</v>
      </c>
      <c r="AI4965">
        <v>101.88841736469</v>
      </c>
      <c r="AJ4965">
        <v>92.705320530121298</v>
      </c>
      <c r="AK4965">
        <v>0.44583087280719302</v>
      </c>
      <c r="AL4965">
        <v>65.950337713714006</v>
      </c>
      <c r="AM4965">
        <v>97.030060746242995</v>
      </c>
      <c r="AN4965">
        <v>0.99999994022860805</v>
      </c>
    </row>
    <row r="4966" spans="1:40" x14ac:dyDescent="0.25">
      <c r="A4966" t="str">
        <f>"20190304164510381"</f>
        <v>20190304164510381</v>
      </c>
      <c r="B4966" t="str">
        <f>"1551689110375094"</f>
        <v>1551689110375094</v>
      </c>
      <c r="C4966" t="s">
        <v>40</v>
      </c>
      <c r="D4966">
        <v>5.3053129999999999</v>
      </c>
      <c r="E4966">
        <v>0.55391349999999995</v>
      </c>
      <c r="F4966" t="s">
        <v>41</v>
      </c>
      <c r="G4966">
        <v>-361.0659</v>
      </c>
      <c r="H4966">
        <v>1.0178370000000001</v>
      </c>
      <c r="I4966">
        <v>17.88374</v>
      </c>
      <c r="J4966">
        <v>-361.65219999999999</v>
      </c>
      <c r="K4966">
        <v>1.110339</v>
      </c>
      <c r="L4966">
        <v>17.885929999999998</v>
      </c>
      <c r="M4966">
        <v>0.99910759999999998</v>
      </c>
      <c r="N4966">
        <v>-1.408877E-2</v>
      </c>
      <c r="O4966">
        <v>-3.9819750000000001E-2</v>
      </c>
      <c r="P4966">
        <v>0.91555010000000003</v>
      </c>
      <c r="Q4966">
        <v>0.39494980000000002</v>
      </c>
      <c r="R4966">
        <v>7.6043849999999996E-2</v>
      </c>
      <c r="S4966">
        <v>3.453522</v>
      </c>
      <c r="T4966">
        <v>-0.40268720000000002</v>
      </c>
      <c r="U4966">
        <v>-4.5898439999999999E-2</v>
      </c>
      <c r="V4966">
        <v>-0.11195099999999999</v>
      </c>
      <c r="W4966">
        <v>0.40789229999999999</v>
      </c>
      <c r="X4966">
        <v>0.90614059999999996</v>
      </c>
      <c r="Y4966">
        <v>-2.61347E-2</v>
      </c>
      <c r="Z4966">
        <v>5.7697419999999996E-3</v>
      </c>
      <c r="AA4966">
        <v>0.99964180000000002</v>
      </c>
      <c r="AB4966">
        <v>38</v>
      </c>
      <c r="AC4966">
        <v>0.58629999999999405</v>
      </c>
      <c r="AD4966">
        <v>-9.2501999999999807E-2</v>
      </c>
      <c r="AE4966">
        <v>-2.1899999999988001E-3</v>
      </c>
      <c r="AF4966">
        <v>-2.0646445593515899E-2</v>
      </c>
      <c r="AG4966">
        <v>-9.2501999999999807E-2</v>
      </c>
      <c r="AH4966">
        <v>0.57169167689751399</v>
      </c>
      <c r="AI4966">
        <v>99.185144201997204</v>
      </c>
      <c r="AJ4966">
        <v>92.068318199969298</v>
      </c>
      <c r="AK4966">
        <v>0.57949483962632298</v>
      </c>
      <c r="AL4966">
        <v>65.927498276570901</v>
      </c>
      <c r="AM4966">
        <v>97.043034702216005</v>
      </c>
      <c r="AN4966">
        <v>0.99999997088432402</v>
      </c>
    </row>
    <row r="4967" spans="1:40" x14ac:dyDescent="0.25">
      <c r="A4967" t="str">
        <f>"20190304164510395"</f>
        <v>20190304164510395</v>
      </c>
      <c r="B4967" t="str">
        <f>"1551689110384853"</f>
        <v>1551689110384853</v>
      </c>
      <c r="C4967" t="s">
        <v>40</v>
      </c>
      <c r="D4967">
        <v>5.3092699999999997</v>
      </c>
      <c r="E4967">
        <v>0.55391619999999997</v>
      </c>
      <c r="F4967" t="s">
        <v>41</v>
      </c>
      <c r="G4967">
        <v>-360.733</v>
      </c>
      <c r="H4967">
        <v>1.00353799999999</v>
      </c>
      <c r="I4967">
        <v>17.873139999999999</v>
      </c>
      <c r="J4967">
        <v>-361.42910000000001</v>
      </c>
      <c r="K4967">
        <v>1.110322</v>
      </c>
      <c r="L4967">
        <v>17.87677</v>
      </c>
      <c r="M4967">
        <v>0.99909360000000003</v>
      </c>
      <c r="N4967">
        <v>-1.4089040000000001E-2</v>
      </c>
      <c r="O4967">
        <v>-4.0170810000000001E-2</v>
      </c>
      <c r="P4967">
        <v>0.91541980000000001</v>
      </c>
      <c r="Q4967">
        <v>0.3952483</v>
      </c>
      <c r="R4967">
        <v>7.6064019999999996E-2</v>
      </c>
      <c r="S4967">
        <v>3.4537049999999998</v>
      </c>
      <c r="T4967">
        <v>-0.40124769999999998</v>
      </c>
      <c r="U4967">
        <v>-4.6905519999999999E-2</v>
      </c>
      <c r="V4967">
        <v>-0.11226709999999999</v>
      </c>
      <c r="W4967">
        <v>0.40819440000000001</v>
      </c>
      <c r="X4967">
        <v>0.90596540000000003</v>
      </c>
      <c r="Y4967">
        <v>-2.6196000000000001E-2</v>
      </c>
      <c r="Z4967">
        <v>5.7872239999999997E-3</v>
      </c>
      <c r="AA4967">
        <v>0.99963999999999997</v>
      </c>
      <c r="AB4967">
        <v>38</v>
      </c>
      <c r="AC4967">
        <v>0.69610000000000105</v>
      </c>
      <c r="AD4967">
        <v>-0.106784</v>
      </c>
      <c r="AE4967">
        <v>-3.6300000000011302E-3</v>
      </c>
      <c r="AF4967">
        <v>-2.37790378509967E-2</v>
      </c>
      <c r="AG4967">
        <v>-0.106784</v>
      </c>
      <c r="AH4967">
        <v>0.679689454801368</v>
      </c>
      <c r="AI4967">
        <v>98.923216270249</v>
      </c>
      <c r="AJ4967">
        <v>92.003684257401602</v>
      </c>
      <c r="AK4967">
        <v>0.68843737570333896</v>
      </c>
      <c r="AL4967">
        <v>65.908538215604096</v>
      </c>
      <c r="AM4967">
        <v>97.0640725769601</v>
      </c>
      <c r="AN4967">
        <v>0.99999993796546305</v>
      </c>
    </row>
    <row r="4968" spans="1:40" x14ac:dyDescent="0.25">
      <c r="A4968" t="str">
        <f>"20190304164510416"</f>
        <v>20190304164510416</v>
      </c>
      <c r="B4968" t="str">
        <f>"1551689110405349"</f>
        <v>1551689110405349</v>
      </c>
      <c r="C4968" t="s">
        <v>40</v>
      </c>
      <c r="D4968">
        <v>5.3219050000000001</v>
      </c>
      <c r="E4968">
        <v>0.55389189999999999</v>
      </c>
      <c r="F4968" t="s">
        <v>41</v>
      </c>
      <c r="G4968">
        <v>-360.39940000000001</v>
      </c>
      <c r="H4968">
        <v>0.99103680000000005</v>
      </c>
      <c r="I4968">
        <v>17.862369999999999</v>
      </c>
      <c r="J4968">
        <v>-361.07839999999999</v>
      </c>
      <c r="K4968">
        <v>1.1102959999999999</v>
      </c>
      <c r="L4968">
        <v>17.862210000000001</v>
      </c>
      <c r="M4968">
        <v>0.99907089999999998</v>
      </c>
      <c r="N4968">
        <v>-1.408921E-2</v>
      </c>
      <c r="O4968">
        <v>-4.0727869999999999E-2</v>
      </c>
      <c r="P4968">
        <v>0.91507450000000001</v>
      </c>
      <c r="Q4968">
        <v>0.39581699999999997</v>
      </c>
      <c r="R4968">
        <v>7.7249570000000004E-2</v>
      </c>
      <c r="S4968">
        <v>3.4539490000000002</v>
      </c>
      <c r="T4968">
        <v>-0.40015420000000002</v>
      </c>
      <c r="U4968">
        <v>-4.7821040000000002E-2</v>
      </c>
      <c r="V4968">
        <v>-0.1139189</v>
      </c>
      <c r="W4968">
        <v>0.40876630000000003</v>
      </c>
      <c r="X4968">
        <v>0.90550129999999995</v>
      </c>
      <c r="Y4968">
        <v>-2.648673E-2</v>
      </c>
      <c r="Z4968">
        <v>5.8453430000000002E-3</v>
      </c>
      <c r="AA4968">
        <v>0.99963210000000002</v>
      </c>
      <c r="AB4968">
        <v>38</v>
      </c>
      <c r="AC4968">
        <v>0.67899999999997296</v>
      </c>
      <c r="AD4968">
        <v>-0.119259199999999</v>
      </c>
      <c r="AE4968">
        <v>1.60000000001048E-4</v>
      </c>
      <c r="AF4968">
        <v>-2.69843896900086E-2</v>
      </c>
      <c r="AG4968">
        <v>-0.119259199999999</v>
      </c>
      <c r="AH4968">
        <v>0.65812727425744899</v>
      </c>
      <c r="AI4968">
        <v>100.262668613253</v>
      </c>
      <c r="AJ4968">
        <v>92.347913805413796</v>
      </c>
      <c r="AK4968">
        <v>0.66938958999458698</v>
      </c>
      <c r="AL4968">
        <v>65.872640875284802</v>
      </c>
      <c r="AM4968">
        <v>97.170569179907105</v>
      </c>
      <c r="AN4968">
        <v>1.0000000040472901</v>
      </c>
    </row>
    <row r="4969" spans="1:40" x14ac:dyDescent="0.25">
      <c r="A4969" t="str">
        <f>"20190304164510436"</f>
        <v>20190304164510436</v>
      </c>
      <c r="B4969" t="str">
        <f>"1551689110424869"</f>
        <v>1551689110424869</v>
      </c>
      <c r="C4969" t="s">
        <v>40</v>
      </c>
      <c r="D4969">
        <v>5.3190330000000001</v>
      </c>
      <c r="E4969">
        <v>0.55390059999999997</v>
      </c>
      <c r="F4969" t="s">
        <v>41</v>
      </c>
      <c r="G4969">
        <v>-360.05939999999998</v>
      </c>
      <c r="H4969">
        <v>0.99289629999999995</v>
      </c>
      <c r="I4969">
        <v>17.848210000000002</v>
      </c>
      <c r="J4969">
        <v>-360.7285</v>
      </c>
      <c r="K4969">
        <v>1.110277</v>
      </c>
      <c r="L4969">
        <v>17.847439999999999</v>
      </c>
      <c r="M4969">
        <v>0.99904789999999999</v>
      </c>
      <c r="N4969">
        <v>-1.408951E-2</v>
      </c>
      <c r="O4969">
        <v>-4.1289779999999998E-2</v>
      </c>
      <c r="P4969">
        <v>0.91469330000000004</v>
      </c>
      <c r="Q4969">
        <v>0.39642509999999997</v>
      </c>
      <c r="R4969">
        <v>7.8635189999999994E-2</v>
      </c>
      <c r="S4969">
        <v>3.4544069999999998</v>
      </c>
      <c r="T4969">
        <v>-0.39787299999999998</v>
      </c>
      <c r="U4969">
        <v>-4.6447750000000003E-2</v>
      </c>
      <c r="V4969">
        <v>-0.11577469999999999</v>
      </c>
      <c r="W4969">
        <v>0.40937679999999999</v>
      </c>
      <c r="X4969">
        <v>0.90498999999999996</v>
      </c>
      <c r="Y4969">
        <v>-2.744311E-2</v>
      </c>
      <c r="Z4969">
        <v>5.9274439999999996E-3</v>
      </c>
      <c r="AA4969">
        <v>0.99960579999999999</v>
      </c>
      <c r="AB4969">
        <v>38</v>
      </c>
      <c r="AC4969">
        <v>0.66910000000001402</v>
      </c>
      <c r="AD4969">
        <v>-0.1173807</v>
      </c>
      <c r="AE4969">
        <v>7.7000000000282398E-4</v>
      </c>
      <c r="AF4969">
        <v>-2.75511648052045E-2</v>
      </c>
      <c r="AG4969">
        <v>-0.1173807</v>
      </c>
      <c r="AH4969">
        <v>0.64853814608796001</v>
      </c>
      <c r="AI4969">
        <v>100.25001049130501</v>
      </c>
      <c r="AJ4969">
        <v>92.432573750171102</v>
      </c>
      <c r="AK4969">
        <v>0.65965068206272803</v>
      </c>
      <c r="AL4969">
        <v>65.834308222875507</v>
      </c>
      <c r="AM4969">
        <v>97.290208442414198</v>
      </c>
      <c r="AN4969">
        <v>1.0000000228191599</v>
      </c>
    </row>
    <row r="4970" spans="1:40" x14ac:dyDescent="0.25">
      <c r="A4970" t="str">
        <f>"20190304164510449"</f>
        <v>20190304164510449</v>
      </c>
      <c r="B4970" t="str">
        <f>"1551689110445365"</f>
        <v>1551689110445365</v>
      </c>
      <c r="C4970" t="s">
        <v>40</v>
      </c>
      <c r="D4970">
        <v>5.3358109999999996</v>
      </c>
      <c r="E4970">
        <v>0.55388649999999995</v>
      </c>
      <c r="F4970" t="s">
        <v>41</v>
      </c>
      <c r="G4970">
        <v>-359.71960000000001</v>
      </c>
      <c r="H4970">
        <v>0.99486280000000005</v>
      </c>
      <c r="I4970">
        <v>17.83445</v>
      </c>
      <c r="J4970">
        <v>-360.51499999999999</v>
      </c>
      <c r="K4970">
        <v>1.1102719999999999</v>
      </c>
      <c r="L4970">
        <v>17.83832</v>
      </c>
      <c r="M4970">
        <v>0.99903359999999997</v>
      </c>
      <c r="N4970">
        <v>-1.408937E-2</v>
      </c>
      <c r="O4970">
        <v>-4.163646E-2</v>
      </c>
      <c r="P4970">
        <v>0.91448529999999995</v>
      </c>
      <c r="Q4970">
        <v>0.39683889999999999</v>
      </c>
      <c r="R4970">
        <v>7.8966809999999998E-2</v>
      </c>
      <c r="S4970">
        <v>3.4548339999999902</v>
      </c>
      <c r="T4970">
        <v>-0.39517190000000002</v>
      </c>
      <c r="U4970">
        <v>-4.4250490000000003E-2</v>
      </c>
      <c r="V4970">
        <v>-0.1163986</v>
      </c>
      <c r="W4970">
        <v>0.40979179999999998</v>
      </c>
      <c r="X4970">
        <v>0.90472209999999997</v>
      </c>
      <c r="Y4970">
        <v>-2.8424270000000001E-2</v>
      </c>
      <c r="Z4970">
        <v>5.9815839999999999E-3</v>
      </c>
      <c r="AA4970">
        <v>0.99957810000000002</v>
      </c>
      <c r="AB4970">
        <v>38</v>
      </c>
      <c r="AC4970">
        <v>0.79539999999997202</v>
      </c>
      <c r="AD4970">
        <v>-0.115409199999999</v>
      </c>
      <c r="AE4970">
        <v>-3.8699999999991502E-3</v>
      </c>
      <c r="AF4970">
        <v>-2.8651108994461001E-2</v>
      </c>
      <c r="AG4970">
        <v>-0.115409199999999</v>
      </c>
      <c r="AH4970">
        <v>0.77848242241674703</v>
      </c>
      <c r="AI4970">
        <v>98.426996969284801</v>
      </c>
      <c r="AJ4970">
        <v>92.107750914891497</v>
      </c>
      <c r="AK4970">
        <v>0.78751193737180802</v>
      </c>
      <c r="AL4970">
        <v>65.808243732033702</v>
      </c>
      <c r="AM4970">
        <v>97.331215355364606</v>
      </c>
      <c r="AN4970">
        <v>1.0000000158288</v>
      </c>
    </row>
    <row r="4971" spans="1:40" x14ac:dyDescent="0.25">
      <c r="A4971" t="str">
        <f>"20190304164510461"</f>
        <v>20190304164510461</v>
      </c>
      <c r="B4971" t="str">
        <f>"1551689110455125"</f>
        <v>1551689110455125</v>
      </c>
      <c r="C4971" t="s">
        <v>40</v>
      </c>
      <c r="D4971">
        <v>5.3059649999999996</v>
      </c>
      <c r="E4971">
        <v>0.55389929999999998</v>
      </c>
      <c r="F4971" t="s">
        <v>41</v>
      </c>
      <c r="G4971">
        <v>-359.70870000000002</v>
      </c>
      <c r="H4971">
        <v>1.018359</v>
      </c>
      <c r="I4971">
        <v>17.82799</v>
      </c>
      <c r="J4971">
        <v>-360.2919</v>
      </c>
      <c r="K4971">
        <v>1.1102639999999999</v>
      </c>
      <c r="L4971">
        <v>17.828700000000001</v>
      </c>
      <c r="M4971">
        <v>0.99901819999999997</v>
      </c>
      <c r="N4971">
        <v>-1.408908E-2</v>
      </c>
      <c r="O4971">
        <v>-4.2001360000000001E-2</v>
      </c>
      <c r="P4971">
        <v>0.91425080000000003</v>
      </c>
      <c r="Q4971">
        <v>0.3972965</v>
      </c>
      <c r="R4971">
        <v>7.9379370000000005E-2</v>
      </c>
      <c r="S4971">
        <v>3.4552610000000001</v>
      </c>
      <c r="T4971">
        <v>-0.39387539999999999</v>
      </c>
      <c r="U4971">
        <v>-4.3945310000000001E-2</v>
      </c>
      <c r="V4971">
        <v>-0.117118899999999</v>
      </c>
      <c r="W4971">
        <v>0.4102498</v>
      </c>
      <c r="X4971">
        <v>0.90442149999999999</v>
      </c>
      <c r="Y4971">
        <v>-2.8877070000000001E-2</v>
      </c>
      <c r="Z4971">
        <v>6.0252719999999999E-3</v>
      </c>
      <c r="AA4971">
        <v>0.99956480000000003</v>
      </c>
      <c r="AB4971">
        <v>38</v>
      </c>
      <c r="AC4971">
        <v>0.58319999999997596</v>
      </c>
      <c r="AD4971">
        <v>-9.1904999999999903E-2</v>
      </c>
      <c r="AE4971">
        <v>-7.1000000000154197E-4</v>
      </c>
      <c r="AF4971">
        <v>-2.3211814787518999E-2</v>
      </c>
      <c r="AG4971">
        <v>-9.1904999999999903E-2</v>
      </c>
      <c r="AH4971">
        <v>0.56859472979251202</v>
      </c>
      <c r="AI4971">
        <v>99.174101411272105</v>
      </c>
      <c r="AJ4971">
        <v>92.337694841283593</v>
      </c>
      <c r="AK4971">
        <v>0.57644191738504702</v>
      </c>
      <c r="AL4971">
        <v>65.779471992850802</v>
      </c>
      <c r="AM4971">
        <v>97.378508992854293</v>
      </c>
      <c r="AN4971">
        <v>0.99999999239975002</v>
      </c>
    </row>
    <row r="4972" spans="1:40" x14ac:dyDescent="0.25">
      <c r="A4972" t="str">
        <f>"20190304164510473"</f>
        <v>20190304164510473</v>
      </c>
      <c r="B4972" t="str">
        <f>"1551689110464885"</f>
        <v>1551689110464885</v>
      </c>
      <c r="C4972" t="s">
        <v>40</v>
      </c>
      <c r="D4972">
        <v>5.2656780000000003</v>
      </c>
      <c r="E4972">
        <v>0.55391999999999997</v>
      </c>
      <c r="F4972" t="s">
        <v>41</v>
      </c>
      <c r="G4972">
        <v>-359.37580000000003</v>
      </c>
      <c r="H4972">
        <v>1.006251</v>
      </c>
      <c r="I4972">
        <v>17.816770000000002</v>
      </c>
      <c r="J4972">
        <v>-360.0917</v>
      </c>
      <c r="K4972">
        <v>1.110255</v>
      </c>
      <c r="L4972">
        <v>17.820039999999999</v>
      </c>
      <c r="M4972">
        <v>0.99900440000000001</v>
      </c>
      <c r="N4972">
        <v>-1.4088730000000001E-2</v>
      </c>
      <c r="O4972">
        <v>-4.2330590000000001E-2</v>
      </c>
      <c r="P4972">
        <v>0.91416589999999998</v>
      </c>
      <c r="Q4972">
        <v>0.39747100000000002</v>
      </c>
      <c r="R4972">
        <v>7.9482789999999998E-2</v>
      </c>
      <c r="S4972">
        <v>3.4555660000000001</v>
      </c>
      <c r="T4972">
        <v>-0.39224389999999998</v>
      </c>
      <c r="U4972">
        <v>-4.3212889999999997E-2</v>
      </c>
      <c r="V4972">
        <v>-0.11750629999999999</v>
      </c>
      <c r="W4972">
        <v>0.41042580000000001</v>
      </c>
      <c r="X4972">
        <v>0.90429139999999997</v>
      </c>
      <c r="Y4972">
        <v>-2.9417579999999999E-2</v>
      </c>
      <c r="Z4972">
        <v>6.0653159999999899E-3</v>
      </c>
      <c r="AA4972">
        <v>0.99954880000000002</v>
      </c>
      <c r="AB4972">
        <v>38</v>
      </c>
      <c r="AC4972">
        <v>0.715899999999976</v>
      </c>
      <c r="AD4972">
        <v>-0.104004</v>
      </c>
      <c r="AE4972">
        <v>-3.2699999999969902E-3</v>
      </c>
      <c r="AF4972">
        <v>-2.6481513040667998E-2</v>
      </c>
      <c r="AG4972">
        <v>-0.104004</v>
      </c>
      <c r="AH4972">
        <v>0.70061020627770998</v>
      </c>
      <c r="AI4972">
        <v>98.4378263864199</v>
      </c>
      <c r="AJ4972">
        <v>92.164623028103605</v>
      </c>
      <c r="AK4972">
        <v>0.70878259268228205</v>
      </c>
      <c r="AL4972">
        <v>65.768414354411107</v>
      </c>
      <c r="AM4972">
        <v>97.403698191727202</v>
      </c>
      <c r="AN4972">
        <v>1.00000000197964</v>
      </c>
    </row>
    <row r="4973" spans="1:40" x14ac:dyDescent="0.25">
      <c r="A4973" t="str">
        <f>"20190304164510495"</f>
        <v>20190304164510495</v>
      </c>
      <c r="B4973" t="str">
        <f>"1551689110485382"</f>
        <v>1551689110485382</v>
      </c>
      <c r="C4973" t="s">
        <v>40</v>
      </c>
      <c r="D4973">
        <v>5.37418</v>
      </c>
      <c r="E4973">
        <v>0.55392839999999999</v>
      </c>
      <c r="F4973" t="s">
        <v>41</v>
      </c>
      <c r="G4973">
        <v>-359.36290000000002</v>
      </c>
      <c r="H4973">
        <v>1.0275909999999999</v>
      </c>
      <c r="I4973">
        <v>17.810459999999999</v>
      </c>
      <c r="J4973">
        <v>-359.75150000000002</v>
      </c>
      <c r="K4973">
        <v>1.1102369999999999</v>
      </c>
      <c r="L4973">
        <v>17.80508</v>
      </c>
      <c r="M4973">
        <v>0.99898030000000004</v>
      </c>
      <c r="N4973">
        <v>-1.408796E-2</v>
      </c>
      <c r="O4973">
        <v>-4.289639E-2</v>
      </c>
      <c r="P4973">
        <v>0.91418670000000002</v>
      </c>
      <c r="Q4973">
        <v>0.39735690000000001</v>
      </c>
      <c r="R4973">
        <v>7.981394E-2</v>
      </c>
      <c r="S4973">
        <v>3.4558409999999999</v>
      </c>
      <c r="T4973">
        <v>-0.39191910000000002</v>
      </c>
      <c r="U4973">
        <v>-4.3182369999999998E-2</v>
      </c>
      <c r="V4973">
        <v>-0.1183371</v>
      </c>
      <c r="W4973">
        <v>0.41031669999999998</v>
      </c>
      <c r="X4973">
        <v>0.90423260000000005</v>
      </c>
      <c r="Y4973">
        <v>-2.9987420000000001E-2</v>
      </c>
      <c r="Z4973">
        <v>6.1517059999999998E-3</v>
      </c>
      <c r="AA4973">
        <v>0.99953130000000001</v>
      </c>
      <c r="AB4973">
        <v>38</v>
      </c>
      <c r="AC4973">
        <v>0.388599999999996</v>
      </c>
      <c r="AD4973">
        <v>-8.2646000000000205E-2</v>
      </c>
      <c r="AE4973">
        <v>5.3799999999988198E-3</v>
      </c>
      <c r="AF4973">
        <v>-2.1092385684388201E-2</v>
      </c>
      <c r="AG4973">
        <v>-8.2646000000000205E-2</v>
      </c>
      <c r="AH4973">
        <v>0.371223750448196</v>
      </c>
      <c r="AI4973">
        <v>102.53156549711601</v>
      </c>
      <c r="AJ4973">
        <v>93.2519651597988</v>
      </c>
      <c r="AK4973">
        <v>0.38089673527963303</v>
      </c>
      <c r="AL4973">
        <v>65.7752698021024</v>
      </c>
      <c r="AM4973">
        <v>97.455936764777604</v>
      </c>
      <c r="AN4973">
        <v>1.0000000292190201</v>
      </c>
    </row>
    <row r="4974" spans="1:40" x14ac:dyDescent="0.25">
      <c r="A4974" t="str">
        <f>"20190304164510515"</f>
        <v>20190304164510515</v>
      </c>
      <c r="B4974" t="str">
        <f>"1551689110504901"</f>
        <v>1551689110504901</v>
      </c>
      <c r="C4974" t="s">
        <v>40</v>
      </c>
      <c r="D4974">
        <v>5.3005599999999999</v>
      </c>
      <c r="E4974">
        <v>0.5539615</v>
      </c>
      <c r="F4974" t="s">
        <v>41</v>
      </c>
      <c r="G4974">
        <v>-358.70639999999997</v>
      </c>
      <c r="H4974">
        <v>0.99135969999999995</v>
      </c>
      <c r="I4974">
        <v>17.79205</v>
      </c>
      <c r="J4974">
        <v>-359.3852</v>
      </c>
      <c r="K4974">
        <v>1.110228</v>
      </c>
      <c r="L4974">
        <v>17.788789999999999</v>
      </c>
      <c r="M4974">
        <v>0.9989538</v>
      </c>
      <c r="N4974">
        <v>-1.408685E-2</v>
      </c>
      <c r="O4974">
        <v>-4.3506910000000003E-2</v>
      </c>
      <c r="P4974">
        <v>0.91453300000000004</v>
      </c>
      <c r="Q4974">
        <v>0.39645799999999998</v>
      </c>
      <c r="R4974">
        <v>8.0314060000000007E-2</v>
      </c>
      <c r="S4974">
        <v>3.4561459999999999</v>
      </c>
      <c r="T4974">
        <v>-0.39306740000000001</v>
      </c>
      <c r="U4974">
        <v>-4.1992189999999999E-2</v>
      </c>
      <c r="V4974">
        <v>-0.1193984</v>
      </c>
      <c r="W4974">
        <v>0.40942509999999999</v>
      </c>
      <c r="X4974">
        <v>0.90449710000000005</v>
      </c>
      <c r="Y4974">
        <v>-3.0931150000000001E-2</v>
      </c>
      <c r="Z4974">
        <v>6.2909719999999997E-3</v>
      </c>
      <c r="AA4974">
        <v>0.99950170000000005</v>
      </c>
      <c r="AB4974">
        <v>38</v>
      </c>
      <c r="AC4974">
        <v>0.67880000000002305</v>
      </c>
      <c r="AD4974">
        <v>-0.1188683</v>
      </c>
      <c r="AE4974">
        <v>3.2600000000009201E-3</v>
      </c>
      <c r="AF4974">
        <v>-3.1816685506657602E-2</v>
      </c>
      <c r="AG4974">
        <v>-0.1188683</v>
      </c>
      <c r="AH4974">
        <v>0.65784275113068502</v>
      </c>
      <c r="AI4974">
        <v>100.230783776725</v>
      </c>
      <c r="AJ4974">
        <v>92.768963202137996</v>
      </c>
      <c r="AK4974">
        <v>0.66925261257368895</v>
      </c>
      <c r="AL4974">
        <v>65.831273042499703</v>
      </c>
      <c r="AM4974">
        <v>97.519868105102205</v>
      </c>
      <c r="AN4974">
        <v>0.99999994717048801</v>
      </c>
    </row>
    <row r="4975" spans="1:40" x14ac:dyDescent="0.25">
      <c r="A4975" t="str">
        <f>"20190304164510538"</f>
        <v>20190304164510538</v>
      </c>
      <c r="B4975" t="str">
        <f>"1551689110525397"</f>
        <v>1551689110525397</v>
      </c>
      <c r="C4975" t="s">
        <v>40</v>
      </c>
      <c r="D4975">
        <v>5.3135690000000002</v>
      </c>
      <c r="E4975">
        <v>0.55400130000000003</v>
      </c>
      <c r="F4975" t="s">
        <v>41</v>
      </c>
      <c r="G4975">
        <v>-358.36770000000001</v>
      </c>
      <c r="H4975">
        <v>0.99333039999999995</v>
      </c>
      <c r="I4975">
        <v>17.776869999999999</v>
      </c>
      <c r="J4975">
        <v>-359.01650000000001</v>
      </c>
      <c r="K4975">
        <v>1.1102270000000001</v>
      </c>
      <c r="L4975">
        <v>17.772089999999999</v>
      </c>
      <c r="M4975">
        <v>0.99892700000000001</v>
      </c>
      <c r="N4975">
        <v>-1.408571E-2</v>
      </c>
      <c r="O4975">
        <v>-4.4117879999999998E-2</v>
      </c>
      <c r="P4975">
        <v>0.91461939999999997</v>
      </c>
      <c r="Q4975">
        <v>0.39614080000000002</v>
      </c>
      <c r="R4975">
        <v>8.089462E-2</v>
      </c>
      <c r="S4975">
        <v>3.455994</v>
      </c>
      <c r="T4975">
        <v>-0.39702080000000001</v>
      </c>
      <c r="U4975">
        <v>-3.9978029999999998E-2</v>
      </c>
      <c r="V4975">
        <v>-0.1205362</v>
      </c>
      <c r="W4975">
        <v>0.40910920000000001</v>
      </c>
      <c r="X4975">
        <v>0.90448919999999999</v>
      </c>
      <c r="Y4975">
        <v>-3.2103329999999999E-2</v>
      </c>
      <c r="Z4975">
        <v>6.4948790000000003E-3</v>
      </c>
      <c r="AA4975">
        <v>0.9994634</v>
      </c>
      <c r="AB4975">
        <v>38</v>
      </c>
      <c r="AC4975">
        <v>0.64879999999999405</v>
      </c>
      <c r="AD4975">
        <v>-0.1168966</v>
      </c>
      <c r="AE4975">
        <v>4.7800000000037804E-3</v>
      </c>
      <c r="AF4975">
        <v>-3.2351705736122401E-2</v>
      </c>
      <c r="AG4975">
        <v>-0.1168966</v>
      </c>
      <c r="AH4975">
        <v>0.62758536505291296</v>
      </c>
      <c r="AI4975">
        <v>100.53755331790001</v>
      </c>
      <c r="AJ4975">
        <v>92.950956176567601</v>
      </c>
      <c r="AK4975">
        <v>0.63919859072450602</v>
      </c>
      <c r="AL4975">
        <v>65.851111918862301</v>
      </c>
      <c r="AM4975">
        <v>97.590762076645305</v>
      </c>
      <c r="AN4975">
        <v>1.0000000129758599</v>
      </c>
    </row>
    <row r="4976" spans="1:40" x14ac:dyDescent="0.25">
      <c r="A4976" t="str">
        <f>"20190304164510558"</f>
        <v>20190304164510558</v>
      </c>
      <c r="B4976" t="str">
        <f>"1551689110555655"</f>
        <v>1551689110555655</v>
      </c>
      <c r="C4976" t="s">
        <v>40</v>
      </c>
      <c r="D4976">
        <v>5.3161860000000001</v>
      </c>
      <c r="E4976">
        <v>0.55404200000000003</v>
      </c>
      <c r="F4976" t="s">
        <v>41</v>
      </c>
      <c r="G4976">
        <v>-358.02879999999999</v>
      </c>
      <c r="H4976">
        <v>0.99626870000000001</v>
      </c>
      <c r="I4976">
        <v>17.760619999999999</v>
      </c>
      <c r="J4976">
        <v>-358.65820000000002</v>
      </c>
      <c r="K4976">
        <v>1.1102540000000001</v>
      </c>
      <c r="L4976">
        <v>17.755710000000001</v>
      </c>
      <c r="M4976">
        <v>0.99890199999999996</v>
      </c>
      <c r="N4976">
        <v>-1.408442E-2</v>
      </c>
      <c r="O4976">
        <v>-4.4683019999999997E-2</v>
      </c>
      <c r="P4976">
        <v>0.9145858</v>
      </c>
      <c r="Q4976">
        <v>0.39610849999999997</v>
      </c>
      <c r="R4976">
        <v>8.1431619999999996E-2</v>
      </c>
      <c r="S4976">
        <v>3.4561459999999999</v>
      </c>
      <c r="T4976">
        <v>-0.3986632</v>
      </c>
      <c r="U4976">
        <v>-3.9123539999999998E-2</v>
      </c>
      <c r="V4976">
        <v>-0.1215981</v>
      </c>
      <c r="W4976">
        <v>0.40907179999999999</v>
      </c>
      <c r="X4976">
        <v>0.9043639</v>
      </c>
      <c r="Y4976">
        <v>-3.2903590000000003E-2</v>
      </c>
      <c r="Z4976">
        <v>6.6315829999999999E-3</v>
      </c>
      <c r="AA4976">
        <v>0.99943660000000001</v>
      </c>
      <c r="AB4976">
        <v>38</v>
      </c>
      <c r="AC4976">
        <v>0.62940000000003204</v>
      </c>
      <c r="AD4976">
        <v>-0.1139853</v>
      </c>
      <c r="AE4976">
        <v>4.9099999999988597E-3</v>
      </c>
      <c r="AF4976">
        <v>-3.1982485417680499E-2</v>
      </c>
      <c r="AG4976">
        <v>-0.1139853</v>
      </c>
      <c r="AH4976">
        <v>0.60859256497818603</v>
      </c>
      <c r="AI4976">
        <v>100.59392634766201</v>
      </c>
      <c r="AJ4976">
        <v>93.008215094475801</v>
      </c>
      <c r="AK4976">
        <v>0.62000035333563297</v>
      </c>
      <c r="AL4976">
        <v>65.853458647729695</v>
      </c>
      <c r="AM4976">
        <v>97.657893506881507</v>
      </c>
      <c r="AN4976">
        <v>0.999999949551028</v>
      </c>
    </row>
    <row r="4977" spans="1:40" x14ac:dyDescent="0.25">
      <c r="A4977" t="str">
        <f>"20190304164510572"</f>
        <v>20190304164510572</v>
      </c>
      <c r="B4977" t="str">
        <f>"1551689110565414"</f>
        <v>1551689110565414</v>
      </c>
      <c r="C4977" t="s">
        <v>40</v>
      </c>
      <c r="D4977">
        <v>5.3505180000000001</v>
      </c>
      <c r="E4977">
        <v>0.55404249999999999</v>
      </c>
      <c r="F4977" t="s">
        <v>41</v>
      </c>
      <c r="G4977">
        <v>-357.69069999999999</v>
      </c>
      <c r="H4977">
        <v>0.99828360000000005</v>
      </c>
      <c r="I4977">
        <v>17.745229999999999</v>
      </c>
      <c r="J4977">
        <v>-358.42570000000001</v>
      </c>
      <c r="K4977">
        <v>1.1102780000000001</v>
      </c>
      <c r="L4977">
        <v>17.74503</v>
      </c>
      <c r="M4977">
        <v>0.99888670000000002</v>
      </c>
      <c r="N4977">
        <v>-1.408354E-2</v>
      </c>
      <c r="O4977">
        <v>-4.5022989999999999E-2</v>
      </c>
      <c r="P4977">
        <v>0.91471990000000003</v>
      </c>
      <c r="Q4977">
        <v>0.39578720000000001</v>
      </c>
      <c r="R4977">
        <v>8.1485959999999996E-2</v>
      </c>
      <c r="S4977">
        <v>3.4567570000000001</v>
      </c>
      <c r="T4977">
        <v>-0.40012989999999998</v>
      </c>
      <c r="U4977">
        <v>-3.6987300000000001E-2</v>
      </c>
      <c r="V4977">
        <v>-0.1219871</v>
      </c>
      <c r="W4977">
        <v>0.40874640000000001</v>
      </c>
      <c r="X4977">
        <v>0.90445869999999995</v>
      </c>
      <c r="Y4977">
        <v>-3.3850999999999999E-2</v>
      </c>
      <c r="Z4977">
        <v>6.7518639999999998E-3</v>
      </c>
      <c r="AA4977">
        <v>0.99940410000000002</v>
      </c>
      <c r="AB4977">
        <v>38</v>
      </c>
      <c r="AC4977">
        <v>0.73500000000001298</v>
      </c>
      <c r="AD4977">
        <v>-0.11199439999999999</v>
      </c>
      <c r="AE4977">
        <v>1.9999999999953299E-4</v>
      </c>
      <c r="AF4977">
        <v>-3.2539486411461198E-2</v>
      </c>
      <c r="AG4977">
        <v>-0.11199439999999999</v>
      </c>
      <c r="AH4977">
        <v>0.71758489923059798</v>
      </c>
      <c r="AI4977">
        <v>98.861702018069707</v>
      </c>
      <c r="AJ4977">
        <v>92.596346362021507</v>
      </c>
      <c r="AK4977">
        <v>0.72700044801297703</v>
      </c>
      <c r="AL4977">
        <v>65.873890248861102</v>
      </c>
      <c r="AM4977">
        <v>97.681303925171306</v>
      </c>
      <c r="AN4977">
        <v>1.00000000604253</v>
      </c>
    </row>
    <row r="4978" spans="1:40" x14ac:dyDescent="0.25">
      <c r="A4978" t="str">
        <f>"20190304164510584"</f>
        <v>20190304164510584</v>
      </c>
      <c r="B4978" t="str">
        <f>"1551689110575174"</f>
        <v>1551689110575174</v>
      </c>
      <c r="C4978" t="s">
        <v>40</v>
      </c>
      <c r="D4978">
        <v>5.3081659999999999</v>
      </c>
      <c r="E4978">
        <v>0.55406899999999903</v>
      </c>
      <c r="F4978" t="s">
        <v>41</v>
      </c>
      <c r="G4978">
        <v>-357.67689999999999</v>
      </c>
      <c r="H4978">
        <v>1.02325</v>
      </c>
      <c r="I4978">
        <v>17.736969999999999</v>
      </c>
      <c r="J4978">
        <v>-358.2251</v>
      </c>
      <c r="K4978">
        <v>1.1103149999999999</v>
      </c>
      <c r="L4978">
        <v>17.735720000000001</v>
      </c>
      <c r="M4978">
        <v>0.99887550000000003</v>
      </c>
      <c r="N4978">
        <v>-1.408276E-2</v>
      </c>
      <c r="O4978">
        <v>-4.5271770000000003E-2</v>
      </c>
      <c r="P4978">
        <v>0.91475830000000002</v>
      </c>
      <c r="Q4978">
        <v>0.3956519</v>
      </c>
      <c r="R4978">
        <v>8.1711740000000005E-2</v>
      </c>
      <c r="S4978">
        <v>3.4567869999999998</v>
      </c>
      <c r="T4978">
        <v>-0.40185920000000003</v>
      </c>
      <c r="U4978">
        <v>-3.6590579999999998E-2</v>
      </c>
      <c r="V4978">
        <v>-0.12247230000000001</v>
      </c>
      <c r="W4978">
        <v>0.40860190000000002</v>
      </c>
      <c r="X4978">
        <v>0.90445850000000005</v>
      </c>
      <c r="Y4978">
        <v>-3.4206359999999998E-2</v>
      </c>
      <c r="Z4978">
        <v>6.8309269999999997E-3</v>
      </c>
      <c r="AA4978">
        <v>0.99939140000000004</v>
      </c>
      <c r="AB4978">
        <v>38</v>
      </c>
      <c r="AC4978">
        <v>0.54820000000000801</v>
      </c>
      <c r="AD4978">
        <v>-8.7064999999999906E-2</v>
      </c>
      <c r="AE4978">
        <v>1.2499999999988601E-3</v>
      </c>
      <c r="AF4978">
        <v>-2.5427782359737999E-2</v>
      </c>
      <c r="AG4978">
        <v>-8.7064999999999906E-2</v>
      </c>
      <c r="AH4978">
        <v>0.53410907988742895</v>
      </c>
      <c r="AI4978">
        <v>99.248047204662498</v>
      </c>
      <c r="AJ4978">
        <v>92.725670590590994</v>
      </c>
      <c r="AK4978">
        <v>0.54175584496979001</v>
      </c>
      <c r="AL4978">
        <v>65.882963430807607</v>
      </c>
      <c r="AM4978">
        <v>97.711490850433506</v>
      </c>
      <c r="AN4978">
        <v>1.0000000775865701</v>
      </c>
    </row>
    <row r="4979" spans="1:40" x14ac:dyDescent="0.25">
      <c r="A4979" t="str">
        <f>"20190304164510597"</f>
        <v>20190304164510597</v>
      </c>
      <c r="B4979" t="str">
        <f>"1551689110584936"</f>
        <v>1551689110584936</v>
      </c>
      <c r="C4979" t="s">
        <v>40</v>
      </c>
      <c r="D4979">
        <v>5.3112839999999997</v>
      </c>
      <c r="E4979">
        <v>0.55406899999999903</v>
      </c>
      <c r="F4979" t="s">
        <v>41</v>
      </c>
      <c r="G4979">
        <v>-357.34930000000003</v>
      </c>
      <c r="H4979">
        <v>1.008281</v>
      </c>
      <c r="I4979">
        <v>17.726379999999999</v>
      </c>
      <c r="J4979">
        <v>-358.00790000000001</v>
      </c>
      <c r="K4979">
        <v>1.110363</v>
      </c>
      <c r="L4979">
        <v>17.725680000000001</v>
      </c>
      <c r="M4979">
        <v>0.99886439999999999</v>
      </c>
      <c r="N4979">
        <v>-1.408182E-2</v>
      </c>
      <c r="O4979">
        <v>-4.5514739999999998E-2</v>
      </c>
      <c r="P4979">
        <v>0.91459100000000004</v>
      </c>
      <c r="Q4979">
        <v>0.3960148</v>
      </c>
      <c r="R4979">
        <v>8.1828730000000002E-2</v>
      </c>
      <c r="S4979">
        <v>3.4569399999999999</v>
      </c>
      <c r="T4979">
        <v>-0.40268710000000002</v>
      </c>
      <c r="U4979">
        <v>-3.567505E-2</v>
      </c>
      <c r="V4979">
        <v>-0.1228438</v>
      </c>
      <c r="W4979">
        <v>0.40894910000000001</v>
      </c>
      <c r="X4979">
        <v>0.90425109999999997</v>
      </c>
      <c r="Y4979">
        <v>-3.4707450000000001E-2</v>
      </c>
      <c r="Z4979">
        <v>6.9028450000000003E-3</v>
      </c>
      <c r="AA4979">
        <v>0.99937370000000003</v>
      </c>
      <c r="AB4979">
        <v>38</v>
      </c>
      <c r="AC4979">
        <v>0.65859999999997798</v>
      </c>
      <c r="AD4979">
        <v>-0.10208200000000001</v>
      </c>
      <c r="AE4979">
        <v>6.9999999999836805E-4</v>
      </c>
      <c r="AF4979">
        <v>-2.9958516586395201E-2</v>
      </c>
      <c r="AG4979">
        <v>-0.10208200000000001</v>
      </c>
      <c r="AH4979">
        <v>0.64245090904694202</v>
      </c>
      <c r="AI4979">
        <v>99.018875027818495</v>
      </c>
      <c r="AJ4979">
        <v>92.669860031062498</v>
      </c>
      <c r="AK4979">
        <v>0.65119998308914195</v>
      </c>
      <c r="AL4979">
        <v>65.861164236865704</v>
      </c>
      <c r="AM4979">
        <v>97.736352221502997</v>
      </c>
      <c r="AN4979">
        <v>1.0000000087202201</v>
      </c>
    </row>
    <row r="4980" spans="1:40" x14ac:dyDescent="0.25">
      <c r="A4980" t="str">
        <f>"20190304164510617"</f>
        <v>20190304164510617</v>
      </c>
      <c r="B4980" t="str">
        <f>"1551689110605429"</f>
        <v>1551689110605429</v>
      </c>
      <c r="C4980" t="s">
        <v>40</v>
      </c>
      <c r="D4980">
        <v>5.3441900000000002</v>
      </c>
      <c r="E4980">
        <v>0.55249539999999997</v>
      </c>
      <c r="F4980" t="s">
        <v>41</v>
      </c>
      <c r="G4980">
        <v>-357.01859999999999</v>
      </c>
      <c r="H4980">
        <v>0.99555329999999997</v>
      </c>
      <c r="I4980">
        <v>17.715229999999998</v>
      </c>
      <c r="J4980">
        <v>-357.68329999999997</v>
      </c>
      <c r="K4980">
        <v>1.11046</v>
      </c>
      <c r="L4980">
        <v>17.710570000000001</v>
      </c>
      <c r="M4980">
        <v>0.99885259999999998</v>
      </c>
      <c r="N4980">
        <v>-1.408012E-2</v>
      </c>
      <c r="O4980">
        <v>-4.5775919999999998E-2</v>
      </c>
      <c r="P4980">
        <v>0.91417619999999999</v>
      </c>
      <c r="Q4980">
        <v>0.39690579999999998</v>
      </c>
      <c r="R4980">
        <v>8.2144999999999996E-2</v>
      </c>
      <c r="S4980">
        <v>3.4570919999999998</v>
      </c>
      <c r="T4980">
        <v>-0.40123340000000002</v>
      </c>
      <c r="U4980">
        <v>-3.567505E-2</v>
      </c>
      <c r="V4980">
        <v>-0.1234661</v>
      </c>
      <c r="W4980">
        <v>0.40980569999999999</v>
      </c>
      <c r="X4980">
        <v>0.90377839999999998</v>
      </c>
      <c r="Y4980">
        <v>-3.496966E-2</v>
      </c>
      <c r="Z4980">
        <v>6.9199190000000001E-3</v>
      </c>
      <c r="AA4980">
        <v>0.99936440000000004</v>
      </c>
      <c r="AB4980">
        <v>38</v>
      </c>
      <c r="AC4980">
        <v>0.66469999999998197</v>
      </c>
      <c r="AD4980">
        <v>-0.114906699999999</v>
      </c>
      <c r="AE4980">
        <v>4.6599999999976599E-3</v>
      </c>
      <c r="AF4980">
        <v>-3.40673611796211E-2</v>
      </c>
      <c r="AG4980">
        <v>-0.114906699999999</v>
      </c>
      <c r="AH4980">
        <v>0.64452954038576105</v>
      </c>
      <c r="AI4980">
        <v>100.094686021676</v>
      </c>
      <c r="AJ4980">
        <v>93.025619767312094</v>
      </c>
      <c r="AK4980">
        <v>0.65557796121629397</v>
      </c>
      <c r="AL4980">
        <v>65.807370053646807</v>
      </c>
      <c r="AM4980">
        <v>97.779081520063798</v>
      </c>
      <c r="AN4980">
        <v>0.999999992954129</v>
      </c>
    </row>
    <row r="4981" spans="1:40" x14ac:dyDescent="0.25">
      <c r="A4981" t="str">
        <f>"20190304164510636"</f>
        <v>20190304164510636</v>
      </c>
      <c r="B4981" t="str">
        <f>"1551689110624949"</f>
        <v>1551689110624949</v>
      </c>
      <c r="C4981" t="s">
        <v>40</v>
      </c>
      <c r="D4981">
        <v>5.4709459999999996</v>
      </c>
      <c r="E4981">
        <v>0.55256159999999999</v>
      </c>
      <c r="F4981" t="s">
        <v>41</v>
      </c>
      <c r="G4981">
        <v>-356.69130000000001</v>
      </c>
      <c r="H4981">
        <v>0.97602029999999995</v>
      </c>
      <c r="I4981">
        <v>17.705860000000001</v>
      </c>
      <c r="J4981">
        <v>-357.34989999999999</v>
      </c>
      <c r="K4981">
        <v>1.1105830000000001</v>
      </c>
      <c r="L4981">
        <v>17.6951</v>
      </c>
      <c r="M4981">
        <v>0.99884629999999996</v>
      </c>
      <c r="N4981">
        <v>-1.407859E-2</v>
      </c>
      <c r="O4981">
        <v>-4.5911E-2</v>
      </c>
      <c r="P4981">
        <v>0.91343099999999999</v>
      </c>
      <c r="Q4981">
        <v>0.39857959999999998</v>
      </c>
      <c r="R4981">
        <v>8.2329360000000004E-2</v>
      </c>
      <c r="S4981">
        <v>3.488251</v>
      </c>
      <c r="T4981">
        <v>-0.47278700000000001</v>
      </c>
      <c r="U4981">
        <v>-1.525879E-2</v>
      </c>
      <c r="V4981">
        <v>-0.1238527</v>
      </c>
      <c r="W4981">
        <v>0.41143269999999998</v>
      </c>
      <c r="X4981">
        <v>0.90298599999999996</v>
      </c>
      <c r="Y4981">
        <v>-4.0796520000000003E-2</v>
      </c>
      <c r="Z4981">
        <v>8.5893180000000003E-3</v>
      </c>
      <c r="AA4981">
        <v>0.99913050000000003</v>
      </c>
      <c r="AB4981">
        <v>38</v>
      </c>
      <c r="AC4981">
        <v>0.65859999999997798</v>
      </c>
      <c r="AD4981">
        <v>-0.13456269999999901</v>
      </c>
      <c r="AE4981">
        <v>1.0760000000001199E-2</v>
      </c>
      <c r="AF4981">
        <v>-3.9346545196519901E-2</v>
      </c>
      <c r="AG4981">
        <v>-0.13456269999999901</v>
      </c>
      <c r="AH4981">
        <v>0.631074092582674</v>
      </c>
      <c r="AI4981">
        <v>102.01415631143701</v>
      </c>
      <c r="AJ4981">
        <v>93.567689760326402</v>
      </c>
      <c r="AK4981">
        <v>0.64645941959200903</v>
      </c>
      <c r="AL4981">
        <v>65.705134359893606</v>
      </c>
      <c r="AM4981">
        <v>97.809902993159398</v>
      </c>
      <c r="AN4981">
        <v>1.00000003706128</v>
      </c>
    </row>
    <row r="4982" spans="1:40" x14ac:dyDescent="0.25">
      <c r="A4982" t="str">
        <f>"20190304164510648"</f>
        <v>20190304164510648</v>
      </c>
      <c r="B4982" t="str">
        <f>"1551689110645446"</f>
        <v>1551689110645446</v>
      </c>
      <c r="C4982" t="s">
        <v>40</v>
      </c>
      <c r="D4982">
        <v>5.3269710000000003</v>
      </c>
      <c r="E4982">
        <v>0.55583309999999997</v>
      </c>
      <c r="F4982" t="s">
        <v>41</v>
      </c>
      <c r="G4982">
        <v>-356.35480000000001</v>
      </c>
      <c r="H4982">
        <v>0.97756699999999996</v>
      </c>
      <c r="I4982">
        <v>17.690829999999998</v>
      </c>
      <c r="J4982">
        <v>-357.1454</v>
      </c>
      <c r="K4982">
        <v>1.11066</v>
      </c>
      <c r="L4982">
        <v>17.685669999999998</v>
      </c>
      <c r="M4982">
        <v>0.99884609999999996</v>
      </c>
      <c r="N4982">
        <v>-1.407779E-2</v>
      </c>
      <c r="O4982">
        <v>-4.5916119999999998E-2</v>
      </c>
      <c r="P4982">
        <v>0.91311039999999999</v>
      </c>
      <c r="Q4982">
        <v>0.39943650000000003</v>
      </c>
      <c r="R4982">
        <v>8.1732910000000006E-2</v>
      </c>
      <c r="S4982">
        <v>3.4891359999999998</v>
      </c>
      <c r="T4982">
        <v>-0.46640470000000001</v>
      </c>
      <c r="U4982">
        <v>-1.4312739999999999E-2</v>
      </c>
      <c r="V4982">
        <v>-0.1233267</v>
      </c>
      <c r="W4982">
        <v>0.41226000000000002</v>
      </c>
      <c r="X4982">
        <v>0.90268060000000006</v>
      </c>
      <c r="Y4982">
        <v>-4.1091589999999997E-2</v>
      </c>
      <c r="Z4982">
        <v>8.4896750000000003E-3</v>
      </c>
      <c r="AA4982">
        <v>0.99911930000000004</v>
      </c>
      <c r="AB4982">
        <v>38</v>
      </c>
      <c r="AC4982">
        <v>0.79059999999998298</v>
      </c>
      <c r="AD4982">
        <v>-0.13309299999999999</v>
      </c>
      <c r="AE4982">
        <v>5.1599999999964999E-3</v>
      </c>
      <c r="AF4982">
        <v>-4.0316914049780703E-2</v>
      </c>
      <c r="AG4982">
        <v>-0.13309299999999999</v>
      </c>
      <c r="AH4982">
        <v>0.76777147261923195</v>
      </c>
      <c r="AI4982">
        <v>99.821210168046093</v>
      </c>
      <c r="AJ4982">
        <v>93.005932579353498</v>
      </c>
      <c r="AK4982">
        <v>0.78026420805737495</v>
      </c>
      <c r="AL4982">
        <v>65.653116874181904</v>
      </c>
      <c r="AM4982">
        <v>97.779740235505699</v>
      </c>
      <c r="AN4982">
        <v>1.0000000240746201</v>
      </c>
    </row>
    <row r="4983" spans="1:40" x14ac:dyDescent="0.25">
      <c r="A4983" t="str">
        <f>"20190304164510662"</f>
        <v>20190304164510662</v>
      </c>
      <c r="B4983" t="str">
        <f>"1551689110655206"</f>
        <v>1551689110655206</v>
      </c>
      <c r="C4983" t="s">
        <v>40</v>
      </c>
      <c r="D4983">
        <v>5.3757469999999996</v>
      </c>
      <c r="E4983">
        <v>0.55531790000000003</v>
      </c>
      <c r="F4983" t="s">
        <v>41</v>
      </c>
      <c r="G4983">
        <v>-356.33890000000002</v>
      </c>
      <c r="H4983">
        <v>1.013139</v>
      </c>
      <c r="I4983">
        <v>17.674979999999898</v>
      </c>
      <c r="J4983">
        <v>-356.92200000000003</v>
      </c>
      <c r="K4983">
        <v>1.1107560000000001</v>
      </c>
      <c r="L4983">
        <v>17.675419999999999</v>
      </c>
      <c r="M4983">
        <v>0.99884899999999999</v>
      </c>
      <c r="N4983">
        <v>-1.4076999999999999E-2</v>
      </c>
      <c r="O4983">
        <v>-4.5853070000000003E-2</v>
      </c>
      <c r="P4983">
        <v>0.91280779999999995</v>
      </c>
      <c r="Q4983">
        <v>0.40017920000000001</v>
      </c>
      <c r="R4983">
        <v>8.1477510000000003E-2</v>
      </c>
      <c r="S4983">
        <v>3.4732669999999999</v>
      </c>
      <c r="T4983">
        <v>-0.42002610000000001</v>
      </c>
      <c r="U4983">
        <v>-4.5227049999999998E-2</v>
      </c>
      <c r="V4983">
        <v>-0.12309290000000001</v>
      </c>
      <c r="W4983">
        <v>0.41297060000000002</v>
      </c>
      <c r="X4983">
        <v>0.90238759999999996</v>
      </c>
      <c r="Y4983">
        <v>-3.2323490000000003E-2</v>
      </c>
      <c r="Z4983">
        <v>7.0549460000000003E-3</v>
      </c>
      <c r="AA4983">
        <v>0.99945249999999997</v>
      </c>
      <c r="AB4983">
        <v>38</v>
      </c>
      <c r="AC4983">
        <v>0.583099999999944</v>
      </c>
      <c r="AD4983">
        <v>-9.7616999999999801E-2</v>
      </c>
      <c r="AE4983">
        <v>-4.4000000000465802E-4</v>
      </c>
      <c r="AF4983">
        <v>-2.55830415957016E-2</v>
      </c>
      <c r="AG4983">
        <v>-9.7616999999999801E-2</v>
      </c>
      <c r="AH4983">
        <v>0.56662635129359096</v>
      </c>
      <c r="AI4983">
        <v>99.765069926042202</v>
      </c>
      <c r="AJ4983">
        <v>92.585134828449</v>
      </c>
      <c r="AK4983">
        <v>0.57554234656241798</v>
      </c>
      <c r="AL4983">
        <v>65.608419109080998</v>
      </c>
      <c r="AM4983">
        <v>97.767662213966304</v>
      </c>
      <c r="AN4983">
        <v>0.99999997956426401</v>
      </c>
    </row>
    <row r="4984" spans="1:40" x14ac:dyDescent="0.25">
      <c r="A4984" t="str">
        <f>"20190304164510672"</f>
        <v>20190304164510672</v>
      </c>
      <c r="B4984" t="str">
        <f>"1551689110664966"</f>
        <v>1551689110664966</v>
      </c>
      <c r="C4984" t="s">
        <v>40</v>
      </c>
      <c r="D4984">
        <v>5.3617489999999997</v>
      </c>
      <c r="E4984">
        <v>0.55517539999999999</v>
      </c>
      <c r="F4984" t="s">
        <v>41</v>
      </c>
      <c r="G4984">
        <v>-356.0093</v>
      </c>
      <c r="H4984">
        <v>1.0001389999999999</v>
      </c>
      <c r="I4984">
        <v>17.6646</v>
      </c>
      <c r="J4984">
        <v>-356.72890000000001</v>
      </c>
      <c r="K4984">
        <v>1.110841</v>
      </c>
      <c r="L4984">
        <v>17.666599999999999</v>
      </c>
      <c r="M4984">
        <v>0.9988534</v>
      </c>
      <c r="N4984">
        <v>-1.407637E-2</v>
      </c>
      <c r="O4984">
        <v>-4.576065E-2</v>
      </c>
      <c r="P4984">
        <v>0.91264160000000005</v>
      </c>
      <c r="Q4984">
        <v>0.40071519999999999</v>
      </c>
      <c r="R4984">
        <v>8.0703469999999999E-2</v>
      </c>
      <c r="S4984">
        <v>3.4747620000000001</v>
      </c>
      <c r="T4984">
        <v>-0.42125119999999999</v>
      </c>
      <c r="U4984">
        <v>-3.9764399999999998E-2</v>
      </c>
      <c r="V4984">
        <v>-0.1223124</v>
      </c>
      <c r="W4984">
        <v>0.41347820000000002</v>
      </c>
      <c r="X4984">
        <v>0.90226130000000004</v>
      </c>
      <c r="Y4984">
        <v>-3.3793360000000001E-2</v>
      </c>
      <c r="Z4984">
        <v>7.1628289999999999E-3</v>
      </c>
      <c r="AA4984">
        <v>0.99940320000000005</v>
      </c>
      <c r="AB4984">
        <v>38</v>
      </c>
      <c r="AC4984">
        <v>0.71960000000001401</v>
      </c>
      <c r="AD4984">
        <v>-0.11070199999999999</v>
      </c>
      <c r="AE4984">
        <v>-1.9999999999988898E-3</v>
      </c>
      <c r="AF4984">
        <v>-3.0219540949472899E-2</v>
      </c>
      <c r="AG4984">
        <v>-0.11070199999999999</v>
      </c>
      <c r="AH4984">
        <v>0.70231651341770496</v>
      </c>
      <c r="AI4984">
        <v>98.949349597076093</v>
      </c>
      <c r="AJ4984">
        <v>92.463824709950202</v>
      </c>
      <c r="AK4984">
        <v>0.71162956548923595</v>
      </c>
      <c r="AL4984">
        <v>65.576481992351304</v>
      </c>
      <c r="AM4984">
        <v>97.720072638718904</v>
      </c>
      <c r="AN4984">
        <v>0.99999999927334504</v>
      </c>
    </row>
    <row r="4985" spans="1:40" x14ac:dyDescent="0.25">
      <c r="A4985" t="str">
        <f>"20190304164510686"</f>
        <v>20190304164510686</v>
      </c>
      <c r="B4985" t="str">
        <f>"1551689110675703"</f>
        <v>1551689110675703</v>
      </c>
      <c r="C4985" t="s">
        <v>40</v>
      </c>
      <c r="D4985">
        <v>5.3571720000000003</v>
      </c>
      <c r="E4985">
        <v>0.55586369999999996</v>
      </c>
      <c r="F4985" t="s">
        <v>41</v>
      </c>
      <c r="G4985">
        <v>-355.99720000000002</v>
      </c>
      <c r="H4985">
        <v>1.022167</v>
      </c>
      <c r="I4985">
        <v>17.657779999999999</v>
      </c>
      <c r="J4985">
        <v>-356.51859999999999</v>
      </c>
      <c r="K4985">
        <v>1.1109519999999999</v>
      </c>
      <c r="L4985">
        <v>17.657139999999998</v>
      </c>
      <c r="M4985">
        <v>0.99886390000000003</v>
      </c>
      <c r="N4985">
        <v>-1.4075850000000001E-2</v>
      </c>
      <c r="O4985">
        <v>-4.5528970000000002E-2</v>
      </c>
      <c r="P4985">
        <v>0.91261329999999996</v>
      </c>
      <c r="Q4985">
        <v>0.40089520000000001</v>
      </c>
      <c r="R4985">
        <v>8.0127100000000007E-2</v>
      </c>
      <c r="S4985">
        <v>3.475708</v>
      </c>
      <c r="T4985">
        <v>-0.42131229999999997</v>
      </c>
      <c r="U4985">
        <v>-4.01001E-2</v>
      </c>
      <c r="V4985">
        <v>-0.1216334</v>
      </c>
      <c r="W4985">
        <v>0.41362670000000001</v>
      </c>
      <c r="X4985">
        <v>0.902285</v>
      </c>
      <c r="Y4985">
        <v>-3.3472229999999999E-2</v>
      </c>
      <c r="Z4985">
        <v>7.1155209999999997E-3</v>
      </c>
      <c r="AA4985">
        <v>0.99941429999999998</v>
      </c>
      <c r="AB4985">
        <v>38</v>
      </c>
      <c r="AC4985">
        <v>0.521399999999971</v>
      </c>
      <c r="AD4985">
        <v>-8.8784999999999795E-2</v>
      </c>
      <c r="AE4985">
        <v>6.4000000000063995E-4</v>
      </c>
      <c r="AF4985">
        <v>-2.3693478346973901E-2</v>
      </c>
      <c r="AG4985">
        <v>-8.8784999999999795E-2</v>
      </c>
      <c r="AH4985">
        <v>0.50615369109942698</v>
      </c>
      <c r="AI4985">
        <v>99.938435425928404</v>
      </c>
      <c r="AJ4985">
        <v>92.680106986378505</v>
      </c>
      <c r="AK4985">
        <v>0.51442756162044101</v>
      </c>
      <c r="AL4985">
        <v>65.567136405378406</v>
      </c>
      <c r="AM4985">
        <v>97.677529082272699</v>
      </c>
      <c r="AN4985">
        <v>0.99999997608672397</v>
      </c>
    </row>
    <row r="4986" spans="1:40" x14ac:dyDescent="0.25">
      <c r="A4986" t="str">
        <f>"20190304164510699"</f>
        <v>20190304164510699</v>
      </c>
      <c r="B4986" t="str">
        <f>"1551689110695222"</f>
        <v>1551689110695222</v>
      </c>
      <c r="C4986" t="s">
        <v>40</v>
      </c>
      <c r="D4986">
        <v>5.6837759999999999</v>
      </c>
      <c r="E4986">
        <v>0.55968149999999905</v>
      </c>
      <c r="F4986" t="s">
        <v>41</v>
      </c>
      <c r="G4986">
        <v>-355.6705</v>
      </c>
      <c r="H4986">
        <v>1.0083299999999999</v>
      </c>
      <c r="I4986">
        <v>17.645610000000001</v>
      </c>
      <c r="J4986">
        <v>-356.31229999999999</v>
      </c>
      <c r="K4986">
        <v>1.11107</v>
      </c>
      <c r="L4986">
        <v>17.647919999999999</v>
      </c>
      <c r="M4986">
        <v>0.99887669999999995</v>
      </c>
      <c r="N4986">
        <v>-1.4075509999999999E-2</v>
      </c>
      <c r="O4986">
        <v>-4.524454E-2</v>
      </c>
      <c r="P4986">
        <v>0.91268519999999997</v>
      </c>
      <c r="Q4986">
        <v>0.40081080000000002</v>
      </c>
      <c r="R4986">
        <v>7.9728729999999998E-2</v>
      </c>
      <c r="S4986">
        <v>3.4761350000000002</v>
      </c>
      <c r="T4986">
        <v>-0.42067719999999997</v>
      </c>
      <c r="U4986">
        <v>-4.6325680000000001E-2</v>
      </c>
      <c r="V4986">
        <v>-0.12109449999999999</v>
      </c>
      <c r="W4986">
        <v>0.4135103</v>
      </c>
      <c r="X4986">
        <v>0.90241090000000002</v>
      </c>
      <c r="Y4986">
        <v>-3.1419540000000003E-2</v>
      </c>
      <c r="Z4986">
        <v>6.9346939999999999E-3</v>
      </c>
      <c r="AA4986">
        <v>0.99948219999999999</v>
      </c>
      <c r="AB4986">
        <v>38</v>
      </c>
      <c r="AC4986">
        <v>0.64179999999998905</v>
      </c>
      <c r="AD4986">
        <v>-0.10274</v>
      </c>
      <c r="AE4986">
        <v>-2.31000000000136E-3</v>
      </c>
      <c r="AF4986">
        <v>-2.6065253124426001E-2</v>
      </c>
      <c r="AG4986">
        <v>-0.10274</v>
      </c>
      <c r="AH4986">
        <v>0.62522537758727104</v>
      </c>
      <c r="AI4986">
        <v>99.323760643550997</v>
      </c>
      <c r="AJ4986">
        <v>92.387242673664801</v>
      </c>
      <c r="AK4986">
        <v>0.63414641668906802</v>
      </c>
      <c r="AL4986">
        <v>65.574463065501803</v>
      </c>
      <c r="AM4986">
        <v>97.642862813815</v>
      </c>
      <c r="AN4986">
        <v>1.0000000392875701</v>
      </c>
    </row>
    <row r="4987" spans="1:40" x14ac:dyDescent="0.25">
      <c r="A4987" t="str">
        <f>"20190304164510714"</f>
        <v>20190304164510714</v>
      </c>
      <c r="B4987" t="str">
        <f>"1551689110704981"</f>
        <v>1551689110704981</v>
      </c>
      <c r="C4987" t="s">
        <v>40</v>
      </c>
      <c r="D4987">
        <v>5.6467799999999997</v>
      </c>
      <c r="E4987">
        <v>0.56034919999999899</v>
      </c>
      <c r="F4987" t="s">
        <v>41</v>
      </c>
      <c r="G4987">
        <v>-355.35399999999998</v>
      </c>
      <c r="H4987">
        <v>0.97065349999999995</v>
      </c>
      <c r="I4987">
        <v>17.629069999999999</v>
      </c>
      <c r="J4987">
        <v>-356.03870000000001</v>
      </c>
      <c r="K4987">
        <v>1.111246</v>
      </c>
      <c r="L4987">
        <v>17.635860000000001</v>
      </c>
      <c r="M4987">
        <v>0.99889969999999995</v>
      </c>
      <c r="N4987">
        <v>-1.407549E-2</v>
      </c>
      <c r="O4987">
        <v>-4.4736020000000001E-2</v>
      </c>
      <c r="P4987">
        <v>0.91282059999999998</v>
      </c>
      <c r="Q4987">
        <v>0.4007657</v>
      </c>
      <c r="R4987">
        <v>7.8395229999999996E-2</v>
      </c>
      <c r="S4987">
        <v>3.519501</v>
      </c>
      <c r="T4987">
        <v>-0.51579699999999995</v>
      </c>
      <c r="U4987">
        <v>-6.8267820000000007E-2</v>
      </c>
      <c r="V4987">
        <v>-0.119474</v>
      </c>
      <c r="W4987">
        <v>0.41342050000000002</v>
      </c>
      <c r="X4987">
        <v>0.90266800000000003</v>
      </c>
      <c r="Y4987">
        <v>-2.4679059999999999E-2</v>
      </c>
      <c r="Z4987">
        <v>7.8649649999999998E-3</v>
      </c>
      <c r="AA4987">
        <v>0.99966449999999996</v>
      </c>
      <c r="AB4987">
        <v>38</v>
      </c>
      <c r="AC4987">
        <v>0.684699999999963</v>
      </c>
      <c r="AD4987">
        <v>-0.14059250000000001</v>
      </c>
      <c r="AE4987">
        <v>-6.7899999999987398E-3</v>
      </c>
      <c r="AF4987">
        <v>-2.2885765964356E-2</v>
      </c>
      <c r="AG4987">
        <v>-0.14059250000000001</v>
      </c>
      <c r="AH4987">
        <v>0.65663565356375797</v>
      </c>
      <c r="AI4987">
        <v>102.078033018295</v>
      </c>
      <c r="AJ4987">
        <v>91.996125607995296</v>
      </c>
      <c r="AK4987">
        <v>0.67190802262744997</v>
      </c>
      <c r="AL4987">
        <v>65.580113680123205</v>
      </c>
      <c r="AM4987">
        <v>97.539646960507</v>
      </c>
      <c r="AN4987">
        <v>1.0000000323601199</v>
      </c>
    </row>
    <row r="4988" spans="1:40" x14ac:dyDescent="0.25">
      <c r="A4988" t="str">
        <f>"20190304164510726"</f>
        <v>20190304164510726</v>
      </c>
      <c r="B4988" t="str">
        <f>"1551689110715718"</f>
        <v>1551689110715718</v>
      </c>
      <c r="C4988" t="s">
        <v>40</v>
      </c>
      <c r="D4988">
        <v>5.4498930000000003</v>
      </c>
      <c r="E4988">
        <v>0.55998179999999997</v>
      </c>
      <c r="F4988" t="s">
        <v>41</v>
      </c>
      <c r="G4988">
        <v>-355.02280000000002</v>
      </c>
      <c r="H4988">
        <v>0.96423890000000001</v>
      </c>
      <c r="I4988">
        <v>17.612779999999901</v>
      </c>
      <c r="J4988">
        <v>-355.84089999999998</v>
      </c>
      <c r="K4988">
        <v>1.111378</v>
      </c>
      <c r="L4988">
        <v>17.627410000000001</v>
      </c>
      <c r="M4988">
        <v>0.99892159999999997</v>
      </c>
      <c r="N4988">
        <v>-1.4076200000000001E-2</v>
      </c>
      <c r="O4988">
        <v>-4.4246290000000001E-2</v>
      </c>
      <c r="P4988">
        <v>0.91293749999999996</v>
      </c>
      <c r="Q4988">
        <v>0.40056969999999997</v>
      </c>
      <c r="R4988">
        <v>7.8033759999999994E-2</v>
      </c>
      <c r="S4988">
        <v>3.516785</v>
      </c>
      <c r="T4988">
        <v>-0.50896869999999905</v>
      </c>
      <c r="U4988">
        <v>-7.9650879999999993E-2</v>
      </c>
      <c r="V4988">
        <v>-0.1188036</v>
      </c>
      <c r="W4988">
        <v>0.41319119999999998</v>
      </c>
      <c r="X4988">
        <v>0.90286140000000004</v>
      </c>
      <c r="Y4988">
        <v>-2.1003259999999999E-2</v>
      </c>
      <c r="Z4988">
        <v>7.4076089999999999E-3</v>
      </c>
      <c r="AA4988">
        <v>0.99975199999999997</v>
      </c>
      <c r="AB4988">
        <v>38</v>
      </c>
      <c r="AC4988">
        <v>0.81809999999995797</v>
      </c>
      <c r="AD4988">
        <v>-0.147139099999999</v>
      </c>
      <c r="AE4988">
        <v>-1.46300000000039E-2</v>
      </c>
      <c r="AF4988">
        <v>-2.09096403572934E-2</v>
      </c>
      <c r="AG4988">
        <v>-0.147139099999999</v>
      </c>
      <c r="AH4988">
        <v>0.79232434863969203</v>
      </c>
      <c r="AI4988">
        <v>100.516725652166</v>
      </c>
      <c r="AJ4988">
        <v>91.5116992681168</v>
      </c>
      <c r="AK4988">
        <v>0.806142047815392</v>
      </c>
      <c r="AL4988">
        <v>65.594540344942303</v>
      </c>
      <c r="AM4988">
        <v>97.496234875611805</v>
      </c>
      <c r="AN4988">
        <v>0.99999998537017998</v>
      </c>
    </row>
    <row r="4989" spans="1:40" x14ac:dyDescent="0.25">
      <c r="A4989" t="str">
        <f>"20190304164510739"</f>
        <v>20190304164510739</v>
      </c>
      <c r="B4989" t="str">
        <f>"1551689110735238"</f>
        <v>1551689110735238</v>
      </c>
      <c r="C4989" t="s">
        <v>40</v>
      </c>
      <c r="D4989">
        <v>5.7865310000000001</v>
      </c>
      <c r="E4989">
        <v>0.5603882</v>
      </c>
      <c r="F4989" t="s">
        <v>41</v>
      </c>
      <c r="G4989">
        <v>-355.01100000000002</v>
      </c>
      <c r="H4989">
        <v>0.98963619999999997</v>
      </c>
      <c r="I4989">
        <v>17.60885</v>
      </c>
      <c r="J4989">
        <v>-355.6354</v>
      </c>
      <c r="K4989">
        <v>1.1115159999999999</v>
      </c>
      <c r="L4989">
        <v>17.61871</v>
      </c>
      <c r="M4989">
        <v>0.99894609999999995</v>
      </c>
      <c r="N4989">
        <v>-1.407695E-2</v>
      </c>
      <c r="O4989">
        <v>-4.3690039999999999E-2</v>
      </c>
      <c r="P4989">
        <v>0.91296140000000003</v>
      </c>
      <c r="Q4989">
        <v>0.40053610000000001</v>
      </c>
      <c r="R4989">
        <v>7.7926319999999993E-2</v>
      </c>
      <c r="S4989">
        <v>3.5193479999999999</v>
      </c>
      <c r="T4989">
        <v>-0.51635299999999995</v>
      </c>
      <c r="U4989">
        <v>-7.8369140000000004E-2</v>
      </c>
      <c r="V4989">
        <v>-0.1183255</v>
      </c>
      <c r="W4989">
        <v>0.41312130000000002</v>
      </c>
      <c r="X4989">
        <v>0.90295619999999999</v>
      </c>
      <c r="Y4989">
        <v>-2.08162E-2</v>
      </c>
      <c r="Z4989">
        <v>7.4268210000000001E-3</v>
      </c>
      <c r="AA4989">
        <v>0.99975570000000002</v>
      </c>
      <c r="AB4989">
        <v>38</v>
      </c>
      <c r="AC4989">
        <v>0.62440000000003604</v>
      </c>
      <c r="AD4989">
        <v>-0.121879799999999</v>
      </c>
      <c r="AE4989">
        <v>-9.8599999999997492E-3</v>
      </c>
      <c r="AF4989">
        <v>-1.6792522838040599E-2</v>
      </c>
      <c r="AG4989">
        <v>-0.121879799999999</v>
      </c>
      <c r="AH4989">
        <v>0.60132890081699297</v>
      </c>
      <c r="AI4989">
        <v>101.453380918062</v>
      </c>
      <c r="AJ4989">
        <v>91.599608292734402</v>
      </c>
      <c r="AK4989">
        <v>0.61378589217175605</v>
      </c>
      <c r="AL4989">
        <v>65.598939016725495</v>
      </c>
      <c r="AM4989">
        <v>97.465633857074394</v>
      </c>
      <c r="AN4989">
        <v>1.0000000157911899</v>
      </c>
    </row>
    <row r="4990" spans="1:40" x14ac:dyDescent="0.25">
      <c r="A4990" t="str">
        <f>"20190304164510751"</f>
        <v>20190304164510751</v>
      </c>
      <c r="B4990" t="str">
        <f>"1551689110744998"</f>
        <v>1551689110744998</v>
      </c>
      <c r="C4990" t="s">
        <v>40</v>
      </c>
      <c r="D4990">
        <v>5.6859149999999996</v>
      </c>
      <c r="E4990">
        <v>0.56050749999999905</v>
      </c>
      <c r="F4990" t="s">
        <v>41</v>
      </c>
      <c r="G4990">
        <v>-354.68520000000001</v>
      </c>
      <c r="H4990">
        <v>0.97217940000000003</v>
      </c>
      <c r="I4990">
        <v>17.59618</v>
      </c>
      <c r="J4990">
        <v>-355.42110000000002</v>
      </c>
      <c r="K4990">
        <v>1.111658</v>
      </c>
      <c r="L4990">
        <v>17.609860000000001</v>
      </c>
      <c r="M4990">
        <v>0.99897449999999999</v>
      </c>
      <c r="N4990">
        <v>-1.407782E-2</v>
      </c>
      <c r="O4990">
        <v>-4.3035669999999998E-2</v>
      </c>
      <c r="P4990">
        <v>0.91284540000000003</v>
      </c>
      <c r="Q4990">
        <v>0.40088560000000001</v>
      </c>
      <c r="R4990">
        <v>7.7485009999999993E-2</v>
      </c>
      <c r="S4990">
        <v>3.5195919999999998</v>
      </c>
      <c r="T4990">
        <v>-0.51625559999999904</v>
      </c>
      <c r="U4990">
        <v>-8.2733150000000005E-2</v>
      </c>
      <c r="V4990">
        <v>-0.1174249</v>
      </c>
      <c r="W4990">
        <v>0.41343390000000002</v>
      </c>
      <c r="X4990">
        <v>0.90293069999999997</v>
      </c>
      <c r="Y4990">
        <v>-1.895177E-2</v>
      </c>
      <c r="Z4990">
        <v>7.189244E-3</v>
      </c>
      <c r="AA4990">
        <v>0.99979450000000003</v>
      </c>
      <c r="AB4990">
        <v>37</v>
      </c>
      <c r="AC4990">
        <v>0.73590000000001499</v>
      </c>
      <c r="AD4990">
        <v>-0.13947860000000001</v>
      </c>
      <c r="AE4990">
        <v>-1.3680000000000799E-2</v>
      </c>
      <c r="AF4990">
        <v>-1.7381570389595299E-2</v>
      </c>
      <c r="AG4990">
        <v>-0.13947860000000001</v>
      </c>
      <c r="AH4990">
        <v>0.71029930810238595</v>
      </c>
      <c r="AI4990">
        <v>101.106343823687</v>
      </c>
      <c r="AJ4990">
        <v>91.401792031532196</v>
      </c>
      <c r="AK4990">
        <v>0.72407285955067802</v>
      </c>
      <c r="AL4990">
        <v>65.579270235848</v>
      </c>
      <c r="AM4990">
        <v>97.409652066975994</v>
      </c>
      <c r="AN4990">
        <v>1.0000000229058501</v>
      </c>
    </row>
    <row r="4991" spans="1:40" x14ac:dyDescent="0.25">
      <c r="A4991" t="str">
        <f>"20190304164510763"</f>
        <v>20190304164510763</v>
      </c>
      <c r="B4991" t="str">
        <f>"1551689110754758"</f>
        <v>1551689110754758</v>
      </c>
      <c r="C4991" t="s">
        <v>40</v>
      </c>
      <c r="D4991">
        <v>5.4620699999999998</v>
      </c>
      <c r="E4991">
        <v>0.56058359999999996</v>
      </c>
      <c r="F4991" t="s">
        <v>41</v>
      </c>
      <c r="G4991">
        <v>-354.67110000000002</v>
      </c>
      <c r="H4991">
        <v>1.002135</v>
      </c>
      <c r="I4991">
        <v>17.59132</v>
      </c>
      <c r="J4991">
        <v>-355.22359999999998</v>
      </c>
      <c r="K4991">
        <v>1.1117809999999999</v>
      </c>
      <c r="L4991">
        <v>17.601900000000001</v>
      </c>
      <c r="M4991">
        <v>0.99900420000000001</v>
      </c>
      <c r="N4991">
        <v>-1.4078510000000001E-2</v>
      </c>
      <c r="O4991">
        <v>-4.2339620000000001E-2</v>
      </c>
      <c r="P4991">
        <v>0.91279759999999999</v>
      </c>
      <c r="Q4991">
        <v>0.40098729999999999</v>
      </c>
      <c r="R4991">
        <v>7.7523140000000004E-2</v>
      </c>
      <c r="S4991">
        <v>3.5195310000000002</v>
      </c>
      <c r="T4991">
        <v>-0.51414079999999995</v>
      </c>
      <c r="U4991">
        <v>-8.6090089999999994E-2</v>
      </c>
      <c r="V4991">
        <v>-0.1169516</v>
      </c>
      <c r="W4991">
        <v>0.41350209999999998</v>
      </c>
      <c r="X4991">
        <v>0.90296089999999996</v>
      </c>
      <c r="Y4991">
        <v>-1.7331639999999999E-2</v>
      </c>
      <c r="Z4991">
        <v>6.9377299999999996E-3</v>
      </c>
      <c r="AA4991">
        <v>0.99982570000000004</v>
      </c>
      <c r="AB4991">
        <v>37</v>
      </c>
      <c r="AC4991">
        <v>0.55249999999995203</v>
      </c>
      <c r="AD4991">
        <v>-0.10964599999999899</v>
      </c>
      <c r="AE4991">
        <v>-1.0580000000000899E-2</v>
      </c>
      <c r="AF4991">
        <v>-1.23386754670381E-2</v>
      </c>
      <c r="AG4991">
        <v>-0.10964599999999899</v>
      </c>
      <c r="AH4991">
        <v>0.53152643801482302</v>
      </c>
      <c r="AI4991">
        <v>101.652717840828</v>
      </c>
      <c r="AJ4991">
        <v>91.329806070062205</v>
      </c>
      <c r="AK4991">
        <v>0.54285803165929702</v>
      </c>
      <c r="AL4991">
        <v>65.574978705974004</v>
      </c>
      <c r="AM4991">
        <v>97.379872060481503</v>
      </c>
      <c r="AN4991">
        <v>1.00000002518788</v>
      </c>
    </row>
    <row r="4992" spans="1:40" x14ac:dyDescent="0.25">
      <c r="A4992" t="str">
        <f>"20190304164510775"</f>
        <v>20190304164510775</v>
      </c>
      <c r="B4992" t="str">
        <f>"1551689110765495"</f>
        <v>1551689110765495</v>
      </c>
      <c r="C4992" t="s">
        <v>40</v>
      </c>
      <c r="D4992">
        <v>5.4577019999999896</v>
      </c>
      <c r="E4992">
        <v>0.56043989999999999</v>
      </c>
      <c r="F4992" t="s">
        <v>41</v>
      </c>
      <c r="G4992">
        <v>-354.346</v>
      </c>
      <c r="H4992">
        <v>0.98395790000000005</v>
      </c>
      <c r="I4992">
        <v>17.580189999999899</v>
      </c>
      <c r="J4992">
        <v>-355.02249999999998</v>
      </c>
      <c r="K4992">
        <v>1.1119019999999999</v>
      </c>
      <c r="L4992">
        <v>17.593959999999999</v>
      </c>
      <c r="M4992">
        <v>0.99903549999999997</v>
      </c>
      <c r="N4992">
        <v>-1.4079059999999999E-2</v>
      </c>
      <c r="O4992">
        <v>-4.15933E-2</v>
      </c>
      <c r="P4992">
        <v>0.91268340000000003</v>
      </c>
      <c r="Q4992">
        <v>0.40130559999999998</v>
      </c>
      <c r="R4992">
        <v>7.7220860000000002E-2</v>
      </c>
      <c r="S4992">
        <v>3.5191650000000001</v>
      </c>
      <c r="T4992">
        <v>-0.51263239999999999</v>
      </c>
      <c r="U4992">
        <v>-8.6791989999999999E-2</v>
      </c>
      <c r="V4992">
        <v>-0.1160915</v>
      </c>
      <c r="W4992">
        <v>0.41378769999999998</v>
      </c>
      <c r="X4992">
        <v>0.90294099999999999</v>
      </c>
      <c r="Y4992">
        <v>-1.640339E-2</v>
      </c>
      <c r="Z4992">
        <v>6.745539E-3</v>
      </c>
      <c r="AA4992">
        <v>0.99984269999999997</v>
      </c>
      <c r="AB4992">
        <v>37</v>
      </c>
      <c r="AC4992">
        <v>0.67649999999997501</v>
      </c>
      <c r="AD4992">
        <v>-0.12794410000000001</v>
      </c>
      <c r="AE4992">
        <v>-1.37700000000009E-2</v>
      </c>
      <c r="AF4992">
        <v>-1.38860893565742E-2</v>
      </c>
      <c r="AG4992">
        <v>-0.12794410000000001</v>
      </c>
      <c r="AH4992">
        <v>0.65313504239492504</v>
      </c>
      <c r="AI4992">
        <v>101.081008659608</v>
      </c>
      <c r="AJ4992">
        <v>91.217963235935102</v>
      </c>
      <c r="AK4992">
        <v>0.66569354796832003</v>
      </c>
      <c r="AL4992">
        <v>65.557003950947205</v>
      </c>
      <c r="AM4992">
        <v>97.326349587946794</v>
      </c>
      <c r="AN4992">
        <v>0.99999997326226897</v>
      </c>
    </row>
    <row r="4993" spans="1:40" x14ac:dyDescent="0.25">
      <c r="A4993" t="str">
        <f>"20190304164510794"</f>
        <v>20190304164510794</v>
      </c>
      <c r="B4993" t="str">
        <f>"1551689110785014"</f>
        <v>1551689110785014</v>
      </c>
      <c r="C4993" t="s">
        <v>40</v>
      </c>
      <c r="D4993">
        <v>5.5351850000000002</v>
      </c>
      <c r="E4993">
        <v>0.56026279999999995</v>
      </c>
      <c r="F4993" t="s">
        <v>41</v>
      </c>
      <c r="G4993">
        <v>-354.02109999999999</v>
      </c>
      <c r="H4993">
        <v>0.9658928</v>
      </c>
      <c r="I4993">
        <v>17.569019999999998</v>
      </c>
      <c r="J4993">
        <v>-354.70490000000001</v>
      </c>
      <c r="K4993">
        <v>1.11208</v>
      </c>
      <c r="L4993">
        <v>17.581879999999899</v>
      </c>
      <c r="M4993">
        <v>0.99909040000000005</v>
      </c>
      <c r="N4993">
        <v>-1.407986E-2</v>
      </c>
      <c r="O4993">
        <v>-4.0254949999999998E-2</v>
      </c>
      <c r="P4993">
        <v>0.91284010000000004</v>
      </c>
      <c r="Q4993">
        <v>0.40094920000000001</v>
      </c>
      <c r="R4993">
        <v>7.7220620000000004E-2</v>
      </c>
      <c r="S4993">
        <v>3.5200809999999998</v>
      </c>
      <c r="T4993">
        <v>-0.51337189999999999</v>
      </c>
      <c r="U4993">
        <v>-8.6730959999999996E-2</v>
      </c>
      <c r="V4993">
        <v>-0.1150656</v>
      </c>
      <c r="W4993">
        <v>0.41338740000000002</v>
      </c>
      <c r="X4993">
        <v>0.90325560000000005</v>
      </c>
      <c r="Y4993">
        <v>-1.5112830000000001E-2</v>
      </c>
      <c r="Z4993">
        <v>6.4760310000000001E-3</v>
      </c>
      <c r="AA4993">
        <v>0.9998648</v>
      </c>
      <c r="AB4993">
        <v>37</v>
      </c>
      <c r="AC4993">
        <v>0.68380000000001895</v>
      </c>
      <c r="AD4993">
        <v>-0.14618719999999899</v>
      </c>
      <c r="AE4993">
        <v>-1.28599999999963E-2</v>
      </c>
      <c r="AF4993">
        <v>-1.4038104963967801E-2</v>
      </c>
      <c r="AG4993">
        <v>-0.14618719999999899</v>
      </c>
      <c r="AH4993">
        <v>0.65388818775791402</v>
      </c>
      <c r="AI4993">
        <v>102.599348704408</v>
      </c>
      <c r="AJ4993">
        <v>91.229874838052098</v>
      </c>
      <c r="AK4993">
        <v>0.67017723620259495</v>
      </c>
      <c r="AL4993">
        <v>65.582194517678104</v>
      </c>
      <c r="AM4993">
        <v>97.259798472657906</v>
      </c>
      <c r="AN4993">
        <v>0.99999995685673904</v>
      </c>
    </row>
    <row r="4994" spans="1:40" x14ac:dyDescent="0.25">
      <c r="A4994" t="str">
        <f>"20190304164510817"</f>
        <v>20190304164510817</v>
      </c>
      <c r="B4994" t="str">
        <f>"1551689110805509"</f>
        <v>1551689110805509</v>
      </c>
      <c r="C4994" t="s">
        <v>40</v>
      </c>
      <c r="D4994">
        <v>5.4187419999999999</v>
      </c>
      <c r="E4994">
        <v>0.56039240000000001</v>
      </c>
      <c r="F4994" t="s">
        <v>41</v>
      </c>
      <c r="G4994">
        <v>-353.6891</v>
      </c>
      <c r="H4994">
        <v>0.96339750000000002</v>
      </c>
      <c r="I4994">
        <v>17.55688</v>
      </c>
      <c r="J4994">
        <v>-354.33370000000002</v>
      </c>
      <c r="K4994">
        <v>1.1122650000000001</v>
      </c>
      <c r="L4994">
        <v>17.56851</v>
      </c>
      <c r="M4994">
        <v>0.99915949999999998</v>
      </c>
      <c r="N4994">
        <v>-1.4080830000000001E-2</v>
      </c>
      <c r="O4994">
        <v>-3.8502349999999998E-2</v>
      </c>
      <c r="P4994">
        <v>0.9131958</v>
      </c>
      <c r="Q4994">
        <v>0.40004499999999998</v>
      </c>
      <c r="R4994">
        <v>7.770357E-2</v>
      </c>
      <c r="S4994">
        <v>3.5200499999999999</v>
      </c>
      <c r="T4994">
        <v>-0.51527389999999995</v>
      </c>
      <c r="U4994">
        <v>-8.6364750000000004E-2</v>
      </c>
      <c r="V4994">
        <v>-0.1141588</v>
      </c>
      <c r="W4994">
        <v>0.41244120000000001</v>
      </c>
      <c r="X4994">
        <v>0.90380309999999997</v>
      </c>
      <c r="Y4994">
        <v>-1.34927E-2</v>
      </c>
      <c r="Z4994">
        <v>6.1417390000000002E-3</v>
      </c>
      <c r="AA4994">
        <v>0.9998901</v>
      </c>
      <c r="AB4994">
        <v>37</v>
      </c>
      <c r="AC4994">
        <v>0.64460000000002504</v>
      </c>
      <c r="AD4994">
        <v>-0.14886750000000001</v>
      </c>
      <c r="AE4994">
        <v>-1.1630000000000199E-2</v>
      </c>
      <c r="AF4994">
        <v>-1.25315333224653E-2</v>
      </c>
      <c r="AG4994">
        <v>-0.14886750000000001</v>
      </c>
      <c r="AH4994">
        <v>0.61194194692494097</v>
      </c>
      <c r="AI4994">
        <v>103.670029878476</v>
      </c>
      <c r="AJ4994">
        <v>91.173156426768799</v>
      </c>
      <c r="AK4994">
        <v>0.629913897520883</v>
      </c>
      <c r="AL4994">
        <v>65.641720544879107</v>
      </c>
      <c r="AM4994">
        <v>97.198871595501899</v>
      </c>
      <c r="AN4994">
        <v>1.0000000093222401</v>
      </c>
    </row>
    <row r="4995" spans="1:40" x14ac:dyDescent="0.25">
      <c r="A4995" t="str">
        <f>"20190304164510837"</f>
        <v>20190304164510837</v>
      </c>
      <c r="B4995" t="str">
        <f>"1551689110834790"</f>
        <v>1551689110834790</v>
      </c>
      <c r="C4995" t="s">
        <v>40</v>
      </c>
      <c r="D4995">
        <v>5.4843029999999997</v>
      </c>
      <c r="E4995">
        <v>0.56034649999999997</v>
      </c>
      <c r="F4995" t="s">
        <v>41</v>
      </c>
      <c r="G4995">
        <v>-353.35410000000002</v>
      </c>
      <c r="H4995">
        <v>0.96848520000000005</v>
      </c>
      <c r="I4995">
        <v>17.54364</v>
      </c>
      <c r="J4995">
        <v>-353.98360000000002</v>
      </c>
      <c r="K4995">
        <v>1.1124179999999999</v>
      </c>
      <c r="L4995">
        <v>17.556639999999899</v>
      </c>
      <c r="M4995">
        <v>0.99922650000000002</v>
      </c>
      <c r="N4995">
        <v>-1.408131E-2</v>
      </c>
      <c r="O4995">
        <v>-3.6719210000000002E-2</v>
      </c>
      <c r="P4995">
        <v>0.91370510000000005</v>
      </c>
      <c r="Q4995">
        <v>0.39882000000000001</v>
      </c>
      <c r="R4995">
        <v>7.8011319999999995E-2</v>
      </c>
      <c r="S4995">
        <v>3.519012</v>
      </c>
      <c r="T4995">
        <v>-0.51659869999999997</v>
      </c>
      <c r="U4995">
        <v>-8.8745119999999997E-2</v>
      </c>
      <c r="V4995">
        <v>-0.1130149</v>
      </c>
      <c r="W4995">
        <v>0.41118749999999998</v>
      </c>
      <c r="X4995">
        <v>0.90451780000000004</v>
      </c>
      <c r="Y4995">
        <v>-1.106621E-2</v>
      </c>
      <c r="Z4995">
        <v>5.7309070000000004E-3</v>
      </c>
      <c r="AA4995">
        <v>0.99992230000000004</v>
      </c>
      <c r="AB4995">
        <v>37</v>
      </c>
      <c r="AC4995">
        <v>0.62950000000000705</v>
      </c>
      <c r="AD4995">
        <v>-0.1439328</v>
      </c>
      <c r="AE4995">
        <v>-1.29999999999981E-2</v>
      </c>
      <c r="AF4995">
        <v>-9.6229372023739403E-3</v>
      </c>
      <c r="AG4995">
        <v>-0.1439328</v>
      </c>
      <c r="AH4995">
        <v>0.59828816090552195</v>
      </c>
      <c r="AI4995">
        <v>103.525161036304</v>
      </c>
      <c r="AJ4995">
        <v>90.9214726059528</v>
      </c>
      <c r="AK4995">
        <v>0.61543316072174103</v>
      </c>
      <c r="AL4995">
        <v>65.720546170716105</v>
      </c>
      <c r="AM4995">
        <v>97.121908768432405</v>
      </c>
      <c r="AN4995">
        <v>0.99999998914754995</v>
      </c>
    </row>
    <row r="4996" spans="1:40" x14ac:dyDescent="0.25">
      <c r="A4996" t="str">
        <f>"20190304164510860"</f>
        <v>20190304164510860</v>
      </c>
      <c r="B4996" t="str">
        <f>"1551689110855286"</f>
        <v>1551689110855286</v>
      </c>
      <c r="C4996" t="s">
        <v>40</v>
      </c>
      <c r="D4996">
        <v>5.4851640000000002</v>
      </c>
      <c r="E4996">
        <v>0.56026509999999996</v>
      </c>
      <c r="F4996" t="s">
        <v>41</v>
      </c>
      <c r="G4996">
        <v>-353.02080000000001</v>
      </c>
      <c r="H4996">
        <v>0.97025130000000004</v>
      </c>
      <c r="I4996">
        <v>17.531669999999998</v>
      </c>
      <c r="J4996">
        <v>-353.6148</v>
      </c>
      <c r="K4996">
        <v>1.11254599999999</v>
      </c>
      <c r="L4996">
        <v>17.544829999999902</v>
      </c>
      <c r="M4996">
        <v>0.99929730000000005</v>
      </c>
      <c r="N4996">
        <v>-1.4081079999999999E-2</v>
      </c>
      <c r="O4996">
        <v>-3.4739930000000002E-2</v>
      </c>
      <c r="P4996">
        <v>0.91416229999999998</v>
      </c>
      <c r="Q4996">
        <v>0.39765020000000001</v>
      </c>
      <c r="R4996">
        <v>7.8624550000000001E-2</v>
      </c>
      <c r="S4996">
        <v>3.5178219999999998</v>
      </c>
      <c r="T4996">
        <v>-0.51954129999999998</v>
      </c>
      <c r="U4996">
        <v>-9.0728760000000006E-2</v>
      </c>
      <c r="V4996">
        <v>-0.1119724</v>
      </c>
      <c r="W4996">
        <v>0.40999400000000003</v>
      </c>
      <c r="X4996">
        <v>0.90518900000000002</v>
      </c>
      <c r="Y4996">
        <v>-8.5551529999999994E-3</v>
      </c>
      <c r="Z4996">
        <v>5.3028060000000002E-3</v>
      </c>
      <c r="AA4996">
        <v>0.99994930000000004</v>
      </c>
      <c r="AB4996">
        <v>37</v>
      </c>
      <c r="AC4996">
        <v>0.59399999999999398</v>
      </c>
      <c r="AD4996">
        <v>-0.142294699999999</v>
      </c>
      <c r="AE4996">
        <v>-1.3159999999995601E-2</v>
      </c>
      <c r="AF4996">
        <v>-7.0794467035184298E-3</v>
      </c>
      <c r="AG4996">
        <v>-0.142294699999999</v>
      </c>
      <c r="AH4996">
        <v>0.56187099830464104</v>
      </c>
      <c r="AI4996">
        <v>104.210367782734</v>
      </c>
      <c r="AJ4996">
        <v>90.721875583371798</v>
      </c>
      <c r="AK4996">
        <v>0.57965241218300101</v>
      </c>
      <c r="AL4996">
        <v>65.795542419148205</v>
      </c>
      <c r="AM4996">
        <v>97.051698517182999</v>
      </c>
      <c r="AN4996">
        <v>1.0000000120593799</v>
      </c>
    </row>
    <row r="4997" spans="1:40" x14ac:dyDescent="0.25">
      <c r="A4997" t="str">
        <f>"20190304164510883"</f>
        <v>20190304164510883</v>
      </c>
      <c r="B4997" t="str">
        <f>"1551689110874805"</f>
        <v>1551689110874805</v>
      </c>
      <c r="C4997" t="s">
        <v>40</v>
      </c>
      <c r="D4997">
        <v>5.4380990000000002</v>
      </c>
      <c r="E4997">
        <v>0.56009730000000002</v>
      </c>
      <c r="F4997" t="s">
        <v>41</v>
      </c>
      <c r="G4997">
        <v>-352.6866</v>
      </c>
      <c r="H4997">
        <v>0.97431109999999999</v>
      </c>
      <c r="I4997">
        <v>17.52083</v>
      </c>
      <c r="J4997">
        <v>-353.22500000000002</v>
      </c>
      <c r="K4997">
        <v>1.112654</v>
      </c>
      <c r="L4997">
        <v>17.533290000000001</v>
      </c>
      <c r="M4997">
        <v>0.99937019999999999</v>
      </c>
      <c r="N4997">
        <v>-1.4080169999999999E-2</v>
      </c>
      <c r="O4997">
        <v>-3.2575260000000002E-2</v>
      </c>
      <c r="P4997">
        <v>0.91436200000000001</v>
      </c>
      <c r="Q4997">
        <v>0.39712570000000003</v>
      </c>
      <c r="R4997">
        <v>7.8952820000000007E-2</v>
      </c>
      <c r="S4997">
        <v>3.5173649999999999</v>
      </c>
      <c r="T4997">
        <v>-0.52392439999999996</v>
      </c>
      <c r="U4997">
        <v>-9.0393070000000006E-2</v>
      </c>
      <c r="V4997">
        <v>-0.110444899999999</v>
      </c>
      <c r="W4997">
        <v>0.40945120000000002</v>
      </c>
      <c r="X4997">
        <v>0.90562220000000004</v>
      </c>
      <c r="Y4997">
        <v>-6.5177669999999998E-3</v>
      </c>
      <c r="Z4997">
        <v>4.896063E-3</v>
      </c>
      <c r="AA4997">
        <v>0.99996680000000004</v>
      </c>
      <c r="AB4997">
        <v>37</v>
      </c>
      <c r="AC4997">
        <v>0.53840000000002397</v>
      </c>
      <c r="AD4997">
        <v>-0.13834289999999999</v>
      </c>
      <c r="AE4997">
        <v>-1.24600000000008E-2</v>
      </c>
      <c r="AF4997">
        <v>-4.7719736094084799E-3</v>
      </c>
      <c r="AG4997">
        <v>-0.13834289999999999</v>
      </c>
      <c r="AH4997">
        <v>0.505183607071096</v>
      </c>
      <c r="AI4997">
        <v>105.314152530789</v>
      </c>
      <c r="AJ4997">
        <v>90.541200886930397</v>
      </c>
      <c r="AK4997">
        <v>0.52380531360983995</v>
      </c>
      <c r="AL4997">
        <v>65.829634396596106</v>
      </c>
      <c r="AM4997">
        <v>96.953154978301995</v>
      </c>
      <c r="AN4997">
        <v>0.999999965125144</v>
      </c>
    </row>
    <row r="4998" spans="1:40" x14ac:dyDescent="0.25">
      <c r="A4998" t="str">
        <f>"20190304164510895"</f>
        <v>20190304164510895</v>
      </c>
      <c r="B4998" t="str">
        <f>"1551689110885542"</f>
        <v>1551689110885542</v>
      </c>
      <c r="C4998" t="s">
        <v>40</v>
      </c>
      <c r="D4998">
        <v>5.451803</v>
      </c>
      <c r="E4998">
        <v>0.56002949999999996</v>
      </c>
      <c r="F4998" t="s">
        <v>41</v>
      </c>
      <c r="G4998">
        <v>-352.351</v>
      </c>
      <c r="H4998">
        <v>0.9813714</v>
      </c>
      <c r="I4998">
        <v>17.51136</v>
      </c>
      <c r="J4998">
        <v>-353.03649999999999</v>
      </c>
      <c r="K4998">
        <v>1.112703</v>
      </c>
      <c r="L4998">
        <v>17.527920000000002</v>
      </c>
      <c r="M4998">
        <v>0.99940410000000002</v>
      </c>
      <c r="N4998">
        <v>-1.407956E-2</v>
      </c>
      <c r="O4998">
        <v>-3.1514390000000003E-2</v>
      </c>
      <c r="P4998">
        <v>0.91436360000000005</v>
      </c>
      <c r="Q4998">
        <v>0.3970976</v>
      </c>
      <c r="R4998">
        <v>7.9073560000000001E-2</v>
      </c>
      <c r="S4998">
        <v>3.5181580000000001</v>
      </c>
      <c r="T4998">
        <v>-0.52852639999999995</v>
      </c>
      <c r="U4998">
        <v>-8.8195800000000005E-2</v>
      </c>
      <c r="V4998">
        <v>-0.1096448</v>
      </c>
      <c r="W4998">
        <v>0.40941509999999998</v>
      </c>
      <c r="X4998">
        <v>0.90573579999999998</v>
      </c>
      <c r="Y4998">
        <v>-6.0942909999999999E-3</v>
      </c>
      <c r="Z4998">
        <v>4.7629559999999996E-3</v>
      </c>
      <c r="AA4998">
        <v>0.99997009999999997</v>
      </c>
      <c r="AB4998">
        <v>37</v>
      </c>
      <c r="AC4998">
        <v>0.68549999999999001</v>
      </c>
      <c r="AD4998">
        <v>-0.13133159999999999</v>
      </c>
      <c r="AE4998">
        <v>-1.65600000000019E-2</v>
      </c>
      <c r="AF4998">
        <v>-4.8746640018482498E-3</v>
      </c>
      <c r="AG4998">
        <v>-0.13133159999999999</v>
      </c>
      <c r="AH4998">
        <v>0.66141826921787805</v>
      </c>
      <c r="AI4998">
        <v>101.230313063331</v>
      </c>
      <c r="AJ4998">
        <v>90.422263233612298</v>
      </c>
      <c r="AK4998">
        <v>0.67434848436314099</v>
      </c>
      <c r="AL4998">
        <v>65.831902993022794</v>
      </c>
      <c r="AM4998">
        <v>96.902414319675202</v>
      </c>
      <c r="AN4998">
        <v>1.0000000228383401</v>
      </c>
    </row>
    <row r="4999" spans="1:40" x14ac:dyDescent="0.25">
      <c r="A4999" t="str">
        <f>"20190304164510906"</f>
        <v>20190304164510906</v>
      </c>
      <c r="B4999" t="str">
        <f>"1551689110895302"</f>
        <v>1551689110895302</v>
      </c>
      <c r="C4999" t="s">
        <v>40</v>
      </c>
      <c r="D4999">
        <v>5.4481199999999896</v>
      </c>
      <c r="E4999">
        <v>0.55997399999999997</v>
      </c>
      <c r="F4999" t="s">
        <v>41</v>
      </c>
      <c r="G4999">
        <v>-352.02890000000002</v>
      </c>
      <c r="H4999">
        <v>0.96107799999999999</v>
      </c>
      <c r="I4999">
        <v>17.502739999999999</v>
      </c>
      <c r="J4999">
        <v>-352.84199999999998</v>
      </c>
      <c r="K4999">
        <v>1.112744</v>
      </c>
      <c r="L4999">
        <v>17.522770000000001</v>
      </c>
      <c r="M4999">
        <v>0.99943850000000001</v>
      </c>
      <c r="N4999">
        <v>-1.407886E-2</v>
      </c>
      <c r="O4999">
        <v>-3.0407239999999999E-2</v>
      </c>
      <c r="P4999">
        <v>0.91415440000000003</v>
      </c>
      <c r="Q4999">
        <v>0.397596</v>
      </c>
      <c r="R4999">
        <v>7.8988279999999994E-2</v>
      </c>
      <c r="S4999">
        <v>3.518494</v>
      </c>
      <c r="T4999">
        <v>-0.5295879</v>
      </c>
      <c r="U4999">
        <v>-8.7127689999999994E-2</v>
      </c>
      <c r="V4999">
        <v>-0.10858420000000001</v>
      </c>
      <c r="W4999">
        <v>0.40990579999999999</v>
      </c>
      <c r="X4999">
        <v>0.90564160000000005</v>
      </c>
      <c r="Y4999">
        <v>-5.31067E-3</v>
      </c>
      <c r="Z4999">
        <v>4.5585089999999997E-3</v>
      </c>
      <c r="AA4999">
        <v>0.99997550000000002</v>
      </c>
      <c r="AB4999">
        <v>37</v>
      </c>
      <c r="AC4999">
        <v>0.81309999999996296</v>
      </c>
      <c r="AD4999">
        <v>-0.151665999999999</v>
      </c>
      <c r="AE4999">
        <v>-2.00300000000019E-2</v>
      </c>
      <c r="AF4999">
        <v>-4.5477085404812901E-3</v>
      </c>
      <c r="AG4999">
        <v>-0.151665999999999</v>
      </c>
      <c r="AH4999">
        <v>0.78600247089486097</v>
      </c>
      <c r="AI4999">
        <v>100.92131300083</v>
      </c>
      <c r="AJ4999">
        <v>90.331502263610602</v>
      </c>
      <c r="AK4999">
        <v>0.800514298099538</v>
      </c>
      <c r="AL4999">
        <v>65.801082570247601</v>
      </c>
      <c r="AM4999">
        <v>96.836986154863695</v>
      </c>
      <c r="AN4999">
        <v>1.0000000005069201</v>
      </c>
    </row>
    <row r="5000" spans="1:40" x14ac:dyDescent="0.25">
      <c r="A5000" t="str">
        <f>"20190304164510917"</f>
        <v>20190304164510917</v>
      </c>
      <c r="B5000" t="str">
        <f>"1551689110914822"</f>
        <v>1551689110914822</v>
      </c>
      <c r="C5000" t="s">
        <v>40</v>
      </c>
      <c r="D5000">
        <v>5.4490999999999996</v>
      </c>
      <c r="E5000">
        <v>0.55988839999999995</v>
      </c>
      <c r="F5000" t="s">
        <v>41</v>
      </c>
      <c r="G5000">
        <v>-352.01569999999998</v>
      </c>
      <c r="H5000">
        <v>0.98862030000000001</v>
      </c>
      <c r="I5000">
        <v>17.502400000000002</v>
      </c>
      <c r="J5000">
        <v>-352.65929999999997</v>
      </c>
      <c r="K5000">
        <v>1.1127830000000001</v>
      </c>
      <c r="L5000">
        <v>17.51801</v>
      </c>
      <c r="M5000">
        <v>0.99946970000000002</v>
      </c>
      <c r="N5000">
        <v>-1.4078139999999999E-2</v>
      </c>
      <c r="O5000">
        <v>-2.9366320000000001E-2</v>
      </c>
      <c r="P5000">
        <v>0.91415769999999996</v>
      </c>
      <c r="Q5000">
        <v>0.3975651</v>
      </c>
      <c r="R5000">
        <v>7.9107780000000003E-2</v>
      </c>
      <c r="S5000">
        <v>3.5191650000000001</v>
      </c>
      <c r="T5000">
        <v>-0.52880360000000004</v>
      </c>
      <c r="U5000">
        <v>-8.5723880000000002E-2</v>
      </c>
      <c r="V5000">
        <v>-0.10778790000000001</v>
      </c>
      <c r="W5000">
        <v>0.40987099999999999</v>
      </c>
      <c r="X5000">
        <v>0.90575249999999996</v>
      </c>
      <c r="Y5000">
        <v>-4.6909880000000001E-3</v>
      </c>
      <c r="Z5000">
        <v>4.3588409999999996E-3</v>
      </c>
      <c r="AA5000">
        <v>0.99997950000000002</v>
      </c>
      <c r="AB5000">
        <v>37</v>
      </c>
      <c r="AC5000">
        <v>0.64359999999999196</v>
      </c>
      <c r="AD5000">
        <v>-0.124162699999999</v>
      </c>
      <c r="AE5000">
        <v>-1.56099999999987E-2</v>
      </c>
      <c r="AF5000">
        <v>-3.1804677357180899E-3</v>
      </c>
      <c r="AG5000">
        <v>-0.124162699999999</v>
      </c>
      <c r="AH5000">
        <v>0.62069358167352595</v>
      </c>
      <c r="AI5000">
        <v>101.31191655010799</v>
      </c>
      <c r="AJ5000">
        <v>90.293584126998596</v>
      </c>
      <c r="AK5000">
        <v>0.63299843110154497</v>
      </c>
      <c r="AL5000">
        <v>65.803269281461297</v>
      </c>
      <c r="AM5000">
        <v>96.786493425973603</v>
      </c>
      <c r="AN5000">
        <v>1.0000000296418201</v>
      </c>
    </row>
    <row r="5001" spans="1:40" x14ac:dyDescent="0.25">
      <c r="A5001" t="str">
        <f>"20190304164510931"</f>
        <v>20190304164510931</v>
      </c>
      <c r="B5001" t="str">
        <f>"1551689110925558"</f>
        <v>1551689110925558</v>
      </c>
      <c r="C5001" t="s">
        <v>40</v>
      </c>
      <c r="D5001">
        <v>5.4367609999999997</v>
      </c>
      <c r="E5001">
        <v>0.55983919999999998</v>
      </c>
      <c r="F5001" t="s">
        <v>41</v>
      </c>
      <c r="G5001">
        <v>-351.6943</v>
      </c>
      <c r="H5001">
        <v>0.96736759999999999</v>
      </c>
      <c r="I5001">
        <v>17.494869999999999</v>
      </c>
      <c r="J5001">
        <v>-352.43819999999999</v>
      </c>
      <c r="K5001">
        <v>1.1128129999999901</v>
      </c>
      <c r="L5001">
        <v>17.512539999999898</v>
      </c>
      <c r="M5001">
        <v>0.99950589999999995</v>
      </c>
      <c r="N5001">
        <v>-1.407724E-2</v>
      </c>
      <c r="O5001">
        <v>-2.8102849999999999E-2</v>
      </c>
      <c r="P5001">
        <v>0.9141589</v>
      </c>
      <c r="Q5001">
        <v>0.39755499999999999</v>
      </c>
      <c r="R5001">
        <v>7.9141509999999998E-2</v>
      </c>
      <c r="S5001">
        <v>3.5196529999999999</v>
      </c>
      <c r="T5001">
        <v>-0.5304643</v>
      </c>
      <c r="U5001">
        <v>-8.3679199999999995E-2</v>
      </c>
      <c r="V5001">
        <v>-0.1067031</v>
      </c>
      <c r="W5001">
        <v>0.40985830000000001</v>
      </c>
      <c r="X5001">
        <v>0.90588670000000004</v>
      </c>
      <c r="Y5001">
        <v>-4.0286089999999998E-3</v>
      </c>
      <c r="Z5001">
        <v>4.1471240000000003E-3</v>
      </c>
      <c r="AA5001">
        <v>0.99998330000000002</v>
      </c>
      <c r="AB5001">
        <v>37</v>
      </c>
      <c r="AC5001">
        <v>0.74389999999999601</v>
      </c>
      <c r="AD5001">
        <v>-0.145445399999999</v>
      </c>
      <c r="AE5001">
        <v>-1.7669999999995401E-2</v>
      </c>
      <c r="AF5001">
        <v>-3.12535659657707E-3</v>
      </c>
      <c r="AG5001">
        <v>-0.145445399999999</v>
      </c>
      <c r="AH5001">
        <v>0.71672010471428305</v>
      </c>
      <c r="AI5001">
        <v>101.471261471874</v>
      </c>
      <c r="AJ5001">
        <v>90.249844543607793</v>
      </c>
      <c r="AK5001">
        <v>0.73133565531612699</v>
      </c>
      <c r="AL5001">
        <v>65.804067428808807</v>
      </c>
      <c r="AM5001">
        <v>96.717834044162998</v>
      </c>
      <c r="AN5001">
        <v>1.0000000454326901</v>
      </c>
    </row>
    <row r="5002" spans="1:40" x14ac:dyDescent="0.25">
      <c r="A5002" t="str">
        <f>"20190304164510943"</f>
        <v>20190304164510943</v>
      </c>
      <c r="B5002" t="str">
        <f>"1551689110935318"</f>
        <v>1551689110935318</v>
      </c>
      <c r="C5002" t="s">
        <v>40</v>
      </c>
      <c r="D5002">
        <v>5.4388449999999997</v>
      </c>
      <c r="E5002">
        <v>0.55979820000000002</v>
      </c>
      <c r="F5002" t="s">
        <v>41</v>
      </c>
      <c r="G5002">
        <v>-351.67939999999999</v>
      </c>
      <c r="H5002">
        <v>0.99823220000000001</v>
      </c>
      <c r="I5002">
        <v>17.494589999999999</v>
      </c>
      <c r="J5002">
        <v>-352.23649999999998</v>
      </c>
      <c r="K5002">
        <v>1.1128359999999999</v>
      </c>
      <c r="L5002">
        <v>17.507839999999899</v>
      </c>
      <c r="M5002">
        <v>0.99953760000000003</v>
      </c>
      <c r="N5002">
        <v>-1.4076379999999999E-2</v>
      </c>
      <c r="O5002">
        <v>-2.6953439999999999E-2</v>
      </c>
      <c r="P5002">
        <v>0.91427080000000005</v>
      </c>
      <c r="Q5002">
        <v>0.39726220000000001</v>
      </c>
      <c r="R5002">
        <v>7.9319009999999995E-2</v>
      </c>
      <c r="S5002">
        <v>3.5200499999999999</v>
      </c>
      <c r="T5002">
        <v>-0.53164960000000006</v>
      </c>
      <c r="U5002">
        <v>-8.2397460000000006E-2</v>
      </c>
      <c r="V5002">
        <v>-0.1058579</v>
      </c>
      <c r="W5002">
        <v>0.40956559999999997</v>
      </c>
      <c r="X5002">
        <v>0.90611819999999998</v>
      </c>
      <c r="Y5002">
        <v>-3.264018E-3</v>
      </c>
      <c r="Z5002">
        <v>3.9374049999999997E-3</v>
      </c>
      <c r="AA5002">
        <v>0.99998690000000001</v>
      </c>
      <c r="AB5002">
        <v>37</v>
      </c>
      <c r="AC5002">
        <v>0.55709999999999105</v>
      </c>
      <c r="AD5002">
        <v>-0.11460380000000001</v>
      </c>
      <c r="AE5002">
        <v>-1.3249999999999301E-2</v>
      </c>
      <c r="AF5002">
        <v>-1.7001561321521501E-3</v>
      </c>
      <c r="AG5002">
        <v>-0.11460380000000001</v>
      </c>
      <c r="AH5002">
        <v>0.53464218848465705</v>
      </c>
      <c r="AI5002">
        <v>102.09855192859899</v>
      </c>
      <c r="AJ5002">
        <v>90.182199318782494</v>
      </c>
      <c r="AK5002">
        <v>0.54678989677295398</v>
      </c>
      <c r="AL5002">
        <v>65.822451480017804</v>
      </c>
      <c r="AM5002">
        <v>96.663414898811197</v>
      </c>
      <c r="AN5002">
        <v>1.0000000340335</v>
      </c>
    </row>
    <row r="5003" spans="1:40" x14ac:dyDescent="0.25">
      <c r="A5003" t="str">
        <f>"20190304164510961"</f>
        <v>20190304164510961</v>
      </c>
      <c r="B5003" t="str">
        <f>"1551689110954838"</f>
        <v>1551689110954838</v>
      </c>
      <c r="C5003" t="s">
        <v>40</v>
      </c>
      <c r="D5003">
        <v>5.4574030000000002</v>
      </c>
      <c r="E5003">
        <v>0.55974060000000003</v>
      </c>
      <c r="F5003" t="s">
        <v>41</v>
      </c>
      <c r="G5003">
        <v>-351.3571</v>
      </c>
      <c r="H5003">
        <v>0.97955970000000003</v>
      </c>
      <c r="I5003">
        <v>17.487400000000001</v>
      </c>
      <c r="J5003">
        <v>-351.93279999999999</v>
      </c>
      <c r="K5003">
        <v>1.1128610000000001</v>
      </c>
      <c r="L5003">
        <v>17.501190000000001</v>
      </c>
      <c r="M5003">
        <v>0.99958250000000004</v>
      </c>
      <c r="N5003">
        <v>-1.407504E-2</v>
      </c>
      <c r="O5003">
        <v>-2.5232419999999998E-2</v>
      </c>
      <c r="P5003">
        <v>0.91491500000000003</v>
      </c>
      <c r="Q5003">
        <v>0.3958216</v>
      </c>
      <c r="R5003">
        <v>7.9093839999999999E-2</v>
      </c>
      <c r="S5003">
        <v>3.5202330000000002</v>
      </c>
      <c r="T5003">
        <v>-0.53368649999999995</v>
      </c>
      <c r="U5003">
        <v>-8.0780030000000003E-2</v>
      </c>
      <c r="V5003">
        <v>-0.104099499999999</v>
      </c>
      <c r="W5003">
        <v>0.40813690000000002</v>
      </c>
      <c r="X5003">
        <v>0.9069661</v>
      </c>
      <c r="Y5003">
        <v>-2.0318390000000001E-3</v>
      </c>
      <c r="Z5003">
        <v>3.616742E-3</v>
      </c>
      <c r="AA5003">
        <v>0.99999139999999997</v>
      </c>
      <c r="AB5003">
        <v>37</v>
      </c>
      <c r="AC5003">
        <v>0.575699999999983</v>
      </c>
      <c r="AD5003">
        <v>-0.13330130000000001</v>
      </c>
      <c r="AE5003">
        <v>-1.3790000000000101E-2</v>
      </c>
      <c r="AF5003">
        <v>-7.0439161878918001E-4</v>
      </c>
      <c r="AG5003">
        <v>-0.13330130000000001</v>
      </c>
      <c r="AH5003">
        <v>0.54657738922870702</v>
      </c>
      <c r="AI5003">
        <v>103.705935079664</v>
      </c>
      <c r="AJ5003">
        <v>90.073838847587496</v>
      </c>
      <c r="AK5003">
        <v>0.56259805826656795</v>
      </c>
      <c r="AL5003">
        <v>65.912147862684193</v>
      </c>
      <c r="AM5003">
        <v>96.547626542040106</v>
      </c>
      <c r="AN5003">
        <v>0.99999997079553404</v>
      </c>
    </row>
    <row r="5004" spans="1:40" x14ac:dyDescent="0.25">
      <c r="A5004" t="str">
        <f>"20190304164510973"</f>
        <v>20190304164510973</v>
      </c>
      <c r="B5004" t="str">
        <f>"1551689110965574"</f>
        <v>1551689110965574</v>
      </c>
      <c r="C5004" t="s">
        <v>40</v>
      </c>
      <c r="D5004">
        <v>5.4474729999999996</v>
      </c>
      <c r="E5004">
        <v>0.55968779999999996</v>
      </c>
      <c r="F5004" t="s">
        <v>41</v>
      </c>
      <c r="G5004">
        <v>-351.02859999999998</v>
      </c>
      <c r="H5004">
        <v>0.97412290000000001</v>
      </c>
      <c r="I5004">
        <v>17.480339999999899</v>
      </c>
      <c r="J5004">
        <v>-351.73079999999999</v>
      </c>
      <c r="K5004">
        <v>1.1128709999999999</v>
      </c>
      <c r="L5004">
        <v>17.496979999999901</v>
      </c>
      <c r="M5004">
        <v>0.99961069999999996</v>
      </c>
      <c r="N5004">
        <v>-1.4074140000000001E-2</v>
      </c>
      <c r="O5004">
        <v>-2.4095539999999999E-2</v>
      </c>
      <c r="P5004">
        <v>0.91517009999999999</v>
      </c>
      <c r="Q5004">
        <v>0.39520830000000001</v>
      </c>
      <c r="R5004">
        <v>7.921077E-2</v>
      </c>
      <c r="S5004">
        <v>3.5196230000000002</v>
      </c>
      <c r="T5004">
        <v>-0.54021790000000003</v>
      </c>
      <c r="U5004">
        <v>-8.0139160000000001E-2</v>
      </c>
      <c r="V5004">
        <v>-0.1031943</v>
      </c>
      <c r="W5004">
        <v>0.40752909999999998</v>
      </c>
      <c r="X5004">
        <v>0.9073428</v>
      </c>
      <c r="Y5004">
        <v>-1.0884410000000001E-3</v>
      </c>
      <c r="Z5004">
        <v>3.4292369999999999E-3</v>
      </c>
      <c r="AA5004">
        <v>0.99999349999999998</v>
      </c>
      <c r="AB5004">
        <v>37</v>
      </c>
      <c r="AC5004">
        <v>0.70220000000000404</v>
      </c>
      <c r="AD5004">
        <v>-0.13874810000000001</v>
      </c>
      <c r="AE5004">
        <v>-1.6639999999998802E-2</v>
      </c>
      <c r="AF5004">
        <v>-2.7563900562588598E-4</v>
      </c>
      <c r="AG5004">
        <v>-0.13874810000000001</v>
      </c>
      <c r="AH5004">
        <v>0.67601873842579696</v>
      </c>
      <c r="AI5004">
        <v>101.59848487805201</v>
      </c>
      <c r="AJ5004">
        <v>90.0233617057023</v>
      </c>
      <c r="AK5004">
        <v>0.69011045922611403</v>
      </c>
      <c r="AL5004">
        <v>65.950288889807098</v>
      </c>
      <c r="AM5004">
        <v>96.488507568010206</v>
      </c>
      <c r="AN5004">
        <v>0.99999999380557003</v>
      </c>
    </row>
    <row r="5005" spans="1:40" x14ac:dyDescent="0.25">
      <c r="A5005" t="str">
        <f>"20190304164510985"</f>
        <v>20190304164510985</v>
      </c>
      <c r="B5005" t="str">
        <f>"1551689110975334"</f>
        <v>1551689110975334</v>
      </c>
      <c r="C5005" t="s">
        <v>40</v>
      </c>
      <c r="D5005">
        <v>5.5273519999999996</v>
      </c>
      <c r="E5005">
        <v>0.5597048</v>
      </c>
      <c r="F5005" t="s">
        <v>41</v>
      </c>
      <c r="G5005">
        <v>-351.01490000000001</v>
      </c>
      <c r="H5005">
        <v>1.002429</v>
      </c>
      <c r="I5005">
        <v>17.480509999999999</v>
      </c>
      <c r="J5005">
        <v>-351.54199999999997</v>
      </c>
      <c r="K5005">
        <v>1.1128750000000001</v>
      </c>
      <c r="L5005">
        <v>17.49335</v>
      </c>
      <c r="M5005">
        <v>0.99963550000000001</v>
      </c>
      <c r="N5005">
        <v>-1.407312E-2</v>
      </c>
      <c r="O5005">
        <v>-2.3047689999999999E-2</v>
      </c>
      <c r="P5005">
        <v>0.91539499999999996</v>
      </c>
      <c r="Q5005">
        <v>0.39464480000000002</v>
      </c>
      <c r="R5005">
        <v>7.9422300000000001E-2</v>
      </c>
      <c r="S5005">
        <v>3.519501</v>
      </c>
      <c r="T5005">
        <v>-0.54309059999999998</v>
      </c>
      <c r="U5005">
        <v>-7.9650879999999993E-2</v>
      </c>
      <c r="V5005">
        <v>-0.1024554</v>
      </c>
      <c r="W5005">
        <v>0.40697220000000001</v>
      </c>
      <c r="X5005">
        <v>0.9076765</v>
      </c>
      <c r="Y5005">
        <v>-1.9693320000000001E-4</v>
      </c>
      <c r="Z5005">
        <v>3.2284940000000002E-3</v>
      </c>
      <c r="AA5005">
        <v>0.99999479999999996</v>
      </c>
      <c r="AB5005">
        <v>37</v>
      </c>
      <c r="AC5005">
        <v>0.52709999999996104</v>
      </c>
      <c r="AD5005">
        <v>-0.110446</v>
      </c>
      <c r="AE5005">
        <v>-1.2840000000000599E-2</v>
      </c>
      <c r="AF5005">
        <v>6.5807468703076E-4</v>
      </c>
      <c r="AG5005">
        <v>-0.110446</v>
      </c>
      <c r="AH5005">
        <v>0.50509296492000699</v>
      </c>
      <c r="AI5005">
        <v>102.334412725284</v>
      </c>
      <c r="AJ5005">
        <v>89.925350611757807</v>
      </c>
      <c r="AK5005">
        <v>0.51702771220697297</v>
      </c>
      <c r="AL5005">
        <v>65.985226877370295</v>
      </c>
      <c r="AM5005">
        <v>96.440091430218402</v>
      </c>
      <c r="AN5005">
        <v>1.0000000546071199</v>
      </c>
    </row>
    <row r="5006" spans="1:40" x14ac:dyDescent="0.25">
      <c r="A5006" t="str">
        <f>"20190304164511007"</f>
        <v>20190304164511007</v>
      </c>
      <c r="B5006" t="str">
        <f>"1551689110994854"</f>
        <v>1551689110994854</v>
      </c>
      <c r="C5006" t="s">
        <v>40</v>
      </c>
      <c r="D5006">
        <v>5.4496589999999996</v>
      </c>
      <c r="E5006">
        <v>0.55973260000000002</v>
      </c>
      <c r="F5006" t="s">
        <v>41</v>
      </c>
      <c r="G5006">
        <v>-350.69409999999999</v>
      </c>
      <c r="H5006">
        <v>0.98165199999999997</v>
      </c>
      <c r="I5006">
        <v>17.473790000000001</v>
      </c>
      <c r="J5006">
        <v>-351.17559999999997</v>
      </c>
      <c r="K5006">
        <v>1.11287</v>
      </c>
      <c r="L5006">
        <v>17.48676</v>
      </c>
      <c r="M5006">
        <v>0.9996796</v>
      </c>
      <c r="N5006">
        <v>-1.407099E-2</v>
      </c>
      <c r="O5006">
        <v>-2.1041259999999999E-2</v>
      </c>
      <c r="P5006">
        <v>0.91554069999999999</v>
      </c>
      <c r="Q5006">
        <v>0.39431240000000001</v>
      </c>
      <c r="R5006">
        <v>7.9392480000000001E-2</v>
      </c>
      <c r="S5006">
        <v>3.5190429999999999</v>
      </c>
      <c r="T5006">
        <v>-0.54479840000000002</v>
      </c>
      <c r="U5006">
        <v>-7.9559329999999998E-2</v>
      </c>
      <c r="V5006">
        <v>-0.10059120000000001</v>
      </c>
      <c r="W5006">
        <v>0.40665200000000001</v>
      </c>
      <c r="X5006">
        <v>0.90802839999999996</v>
      </c>
      <c r="Y5006">
        <v>1.7437959999999999E-3</v>
      </c>
      <c r="Z5006">
        <v>2.7964180000000002E-3</v>
      </c>
      <c r="AA5006">
        <v>0.99999459999999996</v>
      </c>
      <c r="AB5006">
        <v>37</v>
      </c>
      <c r="AC5006">
        <v>0.481499999999982</v>
      </c>
      <c r="AD5006">
        <v>-0.131217999999999</v>
      </c>
      <c r="AE5006">
        <v>-1.2969999999999199E-2</v>
      </c>
      <c r="AF5006">
        <v>2.6389167327729398E-3</v>
      </c>
      <c r="AG5006">
        <v>-0.131217999999999</v>
      </c>
      <c r="AH5006">
        <v>0.44839000086907499</v>
      </c>
      <c r="AI5006">
        <v>106.311454845387</v>
      </c>
      <c r="AJ5006">
        <v>89.662800139767398</v>
      </c>
      <c r="AK5006">
        <v>0.46720308248650499</v>
      </c>
      <c r="AL5006">
        <v>66.005308714563597</v>
      </c>
      <c r="AM5006">
        <v>96.321439549619896</v>
      </c>
      <c r="AN5006">
        <v>1.000000006914</v>
      </c>
    </row>
    <row r="5007" spans="1:40" x14ac:dyDescent="0.25">
      <c r="A5007" t="str">
        <f>"20190304164511029"</f>
        <v>20190304164511029</v>
      </c>
      <c r="B5007" t="str">
        <f>"1551689111025110"</f>
        <v>1551689111025110</v>
      </c>
      <c r="C5007" t="s">
        <v>40</v>
      </c>
      <c r="D5007">
        <v>5.4599399999999996</v>
      </c>
      <c r="E5007">
        <v>0.55985839999999998</v>
      </c>
      <c r="F5007" t="s">
        <v>41</v>
      </c>
      <c r="G5007">
        <v>-350.36090000000002</v>
      </c>
      <c r="H5007">
        <v>0.98670570000000002</v>
      </c>
      <c r="I5007">
        <v>17.468039999999998</v>
      </c>
      <c r="J5007">
        <v>-350.82709999999997</v>
      </c>
      <c r="K5007">
        <v>1.112857</v>
      </c>
      <c r="L5007">
        <v>17.481110000000001</v>
      </c>
      <c r="M5007">
        <v>0.99971710000000003</v>
      </c>
      <c r="N5007">
        <v>-1.406894E-2</v>
      </c>
      <c r="O5007">
        <v>-1.9181750000000001E-2</v>
      </c>
      <c r="P5007">
        <v>0.91523779999999999</v>
      </c>
      <c r="Q5007">
        <v>0.39515430000000001</v>
      </c>
      <c r="R5007">
        <v>7.8695710000000002E-2</v>
      </c>
      <c r="S5007">
        <v>3.5184630000000001</v>
      </c>
      <c r="T5007">
        <v>-0.54494500000000001</v>
      </c>
      <c r="U5007">
        <v>-8.0017089999999999E-2</v>
      </c>
      <c r="V5007">
        <v>-9.8175440000000003E-2</v>
      </c>
      <c r="W5007">
        <v>0.4075066</v>
      </c>
      <c r="X5007">
        <v>0.90790970000000004</v>
      </c>
      <c r="Y5007">
        <v>3.6941259999999998E-3</v>
      </c>
      <c r="Z5007">
        <v>2.373698E-3</v>
      </c>
      <c r="AA5007">
        <v>0.9999903</v>
      </c>
      <c r="AB5007">
        <v>37</v>
      </c>
      <c r="AC5007">
        <v>0.46619999999995798</v>
      </c>
      <c r="AD5007">
        <v>-0.12615129999999999</v>
      </c>
      <c r="AE5007">
        <v>-1.30700000000025E-2</v>
      </c>
      <c r="AF5007">
        <v>3.8430084607567298E-3</v>
      </c>
      <c r="AG5007">
        <v>-0.12615129999999999</v>
      </c>
      <c r="AH5007">
        <v>0.43457003660856502</v>
      </c>
      <c r="AI5007">
        <v>106.186880477763</v>
      </c>
      <c r="AJ5007">
        <v>89.4933327027464</v>
      </c>
      <c r="AK5007">
        <v>0.452526282025353</v>
      </c>
      <c r="AL5007">
        <v>65.951701629575894</v>
      </c>
      <c r="AM5007">
        <v>96.171612287548996</v>
      </c>
      <c r="AN5007">
        <v>1.0000000347084199</v>
      </c>
    </row>
    <row r="5008" spans="1:40" x14ac:dyDescent="0.25">
      <c r="A5008" t="str">
        <f>"20190304164511051"</f>
        <v>20190304164511051</v>
      </c>
      <c r="B5008" t="str">
        <f>"1551689111045606"</f>
        <v>1551689111045606</v>
      </c>
      <c r="C5008" t="s">
        <v>40</v>
      </c>
      <c r="D5008">
        <v>5.484693</v>
      </c>
      <c r="E5008">
        <v>0.5598957</v>
      </c>
      <c r="F5008" t="s">
        <v>41</v>
      </c>
      <c r="G5008">
        <v>-350.02870000000001</v>
      </c>
      <c r="H5008">
        <v>0.99047099999999999</v>
      </c>
      <c r="I5008">
        <v>17.461590000000001</v>
      </c>
      <c r="J5008">
        <v>-350.4425</v>
      </c>
      <c r="K5008">
        <v>1.1128129999999901</v>
      </c>
      <c r="L5008">
        <v>17.475619999999999</v>
      </c>
      <c r="M5008">
        <v>0.99975320000000001</v>
      </c>
      <c r="N5008">
        <v>-1.406641E-2</v>
      </c>
      <c r="O5008">
        <v>-1.719393E-2</v>
      </c>
      <c r="P5008">
        <v>0.91479290000000002</v>
      </c>
      <c r="Q5008">
        <v>0.39632050000000002</v>
      </c>
      <c r="R5008">
        <v>7.800166E-2</v>
      </c>
      <c r="S5008">
        <v>3.5178829999999999</v>
      </c>
      <c r="T5008">
        <v>-0.53947040000000002</v>
      </c>
      <c r="U5008">
        <v>-8.3831790000000003E-2</v>
      </c>
      <c r="V5008">
        <v>-9.5627429999999999E-2</v>
      </c>
      <c r="W5008">
        <v>0.40868710000000003</v>
      </c>
      <c r="X5008">
        <v>0.90765090000000004</v>
      </c>
      <c r="Y5008">
        <v>6.709156E-3</v>
      </c>
      <c r="Z5008">
        <v>1.8213439999999999E-3</v>
      </c>
      <c r="AA5008">
        <v>0.99997590000000003</v>
      </c>
      <c r="AB5008">
        <v>37</v>
      </c>
      <c r="AC5008">
        <v>0.41379999999998002</v>
      </c>
      <c r="AD5008">
        <v>-0.12234199999999899</v>
      </c>
      <c r="AE5008">
        <v>-1.4030000000001701E-2</v>
      </c>
      <c r="AF5008">
        <v>6.3573074520989897E-3</v>
      </c>
      <c r="AG5008">
        <v>-0.12234199999999899</v>
      </c>
      <c r="AH5008">
        <v>0.380737341514927</v>
      </c>
      <c r="AI5008">
        <v>107.811399065871</v>
      </c>
      <c r="AJ5008">
        <v>89.043400788071494</v>
      </c>
      <c r="AK5008">
        <v>0.39996112754353302</v>
      </c>
      <c r="AL5008">
        <v>65.877611688007406</v>
      </c>
      <c r="AM5008">
        <v>96.014327118119297</v>
      </c>
      <c r="AN5008">
        <v>0.99999995367281103</v>
      </c>
    </row>
    <row r="5009" spans="1:40" x14ac:dyDescent="0.25">
      <c r="A5009" t="str">
        <f>"20190304164511072"</f>
        <v>20190304164511072</v>
      </c>
      <c r="B5009" t="str">
        <f>"1551689111065126"</f>
        <v>1551689111065126</v>
      </c>
      <c r="C5009" t="s">
        <v>40</v>
      </c>
      <c r="D5009">
        <v>5.4716870000000002</v>
      </c>
      <c r="E5009">
        <v>0.55983380000000005</v>
      </c>
      <c r="F5009" t="s">
        <v>41</v>
      </c>
      <c r="G5009">
        <v>-349.69420000000002</v>
      </c>
      <c r="H5009">
        <v>0.99915989999999999</v>
      </c>
      <c r="I5009">
        <v>17.45721</v>
      </c>
      <c r="J5009">
        <v>-350.08550000000002</v>
      </c>
      <c r="K5009">
        <v>1.1127549999999999</v>
      </c>
      <c r="L5009">
        <v>17.4711</v>
      </c>
      <c r="M5009">
        <v>0.99978210000000001</v>
      </c>
      <c r="N5009">
        <v>-1.40635E-2</v>
      </c>
      <c r="O5009">
        <v>-1.5424999999999999E-2</v>
      </c>
      <c r="P5009">
        <v>0.91495839999999995</v>
      </c>
      <c r="Q5009">
        <v>0.39626650000000002</v>
      </c>
      <c r="R5009">
        <v>7.6316430000000005E-2</v>
      </c>
      <c r="S5009">
        <v>3.5183409999999999</v>
      </c>
      <c r="T5009">
        <v>-0.53442670000000003</v>
      </c>
      <c r="U5009">
        <v>-8.5845950000000004E-2</v>
      </c>
      <c r="V5009">
        <v>-9.2281070000000007E-2</v>
      </c>
      <c r="W5009">
        <v>0.40866190000000002</v>
      </c>
      <c r="X5009">
        <v>0.90800860000000005</v>
      </c>
      <c r="Y5009">
        <v>9.0001839999999996E-3</v>
      </c>
      <c r="Z5009">
        <v>1.3700839999999999E-3</v>
      </c>
      <c r="AA5009">
        <v>0.99995860000000003</v>
      </c>
      <c r="AB5009">
        <v>37</v>
      </c>
      <c r="AC5009">
        <v>0.39130000000000098</v>
      </c>
      <c r="AD5009">
        <v>-0.11359509999999901</v>
      </c>
      <c r="AE5009">
        <v>-1.3889999999999901E-2</v>
      </c>
      <c r="AF5009">
        <v>7.2423643557841004E-3</v>
      </c>
      <c r="AG5009">
        <v>-0.11359509999999901</v>
      </c>
      <c r="AH5009">
        <v>0.36107625281762101</v>
      </c>
      <c r="AI5009">
        <v>107.460350761759</v>
      </c>
      <c r="AJ5009">
        <v>88.850931696269896</v>
      </c>
      <c r="AK5009">
        <v>0.37859260285204599</v>
      </c>
      <c r="AL5009">
        <v>65.879194382956101</v>
      </c>
      <c r="AM5009">
        <v>95.803055324766802</v>
      </c>
      <c r="AN5009">
        <v>0.99999998103295695</v>
      </c>
    </row>
    <row r="5010" spans="1:40" x14ac:dyDescent="0.25">
      <c r="A5010" t="str">
        <f>"20190304164511084"</f>
        <v>20190304164511084</v>
      </c>
      <c r="B5010" t="str">
        <f>"1551689111074886"</f>
        <v>1551689111074886</v>
      </c>
      <c r="C5010" t="s">
        <v>40</v>
      </c>
      <c r="D5010">
        <v>5.4632800000000001</v>
      </c>
      <c r="E5010">
        <v>0.55981979999999998</v>
      </c>
      <c r="F5010" t="s">
        <v>41</v>
      </c>
      <c r="G5010">
        <v>-349.36250000000001</v>
      </c>
      <c r="H5010">
        <v>1.0025550000000001</v>
      </c>
      <c r="I5010">
        <v>17.45251</v>
      </c>
      <c r="J5010">
        <v>-349.892</v>
      </c>
      <c r="K5010">
        <v>1.1127199999999999</v>
      </c>
      <c r="L5010">
        <v>17.46893</v>
      </c>
      <c r="M5010">
        <v>0.99979580000000001</v>
      </c>
      <c r="N5010">
        <v>-1.406196E-2</v>
      </c>
      <c r="O5010">
        <v>-1.4511319999999999E-2</v>
      </c>
      <c r="P5010">
        <v>0.9152882</v>
      </c>
      <c r="Q5010">
        <v>0.39567550000000001</v>
      </c>
      <c r="R5010">
        <v>7.5422610000000001E-2</v>
      </c>
      <c r="S5010">
        <v>3.5185849999999999</v>
      </c>
      <c r="T5010">
        <v>-0.53649449999999999</v>
      </c>
      <c r="U5010">
        <v>-8.8684079999999998E-2</v>
      </c>
      <c r="V5010">
        <v>-9.0521550000000006E-2</v>
      </c>
      <c r="W5010">
        <v>0.40809040000000002</v>
      </c>
      <c r="X5010">
        <v>0.90844270000000005</v>
      </c>
      <c r="Y5010">
        <v>1.068878E-2</v>
      </c>
      <c r="Z5010">
        <v>1.110691E-3</v>
      </c>
      <c r="AA5010">
        <v>0.9999422</v>
      </c>
      <c r="AB5010">
        <v>37</v>
      </c>
      <c r="AC5010">
        <v>0.52949999999998398</v>
      </c>
      <c r="AD5010">
        <v>-0.110165</v>
      </c>
      <c r="AE5010">
        <v>-1.6420000000000101E-2</v>
      </c>
      <c r="AF5010">
        <v>8.3717296932916893E-3</v>
      </c>
      <c r="AG5010">
        <v>-0.110165</v>
      </c>
      <c r="AH5010">
        <v>0.50772582965878599</v>
      </c>
      <c r="AI5010">
        <v>102.24051003606699</v>
      </c>
      <c r="AJ5010">
        <v>89.055353720765495</v>
      </c>
      <c r="AK5010">
        <v>0.51960747799253204</v>
      </c>
      <c r="AL5010">
        <v>65.915067791483494</v>
      </c>
      <c r="AM5010">
        <v>95.690439898382095</v>
      </c>
      <c r="AN5010">
        <v>1.0000000323849201</v>
      </c>
    </row>
    <row r="5011" spans="1:40" x14ac:dyDescent="0.25">
      <c r="A5011" t="str">
        <f>"20190304164511096"</f>
        <v>20190304164511096</v>
      </c>
      <c r="B5011" t="str">
        <f>"1551689111085622"</f>
        <v>1551689111085622</v>
      </c>
      <c r="C5011" t="s">
        <v>40</v>
      </c>
      <c r="D5011">
        <v>5.4586360000000003</v>
      </c>
      <c r="E5011">
        <v>0.55981769999999997</v>
      </c>
      <c r="F5011" t="s">
        <v>41</v>
      </c>
      <c r="G5011">
        <v>-349.04259999999999</v>
      </c>
      <c r="H5011">
        <v>0.98243780000000003</v>
      </c>
      <c r="I5011">
        <v>17.44708</v>
      </c>
      <c r="J5011">
        <v>-349.69900000000001</v>
      </c>
      <c r="K5011">
        <v>1.1126799999999999</v>
      </c>
      <c r="L5011">
        <v>17.466889999999999</v>
      </c>
      <c r="M5011">
        <v>0.99980840000000004</v>
      </c>
      <c r="N5011">
        <v>-1.4060400000000001E-2</v>
      </c>
      <c r="O5011">
        <v>-1.361411E-2</v>
      </c>
      <c r="P5011">
        <v>0.91554800000000003</v>
      </c>
      <c r="Q5011">
        <v>0.39526790000000001</v>
      </c>
      <c r="R5011">
        <v>7.4398119999999998E-2</v>
      </c>
      <c r="S5011">
        <v>3.518402</v>
      </c>
      <c r="T5011">
        <v>-0.53969299999999998</v>
      </c>
      <c r="U5011">
        <v>-8.9904789999999998E-2</v>
      </c>
      <c r="V5011">
        <v>-8.8643449999999999E-2</v>
      </c>
      <c r="W5011">
        <v>0.40770250000000002</v>
      </c>
      <c r="X5011">
        <v>0.908802</v>
      </c>
      <c r="Y5011">
        <v>1.191015E-2</v>
      </c>
      <c r="Z5011">
        <v>8.9299500000000005E-4</v>
      </c>
      <c r="AA5011">
        <v>0.9999287</v>
      </c>
      <c r="AB5011">
        <v>37</v>
      </c>
      <c r="AC5011">
        <v>0.65640000000001897</v>
      </c>
      <c r="AD5011">
        <v>-0.130242199999999</v>
      </c>
      <c r="AE5011">
        <v>-1.9809999999999599E-2</v>
      </c>
      <c r="AF5011">
        <v>1.04595589484091E-2</v>
      </c>
      <c r="AG5011">
        <v>-0.130242199999999</v>
      </c>
      <c r="AH5011">
        <v>0.63175910431023297</v>
      </c>
      <c r="AI5011">
        <v>101.647232359775</v>
      </c>
      <c r="AJ5011">
        <v>89.051483656704903</v>
      </c>
      <c r="AK5011">
        <v>0.64512944353292601</v>
      </c>
      <c r="AL5011">
        <v>65.939409903094102</v>
      </c>
      <c r="AM5011">
        <v>95.570938804822504</v>
      </c>
      <c r="AN5011">
        <v>1.0000000324690701</v>
      </c>
    </row>
    <row r="5012" spans="1:40" x14ac:dyDescent="0.25">
      <c r="A5012" t="str">
        <f>"20190304164511108"</f>
        <v>20190304164511108</v>
      </c>
      <c r="B5012" t="str">
        <f>"1551689111105142"</f>
        <v>1551689111105142</v>
      </c>
      <c r="C5012" t="s">
        <v>40</v>
      </c>
      <c r="D5012">
        <v>5.4711429999999996</v>
      </c>
      <c r="E5012">
        <v>0.55979569999999901</v>
      </c>
      <c r="F5012" t="s">
        <v>41</v>
      </c>
      <c r="G5012">
        <v>-348.72280000000001</v>
      </c>
      <c r="H5012">
        <v>0.96231080000000002</v>
      </c>
      <c r="I5012">
        <v>17.441389999999998</v>
      </c>
      <c r="J5012">
        <v>-349.50630000000001</v>
      </c>
      <c r="K5012">
        <v>1.1126419999999999</v>
      </c>
      <c r="L5012">
        <v>17.465060000000001</v>
      </c>
      <c r="M5012">
        <v>0.99981980000000004</v>
      </c>
      <c r="N5012">
        <v>-1.4058630000000001E-2</v>
      </c>
      <c r="O5012">
        <v>-1.275512E-2</v>
      </c>
      <c r="P5012">
        <v>0.91589779999999998</v>
      </c>
      <c r="Q5012">
        <v>0.3946248</v>
      </c>
      <c r="R5012">
        <v>7.3500599999999999E-2</v>
      </c>
      <c r="S5012">
        <v>3.5181580000000001</v>
      </c>
      <c r="T5012">
        <v>-0.54190389999999999</v>
      </c>
      <c r="U5012">
        <v>-9.1827389999999995E-2</v>
      </c>
      <c r="V5012">
        <v>-8.6921999999999999E-2</v>
      </c>
      <c r="W5012">
        <v>0.40707969999999999</v>
      </c>
      <c r="X5012">
        <v>0.90924729999999998</v>
      </c>
      <c r="Y5012">
        <v>1.3290939999999999E-2</v>
      </c>
      <c r="Z5012">
        <v>6.6288009999999995E-4</v>
      </c>
      <c r="AA5012">
        <v>0.99991140000000001</v>
      </c>
      <c r="AB5012">
        <v>37</v>
      </c>
      <c r="AC5012">
        <v>0.78350000000000297</v>
      </c>
      <c r="AD5012">
        <v>-0.150331199999999</v>
      </c>
      <c r="AE5012">
        <v>-2.3670000000002699E-2</v>
      </c>
      <c r="AF5012">
        <v>1.31883677212372E-2</v>
      </c>
      <c r="AG5012">
        <v>-0.150331199999999</v>
      </c>
      <c r="AH5012">
        <v>0.75593414601571096</v>
      </c>
      <c r="AI5012">
        <v>101.245893352995</v>
      </c>
      <c r="AJ5012">
        <v>89.000493415457996</v>
      </c>
      <c r="AK5012">
        <v>0.77085007352214296</v>
      </c>
      <c r="AL5012">
        <v>65.978481944596695</v>
      </c>
      <c r="AM5012">
        <v>95.460753053315102</v>
      </c>
      <c r="AN5012">
        <v>0.99999998439668902</v>
      </c>
    </row>
    <row r="5013" spans="1:40" x14ac:dyDescent="0.25">
      <c r="A5013" t="str">
        <f>"20190304164511119"</f>
        <v>20190304164511119</v>
      </c>
      <c r="B5013" t="str">
        <f>"1551689111114903"</f>
        <v>1551689111114903</v>
      </c>
      <c r="C5013" t="s">
        <v>40</v>
      </c>
      <c r="D5013">
        <v>5.4028080000000003</v>
      </c>
      <c r="E5013">
        <v>0.55985109999999905</v>
      </c>
      <c r="F5013" t="s">
        <v>41</v>
      </c>
      <c r="G5013">
        <v>-348.7097</v>
      </c>
      <c r="H5013">
        <v>0.9891086</v>
      </c>
      <c r="I5013">
        <v>17.443939999999898</v>
      </c>
      <c r="J5013">
        <v>-349.32619999999997</v>
      </c>
      <c r="K5013">
        <v>1.1126020000000001</v>
      </c>
      <c r="L5013">
        <v>17.46341</v>
      </c>
      <c r="M5013">
        <v>0.99982959999999999</v>
      </c>
      <c r="N5013">
        <v>-1.405699E-2</v>
      </c>
      <c r="O5013">
        <v>-1.1974200000000001E-2</v>
      </c>
      <c r="P5013">
        <v>0.91616540000000002</v>
      </c>
      <c r="Q5013">
        <v>0.3941672</v>
      </c>
      <c r="R5013">
        <v>7.2616159999999999E-2</v>
      </c>
      <c r="S5013">
        <v>3.518005</v>
      </c>
      <c r="T5013">
        <v>-0.54556199999999999</v>
      </c>
      <c r="U5013">
        <v>-9.3200679999999994E-2</v>
      </c>
      <c r="V5013">
        <v>-8.5285250000000007E-2</v>
      </c>
      <c r="W5013">
        <v>0.40664030000000001</v>
      </c>
      <c r="X5013">
        <v>0.90959889999999999</v>
      </c>
      <c r="Y5013">
        <v>1.4440049999999999E-2</v>
      </c>
      <c r="Z5013">
        <v>4.6307709999999998E-4</v>
      </c>
      <c r="AA5013">
        <v>0.9998956</v>
      </c>
      <c r="AB5013">
        <v>37</v>
      </c>
      <c r="AC5013">
        <v>0.61649999999997296</v>
      </c>
      <c r="AD5013">
        <v>-0.1234934</v>
      </c>
      <c r="AE5013">
        <v>-1.9470000000001798E-2</v>
      </c>
      <c r="AF5013">
        <v>1.1619986734539799E-2</v>
      </c>
      <c r="AG5013">
        <v>-0.1234934</v>
      </c>
      <c r="AH5013">
        <v>0.59292134520497797</v>
      </c>
      <c r="AI5013">
        <v>101.763140567081</v>
      </c>
      <c r="AJ5013">
        <v>88.877269326356995</v>
      </c>
      <c r="AK5013">
        <v>0.60575685347749197</v>
      </c>
      <c r="AL5013">
        <v>66.0060431527573</v>
      </c>
      <c r="AM5013">
        <v>95.356471505357902</v>
      </c>
      <c r="AN5013">
        <v>1.00000003316643</v>
      </c>
    </row>
    <row r="5014" spans="1:40" x14ac:dyDescent="0.25">
      <c r="A5014" t="str">
        <f>"20190304164511131"</f>
        <v>20190304164511131</v>
      </c>
      <c r="B5014" t="str">
        <f>"1551689111125638"</f>
        <v>1551689111125638</v>
      </c>
      <c r="C5014" t="s">
        <v>40</v>
      </c>
      <c r="D5014">
        <v>5.7670640000000004</v>
      </c>
      <c r="E5014">
        <v>0.55985109999999905</v>
      </c>
      <c r="F5014" t="s">
        <v>41</v>
      </c>
      <c r="G5014">
        <v>-348.39120000000003</v>
      </c>
      <c r="H5014">
        <v>0.96693560000000001</v>
      </c>
      <c r="I5014">
        <v>17.43796</v>
      </c>
      <c r="J5014">
        <v>-349.11500000000001</v>
      </c>
      <c r="K5014">
        <v>1.112555</v>
      </c>
      <c r="L5014">
        <v>17.461670000000002</v>
      </c>
      <c r="M5014">
        <v>0.99983979999999995</v>
      </c>
      <c r="N5014">
        <v>-1.4055089999999999E-2</v>
      </c>
      <c r="O5014">
        <v>-1.1083590000000001E-2</v>
      </c>
      <c r="P5014">
        <v>0.91627579999999997</v>
      </c>
      <c r="Q5014">
        <v>0.39396880000000001</v>
      </c>
      <c r="R5014">
        <v>7.2300229999999993E-2</v>
      </c>
      <c r="S5014">
        <v>3.5178530000000001</v>
      </c>
      <c r="T5014">
        <v>-0.5479714</v>
      </c>
      <c r="U5014">
        <v>-9.5977779999999999E-2</v>
      </c>
      <c r="V5014">
        <v>-8.4107280000000006E-2</v>
      </c>
      <c r="W5014">
        <v>0.40645730000000002</v>
      </c>
      <c r="X5014">
        <v>0.90979030000000005</v>
      </c>
      <c r="Y5014">
        <v>1.6089599999999999E-2</v>
      </c>
      <c r="Z5014">
        <v>2.015799E-4</v>
      </c>
      <c r="AA5014">
        <v>0.9998705</v>
      </c>
      <c r="AB5014">
        <v>37</v>
      </c>
      <c r="AC5014">
        <v>0.72379999999998201</v>
      </c>
      <c r="AD5014">
        <v>-0.14561939999999901</v>
      </c>
      <c r="AE5014">
        <v>-2.3710000000001199E-2</v>
      </c>
      <c r="AF5014">
        <v>1.50758857606472E-2</v>
      </c>
      <c r="AG5014">
        <v>-0.14561939999999901</v>
      </c>
      <c r="AH5014">
        <v>0.69588178893714603</v>
      </c>
      <c r="AI5014">
        <v>101.816405394356</v>
      </c>
      <c r="AJ5014">
        <v>88.758913453656803</v>
      </c>
      <c r="AK5014">
        <v>0.71111444659927303</v>
      </c>
      <c r="AL5014">
        <v>66.017518163837906</v>
      </c>
      <c r="AM5014">
        <v>95.281803678085197</v>
      </c>
      <c r="AN5014">
        <v>0.99999998062318896</v>
      </c>
    </row>
    <row r="5015" spans="1:40" x14ac:dyDescent="0.25">
      <c r="A5015" t="str">
        <f>"20190304164511144"</f>
        <v>20190304164511144</v>
      </c>
      <c r="B5015" t="str">
        <f>"1551689111135398"</f>
        <v>1551689111135398</v>
      </c>
      <c r="C5015" t="s">
        <v>40</v>
      </c>
      <c r="D5015">
        <v>5.3580290000000002</v>
      </c>
      <c r="E5015">
        <v>0.55889940000000005</v>
      </c>
      <c r="F5015" t="s">
        <v>41</v>
      </c>
      <c r="G5015">
        <v>-348.37630000000001</v>
      </c>
      <c r="H5015">
        <v>0.9973069</v>
      </c>
      <c r="I5015">
        <v>17.44134</v>
      </c>
      <c r="J5015">
        <v>-348.91210000000001</v>
      </c>
      <c r="K5015">
        <v>1.1125080000000001</v>
      </c>
      <c r="L5015">
        <v>17.460170000000002</v>
      </c>
      <c r="M5015">
        <v>0.99984850000000003</v>
      </c>
      <c r="N5015">
        <v>-1.405323E-2</v>
      </c>
      <c r="O5015">
        <v>-1.027107E-2</v>
      </c>
      <c r="P5015">
        <v>0.91647920000000005</v>
      </c>
      <c r="Q5015">
        <v>0.39361040000000003</v>
      </c>
      <c r="R5015">
        <v>7.1671280000000004E-2</v>
      </c>
      <c r="S5015">
        <v>3.5177309999999999</v>
      </c>
      <c r="T5015">
        <v>-0.54876849999999999</v>
      </c>
      <c r="U5015">
        <v>-9.7076419999999997E-2</v>
      </c>
      <c r="V5015">
        <v>-8.268797E-2</v>
      </c>
      <c r="W5015">
        <v>0.40611609999999998</v>
      </c>
      <c r="X5015">
        <v>0.91007269999999896</v>
      </c>
      <c r="Y5015">
        <v>1.7192209999999999E-2</v>
      </c>
      <c r="Z5015" s="1">
        <v>-5.5636049999999999E-6</v>
      </c>
      <c r="AA5015">
        <v>0.99985219999999997</v>
      </c>
      <c r="AB5015">
        <v>37</v>
      </c>
      <c r="AC5015">
        <v>0.53579999999999395</v>
      </c>
      <c r="AD5015">
        <v>-0.1152011</v>
      </c>
      <c r="AE5015">
        <v>-1.88300000000012E-2</v>
      </c>
      <c r="AF5015">
        <v>1.2737134161232601E-2</v>
      </c>
      <c r="AG5015">
        <v>-0.1152011</v>
      </c>
      <c r="AH5015">
        <v>0.51231110311357098</v>
      </c>
      <c r="AI5015">
        <v>102.66926058640701</v>
      </c>
      <c r="AJ5015">
        <v>88.575799517015</v>
      </c>
      <c r="AK5015">
        <v>0.52525821688127305</v>
      </c>
      <c r="AL5015">
        <v>66.038912171992806</v>
      </c>
      <c r="AM5015">
        <v>95.191562100100995</v>
      </c>
      <c r="AN5015">
        <v>0.99999995317360901</v>
      </c>
    </row>
    <row r="5016" spans="1:40" x14ac:dyDescent="0.25">
      <c r="A5016" t="str">
        <f>"20190304164511163"</f>
        <v>20190304164511163</v>
      </c>
      <c r="B5016" t="str">
        <f>"1551689111154918"</f>
        <v>1551689111154918</v>
      </c>
      <c r="C5016" t="s">
        <v>40</v>
      </c>
      <c r="D5016">
        <v>5.4829230000000004</v>
      </c>
      <c r="E5016">
        <v>0.4777653</v>
      </c>
      <c r="F5016" t="s">
        <v>41</v>
      </c>
      <c r="G5016">
        <v>-348.0557</v>
      </c>
      <c r="H5016">
        <v>0.97978140000000002</v>
      </c>
      <c r="I5016">
        <v>17.437519999999999</v>
      </c>
      <c r="J5016">
        <v>-348.5992</v>
      </c>
      <c r="K5016">
        <v>1.112433</v>
      </c>
      <c r="L5016">
        <v>17.458100000000002</v>
      </c>
      <c r="M5016">
        <v>0.99986030000000004</v>
      </c>
      <c r="N5016">
        <v>-1.4050460000000001E-2</v>
      </c>
      <c r="O5016">
        <v>-9.0711379999999994E-3</v>
      </c>
      <c r="P5016">
        <v>0.91666110000000001</v>
      </c>
      <c r="Q5016">
        <v>0.39340409999999998</v>
      </c>
      <c r="R5016">
        <v>7.0468320000000001E-2</v>
      </c>
      <c r="S5016">
        <v>3.5145569999999999</v>
      </c>
      <c r="T5016">
        <v>-0.54476049999999998</v>
      </c>
      <c r="U5016">
        <v>-9.1949459999999997E-2</v>
      </c>
      <c r="V5016">
        <v>-8.0312320000000006E-2</v>
      </c>
      <c r="W5016">
        <v>0.40593570000000001</v>
      </c>
      <c r="X5016">
        <v>0.91036589999999995</v>
      </c>
      <c r="Y5016">
        <v>1.6952149999999999E-2</v>
      </c>
      <c r="Z5016">
        <v>-1.5502889999999999E-4</v>
      </c>
      <c r="AA5016">
        <v>0.99985630000000003</v>
      </c>
      <c r="AB5016">
        <v>37</v>
      </c>
      <c r="AC5016">
        <v>0.54349999999999399</v>
      </c>
      <c r="AD5016">
        <v>-0.13265159999999901</v>
      </c>
      <c r="AE5016">
        <v>-2.0579999999998901E-2</v>
      </c>
      <c r="AF5016">
        <v>1.47699225662148E-2</v>
      </c>
      <c r="AG5016">
        <v>-0.13265159999999901</v>
      </c>
      <c r="AH5016">
        <v>0.51314044601997999</v>
      </c>
      <c r="AI5016">
        <v>104.48843912778</v>
      </c>
      <c r="AJ5016">
        <v>88.351288332762095</v>
      </c>
      <c r="AK5016">
        <v>0.53021478189197602</v>
      </c>
      <c r="AL5016">
        <v>66.050222934348497</v>
      </c>
      <c r="AM5016">
        <v>95.041571575916507</v>
      </c>
      <c r="AN5016">
        <v>0.99999996658054002</v>
      </c>
    </row>
    <row r="5017" spans="1:40" x14ac:dyDescent="0.25">
      <c r="A5017" t="str">
        <f>"20190304164511176"</f>
        <v>20190304164511176</v>
      </c>
      <c r="B5017" t="str">
        <f>"1551689111165655"</f>
        <v>1551689111165655</v>
      </c>
      <c r="C5017" t="s">
        <v>40</v>
      </c>
      <c r="D5017">
        <v>5.3592469999999999</v>
      </c>
      <c r="E5017">
        <v>0.45969769999999999</v>
      </c>
      <c r="F5017" t="s">
        <v>42</v>
      </c>
      <c r="G5017">
        <v>-329.63869999999997</v>
      </c>
      <c r="H5017" s="1">
        <v>-3.666509E-7</v>
      </c>
      <c r="I5017">
        <v>20.425840000000001</v>
      </c>
      <c r="J5017">
        <v>-348.40379999999999</v>
      </c>
      <c r="K5017">
        <v>1.112387</v>
      </c>
      <c r="L5017">
        <v>17.456939999999999</v>
      </c>
      <c r="M5017">
        <v>0.99986649999999999</v>
      </c>
      <c r="N5017">
        <v>-1.404878E-2</v>
      </c>
      <c r="O5017">
        <v>-8.3537750000000008E-3</v>
      </c>
      <c r="P5017">
        <v>0.91665450000000004</v>
      </c>
      <c r="Q5017">
        <v>0.39351589999999997</v>
      </c>
      <c r="R5017">
        <v>6.9928619999999997E-2</v>
      </c>
      <c r="S5017">
        <v>3.316284</v>
      </c>
      <c r="T5017">
        <v>-0.1945703</v>
      </c>
      <c r="U5017">
        <v>0.51907349999999997</v>
      </c>
      <c r="V5017">
        <v>-7.9067680000000001E-2</v>
      </c>
      <c r="W5017">
        <v>0.40606029999999999</v>
      </c>
      <c r="X5017">
        <v>0.91041930000000004</v>
      </c>
      <c r="Y5017">
        <v>-0.16254070000000001</v>
      </c>
      <c r="Z5017">
        <v>6.2555469999999898E-3</v>
      </c>
      <c r="AA5017">
        <v>0.98668199999999995</v>
      </c>
      <c r="AB5017">
        <v>37</v>
      </c>
      <c r="AC5017">
        <v>18.7651</v>
      </c>
      <c r="AD5017">
        <v>-1.1123873666508901</v>
      </c>
      <c r="AE5017">
        <v>2.9689000000000001</v>
      </c>
      <c r="AF5017">
        <v>-3.1148926216441701</v>
      </c>
      <c r="AG5017">
        <v>-1.1123873666508901</v>
      </c>
      <c r="AH5017">
        <v>18.6756163584745</v>
      </c>
      <c r="AI5017">
        <v>93.362377981932795</v>
      </c>
      <c r="AJ5017">
        <v>99.4691574743497</v>
      </c>
      <c r="AK5017">
        <v>18.9662491828716</v>
      </c>
      <c r="AL5017">
        <v>66.042411507129898</v>
      </c>
      <c r="AM5017">
        <v>94.963543550914693</v>
      </c>
      <c r="AN5017">
        <v>0.99999998353458097</v>
      </c>
    </row>
    <row r="5018" spans="1:40" x14ac:dyDescent="0.25">
      <c r="A5018" t="str">
        <f>"20190304164511188"</f>
        <v>20190304164511188</v>
      </c>
      <c r="B5018" t="str">
        <f>"1551689111185174"</f>
        <v>1551689111185174</v>
      </c>
      <c r="C5018" t="s">
        <v>40</v>
      </c>
      <c r="D5018">
        <v>5.4707330000000001</v>
      </c>
      <c r="E5018">
        <v>0.44167849999999997</v>
      </c>
      <c r="F5018" t="s">
        <v>42</v>
      </c>
      <c r="G5018">
        <v>-329.61110000000002</v>
      </c>
      <c r="H5018" s="1">
        <v>-5.9250209999999898E-7</v>
      </c>
      <c r="I5018">
        <v>21.225650000000002</v>
      </c>
      <c r="J5018">
        <v>-348.19659999999999</v>
      </c>
      <c r="K5018">
        <v>1.1123350000000001</v>
      </c>
      <c r="L5018">
        <v>17.455870000000001</v>
      </c>
      <c r="M5018">
        <v>0.99987230000000005</v>
      </c>
      <c r="N5018">
        <v>-1.4046889999999999E-2</v>
      </c>
      <c r="O5018">
        <v>-7.6389689999999998E-3</v>
      </c>
      <c r="P5018">
        <v>0.91666309999999995</v>
      </c>
      <c r="Q5018">
        <v>0.3936327</v>
      </c>
      <c r="R5018">
        <v>6.9155889999999998E-2</v>
      </c>
      <c r="S5018">
        <v>3.3061829999999999</v>
      </c>
      <c r="T5018">
        <v>-0.19570109999999999</v>
      </c>
      <c r="U5018">
        <v>0.66302490000000003</v>
      </c>
      <c r="V5018">
        <v>-7.7588340000000006E-2</v>
      </c>
      <c r="W5018">
        <v>0.40619149999999998</v>
      </c>
      <c r="X5018">
        <v>0.91048810000000002</v>
      </c>
      <c r="Y5018">
        <v>-0.20367650000000001</v>
      </c>
      <c r="Z5018">
        <v>7.75100599999999E-3</v>
      </c>
      <c r="AA5018">
        <v>0.97900750000000003</v>
      </c>
      <c r="AB5018">
        <v>37</v>
      </c>
      <c r="AC5018">
        <v>18.5854999999999</v>
      </c>
      <c r="AD5018">
        <v>-1.1123355925020999</v>
      </c>
      <c r="AE5018">
        <v>3.7697799999999999</v>
      </c>
      <c r="AF5018">
        <v>-3.8982463723156</v>
      </c>
      <c r="AG5018">
        <v>-1.1123355925020999</v>
      </c>
      <c r="AH5018">
        <v>18.492535193913</v>
      </c>
      <c r="AI5018">
        <v>93.3683726534763</v>
      </c>
      <c r="AJ5018">
        <v>101.903731848383</v>
      </c>
      <c r="AK5018">
        <v>18.9316526787211</v>
      </c>
      <c r="AL5018">
        <v>66.034186599014106</v>
      </c>
      <c r="AM5018">
        <v>94.870761433594296</v>
      </c>
      <c r="AN5018">
        <v>1.0000000327089</v>
      </c>
    </row>
    <row r="5019" spans="1:40" x14ac:dyDescent="0.25">
      <c r="A5019" t="str">
        <f>"20190304164511200"</f>
        <v>20190304164511200</v>
      </c>
      <c r="B5019" t="str">
        <f>"1551689111194934"</f>
        <v>1551689111194934</v>
      </c>
      <c r="C5019" t="s">
        <v>40</v>
      </c>
      <c r="D5019">
        <v>5.4008139999999996</v>
      </c>
      <c r="E5019">
        <v>0.43677650000000001</v>
      </c>
      <c r="F5019" t="s">
        <v>42</v>
      </c>
      <c r="G5019">
        <v>-329.9812</v>
      </c>
      <c r="H5019" s="1">
        <v>-4.6891949999999996E-6</v>
      </c>
      <c r="I5019">
        <v>21.909469999999999</v>
      </c>
      <c r="J5019">
        <v>-347.98329999999999</v>
      </c>
      <c r="K5019">
        <v>1.1122799999999999</v>
      </c>
      <c r="L5019">
        <v>17.454929999999901</v>
      </c>
      <c r="M5019">
        <v>0.99987740000000003</v>
      </c>
      <c r="N5019">
        <v>-1.4044910000000001E-2</v>
      </c>
      <c r="O5019">
        <v>-6.9325469999999998E-3</v>
      </c>
      <c r="P5019">
        <v>0.91679699999999997</v>
      </c>
      <c r="Q5019">
        <v>0.3934125</v>
      </c>
      <c r="R5019">
        <v>6.8629369999999995E-2</v>
      </c>
      <c r="S5019">
        <v>3.2984010000000001</v>
      </c>
      <c r="T5019">
        <v>-0.20141909999999999</v>
      </c>
      <c r="U5019">
        <v>0.80645749999999905</v>
      </c>
      <c r="V5019">
        <v>-7.6360720000000007E-2</v>
      </c>
      <c r="W5019">
        <v>0.40598669999999998</v>
      </c>
      <c r="X5019">
        <v>0.91068320000000003</v>
      </c>
      <c r="Y5019">
        <v>-0.24369350000000001</v>
      </c>
      <c r="Z5019">
        <v>9.3852870000000008E-3</v>
      </c>
      <c r="AA5019">
        <v>0.96980679999999997</v>
      </c>
      <c r="AB5019">
        <v>37</v>
      </c>
      <c r="AC5019">
        <v>18.002099999999899</v>
      </c>
      <c r="AD5019">
        <v>-1.112284689195</v>
      </c>
      <c r="AE5019">
        <v>4.4545399999999997</v>
      </c>
      <c r="AF5019">
        <v>-4.5628317785493202</v>
      </c>
      <c r="AG5019">
        <v>-1.112284689195</v>
      </c>
      <c r="AH5019">
        <v>17.906368432866302</v>
      </c>
      <c r="AI5019">
        <v>93.444661826411902</v>
      </c>
      <c r="AJ5019">
        <v>104.29566046580101</v>
      </c>
      <c r="AK5019">
        <v>18.512013437838402</v>
      </c>
      <c r="AL5019">
        <v>66.047027019635905</v>
      </c>
      <c r="AM5019">
        <v>94.793034949791902</v>
      </c>
      <c r="AN5019">
        <v>1.00000002544902</v>
      </c>
    </row>
    <row r="5020" spans="1:40" x14ac:dyDescent="0.25">
      <c r="A5020" t="str">
        <f>"20190304164511220"</f>
        <v>20190304164511220</v>
      </c>
      <c r="B5020" t="str">
        <f>"1551689111215430"</f>
        <v>1551689111215430</v>
      </c>
      <c r="C5020" t="s">
        <v>40</v>
      </c>
      <c r="D5020">
        <v>5.3519589999999999</v>
      </c>
      <c r="E5020">
        <v>0.430589</v>
      </c>
      <c r="F5020" t="s">
        <v>42</v>
      </c>
      <c r="G5020">
        <v>-330.5548</v>
      </c>
      <c r="H5020" s="1">
        <v>-4.4969600000000001E-6</v>
      </c>
      <c r="I5020">
        <v>21.926169999999999</v>
      </c>
      <c r="J5020">
        <v>-347.68990000000002</v>
      </c>
      <c r="K5020">
        <v>1.112195</v>
      </c>
      <c r="L5020">
        <v>17.453769999999999</v>
      </c>
      <c r="M5020">
        <v>0.99988330000000003</v>
      </c>
      <c r="N5020">
        <v>-1.404215E-2</v>
      </c>
      <c r="O5020">
        <v>-6.0190189999999996E-3</v>
      </c>
      <c r="P5020">
        <v>0.91711030000000004</v>
      </c>
      <c r="Q5020">
        <v>0.3928854</v>
      </c>
      <c r="R5020">
        <v>6.7451510000000006E-2</v>
      </c>
      <c r="S5020">
        <v>3.2992859999999999</v>
      </c>
      <c r="T5020">
        <v>-0.210559</v>
      </c>
      <c r="U5020">
        <v>0.84643550000000001</v>
      </c>
      <c r="V5020">
        <v>-7.4268650000000005E-2</v>
      </c>
      <c r="W5020">
        <v>0.40548329999999999</v>
      </c>
      <c r="X5020">
        <v>0.91108040000000001</v>
      </c>
      <c r="Y5020">
        <v>-0.2537258</v>
      </c>
      <c r="Z5020">
        <v>1.0066220000000001E-2</v>
      </c>
      <c r="AA5020">
        <v>0.96722379999999997</v>
      </c>
      <c r="AB5020">
        <v>37</v>
      </c>
      <c r="AC5020">
        <v>17.135100000000001</v>
      </c>
      <c r="AD5020">
        <v>-1.11219949696</v>
      </c>
      <c r="AE5020">
        <v>4.4724000000000004</v>
      </c>
      <c r="AF5020">
        <v>-4.5574895245247804</v>
      </c>
      <c r="AG5020">
        <v>-1.11219949696</v>
      </c>
      <c r="AH5020">
        <v>17.040653981387099</v>
      </c>
      <c r="AI5020">
        <v>93.607801995839793</v>
      </c>
      <c r="AJ5020">
        <v>104.973206246657</v>
      </c>
      <c r="AK5020">
        <v>17.674602869670299</v>
      </c>
      <c r="AL5020">
        <v>66.078583685855094</v>
      </c>
      <c r="AM5020">
        <v>94.660282554525097</v>
      </c>
      <c r="AN5020">
        <v>1.00000001710793</v>
      </c>
    </row>
    <row r="5021" spans="1:40" x14ac:dyDescent="0.25">
      <c r="A5021" t="str">
        <f>"20190304164511241"</f>
        <v>20190304164511241</v>
      </c>
      <c r="B5021" t="str">
        <f>"1551689111235522"</f>
        <v>1551689111235522</v>
      </c>
      <c r="C5021" t="s">
        <v>40</v>
      </c>
      <c r="D5021">
        <v>5.3204010000000004</v>
      </c>
      <c r="E5021">
        <v>0.42746430000000002</v>
      </c>
      <c r="F5021" t="s">
        <v>42</v>
      </c>
      <c r="G5021">
        <v>-331.31540000000001</v>
      </c>
      <c r="H5021" s="1">
        <v>-4.2317259999999999E-6</v>
      </c>
      <c r="I5021">
        <v>21.89011</v>
      </c>
      <c r="J5021">
        <v>-347.32190000000003</v>
      </c>
      <c r="K5021">
        <v>1.112088</v>
      </c>
      <c r="L5021">
        <v>17.452639999999999</v>
      </c>
      <c r="M5021">
        <v>0.99988900000000003</v>
      </c>
      <c r="N5021">
        <v>-1.403861E-2</v>
      </c>
      <c r="O5021">
        <v>-4.9842860000000001E-3</v>
      </c>
      <c r="P5021">
        <v>0.91701080000000001</v>
      </c>
      <c r="Q5021">
        <v>0.39309169999999999</v>
      </c>
      <c r="R5021">
        <v>6.7601300000000003E-2</v>
      </c>
      <c r="S5021">
        <v>3.3014220000000001</v>
      </c>
      <c r="T5021">
        <v>-0.2242411</v>
      </c>
      <c r="U5021">
        <v>0.89447019999999899</v>
      </c>
      <c r="V5021">
        <v>-7.3366139999999996E-2</v>
      </c>
      <c r="W5021">
        <v>0.40570729999999999</v>
      </c>
      <c r="X5021">
        <v>0.91105380000000002</v>
      </c>
      <c r="Y5021">
        <v>-0.26561269999999998</v>
      </c>
      <c r="Z5021">
        <v>1.1014690000000001E-2</v>
      </c>
      <c r="AA5021">
        <v>0.96401689999999995</v>
      </c>
      <c r="AB5021">
        <v>37</v>
      </c>
      <c r="AC5021">
        <v>16.006499999999999</v>
      </c>
      <c r="AD5021">
        <v>-1.112092231726</v>
      </c>
      <c r="AE5021">
        <v>4.4374700000000002</v>
      </c>
      <c r="AF5021">
        <v>-4.4970451965786502</v>
      </c>
      <c r="AG5021">
        <v>-1.112092231726</v>
      </c>
      <c r="AH5021">
        <v>15.912850192173</v>
      </c>
      <c r="AI5021">
        <v>93.847487173966996</v>
      </c>
      <c r="AJ5021">
        <v>105.780537779276</v>
      </c>
      <c r="AK5021">
        <v>16.573441581955102</v>
      </c>
      <c r="AL5021">
        <v>66.064542592349596</v>
      </c>
      <c r="AM5021">
        <v>94.604029746579002</v>
      </c>
      <c r="AN5021">
        <v>1.0000000151331101</v>
      </c>
    </row>
    <row r="5022" spans="1:40" x14ac:dyDescent="0.25">
      <c r="A5022" t="str">
        <f>"20190304164511263"</f>
        <v>20190304164511263</v>
      </c>
      <c r="B5022" t="str">
        <f>"1551689111255042"</f>
        <v>1551689111255042</v>
      </c>
      <c r="C5022" t="s">
        <v>40</v>
      </c>
      <c r="D5022">
        <v>5.317539</v>
      </c>
      <c r="E5022">
        <v>0.4252785</v>
      </c>
      <c r="F5022" t="s">
        <v>42</v>
      </c>
      <c r="G5022">
        <v>-331.50779999999997</v>
      </c>
      <c r="H5022" s="1">
        <v>-4.1598270000000001E-6</v>
      </c>
      <c r="I5022">
        <v>21.853950000000001</v>
      </c>
      <c r="J5022">
        <v>-346.95310000000001</v>
      </c>
      <c r="K5022">
        <v>1.1119760000000001</v>
      </c>
      <c r="L5022">
        <v>17.451779999999999</v>
      </c>
      <c r="M5022">
        <v>0.99989329999999998</v>
      </c>
      <c r="N5022">
        <v>-1.403505E-2</v>
      </c>
      <c r="O5022">
        <v>-4.0648300000000002E-3</v>
      </c>
      <c r="P5022">
        <v>0.91691920000000005</v>
      </c>
      <c r="Q5022">
        <v>0.39322309999999999</v>
      </c>
      <c r="R5022">
        <v>6.8081390000000006E-2</v>
      </c>
      <c r="S5022">
        <v>3.3032840000000001</v>
      </c>
      <c r="T5022">
        <v>-0.23229649999999999</v>
      </c>
      <c r="U5022">
        <v>0.91937259999999998</v>
      </c>
      <c r="V5022">
        <v>-7.2892109999999996E-2</v>
      </c>
      <c r="W5022">
        <v>0.40585640000000001</v>
      </c>
      <c r="X5022">
        <v>0.91102539999999999</v>
      </c>
      <c r="Y5022">
        <v>-0.27128360000000001</v>
      </c>
      <c r="Z5022">
        <v>1.1516200000000001E-2</v>
      </c>
      <c r="AA5022">
        <v>0.96243049999999997</v>
      </c>
      <c r="AB5022">
        <v>37</v>
      </c>
      <c r="AC5022">
        <v>15.4453</v>
      </c>
      <c r="AD5022">
        <v>-1.111980159827</v>
      </c>
      <c r="AE5022">
        <v>4.4021699999999999</v>
      </c>
      <c r="AF5022">
        <v>-4.4436204207766199</v>
      </c>
      <c r="AG5022">
        <v>-1.111980159827</v>
      </c>
      <c r="AH5022">
        <v>15.3536738365954</v>
      </c>
      <c r="AI5022">
        <v>93.979615680617599</v>
      </c>
      <c r="AJ5022">
        <v>106.14136342268699</v>
      </c>
      <c r="AK5022">
        <v>16.0224081398629</v>
      </c>
      <c r="AL5022">
        <v>66.055194738611206</v>
      </c>
      <c r="AM5022">
        <v>94.574551049509793</v>
      </c>
      <c r="AN5022">
        <v>0.99999997828318499</v>
      </c>
    </row>
    <row r="5023" spans="1:40" x14ac:dyDescent="0.25">
      <c r="A5023" t="str">
        <f>"20190304164511275"</f>
        <v>20190304164511275</v>
      </c>
      <c r="B5023" t="str">
        <f>"1551689111264803"</f>
        <v>1551689111264803</v>
      </c>
      <c r="C5023" t="s">
        <v>40</v>
      </c>
      <c r="D5023">
        <v>5.3066279999999999</v>
      </c>
      <c r="E5023">
        <v>0.4245429</v>
      </c>
      <c r="F5023" t="s">
        <v>42</v>
      </c>
      <c r="G5023">
        <v>-331.34789999999998</v>
      </c>
      <c r="H5023" s="1">
        <v>-4.2191419999999999E-6</v>
      </c>
      <c r="I5023">
        <v>21.881550000000001</v>
      </c>
      <c r="J5023">
        <v>-346.7611</v>
      </c>
      <c r="K5023">
        <v>1.111918</v>
      </c>
      <c r="L5023">
        <v>17.45139</v>
      </c>
      <c r="M5023">
        <v>0.99989499999999998</v>
      </c>
      <c r="N5023">
        <v>-1.4033220000000001E-2</v>
      </c>
      <c r="O5023">
        <v>-3.6259180000000001E-3</v>
      </c>
      <c r="P5023">
        <v>0.91687549999999995</v>
      </c>
      <c r="Q5023">
        <v>0.39328469999999999</v>
      </c>
      <c r="R5023">
        <v>6.8314070000000005E-2</v>
      </c>
      <c r="S5023">
        <v>3.3031009999999998</v>
      </c>
      <c r="T5023">
        <v>-0.23536940000000001</v>
      </c>
      <c r="U5023">
        <v>0.93765259999999995</v>
      </c>
      <c r="V5023">
        <v>-7.2663279999999997E-2</v>
      </c>
      <c r="W5023">
        <v>0.40592689999999998</v>
      </c>
      <c r="X5023">
        <v>0.9110123</v>
      </c>
      <c r="Y5023">
        <v>-0.27577869999999999</v>
      </c>
      <c r="Z5023">
        <v>1.180236E-2</v>
      </c>
      <c r="AA5023">
        <v>0.96114869999999997</v>
      </c>
      <c r="AB5023">
        <v>37</v>
      </c>
      <c r="AC5023">
        <v>15.4132</v>
      </c>
      <c r="AD5023">
        <v>-1.111922219142</v>
      </c>
      <c r="AE5023">
        <v>4.4301599999999999</v>
      </c>
      <c r="AF5023">
        <v>-4.4645614613681301</v>
      </c>
      <c r="AG5023">
        <v>-1.111922219142</v>
      </c>
      <c r="AH5023">
        <v>15.323371610709399</v>
      </c>
      <c r="AI5023">
        <v>93.985189783775297</v>
      </c>
      <c r="AJ5023">
        <v>106.243816891343</v>
      </c>
      <c r="AK5023">
        <v>15.9991999044843</v>
      </c>
      <c r="AL5023">
        <v>66.050775629262304</v>
      </c>
      <c r="AM5023">
        <v>94.560316138729206</v>
      </c>
      <c r="AN5023">
        <v>1.0000000055776199</v>
      </c>
    </row>
    <row r="5024" spans="1:40" x14ac:dyDescent="0.25">
      <c r="A5024" t="str">
        <f>"20190304164511287"</f>
        <v>20190304164511287</v>
      </c>
      <c r="B5024" t="str">
        <f>"1551689111275539"</f>
        <v>1551689111275539</v>
      </c>
      <c r="C5024" t="s">
        <v>40</v>
      </c>
      <c r="D5024">
        <v>5.3205549999999997</v>
      </c>
      <c r="E5024">
        <v>0.42382049999999999</v>
      </c>
      <c r="F5024" t="s">
        <v>42</v>
      </c>
      <c r="G5024">
        <v>-331.30329999999998</v>
      </c>
      <c r="H5024" s="1">
        <v>-4.2325170000000004E-6</v>
      </c>
      <c r="I5024">
        <v>21.87144</v>
      </c>
      <c r="J5024">
        <v>-346.55970000000002</v>
      </c>
      <c r="K5024">
        <v>1.1118509999999999</v>
      </c>
      <c r="L5024">
        <v>17.451079999999902</v>
      </c>
      <c r="M5024">
        <v>0.99989629999999996</v>
      </c>
      <c r="N5024">
        <v>-1.403127E-2</v>
      </c>
      <c r="O5024">
        <v>-3.223358E-3</v>
      </c>
      <c r="P5024">
        <v>0.91693290000000005</v>
      </c>
      <c r="Q5024">
        <v>0.39313599999999999</v>
      </c>
      <c r="R5024">
        <v>6.8398239999999999E-2</v>
      </c>
      <c r="S5024">
        <v>3.303528</v>
      </c>
      <c r="T5024">
        <v>-0.23763239999999999</v>
      </c>
      <c r="U5024">
        <v>0.94464110000000001</v>
      </c>
      <c r="V5024">
        <v>-7.2311420000000001E-2</v>
      </c>
      <c r="W5024">
        <v>0.4057906</v>
      </c>
      <c r="X5024">
        <v>0.91110100000000005</v>
      </c>
      <c r="Y5024">
        <v>-0.27722269999999999</v>
      </c>
      <c r="Z5024">
        <v>1.193172E-2</v>
      </c>
      <c r="AA5024">
        <v>0.96073160000000002</v>
      </c>
      <c r="AB5024">
        <v>37</v>
      </c>
      <c r="AC5024">
        <v>15.256399999999999</v>
      </c>
      <c r="AD5024">
        <v>-1.1118552325169999</v>
      </c>
      <c r="AE5024">
        <v>4.4203599999999996</v>
      </c>
      <c r="AF5024">
        <v>-4.4477254743084202</v>
      </c>
      <c r="AG5024">
        <v>-1.1118552325169999</v>
      </c>
      <c r="AH5024">
        <v>15.1677510341434</v>
      </c>
      <c r="AI5024">
        <v>94.023672055530795</v>
      </c>
      <c r="AJ5024">
        <v>106.343018481455</v>
      </c>
      <c r="AK5024">
        <v>15.845477442685199</v>
      </c>
      <c r="AL5024">
        <v>66.059320110370393</v>
      </c>
      <c r="AM5024">
        <v>94.537886046176297</v>
      </c>
      <c r="AN5024">
        <v>0.99999999235588799</v>
      </c>
    </row>
    <row r="5025" spans="1:40" x14ac:dyDescent="0.25">
      <c r="A5025" t="str">
        <f>"20190304164511298"</f>
        <v>20190304164511298</v>
      </c>
      <c r="B5025" t="str">
        <f>"1551689111295059"</f>
        <v>1551689111295059</v>
      </c>
      <c r="C5025" t="s">
        <v>40</v>
      </c>
      <c r="D5025">
        <v>5.3230719999999998</v>
      </c>
      <c r="E5025">
        <v>0.42251870000000002</v>
      </c>
      <c r="F5025" t="s">
        <v>42</v>
      </c>
      <c r="G5025">
        <v>-331.25189999999998</v>
      </c>
      <c r="H5025" s="1">
        <v>-4.2475749999999997E-6</v>
      </c>
      <c r="I5025">
        <v>21.857589999999998</v>
      </c>
      <c r="J5025">
        <v>-346.37979999999999</v>
      </c>
      <c r="K5025">
        <v>1.1117859999999999</v>
      </c>
      <c r="L5025">
        <v>17.450839999999999</v>
      </c>
      <c r="M5025">
        <v>0.99989749999999999</v>
      </c>
      <c r="N5025">
        <v>-1.402956E-2</v>
      </c>
      <c r="O5025">
        <v>-2.8927419999999998E-3</v>
      </c>
      <c r="P5025">
        <v>0.91703029999999996</v>
      </c>
      <c r="Q5025">
        <v>0.39290419999999998</v>
      </c>
      <c r="R5025">
        <v>6.8423999999999999E-2</v>
      </c>
      <c r="S5025">
        <v>3.3037109999999998</v>
      </c>
      <c r="T5025">
        <v>-0.2399578</v>
      </c>
      <c r="U5025">
        <v>0.95101930000000001</v>
      </c>
      <c r="V5025">
        <v>-7.1971110000000005E-2</v>
      </c>
      <c r="W5025">
        <v>0.4055705</v>
      </c>
      <c r="X5025">
        <v>0.91122599999999998</v>
      </c>
      <c r="Y5025">
        <v>-0.27858709999999998</v>
      </c>
      <c r="Z5025">
        <v>1.206571E-2</v>
      </c>
      <c r="AA5025">
        <v>0.96033520000000006</v>
      </c>
      <c r="AB5025">
        <v>37</v>
      </c>
      <c r="AC5025">
        <v>15.1279</v>
      </c>
      <c r="AD5025">
        <v>-1.1117902475749999</v>
      </c>
      <c r="AE5025">
        <v>4.40674999999999</v>
      </c>
      <c r="AF5025">
        <v>-4.42844902283076</v>
      </c>
      <c r="AG5025">
        <v>-1.1117902475749999</v>
      </c>
      <c r="AH5025">
        <v>15.040207063750801</v>
      </c>
      <c r="AI5025">
        <v>94.056125867067095</v>
      </c>
      <c r="AJ5025">
        <v>106.406574465581</v>
      </c>
      <c r="AK5025">
        <v>15.717985456887099</v>
      </c>
      <c r="AL5025">
        <v>66.073118652513799</v>
      </c>
      <c r="AM5025">
        <v>94.516001526657504</v>
      </c>
      <c r="AN5025">
        <v>1.00000004711044</v>
      </c>
    </row>
    <row r="5026" spans="1:40" x14ac:dyDescent="0.25">
      <c r="A5026" t="str">
        <f>"20190304164511310"</f>
        <v>20190304164511310</v>
      </c>
      <c r="B5026" t="str">
        <f>"1551689111304819"</f>
        <v>1551689111304819</v>
      </c>
      <c r="C5026" t="s">
        <v>40</v>
      </c>
      <c r="D5026">
        <v>5.3117530000000004</v>
      </c>
      <c r="E5026">
        <v>0.42194520000000002</v>
      </c>
      <c r="F5026" t="s">
        <v>42</v>
      </c>
      <c r="G5026">
        <v>-331.34570000000002</v>
      </c>
      <c r="H5026" s="1">
        <v>-4.2103519999999999E-6</v>
      </c>
      <c r="I5026">
        <v>21.827729999999999</v>
      </c>
      <c r="J5026">
        <v>-346.18610000000001</v>
      </c>
      <c r="K5026">
        <v>1.111713</v>
      </c>
      <c r="L5026">
        <v>17.450589999999998</v>
      </c>
      <c r="M5026">
        <v>0.99989839999999997</v>
      </c>
      <c r="N5026">
        <v>-1.402773E-2</v>
      </c>
      <c r="O5026">
        <v>-2.5770350000000001E-3</v>
      </c>
      <c r="P5026">
        <v>0.91711770000000004</v>
      </c>
      <c r="Q5026">
        <v>0.39273720000000001</v>
      </c>
      <c r="R5026">
        <v>6.8212910000000002E-2</v>
      </c>
      <c r="S5026">
        <v>3.3043209999999998</v>
      </c>
      <c r="T5026">
        <v>-0.24435809999999999</v>
      </c>
      <c r="U5026">
        <v>0.96200560000000002</v>
      </c>
      <c r="V5026">
        <v>-7.1400699999999998E-2</v>
      </c>
      <c r="W5026">
        <v>0.40541709999999997</v>
      </c>
      <c r="X5026">
        <v>0.91133909999999996</v>
      </c>
      <c r="Y5026">
        <v>-0.2811478</v>
      </c>
      <c r="Z5026">
        <v>1.233734E-2</v>
      </c>
      <c r="AA5026">
        <v>0.95958520000000003</v>
      </c>
      <c r="AB5026">
        <v>37</v>
      </c>
      <c r="AC5026">
        <v>14.840399999999899</v>
      </c>
      <c r="AD5026">
        <v>-1.1117172103520001</v>
      </c>
      <c r="AE5026">
        <v>4.3771399999999998</v>
      </c>
      <c r="AF5026">
        <v>-4.3926956277857299</v>
      </c>
      <c r="AG5026">
        <v>-1.1117172103520001</v>
      </c>
      <c r="AH5026">
        <v>14.752905894050601</v>
      </c>
      <c r="AI5026">
        <v>94.130862084319901</v>
      </c>
      <c r="AJ5026">
        <v>106.580963860266</v>
      </c>
      <c r="AK5026">
        <v>15.4330788358277</v>
      </c>
      <c r="AL5026">
        <v>66.082733098415204</v>
      </c>
      <c r="AM5026">
        <v>94.479802313165493</v>
      </c>
      <c r="AN5026">
        <v>1.0000000200608501</v>
      </c>
    </row>
    <row r="5027" spans="1:40" x14ac:dyDescent="0.25">
      <c r="A5027" t="str">
        <f>"20190304164511330"</f>
        <v>20190304164511330</v>
      </c>
      <c r="B5027" t="str">
        <f>"1551689111325315"</f>
        <v>1551689111325315</v>
      </c>
      <c r="C5027" t="s">
        <v>40</v>
      </c>
      <c r="D5027">
        <v>5.3186589999999896</v>
      </c>
      <c r="E5027">
        <v>0.42086109999999999</v>
      </c>
      <c r="F5027" t="s">
        <v>42</v>
      </c>
      <c r="G5027">
        <v>-331.25760000000002</v>
      </c>
      <c r="H5027" s="1">
        <v>-4.2377379999999999E-6</v>
      </c>
      <c r="I5027">
        <v>21.81316</v>
      </c>
      <c r="J5027">
        <v>-345.8691</v>
      </c>
      <c r="K5027">
        <v>1.111588</v>
      </c>
      <c r="L5027">
        <v>17.45026</v>
      </c>
      <c r="M5027">
        <v>0.99989930000000005</v>
      </c>
      <c r="N5027">
        <v>-1.4024780000000001E-2</v>
      </c>
      <c r="O5027">
        <v>-2.162349E-3</v>
      </c>
      <c r="P5027">
        <v>0.91756110000000002</v>
      </c>
      <c r="Q5027">
        <v>0.3918123</v>
      </c>
      <c r="R5027">
        <v>6.7563940000000003E-2</v>
      </c>
      <c r="S5027">
        <v>3.3046259999999998</v>
      </c>
      <c r="T5027">
        <v>-0.24609320000000001</v>
      </c>
      <c r="U5027">
        <v>0.96572880000000005</v>
      </c>
      <c r="V5027">
        <v>-7.0248290000000005E-2</v>
      </c>
      <c r="W5027">
        <v>0.40451969999999998</v>
      </c>
      <c r="X5027">
        <v>0.91182730000000001</v>
      </c>
      <c r="Y5027">
        <v>-0.28171069999999998</v>
      </c>
      <c r="Z5027">
        <v>1.24081E-2</v>
      </c>
      <c r="AA5027">
        <v>0.95941909999999997</v>
      </c>
      <c r="AB5027">
        <v>37</v>
      </c>
      <c r="AC5027">
        <v>14.6114999999999</v>
      </c>
      <c r="AD5027">
        <v>-1.1115922377380001</v>
      </c>
      <c r="AE5027">
        <v>4.3628999999999998</v>
      </c>
      <c r="AF5027">
        <v>-4.3712597865747096</v>
      </c>
      <c r="AG5027">
        <v>-1.1115922377380001</v>
      </c>
      <c r="AH5027">
        <v>14.5248477209675</v>
      </c>
      <c r="AI5027">
        <v>94.191349589499595</v>
      </c>
      <c r="AJ5027">
        <v>106.74919268751</v>
      </c>
      <c r="AK5027">
        <v>15.2090351680183</v>
      </c>
      <c r="AL5027">
        <v>66.138967867558193</v>
      </c>
      <c r="AM5027">
        <v>94.405434724208803</v>
      </c>
      <c r="AN5027">
        <v>1.00000001748065</v>
      </c>
    </row>
    <row r="5028" spans="1:40" x14ac:dyDescent="0.25">
      <c r="A5028" t="str">
        <f>"20190304164511344"</f>
        <v>20190304164511344</v>
      </c>
      <c r="B5028" t="str">
        <f>"1551689111334760"</f>
        <v>1551689111334760</v>
      </c>
      <c r="C5028" t="s">
        <v>40</v>
      </c>
      <c r="D5028">
        <v>5.3248360000000003</v>
      </c>
      <c r="E5028">
        <v>0.42032849999999999</v>
      </c>
      <c r="F5028" t="s">
        <v>42</v>
      </c>
      <c r="G5028">
        <v>-331.24930000000001</v>
      </c>
      <c r="H5028" s="1">
        <v>-4.2294079999999999E-6</v>
      </c>
      <c r="I5028">
        <v>21.750260000000001</v>
      </c>
      <c r="J5028">
        <v>-345.64179999999999</v>
      </c>
      <c r="K5028">
        <v>1.1114980000000001</v>
      </c>
      <c r="L5028">
        <v>17.450009999999999</v>
      </c>
      <c r="M5028">
        <v>0.99989969999999995</v>
      </c>
      <c r="N5028">
        <v>-1.402275E-2</v>
      </c>
      <c r="O5028">
        <v>-1.9424819999999999E-3</v>
      </c>
      <c r="P5028">
        <v>0.91775910000000005</v>
      </c>
      <c r="Q5028">
        <v>0.39144060000000003</v>
      </c>
      <c r="R5028">
        <v>6.7026000000000002E-2</v>
      </c>
      <c r="S5028">
        <v>3.3052670000000002</v>
      </c>
      <c r="T5028">
        <v>-0.25131029999999999</v>
      </c>
      <c r="U5028">
        <v>0.97216800000000003</v>
      </c>
      <c r="V5028">
        <v>-6.9418380000000002E-2</v>
      </c>
      <c r="W5028">
        <v>0.40416570000000002</v>
      </c>
      <c r="X5028">
        <v>0.91204779999999996</v>
      </c>
      <c r="Y5028">
        <v>-0.28313329999999998</v>
      </c>
      <c r="Z5028">
        <v>1.267366E-2</v>
      </c>
      <c r="AA5028">
        <v>0.95899679999999998</v>
      </c>
      <c r="AB5028">
        <v>37</v>
      </c>
      <c r="AC5028">
        <v>14.392499999999901</v>
      </c>
      <c r="AD5028">
        <v>-1.1115022294079999</v>
      </c>
      <c r="AE5028">
        <v>4.3002500000000001</v>
      </c>
      <c r="AF5028">
        <v>-4.3046324399742604</v>
      </c>
      <c r="AG5028">
        <v>-1.1115022294079999</v>
      </c>
      <c r="AH5028">
        <v>14.3057896554871</v>
      </c>
      <c r="AI5028">
        <v>94.255009928872894</v>
      </c>
      <c r="AJ5028">
        <v>106.746615622147</v>
      </c>
      <c r="AK5028">
        <v>14.980684741236001</v>
      </c>
      <c r="AL5028">
        <v>66.161144005494705</v>
      </c>
      <c r="AM5028">
        <v>94.352541916422695</v>
      </c>
      <c r="AN5028">
        <v>1.00000000701157</v>
      </c>
    </row>
    <row r="5029" spans="1:40" x14ac:dyDescent="0.25">
      <c r="A5029" t="str">
        <f>"20190304164511355"</f>
        <v>20190304164511355</v>
      </c>
      <c r="B5029" t="str">
        <f>"1551689111345481"</f>
        <v>1551689111345481</v>
      </c>
      <c r="C5029" t="s">
        <v>40</v>
      </c>
      <c r="D5029">
        <v>5.3572470000000001</v>
      </c>
      <c r="E5029">
        <v>0.41982209999999998</v>
      </c>
      <c r="F5029" t="s">
        <v>42</v>
      </c>
      <c r="G5029">
        <v>-331.15600000000001</v>
      </c>
      <c r="H5029" s="1">
        <v>-4.2558900000000003E-6</v>
      </c>
      <c r="I5029">
        <v>21.72063</v>
      </c>
      <c r="J5029">
        <v>-345.45139999999998</v>
      </c>
      <c r="K5029">
        <v>1.111421</v>
      </c>
      <c r="L5029">
        <v>17.449829999999999</v>
      </c>
      <c r="M5029">
        <v>0.99990020000000002</v>
      </c>
      <c r="N5029">
        <v>-1.40211E-2</v>
      </c>
      <c r="O5029">
        <v>-1.787257E-3</v>
      </c>
      <c r="P5029">
        <v>0.91807589999999994</v>
      </c>
      <c r="Q5029">
        <v>0.39085130000000001</v>
      </c>
      <c r="R5029">
        <v>6.6121940000000004E-2</v>
      </c>
      <c r="S5029">
        <v>3.3057859999999999</v>
      </c>
      <c r="T5029">
        <v>-0.2536545</v>
      </c>
      <c r="U5029">
        <v>0.97460939999999996</v>
      </c>
      <c r="V5029">
        <v>-6.829557E-2</v>
      </c>
      <c r="W5029">
        <v>0.4035938</v>
      </c>
      <c r="X5029">
        <v>0.91238580000000002</v>
      </c>
      <c r="Y5029">
        <v>-0.28357919999999998</v>
      </c>
      <c r="Z5029">
        <v>1.278061E-2</v>
      </c>
      <c r="AA5029">
        <v>0.95886369999999999</v>
      </c>
      <c r="AB5029">
        <v>37</v>
      </c>
      <c r="AC5029">
        <v>14.2953999999999</v>
      </c>
      <c r="AD5029">
        <v>-1.11142525589</v>
      </c>
      <c r="AE5029">
        <v>4.2708000000000004</v>
      </c>
      <c r="AF5029">
        <v>-4.2726350694945801</v>
      </c>
      <c r="AG5029">
        <v>-1.11142525589</v>
      </c>
      <c r="AH5029">
        <v>14.2088938581497</v>
      </c>
      <c r="AI5029">
        <v>94.283858629659903</v>
      </c>
      <c r="AJ5029">
        <v>106.736109094347</v>
      </c>
      <c r="AK5029">
        <v>14.878956321216499</v>
      </c>
      <c r="AL5029">
        <v>66.196963728918206</v>
      </c>
      <c r="AM5029">
        <v>94.280825061545499</v>
      </c>
      <c r="AN5029">
        <v>1.0000000441608501</v>
      </c>
    </row>
    <row r="5030" spans="1:40" x14ac:dyDescent="0.25">
      <c r="A5030" t="str">
        <f>"20190304164511367"</f>
        <v>20190304164511367</v>
      </c>
      <c r="B5030" t="str">
        <f>"1551689111355241"</f>
        <v>1551689111355241</v>
      </c>
      <c r="C5030" t="s">
        <v>40</v>
      </c>
      <c r="D5030">
        <v>5.3417130000000004</v>
      </c>
      <c r="E5030">
        <v>0.41929060000000001</v>
      </c>
      <c r="F5030" t="s">
        <v>42</v>
      </c>
      <c r="G5030">
        <v>-331.15789999999998</v>
      </c>
      <c r="H5030" s="1">
        <v>-4.2455339999999999E-6</v>
      </c>
      <c r="I5030">
        <v>21.665890000000001</v>
      </c>
      <c r="J5030">
        <v>-345.24779999999998</v>
      </c>
      <c r="K5030">
        <v>1.111343</v>
      </c>
      <c r="L5030">
        <v>17.449619999999999</v>
      </c>
      <c r="M5030">
        <v>0.99990029999999996</v>
      </c>
      <c r="N5030">
        <v>-1.40194E-2</v>
      </c>
      <c r="O5030">
        <v>-1.6763959999999999E-3</v>
      </c>
      <c r="P5030">
        <v>0.91844029999999999</v>
      </c>
      <c r="Q5030">
        <v>0.39015359999999899</v>
      </c>
      <c r="R5030">
        <v>6.5176079999999997E-2</v>
      </c>
      <c r="S5030">
        <v>3.306915</v>
      </c>
      <c r="T5030">
        <v>-0.25713629999999998</v>
      </c>
      <c r="U5030">
        <v>0.97543329999999995</v>
      </c>
      <c r="V5030">
        <v>-6.7171980000000006E-2</v>
      </c>
      <c r="W5030">
        <v>0.40291399999999999</v>
      </c>
      <c r="X5030">
        <v>0.91276959999999996</v>
      </c>
      <c r="Y5030">
        <v>-0.28358139999999998</v>
      </c>
      <c r="Z5030">
        <v>1.291719E-2</v>
      </c>
      <c r="AA5030">
        <v>0.95886119999999997</v>
      </c>
      <c r="AB5030">
        <v>37</v>
      </c>
      <c r="AC5030">
        <v>14.0899</v>
      </c>
      <c r="AD5030">
        <v>-1.1113472455340001</v>
      </c>
      <c r="AE5030">
        <v>4.2162699999999997</v>
      </c>
      <c r="AF5030">
        <v>-4.2158142116705699</v>
      </c>
      <c r="AG5030">
        <v>-1.1113472455340001</v>
      </c>
      <c r="AH5030">
        <v>14.002854608177101</v>
      </c>
      <c r="AI5030">
        <v>94.345909873071506</v>
      </c>
      <c r="AJ5030">
        <v>106.755377501434</v>
      </c>
      <c r="AK5030">
        <v>14.6658828355209</v>
      </c>
      <c r="AL5030">
        <v>66.239527835291895</v>
      </c>
      <c r="AM5030">
        <v>94.208888755385502</v>
      </c>
      <c r="AN5030">
        <v>1.0000000544886301</v>
      </c>
    </row>
    <row r="5031" spans="1:40" x14ac:dyDescent="0.25">
      <c r="A5031" t="str">
        <f>"20190304164511386"</f>
        <v>20190304164511386</v>
      </c>
      <c r="B5031" t="str">
        <f>"1551689111374761"</f>
        <v>1551689111374761</v>
      </c>
      <c r="C5031" t="s">
        <v>40</v>
      </c>
      <c r="D5031">
        <v>5.3358819999999998</v>
      </c>
      <c r="E5031">
        <v>0.4184523</v>
      </c>
      <c r="F5031" t="s">
        <v>42</v>
      </c>
      <c r="G5031">
        <v>-331.14049999999997</v>
      </c>
      <c r="H5031" s="1">
        <v>-4.2423729999999997E-6</v>
      </c>
      <c r="I5031">
        <v>21.61469</v>
      </c>
      <c r="J5031">
        <v>-344.95319999999998</v>
      </c>
      <c r="K5031">
        <v>1.1112420000000001</v>
      </c>
      <c r="L5031">
        <v>17.449279999999899</v>
      </c>
      <c r="M5031">
        <v>0.99990060000000003</v>
      </c>
      <c r="N5031">
        <v>-1.401697E-2</v>
      </c>
      <c r="O5031">
        <v>-1.56688799999999E-3</v>
      </c>
      <c r="P5031">
        <v>0.91905859999999995</v>
      </c>
      <c r="Q5031">
        <v>0.3890497</v>
      </c>
      <c r="R5031">
        <v>6.3022700000000001E-2</v>
      </c>
      <c r="S5031">
        <v>3.3077999999999999</v>
      </c>
      <c r="T5031">
        <v>-0.26058320000000001</v>
      </c>
      <c r="U5031">
        <v>0.97662349999999998</v>
      </c>
      <c r="V5031">
        <v>-6.4818879999999995E-2</v>
      </c>
      <c r="W5031">
        <v>0.4018352</v>
      </c>
      <c r="X5031">
        <v>0.91341499999999998</v>
      </c>
      <c r="Y5031">
        <v>-0.28370119999999999</v>
      </c>
      <c r="Z5031">
        <v>1.305795E-2</v>
      </c>
      <c r="AA5031">
        <v>0.9588238</v>
      </c>
      <c r="AB5031">
        <v>37</v>
      </c>
      <c r="AC5031">
        <v>13.8127</v>
      </c>
      <c r="AD5031">
        <v>-1.1112462423729901</v>
      </c>
      <c r="AE5031">
        <v>4.1654099999999996</v>
      </c>
      <c r="AF5031">
        <v>-4.1623553948702998</v>
      </c>
      <c r="AG5031">
        <v>-1.1112462423729901</v>
      </c>
      <c r="AH5031">
        <v>13.724729109539201</v>
      </c>
      <c r="AI5031">
        <v>94.4305325728307</v>
      </c>
      <c r="AJ5031">
        <v>106.871193637967</v>
      </c>
      <c r="AK5031">
        <v>14.385001208711399</v>
      </c>
      <c r="AL5031">
        <v>66.307043787735395</v>
      </c>
      <c r="AM5031">
        <v>94.059089224557695</v>
      </c>
      <c r="AN5031">
        <v>0.999999988694247</v>
      </c>
    </row>
    <row r="5032" spans="1:40" x14ac:dyDescent="0.25">
      <c r="A5032" t="str">
        <f>"20190304164511407"</f>
        <v>20190304164511407</v>
      </c>
      <c r="B5032" t="str">
        <f>"1551689111405017"</f>
        <v>1551689111405017</v>
      </c>
      <c r="C5032" t="s">
        <v>40</v>
      </c>
      <c r="D5032">
        <v>5.3394579999999996</v>
      </c>
      <c r="E5032">
        <v>0.41820790000000002</v>
      </c>
      <c r="F5032" t="s">
        <v>42</v>
      </c>
      <c r="G5032">
        <v>-331.11380000000003</v>
      </c>
      <c r="H5032" s="1">
        <v>-4.2362719999999996E-6</v>
      </c>
      <c r="I5032">
        <v>21.52909</v>
      </c>
      <c r="J5032">
        <v>-344.59350000000001</v>
      </c>
      <c r="K5032">
        <v>1.1111279999999999</v>
      </c>
      <c r="L5032">
        <v>17.44885</v>
      </c>
      <c r="M5032">
        <v>0.99990060000000003</v>
      </c>
      <c r="N5032">
        <v>-1.4013970000000001E-2</v>
      </c>
      <c r="O5032">
        <v>-1.517809E-3</v>
      </c>
      <c r="P5032">
        <v>0.91944890000000001</v>
      </c>
      <c r="Q5032">
        <v>0.38859549999999998</v>
      </c>
      <c r="R5032">
        <v>6.0061629999999998E-2</v>
      </c>
      <c r="S5032">
        <v>3.3098139999999998</v>
      </c>
      <c r="T5032">
        <v>-0.26576359999999999</v>
      </c>
      <c r="U5032">
        <v>0.97573849999999995</v>
      </c>
      <c r="V5032">
        <v>-6.1708399999999997E-2</v>
      </c>
      <c r="W5032">
        <v>0.4014025</v>
      </c>
      <c r="X5032">
        <v>0.91382059999999998</v>
      </c>
      <c r="Y5032">
        <v>-0.2832269</v>
      </c>
      <c r="Z5032">
        <v>1.3245130000000001E-2</v>
      </c>
      <c r="AA5032">
        <v>0.95896150000000002</v>
      </c>
      <c r="AB5032">
        <v>37</v>
      </c>
      <c r="AC5032">
        <v>13.4796999999999</v>
      </c>
      <c r="AD5032">
        <v>-1.111132236272</v>
      </c>
      <c r="AE5032">
        <v>4.0802399999999999</v>
      </c>
      <c r="AF5032">
        <v>-4.0753304136592998</v>
      </c>
      <c r="AG5032">
        <v>-1.111132236272</v>
      </c>
      <c r="AH5032">
        <v>13.3901451540801</v>
      </c>
      <c r="AI5032">
        <v>94.538961977234607</v>
      </c>
      <c r="AJ5032">
        <v>106.92778267484999</v>
      </c>
      <c r="AK5032">
        <v>14.0406167982149</v>
      </c>
      <c r="AL5032">
        <v>66.334114935971201</v>
      </c>
      <c r="AM5032">
        <v>93.863199576461099</v>
      </c>
      <c r="AN5032">
        <v>0.99999999131058404</v>
      </c>
    </row>
    <row r="5033" spans="1:40" x14ac:dyDescent="0.25">
      <c r="A5033" t="str">
        <f>"20190304164511422"</f>
        <v>20190304164511422</v>
      </c>
      <c r="B5033" t="str">
        <f>"1551689111414777"</f>
        <v>1551689111414777</v>
      </c>
      <c r="C5033" t="s">
        <v>40</v>
      </c>
      <c r="D5033">
        <v>5.3460479999999997</v>
      </c>
      <c r="E5033">
        <v>0.41801430000000001</v>
      </c>
      <c r="F5033" t="s">
        <v>42</v>
      </c>
      <c r="G5033">
        <v>-331.21129999999999</v>
      </c>
      <c r="H5033" s="1">
        <v>-4.1732960000000002E-6</v>
      </c>
      <c r="I5033">
        <v>21.360959999999999</v>
      </c>
      <c r="J5033">
        <v>-344.35829999999999</v>
      </c>
      <c r="K5033">
        <v>1.1110679999999999</v>
      </c>
      <c r="L5033">
        <v>17.448550000000001</v>
      </c>
      <c r="M5033">
        <v>0.99990080000000003</v>
      </c>
      <c r="N5033">
        <v>-1.401202E-2</v>
      </c>
      <c r="O5033">
        <v>-1.5321359999999999E-3</v>
      </c>
      <c r="P5033">
        <v>0.91958490000000004</v>
      </c>
      <c r="Q5033">
        <v>0.38855600000000001</v>
      </c>
      <c r="R5033">
        <v>5.8206620000000001E-2</v>
      </c>
      <c r="S5033">
        <v>3.3158569999999998</v>
      </c>
      <c r="T5033">
        <v>-0.27531609999999901</v>
      </c>
      <c r="U5033">
        <v>0.96936040000000001</v>
      </c>
      <c r="V5033">
        <v>-5.980796E-2</v>
      </c>
      <c r="W5033">
        <v>0.40137329999999999</v>
      </c>
      <c r="X5033">
        <v>0.91395979999999999</v>
      </c>
      <c r="Y5033">
        <v>-0.28101130000000002</v>
      </c>
      <c r="Z5033">
        <v>1.3524929999999999E-2</v>
      </c>
      <c r="AA5033">
        <v>0.95960919999999905</v>
      </c>
      <c r="AB5033">
        <v>37</v>
      </c>
      <c r="AC5033">
        <v>13.146999999999901</v>
      </c>
      <c r="AD5033">
        <v>-1.1110721732960001</v>
      </c>
      <c r="AE5033">
        <v>3.9124099999999999</v>
      </c>
      <c r="AF5033">
        <v>-3.9069165637658498</v>
      </c>
      <c r="AG5033">
        <v>-1.1110721732960001</v>
      </c>
      <c r="AH5033">
        <v>13.055331829657</v>
      </c>
      <c r="AI5033">
        <v>94.661146325624699</v>
      </c>
      <c r="AJ5033">
        <v>106.660249489322</v>
      </c>
      <c r="AK5033">
        <v>13.6726064666894</v>
      </c>
      <c r="AL5033">
        <v>66.335942224106304</v>
      </c>
      <c r="AM5033">
        <v>93.7439993748132</v>
      </c>
      <c r="AN5033">
        <v>1.0000000170241401</v>
      </c>
    </row>
    <row r="5034" spans="1:40" x14ac:dyDescent="0.25">
      <c r="A5034" t="str">
        <f>"20190304164511442"</f>
        <v>20190304164511442</v>
      </c>
      <c r="B5034" t="str">
        <f>"1551689111434879"</f>
        <v>1551689111434879</v>
      </c>
      <c r="C5034" t="s">
        <v>40</v>
      </c>
      <c r="D5034">
        <v>5.3253969999999997</v>
      </c>
      <c r="E5034">
        <v>0.41759439999999998</v>
      </c>
      <c r="F5034" t="s">
        <v>42</v>
      </c>
      <c r="G5034">
        <v>-331.02519999999998</v>
      </c>
      <c r="H5034" s="1">
        <v>-4.230923E-6</v>
      </c>
      <c r="I5034">
        <v>21.32883</v>
      </c>
      <c r="J5034">
        <v>-344.03379999999999</v>
      </c>
      <c r="K5034">
        <v>1.110995</v>
      </c>
      <c r="L5034">
        <v>17.448060000000002</v>
      </c>
      <c r="M5034">
        <v>0.99990069999999998</v>
      </c>
      <c r="N5034">
        <v>-1.400934E-2</v>
      </c>
      <c r="O5034">
        <v>-1.5949740000000001E-3</v>
      </c>
      <c r="P5034">
        <v>0.91979770000000005</v>
      </c>
      <c r="Q5034">
        <v>0.38870579999999999</v>
      </c>
      <c r="R5034">
        <v>5.3667119999999999E-2</v>
      </c>
      <c r="S5034">
        <v>3.318085</v>
      </c>
      <c r="T5034">
        <v>-0.27650190000000002</v>
      </c>
      <c r="U5034">
        <v>0.96566770000000002</v>
      </c>
      <c r="V5034">
        <v>-5.5253950000000003E-2</v>
      </c>
      <c r="W5034">
        <v>0.4015357</v>
      </c>
      <c r="X5034">
        <v>0.91417510000000002</v>
      </c>
      <c r="Y5034">
        <v>-0.2799102</v>
      </c>
      <c r="Z5034">
        <v>1.351956E-2</v>
      </c>
      <c r="AA5034">
        <v>0.95993099999999998</v>
      </c>
      <c r="AB5034">
        <v>37</v>
      </c>
      <c r="AC5034">
        <v>13.008599999999999</v>
      </c>
      <c r="AD5034">
        <v>-1.1109992309229999</v>
      </c>
      <c r="AE5034">
        <v>3.8807699999999898</v>
      </c>
      <c r="AF5034">
        <v>-3.87555731402874</v>
      </c>
      <c r="AG5034">
        <v>-1.1109992309229999</v>
      </c>
      <c r="AH5034">
        <v>12.915883598281299</v>
      </c>
      <c r="AI5034">
        <v>94.709902427847197</v>
      </c>
      <c r="AJ5034">
        <v>106.702468407873</v>
      </c>
      <c r="AK5034">
        <v>13.530495663861901</v>
      </c>
      <c r="AL5034">
        <v>66.325782725062794</v>
      </c>
      <c r="AM5034">
        <v>93.458824782541697</v>
      </c>
      <c r="AN5034">
        <v>1.0000000154125499</v>
      </c>
    </row>
    <row r="5035" spans="1:40" x14ac:dyDescent="0.25">
      <c r="A5035" t="str">
        <f>"20190304164511455"</f>
        <v>20190304164511455</v>
      </c>
      <c r="B5035" t="str">
        <f>"1551689111445599"</f>
        <v>1551689111445599</v>
      </c>
      <c r="C5035" t="s">
        <v>40</v>
      </c>
      <c r="D5035">
        <v>5.3780960000000002</v>
      </c>
      <c r="E5035">
        <v>0.4173753</v>
      </c>
      <c r="F5035" t="s">
        <v>42</v>
      </c>
      <c r="G5035">
        <v>-330.77019999999999</v>
      </c>
      <c r="H5035" s="1">
        <v>-4.3062850000000004E-6</v>
      </c>
      <c r="I5035">
        <v>21.26455</v>
      </c>
      <c r="J5035">
        <v>-343.8245</v>
      </c>
      <c r="K5035">
        <v>1.1109530000000001</v>
      </c>
      <c r="L5035">
        <v>17.44772</v>
      </c>
      <c r="M5035">
        <v>0.99990060000000003</v>
      </c>
      <c r="N5035">
        <v>-1.400764E-2</v>
      </c>
      <c r="O5035">
        <v>-1.6529079999999901E-3</v>
      </c>
      <c r="P5035">
        <v>0.9198035</v>
      </c>
      <c r="Q5035">
        <v>0.3889919</v>
      </c>
      <c r="R5035">
        <v>5.1451259999999999E-2</v>
      </c>
      <c r="S5035">
        <v>3.3233950000000001</v>
      </c>
      <c r="T5035">
        <v>-0.27837770000000001</v>
      </c>
      <c r="U5035">
        <v>0.9562988</v>
      </c>
      <c r="V5035">
        <v>-5.3048980000000003E-2</v>
      </c>
      <c r="W5035">
        <v>0.40182649999999998</v>
      </c>
      <c r="X5035">
        <v>0.91417789999999999</v>
      </c>
      <c r="Y5035">
        <v>-0.2770553</v>
      </c>
      <c r="Z5035">
        <v>1.344969E-2</v>
      </c>
      <c r="AA5035">
        <v>0.96075980000000005</v>
      </c>
      <c r="AB5035">
        <v>36</v>
      </c>
      <c r="AC5035">
        <v>13.0543</v>
      </c>
      <c r="AD5035">
        <v>-1.110957306285</v>
      </c>
      <c r="AE5035">
        <v>3.8168299999999999</v>
      </c>
      <c r="AF5035">
        <v>-3.81296395047218</v>
      </c>
      <c r="AG5035">
        <v>-1.110957306285</v>
      </c>
      <c r="AH5035">
        <v>12.961492201538601</v>
      </c>
      <c r="AI5035">
        <v>94.700740062535303</v>
      </c>
      <c r="AJ5035">
        <v>106.39263382753801</v>
      </c>
      <c r="AK5035">
        <v>13.5562974412092</v>
      </c>
      <c r="AL5035">
        <v>66.307587964572505</v>
      </c>
      <c r="AM5035">
        <v>93.321101764019204</v>
      </c>
      <c r="AN5035">
        <v>0.99999998161484904</v>
      </c>
    </row>
    <row r="5036" spans="1:40" x14ac:dyDescent="0.25">
      <c r="A5036" t="str">
        <f>"20190304164511469"</f>
        <v>20190304164511469</v>
      </c>
      <c r="B5036" t="str">
        <f>"1551689111465119"</f>
        <v>1551689111465119</v>
      </c>
      <c r="C5036" t="s">
        <v>40</v>
      </c>
      <c r="D5036">
        <v>6.1447570000000002</v>
      </c>
      <c r="E5036">
        <v>0.46264909999999998</v>
      </c>
      <c r="F5036" t="s">
        <v>42</v>
      </c>
      <c r="G5036">
        <v>-330.5496</v>
      </c>
      <c r="H5036" s="1">
        <v>-4.3775559999999999E-6</v>
      </c>
      <c r="I5036">
        <v>21.24305</v>
      </c>
      <c r="J5036">
        <v>-343.60379999999998</v>
      </c>
      <c r="K5036">
        <v>1.1109150000000001</v>
      </c>
      <c r="L5036">
        <v>17.447329999999901</v>
      </c>
      <c r="M5036">
        <v>0.99990049999999997</v>
      </c>
      <c r="N5036">
        <v>-1.400588E-2</v>
      </c>
      <c r="O5036">
        <v>-1.7294999999999999E-3</v>
      </c>
      <c r="P5036">
        <v>0.91995839999999995</v>
      </c>
      <c r="Q5036">
        <v>0.38901049999999998</v>
      </c>
      <c r="R5036">
        <v>4.8455379999999999E-2</v>
      </c>
      <c r="S5036">
        <v>3.326111</v>
      </c>
      <c r="T5036">
        <v>-0.27835599999999999</v>
      </c>
      <c r="U5036">
        <v>0.95095830000000003</v>
      </c>
      <c r="V5036">
        <v>-5.0084770000000001E-2</v>
      </c>
      <c r="W5036">
        <v>0.40185100000000001</v>
      </c>
      <c r="X5036">
        <v>0.91433439999999999</v>
      </c>
      <c r="Y5036">
        <v>-0.27550150000000001</v>
      </c>
      <c r="Z5036">
        <v>1.337203E-2</v>
      </c>
      <c r="AA5036">
        <v>0.96120760000000005</v>
      </c>
      <c r="AB5036">
        <v>36</v>
      </c>
      <c r="AC5036">
        <v>13.0541999999999</v>
      </c>
      <c r="AD5036">
        <v>-1.11091937755599</v>
      </c>
      <c r="AE5036">
        <v>3.7957200000000002</v>
      </c>
      <c r="AF5036">
        <v>-3.7929660624095898</v>
      </c>
      <c r="AG5036">
        <v>-1.11091937755599</v>
      </c>
      <c r="AH5036">
        <v>12.9610669895272</v>
      </c>
      <c r="AI5036">
        <v>94.702672606204601</v>
      </c>
      <c r="AJ5036">
        <v>106.31174744894</v>
      </c>
      <c r="AK5036">
        <v>13.550276414930799</v>
      </c>
      <c r="AL5036">
        <v>66.306056792991001</v>
      </c>
      <c r="AM5036">
        <v>93.135374673145904</v>
      </c>
      <c r="AN5036">
        <v>1.00000005270515</v>
      </c>
    </row>
    <row r="5037" spans="1:40" x14ac:dyDescent="0.25">
      <c r="A5037" t="str">
        <f>"20190304164511486"</f>
        <v>20190304164511486</v>
      </c>
      <c r="B5037" t="str">
        <f>"1551689111474879"</f>
        <v>1551689111474879</v>
      </c>
      <c r="C5037" t="s">
        <v>40</v>
      </c>
      <c r="D5037">
        <v>5.9379189999999999</v>
      </c>
      <c r="E5037">
        <v>0.46264909999999998</v>
      </c>
      <c r="F5037" t="s">
        <v>42</v>
      </c>
      <c r="G5037">
        <v>-334.52539999999999</v>
      </c>
      <c r="H5037" s="1">
        <v>-2.4352730000000001E-6</v>
      </c>
      <c r="I5037">
        <v>19.02787</v>
      </c>
      <c r="J5037">
        <v>-343.31880000000001</v>
      </c>
      <c r="K5037">
        <v>1.11087</v>
      </c>
      <c r="L5037">
        <v>17.44678</v>
      </c>
      <c r="M5037">
        <v>0.99990020000000002</v>
      </c>
      <c r="N5037">
        <v>-1.4003649999999999E-2</v>
      </c>
      <c r="O5037">
        <v>-1.8363400000000001E-3</v>
      </c>
      <c r="P5037">
        <v>0.92025999999999997</v>
      </c>
      <c r="Q5037">
        <v>0.38903080000000001</v>
      </c>
      <c r="R5037">
        <v>4.2152830000000002E-2</v>
      </c>
      <c r="S5037">
        <v>3.4060359999999998</v>
      </c>
      <c r="T5037">
        <v>-0.41679359999999999</v>
      </c>
      <c r="U5037">
        <v>0.59301759999999903</v>
      </c>
      <c r="V5037">
        <v>-4.383708E-2</v>
      </c>
      <c r="W5037">
        <v>0.4018794</v>
      </c>
      <c r="X5037">
        <v>0.91464270000000003</v>
      </c>
      <c r="Y5037">
        <v>-0.17193410000000001</v>
      </c>
      <c r="Z5037">
        <v>1.181778E-2</v>
      </c>
      <c r="AA5037">
        <v>0.98503759999999996</v>
      </c>
      <c r="AB5037">
        <v>36</v>
      </c>
      <c r="AC5037">
        <v>8.7934000000000196</v>
      </c>
      <c r="AD5037">
        <v>-1.1108724352729999</v>
      </c>
      <c r="AE5037">
        <v>1.5810899999999899</v>
      </c>
      <c r="AF5037">
        <v>-1.57291998204184</v>
      </c>
      <c r="AG5037">
        <v>-1.1108724352729999</v>
      </c>
      <c r="AH5037">
        <v>8.6566536451816791</v>
      </c>
      <c r="AI5037">
        <v>97.196005665809594</v>
      </c>
      <c r="AJ5037">
        <v>100.298330232537</v>
      </c>
      <c r="AK5037">
        <v>8.8682448753963197</v>
      </c>
      <c r="AL5037">
        <v>66.304278594812104</v>
      </c>
      <c r="AM5037">
        <v>92.743977644663104</v>
      </c>
      <c r="AN5037">
        <v>1.00000000519528</v>
      </c>
    </row>
    <row r="5038" spans="1:40" x14ac:dyDescent="0.25">
      <c r="A5038" t="str">
        <f>"20190304164511501"</f>
        <v>20190304164511501</v>
      </c>
      <c r="B5038" t="str">
        <f>"1551689111495376"</f>
        <v>1551689111495376</v>
      </c>
      <c r="C5038" t="s">
        <v>40</v>
      </c>
      <c r="D5038">
        <v>5.4643050000000004</v>
      </c>
      <c r="E5038">
        <v>0.54527329999999996</v>
      </c>
      <c r="F5038" t="s">
        <v>42</v>
      </c>
      <c r="G5038">
        <v>-334.2167</v>
      </c>
      <c r="H5038" s="1">
        <v>-2.5772329999999999E-6</v>
      </c>
      <c r="I5038">
        <v>18.974039999999999</v>
      </c>
      <c r="J5038">
        <v>-343.0838</v>
      </c>
      <c r="K5038">
        <v>1.11084</v>
      </c>
      <c r="L5038">
        <v>17.446259999999999</v>
      </c>
      <c r="M5038">
        <v>0.99990020000000002</v>
      </c>
      <c r="N5038">
        <v>-1.400183E-2</v>
      </c>
      <c r="O5038">
        <v>-1.930197E-3</v>
      </c>
      <c r="P5038">
        <v>0.92039910000000003</v>
      </c>
      <c r="Q5038">
        <v>0.38901160000000001</v>
      </c>
      <c r="R5038">
        <v>3.9193150000000003E-2</v>
      </c>
      <c r="S5038">
        <v>3.4096679999999999</v>
      </c>
      <c r="T5038">
        <v>-0.41613450000000002</v>
      </c>
      <c r="U5038">
        <v>0.57214359999999997</v>
      </c>
      <c r="V5038">
        <v>-4.0933829999999997E-2</v>
      </c>
      <c r="W5038">
        <v>0.40186329999999998</v>
      </c>
      <c r="X5038">
        <v>0.91478429999999999</v>
      </c>
      <c r="Y5038">
        <v>-0.1660392</v>
      </c>
      <c r="Z5038">
        <v>1.1406980000000001E-2</v>
      </c>
      <c r="AA5038">
        <v>0.98605319999999996</v>
      </c>
      <c r="AB5038">
        <v>36</v>
      </c>
      <c r="AC5038">
        <v>8.86709999999999</v>
      </c>
      <c r="AD5038">
        <v>-1.110842577233</v>
      </c>
      <c r="AE5038">
        <v>1.5277799999999899</v>
      </c>
      <c r="AF5038">
        <v>-1.5217005935708099</v>
      </c>
      <c r="AG5038">
        <v>-1.110842577233</v>
      </c>
      <c r="AH5038">
        <v>8.7310570759616901</v>
      </c>
      <c r="AI5038">
        <v>97.144167403977093</v>
      </c>
      <c r="AJ5038">
        <v>99.886544454402497</v>
      </c>
      <c r="AK5038">
        <v>8.93201553914726</v>
      </c>
      <c r="AL5038">
        <v>66.305285926560799</v>
      </c>
      <c r="AM5038">
        <v>92.562103686537696</v>
      </c>
      <c r="AN5038">
        <v>1.00000000292592</v>
      </c>
    </row>
    <row r="5039" spans="1:40" x14ac:dyDescent="0.25">
      <c r="A5039" t="str">
        <f>"20190304164511514"</f>
        <v>20190304164511514</v>
      </c>
      <c r="B5039" t="str">
        <f>"1551689111505135"</f>
        <v>1551689111505135</v>
      </c>
      <c r="C5039" t="s">
        <v>40</v>
      </c>
      <c r="D5039">
        <v>5.5193099999999999</v>
      </c>
      <c r="E5039">
        <v>0.54990839999999996</v>
      </c>
      <c r="F5039" t="s">
        <v>41</v>
      </c>
      <c r="G5039">
        <v>-342.17230000000001</v>
      </c>
      <c r="H5039">
        <v>0.96956920000000002</v>
      </c>
      <c r="I5039">
        <v>17.423570000000002</v>
      </c>
      <c r="J5039">
        <v>-342.86540000000002</v>
      </c>
      <c r="K5039">
        <v>1.1108209999999901</v>
      </c>
      <c r="L5039">
        <v>17.445799999999998</v>
      </c>
      <c r="M5039">
        <v>0.99990000000000001</v>
      </c>
      <c r="N5039">
        <v>-1.4000139999999999E-2</v>
      </c>
      <c r="O5039">
        <v>-2.0200190000000001E-3</v>
      </c>
      <c r="P5039">
        <v>0.92051669999999997</v>
      </c>
      <c r="Q5039">
        <v>0.38898739999999998</v>
      </c>
      <c r="R5039">
        <v>3.657912E-2</v>
      </c>
      <c r="S5039">
        <v>3.4918520000000002</v>
      </c>
      <c r="T5039">
        <v>-0.54121300000000006</v>
      </c>
      <c r="U5039">
        <v>-8.6059570000000002E-2</v>
      </c>
      <c r="V5039">
        <v>-3.8377910000000001E-2</v>
      </c>
      <c r="W5039">
        <v>0.40184130000000001</v>
      </c>
      <c r="X5039">
        <v>0.91490470000000002</v>
      </c>
      <c r="Y5039">
        <v>2.2347570000000001E-2</v>
      </c>
      <c r="Z5039">
        <v>-1.5957460000000001E-3</v>
      </c>
      <c r="AA5039">
        <v>0.999749</v>
      </c>
      <c r="AB5039">
        <v>36</v>
      </c>
      <c r="AC5039">
        <v>0.69310000000001504</v>
      </c>
      <c r="AD5039">
        <v>-0.14125179999999901</v>
      </c>
      <c r="AE5039">
        <v>-2.2229999999996801E-2</v>
      </c>
      <c r="AF5039">
        <v>1.99999331877843E-2</v>
      </c>
      <c r="AG5039">
        <v>-0.14125179999999901</v>
      </c>
      <c r="AH5039">
        <v>0.66553024942174399</v>
      </c>
      <c r="AI5039">
        <v>101.97736652857</v>
      </c>
      <c r="AJ5039">
        <v>88.278715349532405</v>
      </c>
      <c r="AK5039">
        <v>0.680648647413718</v>
      </c>
      <c r="AL5039">
        <v>66.306661195277201</v>
      </c>
      <c r="AM5039">
        <v>92.402003088223793</v>
      </c>
      <c r="AN5039">
        <v>0.99999995222187299</v>
      </c>
    </row>
    <row r="5040" spans="1:40" x14ac:dyDescent="0.25">
      <c r="A5040" t="str">
        <f>"20190304164511531"</f>
        <v>20190304164511531</v>
      </c>
      <c r="B5040" t="str">
        <f>"1551689111525631"</f>
        <v>1551689111525631</v>
      </c>
      <c r="C5040" t="s">
        <v>40</v>
      </c>
      <c r="D5040">
        <v>5.5933640000000002</v>
      </c>
      <c r="E5040">
        <v>0.55447550000000001</v>
      </c>
      <c r="F5040" t="s">
        <v>41</v>
      </c>
      <c r="G5040">
        <v>-341.85680000000002</v>
      </c>
      <c r="H5040">
        <v>0.95116089999999998</v>
      </c>
      <c r="I5040">
        <v>17.40804</v>
      </c>
      <c r="J5040">
        <v>-342.5874</v>
      </c>
      <c r="K5040">
        <v>1.110797</v>
      </c>
      <c r="L5040">
        <v>17.445129999999999</v>
      </c>
      <c r="M5040">
        <v>0.99989969999999995</v>
      </c>
      <c r="N5040">
        <v>-1.399803E-2</v>
      </c>
      <c r="O5040">
        <v>-2.1383079999999998E-3</v>
      </c>
      <c r="P5040">
        <v>0.9206297</v>
      </c>
      <c r="Q5040">
        <v>0.38909389999999999</v>
      </c>
      <c r="R5040">
        <v>3.2355200000000001E-2</v>
      </c>
      <c r="S5040">
        <v>3.49823</v>
      </c>
      <c r="T5040">
        <v>-0.55373219999999901</v>
      </c>
      <c r="U5040">
        <v>-0.1304932</v>
      </c>
      <c r="V5040">
        <v>-3.4240029999999998E-2</v>
      </c>
      <c r="W5040">
        <v>0.40194879999999999</v>
      </c>
      <c r="X5040">
        <v>0.91502169999999905</v>
      </c>
      <c r="Y5040">
        <v>3.4691670000000001E-2</v>
      </c>
      <c r="Z5040">
        <v>-2.6657759999999999E-3</v>
      </c>
      <c r="AA5040">
        <v>0.99939449999999996</v>
      </c>
      <c r="AB5040">
        <v>36</v>
      </c>
      <c r="AC5040">
        <v>0.73059999999998104</v>
      </c>
      <c r="AD5040">
        <v>-0.159636099999999</v>
      </c>
      <c r="AE5040">
        <v>-3.7089999999999103E-2</v>
      </c>
      <c r="AF5040">
        <v>3.3912611821738402E-2</v>
      </c>
      <c r="AG5040">
        <v>-0.159636099999999</v>
      </c>
      <c r="AH5040">
        <v>0.69746471005605204</v>
      </c>
      <c r="AI5040">
        <v>102.87712704477001</v>
      </c>
      <c r="AJ5040">
        <v>87.216317271134002</v>
      </c>
      <c r="AK5040">
        <v>0.71630354699481602</v>
      </c>
      <c r="AL5040">
        <v>66.299935072714504</v>
      </c>
      <c r="AM5040">
        <v>92.143003060680599</v>
      </c>
      <c r="AN5040">
        <v>0.99999996447336403</v>
      </c>
    </row>
    <row r="5041" spans="1:40" x14ac:dyDescent="0.25">
      <c r="A5041" t="str">
        <f>"20190304164511553"</f>
        <v>20190304164511553</v>
      </c>
      <c r="B5041" t="str">
        <f>"1551689111545727"</f>
        <v>1551689111545727</v>
      </c>
      <c r="C5041" t="s">
        <v>40</v>
      </c>
      <c r="D5041">
        <v>5.4140769999999998</v>
      </c>
      <c r="E5041">
        <v>0.55692030000000003</v>
      </c>
      <c r="F5041" t="s">
        <v>41</v>
      </c>
      <c r="G5041">
        <v>-341.8383</v>
      </c>
      <c r="H5041">
        <v>0.98906519999999998</v>
      </c>
      <c r="I5041">
        <v>17.406469999999999</v>
      </c>
      <c r="J5041">
        <v>-342.22</v>
      </c>
      <c r="K5041">
        <v>1.1107800000000001</v>
      </c>
      <c r="L5041">
        <v>17.444210000000002</v>
      </c>
      <c r="M5041">
        <v>0.99989939999999999</v>
      </c>
      <c r="N5041">
        <v>-1.399534E-2</v>
      </c>
      <c r="O5041">
        <v>-2.29904E-3</v>
      </c>
      <c r="P5041">
        <v>0.92075600000000002</v>
      </c>
      <c r="Q5041">
        <v>0.38908900000000002</v>
      </c>
      <c r="R5041">
        <v>2.8603750000000001E-2</v>
      </c>
      <c r="S5041">
        <v>3.5057070000000001</v>
      </c>
      <c r="T5041">
        <v>-0.56968019999999997</v>
      </c>
      <c r="U5041">
        <v>-0.18029790000000001</v>
      </c>
      <c r="V5041">
        <v>-3.0612739999999999E-2</v>
      </c>
      <c r="W5041">
        <v>0.40194439999999998</v>
      </c>
      <c r="X5041">
        <v>0.91515219999999997</v>
      </c>
      <c r="Y5041">
        <v>4.8402069999999998E-2</v>
      </c>
      <c r="Z5041">
        <v>-3.906919E-3</v>
      </c>
      <c r="AA5041">
        <v>0.99882029999999999</v>
      </c>
      <c r="AB5041">
        <v>36</v>
      </c>
      <c r="AC5041">
        <v>0.38170000000002302</v>
      </c>
      <c r="AD5041">
        <v>-0.121714799999999</v>
      </c>
      <c r="AE5041">
        <v>-3.7739999999999399E-2</v>
      </c>
      <c r="AF5041">
        <v>3.3489928395666099E-2</v>
      </c>
      <c r="AG5041">
        <v>-0.121714799999999</v>
      </c>
      <c r="AH5041">
        <v>0.34685812075483802</v>
      </c>
      <c r="AI5041">
        <v>109.25340457723399</v>
      </c>
      <c r="AJ5041">
        <v>84.485059145550395</v>
      </c>
      <c r="AK5041">
        <v>0.36911600314340798</v>
      </c>
      <c r="AL5041">
        <v>66.300211157966103</v>
      </c>
      <c r="AM5041">
        <v>91.915885711638097</v>
      </c>
      <c r="AN5041">
        <v>0.99999999485325297</v>
      </c>
    </row>
    <row r="5042" spans="1:40" x14ac:dyDescent="0.25">
      <c r="A5042" t="str">
        <f>"20190304164511565"</f>
        <v>20190304164511565</v>
      </c>
      <c r="B5042" t="str">
        <f>"1551689111555487"</f>
        <v>1551689111555487</v>
      </c>
      <c r="C5042" t="s">
        <v>40</v>
      </c>
      <c r="D5042">
        <v>5.408455</v>
      </c>
      <c r="E5042">
        <v>0.55788760000000004</v>
      </c>
      <c r="F5042" t="s">
        <v>41</v>
      </c>
      <c r="G5042">
        <v>-341.51119999999997</v>
      </c>
      <c r="H5042">
        <v>0.99404910000000002</v>
      </c>
      <c r="I5042">
        <v>17.401389999999999</v>
      </c>
      <c r="J5042">
        <v>-342.0333</v>
      </c>
      <c r="K5042">
        <v>1.11077</v>
      </c>
      <c r="L5042">
        <v>17.443729999999999</v>
      </c>
      <c r="M5042">
        <v>0.99989930000000005</v>
      </c>
      <c r="N5042">
        <v>-1.399399E-2</v>
      </c>
      <c r="O5042">
        <v>-2.3855109999999999E-3</v>
      </c>
      <c r="P5042">
        <v>0.92068559999999999</v>
      </c>
      <c r="Q5042">
        <v>0.3893817</v>
      </c>
      <c r="R5042">
        <v>2.6832290000000002E-2</v>
      </c>
      <c r="S5042">
        <v>3.5090029999999999</v>
      </c>
      <c r="T5042">
        <v>-0.57802259999999905</v>
      </c>
      <c r="U5042">
        <v>-0.2114868</v>
      </c>
      <c r="V5042">
        <v>-2.8911139999999998E-2</v>
      </c>
      <c r="W5042">
        <v>0.40223520000000001</v>
      </c>
      <c r="X5042">
        <v>0.9150798</v>
      </c>
      <c r="Y5042">
        <v>5.697472E-2</v>
      </c>
      <c r="Z5042">
        <v>-4.7021500000000004E-3</v>
      </c>
      <c r="AA5042">
        <v>0.99836460000000005</v>
      </c>
      <c r="AB5042">
        <v>36</v>
      </c>
      <c r="AC5042">
        <v>0.52210000000002299</v>
      </c>
      <c r="AD5042">
        <v>-0.1167209</v>
      </c>
      <c r="AE5042">
        <v>-4.2339999999999302E-2</v>
      </c>
      <c r="AF5042">
        <v>3.9150360265822602E-2</v>
      </c>
      <c r="AG5042">
        <v>-0.1167209</v>
      </c>
      <c r="AH5042">
        <v>0.49749742396574198</v>
      </c>
      <c r="AI5042">
        <v>103.16442807779001</v>
      </c>
      <c r="AJ5042">
        <v>85.500404743536507</v>
      </c>
      <c r="AK5042">
        <v>0.51250385955454303</v>
      </c>
      <c r="AL5042">
        <v>66.282014447639895</v>
      </c>
      <c r="AM5042">
        <v>91.809607720549394</v>
      </c>
      <c r="AN5042">
        <v>1.0000000252515799</v>
      </c>
    </row>
    <row r="5043" spans="1:40" x14ac:dyDescent="0.25">
      <c r="A5043" t="str">
        <f>"20190304164511577"</f>
        <v>20190304164511577</v>
      </c>
      <c r="B5043" t="str">
        <f>"1551689111565247"</f>
        <v>1551689111565247</v>
      </c>
      <c r="C5043" t="s">
        <v>40</v>
      </c>
      <c r="D5043">
        <v>5.4250660000000002</v>
      </c>
      <c r="E5043">
        <v>0.55816299999999996</v>
      </c>
      <c r="F5043" t="s">
        <v>41</v>
      </c>
      <c r="G5043">
        <v>-341.19720000000001</v>
      </c>
      <c r="H5043">
        <v>0.97326020000000002</v>
      </c>
      <c r="I5043">
        <v>17.39011</v>
      </c>
      <c r="J5043">
        <v>-341.83969999999999</v>
      </c>
      <c r="K5043">
        <v>1.1107560000000001</v>
      </c>
      <c r="L5043">
        <v>17.443179999999899</v>
      </c>
      <c r="M5043">
        <v>0.99989910000000004</v>
      </c>
      <c r="N5043">
        <v>-1.3992620000000001E-2</v>
      </c>
      <c r="O5043">
        <v>-2.4771179999999999E-3</v>
      </c>
      <c r="P5043">
        <v>0.9207265</v>
      </c>
      <c r="Q5043">
        <v>0.38939319999999999</v>
      </c>
      <c r="R5043">
        <v>2.5213380000000001E-2</v>
      </c>
      <c r="S5043">
        <v>3.509125</v>
      </c>
      <c r="T5043">
        <v>-0.57712909999999995</v>
      </c>
      <c r="U5043">
        <v>-0.2245789</v>
      </c>
      <c r="V5043">
        <v>-2.7365850000000001E-2</v>
      </c>
      <c r="W5043">
        <v>0.40224650000000001</v>
      </c>
      <c r="X5043">
        <v>0.91512230000000006</v>
      </c>
      <c r="Y5043">
        <v>6.0542989999999998E-2</v>
      </c>
      <c r="Z5043">
        <v>-4.9976769999999998E-3</v>
      </c>
      <c r="AA5043">
        <v>0.99815310000000002</v>
      </c>
      <c r="AB5043">
        <v>36</v>
      </c>
      <c r="AC5043">
        <v>0.64249999999998397</v>
      </c>
      <c r="AD5043">
        <v>-0.137495799999999</v>
      </c>
      <c r="AE5043">
        <v>-5.3069999999998098E-2</v>
      </c>
      <c r="AF5043">
        <v>4.9238462680909201E-2</v>
      </c>
      <c r="AG5043">
        <v>-0.137495799999999</v>
      </c>
      <c r="AH5043">
        <v>0.61467047917246498</v>
      </c>
      <c r="AI5043">
        <v>102.56995699980401</v>
      </c>
      <c r="AJ5043">
        <v>85.420074692071594</v>
      </c>
      <c r="AK5043">
        <v>0.63178265185974103</v>
      </c>
      <c r="AL5043">
        <v>66.281306139789905</v>
      </c>
      <c r="AM5043">
        <v>91.712864584999394</v>
      </c>
      <c r="AN5043">
        <v>0.99999998023288095</v>
      </c>
    </row>
    <row r="5044" spans="1:40" x14ac:dyDescent="0.25">
      <c r="A5044" t="str">
        <f>"20190304164511590"</f>
        <v>20190304164511590</v>
      </c>
      <c r="B5044" t="str">
        <f>"1551689111585744"</f>
        <v>1551689111585744</v>
      </c>
      <c r="C5044" t="s">
        <v>40</v>
      </c>
      <c r="D5044">
        <v>5.400074</v>
      </c>
      <c r="E5044">
        <v>0.55845769999999995</v>
      </c>
      <c r="F5044" t="s">
        <v>41</v>
      </c>
      <c r="G5044">
        <v>-340.8836</v>
      </c>
      <c r="H5044">
        <v>0.95215269999999996</v>
      </c>
      <c r="I5044">
        <v>17.379919999999998</v>
      </c>
      <c r="J5044">
        <v>-341.63060000000002</v>
      </c>
      <c r="K5044">
        <v>1.1107419999999999</v>
      </c>
      <c r="L5044">
        <v>17.44257</v>
      </c>
      <c r="M5044">
        <v>0.99989890000000003</v>
      </c>
      <c r="N5044">
        <v>-1.3991180000000001E-2</v>
      </c>
      <c r="O5044">
        <v>-2.58246E-3</v>
      </c>
      <c r="P5044">
        <v>0.92067779999999999</v>
      </c>
      <c r="Q5044">
        <v>0.38963239999999999</v>
      </c>
      <c r="R5044">
        <v>2.3226190000000001E-2</v>
      </c>
      <c r="S5044">
        <v>3.5109249999999999</v>
      </c>
      <c r="T5044">
        <v>-0.58239289999999999</v>
      </c>
      <c r="U5044">
        <v>-0.23117070000000001</v>
      </c>
      <c r="V5044">
        <v>-2.5463409999999999E-2</v>
      </c>
      <c r="W5044">
        <v>0.4024836</v>
      </c>
      <c r="X5044">
        <v>0.91507300000000003</v>
      </c>
      <c r="Y5044">
        <v>6.2233660000000003E-2</v>
      </c>
      <c r="Z5044">
        <v>-5.1711129999999998E-3</v>
      </c>
      <c r="AA5044">
        <v>0.99804820000000005</v>
      </c>
      <c r="AB5044">
        <v>36</v>
      </c>
      <c r="AC5044">
        <v>0.74700000000001399</v>
      </c>
      <c r="AD5044">
        <v>-0.15858929999999999</v>
      </c>
      <c r="AE5044">
        <v>-6.2649999999997805E-2</v>
      </c>
      <c r="AF5044">
        <v>5.8119252628117103E-2</v>
      </c>
      <c r="AG5044">
        <v>-0.15858929999999999</v>
      </c>
      <c r="AH5044">
        <v>0.71515118570583402</v>
      </c>
      <c r="AI5044">
        <v>102.46356720012101</v>
      </c>
      <c r="AJ5044">
        <v>85.353869471230396</v>
      </c>
      <c r="AK5044">
        <v>0.73482625974920202</v>
      </c>
      <c r="AL5044">
        <v>66.266467965885198</v>
      </c>
      <c r="AM5044">
        <v>91.593937899143597</v>
      </c>
      <c r="AN5044">
        <v>1.00000001442339</v>
      </c>
    </row>
    <row r="5045" spans="1:40" x14ac:dyDescent="0.25">
      <c r="A5045" t="str">
        <f>"20190304164511608"</f>
        <v>20190304164511608</v>
      </c>
      <c r="B5045" t="str">
        <f>"1551689111605264"</f>
        <v>1551689111605264</v>
      </c>
      <c r="C5045" t="s">
        <v>40</v>
      </c>
      <c r="D5045">
        <v>5.3631339999999996</v>
      </c>
      <c r="E5045">
        <v>0.55907510000000005</v>
      </c>
      <c r="F5045" t="s">
        <v>41</v>
      </c>
      <c r="G5045">
        <v>-340.86840000000001</v>
      </c>
      <c r="H5045">
        <v>0.98263049999999996</v>
      </c>
      <c r="I5045">
        <v>17.390360000000001</v>
      </c>
      <c r="J5045">
        <v>-341.339</v>
      </c>
      <c r="K5045">
        <v>1.110722</v>
      </c>
      <c r="L5045">
        <v>17.441649999999999</v>
      </c>
      <c r="M5045">
        <v>0.99989850000000002</v>
      </c>
      <c r="N5045">
        <v>-1.398921E-2</v>
      </c>
      <c r="O5045">
        <v>-2.740967E-3</v>
      </c>
      <c r="P5045">
        <v>0.9210777</v>
      </c>
      <c r="Q5045">
        <v>0.38889649999999998</v>
      </c>
      <c r="R5045">
        <v>1.9383460000000002E-2</v>
      </c>
      <c r="S5045">
        <v>3.514526</v>
      </c>
      <c r="T5045">
        <v>-0.59076739999999905</v>
      </c>
      <c r="U5045">
        <v>-0.2393188</v>
      </c>
      <c r="V5045">
        <v>-2.1748859999999998E-2</v>
      </c>
      <c r="W5045">
        <v>0.40175149999999998</v>
      </c>
      <c r="X5045">
        <v>0.91549040000000004</v>
      </c>
      <c r="Y5045">
        <v>6.4260490000000003E-2</v>
      </c>
      <c r="Z5045">
        <v>-5.3916349999999997E-3</v>
      </c>
      <c r="AA5045">
        <v>0.99791859999999999</v>
      </c>
      <c r="AB5045">
        <v>36</v>
      </c>
      <c r="AC5045">
        <v>0.47059999999999003</v>
      </c>
      <c r="AD5045">
        <v>-0.128091499999999</v>
      </c>
      <c r="AE5045">
        <v>-5.1289999999997997E-2</v>
      </c>
      <c r="AF5045">
        <v>4.6588723235026601E-2</v>
      </c>
      <c r="AG5045">
        <v>-0.128091499999999</v>
      </c>
      <c r="AH5045">
        <v>0.43862433239743498</v>
      </c>
      <c r="AI5045">
        <v>106.193116818194</v>
      </c>
      <c r="AJ5045">
        <v>83.937029557553501</v>
      </c>
      <c r="AK5045">
        <v>0.45931388665706102</v>
      </c>
      <c r="AL5045">
        <v>66.312280457928907</v>
      </c>
      <c r="AM5045">
        <v>91.360891978679007</v>
      </c>
      <c r="AN5045">
        <v>0.999999976577854</v>
      </c>
    </row>
    <row r="5046" spans="1:40" x14ac:dyDescent="0.25">
      <c r="A5046" t="str">
        <f>"20190304164511622"</f>
        <v>20190304164511622</v>
      </c>
      <c r="B5046" t="str">
        <f>"1551689111615023"</f>
        <v>1551689111615023</v>
      </c>
      <c r="C5046" t="s">
        <v>40</v>
      </c>
      <c r="D5046">
        <v>5.3635199999999896</v>
      </c>
      <c r="E5046">
        <v>0.55931660000000005</v>
      </c>
      <c r="F5046" t="s">
        <v>41</v>
      </c>
      <c r="G5046">
        <v>-340.54770000000002</v>
      </c>
      <c r="H5046">
        <v>0.97634410000000005</v>
      </c>
      <c r="I5046">
        <v>17.38383</v>
      </c>
      <c r="J5046">
        <v>-341.11270000000002</v>
      </c>
      <c r="K5046">
        <v>1.110698</v>
      </c>
      <c r="L5046">
        <v>17.440919999999998</v>
      </c>
      <c r="M5046">
        <v>0.99989810000000001</v>
      </c>
      <c r="N5046">
        <v>-1.3987799999999899E-2</v>
      </c>
      <c r="O5046">
        <v>-2.8777569999999999E-3</v>
      </c>
      <c r="P5046">
        <v>0.92139539999999998</v>
      </c>
      <c r="Q5046">
        <v>0.3882273</v>
      </c>
      <c r="R5046">
        <v>1.7621319999999999E-2</v>
      </c>
      <c r="S5046">
        <v>3.514465</v>
      </c>
      <c r="T5046">
        <v>-0.59683699999999995</v>
      </c>
      <c r="U5046">
        <v>-0.25656129999999999</v>
      </c>
      <c r="V5046">
        <v>-2.009681E-2</v>
      </c>
      <c r="W5046">
        <v>0.40108539999999998</v>
      </c>
      <c r="X5046">
        <v>0.91582019999999997</v>
      </c>
      <c r="Y5046">
        <v>6.8907839999999998E-2</v>
      </c>
      <c r="Z5046">
        <v>-5.8435659999999997E-3</v>
      </c>
      <c r="AA5046">
        <v>0.99760590000000005</v>
      </c>
      <c r="AB5046">
        <v>36</v>
      </c>
      <c r="AC5046">
        <v>0.56499999999999695</v>
      </c>
      <c r="AD5046">
        <v>-0.1343539</v>
      </c>
      <c r="AE5046">
        <v>-5.7090000000002299E-2</v>
      </c>
      <c r="AF5046">
        <v>5.2523673354613103E-2</v>
      </c>
      <c r="AG5046">
        <v>-0.1343539</v>
      </c>
      <c r="AH5046">
        <v>0.53520406327985404</v>
      </c>
      <c r="AI5046">
        <v>104.027229320242</v>
      </c>
      <c r="AJ5046">
        <v>84.395074081344106</v>
      </c>
      <c r="AK5046">
        <v>0.55430415482759798</v>
      </c>
      <c r="AL5046">
        <v>66.353950608463194</v>
      </c>
      <c r="AM5046">
        <v>91.257100053455105</v>
      </c>
      <c r="AN5046">
        <v>1.0000000092966801</v>
      </c>
    </row>
    <row r="5047" spans="1:40" x14ac:dyDescent="0.25">
      <c r="A5047" t="str">
        <f>"20190304164511636"</f>
        <v>20190304164511636</v>
      </c>
      <c r="B5047" t="str">
        <f>"1551689111624784"</f>
        <v>1551689111624784</v>
      </c>
      <c r="C5047" t="s">
        <v>40</v>
      </c>
      <c r="D5047">
        <v>5.4868240000000004</v>
      </c>
      <c r="E5047">
        <v>0.55923269999999903</v>
      </c>
      <c r="F5047" t="s">
        <v>41</v>
      </c>
      <c r="G5047">
        <v>-340.2321</v>
      </c>
      <c r="H5047">
        <v>0.96016199999999996</v>
      </c>
      <c r="I5047">
        <v>17.37406</v>
      </c>
      <c r="J5047">
        <v>-340.9008</v>
      </c>
      <c r="K5047">
        <v>1.1106769999999999</v>
      </c>
      <c r="L5047">
        <v>17.44022</v>
      </c>
      <c r="M5047">
        <v>0.99989760000000005</v>
      </c>
      <c r="N5047">
        <v>-1.398653E-2</v>
      </c>
      <c r="O5047">
        <v>-3.0153990000000002E-3</v>
      </c>
      <c r="P5047">
        <v>0.92180720000000005</v>
      </c>
      <c r="Q5047">
        <v>0.38733030000000002</v>
      </c>
      <c r="R5047">
        <v>1.5708130000000001E-2</v>
      </c>
      <c r="S5047">
        <v>3.5140989999999999</v>
      </c>
      <c r="T5047">
        <v>-0.60071359999999996</v>
      </c>
      <c r="U5047">
        <v>-0.26504519999999998</v>
      </c>
      <c r="V5047">
        <v>-1.8294009999999999E-2</v>
      </c>
      <c r="W5047">
        <v>0.40019329999999997</v>
      </c>
      <c r="X5047">
        <v>0.91624810000000001</v>
      </c>
      <c r="Y5047">
        <v>7.1127449999999995E-2</v>
      </c>
      <c r="Z5047">
        <v>-6.0600640000000004E-3</v>
      </c>
      <c r="AA5047">
        <v>0.99744880000000002</v>
      </c>
      <c r="AB5047">
        <v>36</v>
      </c>
      <c r="AC5047">
        <v>0.66870000000000096</v>
      </c>
      <c r="AD5047">
        <v>-0.15051500000000001</v>
      </c>
      <c r="AE5047">
        <v>-6.6159999999999997E-2</v>
      </c>
      <c r="AF5047">
        <v>6.1078632324350797E-2</v>
      </c>
      <c r="AG5047">
        <v>-0.15051500000000001</v>
      </c>
      <c r="AH5047">
        <v>0.63693957951424196</v>
      </c>
      <c r="AI5047">
        <v>103.237072845219</v>
      </c>
      <c r="AJ5047">
        <v>84.522432117429702</v>
      </c>
      <c r="AK5047">
        <v>0.65732594084167395</v>
      </c>
      <c r="AL5047">
        <v>66.409735961456406</v>
      </c>
      <c r="AM5047">
        <v>91.143828088100193</v>
      </c>
      <c r="AN5047">
        <v>0.99999996446018902</v>
      </c>
    </row>
    <row r="5048" spans="1:40" x14ac:dyDescent="0.25">
      <c r="A5048" t="str">
        <f>"20190304164511647"</f>
        <v>20190304164511647</v>
      </c>
      <c r="B5048" t="str">
        <f>"1551689111635079"</f>
        <v>1551689111635079</v>
      </c>
      <c r="C5048" t="s">
        <v>40</v>
      </c>
      <c r="D5048">
        <v>5.4799249999999997</v>
      </c>
      <c r="E5048">
        <v>0.55917700000000004</v>
      </c>
      <c r="F5048" t="s">
        <v>41</v>
      </c>
      <c r="G5048">
        <v>-339.91800000000001</v>
      </c>
      <c r="H5048">
        <v>0.94147990000000004</v>
      </c>
      <c r="I5048">
        <v>17.364170000000001</v>
      </c>
      <c r="J5048">
        <v>-340.69199999999898</v>
      </c>
      <c r="K5048">
        <v>1.1106510000000001</v>
      </c>
      <c r="L5048">
        <v>17.439419999999998</v>
      </c>
      <c r="M5048">
        <v>0.99989740000000005</v>
      </c>
      <c r="N5048">
        <v>-1.39852E-2</v>
      </c>
      <c r="O5048">
        <v>-3.1730170000000002E-3</v>
      </c>
      <c r="P5048">
        <v>0.92220539999999995</v>
      </c>
      <c r="Q5048">
        <v>0.38645269999999998</v>
      </c>
      <c r="R5048">
        <v>1.385928E-2</v>
      </c>
      <c r="S5048">
        <v>3.5132750000000001</v>
      </c>
      <c r="T5048">
        <v>-0.60487409999999997</v>
      </c>
      <c r="U5048">
        <v>-0.271698</v>
      </c>
      <c r="V5048">
        <v>-1.6569859999999999E-2</v>
      </c>
      <c r="W5048">
        <v>0.39932040000000002</v>
      </c>
      <c r="X5048">
        <v>0.91666170000000002</v>
      </c>
      <c r="Y5048">
        <v>7.2826020000000005E-2</v>
      </c>
      <c r="Z5048">
        <v>-6.2308559999999999E-3</v>
      </c>
      <c r="AA5048">
        <v>0.99732520000000002</v>
      </c>
      <c r="AB5048">
        <v>36</v>
      </c>
      <c r="AC5048">
        <v>0.77399999999994396</v>
      </c>
      <c r="AD5048">
        <v>-0.16917109999999999</v>
      </c>
      <c r="AE5048">
        <v>-7.52500000000004E-2</v>
      </c>
      <c r="AF5048">
        <v>6.9504223908913296E-2</v>
      </c>
      <c r="AG5048">
        <v>-0.16917109999999999</v>
      </c>
      <c r="AH5048">
        <v>0.73925035130414496</v>
      </c>
      <c r="AI5048">
        <v>102.834984535953</v>
      </c>
      <c r="AJ5048">
        <v>84.628847493720698</v>
      </c>
      <c r="AK5048">
        <v>0.76153842983771503</v>
      </c>
      <c r="AL5048">
        <v>66.464299904741907</v>
      </c>
      <c r="AM5048">
        <v>91.035583422786104</v>
      </c>
      <c r="AN5048">
        <v>1.0000000071817301</v>
      </c>
    </row>
    <row r="5049" spans="1:40" x14ac:dyDescent="0.25">
      <c r="A5049" t="str">
        <f>"20190304164511665"</f>
        <v>20190304164511665</v>
      </c>
      <c r="B5049" t="str">
        <f>"1551689111655559"</f>
        <v>1551689111655559</v>
      </c>
      <c r="C5049" t="s">
        <v>40</v>
      </c>
      <c r="D5049">
        <v>5.4534029999999998</v>
      </c>
      <c r="E5049">
        <v>0.55900830000000001</v>
      </c>
      <c r="F5049" t="s">
        <v>41</v>
      </c>
      <c r="G5049">
        <v>-339.90190000000001</v>
      </c>
      <c r="H5049">
        <v>0.97383739999999996</v>
      </c>
      <c r="I5049">
        <v>17.37668</v>
      </c>
      <c r="J5049">
        <v>-340.4264</v>
      </c>
      <c r="K5049">
        <v>1.1106130000000001</v>
      </c>
      <c r="L5049">
        <v>17.43835</v>
      </c>
      <c r="M5049">
        <v>0.99989640000000002</v>
      </c>
      <c r="N5049">
        <v>-1.3983499999999999E-2</v>
      </c>
      <c r="O5049">
        <v>-3.3964820000000001E-3</v>
      </c>
      <c r="P5049">
        <v>0.92265870000000005</v>
      </c>
      <c r="Q5049">
        <v>0.38546989999999998</v>
      </c>
      <c r="R5049">
        <v>1.0671999999999999E-2</v>
      </c>
      <c r="S5049">
        <v>3.512146</v>
      </c>
      <c r="T5049">
        <v>-0.60823019999999905</v>
      </c>
      <c r="U5049">
        <v>-0.27871699999999999</v>
      </c>
      <c r="V5049">
        <v>-1.3559649999999999E-2</v>
      </c>
      <c r="W5049">
        <v>0.39834229999999998</v>
      </c>
      <c r="X5049">
        <v>0.91713659999999997</v>
      </c>
      <c r="Y5049">
        <v>7.4571269999999995E-2</v>
      </c>
      <c r="Z5049">
        <v>-6.3900889999999998E-3</v>
      </c>
      <c r="AA5049">
        <v>0.99719519999999995</v>
      </c>
      <c r="AB5049">
        <v>36</v>
      </c>
      <c r="AC5049">
        <v>0.52449999999998898</v>
      </c>
      <c r="AD5049">
        <v>-0.136775599999999</v>
      </c>
      <c r="AE5049">
        <v>-6.1669999999999399E-2</v>
      </c>
      <c r="AF5049">
        <v>5.6123507386327799E-2</v>
      </c>
      <c r="AG5049">
        <v>-0.136775599999999</v>
      </c>
      <c r="AH5049">
        <v>0.49172387136902301</v>
      </c>
      <c r="AI5049">
        <v>105.44872478738699</v>
      </c>
      <c r="AJ5049">
        <v>83.488652956491194</v>
      </c>
      <c r="AK5049">
        <v>0.51346838121820304</v>
      </c>
      <c r="AL5049">
        <v>66.525411466004897</v>
      </c>
      <c r="AM5049">
        <v>90.847042976992995</v>
      </c>
      <c r="AN5049">
        <v>0.99999999756848601</v>
      </c>
    </row>
    <row r="5050" spans="1:40" x14ac:dyDescent="0.25">
      <c r="A5050" t="str">
        <f>"20190304164511676"</f>
        <v>20190304164511676</v>
      </c>
      <c r="B5050" t="str">
        <f>"1551689111665319"</f>
        <v>1551689111665319</v>
      </c>
      <c r="C5050" t="s">
        <v>40</v>
      </c>
      <c r="D5050">
        <v>5.4779949999999999</v>
      </c>
      <c r="E5050">
        <v>0.55893249999999906</v>
      </c>
      <c r="F5050" t="s">
        <v>41</v>
      </c>
      <c r="G5050">
        <v>-339.58390000000003</v>
      </c>
      <c r="H5050">
        <v>0.96364819999999995</v>
      </c>
      <c r="I5050">
        <v>17.36796</v>
      </c>
      <c r="J5050">
        <v>-340.23989999999998</v>
      </c>
      <c r="K5050">
        <v>1.11059</v>
      </c>
      <c r="L5050">
        <v>17.43759</v>
      </c>
      <c r="M5050">
        <v>0.99989589999999995</v>
      </c>
      <c r="N5050">
        <v>-1.3982299999999901E-2</v>
      </c>
      <c r="O5050">
        <v>-3.5692810000000001E-3</v>
      </c>
      <c r="P5050">
        <v>0.92268289999999997</v>
      </c>
      <c r="Q5050">
        <v>0.38545570000000001</v>
      </c>
      <c r="R5050">
        <v>8.9623589999999996E-3</v>
      </c>
      <c r="S5050">
        <v>3.5107119999999998</v>
      </c>
      <c r="T5050">
        <v>-0.61240799999999995</v>
      </c>
      <c r="U5050">
        <v>-0.29153440000000003</v>
      </c>
      <c r="V5050">
        <v>-1.198579E-2</v>
      </c>
      <c r="W5050">
        <v>0.39832699999999999</v>
      </c>
      <c r="X5050">
        <v>0.91716520000000001</v>
      </c>
      <c r="Y5050">
        <v>7.7978800000000001E-2</v>
      </c>
      <c r="Z5050">
        <v>-6.7221009999999899E-3</v>
      </c>
      <c r="AA5050">
        <v>0.99693229999999999</v>
      </c>
      <c r="AB5050">
        <v>36</v>
      </c>
      <c r="AC5050">
        <v>0.65599999999994896</v>
      </c>
      <c r="AD5050">
        <v>-0.14694179999999901</v>
      </c>
      <c r="AE5050">
        <v>-6.9629999999999997E-2</v>
      </c>
      <c r="AF5050">
        <v>6.4107169323559601E-2</v>
      </c>
      <c r="AG5050">
        <v>-0.14694179999999901</v>
      </c>
      <c r="AH5050">
        <v>0.62522358705108005</v>
      </c>
      <c r="AI5050">
        <v>103.15921512475001</v>
      </c>
      <c r="AJ5050">
        <v>84.145648411374594</v>
      </c>
      <c r="AK5050">
        <v>0.64545035095732906</v>
      </c>
      <c r="AL5050">
        <v>66.5263680208229</v>
      </c>
      <c r="AM5050">
        <v>90.748715816391794</v>
      </c>
      <c r="AN5050">
        <v>1.00000003109098</v>
      </c>
    </row>
    <row r="5051" spans="1:40" x14ac:dyDescent="0.25">
      <c r="A5051" t="str">
        <f>"20190304164511687"</f>
        <v>20190304164511687</v>
      </c>
      <c r="B5051" t="str">
        <f>"1551689111684839"</f>
        <v>1551689111684839</v>
      </c>
      <c r="C5051" t="s">
        <v>40</v>
      </c>
      <c r="D5051">
        <v>5.3803039999999998</v>
      </c>
      <c r="E5051">
        <v>0.55893179999999998</v>
      </c>
      <c r="F5051" t="s">
        <v>41</v>
      </c>
      <c r="G5051">
        <v>-339.27179999999998</v>
      </c>
      <c r="H5051">
        <v>0.94168419999999997</v>
      </c>
      <c r="I5051">
        <v>17.355329999999999</v>
      </c>
      <c r="J5051">
        <v>-340.05070000000001</v>
      </c>
      <c r="K5051">
        <v>1.11056</v>
      </c>
      <c r="L5051">
        <v>17.436710000000001</v>
      </c>
      <c r="M5051">
        <v>0.99989519999999998</v>
      </c>
      <c r="N5051">
        <v>-1.3981159999999999E-2</v>
      </c>
      <c r="O5051">
        <v>-3.773163E-3</v>
      </c>
      <c r="P5051">
        <v>0.92264069999999998</v>
      </c>
      <c r="Q5051">
        <v>0.38559919999999998</v>
      </c>
      <c r="R5051">
        <v>6.885871E-3</v>
      </c>
      <c r="S5051">
        <v>3.5101010000000001</v>
      </c>
      <c r="T5051">
        <v>-0.61242350000000001</v>
      </c>
      <c r="U5051">
        <v>-0.29806519999999997</v>
      </c>
      <c r="V5051">
        <v>-1.006867E-2</v>
      </c>
      <c r="W5051">
        <v>0.39846819999999999</v>
      </c>
      <c r="X5051">
        <v>0.91712689999999997</v>
      </c>
      <c r="Y5051">
        <v>7.9607520000000001E-2</v>
      </c>
      <c r="Z5051">
        <v>-6.8426800000000003E-3</v>
      </c>
      <c r="AA5051">
        <v>0.99680279999999999</v>
      </c>
      <c r="AB5051">
        <v>36</v>
      </c>
      <c r="AC5051">
        <v>0.77890000000002102</v>
      </c>
      <c r="AD5051">
        <v>-0.16887579999999999</v>
      </c>
      <c r="AE5051">
        <v>-8.1380000000002894E-2</v>
      </c>
      <c r="AF5051">
        <v>7.4954792362464398E-2</v>
      </c>
      <c r="AG5051">
        <v>-0.16887579999999999</v>
      </c>
      <c r="AH5051">
        <v>0.74457838506292695</v>
      </c>
      <c r="AI5051">
        <v>102.716737788374</v>
      </c>
      <c r="AJ5051">
        <v>84.251547078004506</v>
      </c>
      <c r="AK5051">
        <v>0.76715984529083403</v>
      </c>
      <c r="AL5051">
        <v>66.517547307355798</v>
      </c>
      <c r="AM5051">
        <v>90.628995966533907</v>
      </c>
      <c r="AN5051">
        <v>1.0000000176152</v>
      </c>
    </row>
    <row r="5052" spans="1:40" x14ac:dyDescent="0.25">
      <c r="A5052" t="str">
        <f>"20190304164511699"</f>
        <v>20190304164511699</v>
      </c>
      <c r="B5052" t="str">
        <f>"1551689111695575"</f>
        <v>1551689111695575</v>
      </c>
      <c r="C5052" t="s">
        <v>40</v>
      </c>
      <c r="D5052">
        <v>5.3664239999999896</v>
      </c>
      <c r="E5052">
        <v>0.55907200000000001</v>
      </c>
      <c r="F5052" t="s">
        <v>41</v>
      </c>
      <c r="G5052">
        <v>-339.2568</v>
      </c>
      <c r="H5052">
        <v>0.97194780000000003</v>
      </c>
      <c r="I5052">
        <v>17.367249999999999</v>
      </c>
      <c r="J5052">
        <v>-339.86810000000003</v>
      </c>
      <c r="K5052">
        <v>1.11053</v>
      </c>
      <c r="L5052">
        <v>17.435849999999999</v>
      </c>
      <c r="M5052">
        <v>0.99989430000000001</v>
      </c>
      <c r="N5052">
        <v>-1.3980090000000001E-2</v>
      </c>
      <c r="O5052">
        <v>-3.9879199999999998E-3</v>
      </c>
      <c r="P5052">
        <v>0.92262920000000004</v>
      </c>
      <c r="Q5052">
        <v>0.38565909999999998</v>
      </c>
      <c r="R5052">
        <v>4.7160240000000001E-3</v>
      </c>
      <c r="S5052">
        <v>3.51004</v>
      </c>
      <c r="T5052">
        <v>-0.6129154</v>
      </c>
      <c r="U5052">
        <v>-0.30685420000000002</v>
      </c>
      <c r="V5052">
        <v>-8.0668069999999901E-3</v>
      </c>
      <c r="W5052">
        <v>0.3985264</v>
      </c>
      <c r="X5052">
        <v>0.91712139999999998</v>
      </c>
      <c r="Y5052">
        <v>8.1837140000000003E-2</v>
      </c>
      <c r="Z5052">
        <v>-7.0214880000000002E-3</v>
      </c>
      <c r="AA5052">
        <v>0.99662099999999998</v>
      </c>
      <c r="AB5052">
        <v>36</v>
      </c>
      <c r="AC5052">
        <v>0.61130000000002804</v>
      </c>
      <c r="AD5052">
        <v>-0.13858219999999899</v>
      </c>
      <c r="AE5052">
        <v>-6.8599999999999994E-2</v>
      </c>
      <c r="AF5052">
        <v>6.2965636859965798E-2</v>
      </c>
      <c r="AG5052">
        <v>-0.13858219999999899</v>
      </c>
      <c r="AH5052">
        <v>0.58202841253286297</v>
      </c>
      <c r="AI5052">
        <v>103.31795593369</v>
      </c>
      <c r="AJ5052">
        <v>83.825577963930797</v>
      </c>
      <c r="AK5052">
        <v>0.60160349947248903</v>
      </c>
      <c r="AL5052">
        <v>66.513911440869407</v>
      </c>
      <c r="AM5052">
        <v>90.5039486336767</v>
      </c>
      <c r="AN5052">
        <v>1.00000001360504</v>
      </c>
    </row>
    <row r="5053" spans="1:40" x14ac:dyDescent="0.25">
      <c r="A5053" t="str">
        <f>"20190304164511720"</f>
        <v>20190304164511720</v>
      </c>
      <c r="B5053" t="str">
        <f>"1551689111715096"</f>
        <v>1551689111715096</v>
      </c>
      <c r="C5053" t="s">
        <v>40</v>
      </c>
      <c r="D5053">
        <v>5.3401189999999996</v>
      </c>
      <c r="E5053">
        <v>0.55933389999999905</v>
      </c>
      <c r="F5053" t="s">
        <v>41</v>
      </c>
      <c r="G5053">
        <v>-338.94529999999997</v>
      </c>
      <c r="H5053">
        <v>0.94934479999999999</v>
      </c>
      <c r="I5053">
        <v>17.35275</v>
      </c>
      <c r="J5053">
        <v>-339.52069999999998</v>
      </c>
      <c r="K5053">
        <v>1.1104639999999999</v>
      </c>
      <c r="L5053">
        <v>17.43402</v>
      </c>
      <c r="M5053">
        <v>0.99989240000000001</v>
      </c>
      <c r="N5053">
        <v>-1.397821E-2</v>
      </c>
      <c r="O5053">
        <v>-4.4644039999999999E-3</v>
      </c>
      <c r="P5053">
        <v>0.92280899999999999</v>
      </c>
      <c r="Q5053">
        <v>0.38525700000000002</v>
      </c>
      <c r="R5053">
        <v>8.528009E-4</v>
      </c>
      <c r="S5053">
        <v>3.5094599999999998</v>
      </c>
      <c r="T5053">
        <v>-0.61304609999999904</v>
      </c>
      <c r="U5053">
        <v>-0.3158569</v>
      </c>
      <c r="V5053">
        <v>-4.5782729999999999E-3</v>
      </c>
      <c r="W5053">
        <v>0.39812310000000001</v>
      </c>
      <c r="X5053">
        <v>0.91732049999999998</v>
      </c>
      <c r="Y5053">
        <v>8.3885210000000002E-2</v>
      </c>
      <c r="Z5053">
        <v>-7.1389460000000002E-3</v>
      </c>
      <c r="AA5053">
        <v>0.99644980000000005</v>
      </c>
      <c r="AB5053">
        <v>36</v>
      </c>
      <c r="AC5053">
        <v>0.57540000000000102</v>
      </c>
      <c r="AD5053">
        <v>-0.16111919999999899</v>
      </c>
      <c r="AE5053">
        <v>-8.1269999999999898E-2</v>
      </c>
      <c r="AF5053">
        <v>7.3082050940364504E-2</v>
      </c>
      <c r="AG5053">
        <v>-0.16111919999999899</v>
      </c>
      <c r="AH5053">
        <v>0.53465624670090695</v>
      </c>
      <c r="AI5053">
        <v>106.62428985229499</v>
      </c>
      <c r="AJ5053">
        <v>82.216488612398393</v>
      </c>
      <c r="AK5053">
        <v>0.56316754604166597</v>
      </c>
      <c r="AL5053">
        <v>66.539101580290705</v>
      </c>
      <c r="AM5053">
        <v>90.285956263224605</v>
      </c>
      <c r="AN5053">
        <v>0.99999993152875799</v>
      </c>
    </row>
    <row r="5054" spans="1:40" x14ac:dyDescent="0.25">
      <c r="A5054" t="str">
        <f>"20190304164511731"</f>
        <v>20190304164511731</v>
      </c>
      <c r="B5054" t="str">
        <f>"1551689111724855"</f>
        <v>1551689111724855</v>
      </c>
      <c r="C5054" t="s">
        <v>40</v>
      </c>
      <c r="D5054">
        <v>5.3312949999999999</v>
      </c>
      <c r="E5054">
        <v>0.55949680000000002</v>
      </c>
      <c r="F5054" t="s">
        <v>41</v>
      </c>
      <c r="G5054">
        <v>-338.62110000000001</v>
      </c>
      <c r="H5054">
        <v>0.95288989999999996</v>
      </c>
      <c r="I5054">
        <v>17.348279999999999</v>
      </c>
      <c r="J5054">
        <v>-339.34129999999999</v>
      </c>
      <c r="K5054">
        <v>1.1104229999999999</v>
      </c>
      <c r="L5054">
        <v>17.432980000000001</v>
      </c>
      <c r="M5054">
        <v>0.99989119999999998</v>
      </c>
      <c r="N5054">
        <v>-1.397728E-2</v>
      </c>
      <c r="O5054">
        <v>-4.742268E-3</v>
      </c>
      <c r="P5054">
        <v>0.92279580000000005</v>
      </c>
      <c r="Q5054">
        <v>0.38528859999999998</v>
      </c>
      <c r="R5054">
        <v>-9.6796830000000003E-4</v>
      </c>
      <c r="S5054">
        <v>3.5077509999999998</v>
      </c>
      <c r="T5054">
        <v>-0.61439779999999999</v>
      </c>
      <c r="U5054">
        <v>-0.33361819999999998</v>
      </c>
      <c r="V5054">
        <v>-2.9755490000000001E-3</v>
      </c>
      <c r="W5054">
        <v>0.39815240000000002</v>
      </c>
      <c r="X5054">
        <v>0.91731450000000003</v>
      </c>
      <c r="Y5054">
        <v>8.8574299999999995E-2</v>
      </c>
      <c r="Z5054">
        <v>-7.55018599999999E-3</v>
      </c>
      <c r="AA5054">
        <v>0.99604090000000001</v>
      </c>
      <c r="AB5054">
        <v>36</v>
      </c>
      <c r="AC5054">
        <v>0.72019999999997697</v>
      </c>
      <c r="AD5054">
        <v>-0.15753309999999901</v>
      </c>
      <c r="AE5054">
        <v>-8.4700000000001496E-2</v>
      </c>
      <c r="AF5054">
        <v>7.7620249610446002E-2</v>
      </c>
      <c r="AG5054">
        <v>-0.15753309999999901</v>
      </c>
      <c r="AH5054">
        <v>0.688119617175591</v>
      </c>
      <c r="AI5054">
        <v>102.816103674524</v>
      </c>
      <c r="AJ5054">
        <v>83.564210593256405</v>
      </c>
      <c r="AK5054">
        <v>0.71017616707904296</v>
      </c>
      <c r="AL5054">
        <v>66.537274204694896</v>
      </c>
      <c r="AM5054">
        <v>90.185853163213196</v>
      </c>
      <c r="AN5054">
        <v>1.0000000397139299</v>
      </c>
    </row>
    <row r="5055" spans="1:40" x14ac:dyDescent="0.25">
      <c r="A5055" t="str">
        <f>"20190304164511744"</f>
        <v>20190304164511744</v>
      </c>
      <c r="B5055" t="str">
        <f>"1551689111735352"</f>
        <v>1551689111735352</v>
      </c>
      <c r="C5055" t="s">
        <v>40</v>
      </c>
      <c r="D5055">
        <v>5.3181440000000002</v>
      </c>
      <c r="E5055">
        <v>0.55956030000000001</v>
      </c>
      <c r="F5055" t="s">
        <v>41</v>
      </c>
      <c r="G5055">
        <v>-338.60660000000001</v>
      </c>
      <c r="H5055">
        <v>0.98209539999999995</v>
      </c>
      <c r="I5055">
        <v>17.360859999999999</v>
      </c>
      <c r="J5055">
        <v>-339.14280000000002</v>
      </c>
      <c r="K5055">
        <v>1.1103670000000001</v>
      </c>
      <c r="L5055">
        <v>17.431729999999899</v>
      </c>
      <c r="M5055">
        <v>0.99988949999999999</v>
      </c>
      <c r="N5055">
        <v>-1.397637E-2</v>
      </c>
      <c r="O5055">
        <v>-5.0924020000000002E-3</v>
      </c>
      <c r="P5055">
        <v>0.92287030000000003</v>
      </c>
      <c r="Q5055">
        <v>0.385102</v>
      </c>
      <c r="R5055">
        <v>-2.7211610000000002E-3</v>
      </c>
      <c r="S5055">
        <v>3.5063170000000001</v>
      </c>
      <c r="T5055">
        <v>-0.61241559999999995</v>
      </c>
      <c r="U5055">
        <v>-0.34338380000000002</v>
      </c>
      <c r="V5055">
        <v>-1.5002920000000001E-3</v>
      </c>
      <c r="W5055">
        <v>0.39796520000000002</v>
      </c>
      <c r="X5055">
        <v>0.91739930000000003</v>
      </c>
      <c r="Y5055">
        <v>9.0985399999999994E-2</v>
      </c>
      <c r="Z5055">
        <v>-7.7000640000000004E-3</v>
      </c>
      <c r="AA5055">
        <v>0.9958224</v>
      </c>
      <c r="AB5055">
        <v>36</v>
      </c>
      <c r="AC5055">
        <v>0.536200000000008</v>
      </c>
      <c r="AD5055">
        <v>-0.12827160000000001</v>
      </c>
      <c r="AE5055">
        <v>-7.0869999999999295E-2</v>
      </c>
      <c r="AF5055">
        <v>6.4509891043211795E-2</v>
      </c>
      <c r="AG5055">
        <v>-0.12827160000000001</v>
      </c>
      <c r="AH5055">
        <v>0.50798236421147103</v>
      </c>
      <c r="AI5055">
        <v>104.063207277258</v>
      </c>
      <c r="AJ5055">
        <v>82.762612436282694</v>
      </c>
      <c r="AK5055">
        <v>0.52788371045036298</v>
      </c>
      <c r="AL5055">
        <v>66.548965549488202</v>
      </c>
      <c r="AM5055">
        <v>90.093700009368902</v>
      </c>
      <c r="AN5055">
        <v>1.0000000134638001</v>
      </c>
    </row>
    <row r="5056" spans="1:40" x14ac:dyDescent="0.25">
      <c r="A5056" t="str">
        <f>"20190304164511755"</f>
        <v>20190304164511755</v>
      </c>
      <c r="B5056" t="str">
        <f>"1551689111745098"</f>
        <v>1551689111745098</v>
      </c>
      <c r="C5056" t="s">
        <v>40</v>
      </c>
      <c r="D5056">
        <v>5.3020839999999998</v>
      </c>
      <c r="E5056">
        <v>0.55970600000000004</v>
      </c>
      <c r="F5056" t="s">
        <v>41</v>
      </c>
      <c r="G5056">
        <v>-338.29410000000001</v>
      </c>
      <c r="H5056">
        <v>0.96251830000000005</v>
      </c>
      <c r="I5056">
        <v>17.346299999999999</v>
      </c>
      <c r="J5056">
        <v>-338.96080000000001</v>
      </c>
      <c r="K5056">
        <v>1.11032</v>
      </c>
      <c r="L5056">
        <v>17.430510000000002</v>
      </c>
      <c r="M5056">
        <v>0.99988759999999999</v>
      </c>
      <c r="N5056">
        <v>-1.397554E-2</v>
      </c>
      <c r="O5056">
        <v>-5.4297470000000004E-3</v>
      </c>
      <c r="P5056">
        <v>0.92296690000000003</v>
      </c>
      <c r="Q5056">
        <v>0.38485399999999997</v>
      </c>
      <c r="R5056">
        <v>-4.4411119999999997E-3</v>
      </c>
      <c r="S5056">
        <v>3.5043639999999998</v>
      </c>
      <c r="T5056">
        <v>-0.61042259999999904</v>
      </c>
      <c r="U5056">
        <v>-0.35183720000000002</v>
      </c>
      <c r="V5056" s="1">
        <v>-4.8748220000000003E-5</v>
      </c>
      <c r="W5056">
        <v>0.39771630000000002</v>
      </c>
      <c r="X5056">
        <v>0.9175084</v>
      </c>
      <c r="Y5056">
        <v>9.3060260000000006E-2</v>
      </c>
      <c r="Z5056">
        <v>-7.8207309999999992E-3</v>
      </c>
      <c r="AA5056">
        <v>0.99562980000000001</v>
      </c>
      <c r="AB5056">
        <v>36</v>
      </c>
      <c r="AC5056">
        <v>0.66669999999999097</v>
      </c>
      <c r="AD5056">
        <v>-0.14780169999999901</v>
      </c>
      <c r="AE5056">
        <v>-8.4210000000002297E-2</v>
      </c>
      <c r="AF5056">
        <v>7.6869790910016597E-2</v>
      </c>
      <c r="AG5056">
        <v>-0.14780169999999901</v>
      </c>
      <c r="AH5056">
        <v>0.63636317431867395</v>
      </c>
      <c r="AI5056">
        <v>102.984528535264</v>
      </c>
      <c r="AJ5056">
        <v>83.112300550355599</v>
      </c>
      <c r="AK5056">
        <v>0.657808784455163</v>
      </c>
      <c r="AL5056">
        <v>66.564508250574505</v>
      </c>
      <c r="AM5056">
        <v>90.003044187129106</v>
      </c>
      <c r="AN5056">
        <v>0.99999996086631804</v>
      </c>
    </row>
    <row r="5057" spans="1:40" x14ac:dyDescent="0.25">
      <c r="A5057" t="str">
        <f>"20190304164511767"</f>
        <v>20190304164511767</v>
      </c>
      <c r="B5057" t="str">
        <f>"1551689111754858"</f>
        <v>1551689111754858</v>
      </c>
      <c r="C5057" t="s">
        <v>40</v>
      </c>
      <c r="D5057">
        <v>5.2831510000000002</v>
      </c>
      <c r="E5057">
        <v>0.55982589999999999</v>
      </c>
      <c r="F5057" t="s">
        <v>41</v>
      </c>
      <c r="G5057">
        <v>-337.98259999999999</v>
      </c>
      <c r="H5057">
        <v>0.94047740000000002</v>
      </c>
      <c r="I5057">
        <v>17.329840000000001</v>
      </c>
      <c r="J5057">
        <v>-338.76819999999998</v>
      </c>
      <c r="K5057">
        <v>1.110266</v>
      </c>
      <c r="L5057">
        <v>17.429110000000001</v>
      </c>
      <c r="M5057">
        <v>0.99988529999999998</v>
      </c>
      <c r="N5057">
        <v>-1.3974769999999999E-2</v>
      </c>
      <c r="O5057">
        <v>-5.8426149999999998E-3</v>
      </c>
      <c r="P5057">
        <v>0.92303840000000004</v>
      </c>
      <c r="Q5057">
        <v>0.38465559999999899</v>
      </c>
      <c r="R5057">
        <v>-6.3500669999999896E-3</v>
      </c>
      <c r="S5057">
        <v>3.5022280000000001</v>
      </c>
      <c r="T5057">
        <v>-0.60806680000000002</v>
      </c>
      <c r="U5057">
        <v>-0.35998540000000001</v>
      </c>
      <c r="V5057">
        <v>1.531531E-3</v>
      </c>
      <c r="W5057">
        <v>0.39751589999999998</v>
      </c>
      <c r="X5057">
        <v>0.91759400000000002</v>
      </c>
      <c r="Y5057">
        <v>9.4985680000000003E-2</v>
      </c>
      <c r="Z5057">
        <v>-7.9110259999999998E-3</v>
      </c>
      <c r="AA5057">
        <v>0.99544719999999998</v>
      </c>
      <c r="AB5057">
        <v>36</v>
      </c>
      <c r="AC5057">
        <v>0.78559999999998797</v>
      </c>
      <c r="AD5057">
        <v>-0.16978860000000001</v>
      </c>
      <c r="AE5057">
        <v>-9.9270000000000594E-2</v>
      </c>
      <c r="AF5057">
        <v>9.0516291449359895E-2</v>
      </c>
      <c r="AG5057">
        <v>-0.16978860000000001</v>
      </c>
      <c r="AH5057">
        <v>0.75161035216100902</v>
      </c>
      <c r="AI5057">
        <v>102.64106963961299</v>
      </c>
      <c r="AJ5057">
        <v>83.132951143023504</v>
      </c>
      <c r="AK5057">
        <v>0.77584759404363801</v>
      </c>
      <c r="AL5057">
        <v>66.577022853397693</v>
      </c>
      <c r="AM5057">
        <v>89.904369273329294</v>
      </c>
      <c r="AN5057">
        <v>0.99999999258800598</v>
      </c>
    </row>
    <row r="5058" spans="1:40" x14ac:dyDescent="0.25">
      <c r="A5058" t="str">
        <f>"20190304164511778"</f>
        <v>20190304164511778</v>
      </c>
      <c r="B5058" t="str">
        <f>"1551689111775355"</f>
        <v>1551689111775355</v>
      </c>
      <c r="C5058" t="s">
        <v>40</v>
      </c>
      <c r="D5058">
        <v>5.2689250000000003</v>
      </c>
      <c r="E5058">
        <v>0.5600465</v>
      </c>
      <c r="F5058" t="s">
        <v>41</v>
      </c>
      <c r="G5058">
        <v>-337.96749999999997</v>
      </c>
      <c r="H5058">
        <v>0.9716494</v>
      </c>
      <c r="I5058">
        <v>17.344639999999998</v>
      </c>
      <c r="J5058">
        <v>-338.60169999999999</v>
      </c>
      <c r="K5058">
        <v>1.110225</v>
      </c>
      <c r="L5058">
        <v>17.427800000000001</v>
      </c>
      <c r="M5058">
        <v>0.99988310000000002</v>
      </c>
      <c r="N5058">
        <v>-1.3974189999999999E-2</v>
      </c>
      <c r="O5058">
        <v>-6.2204599999999997E-3</v>
      </c>
      <c r="P5058">
        <v>0.92302810000000002</v>
      </c>
      <c r="Q5058">
        <v>0.38464720000000002</v>
      </c>
      <c r="R5058">
        <v>-8.1181269999999993E-3</v>
      </c>
      <c r="S5058">
        <v>3.5001220000000002</v>
      </c>
      <c r="T5058">
        <v>-0.60589159999999997</v>
      </c>
      <c r="U5058">
        <v>-0.36868289999999998</v>
      </c>
      <c r="V5058">
        <v>2.9985089999999999E-3</v>
      </c>
      <c r="W5058">
        <v>0.39750449999999998</v>
      </c>
      <c r="X5058">
        <v>0.9175953</v>
      </c>
      <c r="Y5058">
        <v>9.7097050000000004E-2</v>
      </c>
      <c r="Z5058">
        <v>-8.0254279999999994E-3</v>
      </c>
      <c r="AA5058">
        <v>0.99524250000000003</v>
      </c>
      <c r="AB5058">
        <v>36</v>
      </c>
      <c r="AC5058">
        <v>0.63420000000002097</v>
      </c>
      <c r="AD5058">
        <v>-0.13857559999999899</v>
      </c>
      <c r="AE5058">
        <v>-8.3160000000002995E-2</v>
      </c>
      <c r="AF5058">
        <v>7.5661643649966998E-2</v>
      </c>
      <c r="AG5058">
        <v>-0.13857559999999899</v>
      </c>
      <c r="AH5058">
        <v>0.60624941497617302</v>
      </c>
      <c r="AI5058">
        <v>102.779539375863</v>
      </c>
      <c r="AJ5058">
        <v>82.886107038861596</v>
      </c>
      <c r="AK5058">
        <v>0.62647125584030305</v>
      </c>
      <c r="AL5058">
        <v>66.577734284180096</v>
      </c>
      <c r="AM5058">
        <v>89.8127700752067</v>
      </c>
      <c r="AN5058">
        <v>0.99999997657928097</v>
      </c>
    </row>
    <row r="5059" spans="1:40" x14ac:dyDescent="0.25">
      <c r="A5059" t="str">
        <f>"20190304164511789"</f>
        <v>20190304164511789</v>
      </c>
      <c r="B5059" t="str">
        <f>"1551689111785114"</f>
        <v>1551689111785114</v>
      </c>
      <c r="C5059" t="s">
        <v>40</v>
      </c>
      <c r="D5059">
        <v>5.3507680000000004</v>
      </c>
      <c r="E5059">
        <v>0.56019649999999999</v>
      </c>
      <c r="F5059" t="s">
        <v>41</v>
      </c>
      <c r="G5059">
        <v>-337.65710000000001</v>
      </c>
      <c r="H5059">
        <v>0.94816089999999997</v>
      </c>
      <c r="I5059">
        <v>17.325520000000001</v>
      </c>
      <c r="J5059">
        <v>-338.41480000000001</v>
      </c>
      <c r="K5059">
        <v>1.1101669999999999</v>
      </c>
      <c r="L5059">
        <v>17.42624</v>
      </c>
      <c r="M5059">
        <v>0.99988010000000005</v>
      </c>
      <c r="N5059">
        <v>-1.397371E-2</v>
      </c>
      <c r="O5059">
        <v>-6.6849149999999996E-3</v>
      </c>
      <c r="P5059">
        <v>0.92286369999999895</v>
      </c>
      <c r="Q5059">
        <v>0.38499810000000001</v>
      </c>
      <c r="R5059">
        <v>-9.9681209999999999E-3</v>
      </c>
      <c r="S5059">
        <v>3.496826</v>
      </c>
      <c r="T5059">
        <v>-0.59984559999999998</v>
      </c>
      <c r="U5059">
        <v>-0.37762449999999997</v>
      </c>
      <c r="V5059">
        <v>4.4781049999999996E-3</v>
      </c>
      <c r="W5059">
        <v>0.39784979999999998</v>
      </c>
      <c r="X5059">
        <v>0.91743960000000002</v>
      </c>
      <c r="Y5059">
        <v>9.9246180000000003E-2</v>
      </c>
      <c r="Z5059">
        <v>-8.0849700000000004E-3</v>
      </c>
      <c r="AA5059">
        <v>0.99502999999999997</v>
      </c>
      <c r="AB5059">
        <v>36</v>
      </c>
      <c r="AC5059">
        <v>0.75769999999999904</v>
      </c>
      <c r="AD5059">
        <v>-0.16200609999999899</v>
      </c>
      <c r="AE5059">
        <v>-0.100719999999999</v>
      </c>
      <c r="AF5059">
        <v>9.1539918673346002E-2</v>
      </c>
      <c r="AG5059">
        <v>-0.16200609999999899</v>
      </c>
      <c r="AH5059">
        <v>0.72575395979192003</v>
      </c>
      <c r="AI5059">
        <v>102.487720430973</v>
      </c>
      <c r="AJ5059">
        <v>82.811199947405598</v>
      </c>
      <c r="AK5059">
        <v>0.74922916607776602</v>
      </c>
      <c r="AL5059">
        <v>66.556171476481197</v>
      </c>
      <c r="AM5059">
        <v>89.720336380621404</v>
      </c>
      <c r="AN5059">
        <v>0.999999968216295</v>
      </c>
    </row>
    <row r="5060" spans="1:40" x14ac:dyDescent="0.25">
      <c r="A5060" t="str">
        <f>"20190304164511801"</f>
        <v>20190304164511801</v>
      </c>
      <c r="B5060" t="str">
        <f>"1551689111794874"</f>
        <v>1551689111794874</v>
      </c>
      <c r="C5060" t="s">
        <v>40</v>
      </c>
      <c r="D5060">
        <v>5.3879419999999998</v>
      </c>
      <c r="E5060">
        <v>0.56012620000000002</v>
      </c>
      <c r="F5060" t="s">
        <v>41</v>
      </c>
      <c r="G5060">
        <v>-337.6422</v>
      </c>
      <c r="H5060">
        <v>0.97859850000000004</v>
      </c>
      <c r="I5060">
        <v>17.34064</v>
      </c>
      <c r="J5060">
        <v>-338.21929999999998</v>
      </c>
      <c r="K5060">
        <v>1.110101</v>
      </c>
      <c r="L5060">
        <v>17.424469999999999</v>
      </c>
      <c r="M5060">
        <v>0.99987649999999995</v>
      </c>
      <c r="N5060">
        <v>-1.3973330000000001E-2</v>
      </c>
      <c r="O5060">
        <v>-7.2161339999999999E-3</v>
      </c>
      <c r="P5060">
        <v>0.92265920000000001</v>
      </c>
      <c r="Q5060">
        <v>0.38543119999999997</v>
      </c>
      <c r="R5060">
        <v>-1.1963700000000001E-2</v>
      </c>
      <c r="S5060">
        <v>3.4948429999999999</v>
      </c>
      <c r="T5060">
        <v>-0.5950685</v>
      </c>
      <c r="U5060">
        <v>-0.38601679999999999</v>
      </c>
      <c r="V5060">
        <v>6.0482820000000003E-3</v>
      </c>
      <c r="W5060">
        <v>0.39827620000000002</v>
      </c>
      <c r="X5060">
        <v>0.91724559999999999</v>
      </c>
      <c r="Y5060">
        <v>0.1011372</v>
      </c>
      <c r="Z5060">
        <v>-8.1213699999999993E-3</v>
      </c>
      <c r="AA5060">
        <v>0.99483929999999998</v>
      </c>
      <c r="AB5060">
        <v>36</v>
      </c>
      <c r="AC5060">
        <v>0.57709999999997297</v>
      </c>
      <c r="AD5060">
        <v>-0.131502499999999</v>
      </c>
      <c r="AE5060">
        <v>-8.3829999999998905E-2</v>
      </c>
      <c r="AF5060">
        <v>7.5808082794737996E-2</v>
      </c>
      <c r="AG5060">
        <v>-0.131502499999999</v>
      </c>
      <c r="AH5060">
        <v>0.54973550048985997</v>
      </c>
      <c r="AI5060">
        <v>103.331360617168</v>
      </c>
      <c r="AJ5060">
        <v>82.148476934038399</v>
      </c>
      <c r="AK5060">
        <v>0.57030596474357598</v>
      </c>
      <c r="AL5060">
        <v>66.529540489014593</v>
      </c>
      <c r="AM5060">
        <v>89.622199322118604</v>
      </c>
      <c r="AN5060">
        <v>1.00000000196047</v>
      </c>
    </row>
    <row r="5061" spans="1:40" x14ac:dyDescent="0.25">
      <c r="A5061" t="str">
        <f>"20190304164511813"</f>
        <v>20190304164511813</v>
      </c>
      <c r="B5061" t="str">
        <f>"1551689111805611"</f>
        <v>1551689111805611</v>
      </c>
      <c r="C5061" t="s">
        <v>40</v>
      </c>
      <c r="D5061">
        <v>5.2858330000000002</v>
      </c>
      <c r="E5061">
        <v>0.56017519999999998</v>
      </c>
      <c r="F5061" t="s">
        <v>41</v>
      </c>
      <c r="G5061">
        <v>-337.33</v>
      </c>
      <c r="H5061">
        <v>0.95948580000000006</v>
      </c>
      <c r="I5061">
        <v>17.324159999999999</v>
      </c>
      <c r="J5061">
        <v>-338.02460000000002</v>
      </c>
      <c r="K5061">
        <v>1.110033</v>
      </c>
      <c r="L5061">
        <v>17.422609999999999</v>
      </c>
      <c r="M5061">
        <v>0.99987230000000005</v>
      </c>
      <c r="N5061">
        <v>-1.397296E-2</v>
      </c>
      <c r="O5061">
        <v>-7.7729119999999999E-3</v>
      </c>
      <c r="P5061">
        <v>0.92260350000000002</v>
      </c>
      <c r="Q5061">
        <v>0.3855073</v>
      </c>
      <c r="R5061">
        <v>-1.367639E-2</v>
      </c>
      <c r="S5061">
        <v>3.4935909999999999</v>
      </c>
      <c r="T5061">
        <v>-0.59169839999999996</v>
      </c>
      <c r="U5061">
        <v>-0.3933411</v>
      </c>
      <c r="V5061">
        <v>7.3123650000000004E-3</v>
      </c>
      <c r="W5061">
        <v>0.39834839999999999</v>
      </c>
      <c r="X5061">
        <v>0.91720500000000005</v>
      </c>
      <c r="Y5061">
        <v>0.1026803</v>
      </c>
      <c r="Z5061">
        <v>-8.1369279999999999E-3</v>
      </c>
      <c r="AA5061">
        <v>0.99468109999999998</v>
      </c>
      <c r="AB5061">
        <v>36</v>
      </c>
      <c r="AC5061">
        <v>0.69460000000003597</v>
      </c>
      <c r="AD5061">
        <v>-0.15054719999999999</v>
      </c>
      <c r="AE5061">
        <v>-9.8449999999999704E-2</v>
      </c>
      <c r="AF5061">
        <v>8.8951157601594499E-2</v>
      </c>
      <c r="AG5061">
        <v>-0.15054719999999999</v>
      </c>
      <c r="AH5061">
        <v>0.66473281736063905</v>
      </c>
      <c r="AI5061">
        <v>102.65185244014801</v>
      </c>
      <c r="AJ5061">
        <v>82.378248378305003</v>
      </c>
      <c r="AK5061">
        <v>0.687347427683204</v>
      </c>
      <c r="AL5061">
        <v>66.525029620775101</v>
      </c>
      <c r="AM5061">
        <v>89.543222314978706</v>
      </c>
      <c r="AN5061">
        <v>0.99999996524472601</v>
      </c>
    </row>
    <row r="5062" spans="1:40" x14ac:dyDescent="0.25">
      <c r="A5062" t="str">
        <f>"20190304164511827"</f>
        <v>20190304164511827</v>
      </c>
      <c r="B5062" t="str">
        <f>"1551689111815370"</f>
        <v>1551689111815370</v>
      </c>
      <c r="C5062" t="s">
        <v>40</v>
      </c>
      <c r="D5062">
        <v>5.2831210000000004</v>
      </c>
      <c r="E5062">
        <v>0.56022299999999903</v>
      </c>
      <c r="F5062" t="s">
        <v>41</v>
      </c>
      <c r="G5062">
        <v>-337.31479999999999</v>
      </c>
      <c r="H5062">
        <v>0.99037750000000002</v>
      </c>
      <c r="I5062">
        <v>17.340920000000001</v>
      </c>
      <c r="J5062">
        <v>-337.80790000000002</v>
      </c>
      <c r="K5062">
        <v>1.1099559999999999</v>
      </c>
      <c r="L5062">
        <v>17.420259999999999</v>
      </c>
      <c r="M5062">
        <v>0.99986649999999999</v>
      </c>
      <c r="N5062">
        <v>-1.3972770000000001E-2</v>
      </c>
      <c r="O5062">
        <v>-8.4765689999999998E-3</v>
      </c>
      <c r="P5062">
        <v>0.92253779999999996</v>
      </c>
      <c r="Q5062">
        <v>0.38558550000000003</v>
      </c>
      <c r="R5062">
        <v>-1.5744020000000001E-2</v>
      </c>
      <c r="S5062">
        <v>3.4916689999999999</v>
      </c>
      <c r="T5062">
        <v>-0.58862109999999901</v>
      </c>
      <c r="U5062">
        <v>-0.401001</v>
      </c>
      <c r="V5062">
        <v>8.8078140000000006E-3</v>
      </c>
      <c r="W5062">
        <v>0.39842100000000003</v>
      </c>
      <c r="X5062">
        <v>0.91716030000000004</v>
      </c>
      <c r="Y5062">
        <v>0.1041942</v>
      </c>
      <c r="Z5062">
        <v>-8.1318799999999993E-3</v>
      </c>
      <c r="AA5062">
        <v>0.99452370000000001</v>
      </c>
      <c r="AB5062">
        <v>36</v>
      </c>
      <c r="AC5062">
        <v>0.49310000000002602</v>
      </c>
      <c r="AD5062">
        <v>-0.1195785</v>
      </c>
      <c r="AE5062">
        <v>-7.9339999999998398E-2</v>
      </c>
      <c r="AF5062">
        <v>7.1082233061220398E-2</v>
      </c>
      <c r="AG5062">
        <v>-0.1195785</v>
      </c>
      <c r="AH5062">
        <v>0.466985443582214</v>
      </c>
      <c r="AI5062">
        <v>104.205921009284</v>
      </c>
      <c r="AJ5062">
        <v>81.345152145593502</v>
      </c>
      <c r="AK5062">
        <v>0.48726492387293502</v>
      </c>
      <c r="AL5062">
        <v>66.520493979960193</v>
      </c>
      <c r="AM5062">
        <v>89.449785325315204</v>
      </c>
      <c r="AN5062">
        <v>0.99999994336227205</v>
      </c>
    </row>
    <row r="5063" spans="1:40" x14ac:dyDescent="0.25">
      <c r="A5063" t="str">
        <f>"20190304164511844"</f>
        <v>20190304164511844</v>
      </c>
      <c r="B5063" t="str">
        <f>"1551689111834890"</f>
        <v>1551689111834890</v>
      </c>
      <c r="C5063" t="s">
        <v>40</v>
      </c>
      <c r="D5063">
        <v>5.494497</v>
      </c>
      <c r="E5063">
        <v>0.56037250000000005</v>
      </c>
      <c r="F5063" t="s">
        <v>41</v>
      </c>
      <c r="G5063">
        <v>-337.00119999999998</v>
      </c>
      <c r="H5063">
        <v>0.97456600000000004</v>
      </c>
      <c r="I5063">
        <v>17.325520000000001</v>
      </c>
      <c r="J5063">
        <v>-337.52800000000002</v>
      </c>
      <c r="K5063">
        <v>1.1098539999999999</v>
      </c>
      <c r="L5063">
        <v>17.416989999999998</v>
      </c>
      <c r="M5063">
        <v>0.99985769999999996</v>
      </c>
      <c r="N5063">
        <v>-1.397267E-2</v>
      </c>
      <c r="O5063">
        <v>-9.4587639999999997E-3</v>
      </c>
      <c r="P5063">
        <v>0.9221184</v>
      </c>
      <c r="Q5063">
        <v>0.38638719999999999</v>
      </c>
      <c r="R5063">
        <v>-2.006761E-2</v>
      </c>
      <c r="S5063">
        <v>3.4896850000000001</v>
      </c>
      <c r="T5063">
        <v>-0.58561229999999997</v>
      </c>
      <c r="U5063">
        <v>-0.4091187</v>
      </c>
      <c r="V5063">
        <v>1.2333419999999999E-2</v>
      </c>
      <c r="W5063">
        <v>0.39920670000000003</v>
      </c>
      <c r="X5063">
        <v>0.91677799999999998</v>
      </c>
      <c r="Y5063">
        <v>0.105568</v>
      </c>
      <c r="Z5063">
        <v>-8.0726140000000005E-3</v>
      </c>
      <c r="AA5063">
        <v>0.99437929999999997</v>
      </c>
      <c r="AB5063">
        <v>36</v>
      </c>
      <c r="AC5063">
        <v>0.52680000000003702</v>
      </c>
      <c r="AD5063">
        <v>-0.13528799999999999</v>
      </c>
      <c r="AE5063">
        <v>-9.1469999999997498E-2</v>
      </c>
      <c r="AF5063">
        <v>8.1278929235103395E-2</v>
      </c>
      <c r="AG5063">
        <v>-0.13528799999999999</v>
      </c>
      <c r="AH5063">
        <v>0.49589374720905099</v>
      </c>
      <c r="AI5063">
        <v>105.068136552249</v>
      </c>
      <c r="AJ5063">
        <v>80.691761949045201</v>
      </c>
      <c r="AK5063">
        <v>0.52040341640177501</v>
      </c>
      <c r="AL5063">
        <v>66.471405219668696</v>
      </c>
      <c r="AM5063">
        <v>89.229246025993305</v>
      </c>
      <c r="AN5063">
        <v>1.0000000019288899</v>
      </c>
    </row>
    <row r="5064" spans="1:40" x14ac:dyDescent="0.25">
      <c r="A5064" t="str">
        <f>"20190304164511860"</f>
        <v>20190304164511860</v>
      </c>
      <c r="B5064" t="str">
        <f>"1551689111855386"</f>
        <v>1551689111855386</v>
      </c>
      <c r="C5064" t="s">
        <v>40</v>
      </c>
      <c r="D5064">
        <v>5.2511130000000001</v>
      </c>
      <c r="E5064">
        <v>0.56051700000000004</v>
      </c>
      <c r="F5064" t="s">
        <v>41</v>
      </c>
      <c r="G5064">
        <v>-336.6823</v>
      </c>
      <c r="H5064">
        <v>0.96980639999999996</v>
      </c>
      <c r="I5064">
        <v>17.313800000000001</v>
      </c>
      <c r="J5064">
        <v>-337.279</v>
      </c>
      <c r="K5064">
        <v>1.109761</v>
      </c>
      <c r="L5064">
        <v>17.413789999999999</v>
      </c>
      <c r="M5064">
        <v>0.99984819999999996</v>
      </c>
      <c r="N5064">
        <v>-1.397281E-2</v>
      </c>
      <c r="O5064">
        <v>-1.041243E-2</v>
      </c>
      <c r="P5064">
        <v>0.92195919999999998</v>
      </c>
      <c r="Q5064">
        <v>0.38660509999999998</v>
      </c>
      <c r="R5064">
        <v>-2.29818E-2</v>
      </c>
      <c r="S5064">
        <v>3.485992</v>
      </c>
      <c r="T5064">
        <v>-0.57719030000000004</v>
      </c>
      <c r="U5064">
        <v>-0.42477419999999999</v>
      </c>
      <c r="V5064">
        <v>1.446356E-2</v>
      </c>
      <c r="W5064">
        <v>0.39941480000000001</v>
      </c>
      <c r="X5064">
        <v>0.91665620000000003</v>
      </c>
      <c r="Y5064">
        <v>0.10914</v>
      </c>
      <c r="Z5064">
        <v>-8.1509479999999999E-3</v>
      </c>
      <c r="AA5064">
        <v>0.99399300000000002</v>
      </c>
      <c r="AB5064">
        <v>36</v>
      </c>
      <c r="AC5064">
        <v>0.59669999999999801</v>
      </c>
      <c r="AD5064">
        <v>-0.13995459999999901</v>
      </c>
      <c r="AE5064">
        <v>-9.9989999999998205E-2</v>
      </c>
      <c r="AF5064">
        <v>8.9008050869251704E-2</v>
      </c>
      <c r="AG5064">
        <v>-0.13995459999999901</v>
      </c>
      <c r="AH5064">
        <v>0.567349968153812</v>
      </c>
      <c r="AI5064">
        <v>103.696036491915</v>
      </c>
      <c r="AJ5064">
        <v>81.083892512667504</v>
      </c>
      <c r="AK5064">
        <v>0.59109703902560295</v>
      </c>
      <c r="AL5064">
        <v>66.458399677361996</v>
      </c>
      <c r="AM5064">
        <v>89.0960272972236</v>
      </c>
      <c r="AN5064">
        <v>0.99999998301267601</v>
      </c>
    </row>
    <row r="5065" spans="1:40" x14ac:dyDescent="0.25">
      <c r="A5065" t="str">
        <f>"20190304164511875"</f>
        <v>20190304164511875</v>
      </c>
      <c r="B5065" t="str">
        <f>"1551689111865146"</f>
        <v>1551689111865146</v>
      </c>
      <c r="C5065" t="s">
        <v>40</v>
      </c>
      <c r="D5065">
        <v>5.355785</v>
      </c>
      <c r="E5065">
        <v>0.56057559999999995</v>
      </c>
      <c r="F5065" t="s">
        <v>41</v>
      </c>
      <c r="G5065">
        <v>-336.36610000000002</v>
      </c>
      <c r="H5065">
        <v>0.96023210000000003</v>
      </c>
      <c r="I5065">
        <v>17.299250000000001</v>
      </c>
      <c r="J5065">
        <v>-337.02300000000002</v>
      </c>
      <c r="K5065">
        <v>1.109664</v>
      </c>
      <c r="L5065">
        <v>17.41019</v>
      </c>
      <c r="M5065">
        <v>0.99983679999999997</v>
      </c>
      <c r="N5065">
        <v>-1.397313E-2</v>
      </c>
      <c r="O5065">
        <v>-1.1465599999999999E-2</v>
      </c>
      <c r="P5065">
        <v>0.92189600000000005</v>
      </c>
      <c r="Q5065">
        <v>0.38645109999999999</v>
      </c>
      <c r="R5065">
        <v>-2.7638070000000001E-2</v>
      </c>
      <c r="S5065">
        <v>3.4821780000000002</v>
      </c>
      <c r="T5065">
        <v>-0.57024560000000002</v>
      </c>
      <c r="U5065">
        <v>-0.4362183</v>
      </c>
      <c r="V5065">
        <v>1.8244739999999999E-2</v>
      </c>
      <c r="W5065">
        <v>0.39924609999999999</v>
      </c>
      <c r="X5065">
        <v>0.91666230000000004</v>
      </c>
      <c r="Y5065">
        <v>0.1114508</v>
      </c>
      <c r="Z5065">
        <v>-8.118877E-3</v>
      </c>
      <c r="AA5065">
        <v>0.99373679999999998</v>
      </c>
      <c r="AB5065">
        <v>36</v>
      </c>
      <c r="AC5065">
        <v>0.65690000000000703</v>
      </c>
      <c r="AD5065">
        <v>-0.14943189999999901</v>
      </c>
      <c r="AE5065">
        <v>-0.110939999999999</v>
      </c>
      <c r="AF5065">
        <v>9.8447114001634098E-2</v>
      </c>
      <c r="AG5065">
        <v>-0.14943189999999901</v>
      </c>
      <c r="AH5065">
        <v>0.626603058479417</v>
      </c>
      <c r="AI5065">
        <v>103.256550334257</v>
      </c>
      <c r="AJ5065">
        <v>81.071112594797398</v>
      </c>
      <c r="AK5065">
        <v>0.65165414131164801</v>
      </c>
      <c r="AL5065">
        <v>66.468944130608193</v>
      </c>
      <c r="AM5065">
        <v>88.859767009003406</v>
      </c>
      <c r="AN5065">
        <v>1.0000000455720801</v>
      </c>
    </row>
    <row r="5066" spans="1:40" x14ac:dyDescent="0.25">
      <c r="A5066" t="str">
        <f>"20190304164511887"</f>
        <v>20190304164511887</v>
      </c>
      <c r="B5066" t="str">
        <f>"1551689111874906"</f>
        <v>1551689111874906</v>
      </c>
      <c r="C5066" t="s">
        <v>40</v>
      </c>
      <c r="D5066">
        <v>5.3286360000000004</v>
      </c>
      <c r="E5066">
        <v>0.56052829999999998</v>
      </c>
      <c r="F5066" t="s">
        <v>41</v>
      </c>
      <c r="G5066">
        <v>-336.04989999999998</v>
      </c>
      <c r="H5066">
        <v>0.95065449999999996</v>
      </c>
      <c r="I5066">
        <v>17.283339999999999</v>
      </c>
      <c r="J5066">
        <v>-336.83229999999998</v>
      </c>
      <c r="K5066">
        <v>1.1095950000000001</v>
      </c>
      <c r="L5066">
        <v>17.407229999999998</v>
      </c>
      <c r="M5066">
        <v>0.99982669999999996</v>
      </c>
      <c r="N5066">
        <v>-1.3973299999999999E-2</v>
      </c>
      <c r="O5066">
        <v>-1.231057E-2</v>
      </c>
      <c r="P5066">
        <v>0.92179659999999997</v>
      </c>
      <c r="Q5066">
        <v>0.38650119999999999</v>
      </c>
      <c r="R5066">
        <v>-3.0131809999999998E-2</v>
      </c>
      <c r="S5066">
        <v>3.4788209999999999</v>
      </c>
      <c r="T5066">
        <v>-0.56842159999999997</v>
      </c>
      <c r="U5066">
        <v>-0.45294190000000001</v>
      </c>
      <c r="V5066">
        <v>2.00299E-2</v>
      </c>
      <c r="W5066">
        <v>0.39928720000000001</v>
      </c>
      <c r="X5066">
        <v>0.91660710000000001</v>
      </c>
      <c r="Y5066">
        <v>0.1153894</v>
      </c>
      <c r="Z5066">
        <v>-8.3223859999999993E-3</v>
      </c>
      <c r="AA5066">
        <v>0.99328550000000004</v>
      </c>
      <c r="AB5066">
        <v>36</v>
      </c>
      <c r="AC5066">
        <v>0.78239999999999499</v>
      </c>
      <c r="AD5066">
        <v>-0.15894050000000001</v>
      </c>
      <c r="AE5066">
        <v>-0.123889999999999</v>
      </c>
      <c r="AF5066">
        <v>0.109826444296495</v>
      </c>
      <c r="AG5066">
        <v>-0.15894050000000001</v>
      </c>
      <c r="AH5066">
        <v>0.75353009246581704</v>
      </c>
      <c r="AI5066">
        <v>101.78966245587</v>
      </c>
      <c r="AJ5066">
        <v>81.707572496615498</v>
      </c>
      <c r="AK5066">
        <v>0.777902005819888</v>
      </c>
      <c r="AL5066">
        <v>66.466375038822903</v>
      </c>
      <c r="AM5066">
        <v>88.7481592552775</v>
      </c>
      <c r="AN5066">
        <v>1.0000000203741299</v>
      </c>
    </row>
    <row r="5067" spans="1:40" x14ac:dyDescent="0.25">
      <c r="A5067" t="str">
        <f>"20190304164511899"</f>
        <v>20190304164511899</v>
      </c>
      <c r="B5067" t="str">
        <f>"1551689111895402"</f>
        <v>1551689111895402</v>
      </c>
      <c r="C5067" t="s">
        <v>40</v>
      </c>
      <c r="D5067">
        <v>5.398847</v>
      </c>
      <c r="E5067">
        <v>0.56036660000000005</v>
      </c>
      <c r="F5067" t="s">
        <v>41</v>
      </c>
      <c r="G5067">
        <v>-336.03579999999999</v>
      </c>
      <c r="H5067">
        <v>0.97987259999999998</v>
      </c>
      <c r="I5067">
        <v>17.301259999999999</v>
      </c>
      <c r="J5067">
        <v>-336.65600000000001</v>
      </c>
      <c r="K5067">
        <v>1.109532</v>
      </c>
      <c r="L5067">
        <v>17.404389999999999</v>
      </c>
      <c r="M5067">
        <v>0.99981629999999999</v>
      </c>
      <c r="N5067">
        <v>-1.397346E-2</v>
      </c>
      <c r="O5067">
        <v>-1.311942E-2</v>
      </c>
      <c r="P5067">
        <v>0.92158209999999996</v>
      </c>
      <c r="Q5067">
        <v>0.38683299999999998</v>
      </c>
      <c r="R5067">
        <v>-3.235097E-2</v>
      </c>
      <c r="S5067">
        <v>3.476807</v>
      </c>
      <c r="T5067">
        <v>-0.56617320000000004</v>
      </c>
      <c r="U5067">
        <v>-0.4618835</v>
      </c>
      <c r="V5067">
        <v>2.1569709999999999E-2</v>
      </c>
      <c r="W5067">
        <v>0.39960899999999999</v>
      </c>
      <c r="X5067">
        <v>0.91643189999999997</v>
      </c>
      <c r="Y5067">
        <v>0.1171644</v>
      </c>
      <c r="Z5067">
        <v>-8.3332519999999993E-3</v>
      </c>
      <c r="AA5067">
        <v>0.9930776</v>
      </c>
      <c r="AB5067">
        <v>36</v>
      </c>
      <c r="AC5067">
        <v>0.62020000000001096</v>
      </c>
      <c r="AD5067">
        <v>-0.12965939999999901</v>
      </c>
      <c r="AE5067">
        <v>-0.10313</v>
      </c>
      <c r="AF5067">
        <v>9.1108775693101302E-2</v>
      </c>
      <c r="AG5067">
        <v>-0.12965939999999901</v>
      </c>
      <c r="AH5067">
        <v>0.596145475185478</v>
      </c>
      <c r="AI5067">
        <v>102.13387275437</v>
      </c>
      <c r="AJ5067">
        <v>81.3107344676</v>
      </c>
      <c r="AK5067">
        <v>0.61684827680781795</v>
      </c>
      <c r="AL5067">
        <v>66.446262949496003</v>
      </c>
      <c r="AM5067">
        <v>88.651699908580895</v>
      </c>
      <c r="AN5067">
        <v>1.0000000163040399</v>
      </c>
    </row>
    <row r="5068" spans="1:40" x14ac:dyDescent="0.25">
      <c r="A5068" t="str">
        <f>"20190304164511910"</f>
        <v>20190304164511910</v>
      </c>
      <c r="B5068" t="str">
        <f>"1551689111905162"</f>
        <v>1551689111905162</v>
      </c>
      <c r="C5068" t="s">
        <v>40</v>
      </c>
      <c r="D5068">
        <v>5.2981999999999996</v>
      </c>
      <c r="E5068">
        <v>0.56031509999999995</v>
      </c>
      <c r="F5068" t="s">
        <v>41</v>
      </c>
      <c r="G5068">
        <v>-335.72550000000001</v>
      </c>
      <c r="H5068">
        <v>0.95884800000000003</v>
      </c>
      <c r="I5068">
        <v>17.278369999999999</v>
      </c>
      <c r="J5068">
        <v>-336.46980000000002</v>
      </c>
      <c r="K5068">
        <v>1.1094710000000001</v>
      </c>
      <c r="L5068">
        <v>17.40118</v>
      </c>
      <c r="M5068">
        <v>0.99980440000000004</v>
      </c>
      <c r="N5068">
        <v>-1.3973660000000001E-2</v>
      </c>
      <c r="O5068">
        <v>-1.400853E-2</v>
      </c>
      <c r="P5068">
        <v>0.92134340000000003</v>
      </c>
      <c r="Q5068">
        <v>0.38719170000000003</v>
      </c>
      <c r="R5068">
        <v>-3.4774369999999999E-2</v>
      </c>
      <c r="S5068">
        <v>3.4749150000000002</v>
      </c>
      <c r="T5068">
        <v>-0.56251960000000001</v>
      </c>
      <c r="U5068">
        <v>-0.4695435</v>
      </c>
      <c r="V5068">
        <v>2.3241789999999998E-2</v>
      </c>
      <c r="W5068">
        <v>0.39995649999999999</v>
      </c>
      <c r="X5068">
        <v>0.91623940000000004</v>
      </c>
      <c r="Y5068">
        <v>0.1185104</v>
      </c>
      <c r="Z5068">
        <v>-8.2767759999999996E-3</v>
      </c>
      <c r="AA5068">
        <v>0.99291830000000003</v>
      </c>
      <c r="AB5068">
        <v>36</v>
      </c>
      <c r="AC5068">
        <v>0.74430000000000895</v>
      </c>
      <c r="AD5068">
        <v>-0.15062299999999901</v>
      </c>
      <c r="AE5068">
        <v>-0.122809999999997</v>
      </c>
      <c r="AF5068">
        <v>0.108062193721046</v>
      </c>
      <c r="AG5068">
        <v>-0.15062299999999901</v>
      </c>
      <c r="AH5068">
        <v>0.71734849284731395</v>
      </c>
      <c r="AI5068">
        <v>101.729620019238</v>
      </c>
      <c r="AJ5068">
        <v>81.433311578150594</v>
      </c>
      <c r="AK5068">
        <v>0.74091402067386902</v>
      </c>
      <c r="AL5068">
        <v>66.424541148447403</v>
      </c>
      <c r="AM5068">
        <v>88.546918018137205</v>
      </c>
      <c r="AN5068">
        <v>1.0000000104035001</v>
      </c>
    </row>
    <row r="5069" spans="1:40" x14ac:dyDescent="0.25">
      <c r="A5069" t="str">
        <f>"20190304164511921"</f>
        <v>20190304164511921</v>
      </c>
      <c r="B5069" t="str">
        <f>"1551689111914985"</f>
        <v>1551689111914985</v>
      </c>
      <c r="C5069" t="s">
        <v>40</v>
      </c>
      <c r="D5069">
        <v>5.3180529999999999</v>
      </c>
      <c r="E5069">
        <v>0.56026049999999905</v>
      </c>
      <c r="F5069" t="s">
        <v>41</v>
      </c>
      <c r="G5069">
        <v>-335.71159999999998</v>
      </c>
      <c r="H5069">
        <v>0.98726610000000004</v>
      </c>
      <c r="I5069">
        <v>17.296500000000002</v>
      </c>
      <c r="J5069">
        <v>-336.28280000000001</v>
      </c>
      <c r="K5069">
        <v>1.1094090000000001</v>
      </c>
      <c r="L5069">
        <v>17.397739999999999</v>
      </c>
      <c r="M5069">
        <v>0.99979070000000003</v>
      </c>
      <c r="N5069">
        <v>-1.3973910000000001E-2</v>
      </c>
      <c r="O5069">
        <v>-1.494795E-2</v>
      </c>
      <c r="P5069">
        <v>0.92122369999999998</v>
      </c>
      <c r="Q5069">
        <v>0.38725229999999999</v>
      </c>
      <c r="R5069">
        <v>-3.7186499999999997E-2</v>
      </c>
      <c r="S5069">
        <v>3.4732059999999998</v>
      </c>
      <c r="T5069">
        <v>-0.55960919999999903</v>
      </c>
      <c r="U5069">
        <v>-0.47821039999999998</v>
      </c>
      <c r="V5069">
        <v>2.4853710000000001E-2</v>
      </c>
      <c r="W5069">
        <v>0.4000071</v>
      </c>
      <c r="X5069">
        <v>0.91617490000000001</v>
      </c>
      <c r="Y5069">
        <v>0.1200769</v>
      </c>
      <c r="Z5069">
        <v>-8.2414059999999997E-3</v>
      </c>
      <c r="AA5069">
        <v>0.99273040000000001</v>
      </c>
      <c r="AB5069">
        <v>36</v>
      </c>
      <c r="AC5069">
        <v>0.57120000000003202</v>
      </c>
      <c r="AD5069">
        <v>-0.1221429</v>
      </c>
      <c r="AE5069">
        <v>-0.101239999999997</v>
      </c>
      <c r="AF5069">
        <v>8.87548190982205E-2</v>
      </c>
      <c r="AG5069">
        <v>-0.1221429</v>
      </c>
      <c r="AH5069">
        <v>0.548340098434694</v>
      </c>
      <c r="AI5069">
        <v>102.401322672308</v>
      </c>
      <c r="AJ5069">
        <v>80.805793312775805</v>
      </c>
      <c r="AK5069">
        <v>0.56874701712179399</v>
      </c>
      <c r="AL5069">
        <v>66.421375594551094</v>
      </c>
      <c r="AM5069">
        <v>88.446078880177495</v>
      </c>
      <c r="AN5069">
        <v>0.999999917170588</v>
      </c>
    </row>
    <row r="5070" spans="1:40" x14ac:dyDescent="0.25">
      <c r="A5070" t="str">
        <f>"20190304164511933"</f>
        <v>20190304164511933</v>
      </c>
      <c r="B5070" t="str">
        <f>"1551689111925660"</f>
        <v>1551689111925660</v>
      </c>
      <c r="C5070" t="s">
        <v>40</v>
      </c>
      <c r="D5070">
        <v>5.3124739999999999</v>
      </c>
      <c r="E5070">
        <v>0.56019890000000006</v>
      </c>
      <c r="F5070" t="s">
        <v>41</v>
      </c>
      <c r="G5070">
        <v>-335.40109999999999</v>
      </c>
      <c r="H5070">
        <v>0.96769139999999998</v>
      </c>
      <c r="I5070">
        <v>17.273979999999899</v>
      </c>
      <c r="J5070">
        <v>-336.09969999999998</v>
      </c>
      <c r="K5070">
        <v>1.109348</v>
      </c>
      <c r="L5070">
        <v>17.39423</v>
      </c>
      <c r="M5070">
        <v>0.9997762</v>
      </c>
      <c r="N5070">
        <v>-1.397409E-2</v>
      </c>
      <c r="O5070">
        <v>-1.5887350000000001E-2</v>
      </c>
      <c r="P5070">
        <v>0.92095070000000001</v>
      </c>
      <c r="Q5070">
        <v>0.38766499999999998</v>
      </c>
      <c r="R5070">
        <v>-3.9576010000000002E-2</v>
      </c>
      <c r="S5070">
        <v>3.4714049999999999</v>
      </c>
      <c r="T5070">
        <v>-0.55788209999999905</v>
      </c>
      <c r="U5070">
        <v>-0.48687740000000002</v>
      </c>
      <c r="V5070">
        <v>2.644496E-2</v>
      </c>
      <c r="W5070">
        <v>0.40040740000000002</v>
      </c>
      <c r="X5070">
        <v>0.91595550000000003</v>
      </c>
      <c r="Y5070">
        <v>0.1216415</v>
      </c>
      <c r="Z5070">
        <v>-8.2212320000000002E-3</v>
      </c>
      <c r="AA5070">
        <v>0.99254010000000004</v>
      </c>
      <c r="AB5070">
        <v>36</v>
      </c>
      <c r="AC5070">
        <v>0.698599999999999</v>
      </c>
      <c r="AD5070">
        <v>-0.14165659999999899</v>
      </c>
      <c r="AE5070">
        <v>-0.12025000000000199</v>
      </c>
      <c r="AF5070">
        <v>0.10494406549315401</v>
      </c>
      <c r="AG5070">
        <v>-0.14165659999999899</v>
      </c>
      <c r="AH5070">
        <v>0.67352628623009303</v>
      </c>
      <c r="AI5070">
        <v>101.73973168715401</v>
      </c>
      <c r="AJ5070">
        <v>81.1437911367819</v>
      </c>
      <c r="AK5070">
        <v>0.69621656648538099</v>
      </c>
      <c r="AL5070">
        <v>66.396349258599102</v>
      </c>
      <c r="AM5070">
        <v>88.346247379347304</v>
      </c>
      <c r="AN5070">
        <v>0.99999994993220398</v>
      </c>
    </row>
    <row r="5071" spans="1:40" x14ac:dyDescent="0.25">
      <c r="A5071" t="str">
        <f>"20190304164511944"</f>
        <v>20190304164511944</v>
      </c>
      <c r="B5071" t="str">
        <f>"1551689111935418"</f>
        <v>1551689111935418</v>
      </c>
      <c r="C5071" t="s">
        <v>40</v>
      </c>
      <c r="D5071">
        <v>5.3228019999999896</v>
      </c>
      <c r="E5071">
        <v>0.5601389</v>
      </c>
      <c r="F5071" t="s">
        <v>41</v>
      </c>
      <c r="G5071">
        <v>-335.38749999999999</v>
      </c>
      <c r="H5071">
        <v>0.99536009999999997</v>
      </c>
      <c r="I5071">
        <v>17.292539999999999</v>
      </c>
      <c r="J5071">
        <v>-335.92140000000001</v>
      </c>
      <c r="K5071">
        <v>1.1092919999999999</v>
      </c>
      <c r="L5071">
        <v>17.390470000000001</v>
      </c>
      <c r="M5071">
        <v>0.99976030000000005</v>
      </c>
      <c r="N5071">
        <v>-1.3974520000000001E-2</v>
      </c>
      <c r="O5071">
        <v>-1.6862019999999998E-2</v>
      </c>
      <c r="P5071">
        <v>0.92084560000000004</v>
      </c>
      <c r="Q5071">
        <v>0.38767740000000001</v>
      </c>
      <c r="R5071">
        <v>-4.1832920000000003E-2</v>
      </c>
      <c r="S5071">
        <v>3.4700009999999999</v>
      </c>
      <c r="T5071">
        <v>-0.5552859</v>
      </c>
      <c r="U5071">
        <v>-0.49502560000000001</v>
      </c>
      <c r="V5071">
        <v>2.7866479999999999E-2</v>
      </c>
      <c r="W5071">
        <v>0.40040959999999998</v>
      </c>
      <c r="X5071">
        <v>0.91591239999999996</v>
      </c>
      <c r="Y5071">
        <v>0.123018</v>
      </c>
      <c r="Z5071">
        <v>-8.1682000000000005E-3</v>
      </c>
      <c r="AA5071">
        <v>0.9923708</v>
      </c>
      <c r="AB5071">
        <v>36</v>
      </c>
      <c r="AC5071">
        <v>0.53390000000001603</v>
      </c>
      <c r="AD5071">
        <v>-0.113931899999999</v>
      </c>
      <c r="AE5071">
        <v>-9.7930000000001599E-2</v>
      </c>
      <c r="AF5071">
        <v>8.5160767172288099E-2</v>
      </c>
      <c r="AG5071">
        <v>-0.113931899999999</v>
      </c>
      <c r="AH5071">
        <v>0.51288035818548094</v>
      </c>
      <c r="AI5071">
        <v>102.360459292462</v>
      </c>
      <c r="AJ5071">
        <v>80.572386614948996</v>
      </c>
      <c r="AK5071">
        <v>0.532239697801141</v>
      </c>
      <c r="AL5071">
        <v>66.396211863062803</v>
      </c>
      <c r="AM5071">
        <v>88.2573231721844</v>
      </c>
      <c r="AN5071">
        <v>0.99999995647675399</v>
      </c>
    </row>
    <row r="5072" spans="1:40" x14ac:dyDescent="0.25">
      <c r="A5072" t="str">
        <f>"20190304164511955"</f>
        <v>20190304164511955</v>
      </c>
      <c r="B5072" t="str">
        <f>"1551689111945179"</f>
        <v>1551689111945179</v>
      </c>
      <c r="C5072" t="s">
        <v>40</v>
      </c>
      <c r="D5072">
        <v>5.3005339999999999</v>
      </c>
      <c r="E5072">
        <v>0.56006519999999904</v>
      </c>
      <c r="F5072" t="s">
        <v>41</v>
      </c>
      <c r="G5072">
        <v>-335.07769999999999</v>
      </c>
      <c r="H5072">
        <v>0.97448210000000002</v>
      </c>
      <c r="I5072">
        <v>17.267889999999898</v>
      </c>
      <c r="J5072">
        <v>-335.74549999999999</v>
      </c>
      <c r="K5072">
        <v>1.1092310000000001</v>
      </c>
      <c r="L5072">
        <v>17.386749999999999</v>
      </c>
      <c r="M5072">
        <v>0.99974320000000005</v>
      </c>
      <c r="N5072">
        <v>-1.397488E-2</v>
      </c>
      <c r="O5072">
        <v>-1.7835380000000001E-2</v>
      </c>
      <c r="P5072">
        <v>0.92060059999999999</v>
      </c>
      <c r="Q5072">
        <v>0.38803979999999999</v>
      </c>
      <c r="R5072">
        <v>-4.3814909999999999E-2</v>
      </c>
      <c r="S5072">
        <v>3.4682309999999998</v>
      </c>
      <c r="T5072">
        <v>-0.55401750000000005</v>
      </c>
      <c r="U5072">
        <v>-0.50286869999999995</v>
      </c>
      <c r="V5072">
        <v>2.901778E-2</v>
      </c>
      <c r="W5072">
        <v>0.4007617</v>
      </c>
      <c r="X5072">
        <v>0.9157227</v>
      </c>
      <c r="Y5072">
        <v>0.12431929999999999</v>
      </c>
      <c r="Z5072">
        <v>-8.1266159999999997E-3</v>
      </c>
      <c r="AA5072">
        <v>0.99220900000000001</v>
      </c>
      <c r="AB5072">
        <v>36</v>
      </c>
      <c r="AC5072">
        <v>0.66779999999999895</v>
      </c>
      <c r="AD5072">
        <v>-0.13474889999999901</v>
      </c>
      <c r="AE5072">
        <v>-0.11886000000000101</v>
      </c>
      <c r="AF5072">
        <v>0.10286969993800001</v>
      </c>
      <c r="AG5072">
        <v>-0.13474889999999901</v>
      </c>
      <c r="AH5072">
        <v>0.644383250800317</v>
      </c>
      <c r="AI5072">
        <v>101.667481413305</v>
      </c>
      <c r="AJ5072">
        <v>80.929804809315499</v>
      </c>
      <c r="AK5072">
        <v>0.66631014935128297</v>
      </c>
      <c r="AL5072">
        <v>66.374195777604697</v>
      </c>
      <c r="AM5072">
        <v>88.184996223352996</v>
      </c>
      <c r="AN5072">
        <v>1.0000000175191499</v>
      </c>
    </row>
    <row r="5073" spans="1:40" x14ac:dyDescent="0.25">
      <c r="A5073" t="str">
        <f>"20190304164511966"</f>
        <v>20190304164511966</v>
      </c>
      <c r="B5073" t="str">
        <f>"1551689111954939"</f>
        <v>1551689111954939</v>
      </c>
      <c r="C5073" t="s">
        <v>40</v>
      </c>
      <c r="D5073">
        <v>5.3867849999999997</v>
      </c>
      <c r="E5073">
        <v>0.55997889999999995</v>
      </c>
      <c r="F5073" t="s">
        <v>41</v>
      </c>
      <c r="G5073">
        <v>-334.7679</v>
      </c>
      <c r="H5073">
        <v>0.95369159999999997</v>
      </c>
      <c r="I5073">
        <v>17.243029999999901</v>
      </c>
      <c r="J5073">
        <v>-335.56549999999999</v>
      </c>
      <c r="K5073">
        <v>1.1091679999999999</v>
      </c>
      <c r="L5073">
        <v>17.3826</v>
      </c>
      <c r="M5073">
        <v>0.9997239</v>
      </c>
      <c r="N5073">
        <v>-1.397547E-2</v>
      </c>
      <c r="O5073">
        <v>-1.888428E-2</v>
      </c>
      <c r="P5073">
        <v>0.92044570000000003</v>
      </c>
      <c r="Q5073">
        <v>0.38818439999999999</v>
      </c>
      <c r="R5073">
        <v>-4.5743730000000003E-2</v>
      </c>
      <c r="S5073">
        <v>3.467041</v>
      </c>
      <c r="T5073">
        <v>-0.55161510000000002</v>
      </c>
      <c r="U5073">
        <v>-0.50964359999999997</v>
      </c>
      <c r="V5073">
        <v>3.0047190000000001E-2</v>
      </c>
      <c r="W5073">
        <v>0.40089669999999999</v>
      </c>
      <c r="X5073">
        <v>0.91563039999999996</v>
      </c>
      <c r="Y5073">
        <v>0.1252354</v>
      </c>
      <c r="Z5073">
        <v>-8.0263109999999995E-3</v>
      </c>
      <c r="AA5073">
        <v>0.99209460000000005</v>
      </c>
      <c r="AB5073">
        <v>36</v>
      </c>
      <c r="AC5073">
        <v>0.79759999999998799</v>
      </c>
      <c r="AD5073">
        <v>-0.15547639999999899</v>
      </c>
      <c r="AE5073">
        <v>-0.139570000000002</v>
      </c>
      <c r="AF5073">
        <v>0.12005523131585601</v>
      </c>
      <c r="AG5073">
        <v>-0.15547639999999899</v>
      </c>
      <c r="AH5073">
        <v>0.77164403341934495</v>
      </c>
      <c r="AI5073">
        <v>101.25989875560001</v>
      </c>
      <c r="AJ5073">
        <v>81.1566111669554</v>
      </c>
      <c r="AK5073">
        <v>0.79625415781328202</v>
      </c>
      <c r="AL5073">
        <v>66.365752839661297</v>
      </c>
      <c r="AM5073">
        <v>88.120464769563</v>
      </c>
      <c r="AN5073">
        <v>1.0000000135509699</v>
      </c>
    </row>
    <row r="5074" spans="1:40" x14ac:dyDescent="0.25">
      <c r="A5074" t="str">
        <f>"20190304164511980"</f>
        <v>20190304164511980</v>
      </c>
      <c r="B5074" t="str">
        <f>"1551689111975435"</f>
        <v>1551689111975435</v>
      </c>
      <c r="C5074" t="s">
        <v>40</v>
      </c>
      <c r="D5074">
        <v>5.3254659999999996</v>
      </c>
      <c r="E5074">
        <v>0.55982829999999995</v>
      </c>
      <c r="F5074" t="s">
        <v>41</v>
      </c>
      <c r="G5074">
        <v>-334.755</v>
      </c>
      <c r="H5074">
        <v>0.98051259999999996</v>
      </c>
      <c r="I5074">
        <v>17.26192</v>
      </c>
      <c r="J5074">
        <v>-335.36849999999998</v>
      </c>
      <c r="K5074">
        <v>1.109091</v>
      </c>
      <c r="L5074">
        <v>17.377870000000001</v>
      </c>
      <c r="M5074">
        <v>0.99970110000000001</v>
      </c>
      <c r="N5074">
        <v>-1.3976209999999999E-2</v>
      </c>
      <c r="O5074">
        <v>-2.0058610000000001E-2</v>
      </c>
      <c r="P5074">
        <v>0.92020930000000001</v>
      </c>
      <c r="Q5074">
        <v>0.38851659999999999</v>
      </c>
      <c r="R5074">
        <v>-4.7640790000000002E-2</v>
      </c>
      <c r="S5074">
        <v>3.4656370000000001</v>
      </c>
      <c r="T5074">
        <v>-0.55013330000000005</v>
      </c>
      <c r="U5074">
        <v>-0.51593020000000001</v>
      </c>
      <c r="V5074">
        <v>3.0937309999999999E-2</v>
      </c>
      <c r="W5074">
        <v>0.40121820000000002</v>
      </c>
      <c r="X5074">
        <v>0.91545989999999999</v>
      </c>
      <c r="Y5074">
        <v>0.12589900000000001</v>
      </c>
      <c r="Z5074">
        <v>-7.8989260000000006E-3</v>
      </c>
      <c r="AA5074">
        <v>0.99201159999999999</v>
      </c>
      <c r="AB5074">
        <v>36</v>
      </c>
      <c r="AC5074">
        <v>0.61349999999998694</v>
      </c>
      <c r="AD5074">
        <v>-0.12857839999999901</v>
      </c>
      <c r="AE5074">
        <v>-0.115950000000001</v>
      </c>
      <c r="AF5074">
        <v>9.9403827732738398E-2</v>
      </c>
      <c r="AG5074">
        <v>-0.12857839999999901</v>
      </c>
      <c r="AH5074">
        <v>0.59065318211363105</v>
      </c>
      <c r="AI5074">
        <v>102.115788109864</v>
      </c>
      <c r="AJ5074">
        <v>80.446940841404498</v>
      </c>
      <c r="AK5074">
        <v>0.61260485425389699</v>
      </c>
      <c r="AL5074">
        <v>66.345643713667698</v>
      </c>
      <c r="AM5074">
        <v>88.064466874186806</v>
      </c>
      <c r="AN5074">
        <v>0.99999999483464297</v>
      </c>
    </row>
    <row r="5075" spans="1:40" x14ac:dyDescent="0.25">
      <c r="A5075" t="str">
        <f>"20190304164511992"</f>
        <v>20190304164511992</v>
      </c>
      <c r="B5075" t="str">
        <f>"1551689111985194"</f>
        <v>1551689111985194</v>
      </c>
      <c r="C5075" t="s">
        <v>40</v>
      </c>
      <c r="D5075">
        <v>5.3174140000000003</v>
      </c>
      <c r="E5075">
        <v>0.55976719999999902</v>
      </c>
      <c r="F5075" t="s">
        <v>41</v>
      </c>
      <c r="G5075">
        <v>-334.44389999999999</v>
      </c>
      <c r="H5075">
        <v>0.96312580000000003</v>
      </c>
      <c r="I5075">
        <v>17.238229999999898</v>
      </c>
      <c r="J5075">
        <v>-335.1635</v>
      </c>
      <c r="K5075">
        <v>1.1090169999999999</v>
      </c>
      <c r="L5075">
        <v>17.372710000000001</v>
      </c>
      <c r="M5075">
        <v>0.99967510000000004</v>
      </c>
      <c r="N5075">
        <v>-1.3977109999999999E-2</v>
      </c>
      <c r="O5075">
        <v>-2.1316559999999998E-2</v>
      </c>
      <c r="P5075">
        <v>0.92003270000000004</v>
      </c>
      <c r="Q5075">
        <v>0.38869429999999999</v>
      </c>
      <c r="R5075">
        <v>-4.9563299999999998E-2</v>
      </c>
      <c r="S5075">
        <v>3.463867</v>
      </c>
      <c r="T5075">
        <v>-0.54670640000000004</v>
      </c>
      <c r="U5075">
        <v>-0.52255249999999998</v>
      </c>
      <c r="V5075">
        <v>3.1776579999999999E-2</v>
      </c>
      <c r="W5075">
        <v>0.40138679999999999</v>
      </c>
      <c r="X5075">
        <v>0.91535719999999998</v>
      </c>
      <c r="Y5075">
        <v>0.1265993</v>
      </c>
      <c r="Z5075">
        <v>-7.7409779999999999E-3</v>
      </c>
      <c r="AA5075">
        <v>0.99192369999999996</v>
      </c>
      <c r="AB5075">
        <v>36</v>
      </c>
      <c r="AC5075">
        <v>0.71960000000001401</v>
      </c>
      <c r="AD5075">
        <v>-0.145891199999999</v>
      </c>
      <c r="AE5075">
        <v>-0.13448000000000301</v>
      </c>
      <c r="AF5075">
        <v>0.114558711595302</v>
      </c>
      <c r="AG5075">
        <v>-0.145891199999999</v>
      </c>
      <c r="AH5075">
        <v>0.69471210042161702</v>
      </c>
      <c r="AI5075">
        <v>101.70626611361899</v>
      </c>
      <c r="AJ5075">
        <v>80.636137619038607</v>
      </c>
      <c r="AK5075">
        <v>0.71904995870386601</v>
      </c>
      <c r="AL5075">
        <v>66.335096259004501</v>
      </c>
      <c r="AM5075">
        <v>88.011778273901797</v>
      </c>
      <c r="AN5075">
        <v>0.99999995892128701</v>
      </c>
    </row>
    <row r="5076" spans="1:40" x14ac:dyDescent="0.25">
      <c r="A5076" t="str">
        <f>"20190304164512002"</f>
        <v>20190304164512002</v>
      </c>
      <c r="B5076" t="str">
        <f>"1551689111994954"</f>
        <v>1551689111994954</v>
      </c>
      <c r="C5076" t="s">
        <v>40</v>
      </c>
      <c r="D5076">
        <v>5.2628729999999999</v>
      </c>
      <c r="E5076">
        <v>0.55972339999999998</v>
      </c>
      <c r="F5076" t="s">
        <v>41</v>
      </c>
      <c r="G5076">
        <v>-334.42899999999997</v>
      </c>
      <c r="H5076">
        <v>0.99345640000000002</v>
      </c>
      <c r="I5076">
        <v>17.26005</v>
      </c>
      <c r="J5076">
        <v>-334.98399999999998</v>
      </c>
      <c r="K5076">
        <v>1.108954</v>
      </c>
      <c r="L5076">
        <v>17.36786</v>
      </c>
      <c r="M5076">
        <v>0.99964989999999998</v>
      </c>
      <c r="N5076">
        <v>-1.397792E-2</v>
      </c>
      <c r="O5076">
        <v>-2.246536E-2</v>
      </c>
      <c r="P5076">
        <v>0.91995870000000002</v>
      </c>
      <c r="Q5076">
        <v>0.3886501</v>
      </c>
      <c r="R5076">
        <v>-5.1257249999999997E-2</v>
      </c>
      <c r="S5076">
        <v>3.4622799999999998</v>
      </c>
      <c r="T5076">
        <v>-0.54464539999999995</v>
      </c>
      <c r="U5076">
        <v>-0.53036499999999998</v>
      </c>
      <c r="V5076">
        <v>3.2475230000000001E-2</v>
      </c>
      <c r="W5076">
        <v>0.40133479999999999</v>
      </c>
      <c r="X5076">
        <v>0.91535549999999999</v>
      </c>
      <c r="Y5076">
        <v>0.12772049999999999</v>
      </c>
      <c r="Z5076">
        <v>-7.6511569999999996E-3</v>
      </c>
      <c r="AA5076">
        <v>0.99178069999999896</v>
      </c>
      <c r="AB5076">
        <v>36</v>
      </c>
      <c r="AC5076">
        <v>0.55500000000000604</v>
      </c>
      <c r="AD5076">
        <v>-0.11549759999999901</v>
      </c>
      <c r="AE5076">
        <v>-0.10781</v>
      </c>
      <c r="AF5076">
        <v>9.1494982530091598E-2</v>
      </c>
      <c r="AG5076">
        <v>-0.11549759999999901</v>
      </c>
      <c r="AH5076">
        <v>0.53495705855327103</v>
      </c>
      <c r="AI5076">
        <v>102.01392287441899</v>
      </c>
      <c r="AJ5076">
        <v>80.294474564026501</v>
      </c>
      <c r="AK5076">
        <v>0.55487843887639898</v>
      </c>
      <c r="AL5076">
        <v>66.338349591265199</v>
      </c>
      <c r="AM5076">
        <v>87.968097075940406</v>
      </c>
      <c r="AN5076">
        <v>0.99999997681742103</v>
      </c>
    </row>
    <row r="5077" spans="1:40" x14ac:dyDescent="0.25">
      <c r="A5077" t="str">
        <f>"20190304164512014"</f>
        <v>20190304164512014</v>
      </c>
      <c r="B5077" t="str">
        <f>"1551689112005691"</f>
        <v>1551689112005691</v>
      </c>
      <c r="C5077" t="s">
        <v>40</v>
      </c>
      <c r="D5077">
        <v>5.2676699999999999</v>
      </c>
      <c r="E5077">
        <v>0.55968450000000003</v>
      </c>
      <c r="F5077" t="s">
        <v>41</v>
      </c>
      <c r="G5077">
        <v>-334.11989999999997</v>
      </c>
      <c r="H5077">
        <v>0.9731476</v>
      </c>
      <c r="I5077">
        <v>17.233519999999999</v>
      </c>
      <c r="J5077">
        <v>-334.80450000000002</v>
      </c>
      <c r="K5077">
        <v>1.1088880000000001</v>
      </c>
      <c r="L5077">
        <v>17.362850000000002</v>
      </c>
      <c r="M5077">
        <v>0.99962309999999999</v>
      </c>
      <c r="N5077">
        <v>-1.3978630000000001E-2</v>
      </c>
      <c r="O5077">
        <v>-2.3627990000000001E-2</v>
      </c>
      <c r="P5077">
        <v>0.91975899999999999</v>
      </c>
      <c r="Q5077">
        <v>0.38884879999999999</v>
      </c>
      <c r="R5077">
        <v>-5.3291480000000002E-2</v>
      </c>
      <c r="S5077">
        <v>3.4608150000000002</v>
      </c>
      <c r="T5077">
        <v>-0.54370819999999997</v>
      </c>
      <c r="U5077">
        <v>-0.53707890000000003</v>
      </c>
      <c r="V5077">
        <v>3.3505350000000003E-2</v>
      </c>
      <c r="W5077">
        <v>0.40152260000000001</v>
      </c>
      <c r="X5077">
        <v>0.9152361</v>
      </c>
      <c r="Y5077">
        <v>0.12851460000000001</v>
      </c>
      <c r="Z5077">
        <v>-7.5451499999999996E-3</v>
      </c>
      <c r="AA5077">
        <v>0.99167890000000003</v>
      </c>
      <c r="AB5077">
        <v>36</v>
      </c>
      <c r="AC5077">
        <v>0.68460000000004495</v>
      </c>
      <c r="AD5077">
        <v>-0.13574039999999901</v>
      </c>
      <c r="AE5077">
        <v>-0.129329999999999</v>
      </c>
      <c r="AF5077">
        <v>0.108979813185067</v>
      </c>
      <c r="AG5077">
        <v>-0.13574039999999901</v>
      </c>
      <c r="AH5077">
        <v>0.66232375662700604</v>
      </c>
      <c r="AI5077">
        <v>101.43253904503101</v>
      </c>
      <c r="AJ5077">
        <v>80.656184858334399</v>
      </c>
      <c r="AK5077">
        <v>0.68481735847342695</v>
      </c>
      <c r="AL5077">
        <v>66.326603456816201</v>
      </c>
      <c r="AM5077">
        <v>87.903428143558202</v>
      </c>
      <c r="AN5077">
        <v>1.0000000627662899</v>
      </c>
    </row>
    <row r="5078" spans="1:40" x14ac:dyDescent="0.25">
      <c r="A5078" t="str">
        <f>"20190304164512026"</f>
        <v>20190304164512026</v>
      </c>
      <c r="B5078" t="str">
        <f>"1551689112015451"</f>
        <v>1551689112015451</v>
      </c>
      <c r="C5078" t="s">
        <v>40</v>
      </c>
      <c r="D5078">
        <v>5.2741689999999997</v>
      </c>
      <c r="E5078">
        <v>0.55963169999999995</v>
      </c>
      <c r="F5078" t="s">
        <v>41</v>
      </c>
      <c r="G5078">
        <v>-333.81060000000002</v>
      </c>
      <c r="H5078">
        <v>0.95312580000000002</v>
      </c>
      <c r="I5078">
        <v>17.205870000000001</v>
      </c>
      <c r="J5078">
        <v>-334.61649999999997</v>
      </c>
      <c r="K5078">
        <v>1.1088209999999901</v>
      </c>
      <c r="L5078">
        <v>17.357240000000001</v>
      </c>
      <c r="M5078">
        <v>0.99959209999999998</v>
      </c>
      <c r="N5078">
        <v>-1.397964E-2</v>
      </c>
      <c r="O5078">
        <v>-2.4905989999999999E-2</v>
      </c>
      <c r="P5078">
        <v>0.91971740000000002</v>
      </c>
      <c r="Q5078">
        <v>0.38867740000000001</v>
      </c>
      <c r="R5078">
        <v>-5.5227350000000001E-2</v>
      </c>
      <c r="S5078">
        <v>3.4592290000000001</v>
      </c>
      <c r="T5078">
        <v>-0.54180879999999998</v>
      </c>
      <c r="U5078">
        <v>-0.54458619999999902</v>
      </c>
      <c r="V5078">
        <v>3.4329230000000002E-2</v>
      </c>
      <c r="W5078">
        <v>0.40134360000000002</v>
      </c>
      <c r="X5078">
        <v>0.91528399999999999</v>
      </c>
      <c r="Y5078">
        <v>0.12942619999999999</v>
      </c>
      <c r="Z5078">
        <v>-7.4224809999999999E-3</v>
      </c>
      <c r="AA5078">
        <v>0.99156129999999998</v>
      </c>
      <c r="AB5078">
        <v>36</v>
      </c>
      <c r="AC5078">
        <v>0.80589999999995099</v>
      </c>
      <c r="AD5078">
        <v>-0.15569519999999901</v>
      </c>
      <c r="AE5078">
        <v>-0.15137</v>
      </c>
      <c r="AF5078">
        <v>0.12668217772711099</v>
      </c>
      <c r="AG5078">
        <v>-0.15569519999999901</v>
      </c>
      <c r="AH5078">
        <v>0.78125447431316097</v>
      </c>
      <c r="AI5078">
        <v>101.129077766268</v>
      </c>
      <c r="AJ5078">
        <v>80.789526340603501</v>
      </c>
      <c r="AK5078">
        <v>0.80662749958766999</v>
      </c>
      <c r="AL5078">
        <v>66.337799464510397</v>
      </c>
      <c r="AM5078">
        <v>87.852034504900402</v>
      </c>
      <c r="AN5078">
        <v>0.99999999097467596</v>
      </c>
    </row>
    <row r="5079" spans="1:40" x14ac:dyDescent="0.25">
      <c r="A5079" t="str">
        <f>"20190304164512040"</f>
        <v>20190304164512040</v>
      </c>
      <c r="B5079" t="str">
        <f>"1551689112034970"</f>
        <v>1551689112034970</v>
      </c>
      <c r="C5079" t="s">
        <v>40</v>
      </c>
      <c r="D5079">
        <v>5.2659979999999997</v>
      </c>
      <c r="E5079">
        <v>0.559411199999999</v>
      </c>
      <c r="F5079" t="s">
        <v>41</v>
      </c>
      <c r="G5079">
        <v>-333.79739999999998</v>
      </c>
      <c r="H5079">
        <v>0.98046610000000001</v>
      </c>
      <c r="I5079">
        <v>17.225919999999999</v>
      </c>
      <c r="J5079">
        <v>-334.39229999999998</v>
      </c>
      <c r="K5079">
        <v>1.108741</v>
      </c>
      <c r="L5079">
        <v>17.350279999999898</v>
      </c>
      <c r="M5079">
        <v>0.99955210000000005</v>
      </c>
      <c r="N5079">
        <v>-1.3980859999999999E-2</v>
      </c>
      <c r="O5079">
        <v>-2.6464430000000001E-2</v>
      </c>
      <c r="P5079">
        <v>0.91956260000000001</v>
      </c>
      <c r="Q5079">
        <v>0.38869670000000001</v>
      </c>
      <c r="R5079">
        <v>-5.7621180000000001E-2</v>
      </c>
      <c r="S5079">
        <v>3.4575200000000001</v>
      </c>
      <c r="T5079">
        <v>-0.54138969999999997</v>
      </c>
      <c r="U5079">
        <v>-0.55212399999999995</v>
      </c>
      <c r="V5079">
        <v>3.5368289999999997E-2</v>
      </c>
      <c r="W5079">
        <v>0.40135189999999998</v>
      </c>
      <c r="X5079">
        <v>0.91524079999999997</v>
      </c>
      <c r="Y5079">
        <v>0.13007279999999999</v>
      </c>
      <c r="Z5079">
        <v>-7.255348E-3</v>
      </c>
      <c r="AA5079">
        <v>0.99147790000000002</v>
      </c>
      <c r="AB5079">
        <v>36</v>
      </c>
      <c r="AC5079">
        <v>0.59489999999999499</v>
      </c>
      <c r="AD5079">
        <v>-0.128274899999999</v>
      </c>
      <c r="AE5079">
        <v>-0.124359999999995</v>
      </c>
      <c r="AF5079">
        <v>0.10394093455278</v>
      </c>
      <c r="AG5079">
        <v>-0.128274899999999</v>
      </c>
      <c r="AH5079">
        <v>0.57248064634032303</v>
      </c>
      <c r="AI5079">
        <v>102.432785426425</v>
      </c>
      <c r="AJ5079">
        <v>79.709342896819805</v>
      </c>
      <c r="AK5079">
        <v>0.59581226764808204</v>
      </c>
      <c r="AL5079">
        <v>66.3372803028779</v>
      </c>
      <c r="AM5079">
        <v>87.786980297029004</v>
      </c>
      <c r="AN5079">
        <v>0.99999999277788698</v>
      </c>
    </row>
    <row r="5080" spans="1:40" x14ac:dyDescent="0.25">
      <c r="A5080" t="str">
        <f>"20190304164512056"</f>
        <v>20190304164512056</v>
      </c>
      <c r="B5080" t="str">
        <f>"1551689112045707"</f>
        <v>1551689112045707</v>
      </c>
      <c r="C5080" t="s">
        <v>40</v>
      </c>
      <c r="D5080">
        <v>5.2734100000000002</v>
      </c>
      <c r="E5080">
        <v>0.55933489999999997</v>
      </c>
      <c r="F5080" t="s">
        <v>41</v>
      </c>
      <c r="G5080">
        <v>-333.48540000000003</v>
      </c>
      <c r="H5080">
        <v>0.96668140000000002</v>
      </c>
      <c r="I5080">
        <v>17.20345</v>
      </c>
      <c r="J5080">
        <v>-334.13940000000002</v>
      </c>
      <c r="K5080">
        <v>1.1086530000000001</v>
      </c>
      <c r="L5080">
        <v>17.342009999999998</v>
      </c>
      <c r="M5080">
        <v>0.99950240000000001</v>
      </c>
      <c r="N5080">
        <v>-1.3982329999999999E-2</v>
      </c>
      <c r="O5080">
        <v>-2.8277980000000001E-2</v>
      </c>
      <c r="P5080">
        <v>0.91930659999999997</v>
      </c>
      <c r="Q5080">
        <v>0.38880930000000002</v>
      </c>
      <c r="R5080">
        <v>-6.0852780000000002E-2</v>
      </c>
      <c r="S5080">
        <v>3.4561769999999998</v>
      </c>
      <c r="T5080">
        <v>-0.54136090000000003</v>
      </c>
      <c r="U5080">
        <v>-0.55950929999999999</v>
      </c>
      <c r="V5080">
        <v>3.7022480000000003E-2</v>
      </c>
      <c r="W5080">
        <v>0.40144790000000002</v>
      </c>
      <c r="X5080">
        <v>0.91513319999999998</v>
      </c>
      <c r="Y5080">
        <v>0.13041249999999999</v>
      </c>
      <c r="Z5080">
        <v>-7.0301819999999899E-3</v>
      </c>
      <c r="AA5080">
        <v>0.99143490000000001</v>
      </c>
      <c r="AB5080">
        <v>36</v>
      </c>
      <c r="AC5080">
        <v>0.65399999999999603</v>
      </c>
      <c r="AD5080">
        <v>-0.1419716</v>
      </c>
      <c r="AE5080">
        <v>-0.13856000000000099</v>
      </c>
      <c r="AF5080">
        <v>0.114830116207935</v>
      </c>
      <c r="AG5080">
        <v>-0.1419716</v>
      </c>
      <c r="AH5080">
        <v>0.62927651688020803</v>
      </c>
      <c r="AI5080">
        <v>102.513715939368</v>
      </c>
      <c r="AJ5080">
        <v>79.658474981688698</v>
      </c>
      <c r="AK5080">
        <v>0.65523341298485005</v>
      </c>
      <c r="AL5080">
        <v>66.331273218712397</v>
      </c>
      <c r="AM5080">
        <v>87.683314592181901</v>
      </c>
      <c r="AN5080">
        <v>0.99999992709099705</v>
      </c>
    </row>
    <row r="5081" spans="1:40" x14ac:dyDescent="0.25">
      <c r="A5081" t="str">
        <f>"20190304164512070"</f>
        <v>20190304164512070</v>
      </c>
      <c r="B5081" t="str">
        <f>"1551689112065227"</f>
        <v>1551689112065227</v>
      </c>
      <c r="C5081" t="s">
        <v>40</v>
      </c>
      <c r="D5081">
        <v>5.2681639999999996</v>
      </c>
      <c r="E5081">
        <v>0.55916779999999999</v>
      </c>
      <c r="F5081" t="s">
        <v>41</v>
      </c>
      <c r="G5081">
        <v>-333.17160000000001</v>
      </c>
      <c r="H5081">
        <v>0.95704659999999997</v>
      </c>
      <c r="I5081">
        <v>17.181750000000001</v>
      </c>
      <c r="J5081">
        <v>-333.91980000000001</v>
      </c>
      <c r="K5081">
        <v>1.1085780000000001</v>
      </c>
      <c r="L5081">
        <v>17.334320000000002</v>
      </c>
      <c r="M5081">
        <v>0.99945470000000003</v>
      </c>
      <c r="N5081">
        <v>-1.398377E-2</v>
      </c>
      <c r="O5081">
        <v>-2.991591E-2</v>
      </c>
      <c r="P5081">
        <v>0.91910930000000002</v>
      </c>
      <c r="Q5081">
        <v>0.38886320000000002</v>
      </c>
      <c r="R5081">
        <v>-6.3430639999999996E-2</v>
      </c>
      <c r="S5081">
        <v>3.4542540000000002</v>
      </c>
      <c r="T5081">
        <v>-0.54079440000000001</v>
      </c>
      <c r="U5081">
        <v>-0.57037349999999998</v>
      </c>
      <c r="V5081">
        <v>3.8171799999999999E-2</v>
      </c>
      <c r="W5081">
        <v>0.4014894</v>
      </c>
      <c r="X5081">
        <v>0.91506790000000005</v>
      </c>
      <c r="Y5081">
        <v>0.13191079999999999</v>
      </c>
      <c r="Z5081">
        <v>-6.922536E-3</v>
      </c>
      <c r="AA5081">
        <v>0.99123740000000005</v>
      </c>
      <c r="AB5081">
        <v>36</v>
      </c>
      <c r="AC5081">
        <v>0.74819999999999698</v>
      </c>
      <c r="AD5081">
        <v>-0.15153139999999901</v>
      </c>
      <c r="AE5081">
        <v>-0.15257000000000001</v>
      </c>
      <c r="AF5081">
        <v>0.125186572725944</v>
      </c>
      <c r="AG5081">
        <v>-0.15153139999999901</v>
      </c>
      <c r="AH5081">
        <v>0.723921683272579</v>
      </c>
      <c r="AI5081">
        <v>101.654328059017</v>
      </c>
      <c r="AJ5081">
        <v>80.188965323214006</v>
      </c>
      <c r="AK5081">
        <v>0.75013068640672997</v>
      </c>
      <c r="AL5081">
        <v>66.328679948062202</v>
      </c>
      <c r="AM5081">
        <v>87.611307570433596</v>
      </c>
      <c r="AN5081">
        <v>1.0000000431189999</v>
      </c>
    </row>
    <row r="5082" spans="1:40" x14ac:dyDescent="0.25">
      <c r="A5082" t="str">
        <f>"20190304164512082"</f>
        <v>20190304164512082</v>
      </c>
      <c r="B5082" t="str">
        <f>"1551689112074986"</f>
        <v>1551689112074986</v>
      </c>
      <c r="C5082" t="s">
        <v>40</v>
      </c>
      <c r="D5082">
        <v>5.2694749999999999</v>
      </c>
      <c r="E5082">
        <v>0.55909940000000002</v>
      </c>
      <c r="F5082" t="s">
        <v>41</v>
      </c>
      <c r="G5082">
        <v>-333.15589999999997</v>
      </c>
      <c r="H5082">
        <v>0.98892919999999995</v>
      </c>
      <c r="I5082">
        <v>17.20589</v>
      </c>
      <c r="J5082">
        <v>-333.70839999999998</v>
      </c>
      <c r="K5082">
        <v>1.1085130000000001</v>
      </c>
      <c r="L5082">
        <v>17.326509999999999</v>
      </c>
      <c r="M5082">
        <v>0.99940469999999904</v>
      </c>
      <c r="N5082">
        <v>-1.3985249999999999E-2</v>
      </c>
      <c r="O5082">
        <v>-3.1539570000000003E-2</v>
      </c>
      <c r="P5082">
        <v>0.9188769</v>
      </c>
      <c r="Q5082">
        <v>0.38901350000000001</v>
      </c>
      <c r="R5082">
        <v>-6.5832790000000002E-2</v>
      </c>
      <c r="S5082">
        <v>3.452728</v>
      </c>
      <c r="T5082">
        <v>-0.5404544</v>
      </c>
      <c r="U5082">
        <v>-0.57843020000000001</v>
      </c>
      <c r="V5082">
        <v>3.915598E-2</v>
      </c>
      <c r="W5082">
        <v>0.40162750000000003</v>
      </c>
      <c r="X5082">
        <v>0.91496569999999999</v>
      </c>
      <c r="Y5082">
        <v>0.13262959999999999</v>
      </c>
      <c r="Z5082">
        <v>-6.7533209999999996E-3</v>
      </c>
      <c r="AA5082">
        <v>0.99114270000000004</v>
      </c>
      <c r="AB5082">
        <v>36</v>
      </c>
      <c r="AC5082">
        <v>0.55250000000000898</v>
      </c>
      <c r="AD5082">
        <v>-0.119583799999999</v>
      </c>
      <c r="AE5082">
        <v>-0.12061999999999801</v>
      </c>
      <c r="AF5082">
        <v>9.87184132355549E-2</v>
      </c>
      <c r="AG5082">
        <v>-0.119583799999999</v>
      </c>
      <c r="AH5082">
        <v>0.53223074839698503</v>
      </c>
      <c r="AI5082">
        <v>102.45747809738</v>
      </c>
      <c r="AJ5082">
        <v>79.492165836685103</v>
      </c>
      <c r="AK5082">
        <v>0.55436015357653601</v>
      </c>
      <c r="AL5082">
        <v>66.320040042563207</v>
      </c>
      <c r="AM5082">
        <v>87.549520901186895</v>
      </c>
      <c r="AN5082">
        <v>1.00000003585124</v>
      </c>
    </row>
    <row r="5083" spans="1:40" x14ac:dyDescent="0.25">
      <c r="A5083" t="str">
        <f>"20190304164512101"</f>
        <v>20190304164512101</v>
      </c>
      <c r="B5083" t="str">
        <f>"1551689112095482"</f>
        <v>1551689112095482</v>
      </c>
      <c r="C5083" t="s">
        <v>40</v>
      </c>
      <c r="D5083">
        <v>5.3096110000000003</v>
      </c>
      <c r="E5083">
        <v>0.55894200000000005</v>
      </c>
      <c r="F5083" t="s">
        <v>41</v>
      </c>
      <c r="G5083">
        <v>-332.84539999999998</v>
      </c>
      <c r="H5083">
        <v>0.97349609999999998</v>
      </c>
      <c r="I5083">
        <v>17.179960000000001</v>
      </c>
      <c r="J5083">
        <v>-333.43259999999998</v>
      </c>
      <c r="K5083">
        <v>1.1084229999999999</v>
      </c>
      <c r="L5083">
        <v>17.315829999999998</v>
      </c>
      <c r="M5083">
        <v>0.99933360000000004</v>
      </c>
      <c r="N5083">
        <v>-1.398722E-2</v>
      </c>
      <c r="O5083">
        <v>-3.371772E-2</v>
      </c>
      <c r="P5083">
        <v>0.91835860000000002</v>
      </c>
      <c r="Q5083">
        <v>0.38955279999999998</v>
      </c>
      <c r="R5083">
        <v>-6.975932E-2</v>
      </c>
      <c r="S5083">
        <v>3.4514469999999999</v>
      </c>
      <c r="T5083">
        <v>-0.53993769999999996</v>
      </c>
      <c r="U5083">
        <v>-0.58609009999999995</v>
      </c>
      <c r="V5083">
        <v>4.118629E-2</v>
      </c>
      <c r="W5083">
        <v>0.40214359999999999</v>
      </c>
      <c r="X5083">
        <v>0.91464979999999996</v>
      </c>
      <c r="Y5083">
        <v>0.13269120000000001</v>
      </c>
      <c r="Z5083">
        <v>-6.4491540000000003E-3</v>
      </c>
      <c r="AA5083">
        <v>0.99113640000000003</v>
      </c>
      <c r="AB5083">
        <v>36</v>
      </c>
      <c r="AC5083">
        <v>0.58719999999999495</v>
      </c>
      <c r="AD5083">
        <v>-0.13492689999999899</v>
      </c>
      <c r="AE5083">
        <v>-0.13586999999999699</v>
      </c>
      <c r="AF5083">
        <v>0.110456156339879</v>
      </c>
      <c r="AG5083">
        <v>-0.13492689999999899</v>
      </c>
      <c r="AH5083">
        <v>0.56322146549161201</v>
      </c>
      <c r="AI5083">
        <v>103.229146180634</v>
      </c>
      <c r="AJ5083">
        <v>78.904261439603602</v>
      </c>
      <c r="AK5083">
        <v>0.589596684189717</v>
      </c>
      <c r="AL5083">
        <v>66.287746695749505</v>
      </c>
      <c r="AM5083">
        <v>87.421737184289697</v>
      </c>
      <c r="AN5083">
        <v>1.00000002107248</v>
      </c>
    </row>
    <row r="5084" spans="1:40" x14ac:dyDescent="0.25">
      <c r="A5084" t="str">
        <f>"20190304164512112"</f>
        <v>20190304164512112</v>
      </c>
      <c r="B5084" t="str">
        <f>"1551689112105242"</f>
        <v>1551689112105242</v>
      </c>
      <c r="C5084" t="s">
        <v>40</v>
      </c>
      <c r="D5084">
        <v>5.2836629999999998</v>
      </c>
      <c r="E5084">
        <v>0.55884650000000002</v>
      </c>
      <c r="F5084" t="s">
        <v>41</v>
      </c>
      <c r="G5084">
        <v>-332.53030000000001</v>
      </c>
      <c r="H5084">
        <v>0.96767150000000002</v>
      </c>
      <c r="I5084">
        <v>17.159009999999999</v>
      </c>
      <c r="J5084">
        <v>-333.24259999999998</v>
      </c>
      <c r="K5084">
        <v>1.108358</v>
      </c>
      <c r="L5084">
        <v>17.308139999999899</v>
      </c>
      <c r="M5084">
        <v>0.99928039999999996</v>
      </c>
      <c r="N5084">
        <v>-1.398859E-2</v>
      </c>
      <c r="O5084">
        <v>-3.5257429999999999E-2</v>
      </c>
      <c r="P5084">
        <v>0.91811229999999999</v>
      </c>
      <c r="Q5084">
        <v>0.38971129999999998</v>
      </c>
      <c r="R5084">
        <v>-7.2076829999999995E-2</v>
      </c>
      <c r="S5084">
        <v>3.4494020000000001</v>
      </c>
      <c r="T5084">
        <v>-0.53772540000000002</v>
      </c>
      <c r="U5084">
        <v>-0.59808349999999999</v>
      </c>
      <c r="V5084">
        <v>4.2157220000000002E-2</v>
      </c>
      <c r="W5084">
        <v>0.40228979999999998</v>
      </c>
      <c r="X5084">
        <v>0.91454120000000005</v>
      </c>
      <c r="Y5084">
        <v>0.1346088</v>
      </c>
      <c r="Z5084">
        <v>-6.3765319999999999E-3</v>
      </c>
      <c r="AA5084">
        <v>0.99087829999999999</v>
      </c>
      <c r="AB5084">
        <v>36</v>
      </c>
      <c r="AC5084">
        <v>0.71229999999996996</v>
      </c>
      <c r="AD5084">
        <v>-0.14068649999999899</v>
      </c>
      <c r="AE5084">
        <v>-0.14912999999999599</v>
      </c>
      <c r="AF5084">
        <v>0.119456591558082</v>
      </c>
      <c r="AG5084">
        <v>-0.14068649999999899</v>
      </c>
      <c r="AH5084">
        <v>0.69128086888365903</v>
      </c>
      <c r="AI5084">
        <v>101.339869157547</v>
      </c>
      <c r="AJ5084">
        <v>80.195842975565498</v>
      </c>
      <c r="AK5084">
        <v>0.71549410076776399</v>
      </c>
      <c r="AL5084">
        <v>66.278595812972199</v>
      </c>
      <c r="AM5084">
        <v>87.360728948349205</v>
      </c>
      <c r="AN5084">
        <v>0.99999996043980299</v>
      </c>
    </row>
    <row r="5085" spans="1:40" x14ac:dyDescent="0.25">
      <c r="A5085" t="str">
        <f>"20190304164512122"</f>
        <v>20190304164512122</v>
      </c>
      <c r="B5085" t="str">
        <f>"1551689112115002"</f>
        <v>1551689112115002</v>
      </c>
      <c r="C5085" t="s">
        <v>40</v>
      </c>
      <c r="D5085">
        <v>5.344462</v>
      </c>
      <c r="E5085">
        <v>0.55873269999999997</v>
      </c>
      <c r="F5085" t="s">
        <v>41</v>
      </c>
      <c r="G5085">
        <v>-332.51650000000001</v>
      </c>
      <c r="H5085">
        <v>0.99517599999999995</v>
      </c>
      <c r="I5085">
        <v>17.180250000000001</v>
      </c>
      <c r="J5085">
        <v>-333.07369999999997</v>
      </c>
      <c r="K5085">
        <v>1.108303</v>
      </c>
      <c r="L5085">
        <v>17.30087</v>
      </c>
      <c r="M5085">
        <v>0.99922940000000005</v>
      </c>
      <c r="N5085">
        <v>-1.3989980000000001E-2</v>
      </c>
      <c r="O5085">
        <v>-3.6670330000000001E-2</v>
      </c>
      <c r="P5085">
        <v>0.91778340000000003</v>
      </c>
      <c r="Q5085">
        <v>0.3900613</v>
      </c>
      <c r="R5085">
        <v>-7.4335460000000006E-2</v>
      </c>
      <c r="S5085">
        <v>3.4479980000000001</v>
      </c>
      <c r="T5085">
        <v>-0.53707499999999997</v>
      </c>
      <c r="U5085">
        <v>-0.60559079999999998</v>
      </c>
      <c r="V5085">
        <v>4.3182470000000001E-2</v>
      </c>
      <c r="W5085">
        <v>0.40262629999999999</v>
      </c>
      <c r="X5085">
        <v>0.91434530000000003</v>
      </c>
      <c r="Y5085">
        <v>0.1353761</v>
      </c>
      <c r="Z5085">
        <v>-6.2392289999999998E-3</v>
      </c>
      <c r="AA5085">
        <v>0.99077459999999995</v>
      </c>
      <c r="AB5085">
        <v>36</v>
      </c>
      <c r="AC5085">
        <v>0.55719999999996594</v>
      </c>
      <c r="AD5085">
        <v>-0.11312699999999901</v>
      </c>
      <c r="AE5085">
        <v>-0.12061999999999801</v>
      </c>
      <c r="AF5085">
        <v>9.6311863528583494E-2</v>
      </c>
      <c r="AG5085">
        <v>-0.11312699999999901</v>
      </c>
      <c r="AH5085">
        <v>0.53998676756932495</v>
      </c>
      <c r="AI5085">
        <v>101.65355014601001</v>
      </c>
      <c r="AJ5085">
        <v>79.887086522165106</v>
      </c>
      <c r="AK5085">
        <v>0.56005303528801398</v>
      </c>
      <c r="AL5085">
        <v>66.257535713543305</v>
      </c>
      <c r="AM5085">
        <v>87.296058477284106</v>
      </c>
      <c r="AN5085">
        <v>0.99999999539953999</v>
      </c>
    </row>
    <row r="5086" spans="1:40" x14ac:dyDescent="0.25">
      <c r="A5086" t="str">
        <f>"20190304164512134"</f>
        <v>20190304164512134</v>
      </c>
      <c r="B5086" t="str">
        <f>"1551689112124762"</f>
        <v>1551689112124762</v>
      </c>
      <c r="C5086" t="s">
        <v>40</v>
      </c>
      <c r="D5086">
        <v>5.3166460000000004</v>
      </c>
      <c r="E5086">
        <v>0.5586468</v>
      </c>
      <c r="F5086" t="s">
        <v>41</v>
      </c>
      <c r="G5086">
        <v>-332.20960000000002</v>
      </c>
      <c r="H5086">
        <v>0.97386969999999995</v>
      </c>
      <c r="I5086">
        <v>17.147489999999902</v>
      </c>
      <c r="J5086">
        <v>-332.89620000000002</v>
      </c>
      <c r="K5086">
        <v>1.1082479999999999</v>
      </c>
      <c r="L5086">
        <v>17.293150000000001</v>
      </c>
      <c r="M5086">
        <v>0.9991736</v>
      </c>
      <c r="N5086">
        <v>-1.399131E-2</v>
      </c>
      <c r="O5086">
        <v>-3.8165200000000003E-2</v>
      </c>
      <c r="P5086">
        <v>0.917574</v>
      </c>
      <c r="Q5086">
        <v>0.39007930000000002</v>
      </c>
      <c r="R5086">
        <v>-7.6788140000000005E-2</v>
      </c>
      <c r="S5086">
        <v>3.4471129999999999</v>
      </c>
      <c r="T5086">
        <v>-0.53625639999999997</v>
      </c>
      <c r="U5086">
        <v>-0.61196899999999999</v>
      </c>
      <c r="V5086">
        <v>4.432237E-2</v>
      </c>
      <c r="W5086">
        <v>0.40263159999999998</v>
      </c>
      <c r="X5086">
        <v>0.91428849999999995</v>
      </c>
      <c r="Y5086">
        <v>0.13572890000000001</v>
      </c>
      <c r="Z5086">
        <v>-6.0540940000000003E-3</v>
      </c>
      <c r="AA5086">
        <v>0.99072749999999998</v>
      </c>
      <c r="AB5086">
        <v>36</v>
      </c>
      <c r="AC5086">
        <v>0.68659999999999799</v>
      </c>
      <c r="AD5086">
        <v>-0.13437829999999901</v>
      </c>
      <c r="AE5086">
        <v>-0.14566000000000301</v>
      </c>
      <c r="AF5086">
        <v>0.115127099166746</v>
      </c>
      <c r="AG5086">
        <v>-0.13437829999999901</v>
      </c>
      <c r="AH5086">
        <v>0.66720311235181295</v>
      </c>
      <c r="AI5086">
        <v>101.22574836976</v>
      </c>
      <c r="AJ5086">
        <v>80.209914104086494</v>
      </c>
      <c r="AK5086">
        <v>0.69026934569440701</v>
      </c>
      <c r="AL5086">
        <v>66.257205835968804</v>
      </c>
      <c r="AM5086">
        <v>87.224619774533295</v>
      </c>
      <c r="AN5086">
        <v>1.00000006951661</v>
      </c>
    </row>
    <row r="5087" spans="1:40" x14ac:dyDescent="0.25">
      <c r="A5087" t="str">
        <f>"20190304164512145"</f>
        <v>20190304164512145</v>
      </c>
      <c r="B5087" t="str">
        <f>"1551689112135499"</f>
        <v>1551689112135499</v>
      </c>
      <c r="C5087" t="s">
        <v>40</v>
      </c>
      <c r="D5087">
        <v>5.3464679999999998</v>
      </c>
      <c r="E5087">
        <v>0.55854300000000001</v>
      </c>
      <c r="F5087" t="s">
        <v>41</v>
      </c>
      <c r="G5087">
        <v>-331.90230000000003</v>
      </c>
      <c r="H5087">
        <v>0.9534243</v>
      </c>
      <c r="I5087">
        <v>17.11422</v>
      </c>
      <c r="J5087">
        <v>-332.72050000000002</v>
      </c>
      <c r="K5087">
        <v>1.108196</v>
      </c>
      <c r="L5087">
        <v>17.285029999999999</v>
      </c>
      <c r="M5087">
        <v>0.99911399999999995</v>
      </c>
      <c r="N5087">
        <v>-1.3992869999999999E-2</v>
      </c>
      <c r="O5087">
        <v>-3.9692199999999997E-2</v>
      </c>
      <c r="P5087">
        <v>0.91718509999999998</v>
      </c>
      <c r="Q5087">
        <v>0.39049889999999998</v>
      </c>
      <c r="R5087">
        <v>-7.9259869999999996E-2</v>
      </c>
      <c r="S5087">
        <v>3.4457399999999998</v>
      </c>
      <c r="T5087">
        <v>-0.53656610000000005</v>
      </c>
      <c r="U5087">
        <v>-0.61959839999999999</v>
      </c>
      <c r="V5087">
        <v>4.545863E-2</v>
      </c>
      <c r="W5087">
        <v>0.40303620000000001</v>
      </c>
      <c r="X5087">
        <v>0.91405429999999999</v>
      </c>
      <c r="Y5087">
        <v>0.1364129</v>
      </c>
      <c r="Z5087">
        <v>-5.9024639999999996E-3</v>
      </c>
      <c r="AA5087">
        <v>0.99063449999999997</v>
      </c>
      <c r="AB5087">
        <v>35</v>
      </c>
      <c r="AC5087">
        <v>0.81819999999999005</v>
      </c>
      <c r="AD5087">
        <v>-0.15477169999999901</v>
      </c>
      <c r="AE5087">
        <v>-0.17080999999999899</v>
      </c>
      <c r="AF5087">
        <v>0.13361469823233901</v>
      </c>
      <c r="AG5087">
        <v>-0.15477169999999901</v>
      </c>
      <c r="AH5087">
        <v>0.797008059875014</v>
      </c>
      <c r="AI5087">
        <v>100.841900778724</v>
      </c>
      <c r="AJ5087">
        <v>80.483127350893298</v>
      </c>
      <c r="AK5087">
        <v>0.82281772842491896</v>
      </c>
      <c r="AL5087">
        <v>66.231875366621196</v>
      </c>
      <c r="AM5087">
        <v>87.152856832605806</v>
      </c>
      <c r="AN5087">
        <v>0.99999996445020201</v>
      </c>
    </row>
    <row r="5088" spans="1:40" x14ac:dyDescent="0.25">
      <c r="A5088" t="str">
        <f>"20190304164512155"</f>
        <v>20190304164512155</v>
      </c>
      <c r="B5088" t="str">
        <f>"1551689112145259"</f>
        <v>1551689112145259</v>
      </c>
      <c r="C5088" t="s">
        <v>40</v>
      </c>
      <c r="D5088">
        <v>5.3650440000000001</v>
      </c>
      <c r="E5088">
        <v>0.55844589999999905</v>
      </c>
      <c r="F5088" t="s">
        <v>41</v>
      </c>
      <c r="G5088">
        <v>-331.8897</v>
      </c>
      <c r="H5088">
        <v>0.97899930000000002</v>
      </c>
      <c r="I5088">
        <v>17.13363</v>
      </c>
      <c r="J5088">
        <v>-332.55689999999998</v>
      </c>
      <c r="K5088">
        <v>1.10815</v>
      </c>
      <c r="L5088">
        <v>17.277370000000001</v>
      </c>
      <c r="M5088">
        <v>0.99905619999999995</v>
      </c>
      <c r="N5088">
        <v>-1.399415E-2</v>
      </c>
      <c r="O5088">
        <v>-4.112085E-2</v>
      </c>
      <c r="P5088">
        <v>0.91685039999999995</v>
      </c>
      <c r="Q5088">
        <v>0.39076440000000001</v>
      </c>
      <c r="R5088">
        <v>-8.1783049999999996E-2</v>
      </c>
      <c r="S5088">
        <v>3.4447019999999902</v>
      </c>
      <c r="T5088">
        <v>-0.53549950000000002</v>
      </c>
      <c r="U5088">
        <v>-0.62689209999999995</v>
      </c>
      <c r="V5088">
        <v>4.6729729999999997E-2</v>
      </c>
      <c r="W5088">
        <v>0.40328710000000001</v>
      </c>
      <c r="X5088">
        <v>0.91387960000000001</v>
      </c>
      <c r="Y5088">
        <v>0.13708960000000001</v>
      </c>
      <c r="Z5088">
        <v>-5.7525689999999999E-3</v>
      </c>
      <c r="AA5088">
        <v>0.99054189999999998</v>
      </c>
      <c r="AB5088">
        <v>35</v>
      </c>
      <c r="AC5088">
        <v>0.66719999999997903</v>
      </c>
      <c r="AD5088">
        <v>-0.12915069999999901</v>
      </c>
      <c r="AE5088">
        <v>-0.14374000000000101</v>
      </c>
      <c r="AF5088">
        <v>0.112163546036321</v>
      </c>
      <c r="AG5088">
        <v>-0.12915069999999901</v>
      </c>
      <c r="AH5088">
        <v>0.64929692530584004</v>
      </c>
      <c r="AI5088">
        <v>101.089699549089</v>
      </c>
      <c r="AJ5088">
        <v>80.199100910520499</v>
      </c>
      <c r="AK5088">
        <v>0.67145145884237201</v>
      </c>
      <c r="AL5088">
        <v>66.216168492772297</v>
      </c>
      <c r="AM5088">
        <v>87.072823941739003</v>
      </c>
      <c r="AN5088">
        <v>1.00000003799422</v>
      </c>
    </row>
    <row r="5089" spans="1:40" x14ac:dyDescent="0.25">
      <c r="A5089" t="str">
        <f>"20190304164512167"</f>
        <v>20190304164512167</v>
      </c>
      <c r="B5089" t="str">
        <f>"1551689112155019"</f>
        <v>1551689112155019</v>
      </c>
      <c r="C5089" t="s">
        <v>40</v>
      </c>
      <c r="D5089">
        <v>5.5749089999999999</v>
      </c>
      <c r="E5089">
        <v>0.558374699999999</v>
      </c>
      <c r="F5089" t="s">
        <v>41</v>
      </c>
      <c r="G5089">
        <v>-331.58359999999999</v>
      </c>
      <c r="H5089">
        <v>0.95688779999999996</v>
      </c>
      <c r="I5089">
        <v>17.09797</v>
      </c>
      <c r="J5089">
        <v>-332.36959999999999</v>
      </c>
      <c r="K5089">
        <v>1.1080989999999999</v>
      </c>
      <c r="L5089">
        <v>17.268129999999999</v>
      </c>
      <c r="M5089">
        <v>0.99898589999999998</v>
      </c>
      <c r="N5089">
        <v>-1.3995580000000001E-2</v>
      </c>
      <c r="O5089">
        <v>-4.279492E-2</v>
      </c>
      <c r="P5089">
        <v>0.91655359999999997</v>
      </c>
      <c r="Q5089">
        <v>0.39092500000000002</v>
      </c>
      <c r="R5089">
        <v>-8.4304820000000003E-2</v>
      </c>
      <c r="S5089">
        <v>3.4435419999999999</v>
      </c>
      <c r="T5089">
        <v>-0.53506239999999905</v>
      </c>
      <c r="U5089">
        <v>-0.63427730000000004</v>
      </c>
      <c r="V5089">
        <v>4.7774709999999998E-2</v>
      </c>
      <c r="W5089">
        <v>0.40343449999999997</v>
      </c>
      <c r="X5089">
        <v>0.91376040000000003</v>
      </c>
      <c r="Y5089">
        <v>0.13755619999999999</v>
      </c>
      <c r="Z5089">
        <v>-5.5564969999999997E-3</v>
      </c>
      <c r="AA5089">
        <v>0.99047839999999998</v>
      </c>
      <c r="AB5089">
        <v>35</v>
      </c>
      <c r="AC5089">
        <v>0.78600000000000103</v>
      </c>
      <c r="AD5089">
        <v>-0.15121119999999899</v>
      </c>
      <c r="AE5089">
        <v>-0.17015999999999901</v>
      </c>
      <c r="AF5089">
        <v>0.13170766804665901</v>
      </c>
      <c r="AG5089">
        <v>-0.15121119999999899</v>
      </c>
      <c r="AH5089">
        <v>0.765499473651444</v>
      </c>
      <c r="AI5089">
        <v>101.01612116507</v>
      </c>
      <c r="AJ5089">
        <v>80.237583040369103</v>
      </c>
      <c r="AK5089">
        <v>0.79132874394171104</v>
      </c>
      <c r="AL5089">
        <v>66.206936580699903</v>
      </c>
      <c r="AM5089">
        <v>87.0070938338433</v>
      </c>
      <c r="AN5089">
        <v>0.99999994365699496</v>
      </c>
    </row>
    <row r="5090" spans="1:40" x14ac:dyDescent="0.25">
      <c r="A5090" t="str">
        <f>"20190304164512178"</f>
        <v>20190304164512178</v>
      </c>
      <c r="B5090" t="str">
        <f>"1551689112165755"</f>
        <v>1551689112165755</v>
      </c>
      <c r="C5090" t="s">
        <v>40</v>
      </c>
      <c r="D5090">
        <v>5.3340949999999996</v>
      </c>
      <c r="E5090">
        <v>0.55832720000000002</v>
      </c>
      <c r="F5090" t="s">
        <v>41</v>
      </c>
      <c r="G5090">
        <v>-331.5702</v>
      </c>
      <c r="H5090">
        <v>0.98391269999999997</v>
      </c>
      <c r="I5090">
        <v>17.118860000000002</v>
      </c>
      <c r="J5090">
        <v>-332.20409999999998</v>
      </c>
      <c r="K5090">
        <v>1.108055</v>
      </c>
      <c r="L5090">
        <v>17.259799999999998</v>
      </c>
      <c r="M5090">
        <v>0.99892099999999995</v>
      </c>
      <c r="N5090">
        <v>-1.3996710000000001E-2</v>
      </c>
      <c r="O5090">
        <v>-4.4286979999999997E-2</v>
      </c>
      <c r="P5090">
        <v>0.91634859999999896</v>
      </c>
      <c r="Q5090">
        <v>0.3909223</v>
      </c>
      <c r="R5090">
        <v>-8.6519299999999993E-2</v>
      </c>
      <c r="S5090">
        <v>3.442078</v>
      </c>
      <c r="T5090">
        <v>-0.5346109</v>
      </c>
      <c r="U5090">
        <v>-0.64215089999999997</v>
      </c>
      <c r="V5090">
        <v>4.8666920000000002E-2</v>
      </c>
      <c r="W5090">
        <v>0.40342099999999997</v>
      </c>
      <c r="X5090">
        <v>0.91371939999999996</v>
      </c>
      <c r="Y5090">
        <v>0.13834839999999901</v>
      </c>
      <c r="Z5090">
        <v>-5.4134119999999899E-3</v>
      </c>
      <c r="AA5090">
        <v>0.99036880000000005</v>
      </c>
      <c r="AB5090">
        <v>35</v>
      </c>
      <c r="AC5090">
        <v>0.63389999999998203</v>
      </c>
      <c r="AD5090">
        <v>-0.124142299999999</v>
      </c>
      <c r="AE5090">
        <v>-0.14093999999999601</v>
      </c>
      <c r="AF5090">
        <v>0.108750987207509</v>
      </c>
      <c r="AG5090">
        <v>-0.124142299999999</v>
      </c>
      <c r="AH5090">
        <v>0.61697231711894895</v>
      </c>
      <c r="AI5090">
        <v>101.208379671079</v>
      </c>
      <c r="AJ5090">
        <v>80.003411606495703</v>
      </c>
      <c r="AK5090">
        <v>0.63866495751608598</v>
      </c>
      <c r="AL5090">
        <v>66.207784784403302</v>
      </c>
      <c r="AM5090">
        <v>86.951168163315302</v>
      </c>
      <c r="AN5090">
        <v>1.00000005713982</v>
      </c>
    </row>
    <row r="5091" spans="1:40" x14ac:dyDescent="0.25">
      <c r="A5091" t="str">
        <f>"20190304164512189"</f>
        <v>20190304164512189</v>
      </c>
      <c r="B5091" t="str">
        <f>"1551689112185275"</f>
        <v>1551689112185275</v>
      </c>
      <c r="C5091" t="s">
        <v>40</v>
      </c>
      <c r="D5091">
        <v>5.5208309999999896</v>
      </c>
      <c r="E5091">
        <v>0.55818210000000001</v>
      </c>
      <c r="F5091" t="s">
        <v>41</v>
      </c>
      <c r="G5091">
        <v>-331.26440000000002</v>
      </c>
      <c r="H5091">
        <v>0.96200759999999996</v>
      </c>
      <c r="I5091">
        <v>17.082190000000001</v>
      </c>
      <c r="J5091">
        <v>-332.02379999999999</v>
      </c>
      <c r="K5091">
        <v>1.1080110000000001</v>
      </c>
      <c r="L5091">
        <v>17.250339999999898</v>
      </c>
      <c r="M5091">
        <v>0.99884640000000002</v>
      </c>
      <c r="N5091">
        <v>-1.3997839999999999E-2</v>
      </c>
      <c r="O5091">
        <v>-4.593618E-2</v>
      </c>
      <c r="P5091">
        <v>0.91603000000000001</v>
      </c>
      <c r="Q5091">
        <v>0.39114870000000002</v>
      </c>
      <c r="R5091">
        <v>-8.8837059999999995E-2</v>
      </c>
      <c r="S5091">
        <v>3.4405519999999998</v>
      </c>
      <c r="T5091">
        <v>-0.53444519999999995</v>
      </c>
      <c r="U5091">
        <v>-0.64926149999999905</v>
      </c>
      <c r="V5091">
        <v>4.9525079999999999E-2</v>
      </c>
      <c r="W5091">
        <v>0.40363520000000003</v>
      </c>
      <c r="X5091">
        <v>0.91357860000000002</v>
      </c>
      <c r="Y5091">
        <v>0.1387805</v>
      </c>
      <c r="Z5091">
        <v>-5.2206880000000002E-3</v>
      </c>
      <c r="AA5091">
        <v>0.99030940000000001</v>
      </c>
      <c r="AB5091">
        <v>35</v>
      </c>
      <c r="AC5091">
        <v>0.75939999999997099</v>
      </c>
      <c r="AD5091">
        <v>-0.14600340000000001</v>
      </c>
      <c r="AE5091">
        <v>-0.168149999999997</v>
      </c>
      <c r="AF5091">
        <v>0.12855522907123201</v>
      </c>
      <c r="AG5091">
        <v>-0.14600340000000001</v>
      </c>
      <c r="AH5091">
        <v>0.74023940995378001</v>
      </c>
      <c r="AI5091">
        <v>100.99718584323099</v>
      </c>
      <c r="AJ5091">
        <v>80.147871644182302</v>
      </c>
      <c r="AK5091">
        <v>0.76537430305820797</v>
      </c>
      <c r="AL5091">
        <v>66.194369590764694</v>
      </c>
      <c r="AM5091">
        <v>86.897033996852699</v>
      </c>
      <c r="AN5091">
        <v>0.99999998330300299</v>
      </c>
    </row>
    <row r="5092" spans="1:40" x14ac:dyDescent="0.25">
      <c r="A5092" t="str">
        <f>"20190304164512200"</f>
        <v>20190304164512200</v>
      </c>
      <c r="B5092" t="str">
        <f>"1551689112195035"</f>
        <v>1551689112195035</v>
      </c>
      <c r="C5092" t="s">
        <v>40</v>
      </c>
      <c r="D5092">
        <v>5.4712430000000003</v>
      </c>
      <c r="E5092">
        <v>0.55811109999999997</v>
      </c>
      <c r="F5092" t="s">
        <v>41</v>
      </c>
      <c r="G5092">
        <v>-331.25119999999998</v>
      </c>
      <c r="H5092">
        <v>0.98814880000000005</v>
      </c>
      <c r="I5092">
        <v>17.102640000000001</v>
      </c>
      <c r="J5092">
        <v>-331.84219999999999</v>
      </c>
      <c r="K5092">
        <v>1.107972</v>
      </c>
      <c r="L5092">
        <v>17.24051</v>
      </c>
      <c r="M5092">
        <v>0.99876770000000004</v>
      </c>
      <c r="N5092">
        <v>-1.399884E-2</v>
      </c>
      <c r="O5092">
        <v>-4.7614959999999998E-2</v>
      </c>
      <c r="P5092">
        <v>0.91580499999999998</v>
      </c>
      <c r="Q5092">
        <v>0.39109470000000002</v>
      </c>
      <c r="R5092">
        <v>-9.1357019999999997E-2</v>
      </c>
      <c r="S5092">
        <v>3.4390559999999999</v>
      </c>
      <c r="T5092">
        <v>-0.53329459999999995</v>
      </c>
      <c r="U5092">
        <v>-0.65634159999999997</v>
      </c>
      <c r="V5092">
        <v>5.0548549999999998E-2</v>
      </c>
      <c r="W5092">
        <v>0.40356930000000002</v>
      </c>
      <c r="X5092">
        <v>0.91355169999999997</v>
      </c>
      <c r="Y5092">
        <v>0.13917829999999901</v>
      </c>
      <c r="Z5092">
        <v>-5.0148650000000003E-3</v>
      </c>
      <c r="AA5092">
        <v>0.99025459999999998</v>
      </c>
      <c r="AB5092">
        <v>35</v>
      </c>
      <c r="AC5092">
        <v>0.59100000000000796</v>
      </c>
      <c r="AD5092">
        <v>-0.11982319999999901</v>
      </c>
      <c r="AE5092">
        <v>-0.13786999999999899</v>
      </c>
      <c r="AF5092">
        <v>0.10545911438524</v>
      </c>
      <c r="AG5092">
        <v>-0.11982319999999901</v>
      </c>
      <c r="AH5092">
        <v>0.57449827603600201</v>
      </c>
      <c r="AI5092">
        <v>101.592959284725</v>
      </c>
      <c r="AJ5092">
        <v>79.598171695865801</v>
      </c>
      <c r="AK5092">
        <v>0.59626126256322998</v>
      </c>
      <c r="AL5092">
        <v>66.198497417343802</v>
      </c>
      <c r="AM5092">
        <v>86.832945210140707</v>
      </c>
      <c r="AN5092">
        <v>1.00000002219124</v>
      </c>
    </row>
    <row r="5093" spans="1:40" x14ac:dyDescent="0.25">
      <c r="A5093" t="str">
        <f>"20190304164512211"</f>
        <v>20190304164512211</v>
      </c>
      <c r="B5093" t="str">
        <f>"1551689112204794"</f>
        <v>1551689112204794</v>
      </c>
      <c r="C5093" t="s">
        <v>40</v>
      </c>
      <c r="D5093">
        <v>5.3903160000000003</v>
      </c>
      <c r="E5093">
        <v>0.55803159999999996</v>
      </c>
      <c r="F5093" t="s">
        <v>41</v>
      </c>
      <c r="G5093">
        <v>-330.94470000000001</v>
      </c>
      <c r="H5093">
        <v>0.96867800000000004</v>
      </c>
      <c r="I5093">
        <v>17.066990000000001</v>
      </c>
      <c r="J5093">
        <v>-331.65899999999999</v>
      </c>
      <c r="K5093">
        <v>1.107928</v>
      </c>
      <c r="L5093">
        <v>17.230350000000001</v>
      </c>
      <c r="M5093">
        <v>0.99868480000000004</v>
      </c>
      <c r="N5093">
        <v>-1.399973E-2</v>
      </c>
      <c r="O5093">
        <v>-4.932218E-2</v>
      </c>
      <c r="P5093">
        <v>0.91547400000000001</v>
      </c>
      <c r="Q5093">
        <v>0.39124059999999999</v>
      </c>
      <c r="R5093">
        <v>-9.4013570000000005E-2</v>
      </c>
      <c r="S5093">
        <v>3.4373170000000002</v>
      </c>
      <c r="T5093">
        <v>-0.53341499999999997</v>
      </c>
      <c r="U5093">
        <v>-0.66436770000000001</v>
      </c>
      <c r="V5093">
        <v>5.1686450000000002E-2</v>
      </c>
      <c r="W5093">
        <v>0.40370200000000001</v>
      </c>
      <c r="X5093">
        <v>0.91342939999999995</v>
      </c>
      <c r="Y5093">
        <v>0.139815299999999</v>
      </c>
      <c r="Z5093">
        <v>-4.8335339999999996E-3</v>
      </c>
      <c r="AA5093">
        <v>0.99016579999999998</v>
      </c>
      <c r="AB5093">
        <v>35</v>
      </c>
      <c r="AC5093">
        <v>0.71429999999997995</v>
      </c>
      <c r="AD5093">
        <v>-0.13924999999999901</v>
      </c>
      <c r="AE5093">
        <v>-0.16336000000000001</v>
      </c>
      <c r="AF5093">
        <v>0.123467807697347</v>
      </c>
      <c r="AG5093">
        <v>-0.13924999999999901</v>
      </c>
      <c r="AH5093">
        <v>0.69634017610679699</v>
      </c>
      <c r="AI5093">
        <v>101.139203749285</v>
      </c>
      <c r="AJ5093">
        <v>79.945406136362394</v>
      </c>
      <c r="AK5093">
        <v>0.72078048176822496</v>
      </c>
      <c r="AL5093">
        <v>66.190187467360403</v>
      </c>
      <c r="AM5093">
        <v>86.761368953076101</v>
      </c>
      <c r="AN5093">
        <v>1.00000003135098</v>
      </c>
    </row>
    <row r="5094" spans="1:40" x14ac:dyDescent="0.25">
      <c r="A5094" t="str">
        <f>"20190304164512224"</f>
        <v>20190304164512224</v>
      </c>
      <c r="B5094" t="str">
        <f>"1551689112215530"</f>
        <v>1551689112215530</v>
      </c>
      <c r="C5094" t="s">
        <v>40</v>
      </c>
      <c r="D5094">
        <v>5.3724170000000004</v>
      </c>
      <c r="E5094">
        <v>0.55795430000000001</v>
      </c>
      <c r="F5094" t="s">
        <v>41</v>
      </c>
      <c r="G5094">
        <v>-330.93119999999999</v>
      </c>
      <c r="H5094">
        <v>0.99503739999999996</v>
      </c>
      <c r="I5094">
        <v>17.087759999999999</v>
      </c>
      <c r="J5094">
        <v>-331.47640000000001</v>
      </c>
      <c r="K5094">
        <v>1.1078950000000001</v>
      </c>
      <c r="L5094">
        <v>17.219760000000001</v>
      </c>
      <c r="M5094">
        <v>0.99859819999999999</v>
      </c>
      <c r="N5094">
        <v>-1.4000540000000001E-2</v>
      </c>
      <c r="O5094">
        <v>-5.1044859999999997E-2</v>
      </c>
      <c r="P5094">
        <v>0.91518129999999998</v>
      </c>
      <c r="Q5094">
        <v>0.39131159999999998</v>
      </c>
      <c r="R5094">
        <v>-9.653159E-2</v>
      </c>
      <c r="S5094">
        <v>3.4356080000000002</v>
      </c>
      <c r="T5094">
        <v>-0.53289989999999998</v>
      </c>
      <c r="U5094">
        <v>-0.67291259999999997</v>
      </c>
      <c r="V5094">
        <v>5.2664339999999997E-2</v>
      </c>
      <c r="W5094">
        <v>0.4037618</v>
      </c>
      <c r="X5094">
        <v>0.91334709999999997</v>
      </c>
      <c r="Y5094">
        <v>0.1405807</v>
      </c>
      <c r="Z5094">
        <v>-4.6570789999999997E-3</v>
      </c>
      <c r="AA5094">
        <v>0.9900582</v>
      </c>
      <c r="AB5094">
        <v>35</v>
      </c>
      <c r="AC5094">
        <v>0.545200000000022</v>
      </c>
      <c r="AD5094">
        <v>-0.1128576</v>
      </c>
      <c r="AE5094">
        <v>-0.13200000000000101</v>
      </c>
      <c r="AF5094">
        <v>9.9949812126913895E-2</v>
      </c>
      <c r="AG5094">
        <v>-0.1128576</v>
      </c>
      <c r="AH5094">
        <v>0.52978354899664604</v>
      </c>
      <c r="AI5094">
        <v>101.82317340004499</v>
      </c>
      <c r="AJ5094">
        <v>79.316063836678794</v>
      </c>
      <c r="AK5094">
        <v>0.55081522456214504</v>
      </c>
      <c r="AL5094">
        <v>66.186442214655898</v>
      </c>
      <c r="AM5094">
        <v>86.699932626534505</v>
      </c>
      <c r="AN5094">
        <v>1.0000000244626399</v>
      </c>
    </row>
    <row r="5095" spans="1:40" x14ac:dyDescent="0.25">
      <c r="A5095" t="str">
        <f>"20190304164512237"</f>
        <v>20190304164512237</v>
      </c>
      <c r="B5095" t="str">
        <f>"1551689112235051"</f>
        <v>1551689112235051</v>
      </c>
      <c r="C5095" t="s">
        <v>40</v>
      </c>
      <c r="D5095">
        <v>5.4050500000000001</v>
      </c>
      <c r="E5095">
        <v>0.55789609999999901</v>
      </c>
      <c r="F5095" t="s">
        <v>41</v>
      </c>
      <c r="G5095">
        <v>-330.62490000000003</v>
      </c>
      <c r="H5095">
        <v>0.97581910000000005</v>
      </c>
      <c r="I5095">
        <v>17.050909999999998</v>
      </c>
      <c r="J5095">
        <v>-331.26060000000001</v>
      </c>
      <c r="K5095">
        <v>1.1078600000000001</v>
      </c>
      <c r="L5095">
        <v>17.206939999999999</v>
      </c>
      <c r="M5095">
        <v>0.99849160000000003</v>
      </c>
      <c r="N5095">
        <v>-1.4001410000000001E-2</v>
      </c>
      <c r="O5095">
        <v>-5.3090690000000003E-2</v>
      </c>
      <c r="P5095">
        <v>0.91486420000000002</v>
      </c>
      <c r="Q5095">
        <v>0.39134600000000003</v>
      </c>
      <c r="R5095">
        <v>-9.9359149999999993E-2</v>
      </c>
      <c r="S5095">
        <v>3.4339599999999999</v>
      </c>
      <c r="T5095">
        <v>-0.53266429999999998</v>
      </c>
      <c r="U5095">
        <v>-0.68118290000000004</v>
      </c>
      <c r="V5095">
        <v>5.3658299999999999E-2</v>
      </c>
      <c r="W5095">
        <v>0.40378360000000002</v>
      </c>
      <c r="X5095">
        <v>0.91327959999999997</v>
      </c>
      <c r="Y5095">
        <v>0.14095289999999999</v>
      </c>
      <c r="Z5095">
        <v>-4.4048339999999998E-3</v>
      </c>
      <c r="AA5095">
        <v>0.99000650000000001</v>
      </c>
      <c r="AB5095">
        <v>35</v>
      </c>
      <c r="AC5095">
        <v>0.63569999999998505</v>
      </c>
      <c r="AD5095">
        <v>-0.13204089999999999</v>
      </c>
      <c r="AE5095">
        <v>-0.156029999999997</v>
      </c>
      <c r="AF5095">
        <v>0.11728433900829099</v>
      </c>
      <c r="AG5095">
        <v>-0.13204089999999999</v>
      </c>
      <c r="AH5095">
        <v>0.61794265107551405</v>
      </c>
      <c r="AI5095">
        <v>101.855965174251</v>
      </c>
      <c r="AJ5095">
        <v>79.253198473276598</v>
      </c>
      <c r="AK5095">
        <v>0.64268463142326404</v>
      </c>
      <c r="AL5095">
        <v>66.185076768738</v>
      </c>
      <c r="AM5095">
        <v>86.637542469544599</v>
      </c>
      <c r="AN5095">
        <v>1.0000000182819999</v>
      </c>
    </row>
    <row r="5096" spans="1:40" x14ac:dyDescent="0.25">
      <c r="A5096" t="str">
        <f>"20190304164512251"</f>
        <v>20190304164512251</v>
      </c>
      <c r="B5096" t="str">
        <f>"1551689112244810"</f>
        <v>1551689112244810</v>
      </c>
      <c r="C5096" t="s">
        <v>40</v>
      </c>
      <c r="D5096">
        <v>5.5186630000000001</v>
      </c>
      <c r="E5096">
        <v>0.55796639999999997</v>
      </c>
      <c r="F5096" t="s">
        <v>41</v>
      </c>
      <c r="G5096">
        <v>-330.31650000000002</v>
      </c>
      <c r="H5096">
        <v>0.96105669999999999</v>
      </c>
      <c r="I5096">
        <v>17.017129999999899</v>
      </c>
      <c r="J5096">
        <v>-331.04360000000003</v>
      </c>
      <c r="K5096">
        <v>1.10782</v>
      </c>
      <c r="L5096">
        <v>17.193570000000001</v>
      </c>
      <c r="M5096">
        <v>0.99837909999999996</v>
      </c>
      <c r="N5096">
        <v>-1.400231E-2</v>
      </c>
      <c r="O5096">
        <v>-5.516393E-2</v>
      </c>
      <c r="P5096">
        <v>0.91455850000000005</v>
      </c>
      <c r="Q5096">
        <v>0.3913084</v>
      </c>
      <c r="R5096">
        <v>-0.1022771</v>
      </c>
      <c r="S5096">
        <v>3.4325260000000002</v>
      </c>
      <c r="T5096">
        <v>-0.53381179999999995</v>
      </c>
      <c r="U5096">
        <v>-0.69036869999999995</v>
      </c>
      <c r="V5096">
        <v>5.4712280000000002E-2</v>
      </c>
      <c r="W5096">
        <v>0.40373419999999999</v>
      </c>
      <c r="X5096">
        <v>0.91323889999999996</v>
      </c>
      <c r="Y5096">
        <v>0.14153160000000001</v>
      </c>
      <c r="Z5096">
        <v>-4.1721950000000001E-3</v>
      </c>
      <c r="AA5096">
        <v>0.98992500000000005</v>
      </c>
      <c r="AB5096">
        <v>35</v>
      </c>
      <c r="AC5096">
        <v>0.72710000000000696</v>
      </c>
      <c r="AD5096">
        <v>-0.14676330000000001</v>
      </c>
      <c r="AE5096">
        <v>-0.17644000000000301</v>
      </c>
      <c r="AF5096">
        <v>0.13101657192768201</v>
      </c>
      <c r="AG5096">
        <v>-0.14676330000000001</v>
      </c>
      <c r="AH5096">
        <v>0.70846723449151905</v>
      </c>
      <c r="AI5096">
        <v>101.513746669713</v>
      </c>
      <c r="AJ5096">
        <v>79.522681291706107</v>
      </c>
      <c r="AK5096">
        <v>0.73527588746988903</v>
      </c>
      <c r="AL5096">
        <v>66.188170439908703</v>
      </c>
      <c r="AM5096">
        <v>86.571499192260205</v>
      </c>
      <c r="AN5096">
        <v>1.0000000131528199</v>
      </c>
    </row>
    <row r="5097" spans="1:40" x14ac:dyDescent="0.25">
      <c r="A5097" t="str">
        <f>"20190304164512268"</f>
        <v>20190304164512268</v>
      </c>
      <c r="B5097" t="str">
        <f>"1551689112255546"</f>
        <v>1551689112255546</v>
      </c>
      <c r="C5097" t="s">
        <v>40</v>
      </c>
      <c r="D5097">
        <v>5.4394530000000003</v>
      </c>
      <c r="E5097">
        <v>0.55796639999999997</v>
      </c>
      <c r="F5097" t="s">
        <v>41</v>
      </c>
      <c r="G5097">
        <v>-330.30070000000001</v>
      </c>
      <c r="H5097">
        <v>0.99203600000000003</v>
      </c>
      <c r="I5097">
        <v>17.041709999999998</v>
      </c>
      <c r="J5097">
        <v>-330.779</v>
      </c>
      <c r="K5097">
        <v>1.107788</v>
      </c>
      <c r="L5097">
        <v>17.176570000000002</v>
      </c>
      <c r="M5097">
        <v>0.99823519999999999</v>
      </c>
      <c r="N5097">
        <v>-1.400302E-2</v>
      </c>
      <c r="O5097">
        <v>-5.7710959999999999E-2</v>
      </c>
      <c r="P5097">
        <v>0.91383950000000003</v>
      </c>
      <c r="Q5097">
        <v>0.39184069999999999</v>
      </c>
      <c r="R5097">
        <v>-0.10657610000000001</v>
      </c>
      <c r="S5097">
        <v>3.4306030000000001</v>
      </c>
      <c r="T5097">
        <v>-0.53469509999999998</v>
      </c>
      <c r="U5097">
        <v>-0.70156859999999999</v>
      </c>
      <c r="V5097">
        <v>5.6738820000000002E-2</v>
      </c>
      <c r="W5097">
        <v>0.40424280000000001</v>
      </c>
      <c r="X5097">
        <v>0.91289010000000004</v>
      </c>
      <c r="Y5097">
        <v>0.1422293</v>
      </c>
      <c r="Z5097">
        <v>-3.88172E-3</v>
      </c>
      <c r="AA5097">
        <v>0.98982610000000004</v>
      </c>
      <c r="AB5097">
        <v>35</v>
      </c>
      <c r="AC5097">
        <v>0.47829999999999001</v>
      </c>
      <c r="AD5097">
        <v>-0.11575199999999899</v>
      </c>
      <c r="AE5097">
        <v>-0.13485999999999901</v>
      </c>
      <c r="AF5097">
        <v>0.101521367544277</v>
      </c>
      <c r="AG5097">
        <v>-0.11575199999999899</v>
      </c>
      <c r="AH5097">
        <v>0.460312436579986</v>
      </c>
      <c r="AI5097">
        <v>103.796705788239</v>
      </c>
      <c r="AJ5097">
        <v>77.562591204166793</v>
      </c>
      <c r="AK5097">
        <v>0.48537887556244502</v>
      </c>
      <c r="AL5097">
        <v>66.156312556221593</v>
      </c>
      <c r="AM5097">
        <v>86.443472727006906</v>
      </c>
      <c r="AN5097">
        <v>0.999999934862419</v>
      </c>
    </row>
    <row r="5098" spans="1:40" x14ac:dyDescent="0.25">
      <c r="A5098" t="str">
        <f>"20190304164512279"</f>
        <v>20190304164512279</v>
      </c>
      <c r="B5098" t="str">
        <f>"1551689112275067"</f>
        <v>1551689112275067</v>
      </c>
      <c r="C5098" t="s">
        <v>40</v>
      </c>
      <c r="D5098">
        <v>5.4444100000000004</v>
      </c>
      <c r="E5098">
        <v>0.56564720000000002</v>
      </c>
      <c r="F5098" t="s">
        <v>41</v>
      </c>
      <c r="G5098">
        <v>-329.98899999999998</v>
      </c>
      <c r="H5098">
        <v>0.98495650000000001</v>
      </c>
      <c r="I5098">
        <v>17.01088</v>
      </c>
      <c r="J5098">
        <v>-330.59769999999997</v>
      </c>
      <c r="K5098">
        <v>1.107761</v>
      </c>
      <c r="L5098">
        <v>17.164549999999998</v>
      </c>
      <c r="M5098">
        <v>0.99813220000000002</v>
      </c>
      <c r="N5098">
        <v>-1.4003440000000001E-2</v>
      </c>
      <c r="O5098">
        <v>-5.946481E-2</v>
      </c>
      <c r="P5098">
        <v>0.91344029999999998</v>
      </c>
      <c r="Q5098">
        <v>0.39211849999999998</v>
      </c>
      <c r="R5098">
        <v>-0.1089487</v>
      </c>
      <c r="S5098">
        <v>3.427521</v>
      </c>
      <c r="T5098">
        <v>-0.53266930000000001</v>
      </c>
      <c r="U5098">
        <v>-0.71789550000000002</v>
      </c>
      <c r="V5098">
        <v>5.7540359999999999E-2</v>
      </c>
      <c r="W5098">
        <v>0.40450970000000003</v>
      </c>
      <c r="X5098">
        <v>0.91272180000000003</v>
      </c>
      <c r="Y5098">
        <v>0.1451732</v>
      </c>
      <c r="Z5098">
        <v>-3.8785590000000002E-3</v>
      </c>
      <c r="AA5098">
        <v>0.98939869999999996</v>
      </c>
      <c r="AB5098">
        <v>35</v>
      </c>
      <c r="AC5098">
        <v>0.60869999999994195</v>
      </c>
      <c r="AD5098">
        <v>-0.122804499999999</v>
      </c>
      <c r="AE5098">
        <v>-0.153669999999998</v>
      </c>
      <c r="AF5098">
        <v>0.112879044992293</v>
      </c>
      <c r="AG5098">
        <v>-0.122804499999999</v>
      </c>
      <c r="AH5098">
        <v>0.59403154200490904</v>
      </c>
      <c r="AI5098">
        <v>101.480416671387</v>
      </c>
      <c r="AJ5098">
        <v>79.240817881204507</v>
      </c>
      <c r="AK5098">
        <v>0.61700575112015998</v>
      </c>
      <c r="AL5098">
        <v>66.139594874220194</v>
      </c>
      <c r="AM5098">
        <v>86.3926986609614</v>
      </c>
      <c r="AN5098">
        <v>1.00000003730912</v>
      </c>
    </row>
    <row r="5099" spans="1:40" x14ac:dyDescent="0.25">
      <c r="A5099" t="str">
        <f>"20190304164512290"</f>
        <v>20190304164512290</v>
      </c>
      <c r="B5099" t="str">
        <f>"1551689112284826"</f>
        <v>1551689112284826</v>
      </c>
      <c r="C5099" t="s">
        <v>40</v>
      </c>
      <c r="D5099">
        <v>5.4444850000000002</v>
      </c>
      <c r="E5099">
        <v>0.56575140000000002</v>
      </c>
      <c r="F5099" t="s">
        <v>41</v>
      </c>
      <c r="G5099">
        <v>-329.69069999999999</v>
      </c>
      <c r="H5099">
        <v>0.95165160000000004</v>
      </c>
      <c r="I5099">
        <v>16.957439999999998</v>
      </c>
      <c r="J5099">
        <v>-330.41199999999998</v>
      </c>
      <c r="K5099">
        <v>1.1077410000000001</v>
      </c>
      <c r="L5099">
        <v>17.151949999999999</v>
      </c>
      <c r="M5099">
        <v>0.99802299999999999</v>
      </c>
      <c r="N5099">
        <v>-1.400385E-2</v>
      </c>
      <c r="O5099">
        <v>-6.1269780000000003E-2</v>
      </c>
      <c r="P5099">
        <v>0.91301390000000004</v>
      </c>
      <c r="Q5099">
        <v>0.39237450000000001</v>
      </c>
      <c r="R5099">
        <v>-0.11157010000000001</v>
      </c>
      <c r="S5099">
        <v>3.4450069999999999</v>
      </c>
      <c r="T5099">
        <v>-0.59279729999999997</v>
      </c>
      <c r="U5099">
        <v>-0.78607179999999999</v>
      </c>
      <c r="V5099">
        <v>5.8545020000000003E-2</v>
      </c>
      <c r="W5099">
        <v>0.40475309999999998</v>
      </c>
      <c r="X5099">
        <v>0.91254999999999997</v>
      </c>
      <c r="Y5099">
        <v>0.16059089999999901</v>
      </c>
      <c r="Z5099">
        <v>-5.222969E-3</v>
      </c>
      <c r="AA5099">
        <v>0.98700719999999997</v>
      </c>
      <c r="AB5099">
        <v>35</v>
      </c>
      <c r="AC5099">
        <v>0.72129999999998495</v>
      </c>
      <c r="AD5099">
        <v>-0.15608939999999999</v>
      </c>
      <c r="AE5099">
        <v>-0.19451000000000099</v>
      </c>
      <c r="AF5099">
        <v>0.14367424208086901</v>
      </c>
      <c r="AG5099">
        <v>-0.15608939999999999</v>
      </c>
      <c r="AH5099">
        <v>0.70125061647262399</v>
      </c>
      <c r="AI5099">
        <v>102.301218096789</v>
      </c>
      <c r="AJ5099">
        <v>78.421314070464007</v>
      </c>
      <c r="AK5099">
        <v>0.73263812058417199</v>
      </c>
      <c r="AL5099">
        <v>66.124345146022506</v>
      </c>
      <c r="AM5099">
        <v>86.329196460884901</v>
      </c>
      <c r="AN5099">
        <v>1.0000000469132</v>
      </c>
    </row>
    <row r="5100" spans="1:40" x14ac:dyDescent="0.25">
      <c r="A5100" t="str">
        <f>"20190304164512302"</f>
        <v>20190304164512302</v>
      </c>
      <c r="B5100" t="str">
        <f>"1551689112295563"</f>
        <v>1551689112295563</v>
      </c>
      <c r="C5100" t="s">
        <v>40</v>
      </c>
      <c r="D5100">
        <v>5.4403069999999998</v>
      </c>
      <c r="E5100">
        <v>0.5658687</v>
      </c>
      <c r="F5100" t="s">
        <v>41</v>
      </c>
      <c r="G5100">
        <v>-329.67570000000001</v>
      </c>
      <c r="H5100">
        <v>0.98148360000000001</v>
      </c>
      <c r="I5100">
        <v>16.981279999999899</v>
      </c>
      <c r="J5100">
        <v>-330.24689999999998</v>
      </c>
      <c r="K5100">
        <v>1.107723</v>
      </c>
      <c r="L5100">
        <v>17.140350000000002</v>
      </c>
      <c r="M5100">
        <v>0.99792270000000005</v>
      </c>
      <c r="N5100">
        <v>-1.400418E-2</v>
      </c>
      <c r="O5100">
        <v>-6.2884549999999997E-2</v>
      </c>
      <c r="P5100">
        <v>0.91270759999999995</v>
      </c>
      <c r="Q5100">
        <v>0.3925304</v>
      </c>
      <c r="R5100">
        <v>-0.11351169999999999</v>
      </c>
      <c r="S5100">
        <v>3.441986</v>
      </c>
      <c r="T5100">
        <v>-0.59000889999999995</v>
      </c>
      <c r="U5100">
        <v>-0.79705809999999999</v>
      </c>
      <c r="V5100">
        <v>5.903543E-2</v>
      </c>
      <c r="W5100">
        <v>0.40490130000000002</v>
      </c>
      <c r="X5100">
        <v>0.91245259999999995</v>
      </c>
      <c r="Y5100">
        <v>0.16218250000000001</v>
      </c>
      <c r="Z5100">
        <v>-5.1073960000000002E-3</v>
      </c>
      <c r="AA5100">
        <v>0.98674759999999995</v>
      </c>
      <c r="AB5100">
        <v>35</v>
      </c>
      <c r="AC5100">
        <v>0.57119999999997595</v>
      </c>
      <c r="AD5100">
        <v>-0.1262394</v>
      </c>
      <c r="AE5100">
        <v>-0.15907000000000299</v>
      </c>
      <c r="AF5100">
        <v>0.11750554476660501</v>
      </c>
      <c r="AG5100">
        <v>-0.1262394</v>
      </c>
      <c r="AH5100">
        <v>0.55491942971123498</v>
      </c>
      <c r="AI5100">
        <v>102.547057819198</v>
      </c>
      <c r="AJ5100">
        <v>78.044088228253699</v>
      </c>
      <c r="AK5100">
        <v>0.58110198126860602</v>
      </c>
      <c r="AL5100">
        <v>66.115057658577598</v>
      </c>
      <c r="AM5100">
        <v>86.298138609897293</v>
      </c>
      <c r="AN5100">
        <v>0.99999999599186695</v>
      </c>
    </row>
    <row r="5101" spans="1:40" x14ac:dyDescent="0.25">
      <c r="A5101" t="str">
        <f>"20190304164512312"</f>
        <v>20190304164512312</v>
      </c>
      <c r="B5101" t="str">
        <f>"1551689112305323"</f>
        <v>1551689112305323</v>
      </c>
      <c r="C5101" t="s">
        <v>40</v>
      </c>
      <c r="D5101">
        <v>5.470002</v>
      </c>
      <c r="E5101">
        <v>0.56617759999999995</v>
      </c>
      <c r="F5101" t="s">
        <v>41</v>
      </c>
      <c r="G5101">
        <v>-329.37279999999998</v>
      </c>
      <c r="H5101">
        <v>0.95818919999999996</v>
      </c>
      <c r="I5101">
        <v>16.93524</v>
      </c>
      <c r="J5101">
        <v>-330.07139999999998</v>
      </c>
      <c r="K5101">
        <v>1.1077090000000001</v>
      </c>
      <c r="L5101">
        <v>17.1279</v>
      </c>
      <c r="M5101">
        <v>0.99781280000000006</v>
      </c>
      <c r="N5101">
        <v>-1.400448E-2</v>
      </c>
      <c r="O5101">
        <v>-6.4604129999999996E-2</v>
      </c>
      <c r="P5101">
        <v>0.91234870000000001</v>
      </c>
      <c r="Q5101">
        <v>0.39272400000000002</v>
      </c>
      <c r="R5101">
        <v>-0.11570660000000001</v>
      </c>
      <c r="S5101">
        <v>3.439667</v>
      </c>
      <c r="T5101">
        <v>-0.58826469999999997</v>
      </c>
      <c r="U5101">
        <v>-0.80636600000000003</v>
      </c>
      <c r="V5101">
        <v>5.9687289999999997E-2</v>
      </c>
      <c r="W5101">
        <v>0.40508620000000001</v>
      </c>
      <c r="X5101">
        <v>0.91232809999999998</v>
      </c>
      <c r="Y5101">
        <v>0.1631746</v>
      </c>
      <c r="Z5101">
        <v>-4.9271480000000001E-3</v>
      </c>
      <c r="AA5101">
        <v>0.98658489999999999</v>
      </c>
      <c r="AB5101">
        <v>35</v>
      </c>
      <c r="AC5101">
        <v>0.698599999999999</v>
      </c>
      <c r="AD5101">
        <v>-0.14951980000000001</v>
      </c>
      <c r="AE5101">
        <v>-0.19266</v>
      </c>
      <c r="AF5101">
        <v>0.14111335486389301</v>
      </c>
      <c r="AG5101">
        <v>-0.14951980000000001</v>
      </c>
      <c r="AH5101">
        <v>0.680614269052916</v>
      </c>
      <c r="AI5101">
        <v>102.13984095144799</v>
      </c>
      <c r="AJ5101">
        <v>78.2866885432191</v>
      </c>
      <c r="AK5101">
        <v>0.71098870086058197</v>
      </c>
      <c r="AL5101">
        <v>66.103470555566503</v>
      </c>
      <c r="AM5101">
        <v>86.256869494802899</v>
      </c>
      <c r="AN5101">
        <v>0.99999998203379703</v>
      </c>
    </row>
    <row r="5102" spans="1:40" x14ac:dyDescent="0.25">
      <c r="A5102" t="str">
        <f>"20190304164512323"</f>
        <v>20190304164512323</v>
      </c>
      <c r="B5102" t="str">
        <f>"1551689112315084"</f>
        <v>1551689112315084</v>
      </c>
      <c r="C5102" t="s">
        <v>40</v>
      </c>
      <c r="D5102">
        <v>5.458323</v>
      </c>
      <c r="E5102">
        <v>0.56641909999999995</v>
      </c>
      <c r="F5102" t="s">
        <v>41</v>
      </c>
      <c r="G5102">
        <v>-329.35829999999999</v>
      </c>
      <c r="H5102">
        <v>0.98660079999999994</v>
      </c>
      <c r="I5102">
        <v>16.957840000000001</v>
      </c>
      <c r="J5102">
        <v>-329.90280000000001</v>
      </c>
      <c r="K5102">
        <v>1.107693</v>
      </c>
      <c r="L5102">
        <v>17.11542</v>
      </c>
      <c r="M5102">
        <v>0.99770360000000002</v>
      </c>
      <c r="N5102">
        <v>-1.4004880000000001E-2</v>
      </c>
      <c r="O5102">
        <v>-6.6269110000000006E-2</v>
      </c>
      <c r="P5102">
        <v>0.91198869999999999</v>
      </c>
      <c r="Q5102">
        <v>0.3928741</v>
      </c>
      <c r="R5102">
        <v>-0.1180123</v>
      </c>
      <c r="S5102">
        <v>3.435486</v>
      </c>
      <c r="T5102">
        <v>-0.58326140000000004</v>
      </c>
      <c r="U5102">
        <v>-0.81832890000000003</v>
      </c>
      <c r="V5102">
        <v>6.0499989999999997E-2</v>
      </c>
      <c r="W5102">
        <v>0.40522560000000002</v>
      </c>
      <c r="X5102">
        <v>0.91221269999999999</v>
      </c>
      <c r="Y5102">
        <v>0.16506370000000001</v>
      </c>
      <c r="Z5102">
        <v>-4.8239249999999997E-3</v>
      </c>
      <c r="AA5102">
        <v>0.98627109999999996</v>
      </c>
      <c r="AB5102">
        <v>35</v>
      </c>
      <c r="AC5102">
        <v>0.54450000000002696</v>
      </c>
      <c r="AD5102">
        <v>-0.1210922</v>
      </c>
      <c r="AE5102">
        <v>-0.157579999999999</v>
      </c>
      <c r="AF5102">
        <v>0.115859145408615</v>
      </c>
      <c r="AG5102">
        <v>-0.1210922</v>
      </c>
      <c r="AH5102">
        <v>0.52957878893388199</v>
      </c>
      <c r="AI5102">
        <v>102.59169915120501</v>
      </c>
      <c r="AJ5102">
        <v>77.659489386864493</v>
      </c>
      <c r="AK5102">
        <v>0.55546409079645498</v>
      </c>
      <c r="AL5102">
        <v>66.094735412329896</v>
      </c>
      <c r="AM5102">
        <v>86.205572465253397</v>
      </c>
      <c r="AN5102">
        <v>1.0000000228633199</v>
      </c>
    </row>
    <row r="5103" spans="1:40" x14ac:dyDescent="0.25">
      <c r="A5103" t="str">
        <f>"20190304164512334"</f>
        <v>20190304164512334</v>
      </c>
      <c r="B5103" t="str">
        <f>"1551689112324843"</f>
        <v>1551689112324843</v>
      </c>
      <c r="C5103" t="s">
        <v>40</v>
      </c>
      <c r="D5103">
        <v>5.4646179999999998</v>
      </c>
      <c r="E5103">
        <v>0.56652559999999996</v>
      </c>
      <c r="F5103" t="s">
        <v>41</v>
      </c>
      <c r="G5103">
        <v>-329.05520000000001</v>
      </c>
      <c r="H5103">
        <v>0.96457669999999995</v>
      </c>
      <c r="I5103">
        <v>16.910319999999999</v>
      </c>
      <c r="J5103">
        <v>-329.72879999999998</v>
      </c>
      <c r="K5103">
        <v>1.1076760000000001</v>
      </c>
      <c r="L5103">
        <v>17.102450000000001</v>
      </c>
      <c r="M5103">
        <v>0.99758760000000002</v>
      </c>
      <c r="N5103">
        <v>-1.400526E-2</v>
      </c>
      <c r="O5103">
        <v>-6.7991209999999996E-2</v>
      </c>
      <c r="P5103">
        <v>0.91158329999999999</v>
      </c>
      <c r="Q5103">
        <v>0.39311439999999997</v>
      </c>
      <c r="R5103">
        <v>-0.1203206</v>
      </c>
      <c r="S5103">
        <v>3.4316409999999999</v>
      </c>
      <c r="T5103">
        <v>-0.57923789999999997</v>
      </c>
      <c r="U5103">
        <v>-0.82974239999999999</v>
      </c>
      <c r="V5103">
        <v>6.1267679999999998E-2</v>
      </c>
      <c r="W5103">
        <v>0.40545540000000002</v>
      </c>
      <c r="X5103">
        <v>0.91205930000000002</v>
      </c>
      <c r="Y5103">
        <v>0.16672619999999999</v>
      </c>
      <c r="Z5103">
        <v>-4.6977269999999996E-3</v>
      </c>
      <c r="AA5103">
        <v>0.98599210000000004</v>
      </c>
      <c r="AB5103">
        <v>35</v>
      </c>
      <c r="AC5103">
        <v>0.67359999999996401</v>
      </c>
      <c r="AD5103">
        <v>-0.14309930000000001</v>
      </c>
      <c r="AE5103">
        <v>-0.192129999999998</v>
      </c>
      <c r="AF5103">
        <v>0.140037446676294</v>
      </c>
      <c r="AG5103">
        <v>-0.14309930000000001</v>
      </c>
      <c r="AH5103">
        <v>0.65765788391945401</v>
      </c>
      <c r="AI5103">
        <v>102.014336120658</v>
      </c>
      <c r="AJ5103">
        <v>77.979333882961001</v>
      </c>
      <c r="AK5103">
        <v>0.68746039043243801</v>
      </c>
      <c r="AL5103">
        <v>66.080331710421802</v>
      </c>
      <c r="AM5103">
        <v>86.156923628799703</v>
      </c>
      <c r="AN5103">
        <v>0.99999998835911597</v>
      </c>
    </row>
    <row r="5104" spans="1:40" x14ac:dyDescent="0.25">
      <c r="A5104" t="str">
        <f>"20190304164512345"</f>
        <v>20190304164512345</v>
      </c>
      <c r="B5104" t="str">
        <f>"1551689112335579"</f>
        <v>1551689112335579</v>
      </c>
      <c r="C5104" t="s">
        <v>40</v>
      </c>
      <c r="D5104">
        <v>5.455387</v>
      </c>
      <c r="E5104">
        <v>0.56652409999999997</v>
      </c>
      <c r="F5104" t="s">
        <v>41</v>
      </c>
      <c r="G5104">
        <v>-328.75170000000003</v>
      </c>
      <c r="H5104">
        <v>0.94344890000000003</v>
      </c>
      <c r="I5104">
        <v>16.862739999999999</v>
      </c>
      <c r="J5104">
        <v>-329.56020000000001</v>
      </c>
      <c r="K5104">
        <v>1.1076509999999999</v>
      </c>
      <c r="L5104">
        <v>17.08942</v>
      </c>
      <c r="M5104">
        <v>0.99747149999999996</v>
      </c>
      <c r="N5104">
        <v>-1.4005750000000001E-2</v>
      </c>
      <c r="O5104">
        <v>-6.9676859999999993E-2</v>
      </c>
      <c r="P5104">
        <v>0.91123869999999896</v>
      </c>
      <c r="Q5104">
        <v>0.39320100000000002</v>
      </c>
      <c r="R5104">
        <v>-0.12262720000000001</v>
      </c>
      <c r="S5104">
        <v>3.4284669999999999</v>
      </c>
      <c r="T5104">
        <v>-0.57605410000000001</v>
      </c>
      <c r="U5104">
        <v>-0.84030149999999904</v>
      </c>
      <c r="V5104">
        <v>6.2063119999999999E-2</v>
      </c>
      <c r="W5104">
        <v>0.40553210000000001</v>
      </c>
      <c r="X5104">
        <v>0.91197139999999999</v>
      </c>
      <c r="Y5104">
        <v>0.16814870000000001</v>
      </c>
      <c r="Z5104">
        <v>-4.5604469999999996E-3</v>
      </c>
      <c r="AA5104">
        <v>0.98575109999999999</v>
      </c>
      <c r="AB5104">
        <v>35</v>
      </c>
      <c r="AC5104">
        <v>0.80849999999998001</v>
      </c>
      <c r="AD5104">
        <v>-0.16420209999999999</v>
      </c>
      <c r="AE5104">
        <v>-0.22668000000000099</v>
      </c>
      <c r="AF5104">
        <v>0.16353587612904899</v>
      </c>
      <c r="AG5104">
        <v>-0.16420209999999999</v>
      </c>
      <c r="AH5104">
        <v>0.79204176063245502</v>
      </c>
      <c r="AI5104">
        <v>101.47689260070401</v>
      </c>
      <c r="AJ5104">
        <v>78.333860094988296</v>
      </c>
      <c r="AK5104">
        <v>0.82524933384490795</v>
      </c>
      <c r="AL5104">
        <v>66.075523796536501</v>
      </c>
      <c r="AM5104">
        <v>86.106807235916904</v>
      </c>
      <c r="AN5104">
        <v>0.99999997470625202</v>
      </c>
    </row>
    <row r="5105" spans="1:40" x14ac:dyDescent="0.25">
      <c r="A5105" t="str">
        <f>"20190304164512357"</f>
        <v>20190304164512357</v>
      </c>
      <c r="B5105" t="str">
        <f>"1551689112345339"</f>
        <v>1551689112345339</v>
      </c>
      <c r="C5105" t="s">
        <v>40</v>
      </c>
      <c r="D5105">
        <v>5.4721080000000004</v>
      </c>
      <c r="E5105">
        <v>0.56655509999999998</v>
      </c>
      <c r="F5105" t="s">
        <v>41</v>
      </c>
      <c r="G5105">
        <v>-328.73849999999999</v>
      </c>
      <c r="H5105">
        <v>0.96974280000000002</v>
      </c>
      <c r="I5105">
        <v>16.88542</v>
      </c>
      <c r="J5105">
        <v>-329.38679999999999</v>
      </c>
      <c r="K5105">
        <v>1.107631</v>
      </c>
      <c r="L5105">
        <v>17.075839999999999</v>
      </c>
      <c r="M5105">
        <v>0.99734840000000002</v>
      </c>
      <c r="N5105">
        <v>-1.400623E-2</v>
      </c>
      <c r="O5105">
        <v>-7.1414630000000007E-2</v>
      </c>
      <c r="P5105">
        <v>0.91095190000000004</v>
      </c>
      <c r="Q5105">
        <v>0.39315090000000003</v>
      </c>
      <c r="R5105">
        <v>-0.1248956</v>
      </c>
      <c r="S5105">
        <v>3.4259029999999999</v>
      </c>
      <c r="T5105">
        <v>-0.57468490000000005</v>
      </c>
      <c r="U5105">
        <v>-0.84948729999999995</v>
      </c>
      <c r="V5105">
        <v>6.2768299999999999E-2</v>
      </c>
      <c r="W5105">
        <v>0.40547369999999999</v>
      </c>
      <c r="X5105">
        <v>0.91194909999999996</v>
      </c>
      <c r="Y5105">
        <v>0.16910539999999999</v>
      </c>
      <c r="Z5105">
        <v>-4.3820639999999998E-3</v>
      </c>
      <c r="AA5105">
        <v>0.98558829999999997</v>
      </c>
      <c r="AB5105">
        <v>35</v>
      </c>
      <c r="AC5105">
        <v>0.64830000000000598</v>
      </c>
      <c r="AD5105">
        <v>-0.13788819999999999</v>
      </c>
      <c r="AE5105">
        <v>-0.19041999999999901</v>
      </c>
      <c r="AF5105">
        <v>0.137888682625468</v>
      </c>
      <c r="AG5105">
        <v>-0.13788819999999999</v>
      </c>
      <c r="AH5105">
        <v>0.63384786617049005</v>
      </c>
      <c r="AI5105">
        <v>102.000721641845</v>
      </c>
      <c r="AJ5105">
        <v>77.726968979312403</v>
      </c>
      <c r="AK5105">
        <v>0.66316631544757398</v>
      </c>
      <c r="AL5105">
        <v>66.079184237223899</v>
      </c>
      <c r="AM5105">
        <v>86.062613974529896</v>
      </c>
      <c r="AN5105">
        <v>0.99999997093369397</v>
      </c>
    </row>
    <row r="5106" spans="1:40" x14ac:dyDescent="0.25">
      <c r="A5106" t="str">
        <f>"20190304164512367"</f>
        <v>20190304164512367</v>
      </c>
      <c r="B5106" t="str">
        <f>"1551689112355099"</f>
        <v>1551689112355099</v>
      </c>
      <c r="C5106" t="s">
        <v>40</v>
      </c>
      <c r="D5106">
        <v>5.4625360000000001</v>
      </c>
      <c r="E5106">
        <v>0.56656059999999997</v>
      </c>
      <c r="F5106" t="s">
        <v>41</v>
      </c>
      <c r="G5106">
        <v>-328.4357</v>
      </c>
      <c r="H5106">
        <v>0.94819399999999998</v>
      </c>
      <c r="I5106">
        <v>16.83727</v>
      </c>
      <c r="J5106">
        <v>-329.20749999999998</v>
      </c>
      <c r="K5106">
        <v>1.1076079999999999</v>
      </c>
      <c r="L5106">
        <v>17.061339999999898</v>
      </c>
      <c r="M5106">
        <v>0.99721680000000001</v>
      </c>
      <c r="N5106">
        <v>-1.4006889999999999E-2</v>
      </c>
      <c r="O5106">
        <v>-7.3228600000000005E-2</v>
      </c>
      <c r="P5106">
        <v>0.91059690000000004</v>
      </c>
      <c r="Q5106">
        <v>0.39323399999999997</v>
      </c>
      <c r="R5106">
        <v>-0.1272018</v>
      </c>
      <c r="S5106">
        <v>3.4232179999999999</v>
      </c>
      <c r="T5106">
        <v>-0.5739725</v>
      </c>
      <c r="U5106">
        <v>-0.85900880000000002</v>
      </c>
      <c r="V5106">
        <v>6.3447980000000001E-2</v>
      </c>
      <c r="W5106">
        <v>0.40554770000000001</v>
      </c>
      <c r="X5106">
        <v>0.91186920000000005</v>
      </c>
      <c r="Y5106">
        <v>0.17008299999999901</v>
      </c>
      <c r="Z5106">
        <v>-4.1973920000000003E-3</v>
      </c>
      <c r="AA5106">
        <v>0.98542079999999999</v>
      </c>
      <c r="AB5106">
        <v>35</v>
      </c>
      <c r="AC5106">
        <v>0.77179999999998405</v>
      </c>
      <c r="AD5106">
        <v>-0.159413999999999</v>
      </c>
      <c r="AE5106">
        <v>-0.22406999999999699</v>
      </c>
      <c r="AF5106">
        <v>0.160624982882308</v>
      </c>
      <c r="AG5106">
        <v>-0.159413999999999</v>
      </c>
      <c r="AH5106">
        <v>0.75637706679385897</v>
      </c>
      <c r="AI5106">
        <v>101.64903415019</v>
      </c>
      <c r="AJ5106">
        <v>78.010721465433406</v>
      </c>
      <c r="AK5106">
        <v>0.78950584272291702</v>
      </c>
      <c r="AL5106">
        <v>66.074546874944303</v>
      </c>
      <c r="AM5106">
        <v>86.019767075963998</v>
      </c>
      <c r="AN5106">
        <v>1.000000010525</v>
      </c>
    </row>
    <row r="5107" spans="1:40" x14ac:dyDescent="0.25">
      <c r="A5107" t="str">
        <f>"20190304164512378"</f>
        <v>20190304164512378</v>
      </c>
      <c r="B5107" t="str">
        <f>"1551689112364859"</f>
        <v>1551689112364859</v>
      </c>
      <c r="C5107" t="s">
        <v>40</v>
      </c>
      <c r="D5107">
        <v>5.4698120000000001</v>
      </c>
      <c r="E5107">
        <v>0.56658149999999996</v>
      </c>
      <c r="F5107" t="s">
        <v>41</v>
      </c>
      <c r="G5107">
        <v>-328.42149999999998</v>
      </c>
      <c r="H5107">
        <v>0.97592630000000002</v>
      </c>
      <c r="I5107">
        <v>16.86186</v>
      </c>
      <c r="J5107">
        <v>-329.04090000000002</v>
      </c>
      <c r="K5107">
        <v>1.107591</v>
      </c>
      <c r="L5107">
        <v>17.047639999999902</v>
      </c>
      <c r="M5107">
        <v>0.99709119999999996</v>
      </c>
      <c r="N5107">
        <v>-1.4007439999999999E-2</v>
      </c>
      <c r="O5107">
        <v>-7.4920580000000001E-2</v>
      </c>
      <c r="P5107">
        <v>0.91030560000000005</v>
      </c>
      <c r="Q5107">
        <v>0.39312740000000002</v>
      </c>
      <c r="R5107">
        <v>-0.12959609999999999</v>
      </c>
      <c r="S5107">
        <v>3.420776</v>
      </c>
      <c r="T5107">
        <v>-0.57329399999999997</v>
      </c>
      <c r="U5107">
        <v>-0.86868289999999904</v>
      </c>
      <c r="V5107">
        <v>6.4319979999999999E-2</v>
      </c>
      <c r="W5107">
        <v>0.40543059999999997</v>
      </c>
      <c r="X5107">
        <v>0.91186020000000001</v>
      </c>
      <c r="Y5107">
        <v>0.17120239999999901</v>
      </c>
      <c r="Z5107">
        <v>-4.043914E-3</v>
      </c>
      <c r="AA5107">
        <v>0.98522759999999998</v>
      </c>
      <c r="AB5107">
        <v>35</v>
      </c>
      <c r="AC5107">
        <v>0.61940000000004103</v>
      </c>
      <c r="AD5107">
        <v>-0.131664699999999</v>
      </c>
      <c r="AE5107">
        <v>-0.185779999999997</v>
      </c>
      <c r="AF5107">
        <v>0.133320499506385</v>
      </c>
      <c r="AG5107">
        <v>-0.131664699999999</v>
      </c>
      <c r="AH5107">
        <v>0.60643855458895901</v>
      </c>
      <c r="AI5107">
        <v>101.972099047417</v>
      </c>
      <c r="AJ5107">
        <v>77.601231456697406</v>
      </c>
      <c r="AK5107">
        <v>0.63472645234515701</v>
      </c>
      <c r="AL5107">
        <v>66.081887141746805</v>
      </c>
      <c r="AM5107">
        <v>85.965204331868193</v>
      </c>
      <c r="AN5107">
        <v>1.0000000277937899</v>
      </c>
    </row>
    <row r="5108" spans="1:40" x14ac:dyDescent="0.25">
      <c r="A5108" t="str">
        <f>"20190304164512389"</f>
        <v>20190304164512389</v>
      </c>
      <c r="B5108" t="str">
        <f>"1551689112385354"</f>
        <v>1551689112385354</v>
      </c>
      <c r="C5108" t="s">
        <v>40</v>
      </c>
      <c r="D5108">
        <v>5.4605249999999996</v>
      </c>
      <c r="E5108">
        <v>0.56645519999999905</v>
      </c>
      <c r="F5108" t="s">
        <v>41</v>
      </c>
      <c r="G5108">
        <v>-328.11989999999997</v>
      </c>
      <c r="H5108">
        <v>0.95310410000000001</v>
      </c>
      <c r="I5108">
        <v>16.810679999999898</v>
      </c>
      <c r="J5108">
        <v>-328.86239999999998</v>
      </c>
      <c r="K5108">
        <v>1.1075699999999999</v>
      </c>
      <c r="L5108">
        <v>17.032589999999999</v>
      </c>
      <c r="M5108">
        <v>0.99695219999999996</v>
      </c>
      <c r="N5108">
        <v>-1.400797E-2</v>
      </c>
      <c r="O5108">
        <v>-7.6747540000000003E-2</v>
      </c>
      <c r="P5108">
        <v>0.90995420000000005</v>
      </c>
      <c r="Q5108">
        <v>0.39319520000000002</v>
      </c>
      <c r="R5108">
        <v>-0.1318385</v>
      </c>
      <c r="S5108">
        <v>3.4180600000000001</v>
      </c>
      <c r="T5108">
        <v>-0.57302069999999905</v>
      </c>
      <c r="U5108">
        <v>-0.87826539999999997</v>
      </c>
      <c r="V5108">
        <v>6.4924019999999999E-2</v>
      </c>
      <c r="W5108">
        <v>0.40549030000000003</v>
      </c>
      <c r="X5108">
        <v>0.91179080000000001</v>
      </c>
      <c r="Y5108">
        <v>0.17218359999999999</v>
      </c>
      <c r="Z5108">
        <v>-3.8596350000000001E-3</v>
      </c>
      <c r="AA5108">
        <v>0.98505730000000002</v>
      </c>
      <c r="AB5108">
        <v>35</v>
      </c>
      <c r="AC5108">
        <v>0.74250000000000604</v>
      </c>
      <c r="AD5108">
        <v>-0.15446589999999999</v>
      </c>
      <c r="AE5108">
        <v>-0.221910000000001</v>
      </c>
      <c r="AF5108">
        <v>0.15798790316136699</v>
      </c>
      <c r="AG5108">
        <v>-0.15446589999999999</v>
      </c>
      <c r="AH5108">
        <v>0.72840305351374202</v>
      </c>
      <c r="AI5108">
        <v>101.708364445529</v>
      </c>
      <c r="AJ5108">
        <v>77.762312661895905</v>
      </c>
      <c r="AK5108">
        <v>0.76117731191640103</v>
      </c>
      <c r="AL5108">
        <v>66.078144170431599</v>
      </c>
      <c r="AM5108">
        <v>85.927130843312</v>
      </c>
      <c r="AN5108">
        <v>0.99999998736584494</v>
      </c>
    </row>
    <row r="5109" spans="1:40" x14ac:dyDescent="0.25">
      <c r="A5109" t="str">
        <f>"20190304164512400"</f>
        <v>20190304164512400</v>
      </c>
      <c r="B5109" t="str">
        <f>"1551689112395114"</f>
        <v>1551689112395114</v>
      </c>
      <c r="C5109" t="s">
        <v>40</v>
      </c>
      <c r="D5109">
        <v>5.4670680000000003</v>
      </c>
      <c r="E5109">
        <v>0.56639130000000004</v>
      </c>
      <c r="F5109" t="s">
        <v>41</v>
      </c>
      <c r="G5109">
        <v>-328.10570000000001</v>
      </c>
      <c r="H5109">
        <v>0.98050130000000002</v>
      </c>
      <c r="I5109">
        <v>16.835999999999999</v>
      </c>
      <c r="J5109">
        <v>-328.67930000000001</v>
      </c>
      <c r="K5109">
        <v>1.107548</v>
      </c>
      <c r="L5109">
        <v>17.016819999999999</v>
      </c>
      <c r="M5109">
        <v>0.99680500000000005</v>
      </c>
      <c r="N5109">
        <v>-1.400855E-2</v>
      </c>
      <c r="O5109">
        <v>-7.8636020000000001E-2</v>
      </c>
      <c r="P5109">
        <v>0.9095432</v>
      </c>
      <c r="Q5109">
        <v>0.39329769999999997</v>
      </c>
      <c r="R5109">
        <v>-0.1343435</v>
      </c>
      <c r="S5109">
        <v>3.4161679999999999</v>
      </c>
      <c r="T5109">
        <v>-0.57331109999999996</v>
      </c>
      <c r="U5109">
        <v>-0.8861694</v>
      </c>
      <c r="V5109">
        <v>6.5738920000000006E-2</v>
      </c>
      <c r="W5109">
        <v>0.40558179999999999</v>
      </c>
      <c r="X5109">
        <v>0.91169169999999999</v>
      </c>
      <c r="Y5109">
        <v>0.17259910000000001</v>
      </c>
      <c r="Z5109">
        <v>-3.6168709999999998E-3</v>
      </c>
      <c r="AA5109">
        <v>0.98498549999999996</v>
      </c>
      <c r="AB5109">
        <v>35</v>
      </c>
      <c r="AC5109">
        <v>0.573599999999999</v>
      </c>
      <c r="AD5109">
        <v>-0.12704669999999901</v>
      </c>
      <c r="AE5109">
        <v>-0.18082000000000401</v>
      </c>
      <c r="AF5109">
        <v>0.129376685449928</v>
      </c>
      <c r="AG5109">
        <v>-0.12704669999999901</v>
      </c>
      <c r="AH5109">
        <v>0.561009628755884</v>
      </c>
      <c r="AI5109">
        <v>102.443970880484</v>
      </c>
      <c r="AJ5109">
        <v>77.013826803769902</v>
      </c>
      <c r="AK5109">
        <v>0.589585442727103</v>
      </c>
      <c r="AL5109">
        <v>66.072408606341398</v>
      </c>
      <c r="AM5109">
        <v>85.875738408874497</v>
      </c>
      <c r="AN5109">
        <v>0.99999997897144799</v>
      </c>
    </row>
    <row r="5110" spans="1:40" x14ac:dyDescent="0.25">
      <c r="A5110" t="str">
        <f>"20190304164512412"</f>
        <v>20190304164512412</v>
      </c>
      <c r="B5110" t="str">
        <f>"1551689112404874"</f>
        <v>1551689112404874</v>
      </c>
      <c r="C5110" t="s">
        <v>40</v>
      </c>
      <c r="D5110">
        <v>5.4746009999999998</v>
      </c>
      <c r="E5110">
        <v>0.56627399999999894</v>
      </c>
      <c r="F5110" t="s">
        <v>41</v>
      </c>
      <c r="G5110">
        <v>-327.80309999999997</v>
      </c>
      <c r="H5110">
        <v>0.96041560000000004</v>
      </c>
      <c r="I5110">
        <v>16.78726</v>
      </c>
      <c r="J5110">
        <v>-328.50020000000001</v>
      </c>
      <c r="K5110">
        <v>1.107524</v>
      </c>
      <c r="L5110">
        <v>17.001100000000001</v>
      </c>
      <c r="M5110">
        <v>0.99665680000000001</v>
      </c>
      <c r="N5110">
        <v>-1.400908E-2</v>
      </c>
      <c r="O5110">
        <v>-8.0492659999999994E-2</v>
      </c>
      <c r="P5110">
        <v>0.90917899999999996</v>
      </c>
      <c r="Q5110">
        <v>0.39331050000000001</v>
      </c>
      <c r="R5110">
        <v>-0.13674990000000001</v>
      </c>
      <c r="S5110">
        <v>3.4141240000000002</v>
      </c>
      <c r="T5110">
        <v>-0.57332609999999995</v>
      </c>
      <c r="U5110">
        <v>-0.89468380000000003</v>
      </c>
      <c r="V5110">
        <v>6.6479679999999999E-2</v>
      </c>
      <c r="W5110">
        <v>0.40558440000000001</v>
      </c>
      <c r="X5110">
        <v>0.91163680000000002</v>
      </c>
      <c r="Y5110">
        <v>0.17321919999999999</v>
      </c>
      <c r="Z5110">
        <v>-3.3963470000000001E-3</v>
      </c>
      <c r="AA5110">
        <v>0.98487749999999996</v>
      </c>
      <c r="AB5110">
        <v>35</v>
      </c>
      <c r="AC5110">
        <v>0.69710000000003403</v>
      </c>
      <c r="AD5110">
        <v>-0.1471084</v>
      </c>
      <c r="AE5110">
        <v>-0.213840000000001</v>
      </c>
      <c r="AF5110">
        <v>0.150887464829526</v>
      </c>
      <c r="AG5110">
        <v>-0.1471084</v>
      </c>
      <c r="AH5110">
        <v>0.684202648451956</v>
      </c>
      <c r="AI5110">
        <v>101.85769717211799</v>
      </c>
      <c r="AJ5110">
        <v>77.563599487423502</v>
      </c>
      <c r="AK5110">
        <v>0.71591980873692296</v>
      </c>
      <c r="AL5110">
        <v>66.072245002285399</v>
      </c>
      <c r="AM5110">
        <v>85.829178162505201</v>
      </c>
      <c r="AN5110">
        <v>0.99999995424525001</v>
      </c>
    </row>
    <row r="5111" spans="1:40" x14ac:dyDescent="0.25">
      <c r="A5111" t="str">
        <f>"20190304164512424"</f>
        <v>20190304164512424</v>
      </c>
      <c r="B5111" t="str">
        <f>"1551689112415611"</f>
        <v>1551689112415611</v>
      </c>
      <c r="C5111" t="s">
        <v>40</v>
      </c>
      <c r="D5111">
        <v>5.4674250000000004</v>
      </c>
      <c r="E5111">
        <v>0.56627399999999894</v>
      </c>
      <c r="F5111" t="s">
        <v>41</v>
      </c>
      <c r="G5111">
        <v>-327.78870000000001</v>
      </c>
      <c r="H5111">
        <v>0.98769689999999999</v>
      </c>
      <c r="I5111">
        <v>16.81297</v>
      </c>
      <c r="J5111">
        <v>-328.3211</v>
      </c>
      <c r="K5111">
        <v>1.107505</v>
      </c>
      <c r="L5111">
        <v>16.98489</v>
      </c>
      <c r="M5111">
        <v>0.99650349999999999</v>
      </c>
      <c r="N5111">
        <v>-1.400969E-2</v>
      </c>
      <c r="O5111">
        <v>-8.2368700000000003E-2</v>
      </c>
      <c r="P5111">
        <v>0.90871109999999999</v>
      </c>
      <c r="Q5111">
        <v>0.39353450000000001</v>
      </c>
      <c r="R5111">
        <v>-0.13919419999999999</v>
      </c>
      <c r="S5111">
        <v>3.4125369999999999</v>
      </c>
      <c r="T5111">
        <v>-0.57473890000000005</v>
      </c>
      <c r="U5111">
        <v>-0.90261840000000004</v>
      </c>
      <c r="V5111">
        <v>6.7250039999999997E-2</v>
      </c>
      <c r="W5111">
        <v>0.40579759999999998</v>
      </c>
      <c r="X5111">
        <v>0.91148549999999995</v>
      </c>
      <c r="Y5111">
        <v>0.17362729999999901</v>
      </c>
      <c r="Z5111">
        <v>-3.1557349999999998E-3</v>
      </c>
      <c r="AA5111">
        <v>0.98480639999999997</v>
      </c>
      <c r="AB5111">
        <v>35</v>
      </c>
      <c r="AC5111">
        <v>0.53239999999999499</v>
      </c>
      <c r="AD5111">
        <v>-0.119808099999999</v>
      </c>
      <c r="AE5111">
        <v>-0.17191999999999999</v>
      </c>
      <c r="AF5111">
        <v>0.12188866519902899</v>
      </c>
      <c r="AG5111">
        <v>-0.119808099999999</v>
      </c>
      <c r="AH5111">
        <v>0.52086659170917404</v>
      </c>
      <c r="AI5111">
        <v>102.623995783985</v>
      </c>
      <c r="AJ5111">
        <v>76.829144590667696</v>
      </c>
      <c r="AK5111">
        <v>0.54819050875434105</v>
      </c>
      <c r="AL5111">
        <v>66.058882456159694</v>
      </c>
      <c r="AM5111">
        <v>85.780322819704196</v>
      </c>
      <c r="AN5111">
        <v>1.0000000383779999</v>
      </c>
    </row>
    <row r="5112" spans="1:40" x14ac:dyDescent="0.25">
      <c r="A5112" t="str">
        <f>"20190304164512435"</f>
        <v>20190304164512435</v>
      </c>
      <c r="B5112" t="str">
        <f>"1551689112425371"</f>
        <v>1551689112425371</v>
      </c>
      <c r="C5112" t="s">
        <v>40</v>
      </c>
      <c r="D5112">
        <v>5.4792120000000004</v>
      </c>
      <c r="E5112">
        <v>0.56293879999999996</v>
      </c>
      <c r="F5112" t="s">
        <v>41</v>
      </c>
      <c r="G5112">
        <v>-327.48700000000002</v>
      </c>
      <c r="H5112">
        <v>0.96706309999999995</v>
      </c>
      <c r="I5112">
        <v>16.76163</v>
      </c>
      <c r="J5112">
        <v>-328.1542</v>
      </c>
      <c r="K5112">
        <v>1.1074870000000001</v>
      </c>
      <c r="L5112">
        <v>16.969639999999998</v>
      </c>
      <c r="M5112">
        <v>0.9963571</v>
      </c>
      <c r="N5112">
        <v>-1.401019E-2</v>
      </c>
      <c r="O5112">
        <v>-8.4121440000000006E-2</v>
      </c>
      <c r="P5112">
        <v>0.90827570000000002</v>
      </c>
      <c r="Q5112">
        <v>0.39375909999999997</v>
      </c>
      <c r="R5112">
        <v>-0.1413827</v>
      </c>
      <c r="S5112">
        <v>3.4102480000000002</v>
      </c>
      <c r="T5112">
        <v>-0.57387849999999996</v>
      </c>
      <c r="U5112">
        <v>-0.9118347</v>
      </c>
      <c r="V5112">
        <v>6.7875019999999994E-2</v>
      </c>
      <c r="W5112">
        <v>0.4060124</v>
      </c>
      <c r="X5112">
        <v>0.91134349999999997</v>
      </c>
      <c r="Y5112">
        <v>0.17455399999999999</v>
      </c>
      <c r="Z5112">
        <v>-2.976664E-3</v>
      </c>
      <c r="AA5112">
        <v>0.98464309999999999</v>
      </c>
      <c r="AB5112">
        <v>35</v>
      </c>
      <c r="AC5112">
        <v>0.66719999999997903</v>
      </c>
      <c r="AD5112">
        <v>-0.14042389999999999</v>
      </c>
      <c r="AE5112">
        <v>-0.208009999999998</v>
      </c>
      <c r="AF5112">
        <v>0.14527608571894399</v>
      </c>
      <c r="AG5112">
        <v>-0.14042389999999999</v>
      </c>
      <c r="AH5112">
        <v>0.65585595888466497</v>
      </c>
      <c r="AI5112">
        <v>101.80714048364599</v>
      </c>
      <c r="AJ5112">
        <v>77.510298959854794</v>
      </c>
      <c r="AK5112">
        <v>0.68627330676455101</v>
      </c>
      <c r="AL5112">
        <v>66.045415889222198</v>
      </c>
      <c r="AM5112">
        <v>85.740590254651096</v>
      </c>
      <c r="AN5112">
        <v>1.000000031143</v>
      </c>
    </row>
    <row r="5113" spans="1:40" x14ac:dyDescent="0.25">
      <c r="A5113" t="str">
        <f>"20190304164512449"</f>
        <v>20190304164512449</v>
      </c>
      <c r="B5113" t="str">
        <f>"1551689112444891"</f>
        <v>1551689112444891</v>
      </c>
      <c r="C5113" t="s">
        <v>40</v>
      </c>
      <c r="D5113">
        <v>5.4799280000000001</v>
      </c>
      <c r="E5113">
        <v>0.56219079999999999</v>
      </c>
      <c r="F5113" t="s">
        <v>41</v>
      </c>
      <c r="G5113">
        <v>-327.1902</v>
      </c>
      <c r="H5113">
        <v>0.93496409999999996</v>
      </c>
      <c r="I5113">
        <v>16.718689999999999</v>
      </c>
      <c r="J5113">
        <v>-327.92989999999998</v>
      </c>
      <c r="K5113">
        <v>1.1074660000000001</v>
      </c>
      <c r="L5113">
        <v>16.94849</v>
      </c>
      <c r="M5113">
        <v>0.99615339999999997</v>
      </c>
      <c r="N5113">
        <v>-1.401078E-2</v>
      </c>
      <c r="O5113">
        <v>-8.6500259999999995E-2</v>
      </c>
      <c r="P5113">
        <v>0.90777989999999997</v>
      </c>
      <c r="Q5113">
        <v>0.39388980000000001</v>
      </c>
      <c r="R5113">
        <v>-0.14417669999999999</v>
      </c>
      <c r="S5113">
        <v>3.4300540000000002</v>
      </c>
      <c r="T5113">
        <v>-0.61393949999999997</v>
      </c>
      <c r="U5113">
        <v>-0.89318850000000005</v>
      </c>
      <c r="V5113">
        <v>6.8536749999999994E-2</v>
      </c>
      <c r="W5113">
        <v>0.40613260000000001</v>
      </c>
      <c r="X5113">
        <v>0.9112403</v>
      </c>
      <c r="Y5113">
        <v>0.16575979999999901</v>
      </c>
      <c r="Z5113">
        <v>-1.801034E-3</v>
      </c>
      <c r="AA5113">
        <v>0.9861645</v>
      </c>
      <c r="AB5113">
        <v>35</v>
      </c>
      <c r="AC5113">
        <v>0.73969999999997005</v>
      </c>
      <c r="AD5113">
        <v>-0.17250190000000001</v>
      </c>
      <c r="AE5113">
        <v>-0.2298</v>
      </c>
      <c r="AF5113">
        <v>0.15715351390655499</v>
      </c>
      <c r="AG5113">
        <v>-0.17250190000000001</v>
      </c>
      <c r="AH5113">
        <v>0.72104441915286399</v>
      </c>
      <c r="AI5113">
        <v>103.156734937376</v>
      </c>
      <c r="AJ5113">
        <v>77.704520628803706</v>
      </c>
      <c r="AK5113">
        <v>0.75786488692132903</v>
      </c>
      <c r="AL5113">
        <v>66.037877032793503</v>
      </c>
      <c r="AM5113">
        <v>85.698734052810195</v>
      </c>
      <c r="AN5113">
        <v>0.99999992961370299</v>
      </c>
    </row>
    <row r="5114" spans="1:40" x14ac:dyDescent="0.25">
      <c r="A5114" t="str">
        <f>"20190304164512469"</f>
        <v>20190304164512469</v>
      </c>
      <c r="B5114" t="str">
        <f>"1551689112465387"</f>
        <v>1551689112465387</v>
      </c>
      <c r="C5114" t="s">
        <v>40</v>
      </c>
      <c r="D5114">
        <v>5.4852569999999998</v>
      </c>
      <c r="E5114">
        <v>0.56211580000000005</v>
      </c>
      <c r="F5114" t="s">
        <v>41</v>
      </c>
      <c r="G5114">
        <v>-327.1721</v>
      </c>
      <c r="H5114">
        <v>0.96991609999999995</v>
      </c>
      <c r="I5114">
        <v>16.750299999999999</v>
      </c>
      <c r="J5114">
        <v>-327.62220000000002</v>
      </c>
      <c r="K5114">
        <v>1.1074409999999999</v>
      </c>
      <c r="L5114">
        <v>16.91864</v>
      </c>
      <c r="M5114">
        <v>0.99586220000000003</v>
      </c>
      <c r="N5114">
        <v>-1.401166E-2</v>
      </c>
      <c r="O5114">
        <v>-8.9788939999999998E-2</v>
      </c>
      <c r="P5114">
        <v>0.90707510000000002</v>
      </c>
      <c r="Q5114">
        <v>0.39400429999999997</v>
      </c>
      <c r="R5114">
        <v>-0.1482416</v>
      </c>
      <c r="S5114">
        <v>3.4324650000000001</v>
      </c>
      <c r="T5114">
        <v>-0.62297840000000004</v>
      </c>
      <c r="U5114">
        <v>-0.89791869999999996</v>
      </c>
      <c r="V5114">
        <v>6.9652539999999999E-2</v>
      </c>
      <c r="W5114">
        <v>0.40623199999999998</v>
      </c>
      <c r="X5114">
        <v>0.91111149999999996</v>
      </c>
      <c r="Y5114">
        <v>0.16364670000000001</v>
      </c>
      <c r="Z5114">
        <v>-1.059099E-3</v>
      </c>
      <c r="AA5114">
        <v>0.98651840000000002</v>
      </c>
      <c r="AB5114">
        <v>35</v>
      </c>
      <c r="AC5114">
        <v>0.45010000000001998</v>
      </c>
      <c r="AD5114">
        <v>-0.13752489999999901</v>
      </c>
      <c r="AE5114">
        <v>-0.16833999999999999</v>
      </c>
      <c r="AF5114">
        <v>0.117609672904716</v>
      </c>
      <c r="AG5114">
        <v>-0.13752489999999901</v>
      </c>
      <c r="AH5114">
        <v>0.42831873514855001</v>
      </c>
      <c r="AI5114">
        <v>107.203604998722</v>
      </c>
      <c r="AJ5114">
        <v>74.645885314173796</v>
      </c>
      <c r="AK5114">
        <v>0.46497534575503902</v>
      </c>
      <c r="AL5114">
        <v>66.031647348086693</v>
      </c>
      <c r="AM5114">
        <v>85.628362410917404</v>
      </c>
      <c r="AN5114">
        <v>1.0000000397923501</v>
      </c>
    </row>
    <row r="5115" spans="1:40" x14ac:dyDescent="0.25">
      <c r="A5115" t="str">
        <f>"20190304164512482"</f>
        <v>20190304164512482</v>
      </c>
      <c r="B5115" t="str">
        <f>"1551689112475147"</f>
        <v>1551689112475147</v>
      </c>
      <c r="C5115" t="s">
        <v>40</v>
      </c>
      <c r="D5115">
        <v>5.4727110000000003</v>
      </c>
      <c r="E5115">
        <v>0.56215879999999996</v>
      </c>
      <c r="F5115" t="s">
        <v>41</v>
      </c>
      <c r="G5115">
        <v>-326.86070000000001</v>
      </c>
      <c r="H5115">
        <v>0.96866249999999998</v>
      </c>
      <c r="I5115">
        <v>16.715420000000002</v>
      </c>
      <c r="J5115">
        <v>-327.40960000000001</v>
      </c>
      <c r="K5115">
        <v>1.107421</v>
      </c>
      <c r="L5115">
        <v>16.89734</v>
      </c>
      <c r="M5115">
        <v>0.99565300000000001</v>
      </c>
      <c r="N5115">
        <v>-1.4012180000000001E-2</v>
      </c>
      <c r="O5115">
        <v>-9.2080149999999999E-2</v>
      </c>
      <c r="P5115">
        <v>0.90663190000000005</v>
      </c>
      <c r="Q5115">
        <v>0.39397769999999999</v>
      </c>
      <c r="R5115">
        <v>-0.15099789999999999</v>
      </c>
      <c r="S5115">
        <v>3.4292910000000001</v>
      </c>
      <c r="T5115">
        <v>-0.62466679999999997</v>
      </c>
      <c r="U5115">
        <v>-0.91394039999999999</v>
      </c>
      <c r="V5115">
        <v>7.0347899999999894E-2</v>
      </c>
      <c r="W5115">
        <v>0.4061958</v>
      </c>
      <c r="X5115">
        <v>0.91107419999999995</v>
      </c>
      <c r="Y5115">
        <v>0.16589409999999999</v>
      </c>
      <c r="Z5115">
        <v>-9.0002080000000002E-4</v>
      </c>
      <c r="AA5115">
        <v>0.9861432</v>
      </c>
      <c r="AB5115">
        <v>35</v>
      </c>
      <c r="AC5115">
        <v>0.54890000000000305</v>
      </c>
      <c r="AD5115">
        <v>-0.13875850000000001</v>
      </c>
      <c r="AE5115">
        <v>-0.181919999999998</v>
      </c>
      <c r="AF5115">
        <v>0.123488750471636</v>
      </c>
      <c r="AG5115">
        <v>-0.13875850000000001</v>
      </c>
      <c r="AH5115">
        <v>0.53265049180912405</v>
      </c>
      <c r="AI5115">
        <v>104.239625663878</v>
      </c>
      <c r="AJ5115">
        <v>76.947244236886306</v>
      </c>
      <c r="AK5115">
        <v>0.56410986451204503</v>
      </c>
      <c r="AL5115">
        <v>66.033916823057595</v>
      </c>
      <c r="AM5115">
        <v>85.584710852181004</v>
      </c>
      <c r="AN5115">
        <v>1.00000002643884</v>
      </c>
    </row>
    <row r="5116" spans="1:40" x14ac:dyDescent="0.25">
      <c r="A5116" t="str">
        <f>"20190304164512494"</f>
        <v>20190304164512494</v>
      </c>
      <c r="B5116" t="str">
        <f>"1551689112484907"</f>
        <v>1551689112484907</v>
      </c>
      <c r="C5116" t="s">
        <v>40</v>
      </c>
      <c r="D5116">
        <v>5.4670800000000002</v>
      </c>
      <c r="E5116">
        <v>0.56214739999999996</v>
      </c>
      <c r="F5116" t="s">
        <v>41</v>
      </c>
      <c r="G5116">
        <v>-326.55759999999998</v>
      </c>
      <c r="H5116">
        <v>0.95229490000000006</v>
      </c>
      <c r="I5116">
        <v>16.667269999999998</v>
      </c>
      <c r="J5116">
        <v>-327.22120000000001</v>
      </c>
      <c r="K5116">
        <v>1.1074059999999999</v>
      </c>
      <c r="L5116">
        <v>16.8782</v>
      </c>
      <c r="M5116">
        <v>0.99546239999999997</v>
      </c>
      <c r="N5116">
        <v>-1.401255E-2</v>
      </c>
      <c r="O5116">
        <v>-9.41187E-2</v>
      </c>
      <c r="P5116">
        <v>0.90627219999999997</v>
      </c>
      <c r="Q5116">
        <v>0.39388319999999999</v>
      </c>
      <c r="R5116">
        <v>-0.15338489999999999</v>
      </c>
      <c r="S5116">
        <v>3.4259029999999999</v>
      </c>
      <c r="T5116">
        <v>-0.62375800000000003</v>
      </c>
      <c r="U5116">
        <v>-0.92514039999999997</v>
      </c>
      <c r="V5116">
        <v>7.0897360000000006E-2</v>
      </c>
      <c r="W5116">
        <v>0.40609430000000002</v>
      </c>
      <c r="X5116">
        <v>0.91107680000000002</v>
      </c>
      <c r="Y5116">
        <v>0.167134</v>
      </c>
      <c r="Z5116">
        <v>-6.9075639999999997E-4</v>
      </c>
      <c r="AA5116">
        <v>0.98593399999999998</v>
      </c>
      <c r="AB5116">
        <v>35</v>
      </c>
      <c r="AC5116">
        <v>0.66360000000003005</v>
      </c>
      <c r="AD5116">
        <v>-0.155111099999999</v>
      </c>
      <c r="AE5116">
        <v>-0.21092999999999701</v>
      </c>
      <c r="AF5116">
        <v>0.140555572189411</v>
      </c>
      <c r="AG5116">
        <v>-0.155111099999999</v>
      </c>
      <c r="AH5116">
        <v>0.64833646569266201</v>
      </c>
      <c r="AI5116">
        <v>103.160097780543</v>
      </c>
      <c r="AJ5116">
        <v>77.7678991502559</v>
      </c>
      <c r="AK5116">
        <v>0.68128958230957504</v>
      </c>
      <c r="AL5116">
        <v>66.040279581758497</v>
      </c>
      <c r="AM5116">
        <v>85.550375359912294</v>
      </c>
      <c r="AN5116">
        <v>0.99999997582284905</v>
      </c>
    </row>
    <row r="5117" spans="1:40" x14ac:dyDescent="0.25">
      <c r="A5117" t="str">
        <f>"20190304164512506"</f>
        <v>20190304164512506</v>
      </c>
      <c r="B5117" t="str">
        <f>"1551689112495643"</f>
        <v>1551689112495643</v>
      </c>
      <c r="C5117" t="s">
        <v>40</v>
      </c>
      <c r="D5117">
        <v>5.4720620000000002</v>
      </c>
      <c r="E5117">
        <v>0.56215209999999904</v>
      </c>
      <c r="F5117" t="s">
        <v>41</v>
      </c>
      <c r="G5117">
        <v>-326.25700000000001</v>
      </c>
      <c r="H5117">
        <v>0.93139669999999997</v>
      </c>
      <c r="I5117">
        <v>16.61478</v>
      </c>
      <c r="J5117">
        <v>-327.02670000000001</v>
      </c>
      <c r="K5117">
        <v>1.10738799999999</v>
      </c>
      <c r="L5117">
        <v>16.85782</v>
      </c>
      <c r="M5117">
        <v>0.99525929999999996</v>
      </c>
      <c r="N5117">
        <v>-1.401298E-2</v>
      </c>
      <c r="O5117">
        <v>-9.6242729999999999E-2</v>
      </c>
      <c r="P5117">
        <v>0.90588120000000005</v>
      </c>
      <c r="Q5117">
        <v>0.393679</v>
      </c>
      <c r="R5117">
        <v>-0.15619379999999999</v>
      </c>
      <c r="S5117">
        <v>3.4236149999999999</v>
      </c>
      <c r="T5117">
        <v>-0.62476830000000005</v>
      </c>
      <c r="U5117">
        <v>-0.93463130000000005</v>
      </c>
      <c r="V5117">
        <v>7.1790499999999993E-2</v>
      </c>
      <c r="W5117">
        <v>0.40587990000000002</v>
      </c>
      <c r="X5117">
        <v>0.91110239999999998</v>
      </c>
      <c r="Y5117">
        <v>0.1677545</v>
      </c>
      <c r="Z5117">
        <v>-4.0290319999999999E-4</v>
      </c>
      <c r="AA5117">
        <v>0.9858287</v>
      </c>
      <c r="AB5117">
        <v>35</v>
      </c>
      <c r="AC5117">
        <v>0.76970000000000005</v>
      </c>
      <c r="AD5117">
        <v>-0.17599129999999899</v>
      </c>
      <c r="AE5117">
        <v>-0.24304000000000001</v>
      </c>
      <c r="AF5117">
        <v>0.16020980852556799</v>
      </c>
      <c r="AG5117">
        <v>-0.17599129999999899</v>
      </c>
      <c r="AH5117">
        <v>0.75368867041099696</v>
      </c>
      <c r="AI5117">
        <v>102.86585376412</v>
      </c>
      <c r="AJ5117">
        <v>77.999393675392795</v>
      </c>
      <c r="AK5117">
        <v>0.790371262337761</v>
      </c>
      <c r="AL5117">
        <v>66.053721434440703</v>
      </c>
      <c r="AM5117">
        <v>85.4946759892008</v>
      </c>
      <c r="AN5117">
        <v>0.99999997620000902</v>
      </c>
    </row>
    <row r="5118" spans="1:40" x14ac:dyDescent="0.25">
      <c r="A5118" t="str">
        <f>"20190304164512524"</f>
        <v>20190304164512524</v>
      </c>
      <c r="B5118" t="str">
        <f>"1551689112515163"</f>
        <v>1551689112515163</v>
      </c>
      <c r="C5118" t="s">
        <v>40</v>
      </c>
      <c r="D5118">
        <v>5.4697279999999999</v>
      </c>
      <c r="E5118">
        <v>0.56249459999999996</v>
      </c>
      <c r="F5118" t="s">
        <v>41</v>
      </c>
      <c r="G5118">
        <v>-326.24040000000002</v>
      </c>
      <c r="H5118">
        <v>0.96340300000000001</v>
      </c>
      <c r="I5118">
        <v>16.640309999999999</v>
      </c>
      <c r="J5118">
        <v>-326.75409999999999</v>
      </c>
      <c r="K5118">
        <v>1.10737</v>
      </c>
      <c r="L5118">
        <v>16.82864</v>
      </c>
      <c r="M5118">
        <v>0.99496510000000005</v>
      </c>
      <c r="N5118">
        <v>-1.4013619999999999E-2</v>
      </c>
      <c r="O5118">
        <v>-9.9237779999999998E-2</v>
      </c>
      <c r="P5118">
        <v>0.90508429999999995</v>
      </c>
      <c r="Q5118">
        <v>0.3937486</v>
      </c>
      <c r="R5118">
        <v>-0.16057639999999901</v>
      </c>
      <c r="S5118">
        <v>3.4208069999999999</v>
      </c>
      <c r="T5118">
        <v>-0.62614169999999902</v>
      </c>
      <c r="U5118">
        <v>-0.94528199999999996</v>
      </c>
      <c r="V5118">
        <v>7.3496889999999995E-2</v>
      </c>
      <c r="W5118">
        <v>0.40592869999999998</v>
      </c>
      <c r="X5118">
        <v>0.91094459999999999</v>
      </c>
      <c r="Y5118">
        <v>0.16787829999999901</v>
      </c>
      <c r="Z5118" s="1">
        <v>7.7027829999999997E-5</v>
      </c>
      <c r="AA5118">
        <v>0.98580769999999995</v>
      </c>
      <c r="AB5118">
        <v>35</v>
      </c>
      <c r="AC5118">
        <v>0.51369999999997096</v>
      </c>
      <c r="AD5118">
        <v>-0.14396699999999901</v>
      </c>
      <c r="AE5118">
        <v>-0.18833</v>
      </c>
      <c r="AF5118">
        <v>0.12758324210858199</v>
      </c>
      <c r="AG5118">
        <v>-0.14396699999999901</v>
      </c>
      <c r="AH5118">
        <v>0.49554499512973399</v>
      </c>
      <c r="AI5118">
        <v>105.713813487511</v>
      </c>
      <c r="AJ5118">
        <v>75.562159531345102</v>
      </c>
      <c r="AK5118">
        <v>0.53157202988312502</v>
      </c>
      <c r="AL5118">
        <v>66.050662214185394</v>
      </c>
      <c r="AM5118">
        <v>85.387250012631</v>
      </c>
      <c r="AN5118">
        <v>0.99999998329626005</v>
      </c>
    </row>
    <row r="5119" spans="1:40" x14ac:dyDescent="0.25">
      <c r="A5119" t="str">
        <f>"20190304164512537"</f>
        <v>20190304164512537</v>
      </c>
      <c r="B5119" t="str">
        <f>"1551689112524923"</f>
        <v>1551689112524923</v>
      </c>
      <c r="C5119" t="s">
        <v>40</v>
      </c>
      <c r="D5119">
        <v>5.4553820000000002</v>
      </c>
      <c r="E5119">
        <v>0.56244869999999902</v>
      </c>
      <c r="F5119" t="s">
        <v>41</v>
      </c>
      <c r="G5119">
        <v>-325.93259999999998</v>
      </c>
      <c r="H5119">
        <v>0.95774559999999997</v>
      </c>
      <c r="I5119">
        <v>16.596599999999999</v>
      </c>
      <c r="J5119">
        <v>-326.55619999999999</v>
      </c>
      <c r="K5119">
        <v>1.1073519999999999</v>
      </c>
      <c r="L5119">
        <v>16.807009999999998</v>
      </c>
      <c r="M5119">
        <v>0.99474430000000003</v>
      </c>
      <c r="N5119">
        <v>-1.40141E-2</v>
      </c>
      <c r="O5119">
        <v>-0.10142660000000001</v>
      </c>
      <c r="P5119">
        <v>0.90444170000000002</v>
      </c>
      <c r="Q5119">
        <v>0.3940013</v>
      </c>
      <c r="R5119">
        <v>-0.163549</v>
      </c>
      <c r="S5119">
        <v>3.4140009999999998</v>
      </c>
      <c r="T5119">
        <v>-0.62165950000000003</v>
      </c>
      <c r="U5119">
        <v>-0.96389769999999997</v>
      </c>
      <c r="V5119">
        <v>7.4524309999999996E-2</v>
      </c>
      <c r="W5119">
        <v>0.40616750000000001</v>
      </c>
      <c r="X5119">
        <v>0.91075470000000003</v>
      </c>
      <c r="Y5119">
        <v>0.1711888</v>
      </c>
      <c r="Z5119" s="1">
        <v>9.6635889999999993E-5</v>
      </c>
      <c r="AA5119">
        <v>0.98523830000000001</v>
      </c>
      <c r="AB5119">
        <v>35</v>
      </c>
      <c r="AC5119">
        <v>0.62360000000001004</v>
      </c>
      <c r="AD5119">
        <v>-0.1496064</v>
      </c>
      <c r="AE5119">
        <v>-0.21041000000000301</v>
      </c>
      <c r="AF5119">
        <v>0.13889192062606601</v>
      </c>
      <c r="AG5119">
        <v>-0.1496064</v>
      </c>
      <c r="AH5119">
        <v>0.610196149485836</v>
      </c>
      <c r="AI5119">
        <v>103.444950149158</v>
      </c>
      <c r="AJ5119">
        <v>77.176898113859906</v>
      </c>
      <c r="AK5119">
        <v>0.64343793903025204</v>
      </c>
      <c r="AL5119">
        <v>66.035691028770003</v>
      </c>
      <c r="AM5119">
        <v>85.322081183786494</v>
      </c>
      <c r="AN5119">
        <v>1.0000000172046499</v>
      </c>
    </row>
    <row r="5120" spans="1:40" x14ac:dyDescent="0.25">
      <c r="A5120" t="str">
        <f>"20190304164512549"</f>
        <v>20190304164512549</v>
      </c>
      <c r="B5120" t="str">
        <f>"1551689112545418"</f>
        <v>1551689112545418</v>
      </c>
      <c r="C5120" t="s">
        <v>40</v>
      </c>
      <c r="D5120">
        <v>5.45261</v>
      </c>
      <c r="E5120">
        <v>0.56233599999999995</v>
      </c>
      <c r="F5120" t="s">
        <v>41</v>
      </c>
      <c r="G5120">
        <v>-325.63200000000001</v>
      </c>
      <c r="H5120">
        <v>0.93892909999999996</v>
      </c>
      <c r="I5120">
        <v>16.542539999999999</v>
      </c>
      <c r="J5120">
        <v>-326.3621</v>
      </c>
      <c r="K5120">
        <v>1.1073309999999901</v>
      </c>
      <c r="L5120">
        <v>16.785250000000001</v>
      </c>
      <c r="M5120">
        <v>0.99452110000000005</v>
      </c>
      <c r="N5120">
        <v>-1.401464E-2</v>
      </c>
      <c r="O5120">
        <v>-0.10359409999999999</v>
      </c>
      <c r="P5120">
        <v>0.90405599999999997</v>
      </c>
      <c r="Q5120">
        <v>0.39381329999999998</v>
      </c>
      <c r="R5120">
        <v>-0.1661154</v>
      </c>
      <c r="S5120">
        <v>3.4112849999999999</v>
      </c>
      <c r="T5120">
        <v>-0.62145640000000002</v>
      </c>
      <c r="U5120">
        <v>-0.97534180000000004</v>
      </c>
      <c r="V5120">
        <v>7.5140029999999997E-2</v>
      </c>
      <c r="W5120">
        <v>0.40597050000000001</v>
      </c>
      <c r="X5120">
        <v>0.91079189999999999</v>
      </c>
      <c r="Y5120">
        <v>0.17231540000000001</v>
      </c>
      <c r="Z5120">
        <v>3.3783259999999997E-4</v>
      </c>
      <c r="AA5120">
        <v>0.98504179999999997</v>
      </c>
      <c r="AB5120">
        <v>35</v>
      </c>
      <c r="AC5120">
        <v>0.73009999999999298</v>
      </c>
      <c r="AD5120">
        <v>-0.16840189999999899</v>
      </c>
      <c r="AE5120">
        <v>-0.24271000000000201</v>
      </c>
      <c r="AF5120">
        <v>0.15818416336902</v>
      </c>
      <c r="AG5120">
        <v>-0.16840189999999899</v>
      </c>
      <c r="AH5120">
        <v>0.71696847198298397</v>
      </c>
      <c r="AI5120">
        <v>102.918172128702</v>
      </c>
      <c r="AJ5120">
        <v>77.558201102191802</v>
      </c>
      <c r="AK5120">
        <v>0.75327632332496797</v>
      </c>
      <c r="AL5120">
        <v>66.048041470417502</v>
      </c>
      <c r="AM5120">
        <v>85.283797619720602</v>
      </c>
      <c r="AN5120">
        <v>0.99999997804213003</v>
      </c>
    </row>
    <row r="5121" spans="1:40" x14ac:dyDescent="0.25">
      <c r="A5121" t="str">
        <f>"20190304164512569"</f>
        <v>20190304164512569</v>
      </c>
      <c r="B5121" t="str">
        <f>"1551689112565036"</f>
        <v>1551689112565036</v>
      </c>
      <c r="C5121" t="s">
        <v>40</v>
      </c>
      <c r="D5121">
        <v>5.457859</v>
      </c>
      <c r="E5121">
        <v>0.56225939999999996</v>
      </c>
      <c r="F5121" t="s">
        <v>41</v>
      </c>
      <c r="G5121">
        <v>-325.61520000000002</v>
      </c>
      <c r="H5121">
        <v>0.97054649999999998</v>
      </c>
      <c r="I5121">
        <v>16.569120000000002</v>
      </c>
      <c r="J5121">
        <v>-326.04840000000002</v>
      </c>
      <c r="K5121">
        <v>1.1072949999999999</v>
      </c>
      <c r="L5121">
        <v>16.749179999999999</v>
      </c>
      <c r="M5121">
        <v>0.99414530000000001</v>
      </c>
      <c r="N5121">
        <v>-1.40157999999999E-2</v>
      </c>
      <c r="O5121">
        <v>-0.1071381</v>
      </c>
      <c r="P5121">
        <v>0.90293500000000004</v>
      </c>
      <c r="Q5121">
        <v>0.39426109999999998</v>
      </c>
      <c r="R5121">
        <v>-0.1710757</v>
      </c>
      <c r="S5121">
        <v>3.4091800000000001</v>
      </c>
      <c r="T5121">
        <v>-0.62405100000000002</v>
      </c>
      <c r="U5121">
        <v>-0.98550420000000005</v>
      </c>
      <c r="V5121">
        <v>7.6970579999999997E-2</v>
      </c>
      <c r="W5121">
        <v>0.40639110000000001</v>
      </c>
      <c r="X5121">
        <v>0.91045149999999997</v>
      </c>
      <c r="Y5121">
        <v>0.17172309999999999</v>
      </c>
      <c r="Z5121">
        <v>9.8143329999999997E-4</v>
      </c>
      <c r="AA5121">
        <v>0.98514480000000004</v>
      </c>
      <c r="AB5121">
        <v>35</v>
      </c>
      <c r="AC5121">
        <v>0.43319999999999897</v>
      </c>
      <c r="AD5121">
        <v>-0.1367485</v>
      </c>
      <c r="AE5121">
        <v>-0.180059999999997</v>
      </c>
      <c r="AF5121">
        <v>0.122221643830613</v>
      </c>
      <c r="AG5121">
        <v>-0.1367485</v>
      </c>
      <c r="AH5121">
        <v>0.41475797214176902</v>
      </c>
      <c r="AI5121">
        <v>107.550128008774</v>
      </c>
      <c r="AJ5121">
        <v>73.580711869971196</v>
      </c>
      <c r="AK5121">
        <v>0.45350022924807798</v>
      </c>
      <c r="AL5121">
        <v>66.021671619015095</v>
      </c>
      <c r="AM5121">
        <v>85.167641975657503</v>
      </c>
      <c r="AN5121">
        <v>1.0000000650984899</v>
      </c>
    </row>
    <row r="5122" spans="1:40" x14ac:dyDescent="0.25">
      <c r="A5122" t="str">
        <f>"20190304164512582"</f>
        <v>20190304164512582</v>
      </c>
      <c r="B5122" t="str">
        <f>"1551689112575771"</f>
        <v>1551689112575771</v>
      </c>
      <c r="C5122" t="s">
        <v>40</v>
      </c>
      <c r="D5122">
        <v>5.4278729999999999</v>
      </c>
      <c r="E5122">
        <v>0.56221759999999998</v>
      </c>
      <c r="F5122" t="s">
        <v>41</v>
      </c>
      <c r="G5122">
        <v>-325.3048</v>
      </c>
      <c r="H5122">
        <v>0.97112889999999996</v>
      </c>
      <c r="I5122">
        <v>16.529170000000001</v>
      </c>
      <c r="J5122">
        <v>-325.85899999999998</v>
      </c>
      <c r="K5122">
        <v>1.1072649999999999</v>
      </c>
      <c r="L5122">
        <v>16.726779999999899</v>
      </c>
      <c r="M5122">
        <v>0.99390829999999997</v>
      </c>
      <c r="N5122">
        <v>-1.401691E-2</v>
      </c>
      <c r="O5122">
        <v>-0.1093171</v>
      </c>
      <c r="P5122">
        <v>0.90220619999999996</v>
      </c>
      <c r="Q5122">
        <v>0.39460240000000002</v>
      </c>
      <c r="R5122">
        <v>-0.17410780000000001</v>
      </c>
      <c r="S5122">
        <v>3.4039000000000001</v>
      </c>
      <c r="T5122">
        <v>-0.62330839999999998</v>
      </c>
      <c r="U5122">
        <v>-1.007263</v>
      </c>
      <c r="V5122">
        <v>7.8091350000000004E-2</v>
      </c>
      <c r="W5122">
        <v>0.40671429999999997</v>
      </c>
      <c r="X5122">
        <v>0.91021160000000001</v>
      </c>
      <c r="Y5122">
        <v>0.17573520000000001</v>
      </c>
      <c r="Z5122">
        <v>9.4470100000000005E-4</v>
      </c>
      <c r="AA5122">
        <v>0.98443700000000001</v>
      </c>
      <c r="AB5122">
        <v>35</v>
      </c>
      <c r="AC5122">
        <v>0.554200000000037</v>
      </c>
      <c r="AD5122">
        <v>-0.13613609999999901</v>
      </c>
      <c r="AE5122">
        <v>-0.19760999999999701</v>
      </c>
      <c r="AF5122">
        <v>0.12893357813852399</v>
      </c>
      <c r="AG5122">
        <v>-0.13613609999999901</v>
      </c>
      <c r="AH5122">
        <v>0.54339192942177295</v>
      </c>
      <c r="AI5122">
        <v>103.699382640148</v>
      </c>
      <c r="AJ5122">
        <v>76.651959622958103</v>
      </c>
      <c r="AK5122">
        <v>0.57483188347161995</v>
      </c>
      <c r="AL5122">
        <v>66.001400509700005</v>
      </c>
      <c r="AM5122">
        <v>85.0963326043683</v>
      </c>
      <c r="AN5122">
        <v>0.99999996877193498</v>
      </c>
    </row>
    <row r="5123" spans="1:40" x14ac:dyDescent="0.25">
      <c r="A5123" t="str">
        <f>"20190304164512592"</f>
        <v>20190304164512592</v>
      </c>
      <c r="B5123" t="str">
        <f>"1551689112585532"</f>
        <v>1551689112585532</v>
      </c>
      <c r="C5123" t="s">
        <v>40</v>
      </c>
      <c r="D5123">
        <v>5.4367489999999998</v>
      </c>
      <c r="E5123">
        <v>0.56219799999999998</v>
      </c>
      <c r="F5123" t="s">
        <v>41</v>
      </c>
      <c r="G5123">
        <v>-325.00599999999997</v>
      </c>
      <c r="H5123">
        <v>0.95100560000000001</v>
      </c>
      <c r="I5123">
        <v>16.47064</v>
      </c>
      <c r="J5123">
        <v>-325.68799999999999</v>
      </c>
      <c r="K5123">
        <v>1.107235</v>
      </c>
      <c r="L5123">
        <v>16.706329999999902</v>
      </c>
      <c r="M5123">
        <v>0.99368840000000003</v>
      </c>
      <c r="N5123">
        <v>-1.4017989999999999E-2</v>
      </c>
      <c r="O5123">
        <v>-0.1112971</v>
      </c>
      <c r="P5123">
        <v>0.90142809999999995</v>
      </c>
      <c r="Q5123">
        <v>0.39495479999999999</v>
      </c>
      <c r="R5123">
        <v>-0.177309299999999</v>
      </c>
      <c r="S5123">
        <v>3.4006349999999999</v>
      </c>
      <c r="T5123">
        <v>-0.6226003</v>
      </c>
      <c r="U5123">
        <v>-1.019989</v>
      </c>
      <c r="V5123">
        <v>7.9570070000000007E-2</v>
      </c>
      <c r="W5123">
        <v>0.40704489999999999</v>
      </c>
      <c r="X5123">
        <v>0.90993579999999996</v>
      </c>
      <c r="Y5123">
        <v>0.17741489999999999</v>
      </c>
      <c r="Z5123">
        <v>1.0996999999999999E-3</v>
      </c>
      <c r="AA5123">
        <v>0.9841356</v>
      </c>
      <c r="AB5123">
        <v>35</v>
      </c>
      <c r="AC5123">
        <v>0.68200000000001604</v>
      </c>
      <c r="AD5123">
        <v>-0.15622939999999899</v>
      </c>
      <c r="AE5123">
        <v>-0.23568999999999801</v>
      </c>
      <c r="AF5123">
        <v>0.151224391496625</v>
      </c>
      <c r="AG5123">
        <v>-0.15622939999999899</v>
      </c>
      <c r="AH5123">
        <v>0.67247270560776096</v>
      </c>
      <c r="AI5123">
        <v>102.770898799823</v>
      </c>
      <c r="AJ5123">
        <v>77.326263911344796</v>
      </c>
      <c r="AK5123">
        <v>0.70675029663616495</v>
      </c>
      <c r="AL5123">
        <v>65.980666640583394</v>
      </c>
      <c r="AM5123">
        <v>85.002436876680093</v>
      </c>
      <c r="AN5123">
        <v>1.0000000533887199</v>
      </c>
    </row>
    <row r="5124" spans="1:40" x14ac:dyDescent="0.25">
      <c r="A5124" t="str">
        <f>"20190304164512604"</f>
        <v>20190304164512604</v>
      </c>
      <c r="B5124" t="str">
        <f>"1551689112595292"</f>
        <v>1551689112595292</v>
      </c>
      <c r="C5124" t="s">
        <v>40</v>
      </c>
      <c r="D5124">
        <v>5.4412240000000001</v>
      </c>
      <c r="E5124">
        <v>0.562177699999999</v>
      </c>
      <c r="F5124" t="s">
        <v>41</v>
      </c>
      <c r="G5124">
        <v>-324.9905</v>
      </c>
      <c r="H5124">
        <v>0.97949489999999995</v>
      </c>
      <c r="I5124">
        <v>16.4939</v>
      </c>
      <c r="J5124">
        <v>-325.5147</v>
      </c>
      <c r="K5124">
        <v>1.107194</v>
      </c>
      <c r="L5124">
        <v>16.68497</v>
      </c>
      <c r="M5124">
        <v>0.99345550000000005</v>
      </c>
      <c r="N5124">
        <v>-1.401968E-2</v>
      </c>
      <c r="O5124">
        <v>-0.11335629999999999</v>
      </c>
      <c r="P5124">
        <v>0.90080360000000004</v>
      </c>
      <c r="Q5124">
        <v>0.39488309999999999</v>
      </c>
      <c r="R5124">
        <v>-0.18061089999999999</v>
      </c>
      <c r="S5124">
        <v>3.397186</v>
      </c>
      <c r="T5124">
        <v>-0.62162640000000002</v>
      </c>
      <c r="U5124">
        <v>-1.0331729999999999</v>
      </c>
      <c r="V5124">
        <v>8.1065570000000003E-2</v>
      </c>
      <c r="W5124">
        <v>0.40695170000000003</v>
      </c>
      <c r="X5124">
        <v>0.90984540000000003</v>
      </c>
      <c r="Y5124">
        <v>0.17915130000000001</v>
      </c>
      <c r="Z5124">
        <v>1.259781E-3</v>
      </c>
      <c r="AA5124">
        <v>0.98382069999999999</v>
      </c>
      <c r="AB5124">
        <v>35</v>
      </c>
      <c r="AC5124">
        <v>0.52420000000000699</v>
      </c>
      <c r="AD5124">
        <v>-0.12769909999999901</v>
      </c>
      <c r="AE5124">
        <v>-0.19106999999999899</v>
      </c>
      <c r="AF5124">
        <v>0.123919480137462</v>
      </c>
      <c r="AG5124">
        <v>-0.12769909999999901</v>
      </c>
      <c r="AH5124">
        <v>0.515478404243361</v>
      </c>
      <c r="AI5124">
        <v>103.542699353507</v>
      </c>
      <c r="AJ5124">
        <v>76.482759158602406</v>
      </c>
      <c r="AK5124">
        <v>0.54532658374558496</v>
      </c>
      <c r="AL5124">
        <v>65.986510893559696</v>
      </c>
      <c r="AM5124">
        <v>84.908494818630203</v>
      </c>
      <c r="AN5124">
        <v>0.99999998233673704</v>
      </c>
    </row>
    <row r="5125" spans="1:40" x14ac:dyDescent="0.25">
      <c r="A5125" t="str">
        <f>"20190304164512614"</f>
        <v>20190304164512614</v>
      </c>
      <c r="B5125" t="str">
        <f>"1551689112605053"</f>
        <v>1551689112605053</v>
      </c>
      <c r="C5125" t="s">
        <v>40</v>
      </c>
      <c r="D5125">
        <v>5.4575050000000003</v>
      </c>
      <c r="E5125">
        <v>0.56218959999999996</v>
      </c>
      <c r="F5125" t="s">
        <v>41</v>
      </c>
      <c r="G5125">
        <v>-324.69380000000001</v>
      </c>
      <c r="H5125">
        <v>0.95652000000000004</v>
      </c>
      <c r="I5125">
        <v>16.431819999999998</v>
      </c>
      <c r="J5125">
        <v>-325.3537</v>
      </c>
      <c r="K5125">
        <v>1.1071549999999999</v>
      </c>
      <c r="L5125">
        <v>16.665040000000001</v>
      </c>
      <c r="M5125">
        <v>0.99323450000000002</v>
      </c>
      <c r="N5125">
        <v>-1.4021209999999999E-2</v>
      </c>
      <c r="O5125">
        <v>-0.1152765</v>
      </c>
      <c r="P5125">
        <v>0.90020440000000002</v>
      </c>
      <c r="Q5125">
        <v>0.39460190000000001</v>
      </c>
      <c r="R5125">
        <v>-0.18417729999999999</v>
      </c>
      <c r="S5125">
        <v>3.3936769999999998</v>
      </c>
      <c r="T5125">
        <v>-0.62258530000000001</v>
      </c>
      <c r="U5125">
        <v>-1.045563</v>
      </c>
      <c r="V5125">
        <v>8.2945820000000003E-2</v>
      </c>
      <c r="W5125">
        <v>0.40664630000000002</v>
      </c>
      <c r="X5125">
        <v>0.90981250000000002</v>
      </c>
      <c r="Y5125">
        <v>0.1808099</v>
      </c>
      <c r="Z5125">
        <v>1.4177020000000001E-3</v>
      </c>
      <c r="AA5125">
        <v>0.98351710000000003</v>
      </c>
      <c r="AB5125">
        <v>35</v>
      </c>
      <c r="AC5125">
        <v>0.65989999999999305</v>
      </c>
      <c r="AD5125">
        <v>-0.15063499999999899</v>
      </c>
      <c r="AE5125">
        <v>-0.23321999999999901</v>
      </c>
      <c r="AF5125">
        <v>0.14869857676222201</v>
      </c>
      <c r="AG5125">
        <v>-0.15063499999999899</v>
      </c>
      <c r="AH5125">
        <v>0.65217762267259105</v>
      </c>
      <c r="AI5125">
        <v>102.69091521708501</v>
      </c>
      <c r="AJ5125">
        <v>77.1559435495993</v>
      </c>
      <c r="AK5125">
        <v>0.685665969310847</v>
      </c>
      <c r="AL5125">
        <v>66.005666111646207</v>
      </c>
      <c r="AM5125">
        <v>84.790856507768396</v>
      </c>
      <c r="AN5125">
        <v>1.0000000037576999</v>
      </c>
    </row>
    <row r="5126" spans="1:40" x14ac:dyDescent="0.25">
      <c r="A5126" t="str">
        <f>"20190304164512625"</f>
        <v>20190304164512625</v>
      </c>
      <c r="B5126" t="str">
        <f>"1551689112615788"</f>
        <v>1551689112615788</v>
      </c>
      <c r="C5126" t="s">
        <v>40</v>
      </c>
      <c r="D5126">
        <v>5.5145189999999999</v>
      </c>
      <c r="E5126">
        <v>0.56231919999999902</v>
      </c>
      <c r="F5126" t="s">
        <v>41</v>
      </c>
      <c r="G5126">
        <v>-324.39850000000001</v>
      </c>
      <c r="H5126">
        <v>0.93125179999999996</v>
      </c>
      <c r="I5126">
        <v>16.36627</v>
      </c>
      <c r="J5126">
        <v>-325.18150000000003</v>
      </c>
      <c r="K5126">
        <v>1.1071009999999999</v>
      </c>
      <c r="L5126">
        <v>16.643039999999999</v>
      </c>
      <c r="M5126">
        <v>0.99298600000000004</v>
      </c>
      <c r="N5126">
        <v>-1.402392E-2</v>
      </c>
      <c r="O5126">
        <v>-0.1173971</v>
      </c>
      <c r="P5126">
        <v>0.89968649999999994</v>
      </c>
      <c r="Q5126">
        <v>0.3942252</v>
      </c>
      <c r="R5126">
        <v>-0.1874866</v>
      </c>
      <c r="S5126">
        <v>3.3892820000000001</v>
      </c>
      <c r="T5126">
        <v>-0.62391090000000005</v>
      </c>
      <c r="U5126">
        <v>-1.059326</v>
      </c>
      <c r="V5126">
        <v>8.4390030000000005E-2</v>
      </c>
      <c r="W5126">
        <v>0.4062481</v>
      </c>
      <c r="X5126">
        <v>0.90985760000000004</v>
      </c>
      <c r="Y5126">
        <v>0.18270140000000001</v>
      </c>
      <c r="Z5126">
        <v>1.5892629999999901E-3</v>
      </c>
      <c r="AA5126">
        <v>0.98316720000000002</v>
      </c>
      <c r="AB5126">
        <v>35</v>
      </c>
      <c r="AC5126">
        <v>0.78300000000001502</v>
      </c>
      <c r="AD5126">
        <v>-0.17584920000000001</v>
      </c>
      <c r="AE5126">
        <v>-0.27676999999999902</v>
      </c>
      <c r="AF5126">
        <v>0.17507513796097199</v>
      </c>
      <c r="AG5126">
        <v>-0.17584920000000001</v>
      </c>
      <c r="AH5126">
        <v>0.77531760984416298</v>
      </c>
      <c r="AI5126">
        <v>102.475103558811</v>
      </c>
      <c r="AJ5126">
        <v>77.275403866645604</v>
      </c>
      <c r="AK5126">
        <v>0.814058745550442</v>
      </c>
      <c r="AL5126">
        <v>66.030637432056807</v>
      </c>
      <c r="AM5126">
        <v>84.700930755881998</v>
      </c>
      <c r="AN5126">
        <v>1.0000000240973801</v>
      </c>
    </row>
    <row r="5127" spans="1:40" x14ac:dyDescent="0.25">
      <c r="A5127" t="str">
        <f>"20190304164512636"</f>
        <v>20190304164512636</v>
      </c>
      <c r="B5127" t="str">
        <f>"1551689112625548"</f>
        <v>1551689112625548</v>
      </c>
      <c r="C5127" t="s">
        <v>40</v>
      </c>
      <c r="D5127">
        <v>5.5352930000000002</v>
      </c>
      <c r="E5127">
        <v>0.56231919999999902</v>
      </c>
      <c r="F5127" t="s">
        <v>41</v>
      </c>
      <c r="G5127">
        <v>-324.38330000000002</v>
      </c>
      <c r="H5127">
        <v>0.95962700000000001</v>
      </c>
      <c r="I5127">
        <v>16.389800000000001</v>
      </c>
      <c r="J5127">
        <v>-325.02269999999999</v>
      </c>
      <c r="K5127">
        <v>1.107046</v>
      </c>
      <c r="L5127">
        <v>16.622620000000001</v>
      </c>
      <c r="M5127">
        <v>0.9927511</v>
      </c>
      <c r="N5127">
        <v>-1.402641E-2</v>
      </c>
      <c r="O5127">
        <v>-0.11936670000000001</v>
      </c>
      <c r="P5127">
        <v>0.89901390000000003</v>
      </c>
      <c r="Q5127">
        <v>0.39420850000000002</v>
      </c>
      <c r="R5127">
        <v>-0.19071920000000001</v>
      </c>
      <c r="S5127">
        <v>3.384827</v>
      </c>
      <c r="T5127">
        <v>-0.6250985</v>
      </c>
      <c r="U5127">
        <v>-1.072937</v>
      </c>
      <c r="V5127">
        <v>8.591646E-2</v>
      </c>
      <c r="W5127">
        <v>0.40620679999999998</v>
      </c>
      <c r="X5127">
        <v>0.90973320000000002</v>
      </c>
      <c r="Y5127">
        <v>0.1847029</v>
      </c>
      <c r="Z5127">
        <v>1.725659E-3</v>
      </c>
      <c r="AA5127">
        <v>0.98279289999999997</v>
      </c>
      <c r="AB5127">
        <v>35</v>
      </c>
      <c r="AC5127">
        <v>0.639399999999966</v>
      </c>
      <c r="AD5127">
        <v>-0.147418999999999</v>
      </c>
      <c r="AE5127">
        <v>-0.23282</v>
      </c>
      <c r="AF5127">
        <v>0.147883659590998</v>
      </c>
      <c r="AG5127">
        <v>-0.147418999999999</v>
      </c>
      <c r="AH5127">
        <v>0.63291574349989599</v>
      </c>
      <c r="AI5127">
        <v>102.779127983397</v>
      </c>
      <c r="AJ5127">
        <v>76.848523449194403</v>
      </c>
      <c r="AK5127">
        <v>0.66647151229820201</v>
      </c>
      <c r="AL5127">
        <v>66.033227674602799</v>
      </c>
      <c r="AM5127">
        <v>84.604909386864705</v>
      </c>
      <c r="AN5127">
        <v>1.0000000488237</v>
      </c>
    </row>
    <row r="5128" spans="1:40" x14ac:dyDescent="0.25">
      <c r="A5128" t="str">
        <f>"20190304164512647"</f>
        <v>20190304164512647</v>
      </c>
      <c r="B5128" t="str">
        <f>"1551689112635308"</f>
        <v>1551689112635308</v>
      </c>
      <c r="C5128" t="s">
        <v>40</v>
      </c>
      <c r="D5128">
        <v>5.5522039999999997</v>
      </c>
      <c r="E5128">
        <v>0.56664409999999998</v>
      </c>
      <c r="F5128" t="s">
        <v>41</v>
      </c>
      <c r="G5128">
        <v>-324.08859999999999</v>
      </c>
      <c r="H5128">
        <v>0.93428920000000004</v>
      </c>
      <c r="I5128">
        <v>16.322569999999999</v>
      </c>
      <c r="J5128">
        <v>-324.84039999999999</v>
      </c>
      <c r="K5128">
        <v>1.106978</v>
      </c>
      <c r="L5128">
        <v>16.598569999999999</v>
      </c>
      <c r="M5128">
        <v>0.9924693</v>
      </c>
      <c r="N5128">
        <v>-1.403006E-2</v>
      </c>
      <c r="O5128">
        <v>-0.12168909999999999</v>
      </c>
      <c r="P5128">
        <v>0.89840200000000003</v>
      </c>
      <c r="Q5128">
        <v>0.3936962</v>
      </c>
      <c r="R5128">
        <v>-0.19462170000000001</v>
      </c>
      <c r="S5128">
        <v>3.380798</v>
      </c>
      <c r="T5128">
        <v>-0.62505869999999997</v>
      </c>
      <c r="U5128">
        <v>-1.0855410000000001</v>
      </c>
      <c r="V5128">
        <v>8.7785100000000005E-2</v>
      </c>
      <c r="W5128">
        <v>0.40566679999999999</v>
      </c>
      <c r="X5128">
        <v>0.90979569999999998</v>
      </c>
      <c r="Y5128">
        <v>0.18607299999999999</v>
      </c>
      <c r="Z5128">
        <v>1.9711199999999998E-3</v>
      </c>
      <c r="AA5128">
        <v>0.98253389999999996</v>
      </c>
      <c r="AB5128">
        <v>35</v>
      </c>
      <c r="AC5128">
        <v>0.75180000000000202</v>
      </c>
      <c r="AD5128">
        <v>-0.1726888</v>
      </c>
      <c r="AE5128">
        <v>-0.27599999999999902</v>
      </c>
      <c r="AF5128">
        <v>0.174347177662207</v>
      </c>
      <c r="AG5128">
        <v>-0.1726888</v>
      </c>
      <c r="AH5128">
        <v>0.74515467142099201</v>
      </c>
      <c r="AI5128">
        <v>102.716077299359</v>
      </c>
      <c r="AJ5128">
        <v>76.831144325598103</v>
      </c>
      <c r="AK5128">
        <v>0.78452141101740702</v>
      </c>
      <c r="AL5128">
        <v>66.067080891483499</v>
      </c>
      <c r="AM5128">
        <v>84.488660127987103</v>
      </c>
      <c r="AN5128">
        <v>0.99999999607137002</v>
      </c>
    </row>
    <row r="5129" spans="1:40" x14ac:dyDescent="0.25">
      <c r="A5129" t="str">
        <f>"20190304164512660"</f>
        <v>20190304164512660</v>
      </c>
      <c r="B5129" t="str">
        <f>"1551689112655806"</f>
        <v>1551689112655806</v>
      </c>
      <c r="C5129" t="s">
        <v>40</v>
      </c>
      <c r="D5129">
        <v>5.5214109999999996</v>
      </c>
      <c r="E5129">
        <v>0.56716319999999998</v>
      </c>
      <c r="F5129" t="s">
        <v>41</v>
      </c>
      <c r="G5129">
        <v>-324.07470000000001</v>
      </c>
      <c r="H5129">
        <v>0.96040110000000001</v>
      </c>
      <c r="I5129">
        <v>16.341370000000001</v>
      </c>
      <c r="J5129">
        <v>-324.64690000000002</v>
      </c>
      <c r="K5129">
        <v>1.1069</v>
      </c>
      <c r="L5129">
        <v>16.57254</v>
      </c>
      <c r="M5129">
        <v>0.99215750000000003</v>
      </c>
      <c r="N5129">
        <v>-1.4034100000000001E-2</v>
      </c>
      <c r="O5129">
        <v>-0.1242033</v>
      </c>
      <c r="P5129">
        <v>0.89766990000000002</v>
      </c>
      <c r="Q5129">
        <v>0.39339819999999998</v>
      </c>
      <c r="R5129">
        <v>-0.19856090000000001</v>
      </c>
      <c r="S5129">
        <v>3.37677</v>
      </c>
      <c r="T5129">
        <v>-0.64620169999999999</v>
      </c>
      <c r="U5129">
        <v>-1.1338809999999999</v>
      </c>
      <c r="V5129">
        <v>8.9538080000000006E-2</v>
      </c>
      <c r="W5129">
        <v>0.40533910000000001</v>
      </c>
      <c r="X5129">
        <v>0.909771</v>
      </c>
      <c r="Y5129">
        <v>0.19638369999999999</v>
      </c>
      <c r="Z5129">
        <v>1.52239E-3</v>
      </c>
      <c r="AA5129">
        <v>0.98052589999999995</v>
      </c>
      <c r="AB5129">
        <v>35</v>
      </c>
      <c r="AC5129">
        <v>0.57220000000000903</v>
      </c>
      <c r="AD5129">
        <v>-0.14649889999999999</v>
      </c>
      <c r="AE5129">
        <v>-0.23116999999999799</v>
      </c>
      <c r="AF5129">
        <v>0.14985863163987301</v>
      </c>
      <c r="AG5129">
        <v>-0.14649889999999999</v>
      </c>
      <c r="AH5129">
        <v>0.56466326434518799</v>
      </c>
      <c r="AI5129">
        <v>104.07742338177999</v>
      </c>
      <c r="AJ5129">
        <v>75.136644838855105</v>
      </c>
      <c r="AK5129">
        <v>0.60229904472707596</v>
      </c>
      <c r="AL5129">
        <v>66.087622968324197</v>
      </c>
      <c r="AM5129">
        <v>84.379150498995699</v>
      </c>
      <c r="AN5129">
        <v>1.0000000630999399</v>
      </c>
    </row>
    <row r="5130" spans="1:40" x14ac:dyDescent="0.25">
      <c r="A5130" t="str">
        <f>"20190304164512675"</f>
        <v>20190304164512675</v>
      </c>
      <c r="B5130" t="str">
        <f>"1551689112665563"</f>
        <v>1551689112665563</v>
      </c>
      <c r="C5130" t="s">
        <v>40</v>
      </c>
      <c r="D5130">
        <v>5.5462959999999999</v>
      </c>
      <c r="E5130">
        <v>0.5671853</v>
      </c>
      <c r="F5130" t="s">
        <v>41</v>
      </c>
      <c r="G5130">
        <v>-323.77760000000001</v>
      </c>
      <c r="H5130">
        <v>0.94084639999999997</v>
      </c>
      <c r="I5130">
        <v>16.275110000000002</v>
      </c>
      <c r="J5130">
        <v>-324.4203</v>
      </c>
      <c r="K5130">
        <v>1.1068039999999999</v>
      </c>
      <c r="L5130">
        <v>16.541529999999899</v>
      </c>
      <c r="M5130">
        <v>0.99177680000000001</v>
      </c>
      <c r="N5130">
        <v>-1.4039019999999999E-2</v>
      </c>
      <c r="O5130">
        <v>-0.127208399999999</v>
      </c>
      <c r="P5130">
        <v>0.89684710000000001</v>
      </c>
      <c r="Q5130">
        <v>0.39296930000000002</v>
      </c>
      <c r="R5130">
        <v>-0.20307829999999999</v>
      </c>
      <c r="S5130">
        <v>3.3690799999999999</v>
      </c>
      <c r="T5130">
        <v>-0.64348909999999904</v>
      </c>
      <c r="U5130">
        <v>-1.1524350000000001</v>
      </c>
      <c r="V5130">
        <v>9.1439610000000004E-2</v>
      </c>
      <c r="W5130">
        <v>0.40487570000000001</v>
      </c>
      <c r="X5130">
        <v>0.90978820000000005</v>
      </c>
      <c r="Y5130">
        <v>0.19893759999999999</v>
      </c>
      <c r="Z5130">
        <v>1.7555540000000001E-3</v>
      </c>
      <c r="AA5130">
        <v>0.98001059999999995</v>
      </c>
      <c r="AB5130">
        <v>35</v>
      </c>
      <c r="AC5130">
        <v>0.64269999999998995</v>
      </c>
      <c r="AD5130">
        <v>-0.16595760000000001</v>
      </c>
      <c r="AE5130">
        <v>-0.26641999999999599</v>
      </c>
      <c r="AF5130">
        <v>0.17266565994501001</v>
      </c>
      <c r="AG5130">
        <v>-0.16595760000000001</v>
      </c>
      <c r="AH5130">
        <v>0.63522758152291803</v>
      </c>
      <c r="AI5130">
        <v>104.14993645895601</v>
      </c>
      <c r="AJ5130">
        <v>74.793436203421507</v>
      </c>
      <c r="AK5130">
        <v>0.67887365205129402</v>
      </c>
      <c r="AL5130">
        <v>66.116663215119203</v>
      </c>
      <c r="AM5130">
        <v>84.260676428253404</v>
      </c>
      <c r="AN5130">
        <v>1.0000000517933301</v>
      </c>
    </row>
    <row r="5131" spans="1:40" x14ac:dyDescent="0.25">
      <c r="A5131" t="str">
        <f>"20190304164512688"</f>
        <v>20190304164512688</v>
      </c>
      <c r="B5131" t="str">
        <f>"1551689112685084"</f>
        <v>1551689112685084</v>
      </c>
      <c r="C5131" t="s">
        <v>40</v>
      </c>
      <c r="D5131">
        <v>5.4527080000000003</v>
      </c>
      <c r="E5131">
        <v>0.56714809999999904</v>
      </c>
      <c r="F5131" t="s">
        <v>41</v>
      </c>
      <c r="G5131">
        <v>-323.47829999999999</v>
      </c>
      <c r="H5131">
        <v>0.92602660000000003</v>
      </c>
      <c r="I5131">
        <v>16.21386</v>
      </c>
      <c r="J5131">
        <v>-324.1986</v>
      </c>
      <c r="K5131">
        <v>1.1066990000000001</v>
      </c>
      <c r="L5131">
        <v>16.510189999999898</v>
      </c>
      <c r="M5131">
        <v>0.99137909999999996</v>
      </c>
      <c r="N5131">
        <v>-1.4044839999999999E-2</v>
      </c>
      <c r="O5131">
        <v>-0.13026989999999999</v>
      </c>
      <c r="P5131">
        <v>0.89574920000000002</v>
      </c>
      <c r="Q5131">
        <v>0.39304430000000001</v>
      </c>
      <c r="R5131">
        <v>-0.2077253</v>
      </c>
      <c r="S5131">
        <v>3.3630070000000001</v>
      </c>
      <c r="T5131">
        <v>-0.64522170000000001</v>
      </c>
      <c r="U5131">
        <v>-1.1693119999999999</v>
      </c>
      <c r="V5131">
        <v>9.3465690000000004E-2</v>
      </c>
      <c r="W5131">
        <v>0.40490999999999999</v>
      </c>
      <c r="X5131">
        <v>0.90956689999999996</v>
      </c>
      <c r="Y5131">
        <v>0.2008479</v>
      </c>
      <c r="Z5131">
        <v>2.0937210000000002E-3</v>
      </c>
      <c r="AA5131">
        <v>0.97962020000000005</v>
      </c>
      <c r="AB5131">
        <v>35</v>
      </c>
      <c r="AC5131">
        <v>0.72030000000000804</v>
      </c>
      <c r="AD5131">
        <v>-0.18067240000000001</v>
      </c>
      <c r="AE5131">
        <v>-0.29632999999999698</v>
      </c>
      <c r="AF5131">
        <v>0.18975145883862099</v>
      </c>
      <c r="AG5131">
        <v>-0.18067240000000001</v>
      </c>
      <c r="AH5131">
        <v>0.71433050633712503</v>
      </c>
      <c r="AI5131">
        <v>103.736466130704</v>
      </c>
      <c r="AJ5131">
        <v>75.123762215782506</v>
      </c>
      <c r="AK5131">
        <v>0.76086543129320705</v>
      </c>
      <c r="AL5131">
        <v>66.114511188834697</v>
      </c>
      <c r="AM5131">
        <v>84.132966938160905</v>
      </c>
      <c r="AN5131">
        <v>0.99999994444139095</v>
      </c>
    </row>
    <row r="5132" spans="1:40" x14ac:dyDescent="0.25">
      <c r="A5132" t="str">
        <f>"20190304164512703"</f>
        <v>20190304164512703</v>
      </c>
      <c r="B5132" t="str">
        <f>"1551689112695819"</f>
        <v>1551689112695819</v>
      </c>
      <c r="C5132" t="s">
        <v>40</v>
      </c>
      <c r="D5132">
        <v>5.4291589999999896</v>
      </c>
      <c r="E5132">
        <v>0.56692339999999997</v>
      </c>
      <c r="F5132" t="s">
        <v>41</v>
      </c>
      <c r="G5132">
        <v>-323.45740000000001</v>
      </c>
      <c r="H5132">
        <v>0.96398349999999999</v>
      </c>
      <c r="I5132">
        <v>16.248339999999999</v>
      </c>
      <c r="J5132">
        <v>-323.97669999999999</v>
      </c>
      <c r="K5132">
        <v>1.1065910000000001</v>
      </c>
      <c r="L5132">
        <v>16.478089999999899</v>
      </c>
      <c r="M5132">
        <v>0.99096050000000002</v>
      </c>
      <c r="N5132">
        <v>-1.405121E-2</v>
      </c>
      <c r="O5132">
        <v>-0.1334168</v>
      </c>
      <c r="P5132">
        <v>0.89423790000000003</v>
      </c>
      <c r="Q5132">
        <v>0.39276329999999998</v>
      </c>
      <c r="R5132">
        <v>-0.2146527</v>
      </c>
      <c r="S5132">
        <v>3.3578190000000001</v>
      </c>
      <c r="T5132">
        <v>-0.64632319999999999</v>
      </c>
      <c r="U5132">
        <v>-1.1857599999999999</v>
      </c>
      <c r="V5132">
        <v>9.7729159999999995E-2</v>
      </c>
      <c r="W5132">
        <v>0.40456209999999998</v>
      </c>
      <c r="X5132">
        <v>0.90927360000000002</v>
      </c>
      <c r="Y5132">
        <v>0.2024899</v>
      </c>
      <c r="Z5132">
        <v>2.4683209999999999E-3</v>
      </c>
      <c r="AA5132">
        <v>0.97928119999999996</v>
      </c>
      <c r="AB5132">
        <v>35</v>
      </c>
      <c r="AC5132">
        <v>0.51929999999998699</v>
      </c>
      <c r="AD5132">
        <v>-0.1426075</v>
      </c>
      <c r="AE5132">
        <v>-0.22974999999999901</v>
      </c>
      <c r="AF5132">
        <v>0.14900776451895401</v>
      </c>
      <c r="AG5132">
        <v>-0.1426075</v>
      </c>
      <c r="AH5132">
        <v>0.51296045751613695</v>
      </c>
      <c r="AI5132">
        <v>104.94780158181599</v>
      </c>
      <c r="AJ5132">
        <v>73.8021656295696</v>
      </c>
      <c r="AK5132">
        <v>0.552873081202504</v>
      </c>
      <c r="AL5132">
        <v>66.136310520559107</v>
      </c>
      <c r="AM5132">
        <v>83.865372484301204</v>
      </c>
      <c r="AN5132">
        <v>0.99999998056383699</v>
      </c>
    </row>
    <row r="5133" spans="1:40" x14ac:dyDescent="0.25">
      <c r="A5133" t="str">
        <f>"20190304164512715"</f>
        <v>20190304164512715</v>
      </c>
      <c r="B5133" t="str">
        <f>"1551689112705580"</f>
        <v>1551689112705580</v>
      </c>
      <c r="C5133" t="s">
        <v>40</v>
      </c>
      <c r="D5133">
        <v>5.4486309999999998</v>
      </c>
      <c r="E5133">
        <v>0.56683609999999995</v>
      </c>
      <c r="F5133" t="s">
        <v>41</v>
      </c>
      <c r="G5133">
        <v>-323.15949999999998</v>
      </c>
      <c r="H5133">
        <v>0.94765010000000005</v>
      </c>
      <c r="I5133">
        <v>16.18337</v>
      </c>
      <c r="J5133">
        <v>-323.80689999999998</v>
      </c>
      <c r="K5133">
        <v>1.106506</v>
      </c>
      <c r="L5133">
        <v>16.453220000000002</v>
      </c>
      <c r="M5133">
        <v>0.99062790000000001</v>
      </c>
      <c r="N5133">
        <v>-1.405611E-2</v>
      </c>
      <c r="O5133">
        <v>-0.1358646</v>
      </c>
      <c r="P5133">
        <v>0.89327330000000005</v>
      </c>
      <c r="Q5133">
        <v>0.39262560000000002</v>
      </c>
      <c r="R5133">
        <v>-0.21887880000000001</v>
      </c>
      <c r="S5133">
        <v>3.3510439999999999</v>
      </c>
      <c r="T5133">
        <v>-0.65118690000000001</v>
      </c>
      <c r="U5133">
        <v>-1.2071529999999999</v>
      </c>
      <c r="V5133">
        <v>9.9867910000000004E-2</v>
      </c>
      <c r="W5133">
        <v>0.40438410000000002</v>
      </c>
      <c r="X5133">
        <v>0.90912040000000005</v>
      </c>
      <c r="Y5133">
        <v>0.20618259999999999</v>
      </c>
      <c r="Z5133">
        <v>2.555739E-3</v>
      </c>
      <c r="AA5133">
        <v>0.9785102</v>
      </c>
      <c r="AB5133">
        <v>35</v>
      </c>
      <c r="AC5133">
        <v>0.64740000000000397</v>
      </c>
      <c r="AD5133">
        <v>-0.158855899999999</v>
      </c>
      <c r="AE5133">
        <v>-0.26985000000000098</v>
      </c>
      <c r="AF5133">
        <v>0.17062726591379199</v>
      </c>
      <c r="AG5133">
        <v>-0.158855899999999</v>
      </c>
      <c r="AH5133">
        <v>0.64497721146615405</v>
      </c>
      <c r="AI5133">
        <v>103.39307212627</v>
      </c>
      <c r="AJ5133">
        <v>75.1819877457405</v>
      </c>
      <c r="AK5133">
        <v>0.68581664032646605</v>
      </c>
      <c r="AL5133">
        <v>66.147462581785803</v>
      </c>
      <c r="AM5133">
        <v>83.7311288742751</v>
      </c>
      <c r="AN5133">
        <v>1.00000000073836</v>
      </c>
    </row>
    <row r="5134" spans="1:40" x14ac:dyDescent="0.25">
      <c r="A5134" t="str">
        <f>"20190304164512725"</f>
        <v>20190304164512725</v>
      </c>
      <c r="B5134" t="str">
        <f>"1551689112715341"</f>
        <v>1551689112715341</v>
      </c>
      <c r="C5134" t="s">
        <v>40</v>
      </c>
      <c r="D5134">
        <v>5.477112</v>
      </c>
      <c r="E5134">
        <v>0.56679199999999996</v>
      </c>
      <c r="F5134" t="s">
        <v>41</v>
      </c>
      <c r="G5134">
        <v>-322.86660000000001</v>
      </c>
      <c r="H5134">
        <v>0.92293190000000003</v>
      </c>
      <c r="I5134">
        <v>16.10971</v>
      </c>
      <c r="J5134">
        <v>-323.64640000000003</v>
      </c>
      <c r="K5134">
        <v>1.10642</v>
      </c>
      <c r="L5134">
        <v>16.428920000000002</v>
      </c>
      <c r="M5134">
        <v>0.99029409999999896</v>
      </c>
      <c r="N5134">
        <v>-1.40617E-2</v>
      </c>
      <c r="O5134">
        <v>-0.1382756</v>
      </c>
      <c r="P5134">
        <v>0.8924204</v>
      </c>
      <c r="Q5134">
        <v>0.39223590000000003</v>
      </c>
      <c r="R5134">
        <v>-0.22301779999999999</v>
      </c>
      <c r="S5134">
        <v>3.3460390000000002</v>
      </c>
      <c r="T5134">
        <v>-0.65301330000000002</v>
      </c>
      <c r="U5134">
        <v>-1.221924</v>
      </c>
      <c r="V5134">
        <v>0.1019393</v>
      </c>
      <c r="W5134">
        <v>0.40395579999999998</v>
      </c>
      <c r="X5134">
        <v>0.90908089999999997</v>
      </c>
      <c r="Y5134">
        <v>0.20807529999999999</v>
      </c>
      <c r="Z5134">
        <v>2.7918980000000001E-3</v>
      </c>
      <c r="AA5134">
        <v>0.9781088</v>
      </c>
      <c r="AB5134">
        <v>35</v>
      </c>
      <c r="AC5134">
        <v>0.77980000000002203</v>
      </c>
      <c r="AD5134">
        <v>-0.18348809999999999</v>
      </c>
      <c r="AE5134">
        <v>-0.31921000000000099</v>
      </c>
      <c r="AF5134">
        <v>0.19887427870788499</v>
      </c>
      <c r="AG5134">
        <v>-0.18348809999999999</v>
      </c>
      <c r="AH5134">
        <v>0.77948709175859998</v>
      </c>
      <c r="AI5134">
        <v>102.84875051502399</v>
      </c>
      <c r="AJ5134">
        <v>75.687196786221904</v>
      </c>
      <c r="AK5134">
        <v>0.82511755998249803</v>
      </c>
      <c r="AL5134">
        <v>66.174291164457699</v>
      </c>
      <c r="AM5134">
        <v>83.601895989367904</v>
      </c>
      <c r="AN5134">
        <v>0.99999999599146905</v>
      </c>
    </row>
    <row r="5135" spans="1:40" x14ac:dyDescent="0.25">
      <c r="A5135" t="str">
        <f>"20190304164512735"</f>
        <v>20190304164512735</v>
      </c>
      <c r="B5135" t="str">
        <f>"1551689112725100"</f>
        <v>1551689112725100</v>
      </c>
      <c r="C5135" t="s">
        <v>40</v>
      </c>
      <c r="D5135">
        <v>5.7305999999999999</v>
      </c>
      <c r="E5135">
        <v>0.5665095</v>
      </c>
      <c r="F5135" t="s">
        <v>41</v>
      </c>
      <c r="G5135">
        <v>-322.85129999999998</v>
      </c>
      <c r="H5135">
        <v>0.95067760000000001</v>
      </c>
      <c r="I5135">
        <v>16.13456</v>
      </c>
      <c r="J5135">
        <v>-323.48809999999997</v>
      </c>
      <c r="K5135">
        <v>1.1063339999999999</v>
      </c>
      <c r="L5135">
        <v>16.404820000000001</v>
      </c>
      <c r="M5135">
        <v>0.98995690000000003</v>
      </c>
      <c r="N5135">
        <v>-1.406698E-2</v>
      </c>
      <c r="O5135">
        <v>-0.1406685</v>
      </c>
      <c r="P5135">
        <v>0.89119910000000002</v>
      </c>
      <c r="Q5135">
        <v>0.39256039999999998</v>
      </c>
      <c r="R5135">
        <v>-0.2272904</v>
      </c>
      <c r="S5135">
        <v>3.3402099999999999</v>
      </c>
      <c r="T5135">
        <v>-0.65397329999999998</v>
      </c>
      <c r="U5135">
        <v>-1.235992</v>
      </c>
      <c r="V5135">
        <v>0.1042189</v>
      </c>
      <c r="W5135">
        <v>0.40423369999999997</v>
      </c>
      <c r="X5135">
        <v>0.90869880000000003</v>
      </c>
      <c r="Y5135">
        <v>0.20988560000000001</v>
      </c>
      <c r="Z5135">
        <v>3.0280720000000001E-3</v>
      </c>
      <c r="AA5135">
        <v>0.97772130000000002</v>
      </c>
      <c r="AB5135">
        <v>35</v>
      </c>
      <c r="AC5135">
        <v>0.63679999999999304</v>
      </c>
      <c r="AD5135">
        <v>-0.155656399999999</v>
      </c>
      <c r="AE5135">
        <v>-0.27026</v>
      </c>
      <c r="AF5135">
        <v>0.16940859893862201</v>
      </c>
      <c r="AG5135">
        <v>-0.155656399999999</v>
      </c>
      <c r="AH5135">
        <v>0.63627358941401002</v>
      </c>
      <c r="AI5135">
        <v>103.300639351369</v>
      </c>
      <c r="AJ5135">
        <v>75.0908098788926</v>
      </c>
      <c r="AK5135">
        <v>0.67658869990644699</v>
      </c>
      <c r="AL5135">
        <v>66.156883899529305</v>
      </c>
      <c r="AM5135">
        <v>83.457319473121601</v>
      </c>
      <c r="AN5135">
        <v>0.99999998622716901</v>
      </c>
    </row>
    <row r="5136" spans="1:40" x14ac:dyDescent="0.25">
      <c r="A5136" t="str">
        <f>"20190304164512746"</f>
        <v>20190304164512746</v>
      </c>
      <c r="B5136" t="str">
        <f>"1551689112735838"</f>
        <v>1551689112735838</v>
      </c>
      <c r="C5136" t="s">
        <v>40</v>
      </c>
      <c r="D5136">
        <v>5.4119349999999997</v>
      </c>
      <c r="E5136">
        <v>0.56674740000000001</v>
      </c>
      <c r="F5136" t="s">
        <v>41</v>
      </c>
      <c r="G5136">
        <v>-322.56009999999998</v>
      </c>
      <c r="H5136">
        <v>0.924099</v>
      </c>
      <c r="I5136">
        <v>16.057200000000002</v>
      </c>
      <c r="J5136">
        <v>-323.31709999999998</v>
      </c>
      <c r="K5136">
        <v>1.1062289999999999</v>
      </c>
      <c r="L5136">
        <v>16.378050000000002</v>
      </c>
      <c r="M5136">
        <v>0.98957189999999995</v>
      </c>
      <c r="N5136">
        <v>-1.407402E-2</v>
      </c>
      <c r="O5136">
        <v>-0.14335110000000001</v>
      </c>
      <c r="P5136">
        <v>0.88990840000000004</v>
      </c>
      <c r="Q5136">
        <v>0.39278390000000002</v>
      </c>
      <c r="R5136">
        <v>-0.2319148</v>
      </c>
      <c r="S5136">
        <v>3.3361510000000001</v>
      </c>
      <c r="T5136">
        <v>-0.65497969999999905</v>
      </c>
      <c r="U5136">
        <v>-1.24939</v>
      </c>
      <c r="V5136">
        <v>0.106602</v>
      </c>
      <c r="W5136">
        <v>0.40440730000000003</v>
      </c>
      <c r="X5136">
        <v>0.90834510000000002</v>
      </c>
      <c r="Y5136">
        <v>0.21108279999999999</v>
      </c>
      <c r="Z5136">
        <v>3.373848E-3</v>
      </c>
      <c r="AA5136">
        <v>0.97746239999999995</v>
      </c>
      <c r="AB5136">
        <v>35</v>
      </c>
      <c r="AC5136">
        <v>0.757000000000005</v>
      </c>
      <c r="AD5136">
        <v>-0.18212999999999999</v>
      </c>
      <c r="AE5136">
        <v>-0.32085000000000002</v>
      </c>
      <c r="AF5136">
        <v>0.19923165258723899</v>
      </c>
      <c r="AG5136">
        <v>-0.18212999999999999</v>
      </c>
      <c r="AH5136">
        <v>0.75798417448622202</v>
      </c>
      <c r="AI5136">
        <v>103.082677320312</v>
      </c>
      <c r="AJ5136">
        <v>75.273254226256697</v>
      </c>
      <c r="AK5136">
        <v>0.80461456428789602</v>
      </c>
      <c r="AL5136">
        <v>66.146010061392602</v>
      </c>
      <c r="AM5136">
        <v>83.306472377341194</v>
      </c>
      <c r="AN5136">
        <v>1.00000003569564</v>
      </c>
    </row>
    <row r="5137" spans="1:40" x14ac:dyDescent="0.25">
      <c r="A5137" t="str">
        <f>"20190304164512758"</f>
        <v>20190304164512758</v>
      </c>
      <c r="B5137" t="str">
        <f>"1551689112755356"</f>
        <v>1551689112755356</v>
      </c>
      <c r="C5137" t="s">
        <v>40</v>
      </c>
      <c r="D5137">
        <v>5.5313410000000003</v>
      </c>
      <c r="E5137">
        <v>0.56694409999999995</v>
      </c>
      <c r="F5137" t="s">
        <v>41</v>
      </c>
      <c r="G5137">
        <v>-322.54320000000001</v>
      </c>
      <c r="H5137">
        <v>0.95468509999999995</v>
      </c>
      <c r="I5137">
        <v>16.083269999999999</v>
      </c>
      <c r="J5137">
        <v>-323.13600000000002</v>
      </c>
      <c r="K5137">
        <v>1.1061259999999999</v>
      </c>
      <c r="L5137">
        <v>16.349270000000001</v>
      </c>
      <c r="M5137">
        <v>0.98914930000000001</v>
      </c>
      <c r="N5137">
        <v>-1.4081460000000001E-2</v>
      </c>
      <c r="O5137">
        <v>-0.1462367</v>
      </c>
      <c r="P5137">
        <v>0.88869849999999995</v>
      </c>
      <c r="Q5137">
        <v>0.39251429999999998</v>
      </c>
      <c r="R5137">
        <v>-0.23695479999999999</v>
      </c>
      <c r="S5137">
        <v>3.32843</v>
      </c>
      <c r="T5137">
        <v>-0.65158629999999995</v>
      </c>
      <c r="U5137">
        <v>-1.2674259999999999</v>
      </c>
      <c r="V5137">
        <v>0.1092008</v>
      </c>
      <c r="W5137">
        <v>0.40408460000000002</v>
      </c>
      <c r="X5137">
        <v>0.90817990000000004</v>
      </c>
      <c r="Y5137">
        <v>0.21361849999999999</v>
      </c>
      <c r="Z5137">
        <v>3.57661E-3</v>
      </c>
      <c r="AA5137">
        <v>0.97691059999999996</v>
      </c>
      <c r="AB5137">
        <v>35</v>
      </c>
      <c r="AC5137">
        <v>0.59279999999995403</v>
      </c>
      <c r="AD5137">
        <v>-0.15144089999999899</v>
      </c>
      <c r="AE5137">
        <v>-0.26599999999999802</v>
      </c>
      <c r="AF5137">
        <v>0.16735074940187999</v>
      </c>
      <c r="AG5137">
        <v>-0.15144089999999899</v>
      </c>
      <c r="AH5137">
        <v>0.59310802745825197</v>
      </c>
      <c r="AI5137">
        <v>103.806271526904</v>
      </c>
      <c r="AJ5137">
        <v>74.243111173144598</v>
      </c>
      <c r="AK5137">
        <v>0.63460046624124</v>
      </c>
      <c r="AL5137">
        <v>66.166222674184993</v>
      </c>
      <c r="AM5137">
        <v>83.143593524995097</v>
      </c>
      <c r="AN5137">
        <v>0.99999995472090397</v>
      </c>
    </row>
    <row r="5138" spans="1:40" x14ac:dyDescent="0.25">
      <c r="A5138" t="str">
        <f>"20190304164512770"</f>
        <v>20190304164512770</v>
      </c>
      <c r="B5138" t="str">
        <f>"1551689112765116"</f>
        <v>1551689112765116</v>
      </c>
      <c r="C5138" t="s">
        <v>40</v>
      </c>
      <c r="D5138">
        <v>5.4334660000000001</v>
      </c>
      <c r="E5138">
        <v>0.56684259999999997</v>
      </c>
      <c r="F5138" t="s">
        <v>41</v>
      </c>
      <c r="G5138">
        <v>-322.25029999999998</v>
      </c>
      <c r="H5138">
        <v>0.93260779999999999</v>
      </c>
      <c r="I5138">
        <v>16.006329999999998</v>
      </c>
      <c r="J5138">
        <v>-322.94069999999999</v>
      </c>
      <c r="K5138">
        <v>1.1060080000000001</v>
      </c>
      <c r="L5138">
        <v>16.31757</v>
      </c>
      <c r="M5138">
        <v>0.98867130000000003</v>
      </c>
      <c r="N5138">
        <v>-1.408994E-2</v>
      </c>
      <c r="O5138">
        <v>-0.14943489999999901</v>
      </c>
      <c r="P5138">
        <v>0.88746769999999997</v>
      </c>
      <c r="Q5138">
        <v>0.39224300000000001</v>
      </c>
      <c r="R5138">
        <v>-0.24196409999999999</v>
      </c>
      <c r="S5138">
        <v>3.3201900000000002</v>
      </c>
      <c r="T5138">
        <v>-0.65017349999999996</v>
      </c>
      <c r="U5138">
        <v>-1.285004</v>
      </c>
      <c r="V5138">
        <v>0.1114971</v>
      </c>
      <c r="W5138">
        <v>0.40376089999999998</v>
      </c>
      <c r="X5138">
        <v>0.90804490000000004</v>
      </c>
      <c r="Y5138">
        <v>0.21578159999999999</v>
      </c>
      <c r="Z5138">
        <v>3.8901999999999999E-3</v>
      </c>
      <c r="AA5138">
        <v>0.97643389999999997</v>
      </c>
      <c r="AB5138">
        <v>35</v>
      </c>
      <c r="AC5138">
        <v>0.690400000000011</v>
      </c>
      <c r="AD5138">
        <v>-0.1734002</v>
      </c>
      <c r="AE5138">
        <v>-0.31124000000000102</v>
      </c>
      <c r="AF5138">
        <v>0.19437417358224099</v>
      </c>
      <c r="AG5138">
        <v>-0.1734002</v>
      </c>
      <c r="AH5138">
        <v>0.69283817143320903</v>
      </c>
      <c r="AI5138">
        <v>103.54836353888599</v>
      </c>
      <c r="AJ5138">
        <v>74.328656796331501</v>
      </c>
      <c r="AK5138">
        <v>0.74018489616495997</v>
      </c>
      <c r="AL5138">
        <v>66.186498063263599</v>
      </c>
      <c r="AM5138">
        <v>82.9998007328021</v>
      </c>
      <c r="AN5138">
        <v>1.0000000040466099</v>
      </c>
    </row>
    <row r="5139" spans="1:40" x14ac:dyDescent="0.25">
      <c r="A5139" t="str">
        <f>"20190304164512781"</f>
        <v>20190304164512781</v>
      </c>
      <c r="B5139" t="str">
        <f>"1551689112775853"</f>
        <v>1551689112775853</v>
      </c>
      <c r="C5139" t="s">
        <v>40</v>
      </c>
      <c r="D5139">
        <v>5.5015419999999997</v>
      </c>
      <c r="E5139">
        <v>0.56680969999999997</v>
      </c>
      <c r="F5139" t="s">
        <v>41</v>
      </c>
      <c r="G5139">
        <v>-322.23110000000003</v>
      </c>
      <c r="H5139">
        <v>0.96620300000000003</v>
      </c>
      <c r="I5139">
        <v>16.03848</v>
      </c>
      <c r="J5139">
        <v>-322.7876</v>
      </c>
      <c r="K5139">
        <v>1.1059139999999901</v>
      </c>
      <c r="L5139">
        <v>16.292079999999999</v>
      </c>
      <c r="M5139">
        <v>0.98827710000000002</v>
      </c>
      <c r="N5139">
        <v>-1.409732E-2</v>
      </c>
      <c r="O5139">
        <v>-0.15201899999999999</v>
      </c>
      <c r="P5139">
        <v>0.88654109999999997</v>
      </c>
      <c r="Q5139">
        <v>0.39171270000000002</v>
      </c>
      <c r="R5139">
        <v>-0.24618370000000001</v>
      </c>
      <c r="S5139">
        <v>3.3136899999999998</v>
      </c>
      <c r="T5139">
        <v>-0.65242699999999998</v>
      </c>
      <c r="U5139">
        <v>-1.30246</v>
      </c>
      <c r="V5139">
        <v>0.1135085</v>
      </c>
      <c r="W5139">
        <v>0.40318759999999998</v>
      </c>
      <c r="X5139">
        <v>0.90805049999999998</v>
      </c>
      <c r="Y5139">
        <v>0.21831700000000001</v>
      </c>
      <c r="Z5139">
        <v>4.1006990000000002E-3</v>
      </c>
      <c r="AA5139">
        <v>0.97586930000000005</v>
      </c>
      <c r="AB5139">
        <v>35</v>
      </c>
      <c r="AC5139">
        <v>0.55649999999997102</v>
      </c>
      <c r="AD5139">
        <v>-0.139710999999999</v>
      </c>
      <c r="AE5139">
        <v>-0.25359999999999799</v>
      </c>
      <c r="AF5139">
        <v>0.15780900689860899</v>
      </c>
      <c r="AG5139">
        <v>-0.139710999999999</v>
      </c>
      <c r="AH5139">
        <v>0.55939224394522402</v>
      </c>
      <c r="AI5139">
        <v>103.51594121375599</v>
      </c>
      <c r="AJ5139">
        <v>74.245818076221099</v>
      </c>
      <c r="AK5139">
        <v>0.59778133858911797</v>
      </c>
      <c r="AL5139">
        <v>66.222399060721102</v>
      </c>
      <c r="AM5139">
        <v>82.874847748681105</v>
      </c>
      <c r="AN5139">
        <v>1.00000006545812</v>
      </c>
    </row>
    <row r="5140" spans="1:40" x14ac:dyDescent="0.25">
      <c r="A5140" t="str">
        <f>"20190304164512792"</f>
        <v>20190304164512792</v>
      </c>
      <c r="B5140" t="str">
        <f>"1551689112785612"</f>
        <v>1551689112785612</v>
      </c>
      <c r="C5140" t="s">
        <v>40</v>
      </c>
      <c r="D5140">
        <v>5.4478809999999998</v>
      </c>
      <c r="E5140">
        <v>0.56673459999999998</v>
      </c>
      <c r="F5140" t="s">
        <v>41</v>
      </c>
      <c r="G5140">
        <v>-321.94220000000001</v>
      </c>
      <c r="H5140">
        <v>0.93860880000000002</v>
      </c>
      <c r="I5140">
        <v>15.95478</v>
      </c>
      <c r="J5140">
        <v>-322.60939999999999</v>
      </c>
      <c r="K5140">
        <v>1.1058049999999999</v>
      </c>
      <c r="L5140">
        <v>16.262079999999902</v>
      </c>
      <c r="M5140">
        <v>0.98780389999999996</v>
      </c>
      <c r="N5140">
        <v>-1.410579E-2</v>
      </c>
      <c r="O5140">
        <v>-0.15506329999999999</v>
      </c>
      <c r="P5140">
        <v>0.88561329999999905</v>
      </c>
      <c r="Q5140">
        <v>0.39111829999999997</v>
      </c>
      <c r="R5140">
        <v>-0.25043110000000002</v>
      </c>
      <c r="S5140">
        <v>3.3067929999999999</v>
      </c>
      <c r="T5140">
        <v>-0.65391449999999995</v>
      </c>
      <c r="U5140">
        <v>-1.3183590000000001</v>
      </c>
      <c r="V5140">
        <v>0.1151382</v>
      </c>
      <c r="W5140">
        <v>0.40255079999999999</v>
      </c>
      <c r="X5140">
        <v>0.90812780000000004</v>
      </c>
      <c r="Y5140">
        <v>0.22006200000000001</v>
      </c>
      <c r="Z5140">
        <v>4.4637380000000001E-3</v>
      </c>
      <c r="AA5140">
        <v>0.97547569999999995</v>
      </c>
      <c r="AB5140">
        <v>35</v>
      </c>
      <c r="AC5140">
        <v>0.66719999999997903</v>
      </c>
      <c r="AD5140">
        <v>-0.16719619999999899</v>
      </c>
      <c r="AE5140">
        <v>-0.30729999999999702</v>
      </c>
      <c r="AF5140">
        <v>0.19025712255000099</v>
      </c>
      <c r="AG5140">
        <v>-0.16719619999999899</v>
      </c>
      <c r="AH5140">
        <v>0.67197108237492598</v>
      </c>
      <c r="AI5140">
        <v>103.463426065305</v>
      </c>
      <c r="AJ5140">
        <v>74.191437094509894</v>
      </c>
      <c r="AK5140">
        <v>0.71812079591359501</v>
      </c>
      <c r="AL5140">
        <v>66.262262211366703</v>
      </c>
      <c r="AM5140">
        <v>82.774230775756195</v>
      </c>
      <c r="AN5140">
        <v>1.00000002640635</v>
      </c>
    </row>
    <row r="5141" spans="1:40" x14ac:dyDescent="0.25">
      <c r="A5141" t="str">
        <f>"20190304164512805"</f>
        <v>20190304164512805</v>
      </c>
      <c r="B5141" t="str">
        <f>"1551689112795372"</f>
        <v>1551689112795372</v>
      </c>
      <c r="C5141" t="s">
        <v>40</v>
      </c>
      <c r="D5141">
        <v>5.4332929999999999</v>
      </c>
      <c r="E5141">
        <v>0.56668689999999999</v>
      </c>
      <c r="F5141" t="s">
        <v>41</v>
      </c>
      <c r="G5141">
        <v>-321.92430000000002</v>
      </c>
      <c r="H5141">
        <v>0.96938970000000002</v>
      </c>
      <c r="I5141">
        <v>15.98448</v>
      </c>
      <c r="J5141">
        <v>-322.42430000000002</v>
      </c>
      <c r="K5141">
        <v>1.1056779999999999</v>
      </c>
      <c r="L5141">
        <v>16.22992</v>
      </c>
      <c r="M5141">
        <v>0.98728159999999998</v>
      </c>
      <c r="N5141">
        <v>-1.4115900000000001E-2</v>
      </c>
      <c r="O5141">
        <v>-0.15835350000000001</v>
      </c>
      <c r="P5141">
        <v>0.88437710000000003</v>
      </c>
      <c r="Q5141">
        <v>0.39119429999999999</v>
      </c>
      <c r="R5141">
        <v>-0.2546448</v>
      </c>
      <c r="S5141">
        <v>3.2996829999999999</v>
      </c>
      <c r="T5141">
        <v>-0.656398699999999</v>
      </c>
      <c r="U5141">
        <v>-1.3357540000000001</v>
      </c>
      <c r="V5141">
        <v>0.1165747</v>
      </c>
      <c r="W5141">
        <v>0.40258090000000002</v>
      </c>
      <c r="X5141">
        <v>0.90793109999999999</v>
      </c>
      <c r="Y5141">
        <v>0.22196179999999999</v>
      </c>
      <c r="Z5141">
        <v>4.8670600000000003E-3</v>
      </c>
      <c r="AA5141">
        <v>0.9750432</v>
      </c>
      <c r="AB5141">
        <v>35</v>
      </c>
      <c r="AC5141">
        <v>0.5</v>
      </c>
      <c r="AD5141">
        <v>-0.1362883</v>
      </c>
      <c r="AE5141">
        <v>-0.24543999999999999</v>
      </c>
      <c r="AF5141">
        <v>0.15394124508113699</v>
      </c>
      <c r="AG5141">
        <v>-0.1362883</v>
      </c>
      <c r="AH5141">
        <v>0.502476255670118</v>
      </c>
      <c r="AI5141">
        <v>104.538556475116</v>
      </c>
      <c r="AJ5141">
        <v>72.966757676822596</v>
      </c>
      <c r="AK5141">
        <v>0.54291324828768295</v>
      </c>
      <c r="AL5141">
        <v>66.260376582556404</v>
      </c>
      <c r="AM5141">
        <v>82.683482759170602</v>
      </c>
      <c r="AN5141">
        <v>0.99999996203605401</v>
      </c>
    </row>
    <row r="5142" spans="1:40" x14ac:dyDescent="0.25">
      <c r="A5142" t="str">
        <f>"20190304164512816"</f>
        <v>20190304164512816</v>
      </c>
      <c r="B5142" t="str">
        <f>"1551689112805132"</f>
        <v>1551689112805132</v>
      </c>
      <c r="C5142" t="s">
        <v>40</v>
      </c>
      <c r="D5142">
        <v>5.4424380000000001</v>
      </c>
      <c r="E5142">
        <v>0.56658069999999905</v>
      </c>
      <c r="F5142" t="s">
        <v>41</v>
      </c>
      <c r="G5142">
        <v>-321.63260000000002</v>
      </c>
      <c r="H5142">
        <v>0.94796930000000001</v>
      </c>
      <c r="I5142">
        <v>15.904179999999901</v>
      </c>
      <c r="J5142">
        <v>-322.23930000000001</v>
      </c>
      <c r="K5142">
        <v>1.105558</v>
      </c>
      <c r="L5142">
        <v>16.197389999999999</v>
      </c>
      <c r="M5142">
        <v>0.98674050000000002</v>
      </c>
      <c r="N5142">
        <v>-1.412596E-2</v>
      </c>
      <c r="O5142">
        <v>-0.16169020000000001</v>
      </c>
      <c r="P5142">
        <v>0.88307049999999998</v>
      </c>
      <c r="Q5142">
        <v>0.3912137</v>
      </c>
      <c r="R5142">
        <v>-0.25911089999999998</v>
      </c>
      <c r="S5142">
        <v>3.2922669999999998</v>
      </c>
      <c r="T5142">
        <v>-0.65577039999999998</v>
      </c>
      <c r="U5142">
        <v>-1.3545529999999999</v>
      </c>
      <c r="V5142">
        <v>0.118231</v>
      </c>
      <c r="W5142">
        <v>0.40255000000000002</v>
      </c>
      <c r="X5142">
        <v>0.90773060000000005</v>
      </c>
      <c r="Y5142">
        <v>0.22420870000000001</v>
      </c>
      <c r="Z5142">
        <v>5.203493E-3</v>
      </c>
      <c r="AA5142">
        <v>0.97452720000000004</v>
      </c>
      <c r="AB5142">
        <v>35</v>
      </c>
      <c r="AC5142">
        <v>0.60669999999998903</v>
      </c>
      <c r="AD5142">
        <v>-0.157588699999999</v>
      </c>
      <c r="AE5142">
        <v>-0.29321000000000003</v>
      </c>
      <c r="AF5142">
        <v>0.18132634657914601</v>
      </c>
      <c r="AG5142">
        <v>-0.157588699999999</v>
      </c>
      <c r="AH5142">
        <v>0.61262231624783303</v>
      </c>
      <c r="AI5142">
        <v>103.855919071513</v>
      </c>
      <c r="AJ5142">
        <v>73.512094088094003</v>
      </c>
      <c r="AK5142">
        <v>0.65804220586242901</v>
      </c>
      <c r="AL5142">
        <v>66.262310535969306</v>
      </c>
      <c r="AM5142">
        <v>82.579058949849298</v>
      </c>
      <c r="AN5142">
        <v>0.99999995701867905</v>
      </c>
    </row>
    <row r="5143" spans="1:40" x14ac:dyDescent="0.25">
      <c r="A5143" t="str">
        <f>"20190304164512829"</f>
        <v>20190304164512829</v>
      </c>
      <c r="B5143" t="str">
        <f>"1551689112825627"</f>
        <v>1551689112825627</v>
      </c>
      <c r="C5143" t="s">
        <v>40</v>
      </c>
      <c r="D5143">
        <v>5.4605090000000001</v>
      </c>
      <c r="E5143">
        <v>0.56643379999999999</v>
      </c>
      <c r="F5143" t="s">
        <v>41</v>
      </c>
      <c r="G5143">
        <v>-321.3417</v>
      </c>
      <c r="H5143">
        <v>0.92612919999999999</v>
      </c>
      <c r="I5143">
        <v>15.82226</v>
      </c>
      <c r="J5143">
        <v>-322.04340000000002</v>
      </c>
      <c r="K5143">
        <v>1.105418</v>
      </c>
      <c r="L5143">
        <v>16.161960000000001</v>
      </c>
      <c r="M5143">
        <v>0.98613450000000002</v>
      </c>
      <c r="N5143">
        <v>-1.413789E-2</v>
      </c>
      <c r="O5143">
        <v>-0.1653454</v>
      </c>
      <c r="P5143">
        <v>0.88131759999999904</v>
      </c>
      <c r="Q5143">
        <v>0.39174750000000003</v>
      </c>
      <c r="R5143">
        <v>-0.26422230000000002</v>
      </c>
      <c r="S5143">
        <v>3.2854000000000001</v>
      </c>
      <c r="T5143">
        <v>-0.65635169999999998</v>
      </c>
      <c r="U5143">
        <v>-1.372223</v>
      </c>
      <c r="V5143">
        <v>0.12032329999999999</v>
      </c>
      <c r="W5143">
        <v>0.4030204</v>
      </c>
      <c r="X5143">
        <v>0.90724680000000002</v>
      </c>
      <c r="Y5143">
        <v>0.22580510000000001</v>
      </c>
      <c r="Z5143">
        <v>5.6762430000000001E-3</v>
      </c>
      <c r="AA5143">
        <v>0.97415600000000002</v>
      </c>
      <c r="AB5143">
        <v>34</v>
      </c>
      <c r="AC5143">
        <v>0.70170000000001598</v>
      </c>
      <c r="AD5143">
        <v>-0.1792888</v>
      </c>
      <c r="AE5143">
        <v>-0.3397</v>
      </c>
      <c r="AF5143">
        <v>0.20798868928551401</v>
      </c>
      <c r="AG5143">
        <v>-0.1792888</v>
      </c>
      <c r="AH5143">
        <v>0.71062905162169498</v>
      </c>
      <c r="AI5143">
        <v>103.611495362014</v>
      </c>
      <c r="AJ5143">
        <v>73.686169959683099</v>
      </c>
      <c r="AK5143">
        <v>0.761838183399136</v>
      </c>
      <c r="AL5143">
        <v>66.232864111686396</v>
      </c>
      <c r="AM5143">
        <v>82.445254979976795</v>
      </c>
      <c r="AN5143">
        <v>0.99999994772464296</v>
      </c>
    </row>
    <row r="5144" spans="1:40" x14ac:dyDescent="0.25">
      <c r="A5144" t="str">
        <f>"20190304164512841"</f>
        <v>20190304164512841</v>
      </c>
      <c r="B5144" t="str">
        <f>"1551689112835390"</f>
        <v>1551689112835390</v>
      </c>
      <c r="C5144" t="s">
        <v>40</v>
      </c>
      <c r="D5144">
        <v>5.4625760000000003</v>
      </c>
      <c r="E5144">
        <v>0.56640959999999996</v>
      </c>
      <c r="F5144" t="s">
        <v>41</v>
      </c>
      <c r="G5144">
        <v>-321.32130000000001</v>
      </c>
      <c r="H5144">
        <v>0.96110839999999997</v>
      </c>
      <c r="I5144">
        <v>15.855270000000001</v>
      </c>
      <c r="J5144">
        <v>-321.86669999999998</v>
      </c>
      <c r="K5144">
        <v>1.1052919999999999</v>
      </c>
      <c r="L5144">
        <v>16.129300000000001</v>
      </c>
      <c r="M5144">
        <v>0.98556180000000004</v>
      </c>
      <c r="N5144">
        <v>-1.4149409999999999E-2</v>
      </c>
      <c r="O5144">
        <v>-0.1687236</v>
      </c>
      <c r="P5144">
        <v>0.87957870000000005</v>
      </c>
      <c r="Q5144">
        <v>0.39221010000000001</v>
      </c>
      <c r="R5144">
        <v>-0.2692814</v>
      </c>
      <c r="S5144">
        <v>3.2778930000000002</v>
      </c>
      <c r="T5144">
        <v>-0.65460499999999999</v>
      </c>
      <c r="U5144">
        <v>-1.3911739999999999</v>
      </c>
      <c r="V5144">
        <v>0.1226076</v>
      </c>
      <c r="W5144">
        <v>0.40341880000000002</v>
      </c>
      <c r="X5144">
        <v>0.90676389999999996</v>
      </c>
      <c r="Y5144">
        <v>0.22805590000000001</v>
      </c>
      <c r="Z5144">
        <v>6.0011329999999996E-3</v>
      </c>
      <c r="AA5144">
        <v>0.97362950000000004</v>
      </c>
      <c r="AB5144">
        <v>34</v>
      </c>
      <c r="AC5144">
        <v>0.54539999999997202</v>
      </c>
      <c r="AD5144">
        <v>-0.144183599999999</v>
      </c>
      <c r="AE5144">
        <v>-0.274029999999999</v>
      </c>
      <c r="AF5144">
        <v>0.16865816622427299</v>
      </c>
      <c r="AG5144">
        <v>-0.144183599999999</v>
      </c>
      <c r="AH5144">
        <v>0.55296323088028798</v>
      </c>
      <c r="AI5144">
        <v>104.004105242796</v>
      </c>
      <c r="AJ5144">
        <v>73.037878825523606</v>
      </c>
      <c r="AK5144">
        <v>0.59582113276440696</v>
      </c>
      <c r="AL5144">
        <v>66.207922641442096</v>
      </c>
      <c r="AM5144">
        <v>82.299484301559701</v>
      </c>
      <c r="AN5144">
        <v>1.0000000610572</v>
      </c>
    </row>
    <row r="5145" spans="1:40" x14ac:dyDescent="0.25">
      <c r="A5145" t="str">
        <f>"20190304164512855"</f>
        <v>20190304164512855</v>
      </c>
      <c r="B5145" t="str">
        <f>"1551689112845148"</f>
        <v>1551689112845148</v>
      </c>
      <c r="C5145" t="s">
        <v>40</v>
      </c>
      <c r="D5145">
        <v>5.4600059999999999</v>
      </c>
      <c r="E5145">
        <v>0.56638529999999998</v>
      </c>
      <c r="F5145" t="s">
        <v>41</v>
      </c>
      <c r="G5145">
        <v>-321.03179999999998</v>
      </c>
      <c r="H5145">
        <v>0.93863300000000005</v>
      </c>
      <c r="I5145">
        <v>15.76932</v>
      </c>
      <c r="J5145">
        <v>-321.66359999999997</v>
      </c>
      <c r="K5145">
        <v>1.1051470000000001</v>
      </c>
      <c r="L5145">
        <v>16.091159999999999</v>
      </c>
      <c r="M5145">
        <v>0.98487769999999997</v>
      </c>
      <c r="N5145">
        <v>-1.416272E-2</v>
      </c>
      <c r="O5145">
        <v>-0.1726713</v>
      </c>
      <c r="P5145">
        <v>0.87782130000000003</v>
      </c>
      <c r="Q5145">
        <v>0.39252579999999998</v>
      </c>
      <c r="R5145">
        <v>-0.27450619999999998</v>
      </c>
      <c r="S5145">
        <v>3.2701419999999999</v>
      </c>
      <c r="T5145">
        <v>-0.65252600000000005</v>
      </c>
      <c r="U5145">
        <v>-1.4095759999999999</v>
      </c>
      <c r="V5145">
        <v>0.1245512</v>
      </c>
      <c r="W5145">
        <v>0.40367140000000001</v>
      </c>
      <c r="X5145">
        <v>0.90638640000000004</v>
      </c>
      <c r="Y5145">
        <v>0.2296484</v>
      </c>
      <c r="Z5145">
        <v>6.4831469999999999E-3</v>
      </c>
      <c r="AA5145">
        <v>0.97325209999999995</v>
      </c>
      <c r="AB5145">
        <v>34</v>
      </c>
      <c r="AC5145">
        <v>0.63179999999999803</v>
      </c>
      <c r="AD5145">
        <v>-0.166513999999999</v>
      </c>
      <c r="AE5145">
        <v>-0.32184000000000101</v>
      </c>
      <c r="AF5145">
        <v>0.19703370030827799</v>
      </c>
      <c r="AG5145">
        <v>-0.166513999999999</v>
      </c>
      <c r="AH5145">
        <v>0.64245469769316599</v>
      </c>
      <c r="AI5145">
        <v>103.91713836637</v>
      </c>
      <c r="AJ5145">
        <v>72.949806636704295</v>
      </c>
      <c r="AK5145">
        <v>0.69231295657469105</v>
      </c>
      <c r="AL5145">
        <v>66.192101831753803</v>
      </c>
      <c r="AM5145">
        <v>82.175696317365293</v>
      </c>
      <c r="AN5145">
        <v>0.99999995335217895</v>
      </c>
    </row>
    <row r="5146" spans="1:40" x14ac:dyDescent="0.25">
      <c r="A5146" t="str">
        <f>"20190304164512870"</f>
        <v>20190304164512870</v>
      </c>
      <c r="B5146" t="str">
        <f>"1551689112865788"</f>
        <v>1551689112865788</v>
      </c>
      <c r="C5146" t="s">
        <v>40</v>
      </c>
      <c r="D5146">
        <v>5.4473929999999999</v>
      </c>
      <c r="E5146">
        <v>0.56635239999999998</v>
      </c>
      <c r="F5146" t="s">
        <v>41</v>
      </c>
      <c r="G5146">
        <v>-320.74029999999999</v>
      </c>
      <c r="H5146">
        <v>0.92075609999999997</v>
      </c>
      <c r="I5146">
        <v>15.6863799999999</v>
      </c>
      <c r="J5146">
        <v>-321.4117</v>
      </c>
      <c r="K5146">
        <v>1.1049580000000001</v>
      </c>
      <c r="L5146">
        <v>16.04214</v>
      </c>
      <c r="M5146">
        <v>0.98397140000000005</v>
      </c>
      <c r="N5146">
        <v>-1.4180160000000001E-2</v>
      </c>
      <c r="O5146">
        <v>-0.1777628</v>
      </c>
      <c r="P5146">
        <v>0.87521680000000002</v>
      </c>
      <c r="Q5146">
        <v>0.39284740000000001</v>
      </c>
      <c r="R5146">
        <v>-0.28225339999999999</v>
      </c>
      <c r="S5146">
        <v>3.2616879999999999</v>
      </c>
      <c r="T5146">
        <v>-0.65094079999999999</v>
      </c>
      <c r="U5146">
        <v>-1.429138</v>
      </c>
      <c r="V5146">
        <v>0.12810940000000001</v>
      </c>
      <c r="W5146">
        <v>0.40389350000000002</v>
      </c>
      <c r="X5146">
        <v>0.90579140000000002</v>
      </c>
      <c r="Y5146">
        <v>0.2304998</v>
      </c>
      <c r="Z5146">
        <v>7.2393269999999899E-3</v>
      </c>
      <c r="AA5146">
        <v>0.97304539999999995</v>
      </c>
      <c r="AB5146">
        <v>34</v>
      </c>
      <c r="AC5146">
        <v>0.67140000000000499</v>
      </c>
      <c r="AD5146">
        <v>-0.184201899999999</v>
      </c>
      <c r="AE5146">
        <v>-0.35576000000000102</v>
      </c>
      <c r="AF5146">
        <v>0.21792354984262699</v>
      </c>
      <c r="AG5146">
        <v>-0.184201899999999</v>
      </c>
      <c r="AH5146">
        <v>0.68376707976323103</v>
      </c>
      <c r="AI5146">
        <v>104.39547016076899</v>
      </c>
      <c r="AJ5146">
        <v>72.322388558033694</v>
      </c>
      <c r="AK5146">
        <v>0.74091729154309705</v>
      </c>
      <c r="AL5146">
        <v>66.178193755207104</v>
      </c>
      <c r="AM5146">
        <v>81.949841454203295</v>
      </c>
      <c r="AN5146">
        <v>1.00000001901228</v>
      </c>
    </row>
    <row r="5147" spans="1:40" x14ac:dyDescent="0.25">
      <c r="A5147" t="str">
        <f>"20190304164512883"</f>
        <v>20190304164512883</v>
      </c>
      <c r="B5147" t="str">
        <f>"1551689112875547"</f>
        <v>1551689112875547</v>
      </c>
      <c r="C5147" t="s">
        <v>40</v>
      </c>
      <c r="D5147">
        <v>5.4489039999999997</v>
      </c>
      <c r="E5147">
        <v>0.56631560000000003</v>
      </c>
      <c r="F5147" t="s">
        <v>41</v>
      </c>
      <c r="G5147">
        <v>-320.71370000000002</v>
      </c>
      <c r="H5147">
        <v>0.96549759999999996</v>
      </c>
      <c r="I5147">
        <v>15.728350000000001</v>
      </c>
      <c r="J5147">
        <v>-321.22199999999998</v>
      </c>
      <c r="K5147">
        <v>1.1047959999999999</v>
      </c>
      <c r="L5147">
        <v>16.00433</v>
      </c>
      <c r="M5147">
        <v>0.98315730000000001</v>
      </c>
      <c r="N5147">
        <v>-1.394774E-2</v>
      </c>
      <c r="O5147">
        <v>-0.18222830000000001</v>
      </c>
      <c r="P5147">
        <v>0.87335810000000003</v>
      </c>
      <c r="Q5147">
        <v>0.39299590000000001</v>
      </c>
      <c r="R5147">
        <v>-0.28774939999999999</v>
      </c>
      <c r="S5147">
        <v>3.2481689999999999</v>
      </c>
      <c r="T5147">
        <v>-0.64848329999999998</v>
      </c>
      <c r="U5147">
        <v>-1.45929</v>
      </c>
      <c r="V5147">
        <v>0.129798</v>
      </c>
      <c r="W5147">
        <v>0.40377659999999999</v>
      </c>
      <c r="X5147">
        <v>0.90560309999999999</v>
      </c>
      <c r="Y5147">
        <v>0.23510990000000001</v>
      </c>
      <c r="Z5147">
        <v>7.5686999999999898E-3</v>
      </c>
      <c r="AA5147">
        <v>0.97193929999999995</v>
      </c>
      <c r="AB5147">
        <v>34</v>
      </c>
      <c r="AC5147">
        <v>0.508299999999962</v>
      </c>
      <c r="AD5147">
        <v>-0.13929839999999899</v>
      </c>
      <c r="AE5147">
        <v>-0.275979999999998</v>
      </c>
      <c r="AF5147">
        <v>0.16892433726359601</v>
      </c>
      <c r="AG5147">
        <v>-0.13929839999999899</v>
      </c>
      <c r="AH5147">
        <v>0.51992633215155704</v>
      </c>
      <c r="AI5147">
        <v>104.295223132633</v>
      </c>
      <c r="AJ5147">
        <v>72.000993646580099</v>
      </c>
      <c r="AK5147">
        <v>0.56414791218888405</v>
      </c>
      <c r="AL5147">
        <v>66.1855151872617</v>
      </c>
      <c r="AM5147">
        <v>81.843478253645003</v>
      </c>
      <c r="AN5147">
        <v>1.00000001912058</v>
      </c>
    </row>
    <row r="5148" spans="1:40" x14ac:dyDescent="0.25">
      <c r="A5148" t="str">
        <f>"20190304164512896"</f>
        <v>20190304164512896</v>
      </c>
      <c r="B5148" t="str">
        <f>"1551689112885307"</f>
        <v>1551689112885307</v>
      </c>
      <c r="C5148" t="s">
        <v>40</v>
      </c>
      <c r="D5148">
        <v>5.4280730000000004</v>
      </c>
      <c r="E5148">
        <v>0.56626409999999905</v>
      </c>
      <c r="F5148" t="s">
        <v>41</v>
      </c>
      <c r="G5148">
        <v>-320.42290000000003</v>
      </c>
      <c r="H5148">
        <v>0.94495960000000001</v>
      </c>
      <c r="I5148">
        <v>15.63894</v>
      </c>
      <c r="J5148">
        <v>-321.03449999999998</v>
      </c>
      <c r="K5148">
        <v>1.1046119999999999</v>
      </c>
      <c r="L5148">
        <v>15.96655</v>
      </c>
      <c r="M5148">
        <v>0.98230050000000002</v>
      </c>
      <c r="N5148">
        <v>-1.364721E-2</v>
      </c>
      <c r="O5148">
        <v>-0.18681400000000001</v>
      </c>
      <c r="P5148">
        <v>0.87145019999999995</v>
      </c>
      <c r="Q5148">
        <v>0.39307500000000001</v>
      </c>
      <c r="R5148">
        <v>-0.29337039999999998</v>
      </c>
      <c r="S5148">
        <v>3.2386170000000001</v>
      </c>
      <c r="T5148">
        <v>-0.64759540000000004</v>
      </c>
      <c r="U5148">
        <v>-1.4804379999999999</v>
      </c>
      <c r="V5148">
        <v>0.13151060000000001</v>
      </c>
      <c r="W5148">
        <v>0.40352650000000001</v>
      </c>
      <c r="X5148">
        <v>0.90546749999999998</v>
      </c>
      <c r="Y5148">
        <v>0.236958</v>
      </c>
      <c r="Z5148">
        <v>8.2436039999999999E-3</v>
      </c>
      <c r="AA5148">
        <v>0.97148489999999998</v>
      </c>
      <c r="AB5148">
        <v>34</v>
      </c>
      <c r="AC5148">
        <v>0.61159999999995296</v>
      </c>
      <c r="AD5148">
        <v>-0.1596524</v>
      </c>
      <c r="AE5148">
        <v>-0.32761000000000001</v>
      </c>
      <c r="AF5148">
        <v>0.197137084744057</v>
      </c>
      <c r="AG5148">
        <v>-0.1596524</v>
      </c>
      <c r="AH5148">
        <v>0.62874705778925699</v>
      </c>
      <c r="AI5148">
        <v>103.61979367190899</v>
      </c>
      <c r="AJ5148">
        <v>72.591727442464403</v>
      </c>
      <c r="AK5148">
        <v>0.67799320179909905</v>
      </c>
      <c r="AL5148">
        <v>66.201177897891597</v>
      </c>
      <c r="AM5148">
        <v>81.736114400565199</v>
      </c>
      <c r="AN5148">
        <v>1.00000003383542</v>
      </c>
    </row>
    <row r="5149" spans="1:40" x14ac:dyDescent="0.25">
      <c r="A5149" t="str">
        <f>"20190304164512907"</f>
        <v>20190304164512907</v>
      </c>
      <c r="B5149" t="str">
        <f>"1551689112895067"</f>
        <v>1551689112895067</v>
      </c>
      <c r="C5149" t="s">
        <v>40</v>
      </c>
      <c r="D5149">
        <v>5.4191029999999998</v>
      </c>
      <c r="E5149">
        <v>0.56622830000000002</v>
      </c>
      <c r="F5149" t="s">
        <v>41</v>
      </c>
      <c r="G5149">
        <v>-320.13099999999997</v>
      </c>
      <c r="H5149">
        <v>0.92329530000000004</v>
      </c>
      <c r="I5149">
        <v>15.546670000000001</v>
      </c>
      <c r="J5149">
        <v>-320.85430000000002</v>
      </c>
      <c r="K5149">
        <v>1.104293</v>
      </c>
      <c r="L5149">
        <v>15.929080000000001</v>
      </c>
      <c r="M5149">
        <v>0.9814676</v>
      </c>
      <c r="N5149">
        <v>-1.337143E-2</v>
      </c>
      <c r="O5149">
        <v>-0.19116150000000001</v>
      </c>
      <c r="P5149">
        <v>0.86950969999999905</v>
      </c>
      <c r="Q5149">
        <v>0.3930844</v>
      </c>
      <c r="R5149">
        <v>-0.29906169999999999</v>
      </c>
      <c r="S5149">
        <v>3.2296450000000001</v>
      </c>
      <c r="T5149">
        <v>-0.64772619999999903</v>
      </c>
      <c r="U5149">
        <v>-1.5002139999999999</v>
      </c>
      <c r="V5149">
        <v>0.133635</v>
      </c>
      <c r="W5149">
        <v>0.40318540000000003</v>
      </c>
      <c r="X5149">
        <v>0.90530840000000001</v>
      </c>
      <c r="Y5149">
        <v>0.23862549999999999</v>
      </c>
      <c r="Z5149">
        <v>8.9099149999999992E-3</v>
      </c>
      <c r="AA5149">
        <v>0.97107080000000001</v>
      </c>
      <c r="AB5149">
        <v>35</v>
      </c>
      <c r="AC5149">
        <v>0.72330000000005101</v>
      </c>
      <c r="AD5149">
        <v>-0.18099769999999901</v>
      </c>
      <c r="AE5149">
        <v>-0.38240999999999797</v>
      </c>
      <c r="AF5149">
        <v>0.22601596201152099</v>
      </c>
      <c r="AG5149">
        <v>-0.18099769999999901</v>
      </c>
      <c r="AH5149">
        <v>0.74653254078106901</v>
      </c>
      <c r="AI5149">
        <v>103.064240606019</v>
      </c>
      <c r="AJ5149">
        <v>73.156084369466399</v>
      </c>
      <c r="AK5149">
        <v>0.80072106062868198</v>
      </c>
      <c r="AL5149">
        <v>66.222536149413699</v>
      </c>
      <c r="AM5149">
        <v>81.603054417954695</v>
      </c>
      <c r="AN5149">
        <v>1.00000003955435</v>
      </c>
    </row>
    <row r="5150" spans="1:40" x14ac:dyDescent="0.25">
      <c r="A5150" t="str">
        <f>"20190304164512919"</f>
        <v>20190304164512919</v>
      </c>
      <c r="B5150" t="str">
        <f>"1551689112915563"</f>
        <v>1551689112915563</v>
      </c>
      <c r="C5150" t="s">
        <v>40</v>
      </c>
      <c r="D5150">
        <v>5.6470419999999999</v>
      </c>
      <c r="E5150">
        <v>0.56620719999999902</v>
      </c>
      <c r="F5150" t="s">
        <v>41</v>
      </c>
      <c r="G5150">
        <v>-320.11290000000002</v>
      </c>
      <c r="H5150">
        <v>0.95502229999999999</v>
      </c>
      <c r="I5150">
        <v>15.578749999999999</v>
      </c>
      <c r="J5150">
        <v>-320.67239999999998</v>
      </c>
      <c r="K5150">
        <v>1.103944</v>
      </c>
      <c r="L5150">
        <v>15.89066</v>
      </c>
      <c r="M5150">
        <v>0.98062629999999995</v>
      </c>
      <c r="N5150">
        <v>-1.3248009999999999E-2</v>
      </c>
      <c r="O5150">
        <v>-0.19543920000000001</v>
      </c>
      <c r="P5150">
        <v>0.86766989999999999</v>
      </c>
      <c r="Q5150">
        <v>0.39310509999999999</v>
      </c>
      <c r="R5150">
        <v>-0.30433070000000001</v>
      </c>
      <c r="S5150">
        <v>3.2200319999999998</v>
      </c>
      <c r="T5150">
        <v>-0.64782439999999997</v>
      </c>
      <c r="U5150">
        <v>-1.520721</v>
      </c>
      <c r="V5150">
        <v>0.13542470000000001</v>
      </c>
      <c r="W5150">
        <v>0.40298820000000002</v>
      </c>
      <c r="X5150">
        <v>0.9051302</v>
      </c>
      <c r="Y5150">
        <v>0.2405977</v>
      </c>
      <c r="Z5150">
        <v>9.489473E-3</v>
      </c>
      <c r="AA5150">
        <v>0.97057859999999996</v>
      </c>
      <c r="AB5150">
        <v>35</v>
      </c>
      <c r="AC5150">
        <v>0.55949999999995703</v>
      </c>
      <c r="AD5150">
        <v>-0.14892169999999999</v>
      </c>
      <c r="AE5150">
        <v>-0.31191000000000102</v>
      </c>
      <c r="AF5150">
        <v>0.18645835235584199</v>
      </c>
      <c r="AG5150">
        <v>-0.14892169999999999</v>
      </c>
      <c r="AH5150">
        <v>0.57841105422900196</v>
      </c>
      <c r="AI5150">
        <v>103.76895134675701</v>
      </c>
      <c r="AJ5150">
        <v>72.132596287721</v>
      </c>
      <c r="AK5150">
        <v>0.62570259512683102</v>
      </c>
      <c r="AL5150">
        <v>66.234881527527904</v>
      </c>
      <c r="AM5150">
        <v>81.490583390924201</v>
      </c>
      <c r="AN5150">
        <v>1.00000000883068</v>
      </c>
    </row>
    <row r="5151" spans="1:40" x14ac:dyDescent="0.25">
      <c r="A5151" t="str">
        <f>"20190304164512930"</f>
        <v>20190304164512930</v>
      </c>
      <c r="B5151" t="str">
        <f>"1551689112925324"</f>
        <v>1551689112925324</v>
      </c>
      <c r="C5151" t="s">
        <v>40</v>
      </c>
      <c r="D5151">
        <v>5.4309750000000001</v>
      </c>
      <c r="E5151">
        <v>0.56623979999999996</v>
      </c>
      <c r="F5151" t="s">
        <v>41</v>
      </c>
      <c r="G5151">
        <v>-319.82420000000002</v>
      </c>
      <c r="H5151">
        <v>0.93296610000000002</v>
      </c>
      <c r="I5151">
        <v>15.483779999999999</v>
      </c>
      <c r="J5151">
        <v>-320.49900000000002</v>
      </c>
      <c r="K5151">
        <v>1.1035839999999999</v>
      </c>
      <c r="L5151">
        <v>15.853300000000001</v>
      </c>
      <c r="M5151">
        <v>0.97982970000000003</v>
      </c>
      <c r="N5151">
        <v>-1.330769E-2</v>
      </c>
      <c r="O5151">
        <v>-0.1993914</v>
      </c>
      <c r="P5151">
        <v>0.86609080000000005</v>
      </c>
      <c r="Q5151">
        <v>0.3924067</v>
      </c>
      <c r="R5151">
        <v>-0.30968379999999901</v>
      </c>
      <c r="S5151">
        <v>3.2106020000000002</v>
      </c>
      <c r="T5151">
        <v>-0.64691330000000002</v>
      </c>
      <c r="U5151">
        <v>-1.539795</v>
      </c>
      <c r="V5151">
        <v>0.13756119999999999</v>
      </c>
      <c r="W5151">
        <v>0.4022252</v>
      </c>
      <c r="X5151">
        <v>0.90514740000000005</v>
      </c>
      <c r="Y5151">
        <v>0.24250340000000001</v>
      </c>
      <c r="Z5151">
        <v>9.9425499999999997E-3</v>
      </c>
      <c r="AA5151">
        <v>0.97009959999999995</v>
      </c>
      <c r="AB5151">
        <v>35</v>
      </c>
      <c r="AC5151">
        <v>0.67480000000000395</v>
      </c>
      <c r="AD5151">
        <v>-0.17061789999999999</v>
      </c>
      <c r="AE5151">
        <v>-0.36952000000000101</v>
      </c>
      <c r="AF5151">
        <v>0.21687143404999401</v>
      </c>
      <c r="AG5151">
        <v>-0.17061789999999999</v>
      </c>
      <c r="AH5151">
        <v>0.70048247199768099</v>
      </c>
      <c r="AI5151">
        <v>103.098281435655</v>
      </c>
      <c r="AJ5151">
        <v>72.797321321687406</v>
      </c>
      <c r="AK5151">
        <v>0.75287407996509803</v>
      </c>
      <c r="AL5151">
        <v>66.282639765307295</v>
      </c>
      <c r="AM5151">
        <v>81.358509375885404</v>
      </c>
      <c r="AN5151">
        <v>1.00000000549362</v>
      </c>
    </row>
    <row r="5152" spans="1:40" x14ac:dyDescent="0.25">
      <c r="A5152" t="str">
        <f>"20190304164512940"</f>
        <v>20190304164512940</v>
      </c>
      <c r="B5152" t="str">
        <f>"1551689112935083"</f>
        <v>1551689112935083</v>
      </c>
      <c r="C5152" t="s">
        <v>40</v>
      </c>
      <c r="D5152">
        <v>5.4295410000000004</v>
      </c>
      <c r="E5152">
        <v>0.56622229999999996</v>
      </c>
      <c r="F5152" t="s">
        <v>41</v>
      </c>
      <c r="G5152">
        <v>-319.80520000000001</v>
      </c>
      <c r="H5152">
        <v>0.96287730000000005</v>
      </c>
      <c r="I5152">
        <v>15.515230000000001</v>
      </c>
      <c r="J5152">
        <v>-320.34210000000002</v>
      </c>
      <c r="K5152">
        <v>1.1031959999999901</v>
      </c>
      <c r="L5152">
        <v>15.818659999999999</v>
      </c>
      <c r="M5152">
        <v>0.9790875</v>
      </c>
      <c r="N5152">
        <v>-1.348039E-2</v>
      </c>
      <c r="O5152">
        <v>-0.20299300000000001</v>
      </c>
      <c r="P5152">
        <v>0.86465590000000003</v>
      </c>
      <c r="Q5152">
        <v>0.3917158</v>
      </c>
      <c r="R5152">
        <v>-0.3145307</v>
      </c>
      <c r="S5152">
        <v>3.200348</v>
      </c>
      <c r="T5152">
        <v>-0.64869129999999997</v>
      </c>
      <c r="U5152">
        <v>-1.558929</v>
      </c>
      <c r="V5152">
        <v>0.1394851</v>
      </c>
      <c r="W5152">
        <v>0.40157769999999998</v>
      </c>
      <c r="X5152">
        <v>0.90514050000000001</v>
      </c>
      <c r="Y5152">
        <v>0.24483779999999999</v>
      </c>
      <c r="Z5152">
        <v>1.0317170000000001E-2</v>
      </c>
      <c r="AA5152">
        <v>0.96950919999999896</v>
      </c>
      <c r="AB5152">
        <v>35</v>
      </c>
      <c r="AC5152">
        <v>0.53690000000000204</v>
      </c>
      <c r="AD5152">
        <v>-0.14031869999999899</v>
      </c>
      <c r="AE5152">
        <v>-0.30343000000000198</v>
      </c>
      <c r="AF5152">
        <v>0.17885549874150999</v>
      </c>
      <c r="AG5152">
        <v>-0.14031869999999899</v>
      </c>
      <c r="AH5152">
        <v>0.55841121388443005</v>
      </c>
      <c r="AI5152">
        <v>103.45816596280299</v>
      </c>
      <c r="AJ5152">
        <v>72.240073855690895</v>
      </c>
      <c r="AK5152">
        <v>0.60291103057718898</v>
      </c>
      <c r="AL5152">
        <v>66.323155604759407</v>
      </c>
      <c r="AM5152">
        <v>81.239447911480298</v>
      </c>
      <c r="AN5152">
        <v>1.0000000334997701</v>
      </c>
    </row>
    <row r="5153" spans="1:40" x14ac:dyDescent="0.25">
      <c r="A5153" t="str">
        <f>"20190304164512952"</f>
        <v>20190304164512952</v>
      </c>
      <c r="B5153" t="str">
        <f>"1551689112945819"</f>
        <v>1551689112945819</v>
      </c>
      <c r="C5153" t="s">
        <v>40</v>
      </c>
      <c r="D5153">
        <v>5.4373060000000004</v>
      </c>
      <c r="E5153">
        <v>0.56619799999999998</v>
      </c>
      <c r="F5153" t="s">
        <v>41</v>
      </c>
      <c r="G5153">
        <v>-319.52080000000001</v>
      </c>
      <c r="H5153">
        <v>0.93561530000000004</v>
      </c>
      <c r="I5153">
        <v>15.412890000000001</v>
      </c>
      <c r="J5153">
        <v>-320.15750000000003</v>
      </c>
      <c r="K5153">
        <v>1.1027039999999999</v>
      </c>
      <c r="L5153">
        <v>15.7775</v>
      </c>
      <c r="M5153">
        <v>0.97819330000000004</v>
      </c>
      <c r="N5153">
        <v>-1.3745200000000001E-2</v>
      </c>
      <c r="O5153">
        <v>-0.20724110000000001</v>
      </c>
      <c r="P5153">
        <v>0.86319020000000002</v>
      </c>
      <c r="Q5153">
        <v>0.39080340000000002</v>
      </c>
      <c r="R5153">
        <v>-0.31964900000000002</v>
      </c>
      <c r="S5153">
        <v>3.1911010000000002</v>
      </c>
      <c r="T5153">
        <v>-0.65072410000000003</v>
      </c>
      <c r="U5153">
        <v>-1.575958</v>
      </c>
      <c r="V5153">
        <v>0.1411241</v>
      </c>
      <c r="W5153">
        <v>0.4007809</v>
      </c>
      <c r="X5153">
        <v>0.90523960000000003</v>
      </c>
      <c r="Y5153">
        <v>0.24591950000000001</v>
      </c>
      <c r="Z5153">
        <v>1.090547E-2</v>
      </c>
      <c r="AA5153">
        <v>0.96922889999999995</v>
      </c>
      <c r="AB5153">
        <v>35</v>
      </c>
      <c r="AC5153">
        <v>0.63670000000001803</v>
      </c>
      <c r="AD5153">
        <v>-0.16708870000000001</v>
      </c>
      <c r="AE5153">
        <v>-0.36460999999999999</v>
      </c>
      <c r="AF5153">
        <v>0.21364963022846001</v>
      </c>
      <c r="AG5153">
        <v>-0.16708870000000001</v>
      </c>
      <c r="AH5153">
        <v>0.66400723450866805</v>
      </c>
      <c r="AI5153">
        <v>103.470944710786</v>
      </c>
      <c r="AJ5153">
        <v>72.164006079323002</v>
      </c>
      <c r="AK5153">
        <v>0.71726592393916</v>
      </c>
      <c r="AL5153">
        <v>66.372995550025607</v>
      </c>
      <c r="AM5153">
        <v>81.139087648710301</v>
      </c>
      <c r="AN5153">
        <v>1.00000003740688</v>
      </c>
    </row>
    <row r="5154" spans="1:40" x14ac:dyDescent="0.25">
      <c r="A5154" t="str">
        <f>"20190304164512963"</f>
        <v>20190304164512963</v>
      </c>
      <c r="B5154" t="str">
        <f>"1551689112955579"</f>
        <v>1551689112955579</v>
      </c>
      <c r="C5154" t="s">
        <v>40</v>
      </c>
      <c r="D5154">
        <v>5.4411849999999999</v>
      </c>
      <c r="E5154">
        <v>0.56621339999999998</v>
      </c>
      <c r="F5154" t="s">
        <v>41</v>
      </c>
      <c r="G5154">
        <v>-319.49990000000003</v>
      </c>
      <c r="H5154">
        <v>0.96747660000000002</v>
      </c>
      <c r="I5154">
        <v>15.447620000000001</v>
      </c>
      <c r="J5154">
        <v>-319.99979999999999</v>
      </c>
      <c r="K5154">
        <v>1.102182</v>
      </c>
      <c r="L5154">
        <v>15.7411799999999</v>
      </c>
      <c r="M5154">
        <v>0.97740899999999997</v>
      </c>
      <c r="N5154">
        <v>-1.411345E-2</v>
      </c>
      <c r="O5154">
        <v>-0.21088560000000001</v>
      </c>
      <c r="P5154">
        <v>0.86188290000000001</v>
      </c>
      <c r="Q5154">
        <v>0.38985039999999999</v>
      </c>
      <c r="R5154">
        <v>-0.32430720000000002</v>
      </c>
      <c r="S5154">
        <v>3.1808169999999998</v>
      </c>
      <c r="T5154">
        <v>-0.65356800000000004</v>
      </c>
      <c r="U5154">
        <v>-1.594727</v>
      </c>
      <c r="V5154">
        <v>0.14281160000000001</v>
      </c>
      <c r="W5154">
        <v>0.40004299999999998</v>
      </c>
      <c r="X5154">
        <v>0.90530129999999998</v>
      </c>
      <c r="Y5154">
        <v>0.248111</v>
      </c>
      <c r="Z5154">
        <v>1.1265600000000001E-2</v>
      </c>
      <c r="AA5154">
        <v>0.96866609999999997</v>
      </c>
      <c r="AB5154">
        <v>35</v>
      </c>
      <c r="AC5154">
        <v>0.49989999999996798</v>
      </c>
      <c r="AD5154">
        <v>-0.1347054</v>
      </c>
      <c r="AE5154">
        <v>-0.29355999999999699</v>
      </c>
      <c r="AF5154">
        <v>0.17222569412066299</v>
      </c>
      <c r="AG5154">
        <v>-0.1347054</v>
      </c>
      <c r="AH5154">
        <v>0.52236546283910401</v>
      </c>
      <c r="AI5154">
        <v>103.76131873239</v>
      </c>
      <c r="AJ5154">
        <v>71.752433971133797</v>
      </c>
      <c r="AK5154">
        <v>0.56627988775129201</v>
      </c>
      <c r="AL5154">
        <v>66.419133341048195</v>
      </c>
      <c r="AM5154">
        <v>81.035444902493794</v>
      </c>
      <c r="AN5154">
        <v>0.99999999936262496</v>
      </c>
    </row>
    <row r="5155" spans="1:40" x14ac:dyDescent="0.25">
      <c r="A5155" t="str">
        <f>"20190304164512974"</f>
        <v>20190304164512974</v>
      </c>
      <c r="B5155" t="str">
        <f>"1551689112965340"</f>
        <v>1551689112965340</v>
      </c>
      <c r="C5155" t="s">
        <v>40</v>
      </c>
      <c r="D5155">
        <v>5.4310419999999997</v>
      </c>
      <c r="E5155">
        <v>0.56620109999999901</v>
      </c>
      <c r="F5155" t="s">
        <v>41</v>
      </c>
      <c r="G5155">
        <v>-319.21660000000003</v>
      </c>
      <c r="H5155">
        <v>0.9402452</v>
      </c>
      <c r="I5155">
        <v>15.342779999999999</v>
      </c>
      <c r="J5155">
        <v>-319.83010000000002</v>
      </c>
      <c r="K5155">
        <v>1.101599</v>
      </c>
      <c r="L5155">
        <v>15.7019</v>
      </c>
      <c r="M5155">
        <v>0.97654960000000002</v>
      </c>
      <c r="N5155">
        <v>-1.453306E-2</v>
      </c>
      <c r="O5155">
        <v>-0.21480160000000001</v>
      </c>
      <c r="P5155">
        <v>0.86063780000000001</v>
      </c>
      <c r="Q5155">
        <v>0.38859759999999999</v>
      </c>
      <c r="R5155">
        <v>-0.32908120000000002</v>
      </c>
      <c r="S5155">
        <v>3.1704409999999998</v>
      </c>
      <c r="T5155">
        <v>-0.65559789999999996</v>
      </c>
      <c r="U5155">
        <v>-1.6127929999999999</v>
      </c>
      <c r="V5155">
        <v>0.14435919999999999</v>
      </c>
      <c r="W5155">
        <v>0.39904770000000001</v>
      </c>
      <c r="X5155">
        <v>0.9054951</v>
      </c>
      <c r="Y5155">
        <v>0.24988270000000001</v>
      </c>
      <c r="Z5155">
        <v>1.168051E-2</v>
      </c>
      <c r="AA5155">
        <v>0.96820569999999895</v>
      </c>
      <c r="AB5155">
        <v>35</v>
      </c>
      <c r="AC5155">
        <v>0.61349999999998694</v>
      </c>
      <c r="AD5155">
        <v>-0.16135379999999999</v>
      </c>
      <c r="AE5155">
        <v>-0.35911999999999999</v>
      </c>
      <c r="AF5155">
        <v>0.20821387599174601</v>
      </c>
      <c r="AG5155">
        <v>-0.16135379999999999</v>
      </c>
      <c r="AH5155">
        <v>0.64318780613772597</v>
      </c>
      <c r="AI5155">
        <v>103.42373476230399</v>
      </c>
      <c r="AJ5155">
        <v>72.0621053276883</v>
      </c>
      <c r="AK5155">
        <v>0.69503857511235101</v>
      </c>
      <c r="AL5155">
        <v>66.481341173526602</v>
      </c>
      <c r="AM5155">
        <v>80.941808969010395</v>
      </c>
      <c r="AN5155">
        <v>1.00000001081197</v>
      </c>
    </row>
    <row r="5156" spans="1:40" x14ac:dyDescent="0.25">
      <c r="A5156" t="str">
        <f>"20190304164512984"</f>
        <v>20190304164512984</v>
      </c>
      <c r="B5156" t="str">
        <f>"1551689112975099"</f>
        <v>1551689112975099</v>
      </c>
      <c r="C5156" t="s">
        <v>40</v>
      </c>
      <c r="D5156">
        <v>5.4381550000000001</v>
      </c>
      <c r="E5156">
        <v>0.56618939999999995</v>
      </c>
      <c r="F5156" t="s">
        <v>43</v>
      </c>
      <c r="G5156">
        <v>-314.31099999999998</v>
      </c>
      <c r="H5156">
        <v>-0.05</v>
      </c>
      <c r="I5156">
        <v>12.852040000000001</v>
      </c>
      <c r="J5156">
        <v>-319.66820000000001</v>
      </c>
      <c r="K5156">
        <v>1.1009420000000001</v>
      </c>
      <c r="L5156">
        <v>15.663119999999999</v>
      </c>
      <c r="M5156">
        <v>0.97572999999999999</v>
      </c>
      <c r="N5156">
        <v>-1.5095849999999999E-2</v>
      </c>
      <c r="O5156">
        <v>-0.2184566</v>
      </c>
      <c r="P5156">
        <v>0.85936599999999996</v>
      </c>
      <c r="Q5156">
        <v>0.38730700000000001</v>
      </c>
      <c r="R5156">
        <v>-0.33389160000000001</v>
      </c>
      <c r="S5156">
        <v>3.1596069999999998</v>
      </c>
      <c r="T5156">
        <v>-0.65927199999999997</v>
      </c>
      <c r="U5156">
        <v>-1.6315</v>
      </c>
      <c r="V5156">
        <v>0.14617450000000001</v>
      </c>
      <c r="W5156">
        <v>0.39814110000000003</v>
      </c>
      <c r="X5156">
        <v>0.90560289999999999</v>
      </c>
      <c r="Y5156">
        <v>0.2520984</v>
      </c>
      <c r="Z5156">
        <v>1.199833E-2</v>
      </c>
      <c r="AA5156">
        <v>0.96762720000000002</v>
      </c>
      <c r="AB5156">
        <v>34</v>
      </c>
      <c r="AC5156">
        <v>5.3572000000000299</v>
      </c>
      <c r="AD5156">
        <v>-1.1509419999999999</v>
      </c>
      <c r="AE5156">
        <v>-2.81108</v>
      </c>
      <c r="AF5156">
        <v>1.5177876444038501</v>
      </c>
      <c r="AG5156">
        <v>-1.1509419999999999</v>
      </c>
      <c r="AH5156">
        <v>5.6379015119758602</v>
      </c>
      <c r="AI5156">
        <v>101.151472958531</v>
      </c>
      <c r="AJ5156">
        <v>74.932543911734996</v>
      </c>
      <c r="AK5156">
        <v>5.9509898571253403</v>
      </c>
      <c r="AL5156">
        <v>66.537978173453496</v>
      </c>
      <c r="AM5156">
        <v>80.830899886210602</v>
      </c>
      <c r="AN5156">
        <v>0.99999996622393394</v>
      </c>
    </row>
    <row r="5157" spans="1:40" x14ac:dyDescent="0.25">
      <c r="A5157" t="str">
        <f>"20190304164512996"</f>
        <v>20190304164512996</v>
      </c>
      <c r="B5157" t="str">
        <f>"1551689112985836"</f>
        <v>1551689112985836</v>
      </c>
      <c r="C5157" t="s">
        <v>40</v>
      </c>
      <c r="D5157">
        <v>5.4284420000000004</v>
      </c>
      <c r="E5157">
        <v>0.56619419999999898</v>
      </c>
      <c r="F5157" t="s">
        <v>41</v>
      </c>
      <c r="G5157">
        <v>-318.91489999999999</v>
      </c>
      <c r="H5157">
        <v>0.94216999999999995</v>
      </c>
      <c r="I5157">
        <v>15.268280000000001</v>
      </c>
      <c r="J5157">
        <v>-319.50560000000002</v>
      </c>
      <c r="K5157">
        <v>1.100268</v>
      </c>
      <c r="L5157">
        <v>15.62393</v>
      </c>
      <c r="M5157">
        <v>0.97489429999999999</v>
      </c>
      <c r="N5157">
        <v>-1.568172E-2</v>
      </c>
      <c r="O5157">
        <v>-0.2221156</v>
      </c>
      <c r="P5157">
        <v>0.85803169999999995</v>
      </c>
      <c r="Q5157">
        <v>0.38605790000000001</v>
      </c>
      <c r="R5157">
        <v>-0.33873439999999999</v>
      </c>
      <c r="S5157">
        <v>3.1488339999999999</v>
      </c>
      <c r="T5157">
        <v>-0.66321949999999996</v>
      </c>
      <c r="U5157">
        <v>-1.649872</v>
      </c>
      <c r="V5157">
        <v>0.1480253</v>
      </c>
      <c r="W5157">
        <v>0.39729449999999999</v>
      </c>
      <c r="X5157">
        <v>0.90567410000000004</v>
      </c>
      <c r="Y5157">
        <v>0.25421899999999997</v>
      </c>
      <c r="Z5157">
        <v>1.232656E-2</v>
      </c>
      <c r="AA5157">
        <v>0.96706809999999999</v>
      </c>
      <c r="AB5157">
        <v>34</v>
      </c>
      <c r="AC5157">
        <v>0.59070000000002598</v>
      </c>
      <c r="AD5157">
        <v>-0.15809799999999899</v>
      </c>
      <c r="AE5157">
        <v>-0.35565000000000002</v>
      </c>
      <c r="AF5157">
        <v>0.20477772167878699</v>
      </c>
      <c r="AG5157">
        <v>-0.15809799999999899</v>
      </c>
      <c r="AH5157">
        <v>0.62223196301990302</v>
      </c>
      <c r="AI5157">
        <v>103.568742481877</v>
      </c>
      <c r="AJ5157">
        <v>71.7835263688049</v>
      </c>
      <c r="AK5157">
        <v>0.67387054298548799</v>
      </c>
      <c r="AL5157">
        <v>66.590846612444594</v>
      </c>
      <c r="AM5157">
        <v>80.717530527226998</v>
      </c>
      <c r="AN5157">
        <v>0.99999999229057501</v>
      </c>
    </row>
    <row r="5158" spans="1:40" x14ac:dyDescent="0.25">
      <c r="A5158" t="str">
        <f>"20190304164513008"</f>
        <v>20190304164513008</v>
      </c>
      <c r="B5158" t="str">
        <f>"1551689112995596"</f>
        <v>1551689112995596</v>
      </c>
      <c r="C5158" t="s">
        <v>40</v>
      </c>
      <c r="D5158">
        <v>5.4125629999999996</v>
      </c>
      <c r="E5158">
        <v>0.56620879999999996</v>
      </c>
      <c r="F5158" t="s">
        <v>43</v>
      </c>
      <c r="G5158">
        <v>-314.09199999999998</v>
      </c>
      <c r="H5158">
        <v>-0.05</v>
      </c>
      <c r="I5158">
        <v>12.74602</v>
      </c>
      <c r="J5158">
        <v>-319.33089999999999</v>
      </c>
      <c r="K5158">
        <v>1.0994679999999999</v>
      </c>
      <c r="L5158">
        <v>15.5806</v>
      </c>
      <c r="M5158">
        <v>0.97398629999999997</v>
      </c>
      <c r="N5158">
        <v>-1.6401720000000002E-2</v>
      </c>
      <c r="O5158">
        <v>-0.22601209999999999</v>
      </c>
      <c r="P5158">
        <v>0.85650590000000004</v>
      </c>
      <c r="Q5158">
        <v>0.3850499</v>
      </c>
      <c r="R5158">
        <v>-0.34370679999999998</v>
      </c>
      <c r="S5158">
        <v>3.1378170000000001</v>
      </c>
      <c r="T5158">
        <v>-0.66672749999999903</v>
      </c>
      <c r="U5158">
        <v>-1.668121</v>
      </c>
      <c r="V5158">
        <v>0.14982779999999901</v>
      </c>
      <c r="W5158">
        <v>0.39680700000000002</v>
      </c>
      <c r="X5158">
        <v>0.90559140000000005</v>
      </c>
      <c r="Y5158">
        <v>0.2561042</v>
      </c>
      <c r="Z5158">
        <v>1.2663829999999999E-2</v>
      </c>
      <c r="AA5158">
        <v>0.96656620000000004</v>
      </c>
      <c r="AB5158">
        <v>34</v>
      </c>
      <c r="AC5158">
        <v>5.2389000000000001</v>
      </c>
      <c r="AD5158">
        <v>-1.1494679999999999</v>
      </c>
      <c r="AE5158">
        <v>-2.8345799999999999</v>
      </c>
      <c r="AF5158">
        <v>1.5203819636576501</v>
      </c>
      <c r="AG5158">
        <v>-1.1494679999999999</v>
      </c>
      <c r="AH5158">
        <v>5.5378162773598101</v>
      </c>
      <c r="AI5158">
        <v>101.318773506347</v>
      </c>
      <c r="AJ5158">
        <v>74.647967143511096</v>
      </c>
      <c r="AK5158">
        <v>5.8566412832126602</v>
      </c>
      <c r="AL5158">
        <v>66.621279589896204</v>
      </c>
      <c r="AM5158">
        <v>80.605658423989297</v>
      </c>
      <c r="AN5158">
        <v>0.999999974327899</v>
      </c>
    </row>
    <row r="5159" spans="1:40" x14ac:dyDescent="0.25">
      <c r="A5159" t="str">
        <f>"20190304164513019"</f>
        <v>20190304164513019</v>
      </c>
      <c r="B5159" t="str">
        <f>"1551689113015116"</f>
        <v>1551689113015116</v>
      </c>
      <c r="C5159" t="s">
        <v>40</v>
      </c>
      <c r="D5159">
        <v>5.423495</v>
      </c>
      <c r="E5159">
        <v>0.56619540000000002</v>
      </c>
      <c r="F5159" t="s">
        <v>41</v>
      </c>
      <c r="G5159">
        <v>-318.61320000000001</v>
      </c>
      <c r="H5159">
        <v>0.94581289999999996</v>
      </c>
      <c r="I5159">
        <v>15.1932299999999</v>
      </c>
      <c r="J5159">
        <v>-319.14960000000002</v>
      </c>
      <c r="K5159">
        <v>1.0986119999999999</v>
      </c>
      <c r="L5159">
        <v>15.53482</v>
      </c>
      <c r="M5159">
        <v>0.97301610000000005</v>
      </c>
      <c r="N5159">
        <v>-1.7179759999999999E-2</v>
      </c>
      <c r="O5159">
        <v>-0.23009640000000001</v>
      </c>
      <c r="P5159">
        <v>0.85475759999999901</v>
      </c>
      <c r="Q5159">
        <v>0.38433650000000003</v>
      </c>
      <c r="R5159">
        <v>-0.34881960000000001</v>
      </c>
      <c r="S5159">
        <v>3.1264340000000002</v>
      </c>
      <c r="T5159">
        <v>-0.66888359999999902</v>
      </c>
      <c r="U5159">
        <v>-1.6868590000000001</v>
      </c>
      <c r="V5159">
        <v>0.15163389999999999</v>
      </c>
      <c r="W5159">
        <v>0.39666689999999999</v>
      </c>
      <c r="X5159">
        <v>0.90535220000000005</v>
      </c>
      <c r="Y5159">
        <v>0.2579688</v>
      </c>
      <c r="Z5159">
        <v>1.2977539999999999E-2</v>
      </c>
      <c r="AA5159">
        <v>0.96606610000000004</v>
      </c>
      <c r="AB5159">
        <v>34</v>
      </c>
      <c r="AC5159">
        <v>0.53640000000001398</v>
      </c>
      <c r="AD5159">
        <v>-0.15279909999999999</v>
      </c>
      <c r="AE5159">
        <v>-0.341590000000003</v>
      </c>
      <c r="AF5159">
        <v>0.197573300152908</v>
      </c>
      <c r="AG5159">
        <v>-0.15279909999999999</v>
      </c>
      <c r="AH5159">
        <v>0.56783080832411403</v>
      </c>
      <c r="AI5159">
        <v>104.259699112975</v>
      </c>
      <c r="AJ5159">
        <v>70.814967448830998</v>
      </c>
      <c r="AK5159">
        <v>0.62033426535710401</v>
      </c>
      <c r="AL5159">
        <v>66.630025961341104</v>
      </c>
      <c r="AM5159">
        <v>80.492003280722699</v>
      </c>
      <c r="AN5159">
        <v>1.0000000376148199</v>
      </c>
    </row>
    <row r="5160" spans="1:40" x14ac:dyDescent="0.25">
      <c r="A5160" t="str">
        <f>"20190304164513031"</f>
        <v>20190304164513031</v>
      </c>
      <c r="B5160" t="str">
        <f>"1551689113025853"</f>
        <v>1551689113025853</v>
      </c>
      <c r="C5160" t="s">
        <v>40</v>
      </c>
      <c r="D5160">
        <v>5.4224389999999998</v>
      </c>
      <c r="E5160">
        <v>0.56620719999999902</v>
      </c>
      <c r="F5160" t="s">
        <v>41</v>
      </c>
      <c r="G5160">
        <v>-318.32089999999999</v>
      </c>
      <c r="H5160">
        <v>0.92036890000000005</v>
      </c>
      <c r="I5160">
        <v>15.080909999999999</v>
      </c>
      <c r="J5160">
        <v>-318.9742</v>
      </c>
      <c r="K5160">
        <v>1.0977440000000001</v>
      </c>
      <c r="L5160">
        <v>15.48972</v>
      </c>
      <c r="M5160">
        <v>0.97204789999999996</v>
      </c>
      <c r="N5160">
        <v>-1.7964770000000001E-2</v>
      </c>
      <c r="O5160">
        <v>-0.2340942</v>
      </c>
      <c r="P5160">
        <v>0.8530124</v>
      </c>
      <c r="Q5160">
        <v>0.38350380000000001</v>
      </c>
      <c r="R5160">
        <v>-0.35397009999999901</v>
      </c>
      <c r="S5160">
        <v>3.1148069999999999</v>
      </c>
      <c r="T5160">
        <v>-0.66966719999999902</v>
      </c>
      <c r="U5160">
        <v>-1.7056880000000001</v>
      </c>
      <c r="V5160">
        <v>0.15352160000000001</v>
      </c>
      <c r="W5160">
        <v>0.39642139999999998</v>
      </c>
      <c r="X5160">
        <v>0.90514150000000004</v>
      </c>
      <c r="Y5160">
        <v>0.2599706</v>
      </c>
      <c r="Z5160">
        <v>1.321688E-2</v>
      </c>
      <c r="AA5160">
        <v>0.965526</v>
      </c>
      <c r="AB5160">
        <v>34</v>
      </c>
      <c r="AC5160">
        <v>0.65330000000000099</v>
      </c>
      <c r="AD5160">
        <v>-0.17737510000000001</v>
      </c>
      <c r="AE5160">
        <v>-0.40881000000000001</v>
      </c>
      <c r="AF5160">
        <v>0.23218893439906499</v>
      </c>
      <c r="AG5160">
        <v>-0.17737510000000001</v>
      </c>
      <c r="AH5160">
        <v>0.69408909280768605</v>
      </c>
      <c r="AI5160">
        <v>103.62298956026</v>
      </c>
      <c r="AJ5160">
        <v>71.503713963975301</v>
      </c>
      <c r="AK5160">
        <v>0.75308252941625198</v>
      </c>
      <c r="AL5160">
        <v>66.645346628739304</v>
      </c>
      <c r="AM5160">
        <v>80.373639941487596</v>
      </c>
      <c r="AN5160">
        <v>0.99999997153338405</v>
      </c>
    </row>
    <row r="5161" spans="1:40" x14ac:dyDescent="0.25">
      <c r="A5161" t="str">
        <f>"20190304164513043"</f>
        <v>20190304164513043</v>
      </c>
      <c r="B5161" t="str">
        <f>"1551689113035613"</f>
        <v>1551689113035613</v>
      </c>
      <c r="C5161" t="s">
        <v>40</v>
      </c>
      <c r="D5161">
        <v>5.4151300000000004</v>
      </c>
      <c r="E5161">
        <v>0.56620719999999902</v>
      </c>
      <c r="F5161" t="s">
        <v>41</v>
      </c>
      <c r="G5161">
        <v>-318.30919999999998</v>
      </c>
      <c r="H5161">
        <v>0.95380430000000005</v>
      </c>
      <c r="I5161">
        <v>15.12016</v>
      </c>
      <c r="J5161">
        <v>-318.80009999999999</v>
      </c>
      <c r="K5161">
        <v>1.0968869999999999</v>
      </c>
      <c r="L5161">
        <v>15.443659999999999</v>
      </c>
      <c r="M5161">
        <v>0.97101090000000001</v>
      </c>
      <c r="N5161">
        <v>-1.881704E-2</v>
      </c>
      <c r="O5161">
        <v>-0.23829349999999999</v>
      </c>
      <c r="P5161">
        <v>0.851104999999999</v>
      </c>
      <c r="Q5161">
        <v>0.38288990000000001</v>
      </c>
      <c r="R5161">
        <v>-0.35918739999999999</v>
      </c>
      <c r="S5161">
        <v>3.1033330000000001</v>
      </c>
      <c r="T5161">
        <v>-0.67148549999999996</v>
      </c>
      <c r="U5161">
        <v>-1.724243</v>
      </c>
      <c r="V5161">
        <v>0.1552635</v>
      </c>
      <c r="W5161">
        <v>0.39647870000000002</v>
      </c>
      <c r="X5161">
        <v>0.90481929999999999</v>
      </c>
      <c r="Y5161">
        <v>0.26168469999999999</v>
      </c>
      <c r="Z5161">
        <v>1.352219E-2</v>
      </c>
      <c r="AA5161">
        <v>0.96505870000000005</v>
      </c>
      <c r="AB5161">
        <v>34</v>
      </c>
      <c r="AC5161">
        <v>0.49090000000001</v>
      </c>
      <c r="AD5161">
        <v>-0.14308270000000001</v>
      </c>
      <c r="AE5161">
        <v>-0.32350000000000101</v>
      </c>
      <c r="AF5161">
        <v>0.186152469850387</v>
      </c>
      <c r="AG5161">
        <v>-0.14308270000000001</v>
      </c>
      <c r="AH5161">
        <v>0.52288379258765905</v>
      </c>
      <c r="AI5161">
        <v>104.455650609657</v>
      </c>
      <c r="AJ5161">
        <v>70.403702586841007</v>
      </c>
      <c r="AK5161">
        <v>0.57317786211746202</v>
      </c>
      <c r="AL5161">
        <v>66.641772232417793</v>
      </c>
      <c r="AM5161">
        <v>80.263094788531802</v>
      </c>
      <c r="AN5161">
        <v>1.0000000398192099</v>
      </c>
    </row>
    <row r="5162" spans="1:40" x14ac:dyDescent="0.25">
      <c r="A5162" t="str">
        <f>"20190304164513055"</f>
        <v>20190304164513055</v>
      </c>
      <c r="B5162" t="str">
        <f>"1551689113045371"</f>
        <v>1551689113045371</v>
      </c>
      <c r="C5162" t="s">
        <v>40</v>
      </c>
      <c r="D5162">
        <v>5.4169210000000003</v>
      </c>
      <c r="E5162">
        <v>0.56617130000000004</v>
      </c>
      <c r="F5162" t="s">
        <v>41</v>
      </c>
      <c r="G5162">
        <v>-318.02719999999999</v>
      </c>
      <c r="H5162">
        <v>0.92847199999999996</v>
      </c>
      <c r="I5162">
        <v>15.008100000000001</v>
      </c>
      <c r="J5162">
        <v>-318.62220000000002</v>
      </c>
      <c r="K5162">
        <v>1.096012</v>
      </c>
      <c r="L5162">
        <v>15.396089999999999</v>
      </c>
      <c r="M5162">
        <v>0.96989270000000005</v>
      </c>
      <c r="N5162">
        <v>-1.9692979999999999E-2</v>
      </c>
      <c r="O5162">
        <v>-0.24273549999999999</v>
      </c>
      <c r="P5162">
        <v>0.84909460000000003</v>
      </c>
      <c r="Q5162">
        <v>0.38232050000000001</v>
      </c>
      <c r="R5162">
        <v>-0.36451309999999998</v>
      </c>
      <c r="S5162">
        <v>3.092438</v>
      </c>
      <c r="T5162">
        <v>-0.67386829999999998</v>
      </c>
      <c r="U5162">
        <v>-1.7427979999999901</v>
      </c>
      <c r="V5162">
        <v>0.15688279999999999</v>
      </c>
      <c r="W5162">
        <v>0.39661170000000001</v>
      </c>
      <c r="X5162">
        <v>0.9044816</v>
      </c>
      <c r="Y5162">
        <v>0.26308310000000001</v>
      </c>
      <c r="Z5162">
        <v>1.390479E-2</v>
      </c>
      <c r="AA5162">
        <v>0.964673</v>
      </c>
      <c r="AB5162">
        <v>34</v>
      </c>
      <c r="AC5162">
        <v>0.59500000000002695</v>
      </c>
      <c r="AD5162">
        <v>-0.16753999999999999</v>
      </c>
      <c r="AE5162">
        <v>-0.387989999999998</v>
      </c>
      <c r="AF5162">
        <v>0.21970349915840101</v>
      </c>
      <c r="AG5162">
        <v>-0.16753999999999999</v>
      </c>
      <c r="AH5162">
        <v>0.63601270762709305</v>
      </c>
      <c r="AI5162">
        <v>103.981522386511</v>
      </c>
      <c r="AJ5162">
        <v>70.943098831114398</v>
      </c>
      <c r="AK5162">
        <v>0.69343452712249098</v>
      </c>
      <c r="AL5162">
        <v>66.633470587905407</v>
      </c>
      <c r="AM5162">
        <v>80.159917943182506</v>
      </c>
      <c r="AN5162">
        <v>1.00000000912564</v>
      </c>
    </row>
    <row r="5163" spans="1:40" x14ac:dyDescent="0.25">
      <c r="A5163" t="str">
        <f>"20190304164513072"</f>
        <v>20190304164513072</v>
      </c>
      <c r="B5163" t="str">
        <f>"1551689113065868"</f>
        <v>1551689113065868</v>
      </c>
      <c r="C5163" t="s">
        <v>40</v>
      </c>
      <c r="D5163">
        <v>5.4343560000000002</v>
      </c>
      <c r="E5163">
        <v>0.56613939999999996</v>
      </c>
      <c r="F5163" t="s">
        <v>43</v>
      </c>
      <c r="G5163">
        <v>-313.39400000000001</v>
      </c>
      <c r="H5163">
        <v>-0.05</v>
      </c>
      <c r="I5163">
        <v>12.406420000000001</v>
      </c>
      <c r="J5163">
        <v>-318.36250000000001</v>
      </c>
      <c r="K5163">
        <v>1.0947739999999999</v>
      </c>
      <c r="L5163">
        <v>15.32465</v>
      </c>
      <c r="M5163">
        <v>0.96792009999999995</v>
      </c>
      <c r="N5163">
        <v>-2.0785330000000001E-2</v>
      </c>
      <c r="O5163">
        <v>-0.25039729999999999</v>
      </c>
      <c r="P5163">
        <v>0.84520519999999999</v>
      </c>
      <c r="Q5163">
        <v>0.3820308</v>
      </c>
      <c r="R5163">
        <v>-0.37373849999999997</v>
      </c>
      <c r="S5163">
        <v>3.080902</v>
      </c>
      <c r="T5163">
        <v>-0.67532250000000005</v>
      </c>
      <c r="U5163">
        <v>-1.761749</v>
      </c>
      <c r="V5163">
        <v>0.15962009999999999</v>
      </c>
      <c r="W5163">
        <v>0.39722410000000002</v>
      </c>
      <c r="X5163">
        <v>0.90373360000000003</v>
      </c>
      <c r="Y5163">
        <v>0.26153749999999998</v>
      </c>
      <c r="Z5163">
        <v>1.505343E-2</v>
      </c>
      <c r="AA5163">
        <v>0.96507589999999999</v>
      </c>
      <c r="AB5163">
        <v>34</v>
      </c>
      <c r="AC5163">
        <v>4.9684999999999997</v>
      </c>
      <c r="AD5163">
        <v>-1.144774</v>
      </c>
      <c r="AE5163">
        <v>-2.9182299999999999</v>
      </c>
      <c r="AF5163">
        <v>1.5208277963752399</v>
      </c>
      <c r="AG5163">
        <v>-1.144774</v>
      </c>
      <c r="AH5163">
        <v>5.33062136696301</v>
      </c>
      <c r="AI5163">
        <v>101.668348525402</v>
      </c>
      <c r="AJ5163">
        <v>74.076536752775596</v>
      </c>
      <c r="AK5163">
        <v>5.6602958275364204</v>
      </c>
      <c r="AL5163">
        <v>66.595241907343393</v>
      </c>
      <c r="AM5163">
        <v>79.983554040071397</v>
      </c>
      <c r="AN5163">
        <v>0.99999999085688995</v>
      </c>
    </row>
    <row r="5164" spans="1:40" x14ac:dyDescent="0.25">
      <c r="A5164" t="str">
        <f>"20190304164513085"</f>
        <v>20190304164513085</v>
      </c>
      <c r="B5164" t="str">
        <f>"1551689113075627"</f>
        <v>1551689113075627</v>
      </c>
      <c r="C5164" t="s">
        <v>40</v>
      </c>
      <c r="D5164">
        <v>5.3937019999999896</v>
      </c>
      <c r="E5164">
        <v>0.56610830000000001</v>
      </c>
      <c r="F5164" t="s">
        <v>41</v>
      </c>
      <c r="G5164">
        <v>-317.71600000000001</v>
      </c>
      <c r="H5164">
        <v>0.95213349999999997</v>
      </c>
      <c r="I5164">
        <v>14.945410000000001</v>
      </c>
      <c r="J5164">
        <v>-318.17180000000002</v>
      </c>
      <c r="K5164">
        <v>1.0937269999999999</v>
      </c>
      <c r="L5164">
        <v>15.270659999999999</v>
      </c>
      <c r="M5164">
        <v>0.9663176</v>
      </c>
      <c r="N5164">
        <v>-2.145905E-2</v>
      </c>
      <c r="O5164">
        <v>-0.25645590000000001</v>
      </c>
      <c r="P5164">
        <v>0.8423484</v>
      </c>
      <c r="Q5164">
        <v>0.38195699999999999</v>
      </c>
      <c r="R5164">
        <v>-0.38020779999999998</v>
      </c>
      <c r="S5164">
        <v>3.0608219999999999</v>
      </c>
      <c r="T5164">
        <v>-0.67454289999999995</v>
      </c>
      <c r="U5164">
        <v>-1.794495</v>
      </c>
      <c r="V5164">
        <v>0.16097040000000001</v>
      </c>
      <c r="W5164">
        <v>0.3976962</v>
      </c>
      <c r="X5164">
        <v>0.90328640000000004</v>
      </c>
      <c r="Y5164">
        <v>0.26588479999999998</v>
      </c>
      <c r="Z5164">
        <v>1.5369280000000001E-2</v>
      </c>
      <c r="AA5164">
        <v>0.96388229999999997</v>
      </c>
      <c r="AB5164">
        <v>34</v>
      </c>
      <c r="AC5164">
        <v>0.45580000000000997</v>
      </c>
      <c r="AD5164">
        <v>-0.14159350000000001</v>
      </c>
      <c r="AE5164">
        <v>-0.32524999999999998</v>
      </c>
      <c r="AF5164">
        <v>0.18558109918729501</v>
      </c>
      <c r="AG5164">
        <v>-0.14159350000000001</v>
      </c>
      <c r="AH5164">
        <v>0.492489371944063</v>
      </c>
      <c r="AI5164">
        <v>105.05821189335801</v>
      </c>
      <c r="AJ5164">
        <v>69.352459685701803</v>
      </c>
      <c r="AK5164">
        <v>0.54500903212302099</v>
      </c>
      <c r="AL5164">
        <v>66.565765119276193</v>
      </c>
      <c r="AM5164">
        <v>79.895660465206802</v>
      </c>
      <c r="AN5164">
        <v>1.0000000287977699</v>
      </c>
    </row>
    <row r="5165" spans="1:40" x14ac:dyDescent="0.25">
      <c r="A5165" t="str">
        <f>"20190304164513100"</f>
        <v>20190304164513100</v>
      </c>
      <c r="B5165" t="str">
        <f>"1551689113095147"</f>
        <v>1551689113095147</v>
      </c>
      <c r="C5165" t="s">
        <v>40</v>
      </c>
      <c r="D5165">
        <v>5.4113290000000003</v>
      </c>
      <c r="E5165">
        <v>0.56600640000000002</v>
      </c>
      <c r="F5165" t="s">
        <v>41</v>
      </c>
      <c r="G5165">
        <v>-317.43290000000002</v>
      </c>
      <c r="H5165">
        <v>0.93017280000000002</v>
      </c>
      <c r="I5165">
        <v>14.83004</v>
      </c>
      <c r="J5165">
        <v>-317.96010000000001</v>
      </c>
      <c r="K5165">
        <v>1.092433</v>
      </c>
      <c r="L5165">
        <v>15.209720000000001</v>
      </c>
      <c r="M5165">
        <v>0.96446980000000004</v>
      </c>
      <c r="N5165">
        <v>-2.2151580000000001E-2</v>
      </c>
      <c r="O5165">
        <v>-0.26326270000000002</v>
      </c>
      <c r="P5165">
        <v>0.83936659999999996</v>
      </c>
      <c r="Q5165">
        <v>0.38166509999999998</v>
      </c>
      <c r="R5165">
        <v>-0.3870343</v>
      </c>
      <c r="S5165">
        <v>3.0471499999999998</v>
      </c>
      <c r="T5165">
        <v>-0.67428920000000003</v>
      </c>
      <c r="U5165">
        <v>-1.8168029999999999</v>
      </c>
      <c r="V5165">
        <v>0.16207189999999999</v>
      </c>
      <c r="W5165">
        <v>0.39794249999999998</v>
      </c>
      <c r="X5165">
        <v>0.90298089999999998</v>
      </c>
      <c r="Y5165">
        <v>0.26623219999999997</v>
      </c>
      <c r="Z5165">
        <v>1.6242220000000002E-2</v>
      </c>
      <c r="AA5165">
        <v>0.96377210000000002</v>
      </c>
      <c r="AB5165">
        <v>34</v>
      </c>
      <c r="AC5165">
        <v>0.52719999999999301</v>
      </c>
      <c r="AD5165">
        <v>-0.16226019999999899</v>
      </c>
      <c r="AE5165">
        <v>-0.37968000000000202</v>
      </c>
      <c r="AF5165">
        <v>0.21409913864146801</v>
      </c>
      <c r="AG5165">
        <v>-0.16226019999999899</v>
      </c>
      <c r="AH5165">
        <v>0.57284225396332999</v>
      </c>
      <c r="AI5165">
        <v>104.859813334615</v>
      </c>
      <c r="AJ5165">
        <v>69.506827841407699</v>
      </c>
      <c r="AK5165">
        <v>0.63270456106847095</v>
      </c>
      <c r="AL5165">
        <v>66.550383419204707</v>
      </c>
      <c r="AM5165">
        <v>79.824587196107601</v>
      </c>
      <c r="AN5165">
        <v>1.0000000199203301</v>
      </c>
    </row>
    <row r="5166" spans="1:40" x14ac:dyDescent="0.25">
      <c r="A5166" t="str">
        <f>"20190304164513110"</f>
        <v>20190304164513110</v>
      </c>
      <c r="B5166" t="str">
        <f>"1551689113104908"</f>
        <v>1551689113104908</v>
      </c>
      <c r="C5166" t="s">
        <v>40</v>
      </c>
      <c r="D5166">
        <v>5.4059210000000002</v>
      </c>
      <c r="E5166">
        <v>0.56594429999999996</v>
      </c>
      <c r="F5166" t="s">
        <v>43</v>
      </c>
      <c r="G5166">
        <v>-312.82339999999999</v>
      </c>
      <c r="H5166">
        <v>-0.05</v>
      </c>
      <c r="I5166">
        <v>12.09219</v>
      </c>
      <c r="J5166">
        <v>-317.78480000000002</v>
      </c>
      <c r="K5166">
        <v>1.091205</v>
      </c>
      <c r="L5166">
        <v>15.15814</v>
      </c>
      <c r="M5166">
        <v>0.96289219999999998</v>
      </c>
      <c r="N5166">
        <v>-2.267547E-2</v>
      </c>
      <c r="O5166">
        <v>-0.26893210000000001</v>
      </c>
      <c r="P5166">
        <v>0.83677610000000002</v>
      </c>
      <c r="Q5166">
        <v>0.38183220000000001</v>
      </c>
      <c r="R5166">
        <v>-0.39244119999999999</v>
      </c>
      <c r="S5166">
        <v>3.0321959999999999</v>
      </c>
      <c r="T5166">
        <v>-0.67438589999999998</v>
      </c>
      <c r="U5166">
        <v>-1.8403020000000001</v>
      </c>
      <c r="V5166">
        <v>0.162852</v>
      </c>
      <c r="W5166">
        <v>0.3984722</v>
      </c>
      <c r="X5166">
        <v>0.90260680000000004</v>
      </c>
      <c r="Y5166">
        <v>0.2681269</v>
      </c>
      <c r="Z5166">
        <v>1.6825719999999999E-2</v>
      </c>
      <c r="AA5166">
        <v>0.96323669999999995</v>
      </c>
      <c r="AB5166">
        <v>34</v>
      </c>
      <c r="AC5166">
        <v>4.9614000000000198</v>
      </c>
      <c r="AD5166">
        <v>-1.141205</v>
      </c>
      <c r="AE5166">
        <v>-3.06595</v>
      </c>
      <c r="AF5166">
        <v>1.5586402208316901</v>
      </c>
      <c r="AG5166">
        <v>-1.141205</v>
      </c>
      <c r="AH5166">
        <v>5.3966456210364697</v>
      </c>
      <c r="AI5166">
        <v>101.484023970179</v>
      </c>
      <c r="AJ5166">
        <v>73.890410713802595</v>
      </c>
      <c r="AK5166">
        <v>5.7319710527070296</v>
      </c>
      <c r="AL5166">
        <v>66.517295789943901</v>
      </c>
      <c r="AM5166">
        <v>79.772492665618898</v>
      </c>
      <c r="AN5166">
        <v>0.99999995174153899</v>
      </c>
    </row>
    <row r="5167" spans="1:40" x14ac:dyDescent="0.25">
      <c r="A5167" t="str">
        <f>"20190304164513126"</f>
        <v>20190304164513126</v>
      </c>
      <c r="B5167" t="str">
        <f>"1551689113115643"</f>
        <v>1551689113115643</v>
      </c>
      <c r="C5167" t="s">
        <v>40</v>
      </c>
      <c r="D5167">
        <v>5.411365</v>
      </c>
      <c r="E5167">
        <v>0.56587659999999995</v>
      </c>
      <c r="F5167" t="s">
        <v>41</v>
      </c>
      <c r="G5167">
        <v>-317.1284</v>
      </c>
      <c r="H5167">
        <v>0.9447392</v>
      </c>
      <c r="I5167">
        <v>14.75339</v>
      </c>
      <c r="J5167">
        <v>-317.56099999999998</v>
      </c>
      <c r="K5167">
        <v>1.089415</v>
      </c>
      <c r="L5167">
        <v>15.09027</v>
      </c>
      <c r="M5167">
        <v>0.96084769999999997</v>
      </c>
      <c r="N5167">
        <v>-2.3264179999999999E-2</v>
      </c>
      <c r="O5167">
        <v>-0.27609869999999997</v>
      </c>
      <c r="P5167">
        <v>0.83331129999999998</v>
      </c>
      <c r="Q5167">
        <v>0.3822643</v>
      </c>
      <c r="R5167">
        <v>-0.39933200000000002</v>
      </c>
      <c r="S5167">
        <v>3.0194399999999999</v>
      </c>
      <c r="T5167">
        <v>-0.67314549999999995</v>
      </c>
      <c r="U5167">
        <v>-1.861237</v>
      </c>
      <c r="V5167">
        <v>0.1640808</v>
      </c>
      <c r="W5167">
        <v>0.3992347</v>
      </c>
      <c r="X5167">
        <v>0.90204720000000005</v>
      </c>
      <c r="Y5167">
        <v>0.26767069999999998</v>
      </c>
      <c r="Z5167">
        <v>1.783241E-2</v>
      </c>
      <c r="AA5167">
        <v>0.96334540000000002</v>
      </c>
      <c r="AB5167">
        <v>34</v>
      </c>
      <c r="AC5167">
        <v>0.432599999999979</v>
      </c>
      <c r="AD5167">
        <v>-0.14467579999999999</v>
      </c>
      <c r="AE5167">
        <v>-0.33688000000000001</v>
      </c>
      <c r="AF5167">
        <v>0.191006739689633</v>
      </c>
      <c r="AG5167">
        <v>-0.14467579999999999</v>
      </c>
      <c r="AH5167">
        <v>0.47569296342047401</v>
      </c>
      <c r="AI5167">
        <v>105.76089982517099</v>
      </c>
      <c r="AJ5167">
        <v>68.122878345819601</v>
      </c>
      <c r="AK5167">
        <v>0.53263351111271195</v>
      </c>
      <c r="AL5167">
        <v>66.469655475511701</v>
      </c>
      <c r="AM5167">
        <v>79.690713263505202</v>
      </c>
      <c r="AN5167">
        <v>1.00000000282028</v>
      </c>
    </row>
    <row r="5168" spans="1:40" x14ac:dyDescent="0.25">
      <c r="A5168" t="str">
        <f>"20190304164513138"</f>
        <v>20190304164513138</v>
      </c>
      <c r="B5168" t="str">
        <f>"1551689113125403"</f>
        <v>1551689113125403</v>
      </c>
      <c r="C5168" t="s">
        <v>40</v>
      </c>
      <c r="D5168">
        <v>5.4194000000000004</v>
      </c>
      <c r="E5168">
        <v>0.56581090000000001</v>
      </c>
      <c r="F5168" t="s">
        <v>41</v>
      </c>
      <c r="G5168">
        <v>-316.8426</v>
      </c>
      <c r="H5168">
        <v>0.92897739999999995</v>
      </c>
      <c r="I5168">
        <v>14.63775</v>
      </c>
      <c r="J5168">
        <v>-317.38159999999999</v>
      </c>
      <c r="K5168">
        <v>1.0878650000000001</v>
      </c>
      <c r="L5168">
        <v>15.034700000000001</v>
      </c>
      <c r="M5168">
        <v>0.95917529999999995</v>
      </c>
      <c r="N5168">
        <v>-2.367994E-2</v>
      </c>
      <c r="O5168">
        <v>-0.2818194</v>
      </c>
      <c r="P5168">
        <v>0.83070829999999996</v>
      </c>
      <c r="Q5168">
        <v>0.38240059999999998</v>
      </c>
      <c r="R5168">
        <v>-0.40459109999999998</v>
      </c>
      <c r="S5168">
        <v>3.0016479999999999</v>
      </c>
      <c r="T5168">
        <v>-0.67030330000000005</v>
      </c>
      <c r="U5168">
        <v>-1.890442</v>
      </c>
      <c r="V5168">
        <v>0.1648307</v>
      </c>
      <c r="W5168">
        <v>0.3995727</v>
      </c>
      <c r="X5168">
        <v>0.90176080000000003</v>
      </c>
      <c r="Y5168">
        <v>0.27119720000000003</v>
      </c>
      <c r="Z5168">
        <v>1.8153900000000001E-2</v>
      </c>
      <c r="AA5168">
        <v>0.9623526</v>
      </c>
      <c r="AB5168">
        <v>34</v>
      </c>
      <c r="AC5168">
        <v>0.53899999999998705</v>
      </c>
      <c r="AD5168">
        <v>-0.15888759999999899</v>
      </c>
      <c r="AE5168">
        <v>-0.39695000000000003</v>
      </c>
      <c r="AF5168">
        <v>0.216699371460124</v>
      </c>
      <c r="AG5168">
        <v>-0.15888759999999899</v>
      </c>
      <c r="AH5168">
        <v>0.59549029317760904</v>
      </c>
      <c r="AI5168">
        <v>104.075743267403</v>
      </c>
      <c r="AJ5168">
        <v>70.003514919079905</v>
      </c>
      <c r="AK5168">
        <v>0.65330894398724404</v>
      </c>
      <c r="AL5168">
        <v>66.448531921237006</v>
      </c>
      <c r="AM5168">
        <v>79.641396075849997</v>
      </c>
      <c r="AN5168">
        <v>1.0000000213322</v>
      </c>
    </row>
    <row r="5169" spans="1:40" x14ac:dyDescent="0.25">
      <c r="A5169" t="str">
        <f>"20190304164513148"</f>
        <v>20190304164513148</v>
      </c>
      <c r="B5169" t="str">
        <f>"1551689113135163"</f>
        <v>1551689113135163</v>
      </c>
      <c r="C5169" t="s">
        <v>40</v>
      </c>
      <c r="D5169">
        <v>5.416544</v>
      </c>
      <c r="E5169">
        <v>0.5657316</v>
      </c>
      <c r="F5169" t="s">
        <v>43</v>
      </c>
      <c r="G5169">
        <v>-312.29809999999998</v>
      </c>
      <c r="H5169">
        <v>-0.05</v>
      </c>
      <c r="I5169">
        <v>11.783910000000001</v>
      </c>
      <c r="J5169">
        <v>-317.22449999999998</v>
      </c>
      <c r="K5169">
        <v>1.0864039999999999</v>
      </c>
      <c r="L5169">
        <v>14.9848</v>
      </c>
      <c r="M5169">
        <v>0.9576865</v>
      </c>
      <c r="N5169">
        <v>-2.3980100000000001E-2</v>
      </c>
      <c r="O5169">
        <v>-0.28681269999999998</v>
      </c>
      <c r="P5169">
        <v>0.82841529999999997</v>
      </c>
      <c r="Q5169">
        <v>0.38232569999999999</v>
      </c>
      <c r="R5169">
        <v>-0.40933520000000001</v>
      </c>
      <c r="S5169">
        <v>2.9885250000000001</v>
      </c>
      <c r="T5169">
        <v>-0.66893469999999999</v>
      </c>
      <c r="U5169">
        <v>-1.9111020000000001</v>
      </c>
      <c r="V5169">
        <v>0.16567419999999999</v>
      </c>
      <c r="W5169">
        <v>0.39959499999999998</v>
      </c>
      <c r="X5169">
        <v>0.90159630000000002</v>
      </c>
      <c r="Y5169">
        <v>0.27283590000000002</v>
      </c>
      <c r="Z5169">
        <v>1.8655290000000001E-2</v>
      </c>
      <c r="AA5169">
        <v>0.9618797</v>
      </c>
      <c r="AB5169">
        <v>34</v>
      </c>
      <c r="AC5169">
        <v>4.9264000000000001</v>
      </c>
      <c r="AD5169">
        <v>-1.136404</v>
      </c>
      <c r="AE5169">
        <v>-3.2008899999999998</v>
      </c>
      <c r="AF5169">
        <v>1.5933536281212399</v>
      </c>
      <c r="AG5169">
        <v>-1.136404</v>
      </c>
      <c r="AH5169">
        <v>5.4342948151897996</v>
      </c>
      <c r="AI5169">
        <v>101.34680247931</v>
      </c>
      <c r="AJ5169">
        <v>73.658684363456402</v>
      </c>
      <c r="AK5169">
        <v>5.77596312088831</v>
      </c>
      <c r="AL5169">
        <v>66.447137493410096</v>
      </c>
      <c r="AM5169">
        <v>79.587685507555307</v>
      </c>
      <c r="AN5169">
        <v>0.99999999637216497</v>
      </c>
    </row>
    <row r="5170" spans="1:40" x14ac:dyDescent="0.25">
      <c r="A5170" t="str">
        <f>"20190304164513160"</f>
        <v>20190304164513160</v>
      </c>
      <c r="B5170" t="str">
        <f>"1551689113155661"</f>
        <v>1551689113155661</v>
      </c>
      <c r="C5170" t="s">
        <v>40</v>
      </c>
      <c r="D5170">
        <v>5.4244070000000004</v>
      </c>
      <c r="E5170">
        <v>0.56554789999999999</v>
      </c>
      <c r="F5170" t="s">
        <v>41</v>
      </c>
      <c r="G5170">
        <v>-316.54669999999999</v>
      </c>
      <c r="H5170">
        <v>0.93388470000000001</v>
      </c>
      <c r="I5170">
        <v>14.54569</v>
      </c>
      <c r="J5170">
        <v>-317.05759999999998</v>
      </c>
      <c r="K5170">
        <v>1.0847960000000001</v>
      </c>
      <c r="L5170">
        <v>14.930630000000001</v>
      </c>
      <c r="M5170">
        <v>0.95608870000000001</v>
      </c>
      <c r="N5170">
        <v>-2.426412E-2</v>
      </c>
      <c r="O5170">
        <v>-0.29207129999999998</v>
      </c>
      <c r="P5170">
        <v>0.82587619999999895</v>
      </c>
      <c r="Q5170">
        <v>0.3823299</v>
      </c>
      <c r="R5170">
        <v>-0.41443059999999998</v>
      </c>
      <c r="S5170">
        <v>2.9775390000000002</v>
      </c>
      <c r="T5170">
        <v>-0.66920570000000001</v>
      </c>
      <c r="U5170">
        <v>-1.9280090000000001</v>
      </c>
      <c r="V5170">
        <v>0.1667082</v>
      </c>
      <c r="W5170">
        <v>0.39965919999999999</v>
      </c>
      <c r="X5170">
        <v>0.90137719999999999</v>
      </c>
      <c r="Y5170">
        <v>0.2730572</v>
      </c>
      <c r="Z5170">
        <v>1.9427300000000002E-2</v>
      </c>
      <c r="AA5170">
        <v>0.96180160000000003</v>
      </c>
      <c r="AB5170">
        <v>34</v>
      </c>
      <c r="AC5170">
        <v>0.51089999999999203</v>
      </c>
      <c r="AD5170">
        <v>-0.150911299999999</v>
      </c>
      <c r="AE5170">
        <v>-0.38494</v>
      </c>
      <c r="AF5170">
        <v>0.20734220405846501</v>
      </c>
      <c r="AG5170">
        <v>-0.150911299999999</v>
      </c>
      <c r="AH5170">
        <v>0.56938313699833698</v>
      </c>
      <c r="AI5170">
        <v>103.984724612463</v>
      </c>
      <c r="AJ5170">
        <v>69.990786972551007</v>
      </c>
      <c r="AK5170">
        <v>0.62446950826247605</v>
      </c>
      <c r="AL5170">
        <v>66.443124304751706</v>
      </c>
      <c r="AM5170">
        <v>79.521644867930405</v>
      </c>
      <c r="AN5170">
        <v>0.99999997838585897</v>
      </c>
    </row>
    <row r="5171" spans="1:40" x14ac:dyDescent="0.25">
      <c r="A5171" t="str">
        <f>"20190304164513172"</f>
        <v>20190304164513172</v>
      </c>
      <c r="B5171" t="str">
        <f>"1551689113165419"</f>
        <v>1551689113165419</v>
      </c>
      <c r="C5171" t="s">
        <v>40</v>
      </c>
      <c r="D5171">
        <v>5.4272989999999997</v>
      </c>
      <c r="E5171">
        <v>0.56545840000000003</v>
      </c>
      <c r="F5171" t="s">
        <v>43</v>
      </c>
      <c r="G5171">
        <v>-312.02929999999998</v>
      </c>
      <c r="H5171">
        <v>-0.05</v>
      </c>
      <c r="I5171">
        <v>11.632809999999999</v>
      </c>
      <c r="J5171">
        <v>-316.87729999999999</v>
      </c>
      <c r="K5171">
        <v>1.0830059999999999</v>
      </c>
      <c r="L5171">
        <v>14.87106</v>
      </c>
      <c r="M5171">
        <v>0.95433990000000002</v>
      </c>
      <c r="N5171">
        <v>-2.4538089999999999E-2</v>
      </c>
      <c r="O5171">
        <v>-0.29771370000000003</v>
      </c>
      <c r="P5171">
        <v>0.82328069999999898</v>
      </c>
      <c r="Q5171">
        <v>0.3820984</v>
      </c>
      <c r="R5171">
        <v>-0.41977379999999997</v>
      </c>
      <c r="S5171">
        <v>2.9662169999999999</v>
      </c>
      <c r="T5171">
        <v>-0.6694137</v>
      </c>
      <c r="U5171">
        <v>-1.9453739999999999</v>
      </c>
      <c r="V5171">
        <v>0.16766489999999901</v>
      </c>
      <c r="W5171">
        <v>0.39946520000000002</v>
      </c>
      <c r="X5171">
        <v>0.90128580000000003</v>
      </c>
      <c r="Y5171">
        <v>0.27304630000000002</v>
      </c>
      <c r="Z5171">
        <v>2.0289700000000001E-2</v>
      </c>
      <c r="AA5171">
        <v>0.9617869</v>
      </c>
      <c r="AB5171">
        <v>34</v>
      </c>
      <c r="AC5171">
        <v>4.8480000000000096</v>
      </c>
      <c r="AD5171">
        <v>-1.133006</v>
      </c>
      <c r="AE5171">
        <v>-3.2382499999999901</v>
      </c>
      <c r="AF5171">
        <v>1.5876105705964201</v>
      </c>
      <c r="AG5171">
        <v>-1.133006</v>
      </c>
      <c r="AH5171">
        <v>5.3888689678657498</v>
      </c>
      <c r="AI5171">
        <v>101.402406522315</v>
      </c>
      <c r="AJ5171">
        <v>73.584539648612704</v>
      </c>
      <c r="AK5171">
        <v>5.7309788581648</v>
      </c>
      <c r="AL5171">
        <v>66.455250917548796</v>
      </c>
      <c r="AM5171">
        <v>79.461810387213305</v>
      </c>
      <c r="AN5171">
        <v>1.0000000289923401</v>
      </c>
    </row>
    <row r="5172" spans="1:40" x14ac:dyDescent="0.25">
      <c r="A5172" t="str">
        <f>"20190304164513182"</f>
        <v>20190304164513182</v>
      </c>
      <c r="B5172" t="str">
        <f>"1551689113175179"</f>
        <v>1551689113175179</v>
      </c>
      <c r="C5172" t="s">
        <v>40</v>
      </c>
      <c r="D5172">
        <v>5.4391369999999997</v>
      </c>
      <c r="E5172">
        <v>0.56537139999999997</v>
      </c>
      <c r="F5172" t="s">
        <v>41</v>
      </c>
      <c r="G5172">
        <v>-316.25069999999999</v>
      </c>
      <c r="H5172">
        <v>0.94069389999999997</v>
      </c>
      <c r="I5172">
        <v>14.454409999999999</v>
      </c>
      <c r="J5172">
        <v>-316.72570000000002</v>
      </c>
      <c r="K5172">
        <v>1.081483</v>
      </c>
      <c r="L5172">
        <v>14.81931</v>
      </c>
      <c r="M5172">
        <v>0.95284919999999995</v>
      </c>
      <c r="N5172">
        <v>-2.4727820000000001E-2</v>
      </c>
      <c r="O5172">
        <v>-0.3024348</v>
      </c>
      <c r="P5172">
        <v>0.82108379999999903</v>
      </c>
      <c r="Q5172">
        <v>0.3818917</v>
      </c>
      <c r="R5172">
        <v>-0.42424099999999998</v>
      </c>
      <c r="S5172">
        <v>2.9538880000000001</v>
      </c>
      <c r="T5172">
        <v>-0.67044309999999996</v>
      </c>
      <c r="U5172">
        <v>-1.963654</v>
      </c>
      <c r="V5172">
        <v>0.16844000000000001</v>
      </c>
      <c r="W5172">
        <v>0.39926279999999997</v>
      </c>
      <c r="X5172">
        <v>0.90123089999999995</v>
      </c>
      <c r="Y5172">
        <v>0.27428140000000001</v>
      </c>
      <c r="Z5172">
        <v>2.093602E-2</v>
      </c>
      <c r="AA5172">
        <v>0.96142150000000004</v>
      </c>
      <c r="AB5172">
        <v>34</v>
      </c>
      <c r="AC5172">
        <v>0.47500000000002202</v>
      </c>
      <c r="AD5172">
        <v>-0.140789099999999</v>
      </c>
      <c r="AE5172">
        <v>-0.364899999999998</v>
      </c>
      <c r="AF5172">
        <v>0.193414858181682</v>
      </c>
      <c r="AG5172">
        <v>-0.140789099999999</v>
      </c>
      <c r="AH5172">
        <v>0.53365111337154503</v>
      </c>
      <c r="AI5172">
        <v>103.930173651091</v>
      </c>
      <c r="AJ5172">
        <v>70.077614584828595</v>
      </c>
      <c r="AK5172">
        <v>0.58481996276370396</v>
      </c>
      <c r="AL5172">
        <v>66.467898769591201</v>
      </c>
      <c r="AM5172">
        <v>79.413561652322301</v>
      </c>
      <c r="AN5172">
        <v>0.99999997608932401</v>
      </c>
    </row>
    <row r="5173" spans="1:40" x14ac:dyDescent="0.25">
      <c r="A5173" t="str">
        <f>"20190304164513192"</f>
        <v>20190304164513192</v>
      </c>
      <c r="B5173" t="str">
        <f>"1551689113185916"</f>
        <v>1551689113185916</v>
      </c>
      <c r="C5173" t="s">
        <v>40</v>
      </c>
      <c r="D5173">
        <v>5.4634640000000001</v>
      </c>
      <c r="E5173">
        <v>0.56531779999999998</v>
      </c>
      <c r="F5173" t="s">
        <v>43</v>
      </c>
      <c r="G5173">
        <v>-311.76409999999998</v>
      </c>
      <c r="H5173">
        <v>-0.05</v>
      </c>
      <c r="I5173">
        <v>11.48373</v>
      </c>
      <c r="J5173">
        <v>-316.5659</v>
      </c>
      <c r="K5173">
        <v>1.0798760000000001</v>
      </c>
      <c r="L5173">
        <v>14.764430000000001</v>
      </c>
      <c r="M5173">
        <v>0.9512545</v>
      </c>
      <c r="N5173">
        <v>-2.4916199999999999E-2</v>
      </c>
      <c r="O5173">
        <v>-0.30739929999999999</v>
      </c>
      <c r="P5173">
        <v>0.81896040000000003</v>
      </c>
      <c r="Q5173">
        <v>0.3813571</v>
      </c>
      <c r="R5173">
        <v>-0.42880210000000002</v>
      </c>
      <c r="S5173">
        <v>2.9434809999999998</v>
      </c>
      <c r="T5173">
        <v>-0.67124869999999903</v>
      </c>
      <c r="U5173">
        <v>-1.9788209999999999</v>
      </c>
      <c r="V5173">
        <v>0.16905039999999999</v>
      </c>
      <c r="W5173">
        <v>0.39873409999999998</v>
      </c>
      <c r="X5173">
        <v>0.90135069999999995</v>
      </c>
      <c r="Y5173">
        <v>0.27429910000000002</v>
      </c>
      <c r="Z5173">
        <v>2.1746399999999999E-2</v>
      </c>
      <c r="AA5173">
        <v>0.96139850000000004</v>
      </c>
      <c r="AB5173">
        <v>34</v>
      </c>
      <c r="AC5173">
        <v>4.8018000000000098</v>
      </c>
      <c r="AD5173">
        <v>-1.1298760000000001</v>
      </c>
      <c r="AE5173">
        <v>-3.2806999999999902</v>
      </c>
      <c r="AF5173">
        <v>1.5853777015680699</v>
      </c>
      <c r="AG5173">
        <v>-1.1298760000000001</v>
      </c>
      <c r="AH5173">
        <v>5.3750565146119396</v>
      </c>
      <c r="AI5173">
        <v>101.399157891721</v>
      </c>
      <c r="AJ5173">
        <v>73.566529350792507</v>
      </c>
      <c r="AK5173">
        <v>5.7167538662494</v>
      </c>
      <c r="AL5173">
        <v>66.500935278012903</v>
      </c>
      <c r="AM5173">
        <v>79.377449761403099</v>
      </c>
      <c r="AN5173">
        <v>1.0000000023167299</v>
      </c>
    </row>
    <row r="5174" spans="1:40" x14ac:dyDescent="0.25">
      <c r="A5174" t="str">
        <f>"20190304164513204"</f>
        <v>20190304164513204</v>
      </c>
      <c r="B5174" t="str">
        <f>"1551689113195675"</f>
        <v>1551689113195675</v>
      </c>
      <c r="C5174" t="s">
        <v>40</v>
      </c>
      <c r="D5174">
        <v>5.4485029999999997</v>
      </c>
      <c r="E5174">
        <v>0.56526350000000003</v>
      </c>
      <c r="F5174" t="s">
        <v>41</v>
      </c>
      <c r="G5174">
        <v>-315.96019999999999</v>
      </c>
      <c r="H5174">
        <v>0.94078989999999996</v>
      </c>
      <c r="I5174">
        <v>14.35229</v>
      </c>
      <c r="J5174">
        <v>-316.40789999999998</v>
      </c>
      <c r="K5174">
        <v>1.078317</v>
      </c>
      <c r="L5174">
        <v>14.7081</v>
      </c>
      <c r="M5174">
        <v>0.94963379999999997</v>
      </c>
      <c r="N5174">
        <v>-2.5030360000000001E-2</v>
      </c>
      <c r="O5174">
        <v>-0.31236069999999999</v>
      </c>
      <c r="P5174">
        <v>0.81698609999999905</v>
      </c>
      <c r="Q5174">
        <v>0.38049660000000002</v>
      </c>
      <c r="R5174">
        <v>-0.43330859999999899</v>
      </c>
      <c r="S5174">
        <v>2.9321899999999999</v>
      </c>
      <c r="T5174">
        <v>-0.67277749999999903</v>
      </c>
      <c r="U5174">
        <v>-1.994537</v>
      </c>
      <c r="V5174">
        <v>0.16947609999999999</v>
      </c>
      <c r="W5174">
        <v>0.3978488</v>
      </c>
      <c r="X5174">
        <v>0.90166190000000002</v>
      </c>
      <c r="Y5174">
        <v>0.27456950000000002</v>
      </c>
      <c r="Z5174">
        <v>2.2602270000000001E-2</v>
      </c>
      <c r="AA5174">
        <v>0.96130159999999998</v>
      </c>
      <c r="AB5174">
        <v>34</v>
      </c>
      <c r="AC5174">
        <v>0.44769999999999699</v>
      </c>
      <c r="AD5174">
        <v>-0.13752709999999899</v>
      </c>
      <c r="AE5174">
        <v>-0.35581000000000002</v>
      </c>
      <c r="AF5174">
        <v>0.18727648643841999</v>
      </c>
      <c r="AG5174">
        <v>-0.13752709999999899</v>
      </c>
      <c r="AH5174">
        <v>0.50713091398010701</v>
      </c>
      <c r="AI5174">
        <v>104.272977496219</v>
      </c>
      <c r="AJ5174">
        <v>69.731503855706904</v>
      </c>
      <c r="AK5174">
        <v>0.55782429986639004</v>
      </c>
      <c r="AL5174">
        <v>66.556234692953893</v>
      </c>
      <c r="AM5174">
        <v>79.354902515648703</v>
      </c>
      <c r="AN5174">
        <v>0.99999999902212999</v>
      </c>
    </row>
    <row r="5175" spans="1:40" x14ac:dyDescent="0.25">
      <c r="A5175" t="str">
        <f>"20190304164513216"</f>
        <v>20190304164513216</v>
      </c>
      <c r="B5175" t="str">
        <f>"1551689113205436"</f>
        <v>1551689113205436</v>
      </c>
      <c r="C5175" t="s">
        <v>40</v>
      </c>
      <c r="D5175">
        <v>5.4660900000000003</v>
      </c>
      <c r="E5175">
        <v>0.5652104</v>
      </c>
      <c r="F5175" t="s">
        <v>43</v>
      </c>
      <c r="G5175">
        <v>-311.52890000000002</v>
      </c>
      <c r="H5175">
        <v>-0.05</v>
      </c>
      <c r="I5175">
        <v>11.34979</v>
      </c>
      <c r="J5175">
        <v>-316.24189999999999</v>
      </c>
      <c r="K5175">
        <v>1.0766979999999999</v>
      </c>
      <c r="L5175">
        <v>14.64847</v>
      </c>
      <c r="M5175">
        <v>0.94789540000000005</v>
      </c>
      <c r="N5175">
        <v>-2.5127819999999999E-2</v>
      </c>
      <c r="O5175">
        <v>-0.31758969999999997</v>
      </c>
      <c r="P5175">
        <v>0.81477049999999995</v>
      </c>
      <c r="Q5175">
        <v>0.37968829999999998</v>
      </c>
      <c r="R5175">
        <v>-0.43816250000000001</v>
      </c>
      <c r="S5175">
        <v>2.92041</v>
      </c>
      <c r="T5175">
        <v>-0.67537939999999996</v>
      </c>
      <c r="U5175">
        <v>-2.0101930000000001</v>
      </c>
      <c r="V5175">
        <v>0.17003840000000001</v>
      </c>
      <c r="W5175">
        <v>0.3969956</v>
      </c>
      <c r="X5175">
        <v>0.90193210000000001</v>
      </c>
      <c r="Y5175">
        <v>0.2746304</v>
      </c>
      <c r="Z5175">
        <v>2.3596550000000001E-2</v>
      </c>
      <c r="AA5175">
        <v>0.96126029999999996</v>
      </c>
      <c r="AB5175">
        <v>34</v>
      </c>
      <c r="AC5175">
        <v>4.7129999999999601</v>
      </c>
      <c r="AD5175">
        <v>-1.126698</v>
      </c>
      <c r="AE5175">
        <v>-3.2986800000000001</v>
      </c>
      <c r="AF5175">
        <v>1.57028302674955</v>
      </c>
      <c r="AG5175">
        <v>-1.126698</v>
      </c>
      <c r="AH5175">
        <v>5.3129962684177299</v>
      </c>
      <c r="AI5175">
        <v>101.495365909309</v>
      </c>
      <c r="AJ5175">
        <v>73.534687688991994</v>
      </c>
      <c r="AK5175">
        <v>5.65359766127043</v>
      </c>
      <c r="AL5175">
        <v>66.609508175435295</v>
      </c>
      <c r="AM5175">
        <v>79.323520369685497</v>
      </c>
      <c r="AN5175">
        <v>1.0000000384521599</v>
      </c>
    </row>
    <row r="5176" spans="1:40" x14ac:dyDescent="0.25">
      <c r="A5176" t="str">
        <f>"20190304164513228"</f>
        <v>20190304164513228</v>
      </c>
      <c r="B5176" t="str">
        <f>"1551689113224956"</f>
        <v>1551689113224956</v>
      </c>
      <c r="C5176" t="s">
        <v>40</v>
      </c>
      <c r="D5176">
        <v>5.4657</v>
      </c>
      <c r="E5176">
        <v>0.56502469999999905</v>
      </c>
      <c r="F5176" t="s">
        <v>43</v>
      </c>
      <c r="G5176">
        <v>-311.40660000000003</v>
      </c>
      <c r="H5176">
        <v>-0.05</v>
      </c>
      <c r="I5176">
        <v>11.27586</v>
      </c>
      <c r="J5176">
        <v>-316.05869999999999</v>
      </c>
      <c r="K5176">
        <v>1.074989</v>
      </c>
      <c r="L5176">
        <v>14.580629999999999</v>
      </c>
      <c r="M5176">
        <v>0.94590059999999998</v>
      </c>
      <c r="N5176">
        <v>-2.5150659999999998E-2</v>
      </c>
      <c r="O5176">
        <v>-0.3234804</v>
      </c>
      <c r="P5176">
        <v>0.8121505</v>
      </c>
      <c r="Q5176">
        <v>0.3789322</v>
      </c>
      <c r="R5176">
        <v>-0.44364619999999999</v>
      </c>
      <c r="S5176">
        <v>2.9071959999999999</v>
      </c>
      <c r="T5176">
        <v>-0.67741890000000005</v>
      </c>
      <c r="U5176">
        <v>-2.0277400000000001</v>
      </c>
      <c r="V5176">
        <v>0.17062169999999999</v>
      </c>
      <c r="W5176">
        <v>0.39614899999999997</v>
      </c>
      <c r="X5176">
        <v>0.9021941</v>
      </c>
      <c r="Y5176">
        <v>0.27467069999999999</v>
      </c>
      <c r="Z5176">
        <v>2.4721099999999999E-2</v>
      </c>
      <c r="AA5176">
        <v>0.96122050000000003</v>
      </c>
      <c r="AB5176">
        <v>34</v>
      </c>
      <c r="AC5176">
        <v>4.6520999999999599</v>
      </c>
      <c r="AD5176">
        <v>-1.124989</v>
      </c>
      <c r="AE5176">
        <v>-3.3047699999999902</v>
      </c>
      <c r="AF5176">
        <v>1.56096585308325</v>
      </c>
      <c r="AG5176">
        <v>-1.124989</v>
      </c>
      <c r="AH5176">
        <v>5.2664976096938503</v>
      </c>
      <c r="AI5176">
        <v>101.57443668455799</v>
      </c>
      <c r="AJ5176">
        <v>73.490416928240705</v>
      </c>
      <c r="AK5176">
        <v>5.6069788404740697</v>
      </c>
      <c r="AL5176">
        <v>66.662346326930802</v>
      </c>
      <c r="AM5176">
        <v>79.290780818541606</v>
      </c>
      <c r="AN5176">
        <v>0.99999999439334997</v>
      </c>
    </row>
    <row r="5177" spans="1:40" x14ac:dyDescent="0.25">
      <c r="A5177" t="str">
        <f>"20190304164513239"</f>
        <v>20190304164513239</v>
      </c>
      <c r="B5177" t="str">
        <f>"1551689113235691"</f>
        <v>1551689113235691</v>
      </c>
      <c r="C5177" t="s">
        <v>40</v>
      </c>
      <c r="D5177">
        <v>5.4574160000000003</v>
      </c>
      <c r="E5177">
        <v>0.56502469999999905</v>
      </c>
      <c r="F5177" t="s">
        <v>41</v>
      </c>
      <c r="G5177">
        <v>-315.40120000000002</v>
      </c>
      <c r="H5177">
        <v>0.92029570000000005</v>
      </c>
      <c r="I5177">
        <v>14.11561</v>
      </c>
      <c r="J5177">
        <v>-315.90719999999999</v>
      </c>
      <c r="K5177">
        <v>1.0736319999999999</v>
      </c>
      <c r="L5177">
        <v>14.52356</v>
      </c>
      <c r="M5177">
        <v>0.94419410000000004</v>
      </c>
      <c r="N5177">
        <v>-2.5124500000000001E-2</v>
      </c>
      <c r="O5177">
        <v>-0.32842979999999999</v>
      </c>
      <c r="P5177">
        <v>0.8097181</v>
      </c>
      <c r="Q5177">
        <v>0.37811109999999998</v>
      </c>
      <c r="R5177">
        <v>-0.44876319999999997</v>
      </c>
      <c r="S5177">
        <v>2.8936459999999999</v>
      </c>
      <c r="T5177">
        <v>-0.68023750000000005</v>
      </c>
      <c r="U5177">
        <v>-2.0460210000000001</v>
      </c>
      <c r="V5177">
        <v>0.1715962</v>
      </c>
      <c r="W5177">
        <v>0.39521630000000002</v>
      </c>
      <c r="X5177">
        <v>0.90241839999999995</v>
      </c>
      <c r="Y5177">
        <v>0.27584449999999999</v>
      </c>
      <c r="Z5177">
        <v>2.5628410000000001E-2</v>
      </c>
      <c r="AA5177">
        <v>0.96086059999999995</v>
      </c>
      <c r="AB5177">
        <v>34</v>
      </c>
      <c r="AC5177">
        <v>0.50599999999997103</v>
      </c>
      <c r="AD5177">
        <v>-0.15333629999999901</v>
      </c>
      <c r="AE5177">
        <v>-0.40794999999999898</v>
      </c>
      <c r="AF5177">
        <v>0.20751821841001999</v>
      </c>
      <c r="AG5177">
        <v>-0.15333629999999901</v>
      </c>
      <c r="AH5177">
        <v>0.57967639720181696</v>
      </c>
      <c r="AI5177">
        <v>103.98463494092699</v>
      </c>
      <c r="AJ5177">
        <v>70.303152308278399</v>
      </c>
      <c r="AK5177">
        <v>0.63450812236143705</v>
      </c>
      <c r="AL5177">
        <v>66.720537008418702</v>
      </c>
      <c r="AM5177">
        <v>79.233656033970604</v>
      </c>
      <c r="AN5177">
        <v>1.00000007414934</v>
      </c>
    </row>
    <row r="5178" spans="1:40" x14ac:dyDescent="0.25">
      <c r="A5178" t="str">
        <f>"20190304164513250"</f>
        <v>20190304164513250</v>
      </c>
      <c r="B5178" t="str">
        <f>"1551689113245452"</f>
        <v>1551689113245452</v>
      </c>
      <c r="C5178" t="s">
        <v>40</v>
      </c>
      <c r="D5178">
        <v>5.4646499999999998</v>
      </c>
      <c r="E5178">
        <v>0.55944469999999902</v>
      </c>
      <c r="F5178" t="s">
        <v>43</v>
      </c>
      <c r="G5178">
        <v>-311.17</v>
      </c>
      <c r="H5178">
        <v>-0.05</v>
      </c>
      <c r="I5178">
        <v>11.12846</v>
      </c>
      <c r="J5178">
        <v>-315.74650000000003</v>
      </c>
      <c r="K5178">
        <v>1.07224599999999</v>
      </c>
      <c r="L5178">
        <v>14.46194</v>
      </c>
      <c r="M5178">
        <v>0.94232360000000004</v>
      </c>
      <c r="N5178">
        <v>-2.505191E-2</v>
      </c>
      <c r="O5178">
        <v>-0.33376470000000003</v>
      </c>
      <c r="P5178">
        <v>0.8072414</v>
      </c>
      <c r="Q5178">
        <v>0.37705080000000002</v>
      </c>
      <c r="R5178">
        <v>-0.4540862</v>
      </c>
      <c r="S5178">
        <v>2.8800349999999999</v>
      </c>
      <c r="T5178">
        <v>-0.68312600000000001</v>
      </c>
      <c r="U5178">
        <v>-2.0640869999999998</v>
      </c>
      <c r="V5178">
        <v>0.1723442</v>
      </c>
      <c r="W5178">
        <v>0.3940302</v>
      </c>
      <c r="X5178">
        <v>0.9027944</v>
      </c>
      <c r="Y5178">
        <v>0.2765978</v>
      </c>
      <c r="Z5178">
        <v>2.66839E-2</v>
      </c>
      <c r="AA5178">
        <v>0.9606152</v>
      </c>
      <c r="AB5178">
        <v>34</v>
      </c>
      <c r="AC5178">
        <v>4.5765000000000002</v>
      </c>
      <c r="AD5178">
        <v>-1.1222460000000001</v>
      </c>
      <c r="AE5178">
        <v>-3.3334800000000002</v>
      </c>
      <c r="AF5178">
        <v>1.5532258939432499</v>
      </c>
      <c r="AG5178">
        <v>-1.1222460000000001</v>
      </c>
      <c r="AH5178">
        <v>5.2216941156690604</v>
      </c>
      <c r="AI5178">
        <v>101.640077996153</v>
      </c>
      <c r="AJ5178">
        <v>73.434557792141305</v>
      </c>
      <c r="AK5178">
        <v>5.5621970658854396</v>
      </c>
      <c r="AL5178">
        <v>66.794496781756806</v>
      </c>
      <c r="AM5178">
        <v>79.192225748737599</v>
      </c>
      <c r="AN5178">
        <v>1.0000000252285099</v>
      </c>
    </row>
    <row r="5179" spans="1:40" x14ac:dyDescent="0.25">
      <c r="A5179" t="str">
        <f>"20190304164513261"</f>
        <v>20190304164513261</v>
      </c>
      <c r="B5179" t="str">
        <f>"1551689113255212"</f>
        <v>1551689113255212</v>
      </c>
      <c r="C5179" t="s">
        <v>40</v>
      </c>
      <c r="D5179">
        <v>5.4799860000000002</v>
      </c>
      <c r="E5179">
        <v>0.55934669999999997</v>
      </c>
      <c r="F5179" t="s">
        <v>41</v>
      </c>
      <c r="G5179">
        <v>-315.11380000000003</v>
      </c>
      <c r="H5179">
        <v>0.92226660000000005</v>
      </c>
      <c r="I5179">
        <v>14.01422</v>
      </c>
      <c r="J5179">
        <v>-315.60039999999998</v>
      </c>
      <c r="K5179">
        <v>1.0710649999999999</v>
      </c>
      <c r="L5179">
        <v>14.404629999999999</v>
      </c>
      <c r="M5179">
        <v>0.94055140000000004</v>
      </c>
      <c r="N5179">
        <v>-2.493662E-2</v>
      </c>
      <c r="O5179">
        <v>-0.3387348</v>
      </c>
      <c r="P5179">
        <v>0.80518780000000001</v>
      </c>
      <c r="Q5179">
        <v>0.37540839999999998</v>
      </c>
      <c r="R5179">
        <v>-0.45906599999999997</v>
      </c>
      <c r="S5179">
        <v>2.886749</v>
      </c>
      <c r="T5179">
        <v>-0.68449230000000005</v>
      </c>
      <c r="U5179">
        <v>-2.0431520000000001</v>
      </c>
      <c r="V5179">
        <v>0.1728787</v>
      </c>
      <c r="W5179">
        <v>0.39226499999999997</v>
      </c>
      <c r="X5179">
        <v>0.90346059999999995</v>
      </c>
      <c r="Y5179">
        <v>0.2661017</v>
      </c>
      <c r="Z5179">
        <v>2.889924E-2</v>
      </c>
      <c r="AA5179">
        <v>0.96351160000000002</v>
      </c>
      <c r="AB5179">
        <v>34</v>
      </c>
      <c r="AC5179">
        <v>0.48659999999995202</v>
      </c>
      <c r="AD5179">
        <v>-0.1487984</v>
      </c>
      <c r="AE5179">
        <v>-0.39040999999999698</v>
      </c>
      <c r="AF5179">
        <v>0.19153891056240999</v>
      </c>
      <c r="AG5179">
        <v>-0.1487984</v>
      </c>
      <c r="AH5179">
        <v>0.55833824918323605</v>
      </c>
      <c r="AI5179">
        <v>104.148443326896</v>
      </c>
      <c r="AJ5179">
        <v>71.0653791236453</v>
      </c>
      <c r="AK5179">
        <v>0.60874437870340703</v>
      </c>
      <c r="AL5179">
        <v>66.904491231565103</v>
      </c>
      <c r="AM5179">
        <v>79.167304512910206</v>
      </c>
      <c r="AN5179">
        <v>0.99999996544552405</v>
      </c>
    </row>
    <row r="5180" spans="1:40" x14ac:dyDescent="0.25">
      <c r="A5180" t="str">
        <f>"20190304164513272"</f>
        <v>20190304164513272</v>
      </c>
      <c r="B5180" t="str">
        <f>"1551689113264972"</f>
        <v>1551689113264972</v>
      </c>
      <c r="C5180" t="s">
        <v>40</v>
      </c>
      <c r="D5180">
        <v>5.4868319999999997</v>
      </c>
      <c r="E5180">
        <v>0.55944059999999995</v>
      </c>
      <c r="F5180" t="s">
        <v>41</v>
      </c>
      <c r="G5180">
        <v>-314.85309999999998</v>
      </c>
      <c r="H5180">
        <v>0.89149480000000003</v>
      </c>
      <c r="I5180">
        <v>13.86894</v>
      </c>
      <c r="J5180">
        <v>-315.42410000000001</v>
      </c>
      <c r="K5180">
        <v>1.0696829999999999</v>
      </c>
      <c r="L5180">
        <v>14.33475</v>
      </c>
      <c r="M5180">
        <v>0.93835119999999905</v>
      </c>
      <c r="N5180">
        <v>-2.4768399999999999E-2</v>
      </c>
      <c r="O5180">
        <v>-0.34479559999999998</v>
      </c>
      <c r="P5180">
        <v>0.80237360000000002</v>
      </c>
      <c r="Q5180">
        <v>0.37406859999999997</v>
      </c>
      <c r="R5180">
        <v>-0.46504810000000002</v>
      </c>
      <c r="S5180">
        <v>2.8734739999999999</v>
      </c>
      <c r="T5180">
        <v>-0.68953699999999996</v>
      </c>
      <c r="U5180">
        <v>-2.0588989999999998</v>
      </c>
      <c r="V5180">
        <v>0.17352229999999999</v>
      </c>
      <c r="W5180">
        <v>0.39076</v>
      </c>
      <c r="X5180">
        <v>0.9039893</v>
      </c>
      <c r="Y5180">
        <v>0.26558280000000001</v>
      </c>
      <c r="Z5180">
        <v>3.0430889999999999E-2</v>
      </c>
      <c r="AA5180">
        <v>0.96360769999999996</v>
      </c>
      <c r="AB5180">
        <v>34</v>
      </c>
      <c r="AC5180">
        <v>0.57100000000002604</v>
      </c>
      <c r="AD5180">
        <v>-0.17818819999999899</v>
      </c>
      <c r="AE5180">
        <v>-0.465809999999999</v>
      </c>
      <c r="AF5180">
        <v>0.22701491023277801</v>
      </c>
      <c r="AG5180">
        <v>-0.17818819999999899</v>
      </c>
      <c r="AH5180">
        <v>0.65813913519060996</v>
      </c>
      <c r="AI5180">
        <v>104.35648826868599</v>
      </c>
      <c r="AJ5180">
        <v>70.968918112677301</v>
      </c>
      <c r="AK5180">
        <v>0.718633373394724</v>
      </c>
      <c r="AL5180">
        <v>66.998203165514298</v>
      </c>
      <c r="AM5180">
        <v>79.134142635699106</v>
      </c>
      <c r="AN5180">
        <v>1.0000000103558899</v>
      </c>
    </row>
    <row r="5181" spans="1:40" x14ac:dyDescent="0.25">
      <c r="A5181" t="str">
        <f>"20190304164513302"</f>
        <v>20190304164513302</v>
      </c>
      <c r="B5181" t="str">
        <f>"1551689113295228"</f>
        <v>1551689113295228</v>
      </c>
      <c r="C5181" t="s">
        <v>40</v>
      </c>
      <c r="D5181">
        <v>5.6034189999999997</v>
      </c>
      <c r="E5181">
        <v>0.56535369999999996</v>
      </c>
      <c r="F5181" t="s">
        <v>41</v>
      </c>
      <c r="G5181">
        <v>-314.82909999999998</v>
      </c>
      <c r="H5181">
        <v>0.92510250000000005</v>
      </c>
      <c r="I5181">
        <v>13.90091</v>
      </c>
      <c r="J5181">
        <v>-315.01609999999999</v>
      </c>
      <c r="K5181">
        <v>1.066829</v>
      </c>
      <c r="L5181">
        <v>14.166259999999999</v>
      </c>
      <c r="M5181">
        <v>0.93285830000000003</v>
      </c>
      <c r="N5181">
        <v>-2.4187819999999999E-2</v>
      </c>
      <c r="O5181">
        <v>-0.359431</v>
      </c>
      <c r="P5181">
        <v>0.79457959999999905</v>
      </c>
      <c r="Q5181">
        <v>0.37292150000000002</v>
      </c>
      <c r="R5181">
        <v>-0.47913810000000001</v>
      </c>
      <c r="S5181">
        <v>2.8557739999999998</v>
      </c>
      <c r="T5181">
        <v>-0.69273600000000002</v>
      </c>
      <c r="U5181">
        <v>-2.080994</v>
      </c>
      <c r="V5181">
        <v>0.17489859999999999</v>
      </c>
      <c r="W5181">
        <v>0.38913059999999999</v>
      </c>
      <c r="X5181">
        <v>0.90442679999999998</v>
      </c>
      <c r="Y5181">
        <v>0.2585884</v>
      </c>
      <c r="Z5181">
        <v>3.4310769999999997E-2</v>
      </c>
      <c r="AA5181">
        <v>0.96537799999999996</v>
      </c>
      <c r="AB5181">
        <v>34</v>
      </c>
      <c r="AC5181">
        <v>0.18700000000001099</v>
      </c>
      <c r="AD5181">
        <v>-0.14172650000000001</v>
      </c>
      <c r="AE5181">
        <v>-0.26534999999999898</v>
      </c>
      <c r="AF5181">
        <v>0.151496384250662</v>
      </c>
      <c r="AG5181">
        <v>-0.14172650000000001</v>
      </c>
      <c r="AH5181">
        <v>0.22668922676310299</v>
      </c>
      <c r="AI5181">
        <v>117.46573267406301</v>
      </c>
      <c r="AJ5181">
        <v>56.245197542465199</v>
      </c>
      <c r="AK5181">
        <v>0.30728742371552997</v>
      </c>
      <c r="AL5181">
        <v>67.099586158584202</v>
      </c>
      <c r="AM5181">
        <v>79.055203843439799</v>
      </c>
      <c r="AN5181">
        <v>0.99999999034827902</v>
      </c>
    </row>
    <row r="5182" spans="1:40" x14ac:dyDescent="0.25">
      <c r="A5182" t="str">
        <f>"20190304164513316"</f>
        <v>20190304164513316</v>
      </c>
      <c r="B5182" t="str">
        <f>"1551689113304987"</f>
        <v>1551689113304987</v>
      </c>
      <c r="C5182" t="s">
        <v>40</v>
      </c>
      <c r="D5182">
        <v>5.8627079999999996</v>
      </c>
      <c r="E5182">
        <v>0.56658229999999998</v>
      </c>
      <c r="F5182" t="s">
        <v>43</v>
      </c>
      <c r="G5182">
        <v>-310.40359999999998</v>
      </c>
      <c r="H5182">
        <v>-0.05</v>
      </c>
      <c r="I5182">
        <v>10.57419</v>
      </c>
      <c r="J5182">
        <v>-314.81450000000001</v>
      </c>
      <c r="K5182">
        <v>1.06552</v>
      </c>
      <c r="L5182">
        <v>14.0806</v>
      </c>
      <c r="M5182">
        <v>0.92996909999999999</v>
      </c>
      <c r="N5182">
        <v>-2.3856410000000002E-2</v>
      </c>
      <c r="O5182">
        <v>-0.36686259999999998</v>
      </c>
      <c r="P5182">
        <v>0.78953359999999995</v>
      </c>
      <c r="Q5182">
        <v>0.37308029999999998</v>
      </c>
      <c r="R5182">
        <v>-0.48728660000000001</v>
      </c>
      <c r="S5182">
        <v>2.784424</v>
      </c>
      <c r="T5182">
        <v>-0.67419469999999904</v>
      </c>
      <c r="U5182">
        <v>-2.1684269999999999</v>
      </c>
      <c r="V5182">
        <v>0.17687809999999901</v>
      </c>
      <c r="W5182">
        <v>0.38897510000000002</v>
      </c>
      <c r="X5182">
        <v>0.90410869999999999</v>
      </c>
      <c r="Y5182">
        <v>0.28131</v>
      </c>
      <c r="Z5182">
        <v>3.2244290000000002E-2</v>
      </c>
      <c r="AA5182">
        <v>0.95907509999999996</v>
      </c>
      <c r="AB5182">
        <v>34</v>
      </c>
      <c r="AC5182">
        <v>4.4109000000000202</v>
      </c>
      <c r="AD5182">
        <v>-1.1155200000000001</v>
      </c>
      <c r="AE5182">
        <v>-3.5064099999999998</v>
      </c>
      <c r="AF5182">
        <v>1.5811576831851599</v>
      </c>
      <c r="AG5182">
        <v>-1.1155200000000001</v>
      </c>
      <c r="AH5182">
        <v>5.1866311469887503</v>
      </c>
      <c r="AI5182">
        <v>101.625186359075</v>
      </c>
      <c r="AJ5182">
        <v>73.046024164711099</v>
      </c>
      <c r="AK5182">
        <v>5.5358456575675303</v>
      </c>
      <c r="AL5182">
        <v>67.109258235509699</v>
      </c>
      <c r="AM5182">
        <v>78.930574574358204</v>
      </c>
      <c r="AN5182">
        <v>1.0000000160476501</v>
      </c>
    </row>
    <row r="5183" spans="1:40" x14ac:dyDescent="0.25">
      <c r="A5183" t="str">
        <f>"20190304164513328"</f>
        <v>20190304164513328</v>
      </c>
      <c r="B5183" t="str">
        <f>"1551689113325484"</f>
        <v>1551689113325484</v>
      </c>
      <c r="C5183" t="s">
        <v>40</v>
      </c>
      <c r="D5183">
        <v>5.9130919999999998</v>
      </c>
      <c r="E5183">
        <v>0.56834549999999995</v>
      </c>
      <c r="F5183" t="s">
        <v>43</v>
      </c>
      <c r="G5183">
        <v>-310.30360000000002</v>
      </c>
      <c r="H5183">
        <v>-0.05</v>
      </c>
      <c r="I5183">
        <v>10.473280000000001</v>
      </c>
      <c r="J5183">
        <v>-314.64049999999997</v>
      </c>
      <c r="K5183">
        <v>1.0644610000000001</v>
      </c>
      <c r="L5183">
        <v>14.004759999999999</v>
      </c>
      <c r="M5183">
        <v>0.9273477</v>
      </c>
      <c r="N5183">
        <v>-2.3558099999999998E-2</v>
      </c>
      <c r="O5183">
        <v>-0.37345859999999997</v>
      </c>
      <c r="P5183">
        <v>0.78521149999999995</v>
      </c>
      <c r="Q5183">
        <v>0.37365490000000001</v>
      </c>
      <c r="R5183">
        <v>-0.49378660000000002</v>
      </c>
      <c r="S5183">
        <v>2.76004</v>
      </c>
      <c r="T5183">
        <v>-0.68253589999999997</v>
      </c>
      <c r="U5183">
        <v>-2.2071529999999999</v>
      </c>
      <c r="V5183">
        <v>0.177888299999999</v>
      </c>
      <c r="W5183">
        <v>0.38930100000000001</v>
      </c>
      <c r="X5183">
        <v>0.90377010000000002</v>
      </c>
      <c r="Y5183">
        <v>0.28685909999999998</v>
      </c>
      <c r="Z5183">
        <v>3.3467200000000003E-2</v>
      </c>
      <c r="AA5183">
        <v>0.95738800000000002</v>
      </c>
      <c r="AB5183">
        <v>34</v>
      </c>
      <c r="AC5183">
        <v>4.3368999999999502</v>
      </c>
      <c r="AD5183">
        <v>-1.1144609999999999</v>
      </c>
      <c r="AE5183">
        <v>-3.5314800000000002</v>
      </c>
      <c r="AF5183">
        <v>1.5924846220209099</v>
      </c>
      <c r="AG5183">
        <v>-1.1144609999999999</v>
      </c>
      <c r="AH5183">
        <v>5.1381403662877201</v>
      </c>
      <c r="AI5183">
        <v>101.704787245766</v>
      </c>
      <c r="AJ5183">
        <v>72.780011555187002</v>
      </c>
      <c r="AK5183">
        <v>5.4934977032460299</v>
      </c>
      <c r="AL5183">
        <v>67.088986331527593</v>
      </c>
      <c r="AM5183">
        <v>78.864862377121696</v>
      </c>
      <c r="AN5183">
        <v>0.99999995476594805</v>
      </c>
    </row>
    <row r="5184" spans="1:40" x14ac:dyDescent="0.25">
      <c r="A5184" t="str">
        <f>"20190304164513340"</f>
        <v>20190304164513340</v>
      </c>
      <c r="B5184" t="str">
        <f>"1551689113335243"</f>
        <v>1551689113335243</v>
      </c>
      <c r="C5184" t="s">
        <v>40</v>
      </c>
      <c r="D5184">
        <v>5.8412759999999997</v>
      </c>
      <c r="E5184">
        <v>0.56973839999999998</v>
      </c>
      <c r="F5184" t="s">
        <v>43</v>
      </c>
      <c r="G5184">
        <v>-310.10660000000001</v>
      </c>
      <c r="H5184">
        <v>-0.05</v>
      </c>
      <c r="I5184">
        <v>10.284940000000001</v>
      </c>
      <c r="J5184">
        <v>-314.48910000000001</v>
      </c>
      <c r="K5184">
        <v>1.0635699999999999</v>
      </c>
      <c r="L5184">
        <v>13.937620000000001</v>
      </c>
      <c r="M5184">
        <v>0.92498360000000002</v>
      </c>
      <c r="N5184">
        <v>-2.3297060000000001E-2</v>
      </c>
      <c r="O5184">
        <v>-0.37929259999999998</v>
      </c>
      <c r="P5184">
        <v>0.78136359999999905</v>
      </c>
      <c r="Q5184">
        <v>0.37426969999999998</v>
      </c>
      <c r="R5184">
        <v>-0.49939309999999998</v>
      </c>
      <c r="S5184">
        <v>2.7310180000000002</v>
      </c>
      <c r="T5184">
        <v>-0.671296</v>
      </c>
      <c r="U5184">
        <v>-2.240631</v>
      </c>
      <c r="V5184">
        <v>0.1786624</v>
      </c>
      <c r="W5184">
        <v>0.38970159999999998</v>
      </c>
      <c r="X5184">
        <v>0.90344480000000005</v>
      </c>
      <c r="Y5184">
        <v>0.29279909999999998</v>
      </c>
      <c r="Z5184">
        <v>3.3297859999999999E-2</v>
      </c>
      <c r="AA5184">
        <v>0.95559400000000005</v>
      </c>
      <c r="AB5184">
        <v>34</v>
      </c>
      <c r="AC5184">
        <v>4.3824999999999896</v>
      </c>
      <c r="AD5184">
        <v>-1.1135699999999999</v>
      </c>
      <c r="AE5184">
        <v>-3.6526800000000001</v>
      </c>
      <c r="AF5184">
        <v>1.6538751659617299</v>
      </c>
      <c r="AG5184">
        <v>-1.1135699999999999</v>
      </c>
      <c r="AH5184">
        <v>5.2409785762301997</v>
      </c>
      <c r="AI5184">
        <v>101.454432464985</v>
      </c>
      <c r="AJ5184">
        <v>72.486070219604798</v>
      </c>
      <c r="AK5184">
        <v>5.6074234409387103</v>
      </c>
      <c r="AL5184">
        <v>67.064067815338205</v>
      </c>
      <c r="AM5184">
        <v>78.8137003663293</v>
      </c>
      <c r="AN5184">
        <v>1.00000004843167</v>
      </c>
    </row>
    <row r="5185" spans="1:40" x14ac:dyDescent="0.25">
      <c r="A5185" t="str">
        <f>"20190304164513351"</f>
        <v>20190304164513351</v>
      </c>
      <c r="B5185" t="str">
        <f>"1551689113345619"</f>
        <v>1551689113345619</v>
      </c>
      <c r="C5185" t="s">
        <v>40</v>
      </c>
      <c r="D5185">
        <v>5.8544210000000003</v>
      </c>
      <c r="E5185">
        <v>0.57014609999999899</v>
      </c>
      <c r="F5185" t="s">
        <v>43</v>
      </c>
      <c r="G5185">
        <v>-309.92160000000001</v>
      </c>
      <c r="H5185">
        <v>-0.05</v>
      </c>
      <c r="I5185">
        <v>10.108219999999999</v>
      </c>
      <c r="J5185">
        <v>-314.32799999999997</v>
      </c>
      <c r="K5185">
        <v>1.0626519999999999</v>
      </c>
      <c r="L5185">
        <v>13.865170000000001</v>
      </c>
      <c r="M5185">
        <v>0.92238500000000001</v>
      </c>
      <c r="N5185">
        <v>-2.3018219999999999E-2</v>
      </c>
      <c r="O5185">
        <v>-0.38558569999999998</v>
      </c>
      <c r="P5185">
        <v>0.7770743</v>
      </c>
      <c r="Q5185">
        <v>0.37527310000000003</v>
      </c>
      <c r="R5185">
        <v>-0.50529789999999997</v>
      </c>
      <c r="S5185">
        <v>2.7056269999999998</v>
      </c>
      <c r="T5185">
        <v>-0.65963939999999999</v>
      </c>
      <c r="U5185">
        <v>-2.268402</v>
      </c>
      <c r="V5185">
        <v>0.17942849999999999</v>
      </c>
      <c r="W5185">
        <v>0.39047480000000001</v>
      </c>
      <c r="X5185">
        <v>0.90295890000000001</v>
      </c>
      <c r="Y5185">
        <v>0.29648210000000003</v>
      </c>
      <c r="Z5185">
        <v>3.3412919999999999E-2</v>
      </c>
      <c r="AA5185">
        <v>0.95445380000000002</v>
      </c>
      <c r="AB5185">
        <v>34</v>
      </c>
      <c r="AC5185">
        <v>4.4063999999999597</v>
      </c>
      <c r="AD5185">
        <v>-1.112652</v>
      </c>
      <c r="AE5185">
        <v>-3.7569499999999998</v>
      </c>
      <c r="AF5185">
        <v>1.7038690797659899</v>
      </c>
      <c r="AG5185">
        <v>-1.112652</v>
      </c>
      <c r="AH5185">
        <v>5.31813378311156</v>
      </c>
      <c r="AI5185">
        <v>101.26818163198401</v>
      </c>
      <c r="AJ5185">
        <v>72.235137177771307</v>
      </c>
      <c r="AK5185">
        <v>5.6941822283062802</v>
      </c>
      <c r="AL5185">
        <v>67.015953096413497</v>
      </c>
      <c r="AM5185">
        <v>78.761060105883999</v>
      </c>
      <c r="AN5185">
        <v>0.99999996556824899</v>
      </c>
    </row>
    <row r="5186" spans="1:40" x14ac:dyDescent="0.25">
      <c r="A5186" t="str">
        <f>"20190304164513363"</f>
        <v>20190304164513363</v>
      </c>
      <c r="B5186" t="str">
        <f>"1551689113355378"</f>
        <v>1551689113355378</v>
      </c>
      <c r="C5186" t="s">
        <v>40</v>
      </c>
      <c r="D5186">
        <v>5.8307409999999997</v>
      </c>
      <c r="E5186">
        <v>0.57075909999999996</v>
      </c>
      <c r="F5186" t="s">
        <v>43</v>
      </c>
      <c r="G5186">
        <v>-309.76850000000002</v>
      </c>
      <c r="H5186">
        <v>-0.05</v>
      </c>
      <c r="I5186">
        <v>9.9768830000000008</v>
      </c>
      <c r="J5186">
        <v>-314.16329999999999</v>
      </c>
      <c r="K5186">
        <v>1.0617350000000001</v>
      </c>
      <c r="L5186">
        <v>13.789339999999999</v>
      </c>
      <c r="M5186">
        <v>0.91961979999999999</v>
      </c>
      <c r="N5186">
        <v>-2.2730670000000001E-2</v>
      </c>
      <c r="O5186">
        <v>-0.3921519</v>
      </c>
      <c r="P5186">
        <v>0.77278619999999898</v>
      </c>
      <c r="Q5186">
        <v>0.3758107</v>
      </c>
      <c r="R5186">
        <v>-0.51143749999999999</v>
      </c>
      <c r="S5186">
        <v>2.687195</v>
      </c>
      <c r="T5186">
        <v>-0.65575159999999999</v>
      </c>
      <c r="U5186">
        <v>-2.291595</v>
      </c>
      <c r="V5186">
        <v>0.1801459</v>
      </c>
      <c r="W5186">
        <v>0.39077149999999999</v>
      </c>
      <c r="X5186">
        <v>0.90268769999999998</v>
      </c>
      <c r="Y5186">
        <v>0.29775570000000001</v>
      </c>
      <c r="Z5186">
        <v>3.4303899999999998E-2</v>
      </c>
      <c r="AA5186">
        <v>0.95402560000000003</v>
      </c>
      <c r="AB5186">
        <v>34</v>
      </c>
      <c r="AC5186">
        <v>4.3947999999999698</v>
      </c>
      <c r="AD5186">
        <v>-1.1117349999999999</v>
      </c>
      <c r="AE5186">
        <v>-3.81245699999999</v>
      </c>
      <c r="AF5186">
        <v>1.72023021612835</v>
      </c>
      <c r="AG5186">
        <v>-1.1117349999999999</v>
      </c>
      <c r="AH5186">
        <v>5.3429466206151002</v>
      </c>
      <c r="AI5186">
        <v>101.203165017754</v>
      </c>
      <c r="AJ5186">
        <v>72.153371069462395</v>
      </c>
      <c r="AK5186">
        <v>5.7220822518947001</v>
      </c>
      <c r="AL5186">
        <v>66.997487027589202</v>
      </c>
      <c r="AM5186">
        <v>78.713971770448595</v>
      </c>
      <c r="AN5186">
        <v>0.99999999711517396</v>
      </c>
    </row>
    <row r="5187" spans="1:40" x14ac:dyDescent="0.25">
      <c r="A5187" t="str">
        <f>"20190304164513374"</f>
        <v>20190304164513374</v>
      </c>
      <c r="B5187" t="str">
        <f>"1551689113365139"</f>
        <v>1551689113365139</v>
      </c>
      <c r="C5187" t="s">
        <v>40</v>
      </c>
      <c r="D5187">
        <v>5.7828309999999998</v>
      </c>
      <c r="E5187">
        <v>0.5712623</v>
      </c>
      <c r="F5187" t="s">
        <v>43</v>
      </c>
      <c r="G5187">
        <v>-309.60239999999999</v>
      </c>
      <c r="H5187">
        <v>-0.05</v>
      </c>
      <c r="I5187">
        <v>9.8260500000000004</v>
      </c>
      <c r="J5187">
        <v>-314.0027</v>
      </c>
      <c r="K5187">
        <v>1.0608489999999999</v>
      </c>
      <c r="L5187">
        <v>13.71472</v>
      </c>
      <c r="M5187">
        <v>0.91685539999999999</v>
      </c>
      <c r="N5187">
        <v>-2.2450709999999999E-2</v>
      </c>
      <c r="O5187">
        <v>-0.39858779999999999</v>
      </c>
      <c r="P5187">
        <v>0.76854739999999999</v>
      </c>
      <c r="Q5187">
        <v>0.3761717</v>
      </c>
      <c r="R5187">
        <v>-0.51752339999999997</v>
      </c>
      <c r="S5187">
        <v>2.6652529999999999</v>
      </c>
      <c r="T5187">
        <v>-0.649653699999999</v>
      </c>
      <c r="U5187">
        <v>-2.315979</v>
      </c>
      <c r="V5187">
        <v>0.1809259</v>
      </c>
      <c r="W5187">
        <v>0.39089220000000002</v>
      </c>
      <c r="X5187">
        <v>0.90247940000000004</v>
      </c>
      <c r="Y5187">
        <v>0.2999812</v>
      </c>
      <c r="Z5187">
        <v>3.4928239999999999E-2</v>
      </c>
      <c r="AA5187">
        <v>0.95330550000000003</v>
      </c>
      <c r="AB5187">
        <v>34</v>
      </c>
      <c r="AC5187">
        <v>4.4003000000000103</v>
      </c>
      <c r="AD5187">
        <v>-1.110849</v>
      </c>
      <c r="AE5187">
        <v>-3.8886699999999998</v>
      </c>
      <c r="AF5187">
        <v>1.7493019791840001</v>
      </c>
      <c r="AG5187">
        <v>-1.110849</v>
      </c>
      <c r="AH5187">
        <v>5.3928459156253803</v>
      </c>
      <c r="AI5187">
        <v>101.08583029337601</v>
      </c>
      <c r="AJ5187">
        <v>72.028256350179703</v>
      </c>
      <c r="AK5187">
        <v>5.7772683843539197</v>
      </c>
      <c r="AL5187">
        <v>66.989973436581494</v>
      </c>
      <c r="AM5187">
        <v>78.663819247406593</v>
      </c>
      <c r="AN5187">
        <v>0.99999998036800397</v>
      </c>
    </row>
    <row r="5188" spans="1:40" x14ac:dyDescent="0.25">
      <c r="A5188" t="str">
        <f>"20190304164513386"</f>
        <v>20190304164513386</v>
      </c>
      <c r="B5188" t="str">
        <f>"1551689113375874"</f>
        <v>1551689113375874</v>
      </c>
      <c r="C5188" t="s">
        <v>40</v>
      </c>
      <c r="D5188">
        <v>5.8293239999999997</v>
      </c>
      <c r="E5188">
        <v>0.57132879999999997</v>
      </c>
      <c r="F5188" t="s">
        <v>43</v>
      </c>
      <c r="G5188">
        <v>-309.44779999999997</v>
      </c>
      <c r="H5188">
        <v>-0.05</v>
      </c>
      <c r="I5188">
        <v>9.6829990000000006</v>
      </c>
      <c r="J5188">
        <v>-313.8356</v>
      </c>
      <c r="K5188">
        <v>1.0599419999999999</v>
      </c>
      <c r="L5188">
        <v>13.634740000000001</v>
      </c>
      <c r="M5188">
        <v>0.9138638</v>
      </c>
      <c r="N5188">
        <v>-2.2158150000000001E-2</v>
      </c>
      <c r="O5188">
        <v>-0.40541569999999999</v>
      </c>
      <c r="P5188">
        <v>0.76415690000000003</v>
      </c>
      <c r="Q5188">
        <v>0.37652920000000001</v>
      </c>
      <c r="R5188">
        <v>-0.52372730000000001</v>
      </c>
      <c r="S5188">
        <v>2.6434329999999999</v>
      </c>
      <c r="T5188">
        <v>-0.64468409999999998</v>
      </c>
      <c r="U5188">
        <v>-2.3398129999999999</v>
      </c>
      <c r="V5188">
        <v>0.18152289999999999</v>
      </c>
      <c r="W5188">
        <v>0.39098519999999998</v>
      </c>
      <c r="X5188">
        <v>0.90231930000000005</v>
      </c>
      <c r="Y5188">
        <v>0.30165969999999998</v>
      </c>
      <c r="Z5188">
        <v>3.5750669999999998E-2</v>
      </c>
      <c r="AA5188">
        <v>0.95274510000000001</v>
      </c>
      <c r="AB5188">
        <v>34</v>
      </c>
      <c r="AC5188">
        <v>4.3878000000000199</v>
      </c>
      <c r="AD5188">
        <v>-1.109942</v>
      </c>
      <c r="AE5188">
        <v>-3.95174099999999</v>
      </c>
      <c r="AF5188">
        <v>1.7703705153019</v>
      </c>
      <c r="AG5188">
        <v>-1.109942</v>
      </c>
      <c r="AH5188">
        <v>5.4217692992330297</v>
      </c>
      <c r="AI5188">
        <v>101.012543967243</v>
      </c>
      <c r="AJ5188">
        <v>71.916584539728206</v>
      </c>
      <c r="AK5188">
        <v>5.8104875302267098</v>
      </c>
      <c r="AL5188">
        <v>66.984186006993099</v>
      </c>
      <c r="AM5188">
        <v>78.625421294534107</v>
      </c>
      <c r="AN5188">
        <v>1.0000000544979599</v>
      </c>
    </row>
    <row r="5189" spans="1:40" x14ac:dyDescent="0.25">
      <c r="A5189" t="str">
        <f>"20190304164513399"</f>
        <v>20190304164513399</v>
      </c>
      <c r="B5189" t="str">
        <f>"1551689113395394"</f>
        <v>1551689113395394</v>
      </c>
      <c r="C5189" t="s">
        <v>40</v>
      </c>
      <c r="D5189">
        <v>5.8429830000000003</v>
      </c>
      <c r="E5189">
        <v>0.57150659999999998</v>
      </c>
      <c r="F5189" t="s">
        <v>43</v>
      </c>
      <c r="G5189">
        <v>-309.31310000000002</v>
      </c>
      <c r="H5189">
        <v>-0.05</v>
      </c>
      <c r="I5189">
        <v>9.5633999999999997</v>
      </c>
      <c r="J5189">
        <v>-313.67849999999999</v>
      </c>
      <c r="K5189">
        <v>1.0590999999999999</v>
      </c>
      <c r="L5189">
        <v>13.558619999999999</v>
      </c>
      <c r="M5189">
        <v>0.91098259999999998</v>
      </c>
      <c r="N5189">
        <v>-2.188435E-2</v>
      </c>
      <c r="O5189">
        <v>-0.41186410000000001</v>
      </c>
      <c r="P5189">
        <v>0.76020149999999997</v>
      </c>
      <c r="Q5189">
        <v>0.37644509999999998</v>
      </c>
      <c r="R5189">
        <v>-0.52951219999999999</v>
      </c>
      <c r="S5189">
        <v>2.6241460000000001</v>
      </c>
      <c r="T5189">
        <v>-0.64403820000000001</v>
      </c>
      <c r="U5189">
        <v>-2.3623660000000002</v>
      </c>
      <c r="V5189">
        <v>0.18193500000000001</v>
      </c>
      <c r="W5189">
        <v>0.390656</v>
      </c>
      <c r="X5189">
        <v>0.90237880000000004</v>
      </c>
      <c r="Y5189">
        <v>0.30300199999999999</v>
      </c>
      <c r="Z5189">
        <v>3.6825120000000003E-2</v>
      </c>
      <c r="AA5189">
        <v>0.95227810000000002</v>
      </c>
      <c r="AB5189">
        <v>34</v>
      </c>
      <c r="AC5189">
        <v>4.3653999999999602</v>
      </c>
      <c r="AD5189">
        <v>-1.1091</v>
      </c>
      <c r="AE5189">
        <v>-3.9952200000000002</v>
      </c>
      <c r="AF5189">
        <v>1.7795544662161999</v>
      </c>
      <c r="AG5189">
        <v>-1.1091</v>
      </c>
      <c r="AH5189">
        <v>5.432798080535</v>
      </c>
      <c r="AI5189">
        <v>100.979345523666</v>
      </c>
      <c r="AJ5189">
        <v>71.863396488174502</v>
      </c>
      <c r="AK5189">
        <v>5.8234192612326003</v>
      </c>
      <c r="AL5189">
        <v>67.004675638162894</v>
      </c>
      <c r="AM5189">
        <v>78.601005668424094</v>
      </c>
      <c r="AN5189">
        <v>0.999999976625219</v>
      </c>
    </row>
    <row r="5190" spans="1:40" x14ac:dyDescent="0.25">
      <c r="A5190" t="str">
        <f>"20190304164513410"</f>
        <v>20190304164513410</v>
      </c>
      <c r="B5190" t="str">
        <f>"1551689113405154"</f>
        <v>1551689113405154</v>
      </c>
      <c r="C5190" t="s">
        <v>40</v>
      </c>
      <c r="D5190">
        <v>5.7962579999999999</v>
      </c>
      <c r="E5190">
        <v>0.57171470000000002</v>
      </c>
      <c r="F5190" t="s">
        <v>43</v>
      </c>
      <c r="G5190">
        <v>-309.18959999999998</v>
      </c>
      <c r="H5190">
        <v>-0.05</v>
      </c>
      <c r="I5190">
        <v>9.4494629999999997</v>
      </c>
      <c r="J5190">
        <v>-313.51330000000002</v>
      </c>
      <c r="K5190">
        <v>1.0582320000000001</v>
      </c>
      <c r="L5190">
        <v>13.477080000000001</v>
      </c>
      <c r="M5190">
        <v>0.90786840000000002</v>
      </c>
      <c r="N5190">
        <v>-2.1597559999999998E-2</v>
      </c>
      <c r="O5190">
        <v>-0.41869859999999998</v>
      </c>
      <c r="P5190">
        <v>0.75585329999999995</v>
      </c>
      <c r="Q5190">
        <v>0.37672640000000002</v>
      </c>
      <c r="R5190">
        <v>-0.53550249999999999</v>
      </c>
      <c r="S5190">
        <v>2.6043699999999999</v>
      </c>
      <c r="T5190">
        <v>-0.64348159999999999</v>
      </c>
      <c r="U5190">
        <v>-2.384064</v>
      </c>
      <c r="V5190">
        <v>0.1823362</v>
      </c>
      <c r="W5190">
        <v>0.39066699999999999</v>
      </c>
      <c r="X5190">
        <v>0.90229309999999996</v>
      </c>
      <c r="Y5190">
        <v>0.3038459</v>
      </c>
      <c r="Z5190">
        <v>3.8042680000000002E-2</v>
      </c>
      <c r="AA5190">
        <v>0.95196130000000001</v>
      </c>
      <c r="AB5190">
        <v>33</v>
      </c>
      <c r="AC5190">
        <v>4.3237000000000299</v>
      </c>
      <c r="AD5190">
        <v>-1.1082319999999899</v>
      </c>
      <c r="AE5190">
        <v>-4.0276169999999896</v>
      </c>
      <c r="AF5190">
        <v>1.78390083136025</v>
      </c>
      <c r="AG5190">
        <v>-1.1082319999999899</v>
      </c>
      <c r="AH5190">
        <v>5.4222876986015001</v>
      </c>
      <c r="AI5190">
        <v>100.98714553230499</v>
      </c>
      <c r="AJ5190">
        <v>71.789097855552995</v>
      </c>
      <c r="AK5190">
        <v>5.8147815288587603</v>
      </c>
      <c r="AL5190">
        <v>67.003991947533805</v>
      </c>
      <c r="AM5190">
        <v>78.575472499252399</v>
      </c>
      <c r="AN5190">
        <v>1.0000000165135201</v>
      </c>
    </row>
    <row r="5191" spans="1:40" x14ac:dyDescent="0.25">
      <c r="A5191" t="str">
        <f>"20190304164513421"</f>
        <v>20190304164513421</v>
      </c>
      <c r="B5191" t="str">
        <f>"1551689113414914"</f>
        <v>1551689113414914</v>
      </c>
      <c r="C5191" t="s">
        <v>40</v>
      </c>
      <c r="D5191">
        <v>5.8296519999999896</v>
      </c>
      <c r="E5191">
        <v>0.57165880000000002</v>
      </c>
      <c r="F5191" t="s">
        <v>43</v>
      </c>
      <c r="G5191">
        <v>-309.041</v>
      </c>
      <c r="H5191">
        <v>-0.05</v>
      </c>
      <c r="I5191">
        <v>9.3074650000000005</v>
      </c>
      <c r="J5191">
        <v>-313.35950000000003</v>
      </c>
      <c r="K5191">
        <v>1.057447</v>
      </c>
      <c r="L5191">
        <v>13.39944</v>
      </c>
      <c r="M5191">
        <v>0.90487709999999999</v>
      </c>
      <c r="N5191">
        <v>-2.133295E-2</v>
      </c>
      <c r="O5191">
        <v>-0.42513790000000001</v>
      </c>
      <c r="P5191">
        <v>0.75187440000000005</v>
      </c>
      <c r="Q5191">
        <v>0.37699739999999998</v>
      </c>
      <c r="R5191">
        <v>-0.54088610000000004</v>
      </c>
      <c r="S5191">
        <v>2.5822750000000001</v>
      </c>
      <c r="T5191">
        <v>-0.63988339999999999</v>
      </c>
      <c r="U5191">
        <v>-2.4075009999999999</v>
      </c>
      <c r="V5191">
        <v>0.1824414</v>
      </c>
      <c r="W5191">
        <v>0.39068809999999998</v>
      </c>
      <c r="X5191">
        <v>0.90226269999999997</v>
      </c>
      <c r="Y5191">
        <v>0.30581970000000003</v>
      </c>
      <c r="Z5191">
        <v>3.8838200000000003E-2</v>
      </c>
      <c r="AA5191">
        <v>0.9512969</v>
      </c>
      <c r="AB5191">
        <v>33</v>
      </c>
      <c r="AC5191">
        <v>4.3185000000000198</v>
      </c>
      <c r="AD5191">
        <v>-1.1074469999999901</v>
      </c>
      <c r="AE5191">
        <v>-4.0919749999999997</v>
      </c>
      <c r="AF5191">
        <v>1.8046673484843101</v>
      </c>
      <c r="AG5191">
        <v>-1.1074469999999901</v>
      </c>
      <c r="AH5191">
        <v>5.4594731834143904</v>
      </c>
      <c r="AI5191">
        <v>100.901620436698</v>
      </c>
      <c r="AJ5191">
        <v>71.708332616497799</v>
      </c>
      <c r="AK5191">
        <v>5.8556904406666996</v>
      </c>
      <c r="AL5191">
        <v>67.002678667286503</v>
      </c>
      <c r="AM5191">
        <v>78.568679515767201</v>
      </c>
      <c r="AN5191">
        <v>1.0000000178634201</v>
      </c>
    </row>
    <row r="5192" spans="1:40" x14ac:dyDescent="0.25">
      <c r="A5192" t="str">
        <f>"20190304164513433"</f>
        <v>20190304164513433</v>
      </c>
      <c r="B5192" t="str">
        <f>"1551689113425650"</f>
        <v>1551689113425650</v>
      </c>
      <c r="C5192" t="s">
        <v>40</v>
      </c>
      <c r="D5192">
        <v>5.8800189999999999</v>
      </c>
      <c r="E5192">
        <v>0.57152899999999995</v>
      </c>
      <c r="F5192" t="s">
        <v>43</v>
      </c>
      <c r="G5192">
        <v>-308.91739999999999</v>
      </c>
      <c r="H5192">
        <v>-0.05</v>
      </c>
      <c r="I5192">
        <v>9.1920319999999993</v>
      </c>
      <c r="J5192">
        <v>-313.19839999999999</v>
      </c>
      <c r="K5192">
        <v>1.0566390000000001</v>
      </c>
      <c r="L5192">
        <v>13.31729</v>
      </c>
      <c r="M5192">
        <v>0.90167489999999995</v>
      </c>
      <c r="N5192">
        <v>-2.105655E-2</v>
      </c>
      <c r="O5192">
        <v>-0.4319017</v>
      </c>
      <c r="P5192">
        <v>0.747386199999999</v>
      </c>
      <c r="Q5192">
        <v>0.37734879999999998</v>
      </c>
      <c r="R5192">
        <v>-0.54682900000000001</v>
      </c>
      <c r="S5192">
        <v>2.56366</v>
      </c>
      <c r="T5192">
        <v>-0.63913969999999998</v>
      </c>
      <c r="U5192">
        <v>-2.428223</v>
      </c>
      <c r="V5192">
        <v>0.18294469999999999</v>
      </c>
      <c r="W5192">
        <v>0.39075959999999899</v>
      </c>
      <c r="X5192">
        <v>0.90212979999999998</v>
      </c>
      <c r="Y5192">
        <v>0.30628430000000001</v>
      </c>
      <c r="Z5192">
        <v>4.0052369999999997E-2</v>
      </c>
      <c r="AA5192">
        <v>0.95109710000000003</v>
      </c>
      <c r="AB5192">
        <v>33</v>
      </c>
      <c r="AC5192">
        <v>4.2809999999999997</v>
      </c>
      <c r="AD5192">
        <v>-1.1066389999999999</v>
      </c>
      <c r="AE5192">
        <v>-4.1252579999999899</v>
      </c>
      <c r="AF5192">
        <v>1.80842551725344</v>
      </c>
      <c r="AG5192">
        <v>-1.1066389999999999</v>
      </c>
      <c r="AH5192">
        <v>5.4540510890605196</v>
      </c>
      <c r="AI5192">
        <v>100.901196271638</v>
      </c>
      <c r="AJ5192">
        <v>71.655783463934497</v>
      </c>
      <c r="AK5192">
        <v>5.8516430179785104</v>
      </c>
      <c r="AL5192">
        <v>66.998227863778794</v>
      </c>
      <c r="AM5192">
        <v>78.536333697921705</v>
      </c>
      <c r="AN5192">
        <v>1.00000000214914</v>
      </c>
    </row>
    <row r="5193" spans="1:40" x14ac:dyDescent="0.25">
      <c r="A5193" t="str">
        <f>"20190304164513444"</f>
        <v>20190304164513444</v>
      </c>
      <c r="B5193" t="str">
        <f>"1551689113435411"</f>
        <v>1551689113435411</v>
      </c>
      <c r="C5193" t="s">
        <v>40</v>
      </c>
      <c r="D5193">
        <v>5.2284420000000003</v>
      </c>
      <c r="E5193">
        <v>0.57152899999999995</v>
      </c>
      <c r="F5193" t="s">
        <v>43</v>
      </c>
      <c r="G5193">
        <v>-308.79070000000002</v>
      </c>
      <c r="H5193">
        <v>-0.05</v>
      </c>
      <c r="I5193">
        <v>9.0745539999999991</v>
      </c>
      <c r="J5193">
        <v>-313.04930000000002</v>
      </c>
      <c r="K5193">
        <v>1.0559369999999999</v>
      </c>
      <c r="L5193">
        <v>13.238829999999901</v>
      </c>
      <c r="M5193">
        <v>0.89859659999999997</v>
      </c>
      <c r="N5193">
        <v>-2.0808779999999999E-2</v>
      </c>
      <c r="O5193">
        <v>-0.4382819</v>
      </c>
      <c r="P5193">
        <v>0.74287069999999999</v>
      </c>
      <c r="Q5193">
        <v>0.37800319999999998</v>
      </c>
      <c r="R5193">
        <v>-0.55250049999999995</v>
      </c>
      <c r="S5193">
        <v>2.5445250000000001</v>
      </c>
      <c r="T5193">
        <v>-0.63885819999999904</v>
      </c>
      <c r="U5193">
        <v>-2.4493100000000001</v>
      </c>
      <c r="V5193">
        <v>0.18362310000000001</v>
      </c>
      <c r="W5193">
        <v>0.39114189999999999</v>
      </c>
      <c r="X5193">
        <v>0.90182629999999997</v>
      </c>
      <c r="Y5193">
        <v>0.30727910000000003</v>
      </c>
      <c r="Z5193">
        <v>4.117096E-2</v>
      </c>
      <c r="AA5193">
        <v>0.95072840000000003</v>
      </c>
      <c r="AB5193">
        <v>33</v>
      </c>
      <c r="AC5193">
        <v>4.2586000000000004</v>
      </c>
      <c r="AD5193">
        <v>-1.1059369999999999</v>
      </c>
      <c r="AE5193">
        <v>-4.1642759999999903</v>
      </c>
      <c r="AF5193">
        <v>1.81342385723648</v>
      </c>
      <c r="AG5193">
        <v>-1.1059369999999999</v>
      </c>
      <c r="AH5193">
        <v>5.4647137917700697</v>
      </c>
      <c r="AI5193">
        <v>100.872847605812</v>
      </c>
      <c r="AJ5193">
        <v>71.641966195218998</v>
      </c>
      <c r="AK5193">
        <v>5.8629940781076497</v>
      </c>
      <c r="AL5193">
        <v>66.974430839027093</v>
      </c>
      <c r="AM5193">
        <v>78.491186752781005</v>
      </c>
      <c r="AN5193">
        <v>1.00000005208045</v>
      </c>
    </row>
    <row r="5194" spans="1:40" x14ac:dyDescent="0.25">
      <c r="A5194" t="str">
        <f>"20190304164513457"</f>
        <v>20190304164513457</v>
      </c>
      <c r="B5194" t="str">
        <f>"1551689113444917"</f>
        <v>1551689113444917</v>
      </c>
      <c r="C5194" t="s">
        <v>40</v>
      </c>
      <c r="D5194">
        <v>5.8067000000000002</v>
      </c>
      <c r="E5194">
        <v>0.57146989999999998</v>
      </c>
      <c r="F5194" t="s">
        <v>43</v>
      </c>
      <c r="G5194">
        <v>-308.66039999999998</v>
      </c>
      <c r="H5194">
        <v>-0.05</v>
      </c>
      <c r="I5194">
        <v>8.9493709999999993</v>
      </c>
      <c r="J5194">
        <v>-312.8904</v>
      </c>
      <c r="K5194">
        <v>1.0552049999999999</v>
      </c>
      <c r="L5194">
        <v>13.15451</v>
      </c>
      <c r="M5194">
        <v>0.89524479999999995</v>
      </c>
      <c r="N5194">
        <v>-2.0547610000000001E-2</v>
      </c>
      <c r="O5194">
        <v>-0.44510050000000001</v>
      </c>
      <c r="P5194">
        <v>0.73788469999999995</v>
      </c>
      <c r="Q5194">
        <v>0.37880950000000002</v>
      </c>
      <c r="R5194">
        <v>-0.55859639999999999</v>
      </c>
      <c r="S5194">
        <v>2.5260929999999999</v>
      </c>
      <c r="T5194">
        <v>-0.63654140000000003</v>
      </c>
      <c r="U5194">
        <v>-2.4688720000000002</v>
      </c>
      <c r="V5194">
        <v>0.18444759999999999</v>
      </c>
      <c r="W5194">
        <v>0.39165529999999998</v>
      </c>
      <c r="X5194">
        <v>0.90143510000000004</v>
      </c>
      <c r="Y5194">
        <v>0.30737009999999998</v>
      </c>
      <c r="Z5194">
        <v>4.2298910000000002E-2</v>
      </c>
      <c r="AA5194">
        <v>0.95064950000000004</v>
      </c>
      <c r="AB5194">
        <v>33</v>
      </c>
      <c r="AC5194">
        <v>4.2300000000000102</v>
      </c>
      <c r="AD5194">
        <v>-1.105205</v>
      </c>
      <c r="AE5194">
        <v>-4.2051389999999902</v>
      </c>
      <c r="AF5194">
        <v>1.8197707384044</v>
      </c>
      <c r="AG5194">
        <v>-1.105205</v>
      </c>
      <c r="AH5194">
        <v>5.4719160755788403</v>
      </c>
      <c r="AI5194">
        <v>100.849568541452</v>
      </c>
      <c r="AJ5194">
        <v>71.604652347239806</v>
      </c>
      <c r="AK5194">
        <v>5.8715338005120996</v>
      </c>
      <c r="AL5194">
        <v>66.942464095360805</v>
      </c>
      <c r="AM5194">
        <v>78.436016734823397</v>
      </c>
      <c r="AN5194">
        <v>1.00000001533792</v>
      </c>
    </row>
    <row r="5195" spans="1:40" x14ac:dyDescent="0.25">
      <c r="A5195" t="str">
        <f>"20190304164513471"</f>
        <v>20190304164513471</v>
      </c>
      <c r="B5195" t="str">
        <f>"1551689113465397"</f>
        <v>1551689113465397</v>
      </c>
      <c r="C5195" t="s">
        <v>40</v>
      </c>
      <c r="D5195">
        <v>5.6447250000000002</v>
      </c>
      <c r="E5195">
        <v>0.57151200000000002</v>
      </c>
      <c r="F5195" t="s">
        <v>43</v>
      </c>
      <c r="G5195">
        <v>-308.52280000000002</v>
      </c>
      <c r="H5195">
        <v>-0.05</v>
      </c>
      <c r="I5195">
        <v>8.8193509999999993</v>
      </c>
      <c r="J5195">
        <v>-312.70580000000001</v>
      </c>
      <c r="K5195">
        <v>1.054403</v>
      </c>
      <c r="L5195">
        <v>13.0542</v>
      </c>
      <c r="M5195">
        <v>0.89121039999999996</v>
      </c>
      <c r="N5195">
        <v>-2.0256349999999999E-2</v>
      </c>
      <c r="O5195">
        <v>-0.45313799999999999</v>
      </c>
      <c r="P5195">
        <v>0.73204250000000004</v>
      </c>
      <c r="Q5195">
        <v>0.37983519999999998</v>
      </c>
      <c r="R5195">
        <v>-0.56554359999999904</v>
      </c>
      <c r="S5195">
        <v>2.507355</v>
      </c>
      <c r="T5195">
        <v>-0.634486199999999</v>
      </c>
      <c r="U5195">
        <v>-2.4887700000000001</v>
      </c>
      <c r="V5195">
        <v>0.18519469999999999</v>
      </c>
      <c r="W5195">
        <v>0.39235229999999999</v>
      </c>
      <c r="X5195">
        <v>0.90097870000000002</v>
      </c>
      <c r="Y5195">
        <v>0.30628480000000002</v>
      </c>
      <c r="Z5195">
        <v>4.378232E-2</v>
      </c>
      <c r="AA5195">
        <v>0.95093260000000002</v>
      </c>
      <c r="AB5195">
        <v>33</v>
      </c>
      <c r="AC5195">
        <v>4.1829999999999901</v>
      </c>
      <c r="AD5195">
        <v>-1.104403</v>
      </c>
      <c r="AE5195">
        <v>-4.2348489999999996</v>
      </c>
      <c r="AF5195">
        <v>1.8165178959478501</v>
      </c>
      <c r="AG5195">
        <v>-1.104403</v>
      </c>
      <c r="AH5195">
        <v>5.4601012874897297</v>
      </c>
      <c r="AI5195">
        <v>100.86439099723999</v>
      </c>
      <c r="AJ5195">
        <v>71.598262079732294</v>
      </c>
      <c r="AK5195">
        <v>5.8593642421644097</v>
      </c>
      <c r="AL5195">
        <v>66.899054491061193</v>
      </c>
      <c r="AM5195">
        <v>78.384725082263699</v>
      </c>
      <c r="AN5195">
        <v>1.0000000110385301</v>
      </c>
    </row>
    <row r="5196" spans="1:40" x14ac:dyDescent="0.25">
      <c r="A5196" t="str">
        <f>"20190304164513485"</f>
        <v>20190304164513485</v>
      </c>
      <c r="B5196" t="str">
        <f>"1551689113475157"</f>
        <v>1551689113475157</v>
      </c>
      <c r="C5196" t="s">
        <v>40</v>
      </c>
      <c r="D5196">
        <v>5.6549630000000004</v>
      </c>
      <c r="E5196">
        <v>0.57155869999999998</v>
      </c>
      <c r="F5196" t="s">
        <v>43</v>
      </c>
      <c r="G5196">
        <v>-308.34870000000001</v>
      </c>
      <c r="H5196">
        <v>-0.05</v>
      </c>
      <c r="I5196">
        <v>8.6463009999999993</v>
      </c>
      <c r="J5196">
        <v>-312.51819999999998</v>
      </c>
      <c r="K5196">
        <v>1.053652</v>
      </c>
      <c r="L5196">
        <v>12.949680000000001</v>
      </c>
      <c r="M5196">
        <v>0.88695020000000002</v>
      </c>
      <c r="N5196">
        <v>-1.9975489999999999E-2</v>
      </c>
      <c r="O5196">
        <v>-0.46143319999999999</v>
      </c>
      <c r="P5196">
        <v>0.72579309999999997</v>
      </c>
      <c r="Q5196">
        <v>0.38206990000000002</v>
      </c>
      <c r="R5196">
        <v>-0.5720556</v>
      </c>
      <c r="S5196">
        <v>2.4836429999999998</v>
      </c>
      <c r="T5196">
        <v>-0.62952529999999995</v>
      </c>
      <c r="U5196">
        <v>-2.5125730000000002</v>
      </c>
      <c r="V5196">
        <v>0.18551039999999999</v>
      </c>
      <c r="W5196">
        <v>0.39427210000000001</v>
      </c>
      <c r="X5196">
        <v>0.90007530000000002</v>
      </c>
      <c r="Y5196">
        <v>0.3065425</v>
      </c>
      <c r="Z5196">
        <v>4.4922410000000003E-2</v>
      </c>
      <c r="AA5196">
        <v>0.95079639999999999</v>
      </c>
      <c r="AB5196">
        <v>33</v>
      </c>
      <c r="AC5196">
        <v>4.16949999999997</v>
      </c>
      <c r="AD5196">
        <v>-1.1036520000000001</v>
      </c>
      <c r="AE5196">
        <v>-4.3033789999999996</v>
      </c>
      <c r="AF5196">
        <v>1.8311909218779201</v>
      </c>
      <c r="AG5196">
        <v>-1.1036520000000001</v>
      </c>
      <c r="AH5196">
        <v>5.4984574479653299</v>
      </c>
      <c r="AI5196">
        <v>100.78212562277101</v>
      </c>
      <c r="AJ5196">
        <v>71.580322544173598</v>
      </c>
      <c r="AK5196">
        <v>5.8995205090377896</v>
      </c>
      <c r="AL5196">
        <v>66.779417222345799</v>
      </c>
      <c r="AM5196">
        <v>78.354105319507099</v>
      </c>
      <c r="AN5196">
        <v>1.0000000715083199</v>
      </c>
    </row>
    <row r="5197" spans="1:40" x14ac:dyDescent="0.25">
      <c r="A5197" t="str">
        <f>"20190304164513507"</f>
        <v>20190304164513507</v>
      </c>
      <c r="B5197" t="str">
        <f>"1551689113495653"</f>
        <v>1551689113495653</v>
      </c>
      <c r="C5197" t="s">
        <v>40</v>
      </c>
      <c r="D5197">
        <v>5.2875860000000001</v>
      </c>
      <c r="E5197">
        <v>0.57146470000000005</v>
      </c>
      <c r="F5197" t="s">
        <v>43</v>
      </c>
      <c r="G5197">
        <v>-308.14049999999997</v>
      </c>
      <c r="H5197">
        <v>-0.05</v>
      </c>
      <c r="I5197">
        <v>8.4283289999999997</v>
      </c>
      <c r="J5197">
        <v>-312.23360000000002</v>
      </c>
      <c r="K5197">
        <v>1.0525910000000001</v>
      </c>
      <c r="L5197">
        <v>12.786960000000001</v>
      </c>
      <c r="M5197">
        <v>0.88019449999999999</v>
      </c>
      <c r="N5197">
        <v>-1.957354E-2</v>
      </c>
      <c r="O5197">
        <v>-0.47420950000000001</v>
      </c>
      <c r="P5197">
        <v>0.71677880000000005</v>
      </c>
      <c r="Q5197">
        <v>0.38430609999999998</v>
      </c>
      <c r="R5197">
        <v>-0.58183960000000001</v>
      </c>
      <c r="S5197">
        <v>2.458405</v>
      </c>
      <c r="T5197">
        <v>-0.61978639999999996</v>
      </c>
      <c r="U5197">
        <v>-2.5390929999999998</v>
      </c>
      <c r="V5197">
        <v>0.18543770000000001</v>
      </c>
      <c r="W5197">
        <v>0.39607989999999998</v>
      </c>
      <c r="X5197">
        <v>0.89929619999999999</v>
      </c>
      <c r="Y5197">
        <v>0.30280970000000001</v>
      </c>
      <c r="Z5197">
        <v>4.6791199999999998E-2</v>
      </c>
      <c r="AA5197">
        <v>0.95190169999999996</v>
      </c>
      <c r="AB5197">
        <v>33</v>
      </c>
      <c r="AC5197">
        <v>4.0931000000000397</v>
      </c>
      <c r="AD5197">
        <v>-1.1025909999999901</v>
      </c>
      <c r="AE5197">
        <v>-4.3586309999999999</v>
      </c>
      <c r="AF5197">
        <v>1.8334725030839101</v>
      </c>
      <c r="AG5197">
        <v>-1.1025909999999901</v>
      </c>
      <c r="AH5197">
        <v>5.4842248758057304</v>
      </c>
      <c r="AI5197">
        <v>100.795248536636</v>
      </c>
      <c r="AJ5197">
        <v>71.514314993750801</v>
      </c>
      <c r="AK5197">
        <v>5.8867691326611604</v>
      </c>
      <c r="AL5197">
        <v>66.666659334546694</v>
      </c>
      <c r="AM5197">
        <v>78.348734780280495</v>
      </c>
      <c r="AN5197">
        <v>1.00000004154986</v>
      </c>
    </row>
    <row r="5198" spans="1:40" x14ac:dyDescent="0.25">
      <c r="A5198" t="str">
        <f>"20190304164513528"</f>
        <v>20190304164513528</v>
      </c>
      <c r="B5198" t="str">
        <f>"1551689113524933"</f>
        <v>1551689113524933</v>
      </c>
      <c r="C5198" t="s">
        <v>40</v>
      </c>
      <c r="D5198">
        <v>5.6234339999999996</v>
      </c>
      <c r="E5198">
        <v>0.57094800000000001</v>
      </c>
      <c r="F5198" t="s">
        <v>43</v>
      </c>
      <c r="G5198">
        <v>-307.86799999999999</v>
      </c>
      <c r="H5198">
        <v>-0.05</v>
      </c>
      <c r="I5198">
        <v>8.1443019999999997</v>
      </c>
      <c r="J5198">
        <v>-311.95159999999998</v>
      </c>
      <c r="K5198">
        <v>1.051655</v>
      </c>
      <c r="L5198">
        <v>12.62006</v>
      </c>
      <c r="M5198">
        <v>0.87311909999999904</v>
      </c>
      <c r="N5198">
        <v>-1.9208409999999999E-2</v>
      </c>
      <c r="O5198">
        <v>-0.48712879999999997</v>
      </c>
      <c r="P5198">
        <v>0.70780810000000005</v>
      </c>
      <c r="Q5198">
        <v>0.38409500000000002</v>
      </c>
      <c r="R5198">
        <v>-0.59285710000000003</v>
      </c>
      <c r="S5198">
        <v>2.4223020000000002</v>
      </c>
      <c r="T5198">
        <v>-0.61178779999999999</v>
      </c>
      <c r="U5198">
        <v>-2.57605</v>
      </c>
      <c r="V5198">
        <v>0.18614910000000001</v>
      </c>
      <c r="W5198">
        <v>0.39546419999999999</v>
      </c>
      <c r="X5198">
        <v>0.89942009999999994</v>
      </c>
      <c r="Y5198">
        <v>0.30279790000000001</v>
      </c>
      <c r="Z5198">
        <v>4.841314E-2</v>
      </c>
      <c r="AA5198">
        <v>0.95182440000000001</v>
      </c>
      <c r="AB5198">
        <v>33</v>
      </c>
      <c r="AC5198">
        <v>4.0835999999999899</v>
      </c>
      <c r="AD5198">
        <v>-1.1016549999999901</v>
      </c>
      <c r="AE5198">
        <v>-4.4757579999999999</v>
      </c>
      <c r="AF5198">
        <v>1.8575694769684801</v>
      </c>
      <c r="AG5198">
        <v>-1.1016549999999901</v>
      </c>
      <c r="AH5198">
        <v>5.5628794186797599</v>
      </c>
      <c r="AI5198">
        <v>100.638529314881</v>
      </c>
      <c r="AJ5198">
        <v>71.534685893096693</v>
      </c>
      <c r="AK5198">
        <v>5.9673977182320304</v>
      </c>
      <c r="AL5198">
        <v>66.705071056451999</v>
      </c>
      <c r="AM5198">
        <v>78.306832251595495</v>
      </c>
      <c r="AN5198">
        <v>0.99999996859822904</v>
      </c>
    </row>
    <row r="5199" spans="1:40" x14ac:dyDescent="0.25">
      <c r="A5199" t="str">
        <f>"20190304164513543"</f>
        <v>20190304164513543</v>
      </c>
      <c r="B5199" t="str">
        <f>"1551689113535669"</f>
        <v>1551689113535669</v>
      </c>
      <c r="C5199" t="s">
        <v>40</v>
      </c>
      <c r="D5199">
        <v>5.648752</v>
      </c>
      <c r="E5199">
        <v>0.57081280000000001</v>
      </c>
      <c r="F5199" t="s">
        <v>43</v>
      </c>
      <c r="G5199">
        <v>-307.68650000000002</v>
      </c>
      <c r="H5199">
        <v>-0.05</v>
      </c>
      <c r="I5199">
        <v>7.9576570000000002</v>
      </c>
      <c r="J5199">
        <v>-311.76510000000002</v>
      </c>
      <c r="K5199">
        <v>1.0510980000000001</v>
      </c>
      <c r="L5199">
        <v>12.506349999999999</v>
      </c>
      <c r="M5199">
        <v>0.868220199999999</v>
      </c>
      <c r="N5199">
        <v>-1.8986429999999999E-2</v>
      </c>
      <c r="O5199">
        <v>-0.49581570000000003</v>
      </c>
      <c r="P5199">
        <v>0.70188779999999995</v>
      </c>
      <c r="Q5199">
        <v>0.3837255</v>
      </c>
      <c r="R5199">
        <v>-0.60009040000000002</v>
      </c>
      <c r="S5199">
        <v>2.387238</v>
      </c>
      <c r="T5199">
        <v>-0.6166083</v>
      </c>
      <c r="U5199">
        <v>-2.6095890000000002</v>
      </c>
      <c r="V5199">
        <v>0.1863689</v>
      </c>
      <c r="W5199">
        <v>0.3948566</v>
      </c>
      <c r="X5199">
        <v>0.89964149999999998</v>
      </c>
      <c r="Y5199">
        <v>0.30641829999999998</v>
      </c>
      <c r="Z5199">
        <v>5.0160940000000001E-2</v>
      </c>
      <c r="AA5199">
        <v>0.95057440000000004</v>
      </c>
      <c r="AB5199">
        <v>33</v>
      </c>
      <c r="AC5199">
        <v>4.07859999999999</v>
      </c>
      <c r="AD5199">
        <v>-1.1010979999999999</v>
      </c>
      <c r="AE5199">
        <v>-4.5486929999999903</v>
      </c>
      <c r="AF5199">
        <v>1.8667446933444001</v>
      </c>
      <c r="AG5199">
        <v>-1.1010979999999999</v>
      </c>
      <c r="AH5199">
        <v>5.6150908787158098</v>
      </c>
      <c r="AI5199">
        <v>100.541169447282</v>
      </c>
      <c r="AJ5199">
        <v>71.610542353562494</v>
      </c>
      <c r="AK5199">
        <v>6.0188369417995498</v>
      </c>
      <c r="AL5199">
        <v>66.742968265527693</v>
      </c>
      <c r="AM5199">
        <v>78.296207597713305</v>
      </c>
      <c r="AN5199">
        <v>0.999999964986509</v>
      </c>
    </row>
    <row r="5200" spans="1:40" x14ac:dyDescent="0.25">
      <c r="A5200" t="str">
        <f>"20190304164513557"</f>
        <v>20190304164513557</v>
      </c>
      <c r="B5200" t="str">
        <f>"1551689113545066"</f>
        <v>1551689113545066</v>
      </c>
      <c r="C5200" t="s">
        <v>40</v>
      </c>
      <c r="D5200">
        <v>5.6297750000000004</v>
      </c>
      <c r="E5200">
        <v>0.57076000000000005</v>
      </c>
      <c r="F5200" t="s">
        <v>43</v>
      </c>
      <c r="G5200">
        <v>-307.56360000000001</v>
      </c>
      <c r="H5200">
        <v>-0.05</v>
      </c>
      <c r="I5200">
        <v>7.8221439999999998</v>
      </c>
      <c r="J5200">
        <v>-311.58030000000002</v>
      </c>
      <c r="K5200">
        <v>1.0505789999999999</v>
      </c>
      <c r="L5200">
        <v>12.39133</v>
      </c>
      <c r="M5200">
        <v>0.8631993</v>
      </c>
      <c r="N5200">
        <v>-1.8778079999999999E-2</v>
      </c>
      <c r="O5200">
        <v>-0.50451400000000002</v>
      </c>
      <c r="P5200">
        <v>0.69583229999999996</v>
      </c>
      <c r="Q5200">
        <v>0.3825924</v>
      </c>
      <c r="R5200">
        <v>-0.60781619999999903</v>
      </c>
      <c r="S5200">
        <v>2.3615719999999998</v>
      </c>
      <c r="T5200">
        <v>-0.61890069999999997</v>
      </c>
      <c r="U5200">
        <v>-2.6328740000000002</v>
      </c>
      <c r="V5200">
        <v>0.18700459999999999</v>
      </c>
      <c r="W5200">
        <v>0.393488</v>
      </c>
      <c r="X5200">
        <v>0.90010919999999905</v>
      </c>
      <c r="Y5200">
        <v>0.306282</v>
      </c>
      <c r="Z5200">
        <v>5.2024550000000003E-2</v>
      </c>
      <c r="AA5200">
        <v>0.95051819999999998</v>
      </c>
      <c r="AB5200">
        <v>33</v>
      </c>
      <c r="AC5200">
        <v>4.0167000000000099</v>
      </c>
      <c r="AD5200">
        <v>-1.100579</v>
      </c>
      <c r="AE5200">
        <v>-4.5691859999999904</v>
      </c>
      <c r="AF5200">
        <v>1.85719433346981</v>
      </c>
      <c r="AG5200">
        <v>-1.100579</v>
      </c>
      <c r="AH5200">
        <v>5.5904883406091397</v>
      </c>
      <c r="AI5200">
        <v>100.582394475944</v>
      </c>
      <c r="AJ5200">
        <v>71.623197918138203</v>
      </c>
      <c r="AK5200">
        <v>5.9928294497674504</v>
      </c>
      <c r="AL5200">
        <v>66.828293399258598</v>
      </c>
      <c r="AM5200">
        <v>78.2633251679149</v>
      </c>
      <c r="AN5200">
        <v>1.0000000492448899</v>
      </c>
    </row>
    <row r="5201" spans="1:40" x14ac:dyDescent="0.25">
      <c r="A5201" t="str">
        <f>"20190304164513572"</f>
        <v>20190304164513572</v>
      </c>
      <c r="B5201" t="str">
        <f>"1551689113565550"</f>
        <v>1551689113565550</v>
      </c>
      <c r="C5201" t="s">
        <v>40</v>
      </c>
      <c r="D5201">
        <v>5.6893750000000001</v>
      </c>
      <c r="E5201">
        <v>0.57054709999999997</v>
      </c>
      <c r="F5201" t="s">
        <v>43</v>
      </c>
      <c r="G5201">
        <v>-307.45670000000001</v>
      </c>
      <c r="H5201">
        <v>-0.05</v>
      </c>
      <c r="I5201">
        <v>7.6983179999999898</v>
      </c>
      <c r="J5201">
        <v>-311.37599999999998</v>
      </c>
      <c r="K5201">
        <v>1.0500510000000001</v>
      </c>
      <c r="L5201">
        <v>12.26117</v>
      </c>
      <c r="M5201">
        <v>0.85744500000000001</v>
      </c>
      <c r="N5201">
        <v>-1.856439E-2</v>
      </c>
      <c r="O5201">
        <v>-0.51424060000000005</v>
      </c>
      <c r="P5201">
        <v>0.68886380000000003</v>
      </c>
      <c r="Q5201">
        <v>0.38018439999999998</v>
      </c>
      <c r="R5201">
        <v>-0.61719269999999904</v>
      </c>
      <c r="S5201">
        <v>2.333771</v>
      </c>
      <c r="T5201">
        <v>-0.62288710000000003</v>
      </c>
      <c r="U5201">
        <v>-2.6560670000000002</v>
      </c>
      <c r="V5201">
        <v>0.18835489999999999</v>
      </c>
      <c r="W5201">
        <v>0.39081840000000001</v>
      </c>
      <c r="X5201">
        <v>0.90099019999999996</v>
      </c>
      <c r="Y5201">
        <v>0.30539050000000001</v>
      </c>
      <c r="Z5201">
        <v>5.4353190000000003E-2</v>
      </c>
      <c r="AA5201">
        <v>0.95067469999999998</v>
      </c>
      <c r="AB5201">
        <v>33</v>
      </c>
      <c r="AC5201">
        <v>3.9192999999999598</v>
      </c>
      <c r="AD5201">
        <v>-1.1000509999999999</v>
      </c>
      <c r="AE5201">
        <v>-4.5628519999999897</v>
      </c>
      <c r="AF5201">
        <v>1.83585550367299</v>
      </c>
      <c r="AG5201">
        <v>-1.1000509999999999</v>
      </c>
      <c r="AH5201">
        <v>5.5232387122221596</v>
      </c>
      <c r="AI5201">
        <v>100.70269476730201</v>
      </c>
      <c r="AJ5201">
        <v>71.613838076238295</v>
      </c>
      <c r="AK5201">
        <v>5.9233979695067696</v>
      </c>
      <c r="AL5201">
        <v>66.994566930781303</v>
      </c>
      <c r="AM5201">
        <v>78.192186183241006</v>
      </c>
      <c r="AN5201">
        <v>0.99999996531430402</v>
      </c>
    </row>
    <row r="5202" spans="1:40" x14ac:dyDescent="0.25">
      <c r="A5202" t="str">
        <f>"20190304164513586"</f>
        <v>20190304164513586</v>
      </c>
      <c r="B5202" t="str">
        <f>"1551689113575310"</f>
        <v>1551689113575310</v>
      </c>
      <c r="C5202" t="s">
        <v>40</v>
      </c>
      <c r="D5202">
        <v>5.3180310000000004</v>
      </c>
      <c r="E5202">
        <v>0.57054709999999997</v>
      </c>
      <c r="F5202" t="s">
        <v>43</v>
      </c>
      <c r="G5202">
        <v>-307.37349999999998</v>
      </c>
      <c r="H5202">
        <v>-0.05</v>
      </c>
      <c r="I5202">
        <v>7.6052860000000004</v>
      </c>
      <c r="J5202">
        <v>-311.22250000000003</v>
      </c>
      <c r="K5202">
        <v>1.049696</v>
      </c>
      <c r="L5202">
        <v>12.160310000000001</v>
      </c>
      <c r="M5202">
        <v>0.85294820000000005</v>
      </c>
      <c r="N5202">
        <v>-1.8418179999999999E-2</v>
      </c>
      <c r="O5202">
        <v>-0.52167059999999998</v>
      </c>
      <c r="P5202">
        <v>0.68324669999999998</v>
      </c>
      <c r="Q5202">
        <v>0.37912839999999998</v>
      </c>
      <c r="R5202">
        <v>-0.62404789999999999</v>
      </c>
      <c r="S5202">
        <v>2.3035890000000001</v>
      </c>
      <c r="T5202">
        <v>-0.63312029999999997</v>
      </c>
      <c r="U5202">
        <v>-2.6796259999999998</v>
      </c>
      <c r="V5202">
        <v>0.18925639999999999</v>
      </c>
      <c r="W5202">
        <v>0.38957809999999998</v>
      </c>
      <c r="X5202">
        <v>0.90133839999999998</v>
      </c>
      <c r="Y5202">
        <v>0.30750809999999901</v>
      </c>
      <c r="Z5202">
        <v>5.6682030000000001E-2</v>
      </c>
      <c r="AA5202">
        <v>0.94985569999999997</v>
      </c>
      <c r="AB5202">
        <v>33</v>
      </c>
      <c r="AC5202">
        <v>3.8490000000000402</v>
      </c>
      <c r="AD5202">
        <v>-1.099696</v>
      </c>
      <c r="AE5202">
        <v>-4.5550239999999897</v>
      </c>
      <c r="AF5202">
        <v>1.8158590134353201</v>
      </c>
      <c r="AG5202">
        <v>-1.099696</v>
      </c>
      <c r="AH5202">
        <v>5.4740335949482004</v>
      </c>
      <c r="AI5202">
        <v>100.79534250269199</v>
      </c>
      <c r="AJ5202">
        <v>71.648166167731603</v>
      </c>
      <c r="AK5202">
        <v>5.8712621341336604</v>
      </c>
      <c r="AL5202">
        <v>67.071749804520294</v>
      </c>
      <c r="AM5202">
        <v>78.141722493936996</v>
      </c>
      <c r="AN5202">
        <v>0.99999999612756496</v>
      </c>
    </row>
    <row r="5203" spans="1:40" x14ac:dyDescent="0.25">
      <c r="A5203" t="str">
        <f>"20190304164513598"</f>
        <v>20190304164513598</v>
      </c>
      <c r="B5203" t="str">
        <f>"1551689113595806"</f>
        <v>1551689113595806</v>
      </c>
      <c r="C5203" t="s">
        <v>40</v>
      </c>
      <c r="D5203">
        <v>5.6038589999999999</v>
      </c>
      <c r="E5203">
        <v>0.5702313</v>
      </c>
      <c r="F5203" t="s">
        <v>43</v>
      </c>
      <c r="G5203">
        <v>-307.2921</v>
      </c>
      <c r="H5203">
        <v>-0.05</v>
      </c>
      <c r="I5203">
        <v>7.5042419999999996</v>
      </c>
      <c r="J5203">
        <v>-311.05770000000001</v>
      </c>
      <c r="K5203">
        <v>1.049334</v>
      </c>
      <c r="L5203">
        <v>12.05072</v>
      </c>
      <c r="M5203">
        <v>0.84800699999999996</v>
      </c>
      <c r="N5203">
        <v>-1.8266859999999999E-2</v>
      </c>
      <c r="O5203">
        <v>-0.52967039999999999</v>
      </c>
      <c r="P5203">
        <v>0.67747659999999998</v>
      </c>
      <c r="Q5203">
        <v>0.37822090000000003</v>
      </c>
      <c r="R5203">
        <v>-0.63085210000000003</v>
      </c>
      <c r="S5203">
        <v>2.27887</v>
      </c>
      <c r="T5203">
        <v>-0.63761690000000004</v>
      </c>
      <c r="U5203">
        <v>-2.699646</v>
      </c>
      <c r="V5203">
        <v>0.1895597</v>
      </c>
      <c r="W5203">
        <v>0.38850069999999998</v>
      </c>
      <c r="X5203">
        <v>0.90173970000000003</v>
      </c>
      <c r="Y5203">
        <v>0.30722759999999999</v>
      </c>
      <c r="Z5203">
        <v>5.8733689999999998E-2</v>
      </c>
      <c r="AA5203">
        <v>0.9498219</v>
      </c>
      <c r="AB5203">
        <v>33</v>
      </c>
      <c r="AC5203">
        <v>3.7656000000000001</v>
      </c>
      <c r="AD5203">
        <v>-1.099334</v>
      </c>
      <c r="AE5203">
        <v>-4.5464779999999996</v>
      </c>
      <c r="AF5203">
        <v>1.7988481527270299</v>
      </c>
      <c r="AG5203">
        <v>-1.099334</v>
      </c>
      <c r="AH5203">
        <v>5.4145579406601501</v>
      </c>
      <c r="AI5203">
        <v>100.905987783215</v>
      </c>
      <c r="AJ5203">
        <v>71.622254719847803</v>
      </c>
      <c r="AK5203">
        <v>5.8104928889803604</v>
      </c>
      <c r="AL5203">
        <v>67.138761239119603</v>
      </c>
      <c r="AM5203">
        <v>78.128393347731503</v>
      </c>
      <c r="AN5203">
        <v>1.0000000801603299</v>
      </c>
    </row>
    <row r="5204" spans="1:40" x14ac:dyDescent="0.25">
      <c r="A5204" t="str">
        <f>"20190304164513611"</f>
        <v>20190304164513611</v>
      </c>
      <c r="B5204" t="str">
        <f>"1551689113605566"</f>
        <v>1551689113605566</v>
      </c>
      <c r="C5204" t="s">
        <v>40</v>
      </c>
      <c r="D5204">
        <v>5.5780070000000004</v>
      </c>
      <c r="E5204">
        <v>0.57009840000000001</v>
      </c>
      <c r="F5204" t="s">
        <v>43</v>
      </c>
      <c r="G5204">
        <v>-307.19639999999998</v>
      </c>
      <c r="H5204">
        <v>-0.05</v>
      </c>
      <c r="I5204">
        <v>7.3949429999999996</v>
      </c>
      <c r="J5204">
        <v>-310.899</v>
      </c>
      <c r="K5204">
        <v>1.049013</v>
      </c>
      <c r="L5204">
        <v>11.94299</v>
      </c>
      <c r="M5204">
        <v>0.84310569999999896</v>
      </c>
      <c r="N5204">
        <v>-1.8130179999999999E-2</v>
      </c>
      <c r="O5204">
        <v>-0.53744209999999903</v>
      </c>
      <c r="P5204">
        <v>0.67189370000000004</v>
      </c>
      <c r="Q5204">
        <v>0.37699860000000002</v>
      </c>
      <c r="R5204">
        <v>-0.63751939999999996</v>
      </c>
      <c r="S5204">
        <v>2.254883</v>
      </c>
      <c r="T5204">
        <v>-0.64197890000000002</v>
      </c>
      <c r="U5204">
        <v>-2.718842</v>
      </c>
      <c r="V5204">
        <v>0.18983729999999999</v>
      </c>
      <c r="W5204">
        <v>0.38712669999999999</v>
      </c>
      <c r="X5204">
        <v>0.90227199999999996</v>
      </c>
      <c r="Y5204">
        <v>0.30685889999999999</v>
      </c>
      <c r="Z5204">
        <v>6.0752109999999998E-2</v>
      </c>
      <c r="AA5204">
        <v>0.94981409999999999</v>
      </c>
      <c r="AB5204">
        <v>33</v>
      </c>
      <c r="AC5204">
        <v>3.7026000000000101</v>
      </c>
      <c r="AD5204">
        <v>-1.099013</v>
      </c>
      <c r="AE5204">
        <v>-4.5480470000000004</v>
      </c>
      <c r="AF5204">
        <v>1.7822658481109701</v>
      </c>
      <c r="AG5204">
        <v>-1.099013</v>
      </c>
      <c r="AH5204">
        <v>5.3780468698080304</v>
      </c>
      <c r="AI5204">
        <v>100.977756983297</v>
      </c>
      <c r="AJ5204">
        <v>71.664984869194001</v>
      </c>
      <c r="AK5204">
        <v>5.7712814228179603</v>
      </c>
      <c r="AL5204">
        <v>67.224168521233196</v>
      </c>
      <c r="AM5204">
        <v>78.1183166606491</v>
      </c>
      <c r="AN5204">
        <v>1.0000000221540799</v>
      </c>
    </row>
    <row r="5205" spans="1:40" x14ac:dyDescent="0.25">
      <c r="A5205" t="str">
        <f>"20190304164513623"</f>
        <v>20190304164513623</v>
      </c>
      <c r="B5205" t="str">
        <f>"1551689113615326"</f>
        <v>1551689113615326</v>
      </c>
      <c r="C5205" t="s">
        <v>40</v>
      </c>
      <c r="D5205">
        <v>5.5508660000000001</v>
      </c>
      <c r="E5205">
        <v>0.57000640000000002</v>
      </c>
      <c r="F5205" t="s">
        <v>43</v>
      </c>
      <c r="G5205">
        <v>-307.11309999999997</v>
      </c>
      <c r="H5205">
        <v>-0.05</v>
      </c>
      <c r="I5205">
        <v>7.2910000000000004</v>
      </c>
      <c r="J5205">
        <v>-310.75700000000001</v>
      </c>
      <c r="K5205">
        <v>1.0487500000000001</v>
      </c>
      <c r="L5205">
        <v>11.84427</v>
      </c>
      <c r="M5205">
        <v>0.83858569999999999</v>
      </c>
      <c r="N5205">
        <v>-1.801753E-2</v>
      </c>
      <c r="O5205">
        <v>-0.54447179999999995</v>
      </c>
      <c r="P5205">
        <v>0.66671749999999996</v>
      </c>
      <c r="Q5205">
        <v>0.37647340000000001</v>
      </c>
      <c r="R5205">
        <v>-0.64323839999999999</v>
      </c>
      <c r="S5205">
        <v>2.2291259999999999</v>
      </c>
      <c r="T5205">
        <v>-0.64710059999999903</v>
      </c>
      <c r="U5205">
        <v>-2.7391049999999999</v>
      </c>
      <c r="V5205">
        <v>0.1898774</v>
      </c>
      <c r="W5205">
        <v>0.38647769999999998</v>
      </c>
      <c r="X5205">
        <v>0.90254179999999995</v>
      </c>
      <c r="Y5205">
        <v>0.30781150000000002</v>
      </c>
      <c r="Z5205">
        <v>6.2611990000000006E-2</v>
      </c>
      <c r="AA5205">
        <v>0.94938500000000003</v>
      </c>
      <c r="AB5205">
        <v>33</v>
      </c>
      <c r="AC5205">
        <v>3.6439000000000301</v>
      </c>
      <c r="AD5205">
        <v>-1.0987499999999999</v>
      </c>
      <c r="AE5205">
        <v>-4.5532700000000004</v>
      </c>
      <c r="AF5205">
        <v>1.7717140394551301</v>
      </c>
      <c r="AG5205">
        <v>-1.0987499999999999</v>
      </c>
      <c r="AH5205">
        <v>5.3459831369375799</v>
      </c>
      <c r="AI5205">
        <v>101.039362984649</v>
      </c>
      <c r="AJ5205">
        <v>71.664270257700196</v>
      </c>
      <c r="AK5205">
        <v>5.7380970626614003</v>
      </c>
      <c r="AL5205">
        <v>67.264493318911207</v>
      </c>
      <c r="AM5205">
        <v>78.119329798735805</v>
      </c>
      <c r="AN5205">
        <v>1.0000000701876399</v>
      </c>
    </row>
    <row r="5206" spans="1:40" x14ac:dyDescent="0.25">
      <c r="A5206" t="str">
        <f>"20190304164513640"</f>
        <v>20190304164513640</v>
      </c>
      <c r="B5206" t="str">
        <f>"1551689113635822"</f>
        <v>1551689113635822</v>
      </c>
      <c r="C5206" t="s">
        <v>40</v>
      </c>
      <c r="D5206">
        <v>5.5999930000000004</v>
      </c>
      <c r="E5206">
        <v>0.56988809999999901</v>
      </c>
      <c r="F5206" t="s">
        <v>43</v>
      </c>
      <c r="G5206">
        <v>-307.0215</v>
      </c>
      <c r="H5206">
        <v>-0.05</v>
      </c>
      <c r="I5206">
        <v>7.1740570000000004</v>
      </c>
      <c r="J5206">
        <v>-310.5428</v>
      </c>
      <c r="K5206">
        <v>1.0483720000000001</v>
      </c>
      <c r="L5206">
        <v>11.69244</v>
      </c>
      <c r="M5206">
        <v>0.83156330000000001</v>
      </c>
      <c r="N5206">
        <v>-1.78573E-2</v>
      </c>
      <c r="O5206">
        <v>-0.55514269999999999</v>
      </c>
      <c r="P5206">
        <v>0.65780569999999905</v>
      </c>
      <c r="Q5206">
        <v>0.37613400000000002</v>
      </c>
      <c r="R5206">
        <v>-0.65254489999999998</v>
      </c>
      <c r="S5206">
        <v>2.205597</v>
      </c>
      <c r="T5206">
        <v>-0.64874509999999996</v>
      </c>
      <c r="U5206">
        <v>-2.7574770000000002</v>
      </c>
      <c r="V5206">
        <v>0.19099289999999999</v>
      </c>
      <c r="W5206">
        <v>0.38591769999999997</v>
      </c>
      <c r="X5206">
        <v>0.90254599999999996</v>
      </c>
      <c r="Y5206">
        <v>0.30386249999999998</v>
      </c>
      <c r="Z5206">
        <v>6.5233360000000004E-2</v>
      </c>
      <c r="AA5206">
        <v>0.95047999999999999</v>
      </c>
      <c r="AB5206">
        <v>33</v>
      </c>
      <c r="AC5206">
        <v>3.5212999999999899</v>
      </c>
      <c r="AD5206">
        <v>-1.0983719999999999</v>
      </c>
      <c r="AE5206">
        <v>-4.5183829999999903</v>
      </c>
      <c r="AF5206">
        <v>1.7388578496546401</v>
      </c>
      <c r="AG5206">
        <v>-1.0983719999999999</v>
      </c>
      <c r="AH5206">
        <v>5.2445870178599296</v>
      </c>
      <c r="AI5206">
        <v>101.243163637592</v>
      </c>
      <c r="AJ5206">
        <v>71.656912172323601</v>
      </c>
      <c r="AK5206">
        <v>5.6334483808405098</v>
      </c>
      <c r="AL5206">
        <v>67.299276471555103</v>
      </c>
      <c r="AM5206">
        <v>78.051587206723298</v>
      </c>
      <c r="AN5206">
        <v>1.0000000205698401</v>
      </c>
    </row>
    <row r="5207" spans="1:40" x14ac:dyDescent="0.25">
      <c r="A5207" t="str">
        <f>"20190304164513652"</f>
        <v>20190304164513652</v>
      </c>
      <c r="B5207" t="str">
        <f>"1551689113645282"</f>
        <v>1551689113645282</v>
      </c>
      <c r="C5207" t="s">
        <v>40</v>
      </c>
      <c r="D5207">
        <v>5.5792229999999998</v>
      </c>
      <c r="E5207">
        <v>0.56984049999999997</v>
      </c>
      <c r="F5207" t="s">
        <v>43</v>
      </c>
      <c r="G5207">
        <v>-306.87200000000001</v>
      </c>
      <c r="H5207">
        <v>-0.05</v>
      </c>
      <c r="I5207">
        <v>6.9765169999999896</v>
      </c>
      <c r="J5207">
        <v>-310.38920000000002</v>
      </c>
      <c r="K5207">
        <v>1.048122</v>
      </c>
      <c r="L5207">
        <v>11.58142</v>
      </c>
      <c r="M5207">
        <v>0.82637590000000005</v>
      </c>
      <c r="N5207">
        <v>-1.7749790000000001E-2</v>
      </c>
      <c r="O5207">
        <v>-0.56283930000000004</v>
      </c>
      <c r="P5207">
        <v>0.65104209999999996</v>
      </c>
      <c r="Q5207">
        <v>0.37579299999999999</v>
      </c>
      <c r="R5207">
        <v>-0.65948779999999996</v>
      </c>
      <c r="S5207">
        <v>2.1682429999999999</v>
      </c>
      <c r="T5207">
        <v>-0.64878190000000002</v>
      </c>
      <c r="U5207">
        <v>-2.7855829999999999</v>
      </c>
      <c r="V5207">
        <v>0.19212940000000001</v>
      </c>
      <c r="W5207">
        <v>0.38541219999999998</v>
      </c>
      <c r="X5207">
        <v>0.90252069999999995</v>
      </c>
      <c r="Y5207">
        <v>0.30763659999999998</v>
      </c>
      <c r="Z5207">
        <v>6.6419119999999998E-2</v>
      </c>
      <c r="AA5207">
        <v>0.94918290000000005</v>
      </c>
      <c r="AB5207">
        <v>33</v>
      </c>
      <c r="AC5207">
        <v>3.5171999999999999</v>
      </c>
      <c r="AD5207">
        <v>-1.098122</v>
      </c>
      <c r="AE5207">
        <v>-4.6049030000000002</v>
      </c>
      <c r="AF5207">
        <v>1.7627412658133901</v>
      </c>
      <c r="AG5207">
        <v>-1.098122</v>
      </c>
      <c r="AH5207">
        <v>5.30855904659796</v>
      </c>
      <c r="AI5207">
        <v>101.10696996482601</v>
      </c>
      <c r="AJ5207">
        <v>71.630920460134803</v>
      </c>
      <c r="AK5207">
        <v>5.7003445376838799</v>
      </c>
      <c r="AL5207">
        <v>67.330666090474296</v>
      </c>
      <c r="AM5207">
        <v>77.982222404496298</v>
      </c>
      <c r="AN5207">
        <v>0.99999994209084297</v>
      </c>
    </row>
    <row r="5208" spans="1:40" x14ac:dyDescent="0.25">
      <c r="A5208" t="str">
        <f>"20190304164513664"</f>
        <v>20190304164513664</v>
      </c>
      <c r="B5208" t="str">
        <f>"1551689113655021"</f>
        <v>1551689113655021</v>
      </c>
      <c r="C5208" t="s">
        <v>40</v>
      </c>
      <c r="D5208">
        <v>5.5741779999999999</v>
      </c>
      <c r="E5208">
        <v>0.56981219999999999</v>
      </c>
      <c r="F5208" t="s">
        <v>43</v>
      </c>
      <c r="G5208">
        <v>-306.76889999999997</v>
      </c>
      <c r="H5208">
        <v>-0.05</v>
      </c>
      <c r="I5208">
        <v>6.8378750000000004</v>
      </c>
      <c r="J5208">
        <v>-310.2509</v>
      </c>
      <c r="K5208">
        <v>1.047917</v>
      </c>
      <c r="L5208">
        <v>11.478579999999999</v>
      </c>
      <c r="M5208">
        <v>0.82155259999999997</v>
      </c>
      <c r="N5208">
        <v>-1.7662859999999999E-2</v>
      </c>
      <c r="O5208">
        <v>-0.56985929999999996</v>
      </c>
      <c r="P5208">
        <v>0.64438509999999904</v>
      </c>
      <c r="Q5208">
        <v>0.37557610000000002</v>
      </c>
      <c r="R5208">
        <v>-0.66611629999999999</v>
      </c>
      <c r="S5208">
        <v>2.1410830000000001</v>
      </c>
      <c r="T5208">
        <v>-0.64944089999999999</v>
      </c>
      <c r="U5208">
        <v>-2.8053889999999999</v>
      </c>
      <c r="V5208">
        <v>0.1936563</v>
      </c>
      <c r="W5208">
        <v>0.38503690000000002</v>
      </c>
      <c r="X5208">
        <v>0.90235460000000001</v>
      </c>
      <c r="Y5208">
        <v>0.30863750000000001</v>
      </c>
      <c r="Z5208">
        <v>6.7790370000000003E-2</v>
      </c>
      <c r="AA5208">
        <v>0.94876090000000002</v>
      </c>
      <c r="AB5208">
        <v>33</v>
      </c>
      <c r="AC5208">
        <v>3.4820000000000202</v>
      </c>
      <c r="AD5208">
        <v>-1.097917</v>
      </c>
      <c r="AE5208">
        <v>-4.6407049999999996</v>
      </c>
      <c r="AF5208">
        <v>1.7653971981209799</v>
      </c>
      <c r="AG5208">
        <v>-1.097917</v>
      </c>
      <c r="AH5208">
        <v>5.3156919398775297</v>
      </c>
      <c r="AI5208">
        <v>101.090241551763</v>
      </c>
      <c r="AJ5208">
        <v>71.628130287742096</v>
      </c>
      <c r="AK5208">
        <v>5.70776924951433</v>
      </c>
      <c r="AL5208">
        <v>67.353968933622895</v>
      </c>
      <c r="AM5208">
        <v>77.887359473754003</v>
      </c>
      <c r="AN5208">
        <v>1.0000000005162299</v>
      </c>
    </row>
    <row r="5209" spans="1:40" x14ac:dyDescent="0.25">
      <c r="A5209" t="str">
        <f>"20190304164513677"</f>
        <v>20190304164513677</v>
      </c>
      <c r="B5209" t="str">
        <f>"1551689113665757"</f>
        <v>1551689113665757</v>
      </c>
      <c r="C5209" t="s">
        <v>40</v>
      </c>
      <c r="D5209">
        <v>5.5460219999999998</v>
      </c>
      <c r="E5209">
        <v>0.56976130000000003</v>
      </c>
      <c r="F5209" t="s">
        <v>43</v>
      </c>
      <c r="G5209">
        <v>-306.67590000000001</v>
      </c>
      <c r="H5209">
        <v>-0.05</v>
      </c>
      <c r="I5209">
        <v>6.7074740000000004</v>
      </c>
      <c r="J5209">
        <v>-310.10509999999999</v>
      </c>
      <c r="K5209">
        <v>1.047698</v>
      </c>
      <c r="L5209">
        <v>11.369199999999999</v>
      </c>
      <c r="M5209">
        <v>0.81637349999999997</v>
      </c>
      <c r="N5209">
        <v>-1.7573760000000001E-2</v>
      </c>
      <c r="O5209">
        <v>-0.57725680000000001</v>
      </c>
      <c r="P5209">
        <v>0.63779649999999999</v>
      </c>
      <c r="Q5209">
        <v>0.3749613</v>
      </c>
      <c r="R5209">
        <v>-0.67277019999999998</v>
      </c>
      <c r="S5209">
        <v>2.1156009999999998</v>
      </c>
      <c r="T5209">
        <v>-0.64973570000000003</v>
      </c>
      <c r="U5209">
        <v>-2.8234859999999999</v>
      </c>
      <c r="V5209">
        <v>0.19470319999999999</v>
      </c>
      <c r="W5209">
        <v>0.38428030000000002</v>
      </c>
      <c r="X5209">
        <v>0.90245180000000003</v>
      </c>
      <c r="Y5209">
        <v>0.30853209999999998</v>
      </c>
      <c r="Z5209">
        <v>6.9294850000000005E-2</v>
      </c>
      <c r="AA5209">
        <v>0.94868649999999999</v>
      </c>
      <c r="AB5209">
        <v>33</v>
      </c>
      <c r="AC5209">
        <v>3.4291999999999798</v>
      </c>
      <c r="AD5209">
        <v>-1.0976980000000001</v>
      </c>
      <c r="AE5209">
        <v>-4.66172599999999</v>
      </c>
      <c r="AF5209">
        <v>1.76303239095345</v>
      </c>
      <c r="AG5209">
        <v>-1.0976980000000001</v>
      </c>
      <c r="AH5209">
        <v>5.3006623165500901</v>
      </c>
      <c r="AI5209">
        <v>101.11713345153299</v>
      </c>
      <c r="AJ5209">
        <v>71.602562249974895</v>
      </c>
      <c r="AK5209">
        <v>5.6929996578999802</v>
      </c>
      <c r="AL5209">
        <v>67.400931566520498</v>
      </c>
      <c r="AM5209">
        <v>77.825100008121794</v>
      </c>
      <c r="AN5209">
        <v>0.99999996819078396</v>
      </c>
    </row>
    <row r="5210" spans="1:40" x14ac:dyDescent="0.25">
      <c r="A5210" t="str">
        <f>"20190304164513696"</f>
        <v>20190304164513696</v>
      </c>
      <c r="B5210" t="str">
        <f>"1551689113685277"</f>
        <v>1551689113685277</v>
      </c>
      <c r="C5210" t="s">
        <v>40</v>
      </c>
      <c r="D5210">
        <v>5.5624229999999999</v>
      </c>
      <c r="E5210">
        <v>0.56975279999999995</v>
      </c>
      <c r="F5210" t="s">
        <v>43</v>
      </c>
      <c r="G5210">
        <v>-306.58710000000002</v>
      </c>
      <c r="H5210">
        <v>-0.05</v>
      </c>
      <c r="I5210">
        <v>6.5812229999999996</v>
      </c>
      <c r="J5210">
        <v>-309.87079999999997</v>
      </c>
      <c r="K5210">
        <v>1.0473889999999999</v>
      </c>
      <c r="L5210">
        <v>11.188230000000001</v>
      </c>
      <c r="M5210">
        <v>0.80773989999999996</v>
      </c>
      <c r="N5210">
        <v>-1.744509E-2</v>
      </c>
      <c r="O5210">
        <v>-0.58928080000000005</v>
      </c>
      <c r="P5210">
        <v>0.62660990000000005</v>
      </c>
      <c r="Q5210">
        <v>0.37500129999999998</v>
      </c>
      <c r="R5210">
        <v>-0.68317969999999995</v>
      </c>
      <c r="S5210">
        <v>2.0885009999999999</v>
      </c>
      <c r="T5210">
        <v>-0.65166080000000004</v>
      </c>
      <c r="U5210">
        <v>-2.842438</v>
      </c>
      <c r="V5210">
        <v>0.1963094</v>
      </c>
      <c r="W5210">
        <v>0.3841002</v>
      </c>
      <c r="X5210">
        <v>0.90218050000000005</v>
      </c>
      <c r="Y5210">
        <v>0.30354150000000002</v>
      </c>
      <c r="Z5210">
        <v>7.2330039999999998E-2</v>
      </c>
      <c r="AA5210">
        <v>0.95006889999999999</v>
      </c>
      <c r="AB5210">
        <v>33</v>
      </c>
      <c r="AC5210">
        <v>3.2836999999999499</v>
      </c>
      <c r="AD5210">
        <v>-1.0973889999999999</v>
      </c>
      <c r="AE5210">
        <v>-4.6070070000000003</v>
      </c>
      <c r="AF5210">
        <v>1.7217341293935899</v>
      </c>
      <c r="AG5210">
        <v>-1.0973889999999999</v>
      </c>
      <c r="AH5210">
        <v>5.1733667444538396</v>
      </c>
      <c r="AI5210">
        <v>101.379832265228</v>
      </c>
      <c r="AJ5210">
        <v>71.5921818820878</v>
      </c>
      <c r="AK5210">
        <v>5.5616863002384997</v>
      </c>
      <c r="AL5210">
        <v>67.412109050857396</v>
      </c>
      <c r="AM5210">
        <v>77.724116821867895</v>
      </c>
      <c r="AN5210">
        <v>0.99999999937432504</v>
      </c>
    </row>
    <row r="5211" spans="1:40" x14ac:dyDescent="0.25">
      <c r="A5211" t="str">
        <f>"20190304164513718"</f>
        <v>20190304164513718</v>
      </c>
      <c r="B5211" t="str">
        <f>"1551689113705773"</f>
        <v>1551689113705773</v>
      </c>
      <c r="C5211" t="s">
        <v>40</v>
      </c>
      <c r="D5211">
        <v>5.5384580000000003</v>
      </c>
      <c r="E5211">
        <v>0.56922910000000004</v>
      </c>
      <c r="F5211" t="s">
        <v>43</v>
      </c>
      <c r="G5211">
        <v>-306.41109999999998</v>
      </c>
      <c r="H5211">
        <v>-0.05</v>
      </c>
      <c r="I5211">
        <v>6.3223419999999999</v>
      </c>
      <c r="J5211">
        <v>-309.6139</v>
      </c>
      <c r="K5211">
        <v>1.047102</v>
      </c>
      <c r="L5211">
        <v>10.98297</v>
      </c>
      <c r="M5211">
        <v>0.79784540000000004</v>
      </c>
      <c r="N5211">
        <v>-1.732206E-2</v>
      </c>
      <c r="O5211">
        <v>-0.60261319999999996</v>
      </c>
      <c r="P5211">
        <v>0.61426119999999995</v>
      </c>
      <c r="Q5211">
        <v>0.37554120000000002</v>
      </c>
      <c r="R5211">
        <v>-0.69401159999999995</v>
      </c>
      <c r="S5211">
        <v>2.0428769999999998</v>
      </c>
      <c r="T5211">
        <v>-0.64797640000000001</v>
      </c>
      <c r="U5211">
        <v>-2.8731689999999999</v>
      </c>
      <c r="V5211">
        <v>0.1973898</v>
      </c>
      <c r="W5211">
        <v>0.38443830000000001</v>
      </c>
      <c r="X5211">
        <v>0.90180070000000001</v>
      </c>
      <c r="Y5211">
        <v>0.30265839999999999</v>
      </c>
      <c r="Z5211">
        <v>7.4556020000000001E-2</v>
      </c>
      <c r="AA5211">
        <v>0.95017859999999998</v>
      </c>
      <c r="AB5211">
        <v>33</v>
      </c>
      <c r="AC5211">
        <v>3.2028000000000199</v>
      </c>
      <c r="AD5211">
        <v>-1.097102</v>
      </c>
      <c r="AE5211">
        <v>-4.660628</v>
      </c>
      <c r="AF5211">
        <v>1.7237994417889</v>
      </c>
      <c r="AG5211">
        <v>-1.097102</v>
      </c>
      <c r="AH5211">
        <v>5.1701087015244296</v>
      </c>
      <c r="AI5211">
        <v>101.381891033922</v>
      </c>
      <c r="AJ5211">
        <v>71.5607637530955</v>
      </c>
      <c r="AK5211">
        <v>5.55923927345229</v>
      </c>
      <c r="AL5211">
        <v>67.391126833702899</v>
      </c>
      <c r="AM5211">
        <v>77.653582531915603</v>
      </c>
      <c r="AN5211">
        <v>1.0000000210857001</v>
      </c>
    </row>
    <row r="5212" spans="1:40" x14ac:dyDescent="0.25">
      <c r="A5212" t="str">
        <f>"20190304164513735"</f>
        <v>20190304164513735</v>
      </c>
      <c r="B5212" t="str">
        <f>"1551689113725293"</f>
        <v>1551689113725293</v>
      </c>
      <c r="C5212" t="s">
        <v>40</v>
      </c>
      <c r="D5212">
        <v>5.6035459999999997</v>
      </c>
      <c r="E5212">
        <v>0.56879820000000003</v>
      </c>
      <c r="F5212" t="s">
        <v>43</v>
      </c>
      <c r="G5212">
        <v>-305.8272</v>
      </c>
      <c r="H5212">
        <v>-0.05</v>
      </c>
      <c r="I5212">
        <v>5.4370120000000002</v>
      </c>
      <c r="J5212">
        <v>-309.42469999999997</v>
      </c>
      <c r="K5212">
        <v>1.0469040000000001</v>
      </c>
      <c r="L5212">
        <v>10.82785</v>
      </c>
      <c r="M5212">
        <v>0.79028750000000003</v>
      </c>
      <c r="N5212">
        <v>-1.7240789999999999E-2</v>
      </c>
      <c r="O5212">
        <v>-0.61249359999999997</v>
      </c>
      <c r="P5212">
        <v>0.60470500000000005</v>
      </c>
      <c r="Q5212">
        <v>0.37721789999999999</v>
      </c>
      <c r="R5212">
        <v>-0.70145469999999999</v>
      </c>
      <c r="S5212">
        <v>1.971222</v>
      </c>
      <c r="T5212">
        <v>-0.57111809999999996</v>
      </c>
      <c r="U5212">
        <v>-2.887054</v>
      </c>
      <c r="V5212">
        <v>0.1979379</v>
      </c>
      <c r="W5212">
        <v>0.38597569999999998</v>
      </c>
      <c r="X5212">
        <v>0.90102349999999998</v>
      </c>
      <c r="Y5212">
        <v>0.30841200000000002</v>
      </c>
      <c r="Z5212">
        <v>6.6300230000000002E-2</v>
      </c>
      <c r="AA5212">
        <v>0.94893959999999999</v>
      </c>
      <c r="AB5212">
        <v>33</v>
      </c>
      <c r="AC5212">
        <v>3.5974999999999602</v>
      </c>
      <c r="AD5212">
        <v>-1.0969040000000001</v>
      </c>
      <c r="AE5212">
        <v>-5.3908379999999996</v>
      </c>
      <c r="AF5212">
        <v>1.9998843723286499</v>
      </c>
      <c r="AG5212">
        <v>-1.0969040000000001</v>
      </c>
      <c r="AH5212">
        <v>5.9746792607227102</v>
      </c>
      <c r="AI5212">
        <v>99.876085175623302</v>
      </c>
      <c r="AJ5212">
        <v>71.493233198591398</v>
      </c>
      <c r="AK5212">
        <v>6.3952738922121499</v>
      </c>
      <c r="AL5212">
        <v>67.295673734156495</v>
      </c>
      <c r="AM5212">
        <v>77.610006714662902</v>
      </c>
      <c r="AN5212">
        <v>1.0000000003995699</v>
      </c>
    </row>
    <row r="5213" spans="1:40" x14ac:dyDescent="0.25">
      <c r="A5213" t="str">
        <f>"20190304164513752"</f>
        <v>20190304164513752</v>
      </c>
      <c r="B5213" t="str">
        <f>"1551689113745789"</f>
        <v>1551689113745789</v>
      </c>
      <c r="C5213" t="s">
        <v>40</v>
      </c>
      <c r="D5213">
        <v>6.1818220000000004</v>
      </c>
      <c r="E5213">
        <v>0.56787659999999995</v>
      </c>
      <c r="F5213" t="s">
        <v>43</v>
      </c>
      <c r="G5213">
        <v>-305.67630000000003</v>
      </c>
      <c r="H5213">
        <v>-0.05</v>
      </c>
      <c r="I5213">
        <v>5.1914980000000002</v>
      </c>
      <c r="J5213">
        <v>-309.22149999999999</v>
      </c>
      <c r="K5213">
        <v>1.0467139999999999</v>
      </c>
      <c r="L5213">
        <v>10.65616</v>
      </c>
      <c r="M5213">
        <v>0.78186350000000004</v>
      </c>
      <c r="N5213">
        <v>-1.7163810000000002E-2</v>
      </c>
      <c r="O5213">
        <v>-0.62321340000000003</v>
      </c>
      <c r="P5213">
        <v>0.59281130000000004</v>
      </c>
      <c r="Q5213">
        <v>0.38002780000000003</v>
      </c>
      <c r="R5213">
        <v>-0.71003799999999995</v>
      </c>
      <c r="S5213">
        <v>1.9366460000000001</v>
      </c>
      <c r="T5213">
        <v>-0.56672670000000003</v>
      </c>
      <c r="U5213">
        <v>-2.9120789999999999</v>
      </c>
      <c r="V5213">
        <v>0.19984299999999999</v>
      </c>
      <c r="W5213">
        <v>0.38858540000000003</v>
      </c>
      <c r="X5213">
        <v>0.8994799</v>
      </c>
      <c r="Y5213">
        <v>0.30708479999999999</v>
      </c>
      <c r="Z5213">
        <v>6.7596760000000006E-2</v>
      </c>
      <c r="AA5213">
        <v>0.94927850000000003</v>
      </c>
      <c r="AB5213">
        <v>33</v>
      </c>
      <c r="AC5213">
        <v>3.5451999999999599</v>
      </c>
      <c r="AD5213">
        <v>-1.096714</v>
      </c>
      <c r="AE5213">
        <v>-5.4646619999999997</v>
      </c>
      <c r="AF5213">
        <v>2.0066261173846902</v>
      </c>
      <c r="AG5213">
        <v>-1.096714</v>
      </c>
      <c r="AH5213">
        <v>6.0081123283310802</v>
      </c>
      <c r="AI5213">
        <v>99.822677984537094</v>
      </c>
      <c r="AJ5213">
        <v>71.531396108885303</v>
      </c>
      <c r="AK5213">
        <v>6.4285880038006997</v>
      </c>
      <c r="AL5213">
        <v>67.133491677030804</v>
      </c>
      <c r="AM5213">
        <v>77.473706693881397</v>
      </c>
      <c r="AN5213">
        <v>0.99999996412308401</v>
      </c>
    </row>
    <row r="5214" spans="1:40" x14ac:dyDescent="0.25">
      <c r="A5214" t="str">
        <f>"20190304164513774"</f>
        <v>20190304164513774</v>
      </c>
      <c r="B5214" t="str">
        <f>"1551689113765313"</f>
        <v>1551689113765313</v>
      </c>
      <c r="C5214" t="s">
        <v>40</v>
      </c>
      <c r="D5214">
        <v>5.951352</v>
      </c>
      <c r="E5214">
        <v>0.56806060000000003</v>
      </c>
      <c r="F5214" t="s">
        <v>43</v>
      </c>
      <c r="G5214">
        <v>-305.7217</v>
      </c>
      <c r="H5214">
        <v>-0.05</v>
      </c>
      <c r="I5214">
        <v>5.2516939999999996</v>
      </c>
      <c r="J5214">
        <v>-308.98419999999999</v>
      </c>
      <c r="K5214">
        <v>1.046502</v>
      </c>
      <c r="L5214">
        <v>10.44965</v>
      </c>
      <c r="M5214">
        <v>0.77162949999999997</v>
      </c>
      <c r="N5214">
        <v>-1.7084950000000002E-2</v>
      </c>
      <c r="O5214">
        <v>-0.63584309999999999</v>
      </c>
      <c r="P5214">
        <v>0.57892540000000003</v>
      </c>
      <c r="Q5214">
        <v>0.38205149999999999</v>
      </c>
      <c r="R5214">
        <v>-0.7203349</v>
      </c>
      <c r="S5214">
        <v>1.9105829999999999</v>
      </c>
      <c r="T5214">
        <v>-0.59871339999999995</v>
      </c>
      <c r="U5214">
        <v>-2.9503780000000002</v>
      </c>
      <c r="V5214">
        <v>0.20202529999999999</v>
      </c>
      <c r="W5214">
        <v>0.39039439999999997</v>
      </c>
      <c r="X5214">
        <v>0.89820820000000001</v>
      </c>
      <c r="Y5214">
        <v>0.30352269999999998</v>
      </c>
      <c r="Z5214">
        <v>7.4170479999999997E-2</v>
      </c>
      <c r="AA5214">
        <v>0.94993300000000003</v>
      </c>
      <c r="AB5214">
        <v>33</v>
      </c>
      <c r="AC5214">
        <v>3.2624999999999802</v>
      </c>
      <c r="AD5214">
        <v>-1.0965020000000001</v>
      </c>
      <c r="AE5214">
        <v>-5.1979559999999996</v>
      </c>
      <c r="AF5214">
        <v>1.8768258459859299</v>
      </c>
      <c r="AG5214">
        <v>-1.0965020000000001</v>
      </c>
      <c r="AH5214">
        <v>5.6432240188900096</v>
      </c>
      <c r="AI5214">
        <v>100.446574516032</v>
      </c>
      <c r="AJ5214">
        <v>71.603884534198002</v>
      </c>
      <c r="AK5214">
        <v>6.0473770528669704</v>
      </c>
      <c r="AL5214">
        <v>67.020957412286293</v>
      </c>
      <c r="AM5214">
        <v>77.323960455818707</v>
      </c>
      <c r="AN5214">
        <v>0.99999998996934403</v>
      </c>
    </row>
    <row r="5215" spans="1:40" x14ac:dyDescent="0.25">
      <c r="A5215" t="str">
        <f>"20190304164513796"</f>
        <v>20190304164513796</v>
      </c>
      <c r="B5215" t="str">
        <f>"1551689113785806"</f>
        <v>1551689113785806</v>
      </c>
      <c r="C5215" t="s">
        <v>40</v>
      </c>
      <c r="D5215">
        <v>5.9099449999999996</v>
      </c>
      <c r="E5215">
        <v>0.56848980000000005</v>
      </c>
      <c r="F5215" t="s">
        <v>43</v>
      </c>
      <c r="G5215">
        <v>-305.6506</v>
      </c>
      <c r="H5215">
        <v>-0.05</v>
      </c>
      <c r="I5215">
        <v>5.097702</v>
      </c>
      <c r="J5215">
        <v>-308.73610000000002</v>
      </c>
      <c r="K5215">
        <v>1.046281</v>
      </c>
      <c r="L5215">
        <v>10.2258</v>
      </c>
      <c r="M5215">
        <v>0.76041309999999995</v>
      </c>
      <c r="N5215">
        <v>-1.7017919999999999E-2</v>
      </c>
      <c r="O5215">
        <v>-0.64921700000000004</v>
      </c>
      <c r="P5215">
        <v>0.5653473</v>
      </c>
      <c r="Q5215">
        <v>0.38248359999999998</v>
      </c>
      <c r="R5215">
        <v>-0.73081399999999996</v>
      </c>
      <c r="S5215">
        <v>1.8636470000000001</v>
      </c>
      <c r="T5215">
        <v>-0.61301059999999996</v>
      </c>
      <c r="U5215">
        <v>-2.9920650000000002</v>
      </c>
      <c r="V5215">
        <v>0.20310590000000001</v>
      </c>
      <c r="W5215">
        <v>0.39066919999999999</v>
      </c>
      <c r="X5215">
        <v>0.897845</v>
      </c>
      <c r="Y5215">
        <v>0.3038071</v>
      </c>
      <c r="Z5215">
        <v>7.838386E-2</v>
      </c>
      <c r="AA5215">
        <v>0.94950369999999995</v>
      </c>
      <c r="AB5215">
        <v>33</v>
      </c>
      <c r="AC5215">
        <v>3.0855000000000201</v>
      </c>
      <c r="AD5215">
        <v>-1.0962809999999901</v>
      </c>
      <c r="AE5215">
        <v>-5.1280979999999996</v>
      </c>
      <c r="AF5215">
        <v>1.83501574262006</v>
      </c>
      <c r="AG5215">
        <v>-1.0962809999999901</v>
      </c>
      <c r="AH5215">
        <v>5.49204311399843</v>
      </c>
      <c r="AI5215">
        <v>100.72059454594</v>
      </c>
      <c r="AJ5215">
        <v>71.524361164963196</v>
      </c>
      <c r="AK5215">
        <v>5.8933566303628702</v>
      </c>
      <c r="AL5215">
        <v>67.003855518859595</v>
      </c>
      <c r="AM5215">
        <v>77.2533802886893</v>
      </c>
      <c r="AN5215">
        <v>1.0000000372342199</v>
      </c>
    </row>
    <row r="5216" spans="1:40" x14ac:dyDescent="0.25">
      <c r="A5216" t="str">
        <f>"20190304164513819"</f>
        <v>20190304164513819</v>
      </c>
      <c r="B5216" t="str">
        <f>"1551689113815086"</f>
        <v>1551689113815086</v>
      </c>
      <c r="C5216" t="s">
        <v>40</v>
      </c>
      <c r="D5216">
        <v>5.900684</v>
      </c>
      <c r="E5216">
        <v>0.56873850000000004</v>
      </c>
      <c r="F5216" t="s">
        <v>43</v>
      </c>
      <c r="G5216">
        <v>-305.5421</v>
      </c>
      <c r="H5216">
        <v>-0.05</v>
      </c>
      <c r="I5216">
        <v>4.8722529999999997</v>
      </c>
      <c r="J5216">
        <v>-308.48689999999999</v>
      </c>
      <c r="K5216">
        <v>1.04606</v>
      </c>
      <c r="L5216">
        <v>9.9926449999999996</v>
      </c>
      <c r="M5216">
        <v>0.74858829999999998</v>
      </c>
      <c r="N5216">
        <v>-1.696719E-2</v>
      </c>
      <c r="O5216">
        <v>-0.66281820000000002</v>
      </c>
      <c r="P5216">
        <v>0.55264449999999998</v>
      </c>
      <c r="Q5216">
        <v>0.38284489999999999</v>
      </c>
      <c r="R5216">
        <v>-0.74028000000000005</v>
      </c>
      <c r="S5216">
        <v>1.808319</v>
      </c>
      <c r="T5216">
        <v>-0.62067269999999997</v>
      </c>
      <c r="U5216">
        <v>-3.0309750000000002</v>
      </c>
      <c r="V5216">
        <v>0.20240810000000001</v>
      </c>
      <c r="W5216">
        <v>0.39095540000000001</v>
      </c>
      <c r="X5216">
        <v>0.89787799999999995</v>
      </c>
      <c r="Y5216">
        <v>0.30495159999999999</v>
      </c>
      <c r="Z5216">
        <v>8.1817390000000004E-2</v>
      </c>
      <c r="AA5216">
        <v>0.94884690000000005</v>
      </c>
      <c r="AB5216">
        <v>33</v>
      </c>
      <c r="AC5216">
        <v>2.9447999999999799</v>
      </c>
      <c r="AD5216">
        <v>-1.09606</v>
      </c>
      <c r="AE5216">
        <v>-5.1203919999999998</v>
      </c>
      <c r="AF5216">
        <v>1.8188423773629701</v>
      </c>
      <c r="AG5216">
        <v>-1.09606</v>
      </c>
      <c r="AH5216">
        <v>5.4127638013755801</v>
      </c>
      <c r="AI5216">
        <v>100.865667642741</v>
      </c>
      <c r="AJ5216">
        <v>71.426189203289795</v>
      </c>
      <c r="AK5216">
        <v>5.8144257744658896</v>
      </c>
      <c r="AL5216">
        <v>66.986040563041499</v>
      </c>
      <c r="AM5216">
        <v>77.296201284083097</v>
      </c>
      <c r="AN5216">
        <v>1.0000000333093799</v>
      </c>
    </row>
    <row r="5217" spans="1:40" x14ac:dyDescent="0.25">
      <c r="A5217" t="str">
        <f>"20190304164513841"</f>
        <v>20190304164513841</v>
      </c>
      <c r="B5217" t="str">
        <f>"1551689113835581"</f>
        <v>1551689113835581</v>
      </c>
      <c r="C5217" t="s">
        <v>40</v>
      </c>
      <c r="D5217">
        <v>5.8986219999999996</v>
      </c>
      <c r="E5217">
        <v>0.56877109999999997</v>
      </c>
      <c r="F5217" t="s">
        <v>43</v>
      </c>
      <c r="G5217">
        <v>-305.42759999999998</v>
      </c>
      <c r="H5217">
        <v>-0.05</v>
      </c>
      <c r="I5217">
        <v>4.6427149999999999</v>
      </c>
      <c r="J5217">
        <v>-308.25049999999999</v>
      </c>
      <c r="K5217">
        <v>1.0458719999999999</v>
      </c>
      <c r="L5217">
        <v>9.7635190000000005</v>
      </c>
      <c r="M5217">
        <v>0.73683449999999995</v>
      </c>
      <c r="N5217">
        <v>-1.6932409999999998E-2</v>
      </c>
      <c r="O5217">
        <v>-0.67586119999999905</v>
      </c>
      <c r="P5217">
        <v>0.54063030000000001</v>
      </c>
      <c r="Q5217">
        <v>0.38382430000000001</v>
      </c>
      <c r="R5217">
        <v>-0.74859759999999997</v>
      </c>
      <c r="S5217">
        <v>1.7543329999999999</v>
      </c>
      <c r="T5217">
        <v>-0.62853899999999996</v>
      </c>
      <c r="U5217">
        <v>-3.0679319999999999</v>
      </c>
      <c r="V5217">
        <v>0.20089370000000001</v>
      </c>
      <c r="W5217">
        <v>0.39190629999999999</v>
      </c>
      <c r="X5217">
        <v>0.89780349999999998</v>
      </c>
      <c r="Y5217">
        <v>0.30590650000000003</v>
      </c>
      <c r="Z5217">
        <v>8.5242310000000002E-2</v>
      </c>
      <c r="AA5217">
        <v>0.94823780000000002</v>
      </c>
      <c r="AB5217">
        <v>33</v>
      </c>
      <c r="AC5217">
        <v>2.8229000000000002</v>
      </c>
      <c r="AD5217">
        <v>-1.095872</v>
      </c>
      <c r="AE5217">
        <v>-5.1208039999999997</v>
      </c>
      <c r="AF5217">
        <v>1.8022613315776099</v>
      </c>
      <c r="AG5217">
        <v>-1.095872</v>
      </c>
      <c r="AH5217">
        <v>5.3537135892186596</v>
      </c>
      <c r="AI5217">
        <v>100.978804654115</v>
      </c>
      <c r="AJ5217">
        <v>71.394831568845504</v>
      </c>
      <c r="AK5217">
        <v>5.7542445675404199</v>
      </c>
      <c r="AL5217">
        <v>66.926832338883301</v>
      </c>
      <c r="AM5217">
        <v>77.387185523053503</v>
      </c>
      <c r="AN5217">
        <v>0.999999975645814</v>
      </c>
    </row>
    <row r="5218" spans="1:40" x14ac:dyDescent="0.25">
      <c r="A5218" t="str">
        <f>"20190304164513863"</f>
        <v>20190304164513863</v>
      </c>
      <c r="B5218" t="str">
        <f>"1551689113855101"</f>
        <v>1551689113855101</v>
      </c>
      <c r="C5218" t="s">
        <v>40</v>
      </c>
      <c r="D5218">
        <v>5.9290459999999996</v>
      </c>
      <c r="E5218">
        <v>0.56852530000000001</v>
      </c>
      <c r="F5218" t="s">
        <v>43</v>
      </c>
      <c r="G5218">
        <v>-305.28190000000001</v>
      </c>
      <c r="H5218">
        <v>-0.05</v>
      </c>
      <c r="I5218">
        <v>4.3611909999999998</v>
      </c>
      <c r="J5218">
        <v>-308.01900000000001</v>
      </c>
      <c r="K5218">
        <v>1.045698</v>
      </c>
      <c r="L5218">
        <v>9.5310059999999996</v>
      </c>
      <c r="M5218">
        <v>0.72476609999999997</v>
      </c>
      <c r="N5218">
        <v>-1.6907709999999999E-2</v>
      </c>
      <c r="O5218">
        <v>-0.68878760000000006</v>
      </c>
      <c r="P5218">
        <v>0.52782189999999995</v>
      </c>
      <c r="Q5218">
        <v>0.38472889999999998</v>
      </c>
      <c r="R5218">
        <v>-0.75722369999999894</v>
      </c>
      <c r="S5218">
        <v>1.7033689999999999</v>
      </c>
      <c r="T5218">
        <v>-0.62878599999999996</v>
      </c>
      <c r="U5218">
        <v>-3.0997309999999998</v>
      </c>
      <c r="V5218">
        <v>0.20008899999999999</v>
      </c>
      <c r="W5218">
        <v>0.39276329999999998</v>
      </c>
      <c r="X5218">
        <v>0.89760879999999998</v>
      </c>
      <c r="Y5218">
        <v>0.30526579999999998</v>
      </c>
      <c r="Z5218">
        <v>8.7678069999999997E-2</v>
      </c>
      <c r="AA5218">
        <v>0.94822220000000002</v>
      </c>
      <c r="AB5218">
        <v>32</v>
      </c>
      <c r="AC5218">
        <v>2.7370999999999901</v>
      </c>
      <c r="AD5218">
        <v>-1.0956980000000001</v>
      </c>
      <c r="AE5218">
        <v>-5.1698149999999901</v>
      </c>
      <c r="AF5218">
        <v>1.79878234519057</v>
      </c>
      <c r="AG5218">
        <v>-1.0956980000000001</v>
      </c>
      <c r="AH5218">
        <v>5.3574880581009197</v>
      </c>
      <c r="AI5218">
        <v>100.97242441937399</v>
      </c>
      <c r="AJ5218">
        <v>71.4404682670949</v>
      </c>
      <c r="AK5218">
        <v>5.7566353302313003</v>
      </c>
      <c r="AL5218">
        <v>66.873452514231602</v>
      </c>
      <c r="AM5218">
        <v>77.433461645353006</v>
      </c>
      <c r="AN5218">
        <v>1.00000008779266</v>
      </c>
    </row>
    <row r="5219" spans="1:40" x14ac:dyDescent="0.25">
      <c r="A5219" t="str">
        <f>"20190304164513879"</f>
        <v>20190304164513879</v>
      </c>
      <c r="B5219" t="str">
        <f>"1551689113875598"</f>
        <v>1551689113875598</v>
      </c>
      <c r="C5219" t="s">
        <v>40</v>
      </c>
      <c r="D5219">
        <v>5.8824379999999996</v>
      </c>
      <c r="E5219">
        <v>0.56826149999999997</v>
      </c>
      <c r="F5219" t="s">
        <v>43</v>
      </c>
      <c r="G5219">
        <v>-305.14859999999999</v>
      </c>
      <c r="H5219">
        <v>-0.05</v>
      </c>
      <c r="I5219">
        <v>4.1121220000000003</v>
      </c>
      <c r="J5219">
        <v>-307.86059999999998</v>
      </c>
      <c r="K5219">
        <v>1.045579</v>
      </c>
      <c r="L5219">
        <v>9.3671880000000005</v>
      </c>
      <c r="M5219">
        <v>0.71617659999999905</v>
      </c>
      <c r="N5219">
        <v>-1.689589E-2</v>
      </c>
      <c r="O5219">
        <v>-0.69771459999999996</v>
      </c>
      <c r="P5219">
        <v>0.51842049999999995</v>
      </c>
      <c r="Q5219">
        <v>0.38520169999999998</v>
      </c>
      <c r="R5219">
        <v>-0.76345289999999999</v>
      </c>
      <c r="S5219">
        <v>1.6570130000000001</v>
      </c>
      <c r="T5219">
        <v>-0.63251639999999998</v>
      </c>
      <c r="U5219">
        <v>-3.128174</v>
      </c>
      <c r="V5219">
        <v>0.19998879999999999</v>
      </c>
      <c r="W5219">
        <v>0.39318989999999998</v>
      </c>
      <c r="X5219">
        <v>0.89744419999999903</v>
      </c>
      <c r="Y5219">
        <v>0.30808340000000001</v>
      </c>
      <c r="Z5219">
        <v>8.9657849999999997E-2</v>
      </c>
      <c r="AA5219">
        <v>0.9471252</v>
      </c>
      <c r="AB5219">
        <v>32</v>
      </c>
      <c r="AC5219">
        <v>2.7119999999999802</v>
      </c>
      <c r="AD5219">
        <v>-1.0955790000000001</v>
      </c>
      <c r="AE5219">
        <v>-5.2550660000000002</v>
      </c>
      <c r="AF5219">
        <v>1.8095127557408901</v>
      </c>
      <c r="AG5219">
        <v>-1.0955790000000001</v>
      </c>
      <c r="AH5219">
        <v>5.4234591425711303</v>
      </c>
      <c r="AI5219">
        <v>100.847697655589</v>
      </c>
      <c r="AJ5219">
        <v>71.548955260811496</v>
      </c>
      <c r="AK5219">
        <v>5.8213863322724402</v>
      </c>
      <c r="AL5219">
        <v>66.846868409829796</v>
      </c>
      <c r="AM5219">
        <v>77.437324355057797</v>
      </c>
      <c r="AN5219">
        <v>0.99999995485054305</v>
      </c>
    </row>
    <row r="5220" spans="1:40" x14ac:dyDescent="0.25">
      <c r="A5220" t="str">
        <f>"20190304164513898"</f>
        <v>20190304164513898</v>
      </c>
      <c r="B5220" t="str">
        <f>"1551689113885357"</f>
        <v>1551689113885357</v>
      </c>
      <c r="C5220" t="s">
        <v>40</v>
      </c>
      <c r="D5220">
        <v>5.9384569999999997</v>
      </c>
      <c r="E5220">
        <v>0.56812549999999995</v>
      </c>
      <c r="F5220" t="s">
        <v>43</v>
      </c>
      <c r="G5220">
        <v>-305.06900000000002</v>
      </c>
      <c r="H5220">
        <v>-0.05</v>
      </c>
      <c r="I5220">
        <v>3.950745</v>
      </c>
      <c r="J5220">
        <v>-307.6703</v>
      </c>
      <c r="K5220">
        <v>1.045447</v>
      </c>
      <c r="L5220">
        <v>9.1647029999999994</v>
      </c>
      <c r="M5220">
        <v>0.70546489999999995</v>
      </c>
      <c r="N5220">
        <v>-1.6888719999999999E-2</v>
      </c>
      <c r="O5220">
        <v>-0.7085437</v>
      </c>
      <c r="P5220">
        <v>0.50778369999999995</v>
      </c>
      <c r="Q5220">
        <v>0.38646350000000002</v>
      </c>
      <c r="R5220">
        <v>-0.76993630000000002</v>
      </c>
      <c r="S5220">
        <v>1.6228940000000001</v>
      </c>
      <c r="T5220">
        <v>-0.63691759999999997</v>
      </c>
      <c r="U5220">
        <v>-3.1488649999999998</v>
      </c>
      <c r="V5220">
        <v>0.19845199999999999</v>
      </c>
      <c r="W5220">
        <v>0.39445570000000002</v>
      </c>
      <c r="X5220">
        <v>0.89722990000000002</v>
      </c>
      <c r="Y5220">
        <v>0.30438470000000001</v>
      </c>
      <c r="Z5220">
        <v>9.2626959999999994E-2</v>
      </c>
      <c r="AA5220">
        <v>0.94803490000000001</v>
      </c>
      <c r="AB5220">
        <v>32</v>
      </c>
      <c r="AC5220">
        <v>2.6012999999999802</v>
      </c>
      <c r="AD5220">
        <v>-1.0954469999999901</v>
      </c>
      <c r="AE5220">
        <v>-5.2139579999999999</v>
      </c>
      <c r="AF5220">
        <v>1.77273569418372</v>
      </c>
      <c r="AG5220">
        <v>-1.0954469999999901</v>
      </c>
      <c r="AH5220">
        <v>5.3414432918676003</v>
      </c>
      <c r="AI5220">
        <v>101.01459664842299</v>
      </c>
      <c r="AJ5220">
        <v>71.639857664923298</v>
      </c>
      <c r="AK5220">
        <v>5.7335514658437896</v>
      </c>
      <c r="AL5220">
        <v>66.767968074267898</v>
      </c>
      <c r="AM5220">
        <v>77.527945842776703</v>
      </c>
      <c r="AN5220">
        <v>0.99999999451025001</v>
      </c>
    </row>
    <row r="5221" spans="1:40" x14ac:dyDescent="0.25">
      <c r="A5221" t="str">
        <f>"20190304164513920"</f>
        <v>20190304164513920</v>
      </c>
      <c r="B5221" t="str">
        <f>"1551689113915614"</f>
        <v>1551689113915614</v>
      </c>
      <c r="C5221" t="s">
        <v>40</v>
      </c>
      <c r="D5221">
        <v>5.7167250000000003</v>
      </c>
      <c r="E5221">
        <v>0.5681986</v>
      </c>
      <c r="F5221" t="s">
        <v>43</v>
      </c>
      <c r="G5221">
        <v>-304.93990000000002</v>
      </c>
      <c r="H5221">
        <v>-0.05</v>
      </c>
      <c r="I5221">
        <v>3.6902919999999999</v>
      </c>
      <c r="J5221">
        <v>-307.45069999999998</v>
      </c>
      <c r="K5221">
        <v>1.045301</v>
      </c>
      <c r="L5221">
        <v>8.9226379999999992</v>
      </c>
      <c r="M5221">
        <v>0.6925154</v>
      </c>
      <c r="N5221">
        <v>-1.6890499999999999E-2</v>
      </c>
      <c r="O5221">
        <v>-0.7212054</v>
      </c>
      <c r="P5221">
        <v>0.49593710000000002</v>
      </c>
      <c r="Q5221">
        <v>0.38799660000000002</v>
      </c>
      <c r="R5221">
        <v>-0.77685590000000004</v>
      </c>
      <c r="S5221">
        <v>1.581909</v>
      </c>
      <c r="T5221">
        <v>-0.63466549999999999</v>
      </c>
      <c r="U5221">
        <v>-3.1716920000000002</v>
      </c>
      <c r="V5221">
        <v>0.19556290000000001</v>
      </c>
      <c r="W5221">
        <v>0.39604699999999998</v>
      </c>
      <c r="X5221">
        <v>0.8971633</v>
      </c>
      <c r="Y5221">
        <v>0.29978159999999998</v>
      </c>
      <c r="Z5221">
        <v>9.4941830000000005E-2</v>
      </c>
      <c r="AA5221">
        <v>0.94927189999999995</v>
      </c>
      <c r="AB5221">
        <v>32</v>
      </c>
      <c r="AC5221">
        <v>2.5107999999999602</v>
      </c>
      <c r="AD5221">
        <v>-1.0953010000000001</v>
      </c>
      <c r="AE5221">
        <v>-5.2323459999999997</v>
      </c>
      <c r="AF5221">
        <v>1.7505831788277699</v>
      </c>
      <c r="AG5221">
        <v>-1.0953010000000001</v>
      </c>
      <c r="AH5221">
        <v>5.32353414485382</v>
      </c>
      <c r="AI5221">
        <v>101.059082070922</v>
      </c>
      <c r="AJ5221">
        <v>71.797142454001801</v>
      </c>
      <c r="AK5221">
        <v>5.7100123938587197</v>
      </c>
      <c r="AL5221">
        <v>66.668711972357201</v>
      </c>
      <c r="AM5221">
        <v>77.703068635194896</v>
      </c>
      <c r="AN5221">
        <v>1.0000000304661401</v>
      </c>
    </row>
    <row r="5222" spans="1:40" x14ac:dyDescent="0.25">
      <c r="A5222" t="str">
        <f>"20190304164513941"</f>
        <v>20190304164513941</v>
      </c>
      <c r="B5222" t="str">
        <f>"1551689113935133"</f>
        <v>1551689113935133</v>
      </c>
      <c r="C5222" t="s">
        <v>40</v>
      </c>
      <c r="D5222">
        <v>5.6247099999999897</v>
      </c>
      <c r="E5222">
        <v>0.568111699999999</v>
      </c>
      <c r="F5222" t="s">
        <v>43</v>
      </c>
      <c r="G5222">
        <v>-304.78960000000001</v>
      </c>
      <c r="H5222">
        <v>-0.05</v>
      </c>
      <c r="I5222">
        <v>3.3564910000000001</v>
      </c>
      <c r="J5222">
        <v>-307.23599999999999</v>
      </c>
      <c r="K5222">
        <v>1.045148</v>
      </c>
      <c r="L5222">
        <v>8.6769409999999993</v>
      </c>
      <c r="M5222">
        <v>0.67921779999999998</v>
      </c>
      <c r="N5222">
        <v>-1.6901099999999999E-2</v>
      </c>
      <c r="O5222">
        <v>-0.73374229999999996</v>
      </c>
      <c r="P5222">
        <v>0.48345929999999998</v>
      </c>
      <c r="Q5222">
        <v>0.38813809999999999</v>
      </c>
      <c r="R5222">
        <v>-0.78461219999999998</v>
      </c>
      <c r="S5222">
        <v>1.5297240000000001</v>
      </c>
      <c r="T5222">
        <v>-0.62962410000000002</v>
      </c>
      <c r="U5222">
        <v>-3.199646</v>
      </c>
      <c r="V5222">
        <v>0.19356010000000001</v>
      </c>
      <c r="W5222">
        <v>0.3962291</v>
      </c>
      <c r="X5222">
        <v>0.89751709999999996</v>
      </c>
      <c r="Y5222">
        <v>0.29823899999999998</v>
      </c>
      <c r="Z5222">
        <v>9.6497410000000006E-2</v>
      </c>
      <c r="AA5222">
        <v>0.94960080000000002</v>
      </c>
      <c r="AB5222">
        <v>32</v>
      </c>
      <c r="AC5222">
        <v>2.4463999999999801</v>
      </c>
      <c r="AD5222">
        <v>-1.095148</v>
      </c>
      <c r="AE5222">
        <v>-5.3204500000000001</v>
      </c>
      <c r="AF5222">
        <v>1.7575087205856299</v>
      </c>
      <c r="AG5222">
        <v>-1.095148</v>
      </c>
      <c r="AH5222">
        <v>5.37817292189012</v>
      </c>
      <c r="AI5222">
        <v>100.95445965948799</v>
      </c>
      <c r="AJ5222">
        <v>71.903360691365194</v>
      </c>
      <c r="AK5222">
        <v>5.76306602622169</v>
      </c>
      <c r="AL5222">
        <v>66.657347513673102</v>
      </c>
      <c r="AM5222">
        <v>77.8298850013866</v>
      </c>
      <c r="AN5222">
        <v>0.99999997839561405</v>
      </c>
    </row>
    <row r="5223" spans="1:40" x14ac:dyDescent="0.25">
      <c r="A5223" t="str">
        <f>"20190304164513963"</f>
        <v>20190304164513963</v>
      </c>
      <c r="B5223" t="str">
        <f>"1551689113955629"</f>
        <v>1551689113955629</v>
      </c>
      <c r="C5223" t="s">
        <v>40</v>
      </c>
      <c r="D5223">
        <v>5.2628339999999998</v>
      </c>
      <c r="E5223">
        <v>0.56805909999999904</v>
      </c>
      <c r="F5223" t="s">
        <v>43</v>
      </c>
      <c r="G5223">
        <v>-304.67590000000001</v>
      </c>
      <c r="H5223">
        <v>-0.05</v>
      </c>
      <c r="I5223">
        <v>3.064041</v>
      </c>
      <c r="J5223">
        <v>-307.03129999999999</v>
      </c>
      <c r="K5223">
        <v>1.0450010000000001</v>
      </c>
      <c r="L5223">
        <v>8.4338990000000003</v>
      </c>
      <c r="M5223">
        <v>0.66591080000000002</v>
      </c>
      <c r="N5223">
        <v>-1.6917970000000001E-2</v>
      </c>
      <c r="O5223">
        <v>-0.74583959999999905</v>
      </c>
      <c r="P5223">
        <v>0.47022789999999998</v>
      </c>
      <c r="Q5223">
        <v>0.3882427</v>
      </c>
      <c r="R5223">
        <v>-0.79256139999999997</v>
      </c>
      <c r="S5223">
        <v>1.4722900000000001</v>
      </c>
      <c r="T5223">
        <v>-0.62981019999999999</v>
      </c>
      <c r="U5223">
        <v>-3.2279360000000001</v>
      </c>
      <c r="V5223">
        <v>0.1925482</v>
      </c>
      <c r="W5223">
        <v>0.39634170000000002</v>
      </c>
      <c r="X5223">
        <v>0.89768510000000001</v>
      </c>
      <c r="Y5223">
        <v>0.29828480000000002</v>
      </c>
      <c r="Z5223">
        <v>9.876733E-2</v>
      </c>
      <c r="AA5223">
        <v>0.949353</v>
      </c>
      <c r="AB5223">
        <v>32</v>
      </c>
      <c r="AC5223">
        <v>2.3553999999999702</v>
      </c>
      <c r="AD5223">
        <v>-1.0950009999999999</v>
      </c>
      <c r="AE5223">
        <v>-5.3698579999999998</v>
      </c>
      <c r="AF5223">
        <v>1.75804876128079</v>
      </c>
      <c r="AG5223">
        <v>-1.0950009999999999</v>
      </c>
      <c r="AH5223">
        <v>5.3864965091260997</v>
      </c>
      <c r="AI5223">
        <v>100.9377826475</v>
      </c>
      <c r="AJ5223">
        <v>71.924314222512393</v>
      </c>
      <c r="AK5223">
        <v>5.7709710863830903</v>
      </c>
      <c r="AL5223">
        <v>66.650322368322904</v>
      </c>
      <c r="AM5223">
        <v>77.893825380355096</v>
      </c>
      <c r="AN5223">
        <v>1.0000000456220599</v>
      </c>
    </row>
    <row r="5224" spans="1:40" x14ac:dyDescent="0.25">
      <c r="A5224" t="str">
        <f>"20190304164513985"</f>
        <v>20190304164513985</v>
      </c>
      <c r="B5224" t="str">
        <f>"1551689113975150"</f>
        <v>1551689113975150</v>
      </c>
      <c r="C5224" t="s">
        <v>40</v>
      </c>
      <c r="D5224">
        <v>5.2382099999999996</v>
      </c>
      <c r="E5224">
        <v>0.56781649999999995</v>
      </c>
      <c r="F5224" t="s">
        <v>43</v>
      </c>
      <c r="G5224">
        <v>-304.5718</v>
      </c>
      <c r="H5224">
        <v>-0.05</v>
      </c>
      <c r="I5224">
        <v>2.7734990000000002</v>
      </c>
      <c r="J5224">
        <v>-306.82600000000002</v>
      </c>
      <c r="K5224">
        <v>1.0448550000000001</v>
      </c>
      <c r="L5224">
        <v>8.180847</v>
      </c>
      <c r="M5224">
        <v>0.65189249999999999</v>
      </c>
      <c r="N5224">
        <v>-1.6941250000000001E-2</v>
      </c>
      <c r="O5224">
        <v>-0.75812219999999997</v>
      </c>
      <c r="P5224">
        <v>0.45658870000000001</v>
      </c>
      <c r="Q5224">
        <v>0.38704640000000001</v>
      </c>
      <c r="R5224">
        <v>-0.80107539999999999</v>
      </c>
      <c r="S5224">
        <v>1.4141539999999999</v>
      </c>
      <c r="T5224">
        <v>-0.62959600000000004</v>
      </c>
      <c r="U5224">
        <v>-3.254578</v>
      </c>
      <c r="V5224">
        <v>0.19162029999999999</v>
      </c>
      <c r="W5224">
        <v>0.39516370000000001</v>
      </c>
      <c r="X5224">
        <v>0.89840259999999905</v>
      </c>
      <c r="Y5224">
        <v>0.29768090000000003</v>
      </c>
      <c r="Z5224">
        <v>0.1010726</v>
      </c>
      <c r="AA5224">
        <v>0.94930000000000003</v>
      </c>
      <c r="AB5224">
        <v>32</v>
      </c>
      <c r="AC5224">
        <v>2.25419999999996</v>
      </c>
      <c r="AD5224">
        <v>-1.0948549999999999</v>
      </c>
      <c r="AE5224">
        <v>-5.4073479999999998</v>
      </c>
      <c r="AF5224">
        <v>1.7550145432114601</v>
      </c>
      <c r="AG5224">
        <v>-1.0948549999999999</v>
      </c>
      <c r="AH5224">
        <v>5.3817594855655404</v>
      </c>
      <c r="AI5224">
        <v>100.946624138662</v>
      </c>
      <c r="AJ5224">
        <v>71.938633396073399</v>
      </c>
      <c r="AK5224">
        <v>5.7655978595791302</v>
      </c>
      <c r="AL5224">
        <v>66.723815023814694</v>
      </c>
      <c r="AM5224">
        <v>77.959799041957993</v>
      </c>
      <c r="AN5224">
        <v>0.999999960428269</v>
      </c>
    </row>
    <row r="5225" spans="1:40" x14ac:dyDescent="0.25">
      <c r="A5225" t="str">
        <f>"20190304164514009"</f>
        <v>20190304164514009</v>
      </c>
      <c r="B5225" t="str">
        <f>"1551689114005406"</f>
        <v>1551689114005406</v>
      </c>
      <c r="C5225" t="s">
        <v>40</v>
      </c>
      <c r="D5225">
        <v>5.308656</v>
      </c>
      <c r="E5225">
        <v>0.56748469999999995</v>
      </c>
      <c r="F5225" t="s">
        <v>43</v>
      </c>
      <c r="G5225">
        <v>-304.49259999999998</v>
      </c>
      <c r="H5225">
        <v>-0.05</v>
      </c>
      <c r="I5225">
        <v>2.5457610000000002</v>
      </c>
      <c r="J5225">
        <v>-306.6191</v>
      </c>
      <c r="K5225">
        <v>1.0447</v>
      </c>
      <c r="L5225">
        <v>7.9156190000000004</v>
      </c>
      <c r="M5225">
        <v>0.63702309999999995</v>
      </c>
      <c r="N5225">
        <v>-1.6971610000000002E-2</v>
      </c>
      <c r="O5225">
        <v>-0.77065810000000001</v>
      </c>
      <c r="P5225">
        <v>0.44262240000000003</v>
      </c>
      <c r="Q5225">
        <v>0.38656889999999999</v>
      </c>
      <c r="R5225">
        <v>-0.80910490000000002</v>
      </c>
      <c r="S5225">
        <v>1.357758</v>
      </c>
      <c r="T5225">
        <v>-0.637071099999999</v>
      </c>
      <c r="U5225">
        <v>-3.278931</v>
      </c>
      <c r="V5225">
        <v>0.1899624</v>
      </c>
      <c r="W5225">
        <v>0.39473609999999998</v>
      </c>
      <c r="X5225">
        <v>0.89894249999999998</v>
      </c>
      <c r="Y5225">
        <v>0.29569210000000001</v>
      </c>
      <c r="Z5225">
        <v>0.1049411</v>
      </c>
      <c r="AA5225">
        <v>0.94950179999999995</v>
      </c>
      <c r="AB5225">
        <v>32</v>
      </c>
      <c r="AC5225">
        <v>2.12650000000002</v>
      </c>
      <c r="AD5225">
        <v>-1.0947</v>
      </c>
      <c r="AE5225">
        <v>-5.3698579999999998</v>
      </c>
      <c r="AF5225">
        <v>1.7203709428213201</v>
      </c>
      <c r="AG5225">
        <v>-1.0947</v>
      </c>
      <c r="AH5225">
        <v>5.3032253590118996</v>
      </c>
      <c r="AI5225">
        <v>101.108621920871</v>
      </c>
      <c r="AJ5225">
        <v>72.026891798233905</v>
      </c>
      <c r="AK5225">
        <v>5.68174651664176</v>
      </c>
      <c r="AL5225">
        <v>66.750482706750006</v>
      </c>
      <c r="AM5225">
        <v>78.067934043712199</v>
      </c>
      <c r="AN5225">
        <v>0.99999996018160897</v>
      </c>
    </row>
    <row r="5226" spans="1:40" x14ac:dyDescent="0.25">
      <c r="A5226" t="str">
        <f>"20190304164514031"</f>
        <v>20190304164514031</v>
      </c>
      <c r="B5226" t="str">
        <f>"1551689114024925"</f>
        <v>1551689114024925</v>
      </c>
      <c r="C5226" t="s">
        <v>40</v>
      </c>
      <c r="D5226">
        <v>5.7393479999999997</v>
      </c>
      <c r="E5226">
        <v>0.56709730000000003</v>
      </c>
      <c r="F5226" t="s">
        <v>43</v>
      </c>
      <c r="G5226">
        <v>-304.40519999999998</v>
      </c>
      <c r="H5226">
        <v>-0.05</v>
      </c>
      <c r="I5226">
        <v>2.2913969999999999</v>
      </c>
      <c r="J5226">
        <v>-306.41750000000002</v>
      </c>
      <c r="K5226">
        <v>1.0445580000000001</v>
      </c>
      <c r="L5226">
        <v>7.6465759999999996</v>
      </c>
      <c r="M5226">
        <v>0.62175789999999997</v>
      </c>
      <c r="N5226">
        <v>-1.7007979999999999E-2</v>
      </c>
      <c r="O5226">
        <v>-0.78302499999999997</v>
      </c>
      <c r="P5226">
        <v>0.42779919999999999</v>
      </c>
      <c r="Q5226">
        <v>0.38607429999999998</v>
      </c>
      <c r="R5226">
        <v>-0.81727299999999903</v>
      </c>
      <c r="S5226">
        <v>1.3004150000000001</v>
      </c>
      <c r="T5226">
        <v>-0.64301750000000002</v>
      </c>
      <c r="U5226">
        <v>-3.3036189999999999</v>
      </c>
      <c r="V5226">
        <v>0.1889199</v>
      </c>
      <c r="W5226">
        <v>0.3942717</v>
      </c>
      <c r="X5226">
        <v>0.899366</v>
      </c>
      <c r="Y5226">
        <v>0.29374919999999999</v>
      </c>
      <c r="Z5226">
        <v>0.1085166</v>
      </c>
      <c r="AA5226">
        <v>0.94970290000000002</v>
      </c>
      <c r="AB5226">
        <v>32</v>
      </c>
      <c r="AC5226">
        <v>2.01230000000003</v>
      </c>
      <c r="AD5226">
        <v>-1.0945579999999999</v>
      </c>
      <c r="AE5226">
        <v>-5.3551789999999997</v>
      </c>
      <c r="AF5226">
        <v>1.69224849358741</v>
      </c>
      <c r="AG5226">
        <v>-1.0945579999999999</v>
      </c>
      <c r="AH5226">
        <v>5.25289504193218</v>
      </c>
      <c r="AI5226">
        <v>101.218140311098</v>
      </c>
      <c r="AJ5226">
        <v>72.143374600025098</v>
      </c>
      <c r="AK5226">
        <v>5.6262481727140896</v>
      </c>
      <c r="AL5226">
        <v>66.779441681198193</v>
      </c>
      <c r="AM5226">
        <v>78.136984626284104</v>
      </c>
      <c r="AN5226">
        <v>1.00000005199644</v>
      </c>
    </row>
    <row r="5227" spans="1:40" x14ac:dyDescent="0.25">
      <c r="A5227" t="str">
        <f>"20190304164514053"</f>
        <v>20190304164514053</v>
      </c>
      <c r="B5227" t="str">
        <f>"1551689114045422"</f>
        <v>1551689114045422</v>
      </c>
      <c r="C5227" t="s">
        <v>40</v>
      </c>
      <c r="D5227">
        <v>5.6390129999999896</v>
      </c>
      <c r="E5227">
        <v>0.56679869999999899</v>
      </c>
      <c r="F5227" t="s">
        <v>43</v>
      </c>
      <c r="G5227">
        <v>-304.32229999999998</v>
      </c>
      <c r="H5227">
        <v>-0.05</v>
      </c>
      <c r="I5227">
        <v>2.0379489999999998</v>
      </c>
      <c r="J5227">
        <v>-306.23079999999999</v>
      </c>
      <c r="K5227">
        <v>1.044427</v>
      </c>
      <c r="L5227">
        <v>7.3869319999999998</v>
      </c>
      <c r="M5227">
        <v>0.606854</v>
      </c>
      <c r="N5227">
        <v>-1.7047630000000001E-2</v>
      </c>
      <c r="O5227">
        <v>-0.79463070000000002</v>
      </c>
      <c r="P5227">
        <v>0.41255320000000001</v>
      </c>
      <c r="Q5227">
        <v>0.3852101</v>
      </c>
      <c r="R5227">
        <v>-0.82547789999999999</v>
      </c>
      <c r="S5227">
        <v>1.242828</v>
      </c>
      <c r="T5227">
        <v>-0.64926490000000003</v>
      </c>
      <c r="U5227">
        <v>-3.3269039999999999</v>
      </c>
      <c r="V5227">
        <v>0.18894269999999999</v>
      </c>
      <c r="W5227">
        <v>0.39340170000000002</v>
      </c>
      <c r="X5227">
        <v>0.89974209999999999</v>
      </c>
      <c r="Y5227">
        <v>0.29242400000000002</v>
      </c>
      <c r="Z5227">
        <v>0.1120205</v>
      </c>
      <c r="AA5227">
        <v>0.94970500000000002</v>
      </c>
      <c r="AB5227">
        <v>32</v>
      </c>
      <c r="AC5227">
        <v>1.9085000000000001</v>
      </c>
      <c r="AD5227">
        <v>-1.094427</v>
      </c>
      <c r="AE5227">
        <v>-5.3489829999999996</v>
      </c>
      <c r="AF5227">
        <v>1.66781484655695</v>
      </c>
      <c r="AG5227">
        <v>-1.094427</v>
      </c>
      <c r="AH5227">
        <v>5.2157425395074499</v>
      </c>
      <c r="AI5227">
        <v>101.30233888082201</v>
      </c>
      <c r="AJ5227">
        <v>72.267513786891897</v>
      </c>
      <c r="AK5227">
        <v>5.5842051412132498</v>
      </c>
      <c r="AL5227">
        <v>66.833671673444996</v>
      </c>
      <c r="AM5227">
        <v>78.140412450479701</v>
      </c>
      <c r="AN5227">
        <v>1.00000004397929</v>
      </c>
    </row>
    <row r="5228" spans="1:40" x14ac:dyDescent="0.25">
      <c r="A5228" t="str">
        <f>"20190304164514075"</f>
        <v>20190304164514075</v>
      </c>
      <c r="B5228" t="str">
        <f>"1551689114064941"</f>
        <v>1551689114064941</v>
      </c>
      <c r="C5228" t="s">
        <v>40</v>
      </c>
      <c r="D5228">
        <v>5.6503420000000002</v>
      </c>
      <c r="E5228">
        <v>0.56657650000000004</v>
      </c>
      <c r="F5228" t="s">
        <v>41</v>
      </c>
      <c r="G5228">
        <v>-305.98160000000001</v>
      </c>
      <c r="H5228">
        <v>0.9064875</v>
      </c>
      <c r="I5228">
        <v>6.6838539999999904</v>
      </c>
      <c r="J5228">
        <v>-306.04809999999998</v>
      </c>
      <c r="K5228">
        <v>1.0443119999999999</v>
      </c>
      <c r="L5228">
        <v>7.1215820000000001</v>
      </c>
      <c r="M5228">
        <v>0.59145509999999901</v>
      </c>
      <c r="N5228">
        <v>-1.709196E-2</v>
      </c>
      <c r="O5228">
        <v>-0.80615669999999995</v>
      </c>
      <c r="P5228">
        <v>0.39712700000000001</v>
      </c>
      <c r="Q5228">
        <v>0.3843512</v>
      </c>
      <c r="R5228">
        <v>-0.83340509999999901</v>
      </c>
      <c r="S5228">
        <v>1.186615</v>
      </c>
      <c r="T5228">
        <v>-0.65609549999999905</v>
      </c>
      <c r="U5228">
        <v>-3.3474119999999998</v>
      </c>
      <c r="V5228">
        <v>0.18867320000000001</v>
      </c>
      <c r="W5228">
        <v>0.39255449999999997</v>
      </c>
      <c r="X5228">
        <v>0.90016849999999904</v>
      </c>
      <c r="Y5228">
        <v>0.29016120000000001</v>
      </c>
      <c r="Z5228">
        <v>0.1157712</v>
      </c>
      <c r="AA5228">
        <v>0.94994920000000005</v>
      </c>
      <c r="AB5228">
        <v>32</v>
      </c>
      <c r="AC5228">
        <v>6.64999999999622E-2</v>
      </c>
      <c r="AD5228">
        <v>-0.13782449999999999</v>
      </c>
      <c r="AE5228">
        <v>-0.43772800000000101</v>
      </c>
      <c r="AF5228">
        <v>0.187178947408978</v>
      </c>
      <c r="AG5228">
        <v>-0.13782449999999999</v>
      </c>
      <c r="AH5228">
        <v>0.35761289132388302</v>
      </c>
      <c r="AI5228">
        <v>108.852800892652</v>
      </c>
      <c r="AJ5228">
        <v>62.371891525090803</v>
      </c>
      <c r="AK5228">
        <v>0.42651908655347498</v>
      </c>
      <c r="AL5228">
        <v>66.886457751834996</v>
      </c>
      <c r="AM5228">
        <v>78.162302060700995</v>
      </c>
      <c r="AN5228">
        <v>0.99999997013036901</v>
      </c>
    </row>
    <row r="5229" spans="1:40" x14ac:dyDescent="0.25">
      <c r="A5229" t="str">
        <f>"20190304164514098"</f>
        <v>20190304164514098</v>
      </c>
      <c r="B5229" t="str">
        <f>"1551689114085438"</f>
        <v>1551689114085438</v>
      </c>
      <c r="C5229" t="s">
        <v>40</v>
      </c>
      <c r="D5229">
        <v>5.629683</v>
      </c>
      <c r="E5229">
        <v>0.56640959999999996</v>
      </c>
      <c r="F5229" t="s">
        <v>43</v>
      </c>
      <c r="G5229">
        <v>-304.18459999999999</v>
      </c>
      <c r="H5229">
        <v>-0.05</v>
      </c>
      <c r="I5229">
        <v>1.5433349999999999</v>
      </c>
      <c r="J5229">
        <v>-305.86630000000002</v>
      </c>
      <c r="K5229">
        <v>1.0441990000000001</v>
      </c>
      <c r="L5229">
        <v>6.845764</v>
      </c>
      <c r="M5229">
        <v>0.57527790000000001</v>
      </c>
      <c r="N5229">
        <v>-1.7140740000000002E-2</v>
      </c>
      <c r="O5229">
        <v>-0.81777840000000002</v>
      </c>
      <c r="P5229">
        <v>0.38196140000000001</v>
      </c>
      <c r="Q5229">
        <v>0.38288680000000003</v>
      </c>
      <c r="R5229">
        <v>-0.8411322</v>
      </c>
      <c r="S5229">
        <v>1.1252439999999999</v>
      </c>
      <c r="T5229">
        <v>-0.66075980000000001</v>
      </c>
      <c r="U5229">
        <v>-3.3682249999999998</v>
      </c>
      <c r="V5229">
        <v>0.1874701</v>
      </c>
      <c r="W5229">
        <v>0.39115070000000002</v>
      </c>
      <c r="X5229">
        <v>0.90103060000000001</v>
      </c>
      <c r="Y5229">
        <v>0.28854000000000002</v>
      </c>
      <c r="Z5229">
        <v>0.1191425</v>
      </c>
      <c r="AA5229">
        <v>0.95002620000000004</v>
      </c>
      <c r="AB5229">
        <v>32</v>
      </c>
      <c r="AC5229">
        <v>1.6817000000000299</v>
      </c>
      <c r="AD5229">
        <v>-1.0941989999999999</v>
      </c>
      <c r="AE5229">
        <v>-5.3024290000000001</v>
      </c>
      <c r="AF5229">
        <v>1.61295060352655</v>
      </c>
      <c r="AG5229">
        <v>-1.0941989999999999</v>
      </c>
      <c r="AH5229">
        <v>5.1068435416439604</v>
      </c>
      <c r="AI5229">
        <v>101.547338145824</v>
      </c>
      <c r="AJ5229">
        <v>72.471746803573495</v>
      </c>
      <c r="AK5229">
        <v>5.4661441674958002</v>
      </c>
      <c r="AL5229">
        <v>66.973882336455205</v>
      </c>
      <c r="AM5229">
        <v>78.246619291093893</v>
      </c>
      <c r="AN5229">
        <v>1.00000002532042</v>
      </c>
    </row>
    <row r="5230" spans="1:40" x14ac:dyDescent="0.25">
      <c r="A5230" t="str">
        <f>"20190304164514122"</f>
        <v>20190304164514122</v>
      </c>
      <c r="B5230" t="str">
        <f>"1551689114115694"</f>
        <v>1551689114115694</v>
      </c>
      <c r="C5230" t="s">
        <v>40</v>
      </c>
      <c r="D5230">
        <v>5.8027939999999996</v>
      </c>
      <c r="E5230">
        <v>0.56617419999999996</v>
      </c>
      <c r="F5230" t="s">
        <v>43</v>
      </c>
      <c r="G5230">
        <v>-304.12259999999998</v>
      </c>
      <c r="H5230">
        <v>-0.05</v>
      </c>
      <c r="I5230">
        <v>1.280624</v>
      </c>
      <c r="J5230">
        <v>-305.67720000000003</v>
      </c>
      <c r="K5230">
        <v>1.0440799999999999</v>
      </c>
      <c r="L5230">
        <v>6.5452879999999896</v>
      </c>
      <c r="M5230">
        <v>0.55746969999999996</v>
      </c>
      <c r="N5230">
        <v>-1.7194439999999998E-2</v>
      </c>
      <c r="O5230">
        <v>-0.83001919999999996</v>
      </c>
      <c r="P5230">
        <v>0.36451210000000001</v>
      </c>
      <c r="Q5230">
        <v>0.38215090000000002</v>
      </c>
      <c r="R5230">
        <v>-0.84917129999999996</v>
      </c>
      <c r="S5230">
        <v>1.061523</v>
      </c>
      <c r="T5230">
        <v>-0.66609589999999996</v>
      </c>
      <c r="U5230">
        <v>-3.3877869999999999</v>
      </c>
      <c r="V5230">
        <v>0.18685489999999999</v>
      </c>
      <c r="W5230">
        <v>0.39045059999999998</v>
      </c>
      <c r="X5230">
        <v>0.90146190000000004</v>
      </c>
      <c r="Y5230">
        <v>0.28580090000000002</v>
      </c>
      <c r="Z5230">
        <v>0.12291879999999999</v>
      </c>
      <c r="AA5230">
        <v>0.95037300000000002</v>
      </c>
      <c r="AB5230">
        <v>32</v>
      </c>
      <c r="AC5230">
        <v>1.5546000000000499</v>
      </c>
      <c r="AD5230">
        <v>-1.0940799999999999</v>
      </c>
      <c r="AE5230">
        <v>-5.2646639999999998</v>
      </c>
      <c r="AF5230">
        <v>1.58194535216833</v>
      </c>
      <c r="AG5230">
        <v>-1.0940799999999999</v>
      </c>
      <c r="AH5230">
        <v>5.0370970410470903</v>
      </c>
      <c r="AI5230">
        <v>101.707421803934</v>
      </c>
      <c r="AJ5230">
        <v>72.564637569753003</v>
      </c>
      <c r="AK5230">
        <v>5.3918372327595696</v>
      </c>
      <c r="AL5230">
        <v>67.017459827766899</v>
      </c>
      <c r="AM5230">
        <v>78.289571779465106</v>
      </c>
      <c r="AN5230">
        <v>0.99999999092298997</v>
      </c>
    </row>
    <row r="5231" spans="1:40" x14ac:dyDescent="0.25">
      <c r="A5231" t="str">
        <f>"20190304164514143"</f>
        <v>20190304164514143</v>
      </c>
      <c r="B5231" t="str">
        <f>"1551689114135213"</f>
        <v>1551689114135213</v>
      </c>
      <c r="C5231" t="s">
        <v>40</v>
      </c>
      <c r="D5231">
        <v>5.656002</v>
      </c>
      <c r="E5231">
        <v>0.56625780000000003</v>
      </c>
      <c r="F5231" t="s">
        <v>43</v>
      </c>
      <c r="G5231">
        <v>-304.05340000000001</v>
      </c>
      <c r="H5231">
        <v>-0.05</v>
      </c>
      <c r="I5231">
        <v>0.98329160000000004</v>
      </c>
      <c r="J5231">
        <v>-305.52519999999998</v>
      </c>
      <c r="K5231">
        <v>1.043973</v>
      </c>
      <c r="L5231">
        <v>6.2931520000000001</v>
      </c>
      <c r="M5231">
        <v>0.54238649999999999</v>
      </c>
      <c r="N5231">
        <v>-1.7237880000000001E-2</v>
      </c>
      <c r="O5231">
        <v>-0.83995229999999999</v>
      </c>
      <c r="P5231">
        <v>0.35012900000000002</v>
      </c>
      <c r="Q5231">
        <v>0.3810694</v>
      </c>
      <c r="R5231">
        <v>-0.85568440000000001</v>
      </c>
      <c r="S5231">
        <v>0.99481200000000003</v>
      </c>
      <c r="T5231">
        <v>-0.67027190000000003</v>
      </c>
      <c r="U5231">
        <v>-3.4074710000000001</v>
      </c>
      <c r="V5231">
        <v>0.18607589999999999</v>
      </c>
      <c r="W5231">
        <v>0.38941569999999998</v>
      </c>
      <c r="X5231">
        <v>0.9020705</v>
      </c>
      <c r="Y5231">
        <v>0.28718310000000002</v>
      </c>
      <c r="Z5231">
        <v>0.1257692</v>
      </c>
      <c r="AA5231">
        <v>0.94958310000000001</v>
      </c>
      <c r="AB5231">
        <v>32</v>
      </c>
      <c r="AC5231">
        <v>1.47179999999997</v>
      </c>
      <c r="AD5231">
        <v>-1.0939729999999901</v>
      </c>
      <c r="AE5231">
        <v>-5.3098603999999998</v>
      </c>
      <c r="AF5231">
        <v>1.58165263551246</v>
      </c>
      <c r="AG5231">
        <v>-1.0939729999999901</v>
      </c>
      <c r="AH5231">
        <v>5.0596512537392702</v>
      </c>
      <c r="AI5231">
        <v>101.660272811857</v>
      </c>
      <c r="AJ5231">
        <v>72.640697360929906</v>
      </c>
      <c r="AK5231">
        <v>5.41280636949244</v>
      </c>
      <c r="AL5231">
        <v>67.081852743787394</v>
      </c>
      <c r="AM5231">
        <v>78.344705808503406</v>
      </c>
      <c r="AN5231">
        <v>1.00000000746877</v>
      </c>
    </row>
    <row r="5232" spans="1:40" x14ac:dyDescent="0.25">
      <c r="A5232" t="str">
        <f>"20190304164514164"</f>
        <v>20190304164514164</v>
      </c>
      <c r="B5232" t="str">
        <f>"1551689114155710"</f>
        <v>1551689114155710</v>
      </c>
      <c r="C5232" t="s">
        <v>40</v>
      </c>
      <c r="D5232">
        <v>5.813898</v>
      </c>
      <c r="E5232">
        <v>0.56630340000000001</v>
      </c>
      <c r="F5232" t="s">
        <v>43</v>
      </c>
      <c r="G5232">
        <v>-304.0009</v>
      </c>
      <c r="H5232">
        <v>-0.05</v>
      </c>
      <c r="I5232">
        <v>0.73802190000000001</v>
      </c>
      <c r="J5232">
        <v>-305.36770000000001</v>
      </c>
      <c r="K5232">
        <v>1.043884</v>
      </c>
      <c r="L5232">
        <v>6.0203550000000003</v>
      </c>
      <c r="M5232">
        <v>0.52593449999999997</v>
      </c>
      <c r="N5232">
        <v>-1.728263E-2</v>
      </c>
      <c r="O5232">
        <v>-0.85034969999999999</v>
      </c>
      <c r="P5232">
        <v>0.3351288</v>
      </c>
      <c r="Q5232">
        <v>0.38039139999999999</v>
      </c>
      <c r="R5232">
        <v>-0.86196949999999894</v>
      </c>
      <c r="S5232">
        <v>0.9389343</v>
      </c>
      <c r="T5232">
        <v>-0.67387010000000003</v>
      </c>
      <c r="U5232">
        <v>-3.421875</v>
      </c>
      <c r="V5232">
        <v>0.18447069999999999</v>
      </c>
      <c r="W5232">
        <v>0.38882040000000001</v>
      </c>
      <c r="X5232">
        <v>0.90265680000000004</v>
      </c>
      <c r="Y5232">
        <v>0.28406819999999999</v>
      </c>
      <c r="Z5232">
        <v>0.1289391</v>
      </c>
      <c r="AA5232">
        <v>0.95009469999999996</v>
      </c>
      <c r="AB5232">
        <v>32</v>
      </c>
      <c r="AC5232">
        <v>1.36680000000001</v>
      </c>
      <c r="AD5232">
        <v>-1.0938840000000001</v>
      </c>
      <c r="AE5232">
        <v>-5.2823330999999998</v>
      </c>
      <c r="AF5232">
        <v>1.5536971325856801</v>
      </c>
      <c r="AG5232">
        <v>-1.0938840000000001</v>
      </c>
      <c r="AH5232">
        <v>5.0100864153320899</v>
      </c>
      <c r="AI5232">
        <v>101.779574031481</v>
      </c>
      <c r="AJ5232">
        <v>72.770613356217694</v>
      </c>
      <c r="AK5232">
        <v>5.3583134356209596</v>
      </c>
      <c r="AL5232">
        <v>67.118879359897605</v>
      </c>
      <c r="AM5232">
        <v>78.4498397492153</v>
      </c>
      <c r="AN5232">
        <v>1.00000002060044</v>
      </c>
    </row>
    <row r="5233" spans="1:40" x14ac:dyDescent="0.25">
      <c r="A5233" t="str">
        <f>"20190304164514186"</f>
        <v>20190304164514186</v>
      </c>
      <c r="B5233" t="str">
        <f>"1551689114175229"</f>
        <v>1551689114175229</v>
      </c>
      <c r="C5233" t="s">
        <v>40</v>
      </c>
      <c r="D5233">
        <v>5.6429539999999996</v>
      </c>
      <c r="E5233">
        <v>0.56645349999999905</v>
      </c>
      <c r="F5233" t="s">
        <v>43</v>
      </c>
      <c r="G5233">
        <v>-303.94740000000002</v>
      </c>
      <c r="H5233">
        <v>-0.05</v>
      </c>
      <c r="I5233">
        <v>0.4410095</v>
      </c>
      <c r="J5233">
        <v>-305.21039999999999</v>
      </c>
      <c r="K5233">
        <v>1.043806</v>
      </c>
      <c r="L5233">
        <v>5.7349240000000004</v>
      </c>
      <c r="M5233">
        <v>0.50858179999999997</v>
      </c>
      <c r="N5233">
        <v>-1.7326850000000001E-2</v>
      </c>
      <c r="O5233">
        <v>-0.86083949999999998</v>
      </c>
      <c r="P5233">
        <v>0.31870589999999999</v>
      </c>
      <c r="Q5233">
        <v>0.38213920000000001</v>
      </c>
      <c r="R5233">
        <v>-0.86740799999999996</v>
      </c>
      <c r="S5233">
        <v>0.87509159999999997</v>
      </c>
      <c r="T5233">
        <v>-0.67397959999999901</v>
      </c>
      <c r="U5233">
        <v>-3.4376220000000002</v>
      </c>
      <c r="V5233">
        <v>0.18304770000000001</v>
      </c>
      <c r="W5233">
        <v>0.39062930000000001</v>
      </c>
      <c r="X5233">
        <v>0.90216540000000001</v>
      </c>
      <c r="Y5233">
        <v>0.28229080000000001</v>
      </c>
      <c r="Z5233">
        <v>0.13134079999999901</v>
      </c>
      <c r="AA5233">
        <v>0.95029549999999996</v>
      </c>
      <c r="AB5233">
        <v>32</v>
      </c>
      <c r="AC5233">
        <v>1.2629999999999699</v>
      </c>
      <c r="AD5233">
        <v>-1.0938060000000001</v>
      </c>
      <c r="AE5233">
        <v>-5.2939144999999996</v>
      </c>
      <c r="AF5233">
        <v>1.5430630708989499</v>
      </c>
      <c r="AG5233">
        <v>-1.0938060000000001</v>
      </c>
      <c r="AH5233">
        <v>4.9984371985684701</v>
      </c>
      <c r="AI5233">
        <v>101.80999149835399</v>
      </c>
      <c r="AJ5233">
        <v>72.844066636516104</v>
      </c>
      <c r="AK5233">
        <v>5.3443268644835999</v>
      </c>
      <c r="AL5233">
        <v>67.006339502027998</v>
      </c>
      <c r="AM5233">
        <v>78.530491149045602</v>
      </c>
      <c r="AN5233">
        <v>1.0000000597254599</v>
      </c>
    </row>
    <row r="5234" spans="1:40" x14ac:dyDescent="0.25">
      <c r="A5234" t="str">
        <f>"20190304164514210"</f>
        <v>20190304164514210</v>
      </c>
      <c r="B5234" t="str">
        <f>"1551689114205486"</f>
        <v>1551689114205486</v>
      </c>
      <c r="C5234" t="s">
        <v>40</v>
      </c>
      <c r="D5234">
        <v>5.6166229999999997</v>
      </c>
      <c r="E5234">
        <v>0.56655</v>
      </c>
      <c r="F5234" t="s">
        <v>43</v>
      </c>
      <c r="G5234">
        <v>-303.88080000000002</v>
      </c>
      <c r="H5234">
        <v>-0.05</v>
      </c>
      <c r="I5234">
        <v>4.2556759999999999E-2</v>
      </c>
      <c r="J5234">
        <v>-305.05810000000002</v>
      </c>
      <c r="K5234">
        <v>1.0437339999999999</v>
      </c>
      <c r="L5234">
        <v>5.4446409999999998</v>
      </c>
      <c r="M5234">
        <v>0.49080010000000002</v>
      </c>
      <c r="N5234">
        <v>-1.73689E-2</v>
      </c>
      <c r="O5234">
        <v>-0.87109919999999996</v>
      </c>
      <c r="P5234">
        <v>0.30168689999999998</v>
      </c>
      <c r="Q5234">
        <v>0.38257590000000002</v>
      </c>
      <c r="R5234">
        <v>-0.8732818</v>
      </c>
      <c r="S5234">
        <v>0.8069153</v>
      </c>
      <c r="T5234">
        <v>-0.66380490000000003</v>
      </c>
      <c r="U5234">
        <v>-3.4545590000000002</v>
      </c>
      <c r="V5234">
        <v>0.18214810000000001</v>
      </c>
      <c r="W5234">
        <v>0.39111299999999999</v>
      </c>
      <c r="X5234">
        <v>0.90213790000000005</v>
      </c>
      <c r="Y5234">
        <v>0.28139619999999999</v>
      </c>
      <c r="Z5234">
        <v>0.131386999999999</v>
      </c>
      <c r="AA5234">
        <v>0.95055440000000002</v>
      </c>
      <c r="AB5234">
        <v>32</v>
      </c>
      <c r="AC5234">
        <v>1.1773</v>
      </c>
      <c r="AD5234">
        <v>-1.093734</v>
      </c>
      <c r="AE5234">
        <v>-5.4020842399999998</v>
      </c>
      <c r="AF5234">
        <v>1.5648071311034299</v>
      </c>
      <c r="AG5234">
        <v>-1.093734</v>
      </c>
      <c r="AH5234">
        <v>5.0853589037373199</v>
      </c>
      <c r="AI5234">
        <v>101.616097393372</v>
      </c>
      <c r="AJ5234">
        <v>72.896434113905698</v>
      </c>
      <c r="AK5234">
        <v>5.4319196054552004</v>
      </c>
      <c r="AL5234">
        <v>66.976229961536603</v>
      </c>
      <c r="AM5234">
        <v>78.585036804111596</v>
      </c>
      <c r="AN5234">
        <v>1.0000000498595001</v>
      </c>
    </row>
    <row r="5235" spans="1:40" x14ac:dyDescent="0.25">
      <c r="A5235" t="str">
        <f>"20190304164514231"</f>
        <v>20190304164514231</v>
      </c>
      <c r="B5235" t="str">
        <f>"1551689114225006"</f>
        <v>1551689114225006</v>
      </c>
      <c r="C5235" t="s">
        <v>40</v>
      </c>
      <c r="D5235">
        <v>5.5881660000000002</v>
      </c>
      <c r="E5235">
        <v>0.56661300000000003</v>
      </c>
      <c r="F5235" t="s">
        <v>41</v>
      </c>
      <c r="G5235">
        <v>-304.89240000000001</v>
      </c>
      <c r="H5235">
        <v>0.89574940000000003</v>
      </c>
      <c r="I5235">
        <v>4.6679769999999996</v>
      </c>
      <c r="J5235">
        <v>-304.91239999999999</v>
      </c>
      <c r="K5235">
        <v>1.0436700000000001</v>
      </c>
      <c r="L5235">
        <v>5.1528019999999897</v>
      </c>
      <c r="M5235">
        <v>0.47279399999999999</v>
      </c>
      <c r="N5235">
        <v>-1.7407969999999998E-2</v>
      </c>
      <c r="O5235">
        <v>-0.88100100000000003</v>
      </c>
      <c r="P5235">
        <v>0.28454649999999998</v>
      </c>
      <c r="Q5235">
        <v>0.38279150000000001</v>
      </c>
      <c r="R5235">
        <v>-0.87892199999999998</v>
      </c>
      <c r="S5235">
        <v>0.73989869999999902</v>
      </c>
      <c r="T5235">
        <v>-0.66027720000000001</v>
      </c>
      <c r="U5235">
        <v>-3.4689640000000002</v>
      </c>
      <c r="V5235">
        <v>0.18127360000000001</v>
      </c>
      <c r="W5235">
        <v>0.39137709999999998</v>
      </c>
      <c r="X5235">
        <v>0.90219939999999998</v>
      </c>
      <c r="Y5235">
        <v>0.28006769999999998</v>
      </c>
      <c r="Z5235">
        <v>0.1328231</v>
      </c>
      <c r="AA5235">
        <v>0.95074709999999996</v>
      </c>
      <c r="AB5235">
        <v>31</v>
      </c>
      <c r="AC5235">
        <v>1.99999999999818E-2</v>
      </c>
      <c r="AD5235">
        <v>-0.14792060000000001</v>
      </c>
      <c r="AE5235">
        <v>-0.48482499999999901</v>
      </c>
      <c r="AF5235">
        <v>0.19363975358494201</v>
      </c>
      <c r="AG5235">
        <v>-0.14792060000000001</v>
      </c>
      <c r="AH5235">
        <v>0.39952601389854803</v>
      </c>
      <c r="AI5235">
        <v>108.42653783632301</v>
      </c>
      <c r="AJ5235">
        <v>64.141751849887996</v>
      </c>
      <c r="AK5235">
        <v>0.46797210798771</v>
      </c>
      <c r="AL5235">
        <v>66.959785144377094</v>
      </c>
      <c r="AM5235">
        <v>78.639166130045197</v>
      </c>
      <c r="AN5235">
        <v>0.99999995491086302</v>
      </c>
    </row>
    <row r="5236" spans="1:40" x14ac:dyDescent="0.25">
      <c r="A5236" t="str">
        <f>"20190304164514253"</f>
        <v>20190304164514253</v>
      </c>
      <c r="B5236" t="str">
        <f>"1551689114245502"</f>
        <v>1551689114245502</v>
      </c>
      <c r="C5236" t="s">
        <v>40</v>
      </c>
      <c r="D5236">
        <v>5.6328230000000001</v>
      </c>
      <c r="E5236">
        <v>0.56664840000000005</v>
      </c>
      <c r="F5236" t="s">
        <v>41</v>
      </c>
      <c r="G5236">
        <v>-304.76889999999997</v>
      </c>
      <c r="H5236">
        <v>0.90325180000000005</v>
      </c>
      <c r="I5236">
        <v>4.4103399999999997</v>
      </c>
      <c r="J5236">
        <v>-304.78019999999998</v>
      </c>
      <c r="K5236">
        <v>1.0436219999999901</v>
      </c>
      <c r="L5236">
        <v>4.8736569999999997</v>
      </c>
      <c r="M5236">
        <v>0.45546799999999998</v>
      </c>
      <c r="N5236">
        <v>-1.7441979999999999E-2</v>
      </c>
      <c r="O5236">
        <v>-0.89008120000000002</v>
      </c>
      <c r="P5236">
        <v>0.26913219999999999</v>
      </c>
      <c r="Q5236">
        <v>0.38338060000000002</v>
      </c>
      <c r="R5236">
        <v>-0.88350859999999998</v>
      </c>
      <c r="S5236">
        <v>0.67327879999999996</v>
      </c>
      <c r="T5236">
        <v>-0.65795049999999999</v>
      </c>
      <c r="U5236">
        <v>-3.4818419999999999</v>
      </c>
      <c r="V5236">
        <v>0.17934649999999999</v>
      </c>
      <c r="W5236">
        <v>0.39205879999999999</v>
      </c>
      <c r="X5236">
        <v>0.9022886</v>
      </c>
      <c r="Y5236">
        <v>0.27949849999999998</v>
      </c>
      <c r="Z5236">
        <v>0.1343154</v>
      </c>
      <c r="AA5236">
        <v>0.95070500000000002</v>
      </c>
      <c r="AB5236">
        <v>31</v>
      </c>
      <c r="AC5236">
        <v>1.1300000000005601E-2</v>
      </c>
      <c r="AD5236">
        <v>-0.140370199999999</v>
      </c>
      <c r="AE5236">
        <v>-0.46331699999999998</v>
      </c>
      <c r="AF5236">
        <v>0.18410945726141301</v>
      </c>
      <c r="AG5236">
        <v>-0.140370199999999</v>
      </c>
      <c r="AH5236">
        <v>0.38251049132137699</v>
      </c>
      <c r="AI5236">
        <v>108.297107851977</v>
      </c>
      <c r="AJ5236">
        <v>64.297617557880798</v>
      </c>
      <c r="AK5236">
        <v>0.4471178382396</v>
      </c>
      <c r="AL5236">
        <v>66.917335098999303</v>
      </c>
      <c r="AM5236">
        <v>78.757932633053599</v>
      </c>
      <c r="AN5236">
        <v>0.99999999370482495</v>
      </c>
    </row>
    <row r="5237" spans="1:40" x14ac:dyDescent="0.25">
      <c r="A5237" t="str">
        <f>"20190304164514276"</f>
        <v>20190304164514276</v>
      </c>
      <c r="B5237" t="str">
        <f>"1551689114265022"</f>
        <v>1551689114265022</v>
      </c>
      <c r="C5237" t="s">
        <v>40</v>
      </c>
      <c r="D5237">
        <v>5.5985610000000001</v>
      </c>
      <c r="E5237">
        <v>0.56753169999999897</v>
      </c>
      <c r="F5237" t="s">
        <v>41</v>
      </c>
      <c r="G5237">
        <v>-304.65300000000002</v>
      </c>
      <c r="H5237">
        <v>0.90786719999999999</v>
      </c>
      <c r="I5237">
        <v>4.1492789999999999</v>
      </c>
      <c r="J5237">
        <v>-304.64859999999999</v>
      </c>
      <c r="K5237">
        <v>1.0435669999999999</v>
      </c>
      <c r="L5237">
        <v>4.5797730000000003</v>
      </c>
      <c r="M5237">
        <v>0.4371254</v>
      </c>
      <c r="N5237">
        <v>-1.7473869999999999E-2</v>
      </c>
      <c r="O5237">
        <v>-0.89923069999999905</v>
      </c>
      <c r="P5237">
        <v>0.25357819999999998</v>
      </c>
      <c r="Q5237">
        <v>0.38462639999999998</v>
      </c>
      <c r="R5237">
        <v>-0.88755859999999998</v>
      </c>
      <c r="S5237">
        <v>0.61343380000000003</v>
      </c>
      <c r="T5237">
        <v>-0.65445769999999903</v>
      </c>
      <c r="U5237">
        <v>-3.4926759999999999</v>
      </c>
      <c r="V5237">
        <v>0.1765341</v>
      </c>
      <c r="W5237">
        <v>0.39343410000000001</v>
      </c>
      <c r="X5237">
        <v>0.90224459999999995</v>
      </c>
      <c r="Y5237">
        <v>0.27614640000000001</v>
      </c>
      <c r="Z5237">
        <v>0.13567939999999901</v>
      </c>
      <c r="AA5237">
        <v>0.95149050000000002</v>
      </c>
      <c r="AB5237">
        <v>31</v>
      </c>
      <c r="AC5237">
        <v>-4.4000000000323702E-3</v>
      </c>
      <c r="AD5237">
        <v>-0.13569980000000001</v>
      </c>
      <c r="AE5237">
        <v>-0.43049399999999999</v>
      </c>
      <c r="AF5237">
        <v>0.17479910585479699</v>
      </c>
      <c r="AG5237">
        <v>-0.13569980000000001</v>
      </c>
      <c r="AH5237">
        <v>0.35043257127920002</v>
      </c>
      <c r="AI5237">
        <v>109.112146130159</v>
      </c>
      <c r="AJ5237">
        <v>63.4895419704144</v>
      </c>
      <c r="AK5237">
        <v>0.41445403863519997</v>
      </c>
      <c r="AL5237">
        <v>66.831651354327903</v>
      </c>
      <c r="AM5237">
        <v>78.929309188010805</v>
      </c>
      <c r="AN5237">
        <v>0.99999999886738999</v>
      </c>
    </row>
    <row r="5238" spans="1:40" x14ac:dyDescent="0.25">
      <c r="A5238" t="str">
        <f>"20190304164514300"</f>
        <v>20190304164514300</v>
      </c>
      <c r="B5238" t="str">
        <f>"1551689114295278"</f>
        <v>1551689114295278</v>
      </c>
      <c r="C5238" t="s">
        <v>40</v>
      </c>
      <c r="D5238">
        <v>5.5815789999999996</v>
      </c>
      <c r="E5238">
        <v>0.56729940000000001</v>
      </c>
      <c r="F5238" t="s">
        <v>42</v>
      </c>
      <c r="G5238">
        <v>-303.70209999999997</v>
      </c>
      <c r="H5238" s="1">
        <v>-4.4681399999999999E-6</v>
      </c>
      <c r="I5238">
        <v>-1.624557</v>
      </c>
      <c r="J5238">
        <v>-304.51859999999999</v>
      </c>
      <c r="K5238">
        <v>1.043528</v>
      </c>
      <c r="L5238">
        <v>4.2723389999999997</v>
      </c>
      <c r="M5238">
        <v>0.4178328</v>
      </c>
      <c r="N5238">
        <v>-1.7503109999999999E-2</v>
      </c>
      <c r="O5238">
        <v>-0.90835540000000004</v>
      </c>
      <c r="P5238">
        <v>0.2376318</v>
      </c>
      <c r="Q5238">
        <v>0.38664939999999998</v>
      </c>
      <c r="R5238">
        <v>-0.89108589999999999</v>
      </c>
      <c r="S5238">
        <v>0.53118900000000002</v>
      </c>
      <c r="T5238">
        <v>-0.58569369999999998</v>
      </c>
      <c r="U5238">
        <v>-3.4821170000000001</v>
      </c>
      <c r="V5238">
        <v>0.17318220000000001</v>
      </c>
      <c r="W5238">
        <v>0.39560479999999998</v>
      </c>
      <c r="X5238">
        <v>0.901945</v>
      </c>
      <c r="Y5238">
        <v>0.27679110000000001</v>
      </c>
      <c r="Z5238">
        <v>0.12272039999999999</v>
      </c>
      <c r="AA5238">
        <v>0.95306159999999995</v>
      </c>
      <c r="AB5238">
        <v>31</v>
      </c>
      <c r="AC5238">
        <v>0.81650000000001899</v>
      </c>
      <c r="AD5238">
        <v>-1.04353246814</v>
      </c>
      <c r="AE5238">
        <v>-5.8968959999999999</v>
      </c>
      <c r="AF5238">
        <v>1.6711587489409001</v>
      </c>
      <c r="AG5238">
        <v>-1.04353246814</v>
      </c>
      <c r="AH5238">
        <v>5.5286330804496604</v>
      </c>
      <c r="AI5238">
        <v>100.24152915347599</v>
      </c>
      <c r="AJ5238">
        <v>73.181329252537196</v>
      </c>
      <c r="AK5238">
        <v>5.86920056860101</v>
      </c>
      <c r="AL5238">
        <v>66.696300962299802</v>
      </c>
      <c r="AM5238">
        <v>79.130937969086204</v>
      </c>
      <c r="AN5238">
        <v>1.00000000760244</v>
      </c>
    </row>
    <row r="5239" spans="1:40" x14ac:dyDescent="0.25">
      <c r="A5239" t="str">
        <f>"20190304164514322"</f>
        <v>20190304164514322</v>
      </c>
      <c r="B5239" t="str">
        <f>"1551689114315774"</f>
        <v>1551689114315774</v>
      </c>
      <c r="C5239" t="s">
        <v>40</v>
      </c>
      <c r="D5239">
        <v>5.6642380000000001</v>
      </c>
      <c r="E5239">
        <v>0.56739649999999997</v>
      </c>
      <c r="F5239" t="s">
        <v>42</v>
      </c>
      <c r="G5239">
        <v>-303.6746</v>
      </c>
      <c r="H5239" s="1">
        <v>-4.2984269999999999E-6</v>
      </c>
      <c r="I5239">
        <v>-2.0537779999999999</v>
      </c>
      <c r="J5239">
        <v>-304.399</v>
      </c>
      <c r="K5239">
        <v>1.0435019999999999</v>
      </c>
      <c r="L5239">
        <v>3.9718019999999998</v>
      </c>
      <c r="M5239">
        <v>0.39887669999999997</v>
      </c>
      <c r="N5239">
        <v>-1.7527870000000001E-2</v>
      </c>
      <c r="O5239">
        <v>-0.91683700000000001</v>
      </c>
      <c r="P5239">
        <v>0.2220366</v>
      </c>
      <c r="Q5239">
        <v>0.38906380000000002</v>
      </c>
      <c r="R5239">
        <v>-0.89405230000000002</v>
      </c>
      <c r="S5239">
        <v>0.46597290000000002</v>
      </c>
      <c r="T5239">
        <v>-0.57609330000000003</v>
      </c>
      <c r="U5239">
        <v>-3.4924010000000001</v>
      </c>
      <c r="V5239">
        <v>0.16989209999999999</v>
      </c>
      <c r="W5239">
        <v>0.39816079999999998</v>
      </c>
      <c r="X5239">
        <v>0.90144590000000002</v>
      </c>
      <c r="Y5239">
        <v>0.2746865</v>
      </c>
      <c r="Z5239">
        <v>0.1221945</v>
      </c>
      <c r="AA5239">
        <v>0.95373790000000003</v>
      </c>
      <c r="AB5239">
        <v>31</v>
      </c>
      <c r="AC5239">
        <v>0.72440000000000204</v>
      </c>
      <c r="AD5239">
        <v>-1.043506298427</v>
      </c>
      <c r="AE5239">
        <v>-6.0255799999999997</v>
      </c>
      <c r="AF5239">
        <v>1.6896223594489901</v>
      </c>
      <c r="AG5239">
        <v>-1.043506298427</v>
      </c>
      <c r="AH5239">
        <v>5.6473569699885697</v>
      </c>
      <c r="AI5239">
        <v>100.038758331952</v>
      </c>
      <c r="AJ5239">
        <v>73.343439438124804</v>
      </c>
      <c r="AK5239">
        <v>5.9863486249036004</v>
      </c>
      <c r="AL5239">
        <v>66.536749284585795</v>
      </c>
      <c r="AM5239">
        <v>79.326874011736294</v>
      </c>
      <c r="AN5239">
        <v>1.0000000294629201</v>
      </c>
    </row>
    <row r="5240" spans="1:40" x14ac:dyDescent="0.25">
      <c r="A5240" t="str">
        <f>"20190304164514343"</f>
        <v>20190304164514343</v>
      </c>
      <c r="B5240" t="str">
        <f>"1551689114335294"</f>
        <v>1551689114335294</v>
      </c>
      <c r="C5240" t="s">
        <v>40</v>
      </c>
      <c r="D5240">
        <v>5.7046919999999997</v>
      </c>
      <c r="E5240">
        <v>0.56688549999999904</v>
      </c>
      <c r="F5240" t="s">
        <v>42</v>
      </c>
      <c r="G5240">
        <v>-303.65089999999998</v>
      </c>
      <c r="H5240" s="1">
        <v>-4.0978869999999996E-6</v>
      </c>
      <c r="I5240">
        <v>-2.565051</v>
      </c>
      <c r="J5240">
        <v>-304.29020000000003</v>
      </c>
      <c r="K5240">
        <v>1.0434870000000001</v>
      </c>
      <c r="L5240">
        <v>3.6813959999999999</v>
      </c>
      <c r="M5240">
        <v>0.38047710000000001</v>
      </c>
      <c r="N5240">
        <v>-1.754853E-2</v>
      </c>
      <c r="O5240">
        <v>-0.9246238</v>
      </c>
      <c r="P5240">
        <v>0.20791409999999999</v>
      </c>
      <c r="Q5240">
        <v>0.39117689999999999</v>
      </c>
      <c r="R5240">
        <v>-0.8965225</v>
      </c>
      <c r="S5240">
        <v>0.40045170000000002</v>
      </c>
      <c r="T5240">
        <v>-0.55858359999999996</v>
      </c>
      <c r="U5240">
        <v>-3.4991460000000001</v>
      </c>
      <c r="V5240">
        <v>0.16582749999999999</v>
      </c>
      <c r="W5240">
        <v>0.40045150000000002</v>
      </c>
      <c r="X5240">
        <v>0.90118799999999999</v>
      </c>
      <c r="Y5240">
        <v>0.27327699999999999</v>
      </c>
      <c r="Z5240">
        <v>0.1196612</v>
      </c>
      <c r="AA5240">
        <v>0.95446370000000003</v>
      </c>
      <c r="AB5240">
        <v>31</v>
      </c>
      <c r="AC5240">
        <v>0.63930000000004805</v>
      </c>
      <c r="AD5240">
        <v>-1.043491097887</v>
      </c>
      <c r="AE5240">
        <v>-6.2464469999999999</v>
      </c>
      <c r="AF5240">
        <v>1.7377992399817399</v>
      </c>
      <c r="AG5240">
        <v>-1.043491097887</v>
      </c>
      <c r="AH5240">
        <v>5.8579959226333802</v>
      </c>
      <c r="AI5240">
        <v>99.691201095550099</v>
      </c>
      <c r="AJ5240">
        <v>73.476787763684499</v>
      </c>
      <c r="AK5240">
        <v>6.1987850502691098</v>
      </c>
      <c r="AL5240">
        <v>66.393592730667805</v>
      </c>
      <c r="AM5240">
        <v>79.5736436683178</v>
      </c>
      <c r="AN5240">
        <v>0.99999998747624896</v>
      </c>
    </row>
    <row r="5241" spans="1:40" x14ac:dyDescent="0.25">
      <c r="A5241" t="str">
        <f>"20190304164514365"</f>
        <v>20190304164514365</v>
      </c>
      <c r="B5241" t="str">
        <f>"1551689114355790"</f>
        <v>1551689114355790</v>
      </c>
      <c r="C5241" t="s">
        <v>40</v>
      </c>
      <c r="D5241">
        <v>5.6374810000000002</v>
      </c>
      <c r="E5241">
        <v>0.56601290000000004</v>
      </c>
      <c r="F5241" t="s">
        <v>42</v>
      </c>
      <c r="G5241">
        <v>-303.63049999999998</v>
      </c>
      <c r="H5241" s="1">
        <v>-3.9373399999999998E-6</v>
      </c>
      <c r="I5241">
        <v>-2.9737040000000001</v>
      </c>
      <c r="J5241">
        <v>-304.1866</v>
      </c>
      <c r="K5241">
        <v>1.043472</v>
      </c>
      <c r="L5241">
        <v>3.3875120000000001</v>
      </c>
      <c r="M5241">
        <v>0.36177740000000003</v>
      </c>
      <c r="N5241">
        <v>-1.7566490000000001E-2</v>
      </c>
      <c r="O5241">
        <v>-0.93209909999999996</v>
      </c>
      <c r="P5241">
        <v>0.19551109999999999</v>
      </c>
      <c r="Q5241">
        <v>0.39296209999999998</v>
      </c>
      <c r="R5241">
        <v>-0.89853019999999995</v>
      </c>
      <c r="S5241">
        <v>0.34747309999999998</v>
      </c>
      <c r="T5241">
        <v>-0.54965069999999905</v>
      </c>
      <c r="U5241">
        <v>-3.5055239999999999</v>
      </c>
      <c r="V5241">
        <v>0.15989539999999999</v>
      </c>
      <c r="W5241">
        <v>0.40250019999999997</v>
      </c>
      <c r="X5241">
        <v>0.90134729999999996</v>
      </c>
      <c r="Y5241">
        <v>0.26836480000000001</v>
      </c>
      <c r="Z5241">
        <v>0.11909930000000001</v>
      </c>
      <c r="AA5241">
        <v>0.95592670000000002</v>
      </c>
      <c r="AB5241">
        <v>31</v>
      </c>
      <c r="AC5241">
        <v>0.55610000000001403</v>
      </c>
      <c r="AD5241">
        <v>-1.04347593734</v>
      </c>
      <c r="AE5241">
        <v>-6.3612159999999998</v>
      </c>
      <c r="AF5241">
        <v>1.73689657533119</v>
      </c>
      <c r="AG5241">
        <v>-1.04347593734</v>
      </c>
      <c r="AH5241">
        <v>5.9719382713617399</v>
      </c>
      <c r="AI5241">
        <v>99.524251551444195</v>
      </c>
      <c r="AJ5241">
        <v>73.783296463228496</v>
      </c>
      <c r="AK5241">
        <v>6.3063221026331897</v>
      </c>
      <c r="AL5241">
        <v>66.2654274244275</v>
      </c>
      <c r="AM5241">
        <v>79.940607854731496</v>
      </c>
      <c r="AN5241">
        <v>0.99999995257924301</v>
      </c>
    </row>
    <row r="5242" spans="1:40" x14ac:dyDescent="0.25">
      <c r="A5242" t="str">
        <f>"20190304164514387"</f>
        <v>20190304164514387</v>
      </c>
      <c r="B5242" t="str">
        <f>"1551689114385070"</f>
        <v>1551689114385070</v>
      </c>
      <c r="C5242" t="s">
        <v>40</v>
      </c>
      <c r="D5242">
        <v>5.7351679999999998</v>
      </c>
      <c r="E5242">
        <v>0.56012430000000002</v>
      </c>
      <c r="F5242" t="s">
        <v>42</v>
      </c>
      <c r="G5242">
        <v>-303.61399999999998</v>
      </c>
      <c r="H5242" s="1">
        <v>-3.8003319999999999E-6</v>
      </c>
      <c r="I5242">
        <v>-3.3228620000000002</v>
      </c>
      <c r="J5242">
        <v>-304.08679999999998</v>
      </c>
      <c r="K5242">
        <v>1.043463</v>
      </c>
      <c r="L5242">
        <v>3.0841669999999999</v>
      </c>
      <c r="M5242">
        <v>0.34239730000000002</v>
      </c>
      <c r="N5242">
        <v>-1.7582279999999999E-2</v>
      </c>
      <c r="O5242">
        <v>-0.93939070000000002</v>
      </c>
      <c r="P5242">
        <v>0.18403949999999999</v>
      </c>
      <c r="Q5242">
        <v>0.39485880000000001</v>
      </c>
      <c r="R5242">
        <v>-0.90012000000000003</v>
      </c>
      <c r="S5242">
        <v>0.2997437</v>
      </c>
      <c r="T5242">
        <v>-0.54619280000000003</v>
      </c>
      <c r="U5242">
        <v>-3.512451</v>
      </c>
      <c r="V5242">
        <v>0.15247829999999901</v>
      </c>
      <c r="W5242">
        <v>0.4047248</v>
      </c>
      <c r="X5242">
        <v>0.9016364</v>
      </c>
      <c r="Y5242">
        <v>0.26149640000000002</v>
      </c>
      <c r="Z5242">
        <v>0.119795899999999</v>
      </c>
      <c r="AA5242">
        <v>0.95774139999999996</v>
      </c>
      <c r="AB5242">
        <v>31</v>
      </c>
      <c r="AC5242">
        <v>0.47279999999994898</v>
      </c>
      <c r="AD5242">
        <v>-1.043466800332</v>
      </c>
      <c r="AE5242">
        <v>-6.4070289999999996</v>
      </c>
      <c r="AF5242">
        <v>1.7048997143291</v>
      </c>
      <c r="AG5242">
        <v>-1.043466800332</v>
      </c>
      <c r="AH5242">
        <v>6.0226629402995702</v>
      </c>
      <c r="AI5242">
        <v>99.464512549552296</v>
      </c>
      <c r="AJ5242">
        <v>74.194205462639005</v>
      </c>
      <c r="AK5242">
        <v>6.3457052320268099</v>
      </c>
      <c r="AL5242">
        <v>66.126117073168302</v>
      </c>
      <c r="AM5242">
        <v>80.401364218833095</v>
      </c>
      <c r="AN5242">
        <v>0.99999999675544404</v>
      </c>
    </row>
    <row r="5243" spans="1:40" x14ac:dyDescent="0.25">
      <c r="A5243" t="str">
        <f>"20190304164514411"</f>
        <v>20190304164514411</v>
      </c>
      <c r="B5243" t="str">
        <f>"1551689114405566"</f>
        <v>1551689114405566</v>
      </c>
      <c r="C5243" t="s">
        <v>40</v>
      </c>
      <c r="D5243">
        <v>5.6294639999999996</v>
      </c>
      <c r="E5243">
        <v>0.55898879999999995</v>
      </c>
      <c r="F5243" t="s">
        <v>41</v>
      </c>
      <c r="G5243">
        <v>-304.01780000000002</v>
      </c>
      <c r="H5243">
        <v>0.91181659999999998</v>
      </c>
      <c r="I5243">
        <v>2.273139</v>
      </c>
      <c r="J5243">
        <v>-303.9896</v>
      </c>
      <c r="K5243">
        <v>1.043466</v>
      </c>
      <c r="L5243">
        <v>2.7666930000000001</v>
      </c>
      <c r="M5243">
        <v>0.32203490000000001</v>
      </c>
      <c r="N5243">
        <v>-1.7596359999999998E-2</v>
      </c>
      <c r="O5243">
        <v>-0.94656439999999997</v>
      </c>
      <c r="P5243">
        <v>0.1716916</v>
      </c>
      <c r="Q5243">
        <v>0.39594259999999998</v>
      </c>
      <c r="R5243">
        <v>-0.9020821</v>
      </c>
      <c r="S5243">
        <v>0.29956050000000001</v>
      </c>
      <c r="T5243">
        <v>-0.57001029999999997</v>
      </c>
      <c r="U5243">
        <v>-3.5216980000000002</v>
      </c>
      <c r="V5243">
        <v>0.1452128</v>
      </c>
      <c r="W5243">
        <v>0.40613440000000001</v>
      </c>
      <c r="X5243">
        <v>0.90220180000000005</v>
      </c>
      <c r="Y5243">
        <v>0.24096799999999999</v>
      </c>
      <c r="Z5243">
        <v>0.1273658</v>
      </c>
      <c r="AA5243">
        <v>0.96213950000000004</v>
      </c>
      <c r="AB5243">
        <v>31</v>
      </c>
      <c r="AC5243">
        <v>-2.82000000000266E-2</v>
      </c>
      <c r="AD5243">
        <v>-0.1316494</v>
      </c>
      <c r="AE5243">
        <v>-0.49355399999999999</v>
      </c>
      <c r="AF5243">
        <v>0.17336859608824401</v>
      </c>
      <c r="AG5243">
        <v>-0.1316494</v>
      </c>
      <c r="AH5243">
        <v>0.42782956749721401</v>
      </c>
      <c r="AI5243">
        <v>105.91755565049399</v>
      </c>
      <c r="AJ5243">
        <v>67.940822027994102</v>
      </c>
      <c r="AK5243">
        <v>0.48002747156264097</v>
      </c>
      <c r="AL5243">
        <v>66.037765915778394</v>
      </c>
      <c r="AM5243">
        <v>80.856446893997003</v>
      </c>
      <c r="AN5243">
        <v>0.99999999803521999</v>
      </c>
    </row>
    <row r="5244" spans="1:40" x14ac:dyDescent="0.25">
      <c r="A5244" t="str">
        <f>"20190304164514432"</f>
        <v>20190304164514432</v>
      </c>
      <c r="B5244" t="str">
        <f>"1551689114425086"</f>
        <v>1551689114425086</v>
      </c>
      <c r="C5244" t="s">
        <v>40</v>
      </c>
      <c r="D5244">
        <v>5.5715519999999996</v>
      </c>
      <c r="E5244">
        <v>0.55868189999999995</v>
      </c>
      <c r="F5244" t="s">
        <v>41</v>
      </c>
      <c r="G5244">
        <v>-303.93329999999997</v>
      </c>
      <c r="H5244">
        <v>0.91831399999999996</v>
      </c>
      <c r="I5244">
        <v>2.003063</v>
      </c>
      <c r="J5244">
        <v>-303.90570000000002</v>
      </c>
      <c r="K5244">
        <v>1.0434760000000001</v>
      </c>
      <c r="L5244">
        <v>2.4705810000000001</v>
      </c>
      <c r="M5244">
        <v>0.30297540000000001</v>
      </c>
      <c r="N5244">
        <v>-1.760741E-2</v>
      </c>
      <c r="O5244">
        <v>-0.95283569999999995</v>
      </c>
      <c r="P5244">
        <v>0.16206679999999901</v>
      </c>
      <c r="Q5244">
        <v>0.39724080000000001</v>
      </c>
      <c r="R5244">
        <v>-0.90329079999999995</v>
      </c>
      <c r="S5244">
        <v>0.26025389999999998</v>
      </c>
      <c r="T5244">
        <v>-0.57914529999999997</v>
      </c>
      <c r="U5244">
        <v>-3.5303040000000001</v>
      </c>
      <c r="V5244">
        <v>0.13654810000000001</v>
      </c>
      <c r="W5244">
        <v>0.4078174</v>
      </c>
      <c r="X5244">
        <v>0.90279540000000003</v>
      </c>
      <c r="Y5244">
        <v>0.23237099999999999</v>
      </c>
      <c r="Z5244">
        <v>0.1309545</v>
      </c>
      <c r="AA5244">
        <v>0.96377100000000004</v>
      </c>
      <c r="AB5244">
        <v>31</v>
      </c>
      <c r="AC5244">
        <v>-2.75999999999498E-2</v>
      </c>
      <c r="AD5244">
        <v>-0.125162</v>
      </c>
      <c r="AE5244">
        <v>-0.46751799999999999</v>
      </c>
      <c r="AF5244">
        <v>0.156773540883793</v>
      </c>
      <c r="AG5244">
        <v>-0.125162</v>
      </c>
      <c r="AH5244">
        <v>0.40803076207664302</v>
      </c>
      <c r="AI5244">
        <v>105.978450965102</v>
      </c>
      <c r="AJ5244">
        <v>68.982230858458195</v>
      </c>
      <c r="AK5244">
        <v>0.454678537173341</v>
      </c>
      <c r="AL5244">
        <v>65.932198523953502</v>
      </c>
      <c r="AM5244">
        <v>81.399185176595196</v>
      </c>
      <c r="AN5244">
        <v>0.99999997480876401</v>
      </c>
    </row>
    <row r="5245" spans="1:40" x14ac:dyDescent="0.25">
      <c r="A5245" t="str">
        <f>"20190304164514455"</f>
        <v>20190304164514455</v>
      </c>
      <c r="B5245" t="str">
        <f>"1551689114445582"</f>
        <v>1551689114445582</v>
      </c>
      <c r="C5245" t="s">
        <v>40</v>
      </c>
      <c r="D5245">
        <v>5.5700269999999996</v>
      </c>
      <c r="E5245">
        <v>0.55828759999999999</v>
      </c>
      <c r="F5245" t="s">
        <v>41</v>
      </c>
      <c r="G5245">
        <v>-303.85890000000001</v>
      </c>
      <c r="H5245">
        <v>0.92309359999999996</v>
      </c>
      <c r="I5245">
        <v>1.7306009999999901</v>
      </c>
      <c r="J5245">
        <v>-303.82769999999999</v>
      </c>
      <c r="K5245">
        <v>1.0434870000000001</v>
      </c>
      <c r="L5245">
        <v>2.171173</v>
      </c>
      <c r="M5245">
        <v>0.28364479999999997</v>
      </c>
      <c r="N5245">
        <v>-1.76165E-2</v>
      </c>
      <c r="O5245">
        <v>-0.95876760000000005</v>
      </c>
      <c r="P5245">
        <v>0.14949589999999999</v>
      </c>
      <c r="Q5245">
        <v>0.3979065</v>
      </c>
      <c r="R5245">
        <v>-0.90516370000000002</v>
      </c>
      <c r="S5245">
        <v>0.2229004</v>
      </c>
      <c r="T5245">
        <v>-0.57324580000000003</v>
      </c>
      <c r="U5245">
        <v>-3.5332949999999999</v>
      </c>
      <c r="V5245">
        <v>0.13074369999999999</v>
      </c>
      <c r="W5245">
        <v>0.40874369999999999</v>
      </c>
      <c r="X5245">
        <v>0.90323569999999997</v>
      </c>
      <c r="Y5245">
        <v>0.2229138</v>
      </c>
      <c r="Z5245">
        <v>0.13094149999999999</v>
      </c>
      <c r="AA5245">
        <v>0.96600399999999997</v>
      </c>
      <c r="AB5245">
        <v>31</v>
      </c>
      <c r="AC5245">
        <v>-3.1200000000012499E-2</v>
      </c>
      <c r="AD5245">
        <v>-0.1203934</v>
      </c>
      <c r="AE5245">
        <v>-0.44057200000000002</v>
      </c>
      <c r="AF5245">
        <v>0.14418997571981301</v>
      </c>
      <c r="AG5245">
        <v>-0.1203934</v>
      </c>
      <c r="AH5245">
        <v>0.38501345201731901</v>
      </c>
      <c r="AI5245">
        <v>106.321977432693</v>
      </c>
      <c r="AJ5245">
        <v>69.468756689455006</v>
      </c>
      <c r="AK5245">
        <v>0.42839313497759601</v>
      </c>
      <c r="AL5245">
        <v>65.874060331965495</v>
      </c>
      <c r="AM5245">
        <v>81.7636216001099</v>
      </c>
      <c r="AN5245">
        <v>1.0000000285669299</v>
      </c>
    </row>
    <row r="5246" spans="1:40" x14ac:dyDescent="0.25">
      <c r="A5246" t="str">
        <f>"20190304164514477"</f>
        <v>20190304164514477</v>
      </c>
      <c r="B5246" t="str">
        <f>"1551689114465102"</f>
        <v>1551689114465102</v>
      </c>
      <c r="C5246" t="s">
        <v>40</v>
      </c>
      <c r="D5246">
        <v>5.6547409999999996</v>
      </c>
      <c r="E5246">
        <v>0.55793990000000004</v>
      </c>
      <c r="F5246" t="s">
        <v>41</v>
      </c>
      <c r="G5246">
        <v>-303.77910000000003</v>
      </c>
      <c r="H5246">
        <v>0.88475780000000004</v>
      </c>
      <c r="I5246">
        <v>1.189424</v>
      </c>
      <c r="J5246">
        <v>-303.75310000000002</v>
      </c>
      <c r="K5246">
        <v>1.043504</v>
      </c>
      <c r="L5246">
        <v>1.8571169999999999</v>
      </c>
      <c r="M5246">
        <v>0.26331500000000002</v>
      </c>
      <c r="N5246">
        <v>-1.7623079999999999E-2</v>
      </c>
      <c r="O5246">
        <v>-0.96454890000000004</v>
      </c>
      <c r="P5246">
        <v>0.14015039999999901</v>
      </c>
      <c r="Q5246">
        <v>0.39804689999999998</v>
      </c>
      <c r="R5246">
        <v>-0.90659619999999996</v>
      </c>
      <c r="S5246">
        <v>0.17477419999999999</v>
      </c>
      <c r="T5246">
        <v>-0.57067679999999998</v>
      </c>
      <c r="U5246">
        <v>-3.5363159999999998</v>
      </c>
      <c r="V5246">
        <v>0.120877399999999</v>
      </c>
      <c r="W5246">
        <v>0.40932679999999999</v>
      </c>
      <c r="X5246">
        <v>0.90434519999999996</v>
      </c>
      <c r="Y5246">
        <v>0.21547749999999999</v>
      </c>
      <c r="Z5246">
        <v>0.13166989999999901</v>
      </c>
      <c r="AA5246">
        <v>0.96759110000000004</v>
      </c>
      <c r="AB5246">
        <v>31</v>
      </c>
      <c r="AC5246">
        <v>-2.60000000000104E-2</v>
      </c>
      <c r="AD5246">
        <v>-0.158746199999999</v>
      </c>
      <c r="AE5246">
        <v>-0.66769299999999898</v>
      </c>
      <c r="AF5246">
        <v>0.19018861932944101</v>
      </c>
      <c r="AG5246">
        <v>-0.158746199999999</v>
      </c>
      <c r="AH5246">
        <v>0.60322850179954302</v>
      </c>
      <c r="AI5246">
        <v>104.089191785957</v>
      </c>
      <c r="AJ5246">
        <v>72.500742700289607</v>
      </c>
      <c r="AK5246">
        <v>0.65211708482465003</v>
      </c>
      <c r="AL5246">
        <v>65.837447758500403</v>
      </c>
      <c r="AM5246">
        <v>82.386804610720802</v>
      </c>
      <c r="AN5246">
        <v>1.0000000078960101</v>
      </c>
    </row>
    <row r="5247" spans="1:40" x14ac:dyDescent="0.25">
      <c r="A5247" t="str">
        <f>"20190304164514502"</f>
        <v>20190304164514502</v>
      </c>
      <c r="B5247" t="str">
        <f>"1551689114495359"</f>
        <v>1551689114495359</v>
      </c>
      <c r="C5247" t="s">
        <v>40</v>
      </c>
      <c r="D5247">
        <v>5.6100269999999997</v>
      </c>
      <c r="E5247">
        <v>0.557129599999999</v>
      </c>
      <c r="F5247" t="s">
        <v>41</v>
      </c>
      <c r="G5247">
        <v>-303.71719999999999</v>
      </c>
      <c r="H5247">
        <v>0.89181029999999994</v>
      </c>
      <c r="I5247">
        <v>0.91502879999999998</v>
      </c>
      <c r="J5247">
        <v>-303.68290000000002</v>
      </c>
      <c r="K5247">
        <v>1.0435239999999999</v>
      </c>
      <c r="L5247">
        <v>1.530365</v>
      </c>
      <c r="M5247">
        <v>0.2421075</v>
      </c>
      <c r="N5247">
        <v>-1.7626050000000001E-2</v>
      </c>
      <c r="O5247">
        <v>-0.97008939999999999</v>
      </c>
      <c r="P5247">
        <v>0.12939100000000001</v>
      </c>
      <c r="Q5247">
        <v>0.39833400000000002</v>
      </c>
      <c r="R5247">
        <v>-0.90806819999999999</v>
      </c>
      <c r="S5247">
        <v>0.1348877</v>
      </c>
      <c r="T5247">
        <v>-0.56915879999999996</v>
      </c>
      <c r="U5247">
        <v>-3.538116</v>
      </c>
      <c r="V5247">
        <v>0.1116751</v>
      </c>
      <c r="W5247">
        <v>0.41002230000000001</v>
      </c>
      <c r="X5247">
        <v>0.90521289999999999</v>
      </c>
      <c r="Y5247">
        <v>0.20499600000000001</v>
      </c>
      <c r="Z5247">
        <v>0.13269230000000001</v>
      </c>
      <c r="AA5247">
        <v>0.96972639999999999</v>
      </c>
      <c r="AB5247">
        <v>31</v>
      </c>
      <c r="AC5247">
        <v>-3.4299999999973303E-2</v>
      </c>
      <c r="AD5247">
        <v>-0.15171369999999901</v>
      </c>
      <c r="AE5247">
        <v>-0.615336199999999</v>
      </c>
      <c r="AF5247">
        <v>0.17186476034908901</v>
      </c>
      <c r="AG5247">
        <v>-0.15171369999999901</v>
      </c>
      <c r="AH5247">
        <v>0.555080032413793</v>
      </c>
      <c r="AI5247">
        <v>104.632709045711</v>
      </c>
      <c r="AJ5247">
        <v>72.796346500366198</v>
      </c>
      <c r="AK5247">
        <v>0.60055672921218495</v>
      </c>
      <c r="AL5247">
        <v>65.793764453001501</v>
      </c>
      <c r="AM5247">
        <v>82.967020653338693</v>
      </c>
      <c r="AN5247">
        <v>1.00000000439185</v>
      </c>
    </row>
    <row r="5248" spans="1:40" x14ac:dyDescent="0.25">
      <c r="A5248" t="str">
        <f>"20190304164514525"</f>
        <v>20190304164514525</v>
      </c>
      <c r="B5248" t="str">
        <f>"1551689114515853"</f>
        <v>1551689114515853</v>
      </c>
      <c r="C5248" t="s">
        <v>40</v>
      </c>
      <c r="D5248">
        <v>5.6478710000000003</v>
      </c>
      <c r="E5248">
        <v>0.55675730000000001</v>
      </c>
      <c r="F5248" t="s">
        <v>41</v>
      </c>
      <c r="G5248">
        <v>-303.65899999999999</v>
      </c>
      <c r="H5248">
        <v>0.89920719999999998</v>
      </c>
      <c r="I5248">
        <v>0.63974359999999997</v>
      </c>
      <c r="J5248">
        <v>-303.62049999999999</v>
      </c>
      <c r="K5248">
        <v>1.04355</v>
      </c>
      <c r="L5248">
        <v>1.2054750000000001</v>
      </c>
      <c r="M5248">
        <v>0.22098499999999999</v>
      </c>
      <c r="N5248">
        <v>-1.762505E-2</v>
      </c>
      <c r="O5248">
        <v>-0.97511789999999998</v>
      </c>
      <c r="P5248">
        <v>0.1187848</v>
      </c>
      <c r="Q5248">
        <v>0.39852769999999998</v>
      </c>
      <c r="R5248">
        <v>-0.90943189999999996</v>
      </c>
      <c r="S5248">
        <v>9.47876E-2</v>
      </c>
      <c r="T5248">
        <v>-0.57318230000000003</v>
      </c>
      <c r="U5248">
        <v>-3.5416560000000001</v>
      </c>
      <c r="V5248">
        <v>0.10247970000000001</v>
      </c>
      <c r="W5248">
        <v>0.41062109999999902</v>
      </c>
      <c r="X5248">
        <v>0.90602879999999997</v>
      </c>
      <c r="Y5248">
        <v>0.1947615</v>
      </c>
      <c r="Z5248">
        <v>0.13494100000000001</v>
      </c>
      <c r="AA5248">
        <v>0.97152400000000005</v>
      </c>
      <c r="AB5248">
        <v>31</v>
      </c>
      <c r="AC5248">
        <v>-3.8499999999999E-2</v>
      </c>
      <c r="AD5248">
        <v>-0.14434279999999999</v>
      </c>
      <c r="AE5248">
        <v>-0.5657314</v>
      </c>
      <c r="AF5248">
        <v>0.15269132878175101</v>
      </c>
      <c r="AG5248">
        <v>-0.14434279999999999</v>
      </c>
      <c r="AH5248">
        <v>0.51017299735474197</v>
      </c>
      <c r="AI5248">
        <v>105.165612932388</v>
      </c>
      <c r="AJ5248">
        <v>73.337913839930494</v>
      </c>
      <c r="AK5248">
        <v>0.55174810650051098</v>
      </c>
      <c r="AL5248">
        <v>65.756142219921301</v>
      </c>
      <c r="AM5248">
        <v>83.546778024452195</v>
      </c>
      <c r="AN5248">
        <v>0.999999981553369</v>
      </c>
    </row>
    <row r="5249" spans="1:40" x14ac:dyDescent="0.25">
      <c r="A5249" t="str">
        <f>"20190304164514550"</f>
        <v>20190304164514550</v>
      </c>
      <c r="B5249" t="str">
        <f>"1551689114545134"</f>
        <v>1551689114545134</v>
      </c>
      <c r="C5249" t="s">
        <v>40</v>
      </c>
      <c r="D5249">
        <v>5.7152219999999998</v>
      </c>
      <c r="E5249">
        <v>0.55624560000000001</v>
      </c>
      <c r="F5249" t="s">
        <v>41</v>
      </c>
      <c r="G5249">
        <v>-303.60809999999998</v>
      </c>
      <c r="H5249">
        <v>0.90671400000000002</v>
      </c>
      <c r="I5249">
        <v>0.36300189999999999</v>
      </c>
      <c r="J5249">
        <v>-303.56200000000001</v>
      </c>
      <c r="K5249">
        <v>1.043887</v>
      </c>
      <c r="L5249">
        <v>0.86248780000000003</v>
      </c>
      <c r="M5249">
        <v>0.1984795</v>
      </c>
      <c r="N5249">
        <v>-1.7857999999999999E-2</v>
      </c>
      <c r="O5249">
        <v>-0.97994230000000004</v>
      </c>
      <c r="P5249">
        <v>0.1067096</v>
      </c>
      <c r="Q5249">
        <v>0.3980841</v>
      </c>
      <c r="R5249">
        <v>-0.91112119999999996</v>
      </c>
      <c r="S5249">
        <v>5.2001949999999998E-2</v>
      </c>
      <c r="T5249">
        <v>-0.57516840000000002</v>
      </c>
      <c r="U5249">
        <v>-3.5440369999999999</v>
      </c>
      <c r="V5249">
        <v>9.3330129999999997E-2</v>
      </c>
      <c r="W5249">
        <v>0.41084189999999998</v>
      </c>
      <c r="X5249">
        <v>0.90691699999999997</v>
      </c>
      <c r="Y5249">
        <v>0.18393119999999999</v>
      </c>
      <c r="Z5249">
        <v>0.13643659999999999</v>
      </c>
      <c r="AA5249">
        <v>0.97342410000000001</v>
      </c>
      <c r="AB5249">
        <v>31</v>
      </c>
      <c r="AC5249">
        <v>-4.6099999999967098E-2</v>
      </c>
      <c r="AD5249">
        <v>-0.13717299999999999</v>
      </c>
      <c r="AE5249">
        <v>-0.49948589999999998</v>
      </c>
      <c r="AF5249">
        <v>0.134293134703834</v>
      </c>
      <c r="AG5249">
        <v>-0.13717299999999999</v>
      </c>
      <c r="AH5249">
        <v>0.44696814423015302</v>
      </c>
      <c r="AI5249">
        <v>106.378954229591</v>
      </c>
      <c r="AJ5249">
        <v>73.276921557562304</v>
      </c>
      <c r="AK5249">
        <v>0.48644794162801203</v>
      </c>
      <c r="AL5249">
        <v>65.742267699879307</v>
      </c>
      <c r="AM5249">
        <v>84.124418613051105</v>
      </c>
      <c r="AN5249">
        <v>1.00000001242521</v>
      </c>
    </row>
    <row r="5250" spans="1:40" x14ac:dyDescent="0.25">
      <c r="A5250" t="str">
        <f>"20190304164514571"</f>
        <v>20190304164514571</v>
      </c>
      <c r="B5250" t="str">
        <f>"1551689114565162"</f>
        <v>1551689114565162</v>
      </c>
      <c r="C5250" t="s">
        <v>40</v>
      </c>
      <c r="D5250">
        <v>5.6442300000000003</v>
      </c>
      <c r="E5250">
        <v>0.55584069999999997</v>
      </c>
      <c r="F5250" t="s">
        <v>41</v>
      </c>
      <c r="G5250">
        <v>-303.55970000000002</v>
      </c>
      <c r="H5250">
        <v>0.91720860000000004</v>
      </c>
      <c r="I5250">
        <v>8.5801059999999998E-2</v>
      </c>
      <c r="J5250">
        <v>-303.51900000000001</v>
      </c>
      <c r="K5250">
        <v>1.0447610000000001</v>
      </c>
      <c r="L5250">
        <v>0.57977290000000004</v>
      </c>
      <c r="M5250">
        <v>0.18079590000000001</v>
      </c>
      <c r="N5250">
        <v>-1.854132E-2</v>
      </c>
      <c r="O5250">
        <v>-0.98334580000000005</v>
      </c>
      <c r="P5250">
        <v>9.9064949999999999E-2</v>
      </c>
      <c r="Q5250">
        <v>0.3962928</v>
      </c>
      <c r="R5250">
        <v>-0.91276400000000002</v>
      </c>
      <c r="S5250">
        <v>1.010132E-2</v>
      </c>
      <c r="T5250">
        <v>-0.57708000000000004</v>
      </c>
      <c r="U5250">
        <v>-3.5436100000000001</v>
      </c>
      <c r="V5250">
        <v>8.4084610000000004E-2</v>
      </c>
      <c r="W5250">
        <v>0.41016799999999998</v>
      </c>
      <c r="X5250">
        <v>0.90812550000000003</v>
      </c>
      <c r="Y5250">
        <v>0.17773149999999999</v>
      </c>
      <c r="Z5250">
        <v>0.1371743</v>
      </c>
      <c r="AA5250">
        <v>0.97447150000000005</v>
      </c>
      <c r="AB5250">
        <v>31</v>
      </c>
      <c r="AC5250">
        <v>-4.0700000000015203E-2</v>
      </c>
      <c r="AD5250">
        <v>-0.12755240000000001</v>
      </c>
      <c r="AE5250">
        <v>-0.49397184</v>
      </c>
      <c r="AF5250">
        <v>0.1213179836519</v>
      </c>
      <c r="AG5250">
        <v>-0.12755240000000001</v>
      </c>
      <c r="AH5250">
        <v>0.44874970463765801</v>
      </c>
      <c r="AI5250">
        <v>105.34370754890401</v>
      </c>
      <c r="AJ5250">
        <v>74.871913926431603</v>
      </c>
      <c r="AK5250">
        <v>0.48204145601338899</v>
      </c>
      <c r="AL5250">
        <v>65.784610410151103</v>
      </c>
      <c r="AM5250">
        <v>84.709986633187398</v>
      </c>
      <c r="AN5250">
        <v>0.99999996680655001</v>
      </c>
    </row>
    <row r="5251" spans="1:40" x14ac:dyDescent="0.25">
      <c r="A5251" t="str">
        <f>"20190304164514592"</f>
        <v>20190304164514592</v>
      </c>
      <c r="B5251" t="str">
        <f>"1551689114585658"</f>
        <v>1551689114585658</v>
      </c>
      <c r="C5251" t="s">
        <v>40</v>
      </c>
      <c r="D5251">
        <v>5.7211290000000004</v>
      </c>
      <c r="E5251">
        <v>0.55567489999999997</v>
      </c>
      <c r="F5251" t="s">
        <v>41</v>
      </c>
      <c r="G5251">
        <v>-303.52120000000002</v>
      </c>
      <c r="H5251">
        <v>0.91825889999999999</v>
      </c>
      <c r="I5251">
        <v>-0.18517990000000001</v>
      </c>
      <c r="J5251">
        <v>-303.47770000000003</v>
      </c>
      <c r="K5251">
        <v>1.045409</v>
      </c>
      <c r="L5251">
        <v>0.27383420000000003</v>
      </c>
      <c r="M5251">
        <v>0.1620965</v>
      </c>
      <c r="N5251">
        <v>-1.886908E-2</v>
      </c>
      <c r="O5251">
        <v>-0.98659470000000005</v>
      </c>
      <c r="P5251">
        <v>8.9898619999999999E-2</v>
      </c>
      <c r="Q5251">
        <v>0.39491660000000001</v>
      </c>
      <c r="R5251">
        <v>-0.91430840000000002</v>
      </c>
      <c r="S5251">
        <v>-1.037598E-2</v>
      </c>
      <c r="T5251">
        <v>-0.58591380000000004</v>
      </c>
      <c r="U5251">
        <v>-3.5422359999999999</v>
      </c>
      <c r="V5251">
        <v>7.587679E-2</v>
      </c>
      <c r="W5251">
        <v>0.40944989999999998</v>
      </c>
      <c r="X5251">
        <v>0.90917190000000003</v>
      </c>
      <c r="Y5251">
        <v>0.1646841</v>
      </c>
      <c r="Z5251">
        <v>0.14020260000000001</v>
      </c>
      <c r="AA5251">
        <v>0.97633110000000001</v>
      </c>
      <c r="AB5251">
        <v>30</v>
      </c>
      <c r="AC5251">
        <v>-4.3499999999994501E-2</v>
      </c>
      <c r="AD5251">
        <v>-0.12715009999999999</v>
      </c>
      <c r="AE5251">
        <v>-0.45901409999999998</v>
      </c>
      <c r="AF5251">
        <v>0.109049144217267</v>
      </c>
      <c r="AG5251">
        <v>-0.12715009999999999</v>
      </c>
      <c r="AH5251">
        <v>0.41437575791381298</v>
      </c>
      <c r="AI5251">
        <v>106.52792620189</v>
      </c>
      <c r="AJ5251">
        <v>75.256063168390199</v>
      </c>
      <c r="AK5251">
        <v>0.44695204723904802</v>
      </c>
      <c r="AL5251">
        <v>65.829717598923196</v>
      </c>
      <c r="AM5251">
        <v>85.229319745381005</v>
      </c>
      <c r="AN5251">
        <v>1.00000002581016</v>
      </c>
    </row>
    <row r="5252" spans="1:40" x14ac:dyDescent="0.25">
      <c r="A5252" t="str">
        <f>"20190304164514612"</f>
        <v>20190304164514612</v>
      </c>
      <c r="B5252" t="str">
        <f>"1551689114605178"</f>
        <v>1551689114605178</v>
      </c>
      <c r="C5252" t="s">
        <v>40</v>
      </c>
      <c r="D5252">
        <v>5.6803140000000001</v>
      </c>
      <c r="E5252">
        <v>0.54662449999999996</v>
      </c>
      <c r="F5252" t="s">
        <v>41</v>
      </c>
      <c r="G5252">
        <v>-303.48680000000002</v>
      </c>
      <c r="H5252">
        <v>0.92302830000000002</v>
      </c>
      <c r="I5252">
        <v>-0.45724009999999998</v>
      </c>
      <c r="J5252">
        <v>-303.4477</v>
      </c>
      <c r="K5252">
        <v>1.045733</v>
      </c>
      <c r="L5252">
        <v>1.010132E-2</v>
      </c>
      <c r="M5252">
        <v>0.14556359999999999</v>
      </c>
      <c r="N5252">
        <v>-1.7940069999999999E-2</v>
      </c>
      <c r="O5252">
        <v>-0.98918629999999996</v>
      </c>
      <c r="P5252">
        <v>8.3624270000000001E-2</v>
      </c>
      <c r="Q5252">
        <v>0.39404640000000002</v>
      </c>
      <c r="R5252">
        <v>-0.91527849999999999</v>
      </c>
      <c r="S5252">
        <v>-4.3731689999999997E-2</v>
      </c>
      <c r="T5252">
        <v>-0.59186919999999899</v>
      </c>
      <c r="U5252">
        <v>-3.5411069999999998</v>
      </c>
      <c r="V5252">
        <v>6.7048830000000004E-2</v>
      </c>
      <c r="W5252">
        <v>0.4080725</v>
      </c>
      <c r="X5252">
        <v>0.91048410000000002</v>
      </c>
      <c r="Y5252">
        <v>0.1573901</v>
      </c>
      <c r="Z5252">
        <v>0.14346130000000001</v>
      </c>
      <c r="AA5252">
        <v>0.9770605</v>
      </c>
      <c r="AB5252">
        <v>30</v>
      </c>
      <c r="AC5252">
        <v>-3.9100000000019002E-2</v>
      </c>
      <c r="AD5252">
        <v>-0.122704699999999</v>
      </c>
      <c r="AE5252">
        <v>-0.46734142000000001</v>
      </c>
      <c r="AF5252">
        <v>9.9884363738167198E-2</v>
      </c>
      <c r="AG5252">
        <v>-0.122704699999999</v>
      </c>
      <c r="AH5252">
        <v>0.427410003425435</v>
      </c>
      <c r="AI5252">
        <v>105.61868425146599</v>
      </c>
      <c r="AJ5252">
        <v>76.846227710624206</v>
      </c>
      <c r="AK5252">
        <v>0.45575502251714001</v>
      </c>
      <c r="AL5252">
        <v>65.916190445059996</v>
      </c>
      <c r="AM5252">
        <v>85.788292008631004</v>
      </c>
      <c r="AN5252">
        <v>1.00000000360671</v>
      </c>
    </row>
    <row r="5253" spans="1:40" x14ac:dyDescent="0.25">
      <c r="A5253" t="str">
        <f>"20190304164514634"</f>
        <v>20190304164514634</v>
      </c>
      <c r="B5253" t="str">
        <f>"1551689114625674"</f>
        <v>1551689114625674</v>
      </c>
      <c r="C5253" t="s">
        <v>40</v>
      </c>
      <c r="D5253">
        <v>5.6979649999999999</v>
      </c>
      <c r="E5253">
        <v>0.54747840000000003</v>
      </c>
      <c r="F5253" t="s">
        <v>41</v>
      </c>
      <c r="G5253">
        <v>-303.4468</v>
      </c>
      <c r="H5253">
        <v>0.90944729999999996</v>
      </c>
      <c r="I5253">
        <v>-0.72113050000000001</v>
      </c>
      <c r="J5253">
        <v>-303.41879999999998</v>
      </c>
      <c r="K5253">
        <v>1.0463169999999999</v>
      </c>
      <c r="L5253">
        <v>-0.29812620000000001</v>
      </c>
      <c r="M5253">
        <v>0.12636610000000001</v>
      </c>
      <c r="N5253">
        <v>-1.611988E-2</v>
      </c>
      <c r="O5253">
        <v>-0.99185279999999998</v>
      </c>
      <c r="P5253">
        <v>7.6299610000000004E-2</v>
      </c>
      <c r="Q5253">
        <v>0.39292120000000003</v>
      </c>
      <c r="R5253">
        <v>-0.91640140000000003</v>
      </c>
      <c r="S5253">
        <v>4.6081539999999997E-3</v>
      </c>
      <c r="T5253">
        <v>-0.6626071</v>
      </c>
      <c r="U5253">
        <v>-3.5625309999999999</v>
      </c>
      <c r="V5253">
        <v>5.6829150000000002E-2</v>
      </c>
      <c r="W5253">
        <v>0.40568900000000002</v>
      </c>
      <c r="X5253">
        <v>0.91224280000000002</v>
      </c>
      <c r="Y5253">
        <v>0.12490569999999999</v>
      </c>
      <c r="Z5253">
        <v>0.16408429999999999</v>
      </c>
      <c r="AA5253">
        <v>0.9785064</v>
      </c>
      <c r="AB5253">
        <v>30</v>
      </c>
      <c r="AC5253">
        <v>-2.8000000000019998E-2</v>
      </c>
      <c r="AD5253">
        <v>-0.13686969999999901</v>
      </c>
      <c r="AE5253">
        <v>-0.423004299999999</v>
      </c>
      <c r="AF5253">
        <v>7.3567313930504197E-2</v>
      </c>
      <c r="AG5253">
        <v>-0.13686969999999901</v>
      </c>
      <c r="AH5253">
        <v>0.37679715800978703</v>
      </c>
      <c r="AI5253">
        <v>109.62183344115</v>
      </c>
      <c r="AJ5253">
        <v>78.952333876785303</v>
      </c>
      <c r="AK5253">
        <v>0.40758013045448099</v>
      </c>
      <c r="AL5253">
        <v>66.065689916706404</v>
      </c>
      <c r="AM5253">
        <v>86.435304093915505</v>
      </c>
      <c r="AN5253">
        <v>1.0000000215812801</v>
      </c>
    </row>
    <row r="5254" spans="1:40" x14ac:dyDescent="0.25">
      <c r="A5254" t="str">
        <f>"20190304164514655"</f>
        <v>20190304164514655</v>
      </c>
      <c r="B5254" t="str">
        <f>"1551689114645195"</f>
        <v>1551689114645195</v>
      </c>
      <c r="C5254" t="s">
        <v>40</v>
      </c>
      <c r="D5254">
        <v>5.7133669999999999</v>
      </c>
      <c r="E5254">
        <v>0.54740909999999998</v>
      </c>
      <c r="F5254" t="s">
        <v>41</v>
      </c>
      <c r="G5254">
        <v>-303.43079999999998</v>
      </c>
      <c r="H5254">
        <v>0.87126970000000004</v>
      </c>
      <c r="I5254">
        <v>-1.2532829999999999</v>
      </c>
      <c r="J5254">
        <v>-303.39749999999998</v>
      </c>
      <c r="K5254">
        <v>1.047512</v>
      </c>
      <c r="L5254">
        <v>-0.60086059999999997</v>
      </c>
      <c r="M5254">
        <v>0.1080624</v>
      </c>
      <c r="N5254">
        <v>-1.422083E-2</v>
      </c>
      <c r="O5254">
        <v>-0.9940426</v>
      </c>
      <c r="P5254">
        <v>6.9969710000000004E-2</v>
      </c>
      <c r="Q5254">
        <v>0.39311639999999998</v>
      </c>
      <c r="R5254">
        <v>-0.9168229</v>
      </c>
      <c r="S5254">
        <v>-4.4860839999999999E-2</v>
      </c>
      <c r="T5254">
        <v>-0.65147339999999998</v>
      </c>
      <c r="U5254">
        <v>-3.5567319999999998</v>
      </c>
      <c r="V5254">
        <v>4.6185660000000003E-2</v>
      </c>
      <c r="W5254">
        <v>0.40458959999999999</v>
      </c>
      <c r="X5254">
        <v>0.91333140000000002</v>
      </c>
      <c r="Y5254">
        <v>0.1202564</v>
      </c>
      <c r="Z5254">
        <v>0.16391720000000001</v>
      </c>
      <c r="AA5254">
        <v>0.97911669999999995</v>
      </c>
      <c r="AB5254">
        <v>30</v>
      </c>
      <c r="AC5254">
        <v>-3.3299999999996999E-2</v>
      </c>
      <c r="AD5254">
        <v>-0.17624229999999899</v>
      </c>
      <c r="AE5254">
        <v>-0.65242239999999996</v>
      </c>
      <c r="AF5254">
        <v>9.6584641897330903E-2</v>
      </c>
      <c r="AG5254">
        <v>-0.17624229999999899</v>
      </c>
      <c r="AH5254">
        <v>0.60124181847967695</v>
      </c>
      <c r="AI5254">
        <v>106.14149546271101</v>
      </c>
      <c r="AJ5254">
        <v>80.873865249689501</v>
      </c>
      <c r="AK5254">
        <v>0.63394137398380501</v>
      </c>
      <c r="AL5254">
        <v>66.134589417269197</v>
      </c>
      <c r="AM5254">
        <v>87.105112967920604</v>
      </c>
      <c r="AN5254">
        <v>1.00000005292187</v>
      </c>
    </row>
    <row r="5255" spans="1:40" x14ac:dyDescent="0.25">
      <c r="A5255" t="str">
        <f>"20190304164514678"</f>
        <v>20190304164514678</v>
      </c>
      <c r="B5255" t="str">
        <f>"1551689114675449"</f>
        <v>1551689114675449</v>
      </c>
      <c r="C5255" t="s">
        <v>40</v>
      </c>
      <c r="D5255">
        <v>5.6266689999999997</v>
      </c>
      <c r="E5255">
        <v>0.5472167</v>
      </c>
      <c r="F5255" t="s">
        <v>41</v>
      </c>
      <c r="G5255">
        <v>-303.41849999999999</v>
      </c>
      <c r="H5255">
        <v>0.87979769999999902</v>
      </c>
      <c r="I5255">
        <v>-1.53074</v>
      </c>
      <c r="J5255">
        <v>-303.38209999999998</v>
      </c>
      <c r="K5255">
        <v>1.0493110000000001</v>
      </c>
      <c r="L5255">
        <v>-0.90676880000000004</v>
      </c>
      <c r="M5255">
        <v>8.9767490000000005E-2</v>
      </c>
      <c r="N5255">
        <v>-1.236952E-2</v>
      </c>
      <c r="O5255">
        <v>-0.99588600000000005</v>
      </c>
      <c r="P5255">
        <v>6.1765929999999997E-2</v>
      </c>
      <c r="Q5255">
        <v>0.3949627</v>
      </c>
      <c r="R5255">
        <v>-0.9166185</v>
      </c>
      <c r="S5255">
        <v>-8.0169679999999993E-2</v>
      </c>
      <c r="T5255">
        <v>-0.63984849999999904</v>
      </c>
      <c r="U5255">
        <v>-3.5526430000000002</v>
      </c>
      <c r="V5255">
        <v>3.7119199999999998E-2</v>
      </c>
      <c r="W5255">
        <v>0.40512759999999998</v>
      </c>
      <c r="X5255">
        <v>0.91350629999999999</v>
      </c>
      <c r="Y5255">
        <v>0.11177910000000001</v>
      </c>
      <c r="Z5255">
        <v>0.1634071</v>
      </c>
      <c r="AA5255">
        <v>0.98020589999999996</v>
      </c>
      <c r="AB5255">
        <v>30</v>
      </c>
      <c r="AC5255">
        <v>-3.6400000000014601E-2</v>
      </c>
      <c r="AD5255">
        <v>-0.16951330000000001</v>
      </c>
      <c r="AE5255">
        <v>-0.62397119999999995</v>
      </c>
      <c r="AF5255">
        <v>8.5947869765381504E-2</v>
      </c>
      <c r="AG5255">
        <v>-0.16951330000000001</v>
      </c>
      <c r="AH5255">
        <v>0.57582964396898095</v>
      </c>
      <c r="AI5255">
        <v>106.23321614472999</v>
      </c>
      <c r="AJ5255">
        <v>81.510749833684798</v>
      </c>
      <c r="AK5255">
        <v>0.60638401534633202</v>
      </c>
      <c r="AL5255">
        <v>66.100876127172995</v>
      </c>
      <c r="AM5255">
        <v>87.673136846603398</v>
      </c>
      <c r="AN5255">
        <v>0.99999998371504395</v>
      </c>
    </row>
    <row r="5256" spans="1:40" x14ac:dyDescent="0.25">
      <c r="A5256" t="str">
        <f>"20190304164514702"</f>
        <v>20190304164514702</v>
      </c>
      <c r="B5256" t="str">
        <f>"1551689114694970"</f>
        <v>1551689114694970</v>
      </c>
      <c r="C5256" t="s">
        <v>40</v>
      </c>
      <c r="D5256">
        <v>5.5991519999999904</v>
      </c>
      <c r="E5256">
        <v>0.5468845</v>
      </c>
      <c r="F5256" t="s">
        <v>41</v>
      </c>
      <c r="G5256">
        <v>-303.40960000000001</v>
      </c>
      <c r="H5256">
        <v>0.89019720000000002</v>
      </c>
      <c r="I5256">
        <v>-1.8091109999999999</v>
      </c>
      <c r="J5256">
        <v>-303.37169999999998</v>
      </c>
      <c r="K5256">
        <v>1.0517299999999901</v>
      </c>
      <c r="L5256">
        <v>-1.2412110000000001</v>
      </c>
      <c r="M5256">
        <v>6.9856779999999993E-2</v>
      </c>
      <c r="N5256">
        <v>-1.039344E-2</v>
      </c>
      <c r="O5256">
        <v>-0.99750300000000003</v>
      </c>
      <c r="P5256">
        <v>5.1607279999999998E-2</v>
      </c>
      <c r="Q5256">
        <v>0.39790059999999999</v>
      </c>
      <c r="R5256">
        <v>-0.91597600000000001</v>
      </c>
      <c r="S5256">
        <v>-0.1079407</v>
      </c>
      <c r="T5256">
        <v>-0.62546999999999997</v>
      </c>
      <c r="U5256">
        <v>-3.5496829999999999</v>
      </c>
      <c r="V5256">
        <v>2.8249929999999999E-2</v>
      </c>
      <c r="W5256">
        <v>0.40662540000000003</v>
      </c>
      <c r="X5256">
        <v>0.91315809999999997</v>
      </c>
      <c r="Y5256">
        <v>9.9646079999999998E-2</v>
      </c>
      <c r="Z5256">
        <v>0.1621706</v>
      </c>
      <c r="AA5256">
        <v>0.9817186</v>
      </c>
      <c r="AB5256">
        <v>30</v>
      </c>
      <c r="AC5256">
        <v>-3.7900000000036002E-2</v>
      </c>
      <c r="AD5256">
        <v>-0.161532799999999</v>
      </c>
      <c r="AE5256">
        <v>-0.56789999999999996</v>
      </c>
      <c r="AF5256">
        <v>7.1705559452721696E-2</v>
      </c>
      <c r="AG5256">
        <v>-0.161532799999999</v>
      </c>
      <c r="AH5256">
        <v>0.52183286156765496</v>
      </c>
      <c r="AI5256">
        <v>107.04906155658701</v>
      </c>
      <c r="AJ5256">
        <v>82.175929966371001</v>
      </c>
      <c r="AK5256">
        <v>0.55094833527668896</v>
      </c>
      <c r="AL5256">
        <v>66.006976631779807</v>
      </c>
      <c r="AM5256">
        <v>88.228033364427304</v>
      </c>
      <c r="AN5256">
        <v>0.99999999503288695</v>
      </c>
    </row>
    <row r="5257" spans="1:40" x14ac:dyDescent="0.25">
      <c r="A5257" t="str">
        <f>"20190304164514724"</f>
        <v>20190304164514724</v>
      </c>
      <c r="B5257" t="str">
        <f>"1551689114715466"</f>
        <v>1551689114715466</v>
      </c>
      <c r="C5257" t="s">
        <v>40</v>
      </c>
      <c r="D5257">
        <v>5.5989490000000002</v>
      </c>
      <c r="E5257">
        <v>0.54651510000000003</v>
      </c>
      <c r="F5257" t="s">
        <v>41</v>
      </c>
      <c r="G5257">
        <v>-303.40410000000003</v>
      </c>
      <c r="H5257">
        <v>0.90481339999999999</v>
      </c>
      <c r="I5257">
        <v>-2.089566</v>
      </c>
      <c r="J5257">
        <v>-303.36739999999998</v>
      </c>
      <c r="K5257">
        <v>1.0540940000000001</v>
      </c>
      <c r="L5257">
        <v>-1.540985</v>
      </c>
      <c r="M5257">
        <v>5.2342569999999998E-2</v>
      </c>
      <c r="N5257">
        <v>-8.6968299999999991E-3</v>
      </c>
      <c r="O5257">
        <v>-0.99859140000000002</v>
      </c>
      <c r="P5257">
        <v>4.4812240000000003E-2</v>
      </c>
      <c r="Q5257">
        <v>0.40070709999999998</v>
      </c>
      <c r="R5257">
        <v>-0.91510990000000003</v>
      </c>
      <c r="S5257">
        <v>-0.135040299999999</v>
      </c>
      <c r="T5257">
        <v>-0.61404939999999997</v>
      </c>
      <c r="U5257">
        <v>-3.5495610000000002</v>
      </c>
      <c r="V5257">
        <v>1.8195360000000001E-2</v>
      </c>
      <c r="W5257">
        <v>0.40826709999999999</v>
      </c>
      <c r="X5257">
        <v>0.91268119999999997</v>
      </c>
      <c r="Y5257">
        <v>8.9701580000000003E-2</v>
      </c>
      <c r="Z5257">
        <v>0.1611235</v>
      </c>
      <c r="AA5257">
        <v>0.98284939999999998</v>
      </c>
      <c r="AB5257">
        <v>30</v>
      </c>
      <c r="AC5257">
        <v>-3.6700000000053003E-2</v>
      </c>
      <c r="AD5257">
        <v>-0.14928060000000001</v>
      </c>
      <c r="AE5257">
        <v>-0.54858099999999999</v>
      </c>
      <c r="AF5257">
        <v>6.0877049124108198E-2</v>
      </c>
      <c r="AG5257">
        <v>-0.14928060000000001</v>
      </c>
      <c r="AH5257">
        <v>0.50842664144576299</v>
      </c>
      <c r="AI5257">
        <v>106.25301417641001</v>
      </c>
      <c r="AJ5257">
        <v>83.172129884248207</v>
      </c>
      <c r="AK5257">
        <v>0.53337450480711701</v>
      </c>
      <c r="AL5257">
        <v>65.903977756337</v>
      </c>
      <c r="AM5257">
        <v>88.857893368146605</v>
      </c>
      <c r="AN5257">
        <v>1.0000000344506801</v>
      </c>
    </row>
    <row r="5258" spans="1:40" x14ac:dyDescent="0.25">
      <c r="A5258" t="str">
        <f>"20190304164514750"</f>
        <v>20190304164514750</v>
      </c>
      <c r="B5258" t="str">
        <f>"1551689114745722"</f>
        <v>1551689114745722</v>
      </c>
      <c r="C5258" t="s">
        <v>40</v>
      </c>
      <c r="D5258">
        <v>5.7380240000000002</v>
      </c>
      <c r="E5258">
        <v>0.53555949999999997</v>
      </c>
      <c r="F5258" t="s">
        <v>41</v>
      </c>
      <c r="G5258">
        <v>-303.40300000000002</v>
      </c>
      <c r="H5258">
        <v>0.91436209999999996</v>
      </c>
      <c r="I5258">
        <v>-2.367505</v>
      </c>
      <c r="J5258">
        <v>-303.36709999999999</v>
      </c>
      <c r="K5258">
        <v>1.057544</v>
      </c>
      <c r="L5258">
        <v>-1.896515</v>
      </c>
      <c r="M5258">
        <v>3.18728E-2</v>
      </c>
      <c r="N5258">
        <v>-7.3547859999999899E-3</v>
      </c>
      <c r="O5258">
        <v>-0.99946500000000005</v>
      </c>
      <c r="P5258">
        <v>3.6290370000000002E-2</v>
      </c>
      <c r="Q5258">
        <v>0.40121669999999998</v>
      </c>
      <c r="R5258">
        <v>-0.91526439999999998</v>
      </c>
      <c r="S5258">
        <v>-0.15319820000000001</v>
      </c>
      <c r="T5258">
        <v>-0.59992690000000004</v>
      </c>
      <c r="U5258">
        <v>-3.548492</v>
      </c>
      <c r="V5258">
        <v>6.5264190000000003E-3</v>
      </c>
      <c r="W5258">
        <v>0.40795199999999998</v>
      </c>
      <c r="X5258">
        <v>0.91298009999999996</v>
      </c>
      <c r="Y5258">
        <v>7.4356790000000006E-2</v>
      </c>
      <c r="Z5258">
        <v>0.15900510000000001</v>
      </c>
      <c r="AA5258">
        <v>0.98447370000000001</v>
      </c>
      <c r="AB5258">
        <v>30</v>
      </c>
      <c r="AC5258">
        <v>-3.5900000000026397E-2</v>
      </c>
      <c r="AD5258">
        <v>-0.1431819</v>
      </c>
      <c r="AE5258">
        <v>-0.47098999999999902</v>
      </c>
      <c r="AF5258">
        <v>4.6611143972775403E-2</v>
      </c>
      <c r="AG5258">
        <v>-0.1431819</v>
      </c>
      <c r="AH5258">
        <v>0.430088446530624</v>
      </c>
      <c r="AI5258">
        <v>108.313235183071</v>
      </c>
      <c r="AJ5258">
        <v>83.814669581955798</v>
      </c>
      <c r="AK5258">
        <v>0.45568599613021499</v>
      </c>
      <c r="AL5258">
        <v>65.923753757090907</v>
      </c>
      <c r="AM5258">
        <v>89.590429304259004</v>
      </c>
      <c r="AN5258">
        <v>1.00000004572248</v>
      </c>
    </row>
    <row r="5259" spans="1:40" x14ac:dyDescent="0.25">
      <c r="A5259" t="str">
        <f>"20190304164514769"</f>
        <v>20190304164514769</v>
      </c>
      <c r="B5259" t="str">
        <f>"1551689114765242"</f>
        <v>1551689114765242</v>
      </c>
      <c r="C5259" t="s">
        <v>40</v>
      </c>
      <c r="D5259">
        <v>5.5945609999999997</v>
      </c>
      <c r="E5259">
        <v>0.5350646</v>
      </c>
      <c r="F5259" t="s">
        <v>41</v>
      </c>
      <c r="G5259">
        <v>-303.38990000000001</v>
      </c>
      <c r="H5259">
        <v>0.95539070000000004</v>
      </c>
      <c r="I5259">
        <v>-2.657915</v>
      </c>
      <c r="J5259">
        <v>-303.3698</v>
      </c>
      <c r="K5259">
        <v>1.0604340000000001</v>
      </c>
      <c r="L5259">
        <v>-2.1449280000000002</v>
      </c>
      <c r="M5259">
        <v>1.7879019999999999E-2</v>
      </c>
      <c r="N5259">
        <v>-7.2070709999999998E-3</v>
      </c>
      <c r="O5259">
        <v>-0.99981419999999999</v>
      </c>
      <c r="P5259">
        <v>3.4065289999999998E-2</v>
      </c>
      <c r="Q5259">
        <v>0.39814949999999999</v>
      </c>
      <c r="R5259">
        <v>-0.9166879</v>
      </c>
      <c r="S5259">
        <v>-0.1040039</v>
      </c>
      <c r="T5259">
        <v>-0.46728520000000001</v>
      </c>
      <c r="U5259">
        <v>-3.486694</v>
      </c>
      <c r="V5259">
        <v>-5.2435270000000004E-3</v>
      </c>
      <c r="W5259">
        <v>0.40510059999999998</v>
      </c>
      <c r="X5259">
        <v>0.91425710000000004</v>
      </c>
      <c r="Y5259">
        <v>4.742213E-2</v>
      </c>
      <c r="Z5259">
        <v>0.12554779999999999</v>
      </c>
      <c r="AA5259">
        <v>0.99095350000000004</v>
      </c>
      <c r="AB5259">
        <v>30</v>
      </c>
      <c r="AC5259">
        <v>-2.0100000000013499E-2</v>
      </c>
      <c r="AD5259">
        <v>-0.10504330000000001</v>
      </c>
      <c r="AE5259">
        <v>-0.51298699999999997</v>
      </c>
      <c r="AF5259">
        <v>2.80926145334594E-2</v>
      </c>
      <c r="AG5259">
        <v>-0.10504330000000001</v>
      </c>
      <c r="AH5259">
        <v>0.49194982573829499</v>
      </c>
      <c r="AI5259">
        <v>102.03401420386901</v>
      </c>
      <c r="AJ5259">
        <v>86.731695003081001</v>
      </c>
      <c r="AK5259">
        <v>0.50382330326231894</v>
      </c>
      <c r="AL5259">
        <v>66.102569044692899</v>
      </c>
      <c r="AM5259">
        <v>90.328604145201297</v>
      </c>
      <c r="AN5259">
        <v>1.0000000177980799</v>
      </c>
    </row>
    <row r="5260" spans="1:40" x14ac:dyDescent="0.25">
      <c r="A5260" t="str">
        <f>"20190304164514790"</f>
        <v>20190304164514790</v>
      </c>
      <c r="B5260" t="str">
        <f>"1551689114785738"</f>
        <v>1551689114785738</v>
      </c>
      <c r="C5260" t="s">
        <v>40</v>
      </c>
      <c r="D5260">
        <v>5.6165079999999996</v>
      </c>
      <c r="E5260">
        <v>0.53478000000000003</v>
      </c>
      <c r="F5260" t="s">
        <v>41</v>
      </c>
      <c r="G5260">
        <v>-303.39550000000003</v>
      </c>
      <c r="H5260">
        <v>0.96949759999999996</v>
      </c>
      <c r="I5260">
        <v>-2.9335330000000002</v>
      </c>
      <c r="J5260">
        <v>-303.37560000000002</v>
      </c>
      <c r="K5260">
        <v>1.063858</v>
      </c>
      <c r="L5260">
        <v>-2.4369809999999998</v>
      </c>
      <c r="M5260">
        <v>2.3173019999999998E-3</v>
      </c>
      <c r="N5260">
        <v>-7.2673809999999998E-3</v>
      </c>
      <c r="O5260">
        <v>-0.99997100000000005</v>
      </c>
      <c r="P5260">
        <v>2.8902440000000001E-2</v>
      </c>
      <c r="Q5260">
        <v>0.39567790000000003</v>
      </c>
      <c r="R5260">
        <v>-0.91793449999999999</v>
      </c>
      <c r="S5260">
        <v>-0.11190799999999999</v>
      </c>
      <c r="T5260">
        <v>-0.39730009999999999</v>
      </c>
      <c r="U5260">
        <v>-3.4493710000000002</v>
      </c>
      <c r="V5260">
        <v>-1.542726E-2</v>
      </c>
      <c r="W5260">
        <v>0.40293400000000001</v>
      </c>
      <c r="X5260">
        <v>0.915099</v>
      </c>
      <c r="Y5260">
        <v>3.4539960000000001E-2</v>
      </c>
      <c r="Z5260">
        <v>0.1071367</v>
      </c>
      <c r="AA5260">
        <v>0.99364419999999998</v>
      </c>
      <c r="AB5260">
        <v>30</v>
      </c>
      <c r="AC5260">
        <v>-1.9900000000006898E-2</v>
      </c>
      <c r="AD5260">
        <v>-9.43603999999999E-2</v>
      </c>
      <c r="AE5260">
        <v>-0.49655199999999899</v>
      </c>
      <c r="AF5260">
        <v>2.03180899586002E-2</v>
      </c>
      <c r="AG5260">
        <v>-9.43603999999999E-2</v>
      </c>
      <c r="AH5260">
        <v>0.47922653159707701</v>
      </c>
      <c r="AI5260">
        <v>101.129377256018</v>
      </c>
      <c r="AJ5260">
        <v>87.572246237750605</v>
      </c>
      <c r="AK5260">
        <v>0.488850466353761</v>
      </c>
      <c r="AL5260">
        <v>66.238274268636005</v>
      </c>
      <c r="AM5260">
        <v>90.965833381947803</v>
      </c>
      <c r="AN5260">
        <v>0.99999999425405295</v>
      </c>
    </row>
    <row r="5261" spans="1:40" x14ac:dyDescent="0.25">
      <c r="A5261" t="str">
        <f>"20190304164514814"</f>
        <v>20190304164514814</v>
      </c>
      <c r="B5261" t="str">
        <f>"1551689114805258"</f>
        <v>1551689114805258</v>
      </c>
      <c r="C5261" t="s">
        <v>40</v>
      </c>
      <c r="D5261">
        <v>5.584975</v>
      </c>
      <c r="E5261">
        <v>0.53461269999999905</v>
      </c>
      <c r="F5261" t="s">
        <v>41</v>
      </c>
      <c r="G5261">
        <v>-303.40429999999998</v>
      </c>
      <c r="H5261">
        <v>0.97265409999999997</v>
      </c>
      <c r="I5261">
        <v>-3.2036669999999998</v>
      </c>
      <c r="J5261">
        <v>-303.38529999999997</v>
      </c>
      <c r="K5261">
        <v>1.0676460000000001</v>
      </c>
      <c r="L5261">
        <v>-2.7555540000000001</v>
      </c>
      <c r="M5261">
        <v>-1.299254E-2</v>
      </c>
      <c r="N5261">
        <v>-7.223765E-3</v>
      </c>
      <c r="O5261">
        <v>-0.99988960000000005</v>
      </c>
      <c r="P5261">
        <v>2.558326E-2</v>
      </c>
      <c r="Q5261">
        <v>0.39367459999999999</v>
      </c>
      <c r="R5261">
        <v>-0.91889370000000004</v>
      </c>
      <c r="S5261">
        <v>-0.12759400000000001</v>
      </c>
      <c r="T5261">
        <v>-0.40895759999999998</v>
      </c>
      <c r="U5261">
        <v>-3.4485169999999998</v>
      </c>
      <c r="V5261">
        <v>-2.7131539999999999E-2</v>
      </c>
      <c r="W5261">
        <v>0.40113739999999998</v>
      </c>
      <c r="X5261">
        <v>0.91561599999999999</v>
      </c>
      <c r="Y5261">
        <v>2.3749909999999999E-2</v>
      </c>
      <c r="Z5261">
        <v>0.1105183</v>
      </c>
      <c r="AA5261">
        <v>0.99359030000000004</v>
      </c>
      <c r="AB5261">
        <v>30</v>
      </c>
      <c r="AC5261">
        <v>-1.9000000000005401E-2</v>
      </c>
      <c r="AD5261">
        <v>-9.4991899999999893E-2</v>
      </c>
      <c r="AE5261">
        <v>-0.44811299999999898</v>
      </c>
      <c r="AF5261">
        <v>1.2610466984334399E-2</v>
      </c>
      <c r="AG5261">
        <v>-9.4991899999999893E-2</v>
      </c>
      <c r="AH5261">
        <v>0.42907553909361101</v>
      </c>
      <c r="AI5261">
        <v>102.477997486551</v>
      </c>
      <c r="AJ5261">
        <v>88.316570050830293</v>
      </c>
      <c r="AK5261">
        <v>0.43964565640029502</v>
      </c>
      <c r="AL5261">
        <v>66.3506978000526</v>
      </c>
      <c r="AM5261">
        <v>91.697292300824401</v>
      </c>
      <c r="AN5261">
        <v>0.99999999679876495</v>
      </c>
    </row>
    <row r="5262" spans="1:40" x14ac:dyDescent="0.25">
      <c r="A5262" t="str">
        <f>"20190304164514834"</f>
        <v>20190304164514834</v>
      </c>
      <c r="B5262" t="str">
        <f>"1551689114825754"</f>
        <v>1551689114825754</v>
      </c>
      <c r="C5262" t="s">
        <v>40</v>
      </c>
      <c r="D5262">
        <v>5.5825589999999998</v>
      </c>
      <c r="E5262">
        <v>0.53427060000000004</v>
      </c>
      <c r="F5262" t="s">
        <v>41</v>
      </c>
      <c r="G5262">
        <v>-303.4171</v>
      </c>
      <c r="H5262">
        <v>0.98141350000000005</v>
      </c>
      <c r="I5262">
        <v>-3.4769339999999902</v>
      </c>
      <c r="J5262">
        <v>-303.39679999999998</v>
      </c>
      <c r="K5262">
        <v>1.071134</v>
      </c>
      <c r="L5262">
        <v>-3.0392459999999999</v>
      </c>
      <c r="M5262">
        <v>-2.475248E-2</v>
      </c>
      <c r="N5262">
        <v>-7.0945779999999998E-3</v>
      </c>
      <c r="O5262">
        <v>-0.99966840000000001</v>
      </c>
      <c r="P5262">
        <v>2.3935600000000001E-2</v>
      </c>
      <c r="Q5262">
        <v>0.3942002</v>
      </c>
      <c r="R5262">
        <v>-0.918713</v>
      </c>
      <c r="S5262">
        <v>-0.15112300000000001</v>
      </c>
      <c r="T5262">
        <v>-0.41124430000000001</v>
      </c>
      <c r="U5262">
        <v>-3.4451900000000002</v>
      </c>
      <c r="V5262">
        <v>-3.7066740000000001E-2</v>
      </c>
      <c r="W5262">
        <v>0.40170430000000001</v>
      </c>
      <c r="X5262">
        <v>0.91501900000000003</v>
      </c>
      <c r="Y5262">
        <v>1.879888E-2</v>
      </c>
      <c r="Z5262">
        <v>0.11136169999999999</v>
      </c>
      <c r="AA5262">
        <v>0.99360210000000004</v>
      </c>
      <c r="AB5262">
        <v>30</v>
      </c>
      <c r="AC5262">
        <v>-2.0300000000020101E-2</v>
      </c>
      <c r="AD5262">
        <v>-8.9720499999999898E-2</v>
      </c>
      <c r="AE5262">
        <v>-0.43768799999999902</v>
      </c>
      <c r="AF5262">
        <v>9.0789659136935093E-3</v>
      </c>
      <c r="AG5262">
        <v>-8.9720499999999898E-2</v>
      </c>
      <c r="AH5262">
        <v>0.42042799412570903</v>
      </c>
      <c r="AI5262">
        <v>102.043654728395</v>
      </c>
      <c r="AJ5262">
        <v>88.762913982220894</v>
      </c>
      <c r="AK5262">
        <v>0.42999057430004101</v>
      </c>
      <c r="AL5262">
        <v>66.315234913873795</v>
      </c>
      <c r="AM5262">
        <v>92.319741124362096</v>
      </c>
      <c r="AN5262">
        <v>1.00000002910685</v>
      </c>
    </row>
    <row r="5263" spans="1:40" x14ac:dyDescent="0.25">
      <c r="A5263" t="str">
        <f>"20190304164514856"</f>
        <v>20190304164514856</v>
      </c>
      <c r="B5263" t="str">
        <f>"1551689114845275"</f>
        <v>1551689114845275</v>
      </c>
      <c r="C5263" t="s">
        <v>40</v>
      </c>
      <c r="D5263">
        <v>5.5805040000000004</v>
      </c>
      <c r="E5263">
        <v>0.53407780000000005</v>
      </c>
      <c r="F5263" t="s">
        <v>41</v>
      </c>
      <c r="G5263">
        <v>-303.4434</v>
      </c>
      <c r="H5263">
        <v>0.9576017</v>
      </c>
      <c r="I5263">
        <v>-4.0043160000000002</v>
      </c>
      <c r="J5263">
        <v>-303.41160000000002</v>
      </c>
      <c r="K5263">
        <v>1.074908</v>
      </c>
      <c r="L5263">
        <v>-3.3405459999999998</v>
      </c>
      <c r="M5263">
        <v>-3.5298820000000002E-2</v>
      </c>
      <c r="N5263">
        <v>-7.0125219999999898E-3</v>
      </c>
      <c r="O5263">
        <v>-0.99935229999999997</v>
      </c>
      <c r="P5263">
        <v>1.7892379999999999E-2</v>
      </c>
      <c r="Q5263">
        <v>0.39557720000000002</v>
      </c>
      <c r="R5263">
        <v>-0.91825849999999998</v>
      </c>
      <c r="S5263">
        <v>-0.16650390000000001</v>
      </c>
      <c r="T5263">
        <v>-0.4053156</v>
      </c>
      <c r="U5263">
        <v>-3.4436949999999902</v>
      </c>
      <c r="V5263">
        <v>-4.151179E-2</v>
      </c>
      <c r="W5263">
        <v>0.40300039999999998</v>
      </c>
      <c r="X5263">
        <v>0.91425789999999996</v>
      </c>
      <c r="Y5263">
        <v>1.2707799999999899E-2</v>
      </c>
      <c r="Z5263">
        <v>0.109749</v>
      </c>
      <c r="AA5263">
        <v>0.99387809999999999</v>
      </c>
      <c r="AB5263">
        <v>30</v>
      </c>
      <c r="AC5263">
        <v>-3.1799999999975598E-2</v>
      </c>
      <c r="AD5263">
        <v>-0.117306299999999</v>
      </c>
      <c r="AE5263">
        <v>-0.66376999999999997</v>
      </c>
      <c r="AF5263">
        <v>8.0969990207507194E-3</v>
      </c>
      <c r="AG5263">
        <v>-0.117306299999999</v>
      </c>
      <c r="AH5263">
        <v>0.64439872276520804</v>
      </c>
      <c r="AI5263">
        <v>100.316347921822</v>
      </c>
      <c r="AJ5263">
        <v>89.280104939520797</v>
      </c>
      <c r="AK5263">
        <v>0.65503896320315402</v>
      </c>
      <c r="AL5263">
        <v>66.234118272061096</v>
      </c>
      <c r="AM5263">
        <v>92.599723678316593</v>
      </c>
      <c r="AN5263">
        <v>1.00000002941078</v>
      </c>
    </row>
    <row r="5264" spans="1:40" x14ac:dyDescent="0.25">
      <c r="A5264" t="str">
        <f>"20190304164514881"</f>
        <v>20190304164514881</v>
      </c>
      <c r="B5264" t="str">
        <f>"1551689114875530"</f>
        <v>1551689114875530</v>
      </c>
      <c r="C5264" t="s">
        <v>40</v>
      </c>
      <c r="D5264">
        <v>5.5740669999999897</v>
      </c>
      <c r="E5264">
        <v>0.53369029999999995</v>
      </c>
      <c r="F5264" t="s">
        <v>41</v>
      </c>
      <c r="G5264">
        <v>-303.45949999999999</v>
      </c>
      <c r="H5264">
        <v>0.96580529999999998</v>
      </c>
      <c r="I5264">
        <v>-4.2776560000000003</v>
      </c>
      <c r="J5264">
        <v>-303.42930000000001</v>
      </c>
      <c r="K5264">
        <v>1.0787409999999999</v>
      </c>
      <c r="L5264">
        <v>-3.6532900000000001</v>
      </c>
      <c r="M5264">
        <v>-4.4491669999999997E-2</v>
      </c>
      <c r="N5264">
        <v>-7.1031990000000001E-3</v>
      </c>
      <c r="O5264">
        <v>-0.9989846</v>
      </c>
      <c r="P5264">
        <v>1.48527E-2</v>
      </c>
      <c r="Q5264">
        <v>0.39586640000000001</v>
      </c>
      <c r="R5264">
        <v>-0.91818789999999995</v>
      </c>
      <c r="S5264">
        <v>-0.17532349999999999</v>
      </c>
      <c r="T5264">
        <v>-0.40062550000000002</v>
      </c>
      <c r="U5264">
        <v>-3.4430540000000001</v>
      </c>
      <c r="V5264">
        <v>-4.7697530000000002E-2</v>
      </c>
      <c r="W5264">
        <v>0.4033931</v>
      </c>
      <c r="X5264">
        <v>0.91378280000000001</v>
      </c>
      <c r="Y5264">
        <v>6.0673639999999996E-3</v>
      </c>
      <c r="Z5264">
        <v>0.10828160000000001</v>
      </c>
      <c r="AA5264">
        <v>0.99410180000000004</v>
      </c>
      <c r="AB5264">
        <v>30</v>
      </c>
      <c r="AC5264">
        <v>-3.0199999999979299E-2</v>
      </c>
      <c r="AD5264">
        <v>-0.112935699999999</v>
      </c>
      <c r="AE5264">
        <v>-0.62436599999999898</v>
      </c>
      <c r="AF5264">
        <v>2.31475214606573E-3</v>
      </c>
      <c r="AG5264">
        <v>-0.112935699999999</v>
      </c>
      <c r="AH5264">
        <v>0.60533246094304305</v>
      </c>
      <c r="AI5264">
        <v>100.56798802037299</v>
      </c>
      <c r="AJ5264">
        <v>89.780905715927702</v>
      </c>
      <c r="AK5264">
        <v>0.615781794699509</v>
      </c>
      <c r="AL5264">
        <v>66.209531023504596</v>
      </c>
      <c r="AM5264">
        <v>92.988006782724796</v>
      </c>
      <c r="AN5264">
        <v>1.00000002653577</v>
      </c>
    </row>
    <row r="5265" spans="1:40" x14ac:dyDescent="0.25">
      <c r="A5265" t="str">
        <f>"20190304164514902"</f>
        <v>20190304164514902</v>
      </c>
      <c r="B5265" t="str">
        <f>"1551689114895050"</f>
        <v>1551689114895050</v>
      </c>
      <c r="C5265" t="s">
        <v>40</v>
      </c>
      <c r="D5265">
        <v>5.5874449999999998</v>
      </c>
      <c r="E5265">
        <v>0.53336139999999999</v>
      </c>
      <c r="F5265" t="s">
        <v>41</v>
      </c>
      <c r="G5265">
        <v>-303.47539999999998</v>
      </c>
      <c r="H5265">
        <v>0.97125479999999997</v>
      </c>
      <c r="I5265">
        <v>-4.5493209999999999</v>
      </c>
      <c r="J5265">
        <v>-303.44830000000002</v>
      </c>
      <c r="K5265">
        <v>1.082336</v>
      </c>
      <c r="L5265">
        <v>-3.9540099999999998</v>
      </c>
      <c r="M5265">
        <v>-5.1714179999999998E-2</v>
      </c>
      <c r="N5265">
        <v>-7.3556869999999996E-3</v>
      </c>
      <c r="O5265">
        <v>-0.99863489999999999</v>
      </c>
      <c r="P5265">
        <v>2.1790469999999999E-2</v>
      </c>
      <c r="Q5265">
        <v>0.39254899999999998</v>
      </c>
      <c r="R5265">
        <v>-0.91947319999999999</v>
      </c>
      <c r="S5265">
        <v>-0.178009</v>
      </c>
      <c r="T5265">
        <v>-0.41377429999999898</v>
      </c>
      <c r="U5265">
        <v>-3.4485779999999999</v>
      </c>
      <c r="V5265">
        <v>-6.214853E-2</v>
      </c>
      <c r="W5265">
        <v>0.40046199999999998</v>
      </c>
      <c r="X5265">
        <v>0.91420330000000005</v>
      </c>
      <c r="Y5265">
        <v>-4.8822509999999999E-4</v>
      </c>
      <c r="Z5265">
        <v>0.1115168</v>
      </c>
      <c r="AA5265">
        <v>0.99376240000000005</v>
      </c>
      <c r="AB5265">
        <v>30</v>
      </c>
      <c r="AC5265">
        <v>-2.70999999999617E-2</v>
      </c>
      <c r="AD5265">
        <v>-0.11108119999999901</v>
      </c>
      <c r="AE5265">
        <v>-0.59531100000000003</v>
      </c>
      <c r="AF5265">
        <v>-3.5980984199862299E-3</v>
      </c>
      <c r="AG5265">
        <v>-0.11108119999999901</v>
      </c>
      <c r="AH5265">
        <v>0.57590593798546297</v>
      </c>
      <c r="AI5265">
        <v>100.916981516353</v>
      </c>
      <c r="AJ5265">
        <v>90.357963267681995</v>
      </c>
      <c r="AK5265">
        <v>0.58653186504451404</v>
      </c>
      <c r="AL5265">
        <v>66.392935581221707</v>
      </c>
      <c r="AM5265">
        <v>93.889045501177094</v>
      </c>
      <c r="AN5265">
        <v>0.999999963478025</v>
      </c>
    </row>
    <row r="5266" spans="1:40" x14ac:dyDescent="0.25">
      <c r="A5266" t="str">
        <f>"20190304164514924"</f>
        <v>20190304164514924</v>
      </c>
      <c r="B5266" t="str">
        <f>"1551689114915547"</f>
        <v>1551689114915547</v>
      </c>
      <c r="C5266" t="s">
        <v>40</v>
      </c>
      <c r="D5266">
        <v>5.5820569999999998</v>
      </c>
      <c r="E5266">
        <v>0.53312539999999997</v>
      </c>
      <c r="F5266" t="s">
        <v>41</v>
      </c>
      <c r="G5266">
        <v>-303.49209999999999</v>
      </c>
      <c r="H5266">
        <v>0.97440090000000001</v>
      </c>
      <c r="I5266">
        <v>-4.8193729999999997</v>
      </c>
      <c r="J5266">
        <v>-303.46850000000001</v>
      </c>
      <c r="K5266">
        <v>1.0858369999999999</v>
      </c>
      <c r="L5266">
        <v>-4.2515869999999998</v>
      </c>
      <c r="M5266">
        <v>-5.7254600000000003E-2</v>
      </c>
      <c r="N5266">
        <v>-7.7116279999999999E-3</v>
      </c>
      <c r="O5266">
        <v>-0.99833000000000005</v>
      </c>
      <c r="P5266">
        <v>2.49079E-2</v>
      </c>
      <c r="Q5266">
        <v>0.39123380000000002</v>
      </c>
      <c r="R5266">
        <v>-0.91995439999999995</v>
      </c>
      <c r="S5266">
        <v>-0.17309569999999999</v>
      </c>
      <c r="T5266">
        <v>-0.4301934</v>
      </c>
      <c r="U5266">
        <v>-3.4504999999999999</v>
      </c>
      <c r="V5266">
        <v>-7.1252889999999999E-2</v>
      </c>
      <c r="W5266">
        <v>0.3994664</v>
      </c>
      <c r="X5266">
        <v>0.91397459999999997</v>
      </c>
      <c r="Y5266">
        <v>-7.4975299999999996E-3</v>
      </c>
      <c r="Z5266">
        <v>0.11569169999999999</v>
      </c>
      <c r="AA5266">
        <v>0.9932569</v>
      </c>
      <c r="AB5266">
        <v>30</v>
      </c>
      <c r="AC5266">
        <v>-2.35999999999876E-2</v>
      </c>
      <c r="AD5266">
        <v>-0.1114361</v>
      </c>
      <c r="AE5266">
        <v>-0.56778599999999901</v>
      </c>
      <c r="AF5266">
        <v>-8.6166970267757097E-3</v>
      </c>
      <c r="AG5266">
        <v>-0.1114361</v>
      </c>
      <c r="AH5266">
        <v>0.54716552292991405</v>
      </c>
      <c r="AI5266">
        <v>101.510075010642</v>
      </c>
      <c r="AJ5266">
        <v>90.902212486898904</v>
      </c>
      <c r="AK5266">
        <v>0.55846428832471295</v>
      </c>
      <c r="AL5266">
        <v>66.455174552212895</v>
      </c>
      <c r="AM5266">
        <v>94.457726983682207</v>
      </c>
      <c r="AN5266">
        <v>0.99999997425373499</v>
      </c>
    </row>
    <row r="5267" spans="1:40" x14ac:dyDescent="0.25">
      <c r="A5267" t="str">
        <f>"20190304164514946"</f>
        <v>20190304164514946</v>
      </c>
      <c r="B5267" t="str">
        <f>"1551689114935067"</f>
        <v>1551689114935067</v>
      </c>
      <c r="C5267" t="s">
        <v>40</v>
      </c>
      <c r="D5267">
        <v>5.5950790000000001</v>
      </c>
      <c r="E5267">
        <v>0.53282569999999996</v>
      </c>
      <c r="F5267" t="s">
        <v>41</v>
      </c>
      <c r="G5267">
        <v>-303.50850000000003</v>
      </c>
      <c r="H5267">
        <v>0.97926000000000002</v>
      </c>
      <c r="I5267">
        <v>-5.0896410000000003</v>
      </c>
      <c r="J5267">
        <v>-303.48970000000003</v>
      </c>
      <c r="K5267">
        <v>1.0893459999999999</v>
      </c>
      <c r="L5267">
        <v>-4.5505370000000003</v>
      </c>
      <c r="M5267">
        <v>-6.1219570000000001E-2</v>
      </c>
      <c r="N5267">
        <v>-8.1301150000000003E-3</v>
      </c>
      <c r="O5267">
        <v>-0.99809130000000001</v>
      </c>
      <c r="P5267">
        <v>2.3673639999999999E-2</v>
      </c>
      <c r="Q5267">
        <v>0.39296049999999999</v>
      </c>
      <c r="R5267">
        <v>-0.91925080000000003</v>
      </c>
      <c r="S5267">
        <v>-0.16433719999999999</v>
      </c>
      <c r="T5267">
        <v>-0.43900450000000002</v>
      </c>
      <c r="U5267">
        <v>-3.4521790000000001</v>
      </c>
      <c r="V5267">
        <v>-7.4607160000000006E-2</v>
      </c>
      <c r="W5267">
        <v>0.40141690000000002</v>
      </c>
      <c r="X5267">
        <v>0.91285170000000004</v>
      </c>
      <c r="Y5267">
        <v>-1.40149E-2</v>
      </c>
      <c r="Z5267">
        <v>0.1176643</v>
      </c>
      <c r="AA5267">
        <v>0.99295460000000002</v>
      </c>
      <c r="AB5267">
        <v>30</v>
      </c>
      <c r="AC5267">
        <v>-1.87999999999988E-2</v>
      </c>
      <c r="AD5267">
        <v>-0.110085999999999</v>
      </c>
      <c r="AE5267">
        <v>-0.53910400000000003</v>
      </c>
      <c r="AF5267">
        <v>-1.36707139049877E-2</v>
      </c>
      <c r="AG5267">
        <v>-0.110085999999999</v>
      </c>
      <c r="AH5267">
        <v>0.51768338078860099</v>
      </c>
      <c r="AI5267">
        <v>102.001126283321</v>
      </c>
      <c r="AJ5267">
        <v>91.512685632735696</v>
      </c>
      <c r="AK5267">
        <v>0.52943545268463799</v>
      </c>
      <c r="AL5267">
        <v>66.333214110297902</v>
      </c>
      <c r="AM5267">
        <v>94.672385915681105</v>
      </c>
      <c r="AN5267">
        <v>0.999999991060882</v>
      </c>
    </row>
    <row r="5268" spans="1:40" x14ac:dyDescent="0.25">
      <c r="A5268" t="str">
        <f>"20190304164514969"</f>
        <v>20190304164514969</v>
      </c>
      <c r="B5268" t="str">
        <f>"1551689114965323"</f>
        <v>1551689114965323</v>
      </c>
      <c r="C5268" t="s">
        <v>40</v>
      </c>
      <c r="D5268">
        <v>5.5893480000000002</v>
      </c>
      <c r="E5268">
        <v>0.53238289999999999</v>
      </c>
      <c r="F5268" t="s">
        <v>41</v>
      </c>
      <c r="G5268">
        <v>-303.52260000000001</v>
      </c>
      <c r="H5268">
        <v>0.98621519999999996</v>
      </c>
      <c r="I5268">
        <v>-5.3604710000000004</v>
      </c>
      <c r="J5268">
        <v>-303.51119999999997</v>
      </c>
      <c r="K5268">
        <v>1.09281299999999</v>
      </c>
      <c r="L5268">
        <v>-4.8517150000000004</v>
      </c>
      <c r="M5268">
        <v>-6.3663960000000006E-2</v>
      </c>
      <c r="N5268">
        <v>-8.5858749999999998E-3</v>
      </c>
      <c r="O5268">
        <v>-0.9979346</v>
      </c>
      <c r="P5268">
        <v>3.1424250000000001E-2</v>
      </c>
      <c r="Q5268">
        <v>0.39036979999999999</v>
      </c>
      <c r="R5268">
        <v>-0.92012179999999999</v>
      </c>
      <c r="S5268">
        <v>-0.13955689999999901</v>
      </c>
      <c r="T5268">
        <v>-0.44001620000000002</v>
      </c>
      <c r="U5268">
        <v>-3.4552309999999999</v>
      </c>
      <c r="V5268">
        <v>-8.5833800000000002E-2</v>
      </c>
      <c r="W5268">
        <v>0.39912760000000003</v>
      </c>
      <c r="X5268">
        <v>0.91286889999999998</v>
      </c>
      <c r="Y5268">
        <v>-2.3605029999999999E-2</v>
      </c>
      <c r="Z5268">
        <v>0.117366</v>
      </c>
      <c r="AA5268">
        <v>0.99280820000000003</v>
      </c>
      <c r="AB5268">
        <v>30</v>
      </c>
      <c r="AC5268">
        <v>-1.14000000000373E-2</v>
      </c>
      <c r="AD5268">
        <v>-0.10659779999999899</v>
      </c>
      <c r="AE5268">
        <v>-0.50875599999999899</v>
      </c>
      <c r="AF5268">
        <v>-2.01304301977306E-2</v>
      </c>
      <c r="AG5268">
        <v>-0.10659779999999899</v>
      </c>
      <c r="AH5268">
        <v>0.48707706767516901</v>
      </c>
      <c r="AI5268">
        <v>102.334458556942</v>
      </c>
      <c r="AJ5268">
        <v>92.366633006537498</v>
      </c>
      <c r="AK5268">
        <v>0.499011417744952</v>
      </c>
      <c r="AL5268">
        <v>66.476347024704296</v>
      </c>
      <c r="AM5268">
        <v>95.371524688963902</v>
      </c>
      <c r="AN5268">
        <v>0.99999995544570397</v>
      </c>
    </row>
    <row r="5269" spans="1:40" x14ac:dyDescent="0.25">
      <c r="A5269" t="str">
        <f>"20190304164514991"</f>
        <v>20190304164514991</v>
      </c>
      <c r="B5269" t="str">
        <f>"1551689114985818"</f>
        <v>1551689114985818</v>
      </c>
      <c r="C5269" t="s">
        <v>40</v>
      </c>
      <c r="D5269">
        <v>5.5879349999999999</v>
      </c>
      <c r="E5269">
        <v>0.53212919999999997</v>
      </c>
      <c r="F5269" t="s">
        <v>41</v>
      </c>
      <c r="G5269">
        <v>-303.53579999999999</v>
      </c>
      <c r="H5269">
        <v>0.99047680000000005</v>
      </c>
      <c r="I5269">
        <v>-5.6293860000000002</v>
      </c>
      <c r="J5269">
        <v>-303.53179999999998</v>
      </c>
      <c r="K5269">
        <v>1.0960589999999999</v>
      </c>
      <c r="L5269">
        <v>-5.1463320000000001</v>
      </c>
      <c r="M5269">
        <v>-6.4615710000000007E-2</v>
      </c>
      <c r="N5269">
        <v>-9.0445890000000004E-3</v>
      </c>
      <c r="O5269">
        <v>-0.99786940000000002</v>
      </c>
      <c r="P5269">
        <v>5.3807929999999997E-2</v>
      </c>
      <c r="Q5269">
        <v>0.38193009999999999</v>
      </c>
      <c r="R5269">
        <v>-0.92262379999999999</v>
      </c>
      <c r="S5269">
        <v>-0.10803219999999999</v>
      </c>
      <c r="T5269">
        <v>-0.45512039999999998</v>
      </c>
      <c r="U5269">
        <v>-3.457214</v>
      </c>
      <c r="V5269">
        <v>-0.1104879</v>
      </c>
      <c r="W5269">
        <v>0.39101989999999998</v>
      </c>
      <c r="X5269">
        <v>0.91372640000000005</v>
      </c>
      <c r="Y5269">
        <v>-3.362793E-2</v>
      </c>
      <c r="Z5269">
        <v>0.12107859999999999</v>
      </c>
      <c r="AA5269">
        <v>0.99207319999999999</v>
      </c>
      <c r="AB5269">
        <v>30</v>
      </c>
      <c r="AC5269">
        <v>-4.0000000000190898E-3</v>
      </c>
      <c r="AD5269">
        <v>-0.1055822</v>
      </c>
      <c r="AE5269">
        <v>-0.48305399999999998</v>
      </c>
      <c r="AF5269">
        <v>-2.5981364368688701E-2</v>
      </c>
      <c r="AG5269">
        <v>-0.1055822</v>
      </c>
      <c r="AH5269">
        <v>0.46031348529511301</v>
      </c>
      <c r="AI5269">
        <v>102.898646754346</v>
      </c>
      <c r="AJ5269">
        <v>93.230504375879093</v>
      </c>
      <c r="AK5269">
        <v>0.47298111695482298</v>
      </c>
      <c r="AL5269">
        <v>66.982025427921798</v>
      </c>
      <c r="AM5269">
        <v>96.894737991125695</v>
      </c>
      <c r="AN5269">
        <v>1.0000000361496799</v>
      </c>
    </row>
    <row r="5270" spans="1:40" x14ac:dyDescent="0.25">
      <c r="A5270" t="str">
        <f>"20190304164515024"</f>
        <v>20190304164515024</v>
      </c>
      <c r="B5270" t="str">
        <f>"1551689115015099"</f>
        <v>1551689115015099</v>
      </c>
      <c r="C5270" t="s">
        <v>40</v>
      </c>
      <c r="D5270">
        <v>5.5968910000000003</v>
      </c>
      <c r="E5270">
        <v>0.53192869999999903</v>
      </c>
      <c r="F5270" t="s">
        <v>41</v>
      </c>
      <c r="G5270">
        <v>-303.54160000000002</v>
      </c>
      <c r="H5270">
        <v>0.99053290000000005</v>
      </c>
      <c r="I5270">
        <v>-5.896293</v>
      </c>
      <c r="J5270">
        <v>-303.56049999999999</v>
      </c>
      <c r="K5270">
        <v>1.1004670000000001</v>
      </c>
      <c r="L5270">
        <v>-5.5861510000000001</v>
      </c>
      <c r="M5270">
        <v>-6.3426440000000001E-2</v>
      </c>
      <c r="N5270">
        <v>-9.7141510000000007E-3</v>
      </c>
      <c r="O5270">
        <v>-0.99793929999999997</v>
      </c>
      <c r="P5270">
        <v>7.4610099999999999E-2</v>
      </c>
      <c r="Q5270">
        <v>0.37393029999999999</v>
      </c>
      <c r="R5270">
        <v>-0.92445129999999998</v>
      </c>
      <c r="S5270">
        <v>-4.4769290000000003E-2</v>
      </c>
      <c r="T5270">
        <v>-0.48633589999999999</v>
      </c>
      <c r="U5270">
        <v>-3.4555359999999999</v>
      </c>
      <c r="V5270">
        <v>-0.1320704</v>
      </c>
      <c r="W5270">
        <v>0.38318429999999998</v>
      </c>
      <c r="X5270">
        <v>0.91418120000000003</v>
      </c>
      <c r="Y5270">
        <v>-5.0567180000000003E-2</v>
      </c>
      <c r="Z5270">
        <v>0.1292314</v>
      </c>
      <c r="AA5270">
        <v>0.99032430000000005</v>
      </c>
      <c r="AB5270">
        <v>30</v>
      </c>
      <c r="AC5270">
        <v>1.8899999999973702E-2</v>
      </c>
      <c r="AD5270">
        <v>-0.10993410000000001</v>
      </c>
      <c r="AE5270">
        <v>-0.31014199999999897</v>
      </c>
      <c r="AF5270">
        <v>-3.4247038112300197E-2</v>
      </c>
      <c r="AG5270">
        <v>-0.10993410000000001</v>
      </c>
      <c r="AH5270">
        <v>0.27401726461473203</v>
      </c>
      <c r="AI5270">
        <v>111.707348655915</v>
      </c>
      <c r="AJ5270">
        <v>97.123962255062594</v>
      </c>
      <c r="AK5270">
        <v>0.29722689526557899</v>
      </c>
      <c r="AL5270">
        <v>67.4689352195346</v>
      </c>
      <c r="AM5270">
        <v>98.2205601740975</v>
      </c>
      <c r="AN5270">
        <v>1.00000003237804</v>
      </c>
    </row>
    <row r="5271" spans="1:40" x14ac:dyDescent="0.25">
      <c r="A5271" t="str">
        <f>"20190304164515047"</f>
        <v>20190304164515047</v>
      </c>
      <c r="B5271" t="str">
        <f>"1551689115035594"</f>
        <v>1551689115035594</v>
      </c>
      <c r="C5271" t="s">
        <v>40</v>
      </c>
      <c r="D5271">
        <v>5.5956809999999999</v>
      </c>
      <c r="E5271">
        <v>0.53181619999999996</v>
      </c>
      <c r="F5271" t="s">
        <v>41</v>
      </c>
      <c r="G5271">
        <v>-303.5557</v>
      </c>
      <c r="H5271">
        <v>0.97585310000000003</v>
      </c>
      <c r="I5271">
        <v>-6.4204980000000003</v>
      </c>
      <c r="J5271">
        <v>-303.57819999999998</v>
      </c>
      <c r="K5271">
        <v>1.103084</v>
      </c>
      <c r="L5271">
        <v>-5.884735</v>
      </c>
      <c r="M5271">
        <v>-6.120772E-2</v>
      </c>
      <c r="N5271">
        <v>-1.014046E-2</v>
      </c>
      <c r="O5271">
        <v>-0.99807360000000001</v>
      </c>
      <c r="P5271">
        <v>8.3999119999999997E-2</v>
      </c>
      <c r="Q5271">
        <v>0.37596410000000002</v>
      </c>
      <c r="R5271">
        <v>-0.9228191</v>
      </c>
      <c r="S5271">
        <v>2.062988E-2</v>
      </c>
      <c r="T5271">
        <v>-0.51572589999999996</v>
      </c>
      <c r="U5271">
        <v>-3.452118</v>
      </c>
      <c r="V5271">
        <v>-0.14036779999999999</v>
      </c>
      <c r="W5271">
        <v>0.38521860000000002</v>
      </c>
      <c r="X5271">
        <v>0.91208739999999999</v>
      </c>
      <c r="Y5271">
        <v>-6.7063059999999994E-2</v>
      </c>
      <c r="Z5271">
        <v>0.1371339</v>
      </c>
      <c r="AA5271">
        <v>0.98827980000000004</v>
      </c>
      <c r="AB5271">
        <v>30</v>
      </c>
      <c r="AC5271">
        <v>2.2499999999979502E-2</v>
      </c>
      <c r="AD5271">
        <v>-0.12723090000000001</v>
      </c>
      <c r="AE5271">
        <v>-0.53576299999999999</v>
      </c>
      <c r="AF5271">
        <v>-5.23076351748945E-2</v>
      </c>
      <c r="AG5271">
        <v>-0.12723090000000001</v>
      </c>
      <c r="AH5271">
        <v>0.50495440994644303</v>
      </c>
      <c r="AI5271">
        <v>104.06988973935</v>
      </c>
      <c r="AJ5271">
        <v>95.9141087371558</v>
      </c>
      <c r="AK5271">
        <v>0.523357188482933</v>
      </c>
      <c r="AL5271">
        <v>67.342687088668896</v>
      </c>
      <c r="AM5271">
        <v>98.749025665662103</v>
      </c>
      <c r="AN5271">
        <v>0.99999995715077905</v>
      </c>
    </row>
    <row r="5272" spans="1:40" x14ac:dyDescent="0.25">
      <c r="A5272" t="str">
        <f>"20190304164515070"</f>
        <v>20190304164515070</v>
      </c>
      <c r="B5272" t="str">
        <f>"1551689115065611"</f>
        <v>1551689115065611</v>
      </c>
      <c r="C5272" t="s">
        <v>40</v>
      </c>
      <c r="D5272">
        <v>5.5745959999999997</v>
      </c>
      <c r="E5272">
        <v>0.53175240000000001</v>
      </c>
      <c r="F5272" t="s">
        <v>41</v>
      </c>
      <c r="G5272">
        <v>-303.56229999999999</v>
      </c>
      <c r="H5272">
        <v>0.98397579999999996</v>
      </c>
      <c r="I5272">
        <v>-6.6911539999999903</v>
      </c>
      <c r="J5272">
        <v>-303.59449999999998</v>
      </c>
      <c r="K5272">
        <v>1.1053949999999999</v>
      </c>
      <c r="L5272">
        <v>-6.1879580000000001</v>
      </c>
      <c r="M5272">
        <v>-5.7960709999999999E-2</v>
      </c>
      <c r="N5272">
        <v>-1.053484E-2</v>
      </c>
      <c r="O5272">
        <v>-0.99826329999999996</v>
      </c>
      <c r="P5272">
        <v>9.7005519999999998E-2</v>
      </c>
      <c r="Q5272">
        <v>0.3798762</v>
      </c>
      <c r="R5272">
        <v>-0.91993689999999995</v>
      </c>
      <c r="S5272">
        <v>6.9030759999999997E-2</v>
      </c>
      <c r="T5272">
        <v>-0.510254599999999</v>
      </c>
      <c r="U5272">
        <v>-3.452515</v>
      </c>
      <c r="V5272">
        <v>-0.15116109999999999</v>
      </c>
      <c r="W5272">
        <v>0.38908579999999998</v>
      </c>
      <c r="X5272">
        <v>0.90871480000000004</v>
      </c>
      <c r="Y5272">
        <v>-7.7659729999999996E-2</v>
      </c>
      <c r="Z5272">
        <v>0.13516549999999999</v>
      </c>
      <c r="AA5272">
        <v>0.98777490000000001</v>
      </c>
      <c r="AB5272">
        <v>30</v>
      </c>
      <c r="AC5272">
        <v>3.2199999999988897E-2</v>
      </c>
      <c r="AD5272">
        <v>-0.1214192</v>
      </c>
      <c r="AE5272">
        <v>-0.50319599999999898</v>
      </c>
      <c r="AF5272">
        <v>-5.7952617129398601E-2</v>
      </c>
      <c r="AG5272">
        <v>-0.1214192</v>
      </c>
      <c r="AH5272">
        <v>0.47305292341961702</v>
      </c>
      <c r="AI5272">
        <v>104.293006915181</v>
      </c>
      <c r="AJ5272">
        <v>96.984371100708401</v>
      </c>
      <c r="AK5272">
        <v>0.49181317216665998</v>
      </c>
      <c r="AL5272">
        <v>67.102373147506995</v>
      </c>
      <c r="AM5272">
        <v>99.444446706275301</v>
      </c>
      <c r="AN5272">
        <v>1.00000001282694</v>
      </c>
    </row>
    <row r="5273" spans="1:40" x14ac:dyDescent="0.25">
      <c r="A5273" t="str">
        <f>"20190304164515091"</f>
        <v>20190304164515091</v>
      </c>
      <c r="B5273" t="str">
        <f>"1551689115085131"</f>
        <v>1551689115085131</v>
      </c>
      <c r="C5273" t="s">
        <v>40</v>
      </c>
      <c r="D5273">
        <v>5.5701289999999997</v>
      </c>
      <c r="E5273">
        <v>0.53175839999999996</v>
      </c>
      <c r="F5273" t="s">
        <v>42</v>
      </c>
      <c r="G5273">
        <v>-303.33030000000002</v>
      </c>
      <c r="H5273" s="1">
        <v>-3.6887860000000002E-6</v>
      </c>
      <c r="I5273">
        <v>-13.87778</v>
      </c>
      <c r="J5273">
        <v>-303.60849999999999</v>
      </c>
      <c r="K5273">
        <v>1.1073409999999999</v>
      </c>
      <c r="L5273">
        <v>-6.4828489999999999</v>
      </c>
      <c r="M5273">
        <v>-5.3930039999999999E-2</v>
      </c>
      <c r="N5273">
        <v>-1.0882279999999999E-2</v>
      </c>
      <c r="O5273">
        <v>-0.99848559999999997</v>
      </c>
      <c r="P5273">
        <v>0.1138194</v>
      </c>
      <c r="Q5273">
        <v>0.38165830000000001</v>
      </c>
      <c r="R5273">
        <v>-0.91726920000000001</v>
      </c>
      <c r="S5273">
        <v>0.1186523</v>
      </c>
      <c r="T5273">
        <v>-0.49644640000000001</v>
      </c>
      <c r="U5273">
        <v>-3.4535830000000001</v>
      </c>
      <c r="V5273">
        <v>-0.164944799999999</v>
      </c>
      <c r="W5273">
        <v>0.39077319999999999</v>
      </c>
      <c r="X5273">
        <v>0.9055879</v>
      </c>
      <c r="Y5273">
        <v>-8.781688E-2</v>
      </c>
      <c r="Z5273">
        <v>0.13086969999999901</v>
      </c>
      <c r="AA5273">
        <v>0.98750260000000001</v>
      </c>
      <c r="AB5273">
        <v>30</v>
      </c>
      <c r="AC5273">
        <v>0.27819999999996903</v>
      </c>
      <c r="AD5273">
        <v>-1.1073446887859999</v>
      </c>
      <c r="AE5273">
        <v>-7.3949309999999997</v>
      </c>
      <c r="AF5273">
        <v>-0.66180867146461397</v>
      </c>
      <c r="AG5273">
        <v>-1.1073446887859999</v>
      </c>
      <c r="AH5273">
        <v>7.2077709821625104</v>
      </c>
      <c r="AI5273">
        <v>98.698153013305202</v>
      </c>
      <c r="AJ5273">
        <v>95.2461182502024</v>
      </c>
      <c r="AK5273">
        <v>7.32230602397307</v>
      </c>
      <c r="AL5273">
        <v>66.997380375261102</v>
      </c>
      <c r="AM5273">
        <v>100.32275669437</v>
      </c>
      <c r="AN5273">
        <v>0.99999996275584402</v>
      </c>
    </row>
    <row r="5274" spans="1:40" x14ac:dyDescent="0.25">
      <c r="A5274" t="str">
        <f>"20190304164515116"</f>
        <v>20190304164515116</v>
      </c>
      <c r="B5274" t="str">
        <f>"1551689115105627"</f>
        <v>1551689115105627</v>
      </c>
      <c r="C5274" t="s">
        <v>40</v>
      </c>
      <c r="D5274">
        <v>5.5887120000000001</v>
      </c>
      <c r="E5274">
        <v>0.5318387</v>
      </c>
      <c r="F5274" t="s">
        <v>42</v>
      </c>
      <c r="G5274">
        <v>-303.23489999999998</v>
      </c>
      <c r="H5274" s="1">
        <v>-3.4743159999999999E-6</v>
      </c>
      <c r="I5274">
        <v>-14.31854</v>
      </c>
      <c r="J5274">
        <v>-303.6207</v>
      </c>
      <c r="K5274">
        <v>1.109076</v>
      </c>
      <c r="L5274">
        <v>-6.7853389999999996</v>
      </c>
      <c r="M5274">
        <v>-4.8988469999999999E-2</v>
      </c>
      <c r="N5274">
        <v>-1.1211280000000001E-2</v>
      </c>
      <c r="O5274">
        <v>-0.99873659999999997</v>
      </c>
      <c r="P5274">
        <v>0.1212917</v>
      </c>
      <c r="Q5274">
        <v>0.38034279999999998</v>
      </c>
      <c r="R5274">
        <v>-0.91685749999999999</v>
      </c>
      <c r="S5274">
        <v>0.16464229999999899</v>
      </c>
      <c r="T5274">
        <v>-0.48801080000000002</v>
      </c>
      <c r="U5274">
        <v>-3.453217</v>
      </c>
      <c r="V5274">
        <v>-0.16863229999999901</v>
      </c>
      <c r="W5274">
        <v>0.38941700000000001</v>
      </c>
      <c r="X5274">
        <v>0.90549299999999999</v>
      </c>
      <c r="Y5274">
        <v>-9.6026319999999998E-2</v>
      </c>
      <c r="Z5274">
        <v>0.12815470000000001</v>
      </c>
      <c r="AA5274">
        <v>0.98709440000000004</v>
      </c>
      <c r="AB5274">
        <v>30</v>
      </c>
      <c r="AC5274">
        <v>0.38580000000001702</v>
      </c>
      <c r="AD5274">
        <v>-1.109079474316</v>
      </c>
      <c r="AE5274">
        <v>-7.5332009999999903</v>
      </c>
      <c r="AF5274">
        <v>-0.73843585953648805</v>
      </c>
      <c r="AG5274">
        <v>-1.109079474316</v>
      </c>
      <c r="AH5274">
        <v>7.3464341305873599</v>
      </c>
      <c r="AI5274">
        <v>98.542615776709198</v>
      </c>
      <c r="AJ5274">
        <v>95.739876564156305</v>
      </c>
      <c r="AK5274">
        <v>7.4662868438104697</v>
      </c>
      <c r="AL5274">
        <v>67.081772004129405</v>
      </c>
      <c r="AM5274">
        <v>100.549487800522</v>
      </c>
      <c r="AN5274">
        <v>1.0000000127706401</v>
      </c>
    </row>
    <row r="5275" spans="1:40" x14ac:dyDescent="0.25">
      <c r="A5275" t="str">
        <f>"20190304164515137"</f>
        <v>20190304164515137</v>
      </c>
      <c r="B5275" t="str">
        <f>"1551689115125147"</f>
        <v>1551689115125147</v>
      </c>
      <c r="C5275" t="s">
        <v>40</v>
      </c>
      <c r="D5275">
        <v>5.4893409999999996</v>
      </c>
      <c r="E5275">
        <v>0.53192790000000001</v>
      </c>
      <c r="F5275" t="s">
        <v>42</v>
      </c>
      <c r="G5275">
        <v>-303.17529999999999</v>
      </c>
      <c r="H5275" s="1">
        <v>-3.3724460000000001E-6</v>
      </c>
      <c r="I5275">
        <v>-14.519</v>
      </c>
      <c r="J5275">
        <v>-303.63010000000003</v>
      </c>
      <c r="K5275">
        <v>1.110544</v>
      </c>
      <c r="L5275">
        <v>-7.0800780000000003</v>
      </c>
      <c r="M5275">
        <v>-4.344758E-2</v>
      </c>
      <c r="N5275">
        <v>-1.150955E-2</v>
      </c>
      <c r="O5275">
        <v>-0.99898960000000003</v>
      </c>
      <c r="P5275">
        <v>0.12028510000000001</v>
      </c>
      <c r="Q5275">
        <v>0.37910539999999998</v>
      </c>
      <c r="R5275">
        <v>-0.91750259999999995</v>
      </c>
      <c r="S5275">
        <v>0.19876099999999999</v>
      </c>
      <c r="T5275">
        <v>-0.49491309999999999</v>
      </c>
      <c r="U5275">
        <v>-3.45105</v>
      </c>
      <c r="V5275">
        <v>-0.1632702</v>
      </c>
      <c r="W5275">
        <v>0.38822640000000003</v>
      </c>
      <c r="X5275">
        <v>0.90698570000000001</v>
      </c>
      <c r="Y5275">
        <v>-0.1002456</v>
      </c>
      <c r="Z5275">
        <v>0.12986689999999901</v>
      </c>
      <c r="AA5275">
        <v>0.98645090000000002</v>
      </c>
      <c r="AB5275">
        <v>30</v>
      </c>
      <c r="AC5275">
        <v>0.45480000000003401</v>
      </c>
      <c r="AD5275">
        <v>-1.110547372446</v>
      </c>
      <c r="AE5275">
        <v>-7.4389219999999998</v>
      </c>
      <c r="AF5275">
        <v>-0.76070420621605395</v>
      </c>
      <c r="AG5275">
        <v>-1.110547372446</v>
      </c>
      <c r="AH5275">
        <v>7.2511302146508703</v>
      </c>
      <c r="AI5275">
        <v>98.660675944507304</v>
      </c>
      <c r="AJ5275">
        <v>95.988899783891299</v>
      </c>
      <c r="AK5275">
        <v>7.3750169996837496</v>
      </c>
      <c r="AL5275">
        <v>67.155813708742599</v>
      </c>
      <c r="AM5275">
        <v>100.204755349612</v>
      </c>
      <c r="AN5275">
        <v>0.99999997793474404</v>
      </c>
    </row>
    <row r="5276" spans="1:40" x14ac:dyDescent="0.25">
      <c r="A5276" t="str">
        <f>"20190304164515160"</f>
        <v>20190304164515160</v>
      </c>
      <c r="B5276" t="str">
        <f>"1551689115156005"</f>
        <v>1551689115156005</v>
      </c>
      <c r="C5276" t="s">
        <v>40</v>
      </c>
      <c r="D5276">
        <v>5.5847749999999996</v>
      </c>
      <c r="E5276">
        <v>0.53217320000000001</v>
      </c>
      <c r="F5276" t="s">
        <v>42</v>
      </c>
      <c r="G5276">
        <v>-303.14179999999999</v>
      </c>
      <c r="H5276" s="1">
        <v>-3.2979030000000001E-6</v>
      </c>
      <c r="I5276">
        <v>-14.672040000000001</v>
      </c>
      <c r="J5276">
        <v>-303.63729999999998</v>
      </c>
      <c r="K5276">
        <v>1.111864</v>
      </c>
      <c r="L5276">
        <v>-7.3844909999999997</v>
      </c>
      <c r="M5276">
        <v>-3.7134489999999999E-2</v>
      </c>
      <c r="N5276">
        <v>-1.1794010000000001E-2</v>
      </c>
      <c r="O5276">
        <v>-0.99924080000000004</v>
      </c>
      <c r="P5276">
        <v>0.121029399999999</v>
      </c>
      <c r="Q5276">
        <v>0.37979289999999999</v>
      </c>
      <c r="R5276">
        <v>-0.91712009999999999</v>
      </c>
      <c r="S5276">
        <v>0.22183230000000001</v>
      </c>
      <c r="T5276">
        <v>-0.50453599999999998</v>
      </c>
      <c r="U5276">
        <v>-3.4491269999999998</v>
      </c>
      <c r="V5276">
        <v>-0.15885779999999999</v>
      </c>
      <c r="W5276">
        <v>0.38897110000000001</v>
      </c>
      <c r="X5276">
        <v>0.90745010000000004</v>
      </c>
      <c r="Y5276">
        <v>-0.1005392</v>
      </c>
      <c r="Z5276">
        <v>0.13238259999999999</v>
      </c>
      <c r="AA5276">
        <v>0.98608649999999998</v>
      </c>
      <c r="AB5276">
        <v>30</v>
      </c>
      <c r="AC5276">
        <v>0.495499999999992</v>
      </c>
      <c r="AD5276">
        <v>-1.111867297903</v>
      </c>
      <c r="AE5276">
        <v>-7.2875489999999896</v>
      </c>
      <c r="AF5276">
        <v>-0.74845416685197197</v>
      </c>
      <c r="AG5276">
        <v>-1.111867297903</v>
      </c>
      <c r="AH5276">
        <v>7.0996171430578396</v>
      </c>
      <c r="AI5276">
        <v>98.852490549660999</v>
      </c>
      <c r="AJ5276">
        <v>96.017993712018196</v>
      </c>
      <c r="AK5276">
        <v>7.2250256820322099</v>
      </c>
      <c r="AL5276">
        <v>67.109506636676599</v>
      </c>
      <c r="AM5276">
        <v>99.929555673442806</v>
      </c>
      <c r="AN5276">
        <v>1.0000000006230301</v>
      </c>
    </row>
    <row r="5277" spans="1:40" x14ac:dyDescent="0.25">
      <c r="A5277" t="str">
        <f>"20190304164515181"</f>
        <v>20190304164515181</v>
      </c>
      <c r="B5277" t="str">
        <f>"1551689115175526"</f>
        <v>1551689115175526</v>
      </c>
      <c r="C5277" t="s">
        <v>40</v>
      </c>
      <c r="D5277">
        <v>5.5809300000000004</v>
      </c>
      <c r="E5277">
        <v>0.53226580000000001</v>
      </c>
      <c r="F5277" t="s">
        <v>42</v>
      </c>
      <c r="G5277">
        <v>-303.11860000000001</v>
      </c>
      <c r="H5277" s="1">
        <v>-3.1665609999999999E-6</v>
      </c>
      <c r="I5277">
        <v>-14.963789999999999</v>
      </c>
      <c r="J5277">
        <v>-303.64159999999998</v>
      </c>
      <c r="K5277">
        <v>1.112919</v>
      </c>
      <c r="L5277">
        <v>-7.6578979999999897</v>
      </c>
      <c r="M5277">
        <v>-3.0924030000000002E-2</v>
      </c>
      <c r="N5277">
        <v>-1.202875E-2</v>
      </c>
      <c r="O5277">
        <v>-0.99944940000000004</v>
      </c>
      <c r="P5277">
        <v>0.12510070000000001</v>
      </c>
      <c r="Q5277">
        <v>0.383019</v>
      </c>
      <c r="R5277">
        <v>-0.9152304</v>
      </c>
      <c r="S5277">
        <v>0.23608399999999999</v>
      </c>
      <c r="T5277">
        <v>-0.50603370000000003</v>
      </c>
      <c r="U5277">
        <v>-3.4494929999999999</v>
      </c>
      <c r="V5277">
        <v>-0.15774469999999999</v>
      </c>
      <c r="W5277">
        <v>0.392208</v>
      </c>
      <c r="X5277">
        <v>0.90625020000000001</v>
      </c>
      <c r="Y5277">
        <v>-9.8404080000000005E-2</v>
      </c>
      <c r="Z5277">
        <v>0.13259779999999999</v>
      </c>
      <c r="AA5277">
        <v>0.98627310000000001</v>
      </c>
      <c r="AB5277">
        <v>30</v>
      </c>
      <c r="AC5277">
        <v>0.52299999999996705</v>
      </c>
      <c r="AD5277">
        <v>-1.1129221665610001</v>
      </c>
      <c r="AE5277">
        <v>-7.3058920000000001</v>
      </c>
      <c r="AF5277">
        <v>-0.73179891821955501</v>
      </c>
      <c r="AG5277">
        <v>-1.1129221665610001</v>
      </c>
      <c r="AH5277">
        <v>7.1218034767169902</v>
      </c>
      <c r="AI5277">
        <v>98.835976429896206</v>
      </c>
      <c r="AJ5277">
        <v>95.866821227148606</v>
      </c>
      <c r="AK5277">
        <v>7.2452888256099497</v>
      </c>
      <c r="AL5277">
        <v>66.908041599144497</v>
      </c>
      <c r="AM5277">
        <v>99.874150752838204</v>
      </c>
      <c r="AN5277">
        <v>0.99999996532106405</v>
      </c>
    </row>
    <row r="5278" spans="1:40" x14ac:dyDescent="0.25">
      <c r="A5278" t="str">
        <f>"20190304164515203"</f>
        <v>20190304164515203</v>
      </c>
      <c r="B5278" t="str">
        <f>"1551689115195045"</f>
        <v>1551689115195045</v>
      </c>
      <c r="C5278" t="s">
        <v>40</v>
      </c>
      <c r="D5278">
        <v>5.5868310000000001</v>
      </c>
      <c r="E5278">
        <v>0.53661049999999999</v>
      </c>
      <c r="F5278" t="s">
        <v>42</v>
      </c>
      <c r="G5278">
        <v>-303.09190000000001</v>
      </c>
      <c r="H5278" s="1">
        <v>-2.9579230000000001E-6</v>
      </c>
      <c r="I5278">
        <v>-15.433590000000001</v>
      </c>
      <c r="J5278">
        <v>-303.64359999999999</v>
      </c>
      <c r="K5278">
        <v>1.113942</v>
      </c>
      <c r="L5278">
        <v>-7.9479059999999997</v>
      </c>
      <c r="M5278">
        <v>-2.3710350000000002E-2</v>
      </c>
      <c r="N5278">
        <v>-1.2265460000000001E-2</v>
      </c>
      <c r="O5278">
        <v>-0.99964370000000002</v>
      </c>
      <c r="P5278">
        <v>0.12879879999999999</v>
      </c>
      <c r="Q5278">
        <v>0.38369340000000002</v>
      </c>
      <c r="R5278">
        <v>-0.91443450000000004</v>
      </c>
      <c r="S5278">
        <v>0.24395749999999999</v>
      </c>
      <c r="T5278">
        <v>-0.4939694</v>
      </c>
      <c r="U5278">
        <v>-3.4512330000000002</v>
      </c>
      <c r="V5278">
        <v>-0.15538550000000001</v>
      </c>
      <c r="W5278">
        <v>0.39292199999999999</v>
      </c>
      <c r="X5278">
        <v>0.9063485</v>
      </c>
      <c r="Y5278">
        <v>-9.3465809999999996E-2</v>
      </c>
      <c r="Z5278">
        <v>0.12897910000000001</v>
      </c>
      <c r="AA5278">
        <v>0.98723269999999996</v>
      </c>
      <c r="AB5278">
        <v>30</v>
      </c>
      <c r="AC5278">
        <v>0.55169999999998198</v>
      </c>
      <c r="AD5278">
        <v>-1.1139449579230001</v>
      </c>
      <c r="AE5278">
        <v>-7.4856839999999902</v>
      </c>
      <c r="AF5278">
        <v>-0.71333533952784201</v>
      </c>
      <c r="AG5278">
        <v>-1.1139449579230001</v>
      </c>
      <c r="AH5278">
        <v>7.3095068621297496</v>
      </c>
      <c r="AI5278">
        <v>98.624666886856204</v>
      </c>
      <c r="AJ5278">
        <v>95.5738494810508</v>
      </c>
      <c r="AK5278">
        <v>7.4282306940093896</v>
      </c>
      <c r="AL5278">
        <v>66.863562057190805</v>
      </c>
      <c r="AM5278">
        <v>99.728283025457998</v>
      </c>
      <c r="AN5278">
        <v>0.99999997757324899</v>
      </c>
    </row>
    <row r="5279" spans="1:40" x14ac:dyDescent="0.25">
      <c r="A5279" t="str">
        <f>"20190304164515226"</f>
        <v>20190304164515226</v>
      </c>
      <c r="B5279" t="str">
        <f>"1551689115215541"</f>
        <v>1551689115215541</v>
      </c>
      <c r="C5279" t="s">
        <v>40</v>
      </c>
      <c r="D5279">
        <v>5.5793119999999998</v>
      </c>
      <c r="E5279">
        <v>0.53692640000000003</v>
      </c>
      <c r="F5279" t="s">
        <v>41</v>
      </c>
      <c r="G5279">
        <v>-303.59030000000001</v>
      </c>
      <c r="H5279">
        <v>0.98650959999999999</v>
      </c>
      <c r="I5279">
        <v>-8.7892649999999897</v>
      </c>
      <c r="J5279">
        <v>-303.64269999999999</v>
      </c>
      <c r="K5279">
        <v>1.1148739999999999</v>
      </c>
      <c r="L5279">
        <v>-8.2353210000000008</v>
      </c>
      <c r="M5279">
        <v>-1.590863E-2</v>
      </c>
      <c r="N5279">
        <v>-1.249392E-2</v>
      </c>
      <c r="O5279">
        <v>-0.99979560000000001</v>
      </c>
      <c r="P5279">
        <v>0.1317161</v>
      </c>
      <c r="Q5279">
        <v>0.37968940000000001</v>
      </c>
      <c r="R5279">
        <v>-0.91568950000000005</v>
      </c>
      <c r="S5279">
        <v>0.21960450000000001</v>
      </c>
      <c r="T5279">
        <v>-0.52589319999999995</v>
      </c>
      <c r="U5279">
        <v>-3.4704589999999902</v>
      </c>
      <c r="V5279">
        <v>-0.1516806</v>
      </c>
      <c r="W5279">
        <v>0.38900590000000002</v>
      </c>
      <c r="X5279">
        <v>0.90866239999999998</v>
      </c>
      <c r="Y5279">
        <v>-7.8345529999999997E-2</v>
      </c>
      <c r="Z5279">
        <v>0.1370479</v>
      </c>
      <c r="AA5279">
        <v>0.98746129999999999</v>
      </c>
      <c r="AB5279">
        <v>30</v>
      </c>
      <c r="AC5279">
        <v>5.2399999999977298E-2</v>
      </c>
      <c r="AD5279">
        <v>-0.12836439999999899</v>
      </c>
      <c r="AE5279">
        <v>-0.55394399999999699</v>
      </c>
      <c r="AF5279">
        <v>-5.8113638023771501E-2</v>
      </c>
      <c r="AG5279">
        <v>-0.12836439999999899</v>
      </c>
      <c r="AH5279">
        <v>0.52509383063152903</v>
      </c>
      <c r="AI5279">
        <v>103.656871906294</v>
      </c>
      <c r="AJ5279">
        <v>96.315387051744096</v>
      </c>
      <c r="AK5279">
        <v>0.54367098973461103</v>
      </c>
      <c r="AL5279">
        <v>67.107341687002204</v>
      </c>
      <c r="AM5279">
        <v>99.4768535737321</v>
      </c>
      <c r="AN5279">
        <v>0.99999997591246403</v>
      </c>
    </row>
    <row r="5280" spans="1:40" x14ac:dyDescent="0.25">
      <c r="A5280" t="str">
        <f>"20190304164515248"</f>
        <v>20190304164515248</v>
      </c>
      <c r="B5280" t="str">
        <f>"1551689115245798"</f>
        <v>1551689115245798</v>
      </c>
      <c r="C5280" t="s">
        <v>40</v>
      </c>
      <c r="D5280">
        <v>5.6035029999999999</v>
      </c>
      <c r="E5280">
        <v>0.5368771</v>
      </c>
      <c r="F5280" t="s">
        <v>41</v>
      </c>
      <c r="G5280">
        <v>-303.59019999999998</v>
      </c>
      <c r="H5280">
        <v>0.98823119999999998</v>
      </c>
      <c r="I5280">
        <v>-9.0483259999999994</v>
      </c>
      <c r="J5280">
        <v>-303.63889999999998</v>
      </c>
      <c r="K5280">
        <v>1.1157349999999999</v>
      </c>
      <c r="L5280">
        <v>-8.5285340000000005</v>
      </c>
      <c r="M5280">
        <v>-7.2924050000000001E-3</v>
      </c>
      <c r="N5280">
        <v>-1.2719579999999999E-2</v>
      </c>
      <c r="O5280">
        <v>-0.99989269999999997</v>
      </c>
      <c r="P5280">
        <v>0.13602159999999999</v>
      </c>
      <c r="Q5280">
        <v>0.37553789999999998</v>
      </c>
      <c r="R5280">
        <v>-0.91677149999999996</v>
      </c>
      <c r="S5280">
        <v>0.22491459999999999</v>
      </c>
      <c r="T5280">
        <v>-0.54094140000000002</v>
      </c>
      <c r="U5280">
        <v>-3.4681700000000002</v>
      </c>
      <c r="V5280">
        <v>-0.14857989999999999</v>
      </c>
      <c r="W5280">
        <v>0.38493919999999998</v>
      </c>
      <c r="X5280">
        <v>0.91090389999999999</v>
      </c>
      <c r="Y5280">
        <v>-7.1266380000000004E-2</v>
      </c>
      <c r="Z5280">
        <v>0.14116679999999901</v>
      </c>
      <c r="AA5280">
        <v>0.98741730000000005</v>
      </c>
      <c r="AB5280">
        <v>30</v>
      </c>
      <c r="AC5280">
        <v>4.86999999999966E-2</v>
      </c>
      <c r="AD5280">
        <v>-0.1275038</v>
      </c>
      <c r="AE5280">
        <v>-0.51979199999999803</v>
      </c>
      <c r="AF5280">
        <v>-4.9534916133344598E-2</v>
      </c>
      <c r="AG5280">
        <v>-0.1275038</v>
      </c>
      <c r="AH5280">
        <v>0.49018476587160598</v>
      </c>
      <c r="AI5280">
        <v>104.509566336299</v>
      </c>
      <c r="AJ5280">
        <v>95.770353810791406</v>
      </c>
      <c r="AK5280">
        <v>0.50891259723392501</v>
      </c>
      <c r="AL5280">
        <v>67.360035291328998</v>
      </c>
      <c r="AM5280">
        <v>99.264079106185903</v>
      </c>
      <c r="AN5280">
        <v>1.00000004470792</v>
      </c>
    </row>
    <row r="5281" spans="1:40" x14ac:dyDescent="0.25">
      <c r="A5281" t="str">
        <f>"20190304164515270"</f>
        <v>20190304164515270</v>
      </c>
      <c r="B5281" t="str">
        <f>"1551689115265929"</f>
        <v>1551689115265929</v>
      </c>
      <c r="C5281" t="s">
        <v>40</v>
      </c>
      <c r="D5281">
        <v>5.6161029999999998</v>
      </c>
      <c r="E5281">
        <v>0.53681309999999904</v>
      </c>
      <c r="F5281" t="s">
        <v>41</v>
      </c>
      <c r="G5281">
        <v>-303.58479999999997</v>
      </c>
      <c r="H5281">
        <v>0.98957799999999996</v>
      </c>
      <c r="I5281">
        <v>-9.3082469999999997</v>
      </c>
      <c r="J5281">
        <v>-303.6318</v>
      </c>
      <c r="K5281">
        <v>1.1165290000000001</v>
      </c>
      <c r="L5281">
        <v>-8.8237299999999994</v>
      </c>
      <c r="M5281">
        <v>2.0166509999999999E-3</v>
      </c>
      <c r="N5281">
        <v>-1.293558E-2</v>
      </c>
      <c r="O5281">
        <v>-0.99991419999999998</v>
      </c>
      <c r="P5281">
        <v>0.139017</v>
      </c>
      <c r="Q5281">
        <v>0.37258010000000003</v>
      </c>
      <c r="R5281">
        <v>-0.91752849999999997</v>
      </c>
      <c r="S5281">
        <v>0.2406006</v>
      </c>
      <c r="T5281">
        <v>-0.56132559999999998</v>
      </c>
      <c r="U5281">
        <v>-3.466583</v>
      </c>
      <c r="V5281">
        <v>-0.14349189999999901</v>
      </c>
      <c r="W5281">
        <v>0.38210539999999998</v>
      </c>
      <c r="X5281">
        <v>0.91291049999999996</v>
      </c>
      <c r="Y5281">
        <v>-6.6402699999999995E-2</v>
      </c>
      <c r="Z5281">
        <v>0.1466971</v>
      </c>
      <c r="AA5281">
        <v>0.9869502</v>
      </c>
      <c r="AB5281">
        <v>29</v>
      </c>
      <c r="AC5281">
        <v>4.7000000000025403E-2</v>
      </c>
      <c r="AD5281">
        <v>-0.12695100000000001</v>
      </c>
      <c r="AE5281">
        <v>-0.48451699999999998</v>
      </c>
      <c r="AF5281">
        <v>-4.3091943658573197E-2</v>
      </c>
      <c r="AG5281">
        <v>-0.12695100000000001</v>
      </c>
      <c r="AH5281">
        <v>0.45375025897922999</v>
      </c>
      <c r="AI5281">
        <v>105.564032840031</v>
      </c>
      <c r="AJ5281">
        <v>95.425019087181994</v>
      </c>
      <c r="AK5281">
        <v>0.47314138429542602</v>
      </c>
      <c r="AL5281">
        <v>67.535843415821802</v>
      </c>
      <c r="AM5281">
        <v>98.932705372376006</v>
      </c>
      <c r="AN5281">
        <v>1.0000000215425</v>
      </c>
    </row>
    <row r="5282" spans="1:40" x14ac:dyDescent="0.25">
      <c r="A5282" t="str">
        <f>"20190304164515293"</f>
        <v>20190304164515293</v>
      </c>
      <c r="B5282" t="str">
        <f>"1551689115285449"</f>
        <v>1551689115285449</v>
      </c>
      <c r="C5282" t="s">
        <v>40</v>
      </c>
      <c r="D5282">
        <v>5.6436229999999998</v>
      </c>
      <c r="E5282">
        <v>0.53672889999999995</v>
      </c>
      <c r="F5282" t="s">
        <v>41</v>
      </c>
      <c r="G5282">
        <v>-303.57740000000001</v>
      </c>
      <c r="H5282">
        <v>0.99317940000000005</v>
      </c>
      <c r="I5282">
        <v>-9.5686549999999997</v>
      </c>
      <c r="J5282">
        <v>-303.6216</v>
      </c>
      <c r="K5282">
        <v>1.11721</v>
      </c>
      <c r="L5282">
        <v>-9.1136780000000002</v>
      </c>
      <c r="M5282">
        <v>1.1722450000000001E-2</v>
      </c>
      <c r="N5282">
        <v>-1.3133209999999999E-2</v>
      </c>
      <c r="O5282">
        <v>-0.99984519999999999</v>
      </c>
      <c r="P5282">
        <v>0.13980890000000001</v>
      </c>
      <c r="Q5282">
        <v>0.37188149999999998</v>
      </c>
      <c r="R5282">
        <v>-0.91769160000000005</v>
      </c>
      <c r="S5282">
        <v>0.2546387</v>
      </c>
      <c r="T5282">
        <v>-0.57490889999999994</v>
      </c>
      <c r="U5282">
        <v>-3.4645389999999998</v>
      </c>
      <c r="V5282">
        <v>-0.13579240000000001</v>
      </c>
      <c r="W5282">
        <v>0.3815867</v>
      </c>
      <c r="X5282">
        <v>0.91430409999999995</v>
      </c>
      <c r="Y5282">
        <v>-6.0699030000000001E-2</v>
      </c>
      <c r="Z5282">
        <v>0.15035580000000001</v>
      </c>
      <c r="AA5282">
        <v>0.98676680000000005</v>
      </c>
      <c r="AB5282">
        <v>29</v>
      </c>
      <c r="AC5282">
        <v>4.4199999999989303E-2</v>
      </c>
      <c r="AD5282">
        <v>-0.1240306</v>
      </c>
      <c r="AE5282">
        <v>-0.45497699999999902</v>
      </c>
      <c r="AF5282">
        <v>-3.6198130496546001E-2</v>
      </c>
      <c r="AG5282">
        <v>-0.1240306</v>
      </c>
      <c r="AH5282">
        <v>0.42423172074151699</v>
      </c>
      <c r="AI5282">
        <v>106.241195337167</v>
      </c>
      <c r="AJ5282">
        <v>94.877024908546304</v>
      </c>
      <c r="AK5282">
        <v>0.443470909159906</v>
      </c>
      <c r="AL5282">
        <v>67.567998488459907</v>
      </c>
      <c r="AM5282">
        <v>98.447813114883999</v>
      </c>
      <c r="AN5282">
        <v>0.99999998639572896</v>
      </c>
    </row>
    <row r="5283" spans="1:40" x14ac:dyDescent="0.25">
      <c r="A5283" t="str">
        <f>"20190304164515315"</f>
        <v>20190304164515315</v>
      </c>
      <c r="B5283" t="str">
        <f>"1551689115305945"</f>
        <v>1551689115305945</v>
      </c>
      <c r="C5283" t="s">
        <v>40</v>
      </c>
      <c r="D5283">
        <v>5.6252040000000001</v>
      </c>
      <c r="E5283">
        <v>0.53676179999999996</v>
      </c>
      <c r="F5283" t="s">
        <v>41</v>
      </c>
      <c r="G5283">
        <v>-303.56659999999999</v>
      </c>
      <c r="H5283">
        <v>0.99769909999999995</v>
      </c>
      <c r="I5283">
        <v>-9.8290629999999997</v>
      </c>
      <c r="J5283">
        <v>-303.60840000000002</v>
      </c>
      <c r="K5283">
        <v>1.1177429999999999</v>
      </c>
      <c r="L5283">
        <v>-9.3955990000000007</v>
      </c>
      <c r="M5283">
        <v>2.1624460000000002E-2</v>
      </c>
      <c r="N5283">
        <v>-1.3307309999999999E-2</v>
      </c>
      <c r="O5283">
        <v>-0.99967779999999995</v>
      </c>
      <c r="P5283">
        <v>0.14103450000000001</v>
      </c>
      <c r="Q5283">
        <v>0.37026789999999998</v>
      </c>
      <c r="R5283">
        <v>-0.91815659999999999</v>
      </c>
      <c r="S5283">
        <v>0.26739499999999999</v>
      </c>
      <c r="T5283">
        <v>-0.57945939999999996</v>
      </c>
      <c r="U5283">
        <v>-3.463165</v>
      </c>
      <c r="V5283">
        <v>-0.12821949999999999</v>
      </c>
      <c r="W5283">
        <v>0.38017800000000002</v>
      </c>
      <c r="X5283">
        <v>0.91598279999999999</v>
      </c>
      <c r="Y5283">
        <v>-5.4447660000000002E-2</v>
      </c>
      <c r="Z5283">
        <v>0.15148029999999901</v>
      </c>
      <c r="AA5283">
        <v>0.98695960000000005</v>
      </c>
      <c r="AB5283">
        <v>29</v>
      </c>
      <c r="AC5283">
        <v>4.1800000000023298E-2</v>
      </c>
      <c r="AD5283">
        <v>-0.120043899999999</v>
      </c>
      <c r="AE5283">
        <v>-0.43346399999999802</v>
      </c>
      <c r="AF5283">
        <v>-3.0126658006029299E-2</v>
      </c>
      <c r="AG5283">
        <v>-0.120043899999999</v>
      </c>
      <c r="AH5283">
        <v>0.40359739806079897</v>
      </c>
      <c r="AI5283">
        <v>106.520860969317</v>
      </c>
      <c r="AJ5283">
        <v>94.268944949994705</v>
      </c>
      <c r="AK5283">
        <v>0.42214809388562802</v>
      </c>
      <c r="AL5283">
        <v>67.655291670716196</v>
      </c>
      <c r="AM5283">
        <v>97.968500470317593</v>
      </c>
      <c r="AN5283">
        <v>1.0000000208800399</v>
      </c>
    </row>
    <row r="5284" spans="1:40" x14ac:dyDescent="0.25">
      <c r="A5284" t="str">
        <f>"20190304164515338"</f>
        <v>20190304164515338</v>
      </c>
      <c r="B5284" t="str">
        <f>"1551689115325465"</f>
        <v>1551689115325465</v>
      </c>
      <c r="C5284" t="s">
        <v>40</v>
      </c>
      <c r="D5284">
        <v>5.6145350000000001</v>
      </c>
      <c r="E5284">
        <v>0.53675319999999904</v>
      </c>
      <c r="F5284" t="s">
        <v>41</v>
      </c>
      <c r="G5284">
        <v>-303.53309999999999</v>
      </c>
      <c r="H5284">
        <v>0.96013950000000003</v>
      </c>
      <c r="I5284">
        <v>-10.32649</v>
      </c>
      <c r="J5284">
        <v>-303.59100000000001</v>
      </c>
      <c r="K5284">
        <v>1.1181700000000001</v>
      </c>
      <c r="L5284">
        <v>-9.6895450000000007</v>
      </c>
      <c r="M5284">
        <v>3.2305760000000003E-2</v>
      </c>
      <c r="N5284">
        <v>-1.346749E-2</v>
      </c>
      <c r="O5284">
        <v>-0.99938740000000004</v>
      </c>
      <c r="P5284">
        <v>0.1442523</v>
      </c>
      <c r="Q5284">
        <v>0.36952059999999998</v>
      </c>
      <c r="R5284">
        <v>-0.91795749999999998</v>
      </c>
      <c r="S5284">
        <v>0.28027340000000001</v>
      </c>
      <c r="T5284">
        <v>-0.58634589999999998</v>
      </c>
      <c r="U5284">
        <v>-3.4608150000000002</v>
      </c>
      <c r="V5284">
        <v>-0.12185609999999999</v>
      </c>
      <c r="W5284">
        <v>0.37962839999999998</v>
      </c>
      <c r="X5284">
        <v>0.91707870000000002</v>
      </c>
      <c r="Y5284">
        <v>-4.7461990000000003E-2</v>
      </c>
      <c r="Z5284">
        <v>0.1532792</v>
      </c>
      <c r="AA5284">
        <v>0.98704250000000004</v>
      </c>
      <c r="AB5284">
        <v>29</v>
      </c>
      <c r="AC5284">
        <v>5.7900000000017798E-2</v>
      </c>
      <c r="AD5284">
        <v>-0.15803049999999999</v>
      </c>
      <c r="AE5284">
        <v>-0.63694499999999998</v>
      </c>
      <c r="AF5284">
        <v>-3.5145210473786603E-2</v>
      </c>
      <c r="AG5284">
        <v>-0.15803049999999999</v>
      </c>
      <c r="AH5284">
        <v>0.60174506110910198</v>
      </c>
      <c r="AI5284">
        <v>104.69080510437099</v>
      </c>
      <c r="AJ5284">
        <v>93.3425903349778</v>
      </c>
      <c r="AK5284">
        <v>0.62314199290265604</v>
      </c>
      <c r="AL5284">
        <v>67.689332882799704</v>
      </c>
      <c r="AM5284">
        <v>97.568794999819502</v>
      </c>
      <c r="AN5284">
        <v>0.99999998659372902</v>
      </c>
    </row>
    <row r="5285" spans="1:40" x14ac:dyDescent="0.25">
      <c r="A5285" t="str">
        <f>"20190304164515362"</f>
        <v>20190304164515362</v>
      </c>
      <c r="B5285" t="str">
        <f>"1551689115355894"</f>
        <v>1551689115355894</v>
      </c>
      <c r="C5285" t="s">
        <v>40</v>
      </c>
      <c r="D5285">
        <v>5.6446120000000004</v>
      </c>
      <c r="E5285">
        <v>0.53668009999999999</v>
      </c>
      <c r="F5285" t="s">
        <v>41</v>
      </c>
      <c r="G5285">
        <v>-303.51459999999997</v>
      </c>
      <c r="H5285">
        <v>0.96575549999999999</v>
      </c>
      <c r="I5285">
        <v>-10.58597</v>
      </c>
      <c r="J5285">
        <v>-303.56950000000001</v>
      </c>
      <c r="K5285">
        <v>1.1184989999999999</v>
      </c>
      <c r="L5285">
        <v>-9.9939579999999992</v>
      </c>
      <c r="M5285">
        <v>4.3610429999999999E-2</v>
      </c>
      <c r="N5285">
        <v>-1.360986E-2</v>
      </c>
      <c r="O5285">
        <v>-0.99895599999999996</v>
      </c>
      <c r="P5285">
        <v>0.1494499</v>
      </c>
      <c r="Q5285">
        <v>0.3686488</v>
      </c>
      <c r="R5285">
        <v>-0.91747650000000003</v>
      </c>
      <c r="S5285">
        <v>0.29541020000000001</v>
      </c>
      <c r="T5285">
        <v>-0.58841180000000004</v>
      </c>
      <c r="U5285">
        <v>-3.4585569999999999</v>
      </c>
      <c r="V5285">
        <v>-0.1168088</v>
      </c>
      <c r="W5285">
        <v>0.37894230000000001</v>
      </c>
      <c r="X5285">
        <v>0.91801880000000002</v>
      </c>
      <c r="Y5285">
        <v>-4.050368E-2</v>
      </c>
      <c r="Z5285">
        <v>0.15371319999999999</v>
      </c>
      <c r="AA5285">
        <v>0.98728499999999997</v>
      </c>
      <c r="AB5285">
        <v>29</v>
      </c>
      <c r="AC5285">
        <v>5.4900000000031902E-2</v>
      </c>
      <c r="AD5285">
        <v>-0.15274349999999901</v>
      </c>
      <c r="AE5285">
        <v>-0.59201199999999798</v>
      </c>
      <c r="AF5285">
        <v>-2.7230267639979201E-2</v>
      </c>
      <c r="AG5285">
        <v>-0.15274349999999901</v>
      </c>
      <c r="AH5285">
        <v>0.55707594246300696</v>
      </c>
      <c r="AI5285">
        <v>105.31555958733099</v>
      </c>
      <c r="AJ5285">
        <v>92.798431019927506</v>
      </c>
      <c r="AK5285">
        <v>0.57827819424481297</v>
      </c>
      <c r="AL5285">
        <v>67.731819267685694</v>
      </c>
      <c r="AM5285">
        <v>97.251354758385006</v>
      </c>
      <c r="AN5285">
        <v>1.0000000398200799</v>
      </c>
    </row>
    <row r="5286" spans="1:40" x14ac:dyDescent="0.25">
      <c r="A5286" t="str">
        <f>"20190304164515383"</f>
        <v>20190304164515383</v>
      </c>
      <c r="B5286" t="str">
        <f>"1551689115375416"</f>
        <v>1551689115375416</v>
      </c>
      <c r="C5286" t="s">
        <v>40</v>
      </c>
      <c r="D5286">
        <v>5.6477550000000001</v>
      </c>
      <c r="E5286">
        <v>0.53659599999999996</v>
      </c>
      <c r="F5286" t="s">
        <v>41</v>
      </c>
      <c r="G5286">
        <v>-303.49200000000002</v>
      </c>
      <c r="H5286">
        <v>0.97337969999999896</v>
      </c>
      <c r="I5286">
        <v>-10.845940000000001</v>
      </c>
      <c r="J5286">
        <v>-303.5471</v>
      </c>
      <c r="K5286">
        <v>1.1187</v>
      </c>
      <c r="L5286">
        <v>-10.268219999999999</v>
      </c>
      <c r="M5286">
        <v>5.3876060000000003E-2</v>
      </c>
      <c r="N5286">
        <v>-1.371877E-2</v>
      </c>
      <c r="O5286">
        <v>-0.99845360000000005</v>
      </c>
      <c r="P5286">
        <v>0.15483569999999999</v>
      </c>
      <c r="Q5286">
        <v>0.36785820000000002</v>
      </c>
      <c r="R5286">
        <v>-0.91690050000000001</v>
      </c>
      <c r="S5286">
        <v>0.31484990000000002</v>
      </c>
      <c r="T5286">
        <v>-0.58911340000000001</v>
      </c>
      <c r="U5286">
        <v>-3.4552610000000001</v>
      </c>
      <c r="V5286">
        <v>-0.1128033</v>
      </c>
      <c r="W5286">
        <v>0.3783166</v>
      </c>
      <c r="X5286">
        <v>0.91877750000000002</v>
      </c>
      <c r="Y5286">
        <v>-3.5827940000000003E-2</v>
      </c>
      <c r="Z5286">
        <v>0.1538127</v>
      </c>
      <c r="AA5286">
        <v>0.98745019999999994</v>
      </c>
      <c r="AB5286">
        <v>29</v>
      </c>
      <c r="AC5286">
        <v>5.5099999999981698E-2</v>
      </c>
      <c r="AD5286">
        <v>-0.14532030000000001</v>
      </c>
      <c r="AE5286">
        <v>-0.57771999999999901</v>
      </c>
      <c r="AF5286">
        <v>-2.2482076038260902E-2</v>
      </c>
      <c r="AG5286">
        <v>-0.14532030000000001</v>
      </c>
      <c r="AH5286">
        <v>0.54563681581772705</v>
      </c>
      <c r="AI5286">
        <v>104.90140910579299</v>
      </c>
      <c r="AJ5286">
        <v>92.359444628187006</v>
      </c>
      <c r="AK5286">
        <v>0.56510438691518605</v>
      </c>
      <c r="AL5286">
        <v>67.770553604853106</v>
      </c>
      <c r="AM5286">
        <v>96.999484445314806</v>
      </c>
      <c r="AN5286">
        <v>1.00000006441634</v>
      </c>
    </row>
    <row r="5287" spans="1:40" x14ac:dyDescent="0.25">
      <c r="A5287" t="str">
        <f>"20190304164515404"</f>
        <v>20190304164515404</v>
      </c>
      <c r="B5287" t="str">
        <f>"1551689115395912"</f>
        <v>1551689115395912</v>
      </c>
      <c r="C5287" t="s">
        <v>40</v>
      </c>
      <c r="D5287">
        <v>5.6450089999999999</v>
      </c>
      <c r="E5287">
        <v>0.53492059999999997</v>
      </c>
      <c r="F5287" t="s">
        <v>41</v>
      </c>
      <c r="G5287">
        <v>-303.46719999999999</v>
      </c>
      <c r="H5287">
        <v>0.97613530000000004</v>
      </c>
      <c r="I5287">
        <v>-11.103249999999999</v>
      </c>
      <c r="J5287">
        <v>-303.52199999999999</v>
      </c>
      <c r="K5287">
        <v>1.1187929999999999</v>
      </c>
      <c r="L5287">
        <v>-10.541320000000001</v>
      </c>
      <c r="M5287">
        <v>6.4039090000000007E-2</v>
      </c>
      <c r="N5287">
        <v>-1.380732E-2</v>
      </c>
      <c r="O5287">
        <v>-0.99785199999999996</v>
      </c>
      <c r="P5287">
        <v>0.15985369999999999</v>
      </c>
      <c r="Q5287">
        <v>0.36914720000000001</v>
      </c>
      <c r="R5287">
        <v>-0.91552009999999995</v>
      </c>
      <c r="S5287">
        <v>0.3306885</v>
      </c>
      <c r="T5287">
        <v>-0.58971709999999899</v>
      </c>
      <c r="U5287">
        <v>-3.4526370000000002</v>
      </c>
      <c r="V5287">
        <v>-0.10852249999999999</v>
      </c>
      <c r="W5287">
        <v>0.37977</v>
      </c>
      <c r="X5287">
        <v>0.91869339999999999</v>
      </c>
      <c r="Y5287">
        <v>-3.0216199999999999E-2</v>
      </c>
      <c r="Z5287">
        <v>0.1538553</v>
      </c>
      <c r="AA5287">
        <v>0.98763129999999999</v>
      </c>
      <c r="AB5287">
        <v>29</v>
      </c>
      <c r="AC5287">
        <v>5.4800000000000099E-2</v>
      </c>
      <c r="AD5287">
        <v>-0.142657699999999</v>
      </c>
      <c r="AE5287">
        <v>-0.56193000000000004</v>
      </c>
      <c r="AF5287">
        <v>-1.7576445745050798E-2</v>
      </c>
      <c r="AG5287">
        <v>-0.142657699999999</v>
      </c>
      <c r="AH5287">
        <v>0.53042214207785199</v>
      </c>
      <c r="AI5287">
        <v>105.045671044542</v>
      </c>
      <c r="AJ5287">
        <v>91.897899288654898</v>
      </c>
      <c r="AK5287">
        <v>0.54955236294713194</v>
      </c>
      <c r="AL5287">
        <v>67.680562742539607</v>
      </c>
      <c r="AM5287">
        <v>96.736958782951902</v>
      </c>
      <c r="AN5287">
        <v>0.99999997455490397</v>
      </c>
    </row>
    <row r="5288" spans="1:40" x14ac:dyDescent="0.25">
      <c r="A5288" t="str">
        <f>"20190304164515427"</f>
        <v>20190304164515427</v>
      </c>
      <c r="B5288" t="str">
        <f>"1551689115415432"</f>
        <v>1551689115415432</v>
      </c>
      <c r="C5288" t="s">
        <v>40</v>
      </c>
      <c r="D5288">
        <v>5.6644889999999997</v>
      </c>
      <c r="E5288">
        <v>0.53515780000000002</v>
      </c>
      <c r="F5288" t="s">
        <v>41</v>
      </c>
      <c r="G5288">
        <v>-303.43599999999998</v>
      </c>
      <c r="H5288">
        <v>0.98395500000000002</v>
      </c>
      <c r="I5288">
        <v>-11.36253</v>
      </c>
      <c r="J5288">
        <v>-303.49279999999999</v>
      </c>
      <c r="K5288">
        <v>1.1187590000000001</v>
      </c>
      <c r="L5288">
        <v>-10.82724</v>
      </c>
      <c r="M5288">
        <v>7.4458330000000003E-2</v>
      </c>
      <c r="N5288">
        <v>-1.387682E-2</v>
      </c>
      <c r="O5288">
        <v>-0.99712769999999995</v>
      </c>
      <c r="P5288">
        <v>0.16252039999999901</v>
      </c>
      <c r="Q5288">
        <v>0.37053140000000001</v>
      </c>
      <c r="R5288">
        <v>-0.91449119999999995</v>
      </c>
      <c r="S5288">
        <v>0.36029050000000001</v>
      </c>
      <c r="T5288">
        <v>-0.5651467</v>
      </c>
      <c r="U5288">
        <v>-3.4418030000000002</v>
      </c>
      <c r="V5288">
        <v>-0.1015369</v>
      </c>
      <c r="W5288">
        <v>0.38138430000000001</v>
      </c>
      <c r="X5288">
        <v>0.91882330000000001</v>
      </c>
      <c r="Y5288">
        <v>-2.8587910000000001E-2</v>
      </c>
      <c r="Z5288">
        <v>0.1472456</v>
      </c>
      <c r="AA5288">
        <v>0.98868670000000003</v>
      </c>
      <c r="AB5288">
        <v>29</v>
      </c>
      <c r="AC5288">
        <v>5.6800000000009697E-2</v>
      </c>
      <c r="AD5288">
        <v>-0.13480400000000001</v>
      </c>
      <c r="AE5288">
        <v>-0.53528999999999904</v>
      </c>
      <c r="AF5288">
        <v>-1.5791329704994202E-2</v>
      </c>
      <c r="AG5288">
        <v>-0.13480400000000001</v>
      </c>
      <c r="AH5288">
        <v>0.506282444871062</v>
      </c>
      <c r="AI5288">
        <v>104.902867488512</v>
      </c>
      <c r="AJ5288">
        <v>91.786519199800495</v>
      </c>
      <c r="AK5288">
        <v>0.52415970704974302</v>
      </c>
      <c r="AL5288">
        <v>67.580544024015794</v>
      </c>
      <c r="AM5288">
        <v>96.306028983383598</v>
      </c>
      <c r="AN5288">
        <v>0.99999999148549501</v>
      </c>
    </row>
    <row r="5289" spans="1:40" x14ac:dyDescent="0.25">
      <c r="A5289" t="str">
        <f>"20190304164515450"</f>
        <v>20190304164515450</v>
      </c>
      <c r="B5289" t="str">
        <f>"1551689115445687"</f>
        <v>1551689115445687</v>
      </c>
      <c r="C5289" t="s">
        <v>40</v>
      </c>
      <c r="D5289">
        <v>5.6670449999999999</v>
      </c>
      <c r="E5289">
        <v>0.53547509999999998</v>
      </c>
      <c r="F5289" t="s">
        <v>41</v>
      </c>
      <c r="G5289">
        <v>-303.40440000000001</v>
      </c>
      <c r="H5289">
        <v>0.98906620000000001</v>
      </c>
      <c r="I5289">
        <v>-11.620290000000001</v>
      </c>
      <c r="J5289">
        <v>-303.45960000000002</v>
      </c>
      <c r="K5289">
        <v>1.118574</v>
      </c>
      <c r="L5289">
        <v>-11.125030000000001</v>
      </c>
      <c r="M5289">
        <v>8.4909670000000007E-2</v>
      </c>
      <c r="N5289">
        <v>-1.3924880000000001E-2</v>
      </c>
      <c r="O5289">
        <v>-0.9962915</v>
      </c>
      <c r="P5289">
        <v>0.16616629999999999</v>
      </c>
      <c r="Q5289">
        <v>0.37045230000000001</v>
      </c>
      <c r="R5289">
        <v>-0.9138676</v>
      </c>
      <c r="S5289">
        <v>0.38388060000000002</v>
      </c>
      <c r="T5289">
        <v>-0.56291199999999997</v>
      </c>
      <c r="U5289">
        <v>-3.440369</v>
      </c>
      <c r="V5289">
        <v>-9.5311789999999993E-2</v>
      </c>
      <c r="W5289">
        <v>0.38153110000000001</v>
      </c>
      <c r="X5289">
        <v>0.91942900000000005</v>
      </c>
      <c r="Y5289">
        <v>-2.4867440000000001E-2</v>
      </c>
      <c r="Z5289">
        <v>0.14640429999999999</v>
      </c>
      <c r="AA5289">
        <v>0.98891220000000002</v>
      </c>
      <c r="AB5289">
        <v>29</v>
      </c>
      <c r="AC5289">
        <v>5.5200000000013398E-2</v>
      </c>
      <c r="AD5289">
        <v>-0.12950779999999901</v>
      </c>
      <c r="AE5289">
        <v>-0.49525999999999798</v>
      </c>
      <c r="AF5289">
        <v>-1.2125237467911E-2</v>
      </c>
      <c r="AG5289">
        <v>-0.12950779999999901</v>
      </c>
      <c r="AH5289">
        <v>0.46664142401272002</v>
      </c>
      <c r="AI5289">
        <v>105.506040543889</v>
      </c>
      <c r="AJ5289">
        <v>91.488441889874295</v>
      </c>
      <c r="AK5289">
        <v>0.48443112023187801</v>
      </c>
      <c r="AL5289">
        <v>67.571445236143205</v>
      </c>
      <c r="AM5289">
        <v>95.918376352350293</v>
      </c>
      <c r="AN5289">
        <v>1.0000000018105999</v>
      </c>
    </row>
    <row r="5290" spans="1:40" x14ac:dyDescent="0.25">
      <c r="A5290" t="str">
        <f>"20190304164515472"</f>
        <v>20190304164515472</v>
      </c>
      <c r="B5290" t="str">
        <f>"1551689115465207"</f>
        <v>1551689115465207</v>
      </c>
      <c r="C5290" t="s">
        <v>40</v>
      </c>
      <c r="D5290">
        <v>5.6597879999999998</v>
      </c>
      <c r="E5290">
        <v>0.53562829999999995</v>
      </c>
      <c r="F5290" t="s">
        <v>41</v>
      </c>
      <c r="G5290">
        <v>-303.36939999999998</v>
      </c>
      <c r="H5290">
        <v>0.99426219999999998</v>
      </c>
      <c r="I5290">
        <v>-11.877789999999999</v>
      </c>
      <c r="J5290">
        <v>-303.42579999999998</v>
      </c>
      <c r="K5290">
        <v>1.1182780000000001</v>
      </c>
      <c r="L5290">
        <v>-11.40714</v>
      </c>
      <c r="M5290">
        <v>9.4289650000000003E-2</v>
      </c>
      <c r="N5290">
        <v>-1.3950570000000001E-2</v>
      </c>
      <c r="O5290">
        <v>-0.99544719999999998</v>
      </c>
      <c r="P5290">
        <v>0.17174629999999999</v>
      </c>
      <c r="Q5290">
        <v>0.37193140000000002</v>
      </c>
      <c r="R5290">
        <v>-0.91223379999999998</v>
      </c>
      <c r="S5290">
        <v>0.41241460000000002</v>
      </c>
      <c r="T5290">
        <v>-0.56797180000000003</v>
      </c>
      <c r="U5290">
        <v>-3.4380190000000002</v>
      </c>
      <c r="V5290">
        <v>-9.2025109999999993E-2</v>
      </c>
      <c r="W5290">
        <v>0.38316230000000001</v>
      </c>
      <c r="X5290">
        <v>0.91908540000000005</v>
      </c>
      <c r="Y5290">
        <v>-2.360342E-2</v>
      </c>
      <c r="Z5290">
        <v>0.14762729999999999</v>
      </c>
      <c r="AA5290">
        <v>0.98876140000000001</v>
      </c>
      <c r="AB5290">
        <v>29</v>
      </c>
      <c r="AC5290">
        <v>5.6399999999996397E-2</v>
      </c>
      <c r="AD5290">
        <v>-0.1240158</v>
      </c>
      <c r="AE5290">
        <v>-0.47064999999999901</v>
      </c>
      <c r="AF5290">
        <v>-1.10131079569103E-2</v>
      </c>
      <c r="AG5290">
        <v>-0.1240158</v>
      </c>
      <c r="AH5290">
        <v>0.44351326733246799</v>
      </c>
      <c r="AI5290">
        <v>105.617550098395</v>
      </c>
      <c r="AJ5290">
        <v>91.422448901292199</v>
      </c>
      <c r="AK5290">
        <v>0.460657384068064</v>
      </c>
      <c r="AL5290">
        <v>67.470298417847502</v>
      </c>
      <c r="AM5290">
        <v>95.717788070131604</v>
      </c>
      <c r="AN5290">
        <v>0.99999997075248004</v>
      </c>
    </row>
    <row r="5291" spans="1:40" x14ac:dyDescent="0.25">
      <c r="A5291" t="str">
        <f>"20190304164515495"</f>
        <v>20190304164515495</v>
      </c>
      <c r="B5291" t="str">
        <f>"1551689115485704"</f>
        <v>1551689115485704</v>
      </c>
      <c r="C5291" t="s">
        <v>40</v>
      </c>
      <c r="D5291">
        <v>5.6656459999999997</v>
      </c>
      <c r="E5291">
        <v>0.53580709999999998</v>
      </c>
      <c r="F5291" t="s">
        <v>41</v>
      </c>
      <c r="G5291">
        <v>-303.33530000000002</v>
      </c>
      <c r="H5291">
        <v>0.99892809999999999</v>
      </c>
      <c r="I5291">
        <v>-12.134980000000001</v>
      </c>
      <c r="J5291">
        <v>-303.38900000000001</v>
      </c>
      <c r="K5291">
        <v>1.117874</v>
      </c>
      <c r="L5291">
        <v>-11.69632</v>
      </c>
      <c r="M5291">
        <v>0.1032236</v>
      </c>
      <c r="N5291">
        <v>-1.396008E-2</v>
      </c>
      <c r="O5291">
        <v>-0.99456040000000001</v>
      </c>
      <c r="P5291">
        <v>0.17671210000000001</v>
      </c>
      <c r="Q5291">
        <v>0.37631320000000001</v>
      </c>
      <c r="R5291">
        <v>-0.90948419999999996</v>
      </c>
      <c r="S5291">
        <v>0.42834470000000002</v>
      </c>
      <c r="T5291">
        <v>-0.56418919999999995</v>
      </c>
      <c r="U5291">
        <v>-3.4380190000000002</v>
      </c>
      <c r="V5291">
        <v>-8.8599440000000002E-2</v>
      </c>
      <c r="W5291">
        <v>0.3876849</v>
      </c>
      <c r="X5291">
        <v>0.91752420000000001</v>
      </c>
      <c r="Y5291">
        <v>-1.9169439999999999E-2</v>
      </c>
      <c r="Z5291">
        <v>0.1463313</v>
      </c>
      <c r="AA5291">
        <v>0.98904990000000004</v>
      </c>
      <c r="AB5291">
        <v>29</v>
      </c>
      <c r="AC5291">
        <v>5.3699999999991997E-2</v>
      </c>
      <c r="AD5291">
        <v>-0.11894589999999999</v>
      </c>
      <c r="AE5291">
        <v>-0.43865999999999999</v>
      </c>
      <c r="AF5291">
        <v>-7.5795515104862196E-3</v>
      </c>
      <c r="AG5291">
        <v>-0.11894589999999999</v>
      </c>
      <c r="AH5291">
        <v>0.41201339958621902</v>
      </c>
      <c r="AI5291">
        <v>106.100541811722</v>
      </c>
      <c r="AJ5291">
        <v>91.053915557923801</v>
      </c>
      <c r="AK5291">
        <v>0.428906304647651</v>
      </c>
      <c r="AL5291">
        <v>67.189477597546201</v>
      </c>
      <c r="AM5291">
        <v>95.515585752601993</v>
      </c>
      <c r="AN5291">
        <v>1.00000005002098</v>
      </c>
    </row>
    <row r="5292" spans="1:40" x14ac:dyDescent="0.25">
      <c r="A5292" t="str">
        <f>"20190304164515516"</f>
        <v>20190304164515516</v>
      </c>
      <c r="B5292" t="str">
        <f>"1551689115505223"</f>
        <v>1551689115505223</v>
      </c>
      <c r="C5292" t="s">
        <v>40</v>
      </c>
      <c r="D5292">
        <v>5.6477839999999997</v>
      </c>
      <c r="E5292">
        <v>0.53604240000000003</v>
      </c>
      <c r="F5292" t="s">
        <v>41</v>
      </c>
      <c r="G5292">
        <v>-303.2706</v>
      </c>
      <c r="H5292">
        <v>0.96908470000000002</v>
      </c>
      <c r="I5292">
        <v>-12.630929999999999</v>
      </c>
      <c r="J5292">
        <v>-303.35160000000002</v>
      </c>
      <c r="K5292">
        <v>1.1173999999999999</v>
      </c>
      <c r="L5292">
        <v>-11.97467</v>
      </c>
      <c r="M5292">
        <v>0.1110236</v>
      </c>
      <c r="N5292">
        <v>-1.395505E-2</v>
      </c>
      <c r="O5292">
        <v>-0.99371980000000004</v>
      </c>
      <c r="P5292">
        <v>0.17574519999999999</v>
      </c>
      <c r="Q5292">
        <v>0.37783040000000001</v>
      </c>
      <c r="R5292">
        <v>-0.90904240000000003</v>
      </c>
      <c r="S5292">
        <v>0.43563839999999998</v>
      </c>
      <c r="T5292">
        <v>-0.54774609999999901</v>
      </c>
      <c r="U5292">
        <v>-3.440582</v>
      </c>
      <c r="V5292">
        <v>-7.9977679999999995E-2</v>
      </c>
      <c r="W5292">
        <v>0.38944069999999997</v>
      </c>
      <c r="X5292">
        <v>0.91757259999999996</v>
      </c>
      <c r="Y5292">
        <v>-1.3394410000000001E-2</v>
      </c>
      <c r="Z5292">
        <v>0.1414656</v>
      </c>
      <c r="AA5292">
        <v>0.98985250000000002</v>
      </c>
      <c r="AB5292">
        <v>29</v>
      </c>
      <c r="AC5292">
        <v>8.1000000000017197E-2</v>
      </c>
      <c r="AD5292">
        <v>-0.14831529999999901</v>
      </c>
      <c r="AE5292">
        <v>-0.65626000000000095</v>
      </c>
      <c r="AF5292">
        <v>-7.2661400304560699E-3</v>
      </c>
      <c r="AG5292">
        <v>-0.14831529999999901</v>
      </c>
      <c r="AH5292">
        <v>0.62952450275488803</v>
      </c>
      <c r="AI5292">
        <v>103.25621533213</v>
      </c>
      <c r="AJ5292">
        <v>90.661293831868804</v>
      </c>
      <c r="AK5292">
        <v>0.64680083841459401</v>
      </c>
      <c r="AL5292">
        <v>67.0802969673897</v>
      </c>
      <c r="AM5292">
        <v>94.9814386551908</v>
      </c>
      <c r="AN5292">
        <v>0.99999998219271602</v>
      </c>
    </row>
    <row r="5293" spans="1:40" x14ac:dyDescent="0.25">
      <c r="A5293" t="str">
        <f>"20190304164515543"</f>
        <v>20190304164515543</v>
      </c>
      <c r="B5293" t="str">
        <f>"1551689115535479"</f>
        <v>1551689115535479</v>
      </c>
      <c r="C5293" t="s">
        <v>40</v>
      </c>
      <c r="D5293">
        <v>5.7064009999999996</v>
      </c>
      <c r="E5293">
        <v>0.53649959999999997</v>
      </c>
      <c r="F5293" t="s">
        <v>41</v>
      </c>
      <c r="G5293">
        <v>-303.2355</v>
      </c>
      <c r="H5293">
        <v>0.97295169999999997</v>
      </c>
      <c r="I5293">
        <v>-12.887740000000001</v>
      </c>
      <c r="J5293">
        <v>-303.30509999999998</v>
      </c>
      <c r="K5293">
        <v>1.1168260000000001</v>
      </c>
      <c r="L5293">
        <v>-12.30673</v>
      </c>
      <c r="M5293">
        <v>0.119453</v>
      </c>
      <c r="N5293">
        <v>-1.3942009999999999E-2</v>
      </c>
      <c r="O5293">
        <v>-0.99274209999999996</v>
      </c>
      <c r="P5293">
        <v>0.17589080000000001</v>
      </c>
      <c r="Q5293">
        <v>0.37555119999999997</v>
      </c>
      <c r="R5293">
        <v>-0.90995809999999999</v>
      </c>
      <c r="S5293">
        <v>0.43774410000000002</v>
      </c>
      <c r="T5293">
        <v>-0.54462279999999996</v>
      </c>
      <c r="U5293">
        <v>-3.4419249999999999</v>
      </c>
      <c r="V5293">
        <v>-7.1569980000000005E-2</v>
      </c>
      <c r="W5293">
        <v>0.3874032</v>
      </c>
      <c r="X5293">
        <v>0.9191281</v>
      </c>
      <c r="Y5293">
        <v>-5.4847009999999998E-3</v>
      </c>
      <c r="Z5293">
        <v>0.1403364</v>
      </c>
      <c r="AA5293">
        <v>0.99008870000000004</v>
      </c>
      <c r="AB5293">
        <v>29</v>
      </c>
      <c r="AC5293">
        <v>6.95999999999799E-2</v>
      </c>
      <c r="AD5293">
        <v>-0.14387430000000001</v>
      </c>
      <c r="AE5293">
        <v>-0.58100999999999903</v>
      </c>
      <c r="AF5293">
        <v>2.9097713875639297E-4</v>
      </c>
      <c r="AG5293">
        <v>-0.14387430000000001</v>
      </c>
      <c r="AH5293">
        <v>0.551805978849229</v>
      </c>
      <c r="AI5293">
        <v>104.613572165508</v>
      </c>
      <c r="AJ5293">
        <v>89.969786915910106</v>
      </c>
      <c r="AK5293">
        <v>0.57025409876820798</v>
      </c>
      <c r="AL5293">
        <v>67.206984467080304</v>
      </c>
      <c r="AM5293">
        <v>94.452480522713202</v>
      </c>
      <c r="AN5293">
        <v>0.99999998280852498</v>
      </c>
    </row>
    <row r="5294" spans="1:40" x14ac:dyDescent="0.25">
      <c r="A5294" t="str">
        <f>"20190304164515566"</f>
        <v>20190304164515566</v>
      </c>
      <c r="B5294" t="str">
        <f>"1551689115555975"</f>
        <v>1551689115555975</v>
      </c>
      <c r="C5294" t="s">
        <v>40</v>
      </c>
      <c r="D5294">
        <v>5.725333</v>
      </c>
      <c r="E5294">
        <v>0.53689339999999997</v>
      </c>
      <c r="F5294" t="s">
        <v>41</v>
      </c>
      <c r="G5294">
        <v>-303.19600000000003</v>
      </c>
      <c r="H5294">
        <v>0.97440309999999997</v>
      </c>
      <c r="I5294">
        <v>-13.14298</v>
      </c>
      <c r="J5294">
        <v>-303.26249999999999</v>
      </c>
      <c r="K5294">
        <v>1.116333</v>
      </c>
      <c r="L5294">
        <v>-12.59985</v>
      </c>
      <c r="M5294">
        <v>0.1260619</v>
      </c>
      <c r="N5294">
        <v>-1.3925959999999999E-2</v>
      </c>
      <c r="O5294">
        <v>-0.99192480000000005</v>
      </c>
      <c r="P5294">
        <v>0.1785755</v>
      </c>
      <c r="Q5294">
        <v>0.37883</v>
      </c>
      <c r="R5294">
        <v>-0.9080743</v>
      </c>
      <c r="S5294">
        <v>0.4508972</v>
      </c>
      <c r="T5294">
        <v>-0.58823230000000004</v>
      </c>
      <c r="U5294">
        <v>-3.4524539999999999</v>
      </c>
      <c r="V5294">
        <v>-6.7852739999999995E-2</v>
      </c>
      <c r="W5294">
        <v>0.39078639999999998</v>
      </c>
      <c r="X5294">
        <v>0.91797720000000005</v>
      </c>
      <c r="Y5294">
        <v>-1.94188E-3</v>
      </c>
      <c r="Z5294">
        <v>0.1516575</v>
      </c>
      <c r="AA5294">
        <v>0.98843119999999995</v>
      </c>
      <c r="AB5294">
        <v>29</v>
      </c>
      <c r="AC5294">
        <v>6.6500000000019099E-2</v>
      </c>
      <c r="AD5294">
        <v>-0.1419299</v>
      </c>
      <c r="AE5294">
        <v>-0.543129999999999</v>
      </c>
      <c r="AF5294">
        <v>2.34731839386542E-3</v>
      </c>
      <c r="AG5294">
        <v>-0.1419299</v>
      </c>
      <c r="AH5294">
        <v>0.51268724044486402</v>
      </c>
      <c r="AI5294">
        <v>105.473809907209</v>
      </c>
      <c r="AJ5294">
        <v>89.7376753568374</v>
      </c>
      <c r="AK5294">
        <v>0.53197538752523299</v>
      </c>
      <c r="AL5294">
        <v>66.996561400817797</v>
      </c>
      <c r="AM5294">
        <v>94.227358417546995</v>
      </c>
      <c r="AN5294">
        <v>1.0000000722351501</v>
      </c>
    </row>
    <row r="5295" spans="1:40" x14ac:dyDescent="0.25">
      <c r="A5295" t="str">
        <f>"20190304164515586"</f>
        <v>20190304164515586</v>
      </c>
      <c r="B5295" t="str">
        <f>"1551689115575496"</f>
        <v>1551689115575496</v>
      </c>
      <c r="C5295" t="s">
        <v>40</v>
      </c>
      <c r="D5295">
        <v>5.6951450000000001</v>
      </c>
      <c r="E5295">
        <v>0.53751190000000004</v>
      </c>
      <c r="F5295" t="s">
        <v>41</v>
      </c>
      <c r="G5295">
        <v>-303.15679999999998</v>
      </c>
      <c r="H5295">
        <v>0.98240360000000004</v>
      </c>
      <c r="I5295">
        <v>-13.40146</v>
      </c>
      <c r="J5295">
        <v>-303.22309999999999</v>
      </c>
      <c r="K5295">
        <v>1.1158629999999901</v>
      </c>
      <c r="L5295">
        <v>-12.86307</v>
      </c>
      <c r="M5295">
        <v>0.13121189999999999</v>
      </c>
      <c r="N5295">
        <v>-1.390374E-2</v>
      </c>
      <c r="O5295">
        <v>-0.99125680000000005</v>
      </c>
      <c r="P5295">
        <v>0.18060880000000001</v>
      </c>
      <c r="Q5295">
        <v>0.38651049999999998</v>
      </c>
      <c r="R5295">
        <v>-0.90442840000000002</v>
      </c>
      <c r="S5295">
        <v>0.4553528</v>
      </c>
      <c r="T5295">
        <v>-0.577329599999999</v>
      </c>
      <c r="U5295">
        <v>-3.454987</v>
      </c>
      <c r="V5295">
        <v>-6.5145679999999997E-2</v>
      </c>
      <c r="W5295">
        <v>0.3985167</v>
      </c>
      <c r="X5295">
        <v>0.91484449999999995</v>
      </c>
      <c r="Y5295">
        <v>2.0226089999999999E-3</v>
      </c>
      <c r="Z5295">
        <v>0.14840639999999999</v>
      </c>
      <c r="AA5295">
        <v>0.98892440000000004</v>
      </c>
      <c r="AB5295">
        <v>29</v>
      </c>
      <c r="AC5295">
        <v>6.6300000000012405E-2</v>
      </c>
      <c r="AD5295">
        <v>-0.13345939999999901</v>
      </c>
      <c r="AE5295">
        <v>-0.53838999999999904</v>
      </c>
      <c r="AF5295">
        <v>4.6423268634439496E-3</v>
      </c>
      <c r="AG5295">
        <v>-0.13345939999999901</v>
      </c>
      <c r="AH5295">
        <v>0.511475160231876</v>
      </c>
      <c r="AI5295">
        <v>104.62355901127199</v>
      </c>
      <c r="AJ5295">
        <v>89.479977810342902</v>
      </c>
      <c r="AK5295">
        <v>0.528620660002322</v>
      </c>
      <c r="AL5295">
        <v>66.514516808604199</v>
      </c>
      <c r="AM5295">
        <v>94.073132207296197</v>
      </c>
      <c r="AN5295">
        <v>0.99999998949090096</v>
      </c>
    </row>
    <row r="5296" spans="1:40" x14ac:dyDescent="0.25">
      <c r="A5296" t="str">
        <f>"20190304164515605"</f>
        <v>20190304164515605</v>
      </c>
      <c r="B5296" t="str">
        <f>"1551689115595991"</f>
        <v>1551689115595991</v>
      </c>
      <c r="C5296" t="s">
        <v>40</v>
      </c>
      <c r="D5296">
        <v>5.6965260000000004</v>
      </c>
      <c r="E5296">
        <v>0.53787209999999996</v>
      </c>
      <c r="F5296" t="s">
        <v>41</v>
      </c>
      <c r="G5296">
        <v>-303.11919999999998</v>
      </c>
      <c r="H5296">
        <v>0.98970720000000001</v>
      </c>
      <c r="I5296">
        <v>-13.6599</v>
      </c>
      <c r="J5296">
        <v>-303.18490000000003</v>
      </c>
      <c r="K5296">
        <v>1.115332</v>
      </c>
      <c r="L5296">
        <v>-13.11523</v>
      </c>
      <c r="M5296">
        <v>0.13539870000000001</v>
      </c>
      <c r="N5296">
        <v>-1.3876940000000001E-2</v>
      </c>
      <c r="O5296">
        <v>-0.99069399999999996</v>
      </c>
      <c r="P5296">
        <v>0.179583299999999</v>
      </c>
      <c r="Q5296">
        <v>0.39045600000000003</v>
      </c>
      <c r="R5296">
        <v>-0.90293630000000003</v>
      </c>
      <c r="S5296">
        <v>0.45278930000000001</v>
      </c>
      <c r="T5296">
        <v>-0.5481703</v>
      </c>
      <c r="U5296">
        <v>-3.4608460000000001</v>
      </c>
      <c r="V5296">
        <v>-5.9934750000000002E-2</v>
      </c>
      <c r="W5296">
        <v>0.40255740000000001</v>
      </c>
      <c r="X5296">
        <v>0.91343059999999998</v>
      </c>
      <c r="Y5296">
        <v>7.0198279999999997E-3</v>
      </c>
      <c r="Z5296">
        <v>0.14006009999999999</v>
      </c>
      <c r="AA5296">
        <v>0.9901181</v>
      </c>
      <c r="AB5296">
        <v>29</v>
      </c>
      <c r="AC5296">
        <v>6.5700000000049302E-2</v>
      </c>
      <c r="AD5296">
        <v>-0.12562479999999901</v>
      </c>
      <c r="AE5296">
        <v>-0.54467000000000099</v>
      </c>
      <c r="AF5296">
        <v>8.2284025931635106E-3</v>
      </c>
      <c r="AG5296">
        <v>-0.12562479999999901</v>
      </c>
      <c r="AH5296">
        <v>0.52122031832707505</v>
      </c>
      <c r="AI5296">
        <v>103.5493821877</v>
      </c>
      <c r="AJ5296">
        <v>89.095557935184104</v>
      </c>
      <c r="AK5296">
        <v>0.53620883732110602</v>
      </c>
      <c r="AL5296">
        <v>66.261849647873504</v>
      </c>
      <c r="AM5296">
        <v>93.7540813006555</v>
      </c>
      <c r="AN5296">
        <v>1.00000004778434</v>
      </c>
    </row>
    <row r="5297" spans="1:40" x14ac:dyDescent="0.25">
      <c r="A5297" t="str">
        <f>"20190304164515628"</f>
        <v>20190304164515628</v>
      </c>
      <c r="B5297" t="str">
        <f>"1551689115625272"</f>
        <v>1551689115625272</v>
      </c>
      <c r="C5297" t="s">
        <v>40</v>
      </c>
      <c r="D5297">
        <v>5.6925030000000003</v>
      </c>
      <c r="E5297">
        <v>0.53955580000000003</v>
      </c>
      <c r="F5297" t="s">
        <v>41</v>
      </c>
      <c r="G5297">
        <v>-303.07979999999998</v>
      </c>
      <c r="H5297">
        <v>0.99120090000000005</v>
      </c>
      <c r="I5297">
        <v>-13.915480000000001</v>
      </c>
      <c r="J5297">
        <v>-303.14240000000001</v>
      </c>
      <c r="K5297">
        <v>1.11464599999999</v>
      </c>
      <c r="L5297">
        <v>-13.39221</v>
      </c>
      <c r="M5297">
        <v>0.13917660000000001</v>
      </c>
      <c r="N5297">
        <v>-1.384667E-2</v>
      </c>
      <c r="O5297">
        <v>-0.99017080000000002</v>
      </c>
      <c r="P5297">
        <v>0.1805011</v>
      </c>
      <c r="Q5297">
        <v>0.38792989999999999</v>
      </c>
      <c r="R5297">
        <v>-0.90384160000000002</v>
      </c>
      <c r="S5297">
        <v>0.4555054</v>
      </c>
      <c r="T5297">
        <v>-0.53745279999999995</v>
      </c>
      <c r="U5297">
        <v>-3.4642940000000002</v>
      </c>
      <c r="V5297">
        <v>-5.6514590000000003E-2</v>
      </c>
      <c r="W5297">
        <v>0.40014519999999998</v>
      </c>
      <c r="X5297">
        <v>0.91470759999999995</v>
      </c>
      <c r="Y5297">
        <v>1.0136320000000001E-2</v>
      </c>
      <c r="Z5297">
        <v>0.136879799999999</v>
      </c>
      <c r="AA5297">
        <v>0.99053579999999997</v>
      </c>
      <c r="AB5297">
        <v>29</v>
      </c>
      <c r="AC5297">
        <v>6.26000000000317E-2</v>
      </c>
      <c r="AD5297">
        <v>-0.123445099999999</v>
      </c>
      <c r="AE5297">
        <v>-0.52326999999999801</v>
      </c>
      <c r="AF5297">
        <v>1.02792762373366E-2</v>
      </c>
      <c r="AG5297">
        <v>-0.123445099999999</v>
      </c>
      <c r="AH5297">
        <v>0.49948361680019498</v>
      </c>
      <c r="AI5297">
        <v>103.879381981497</v>
      </c>
      <c r="AJ5297">
        <v>88.8210303617943</v>
      </c>
      <c r="AK5297">
        <v>0.51461465164312703</v>
      </c>
      <c r="AL5297">
        <v>66.412744974884305</v>
      </c>
      <c r="AM5297">
        <v>93.535486855836993</v>
      </c>
      <c r="AN5297">
        <v>1.00000003673183</v>
      </c>
    </row>
    <row r="5298" spans="1:40" x14ac:dyDescent="0.25">
      <c r="A5298" t="str">
        <f>"20190304164515651"</f>
        <v>20190304164515651</v>
      </c>
      <c r="B5298" t="str">
        <f>"1551689115645767"</f>
        <v>1551689115645767</v>
      </c>
      <c r="C5298" t="s">
        <v>40</v>
      </c>
      <c r="D5298">
        <v>5.7553229999999997</v>
      </c>
      <c r="E5298">
        <v>0.53915519999999995</v>
      </c>
      <c r="F5298" t="s">
        <v>41</v>
      </c>
      <c r="G5298">
        <v>-303.04050000000001</v>
      </c>
      <c r="H5298">
        <v>0.98488089999999995</v>
      </c>
      <c r="I5298">
        <v>-14.16738</v>
      </c>
      <c r="J5298">
        <v>-303.09629999999999</v>
      </c>
      <c r="K5298">
        <v>1.1138629999999901</v>
      </c>
      <c r="L5298">
        <v>-13.691649999999999</v>
      </c>
      <c r="M5298">
        <v>0.14233109999999999</v>
      </c>
      <c r="N5298">
        <v>-1.3816719999999999E-2</v>
      </c>
      <c r="O5298">
        <v>-0.98972269999999896</v>
      </c>
      <c r="P5298">
        <v>0.18430250000000001</v>
      </c>
      <c r="Q5298">
        <v>0.38593909999999998</v>
      </c>
      <c r="R5298">
        <v>-0.90392689999999998</v>
      </c>
      <c r="S5298">
        <v>0.45703129999999997</v>
      </c>
      <c r="T5298">
        <v>-0.58218910000000001</v>
      </c>
      <c r="U5298">
        <v>-3.4777830000000001</v>
      </c>
      <c r="V5298">
        <v>-5.6560979999999997E-2</v>
      </c>
      <c r="W5298">
        <v>0.3982386</v>
      </c>
      <c r="X5298">
        <v>0.91553640000000003</v>
      </c>
      <c r="Y5298">
        <v>1.360658E-2</v>
      </c>
      <c r="Z5298">
        <v>0.1484087</v>
      </c>
      <c r="AA5298">
        <v>0.9888325</v>
      </c>
      <c r="AB5298">
        <v>29</v>
      </c>
      <c r="AC5298">
        <v>5.57999999999765E-2</v>
      </c>
      <c r="AD5298">
        <v>-0.12898209999999899</v>
      </c>
      <c r="AE5298">
        <v>-0.47572999999999999</v>
      </c>
      <c r="AF5298">
        <v>1.16416889867138E-2</v>
      </c>
      <c r="AG5298">
        <v>-0.12898209999999899</v>
      </c>
      <c r="AH5298">
        <v>0.44645562288589202</v>
      </c>
      <c r="AI5298">
        <v>106.10894109975</v>
      </c>
      <c r="AJ5298">
        <v>88.506305009155696</v>
      </c>
      <c r="AK5298">
        <v>0.464859693078786</v>
      </c>
      <c r="AL5298">
        <v>66.5318893858948</v>
      </c>
      <c r="AM5298">
        <v>93.535186555832496</v>
      </c>
      <c r="AN5298">
        <v>1.0000000133567399</v>
      </c>
    </row>
    <row r="5299" spans="1:40" x14ac:dyDescent="0.25">
      <c r="A5299" t="str">
        <f>"20190304164515673"</f>
        <v>20190304164515673</v>
      </c>
      <c r="B5299" t="str">
        <f>"1551689115665287"</f>
        <v>1551689115665287</v>
      </c>
      <c r="C5299" t="s">
        <v>40</v>
      </c>
      <c r="D5299">
        <v>5.7406090000000001</v>
      </c>
      <c r="E5299">
        <v>0.52597680000000002</v>
      </c>
      <c r="F5299" t="s">
        <v>41</v>
      </c>
      <c r="G5299">
        <v>-302.99810000000002</v>
      </c>
      <c r="H5299">
        <v>0.98836139999999995</v>
      </c>
      <c r="I5299">
        <v>-14.423769999999999</v>
      </c>
      <c r="J5299">
        <v>-303.05360000000002</v>
      </c>
      <c r="K5299">
        <v>1.1131580000000001</v>
      </c>
      <c r="L5299">
        <v>-13.9696</v>
      </c>
      <c r="M5299">
        <v>0.14437359999999999</v>
      </c>
      <c r="N5299">
        <v>-1.37909E-2</v>
      </c>
      <c r="O5299">
        <v>-0.98942730000000001</v>
      </c>
      <c r="P5299">
        <v>0.1847097</v>
      </c>
      <c r="Q5299">
        <v>0.3866926</v>
      </c>
      <c r="R5299">
        <v>-0.90352180000000004</v>
      </c>
      <c r="S5299">
        <v>0.46643069999999998</v>
      </c>
      <c r="T5299">
        <v>-0.59625360000000005</v>
      </c>
      <c r="U5299">
        <v>-3.4783330000000001</v>
      </c>
      <c r="V5299">
        <v>-5.4438210000000001E-2</v>
      </c>
      <c r="W5299">
        <v>0.39906999999999998</v>
      </c>
      <c r="X5299">
        <v>0.91530310000000004</v>
      </c>
      <c r="Y5299">
        <v>1.3141440000000001E-2</v>
      </c>
      <c r="Z5299">
        <v>0.15212339999999999</v>
      </c>
      <c r="AA5299">
        <v>0.98827419999999999</v>
      </c>
      <c r="AB5299">
        <v>29</v>
      </c>
      <c r="AC5299">
        <v>5.5499999999994998E-2</v>
      </c>
      <c r="AD5299">
        <v>-0.12479659999999999</v>
      </c>
      <c r="AE5299">
        <v>-0.45417000000000102</v>
      </c>
      <c r="AF5299">
        <v>9.9199791324766501E-3</v>
      </c>
      <c r="AG5299">
        <v>-0.12479659999999999</v>
      </c>
      <c r="AH5299">
        <v>0.425751493537885</v>
      </c>
      <c r="AI5299">
        <v>106.332759673955</v>
      </c>
      <c r="AJ5299">
        <v>88.665253968010504</v>
      </c>
      <c r="AK5299">
        <v>0.44377576726009799</v>
      </c>
      <c r="AL5299">
        <v>66.479949298330894</v>
      </c>
      <c r="AM5299">
        <v>93.403691855042894</v>
      </c>
      <c r="AN5299">
        <v>1.0000000742388</v>
      </c>
    </row>
    <row r="5300" spans="1:40" x14ac:dyDescent="0.25">
      <c r="A5300" t="str">
        <f>"20190304164515694"</f>
        <v>20190304164515694</v>
      </c>
      <c r="B5300" t="str">
        <f>"1551689115685783"</f>
        <v>1551689115685783</v>
      </c>
      <c r="C5300" t="s">
        <v>40</v>
      </c>
      <c r="D5300">
        <v>5.7342690000000003</v>
      </c>
      <c r="E5300">
        <v>0.52450289999999999</v>
      </c>
      <c r="F5300" t="s">
        <v>41</v>
      </c>
      <c r="G5300">
        <v>-302.93650000000002</v>
      </c>
      <c r="H5300">
        <v>0.99485369999999995</v>
      </c>
      <c r="I5300">
        <v>-14.679329999999901</v>
      </c>
      <c r="J5300">
        <v>-303.01150000000001</v>
      </c>
      <c r="K5300">
        <v>1.1124860000000001</v>
      </c>
      <c r="L5300">
        <v>-14.245509999999999</v>
      </c>
      <c r="M5300">
        <v>0.14555779999999999</v>
      </c>
      <c r="N5300">
        <v>-1.376645E-2</v>
      </c>
      <c r="O5300">
        <v>-0.98925410000000003</v>
      </c>
      <c r="P5300">
        <v>0.18113270000000001</v>
      </c>
      <c r="Q5300">
        <v>0.38311289999999998</v>
      </c>
      <c r="R5300">
        <v>-0.90576800000000002</v>
      </c>
      <c r="S5300">
        <v>0.57012940000000001</v>
      </c>
      <c r="T5300">
        <v>-0.57506619999999997</v>
      </c>
      <c r="U5300">
        <v>-3.4499209999999998</v>
      </c>
      <c r="V5300">
        <v>-4.8810909999999999E-2</v>
      </c>
      <c r="W5300">
        <v>0.39559860000000002</v>
      </c>
      <c r="X5300">
        <v>0.91712550000000004</v>
      </c>
      <c r="Y5300">
        <v>-1.5867079999999999E-2</v>
      </c>
      <c r="Z5300">
        <v>0.14732100000000001</v>
      </c>
      <c r="AA5300">
        <v>0.98896150000000005</v>
      </c>
      <c r="AB5300">
        <v>29</v>
      </c>
      <c r="AC5300">
        <v>7.4999999999988604E-2</v>
      </c>
      <c r="AD5300">
        <v>-0.1176323</v>
      </c>
      <c r="AE5300">
        <v>-0.43381999999999699</v>
      </c>
      <c r="AF5300">
        <v>-1.03129647792157E-2</v>
      </c>
      <c r="AG5300">
        <v>-0.1176323</v>
      </c>
      <c r="AH5300">
        <v>0.41078996488026598</v>
      </c>
      <c r="AI5300">
        <v>105.974622909964</v>
      </c>
      <c r="AJ5300">
        <v>91.438119996539001</v>
      </c>
      <c r="AK5300">
        <v>0.42742497644868299</v>
      </c>
      <c r="AL5300">
        <v>66.696686821461398</v>
      </c>
      <c r="AM5300">
        <v>93.046500249808105</v>
      </c>
      <c r="AN5300">
        <v>0.99999997000361796</v>
      </c>
    </row>
    <row r="5301" spans="1:40" x14ac:dyDescent="0.25">
      <c r="A5301" t="str">
        <f>"20190304164515717"</f>
        <v>20190304164515717</v>
      </c>
      <c r="B5301" t="str">
        <f>"1551689115705303"</f>
        <v>1551689115705303</v>
      </c>
      <c r="C5301" t="s">
        <v>40</v>
      </c>
      <c r="D5301">
        <v>5.7175330000000004</v>
      </c>
      <c r="E5301">
        <v>0.52426119999999998</v>
      </c>
      <c r="F5301" t="s">
        <v>41</v>
      </c>
      <c r="G5301">
        <v>-302.85570000000001</v>
      </c>
      <c r="H5301">
        <v>0.95518270000000005</v>
      </c>
      <c r="I5301">
        <v>-15.170439999999999</v>
      </c>
      <c r="J5301">
        <v>-302.96780000000001</v>
      </c>
      <c r="K5301">
        <v>1.1118170000000001</v>
      </c>
      <c r="L5301">
        <v>-14.534579999999901</v>
      </c>
      <c r="M5301">
        <v>0.1459404</v>
      </c>
      <c r="N5301">
        <v>-1.374353E-2</v>
      </c>
      <c r="O5301">
        <v>-0.98919800000000002</v>
      </c>
      <c r="P5301">
        <v>0.18206059999999999</v>
      </c>
      <c r="Q5301">
        <v>0.37519970000000002</v>
      </c>
      <c r="R5301">
        <v>-0.90888919999999995</v>
      </c>
      <c r="S5301">
        <v>0.58096309999999995</v>
      </c>
      <c r="T5301">
        <v>-0.58562510000000001</v>
      </c>
      <c r="U5301">
        <v>-3.4436339999999999</v>
      </c>
      <c r="V5301">
        <v>-4.8276199999999901E-2</v>
      </c>
      <c r="W5301">
        <v>0.38778600000000002</v>
      </c>
      <c r="X5301">
        <v>0.92048439999999998</v>
      </c>
      <c r="Y5301">
        <v>-1.8714100000000001E-2</v>
      </c>
      <c r="Z5301">
        <v>0.1504537</v>
      </c>
      <c r="AA5301">
        <v>0.98843990000000004</v>
      </c>
      <c r="AB5301">
        <v>29</v>
      </c>
      <c r="AC5301">
        <v>0.11209999999999801</v>
      </c>
      <c r="AD5301">
        <v>-0.1566343</v>
      </c>
      <c r="AE5301">
        <v>-0.63586000000000098</v>
      </c>
      <c r="AF5301">
        <v>-1.7087513171982999E-2</v>
      </c>
      <c r="AG5301">
        <v>-0.1566343</v>
      </c>
      <c r="AH5301">
        <v>0.60953987533144505</v>
      </c>
      <c r="AI5301">
        <v>104.40613299335899</v>
      </c>
      <c r="AJ5301">
        <v>91.605778521287803</v>
      </c>
      <c r="AK5301">
        <v>0.62957537012018405</v>
      </c>
      <c r="AL5301">
        <v>67.183193431827505</v>
      </c>
      <c r="AM5301">
        <v>93.002213378369206</v>
      </c>
      <c r="AN5301">
        <v>1.00000005196289</v>
      </c>
    </row>
    <row r="5302" spans="1:40" x14ac:dyDescent="0.25">
      <c r="A5302" t="str">
        <f>"20190304164515741"</f>
        <v>20190304164515741</v>
      </c>
      <c r="B5302" t="str">
        <f>"1551689115735560"</f>
        <v>1551689115735560</v>
      </c>
      <c r="C5302" t="s">
        <v>40</v>
      </c>
      <c r="D5302">
        <v>5.7232120000000002</v>
      </c>
      <c r="E5302">
        <v>0.52460359999999995</v>
      </c>
      <c r="F5302" t="s">
        <v>41</v>
      </c>
      <c r="G5302">
        <v>-302.81810000000002</v>
      </c>
      <c r="H5302">
        <v>0.95240820000000004</v>
      </c>
      <c r="I5302">
        <v>-15.42464</v>
      </c>
      <c r="J5302">
        <v>-302.92360000000002</v>
      </c>
      <c r="K5302">
        <v>1.1112329999999999</v>
      </c>
      <c r="L5302">
        <v>-14.83206</v>
      </c>
      <c r="M5302">
        <v>0.14566419999999999</v>
      </c>
      <c r="N5302">
        <v>-1.3722089999999999E-2</v>
      </c>
      <c r="O5302">
        <v>-0.98923899999999998</v>
      </c>
      <c r="P5302">
        <v>0.18653600000000001</v>
      </c>
      <c r="Q5302">
        <v>0.36967810000000001</v>
      </c>
      <c r="R5302">
        <v>-0.91024309999999997</v>
      </c>
      <c r="S5302">
        <v>0.5786133</v>
      </c>
      <c r="T5302">
        <v>-0.61593940000000003</v>
      </c>
      <c r="U5302">
        <v>-3.4390869999999998</v>
      </c>
      <c r="V5302">
        <v>-5.2218939999999998E-2</v>
      </c>
      <c r="W5302">
        <v>0.38233630000000002</v>
      </c>
      <c r="X5302">
        <v>0.92254659999999999</v>
      </c>
      <c r="Y5302">
        <v>-1.8326579999999999E-2</v>
      </c>
      <c r="Z5302">
        <v>0.15896270000000001</v>
      </c>
      <c r="AA5302">
        <v>0.98711450000000001</v>
      </c>
      <c r="AB5302">
        <v>29</v>
      </c>
      <c r="AC5302">
        <v>0.10550000000000601</v>
      </c>
      <c r="AD5302">
        <v>-0.15882479999999899</v>
      </c>
      <c r="AE5302">
        <v>-0.592579999999999</v>
      </c>
      <c r="AF5302">
        <v>-1.6873812613104298E-2</v>
      </c>
      <c r="AG5302">
        <v>-0.15882479999999899</v>
      </c>
      <c r="AH5302">
        <v>0.56246359091792297</v>
      </c>
      <c r="AI5302">
        <v>105.761533863146</v>
      </c>
      <c r="AJ5302">
        <v>91.718348321463793</v>
      </c>
      <c r="AK5302">
        <v>0.584701063583287</v>
      </c>
      <c r="AL5302">
        <v>67.521527365875102</v>
      </c>
      <c r="AM5302">
        <v>93.239658268909693</v>
      </c>
      <c r="AN5302">
        <v>1.0000000465819801</v>
      </c>
    </row>
    <row r="5303" spans="1:40" x14ac:dyDescent="0.25">
      <c r="A5303" t="str">
        <f>"20190304164515763"</f>
        <v>20190304164515763</v>
      </c>
      <c r="B5303" t="str">
        <f>"1551689115755079"</f>
        <v>1551689115755079</v>
      </c>
      <c r="C5303" t="s">
        <v>40</v>
      </c>
      <c r="D5303">
        <v>5.732075</v>
      </c>
      <c r="E5303">
        <v>0.52490599999999998</v>
      </c>
      <c r="F5303" t="s">
        <v>41</v>
      </c>
      <c r="G5303">
        <v>-302.78309999999999</v>
      </c>
      <c r="H5303">
        <v>0.95470239999999995</v>
      </c>
      <c r="I5303">
        <v>-15.681419999999999</v>
      </c>
      <c r="J5303">
        <v>-302.88150000000002</v>
      </c>
      <c r="K5303">
        <v>1.1107629999999999</v>
      </c>
      <c r="L5303">
        <v>-15.12064</v>
      </c>
      <c r="M5303">
        <v>0.1448091</v>
      </c>
      <c r="N5303">
        <v>-1.370129E-2</v>
      </c>
      <c r="O5303">
        <v>-0.98936489999999999</v>
      </c>
      <c r="P5303">
        <v>0.1882363</v>
      </c>
      <c r="Q5303">
        <v>0.36978460000000002</v>
      </c>
      <c r="R5303">
        <v>-0.90984980000000004</v>
      </c>
      <c r="S5303">
        <v>0.56954959999999999</v>
      </c>
      <c r="T5303">
        <v>-0.63311839999999997</v>
      </c>
      <c r="U5303">
        <v>-3.4362180000000002</v>
      </c>
      <c r="V5303">
        <v>-5.4298579999999999E-2</v>
      </c>
      <c r="W5303">
        <v>0.38248480000000001</v>
      </c>
      <c r="X5303">
        <v>0.92236499999999999</v>
      </c>
      <c r="Y5303">
        <v>-1.6661820000000001E-2</v>
      </c>
      <c r="Z5303">
        <v>0.16385939999999999</v>
      </c>
      <c r="AA5303">
        <v>0.98634299999999997</v>
      </c>
      <c r="AB5303">
        <v>29</v>
      </c>
      <c r="AC5303">
        <v>9.8400000000026397E-2</v>
      </c>
      <c r="AD5303">
        <v>-0.15606059999999999</v>
      </c>
      <c r="AE5303">
        <v>-0.56078000000000106</v>
      </c>
      <c r="AF5303">
        <v>-1.50204398665828E-2</v>
      </c>
      <c r="AG5303">
        <v>-0.15606059999999999</v>
      </c>
      <c r="AH5303">
        <v>0.52934709703682403</v>
      </c>
      <c r="AI5303">
        <v>106.420167742907</v>
      </c>
      <c r="AJ5303">
        <v>91.625354989902803</v>
      </c>
      <c r="AK5303">
        <v>0.55207687293298002</v>
      </c>
      <c r="AL5303">
        <v>67.512319730311702</v>
      </c>
      <c r="AM5303">
        <v>93.369049196178196</v>
      </c>
      <c r="AN5303">
        <v>1.0000000756230201</v>
      </c>
    </row>
    <row r="5304" spans="1:40" x14ac:dyDescent="0.25">
      <c r="A5304" t="str">
        <f>"20190304164515784"</f>
        <v>20190304164515784</v>
      </c>
      <c r="B5304" t="str">
        <f>"1551689115775576"</f>
        <v>1551689115775576</v>
      </c>
      <c r="C5304" t="s">
        <v>40</v>
      </c>
      <c r="D5304">
        <v>5.7490500000000004</v>
      </c>
      <c r="E5304">
        <v>0.52518779999999998</v>
      </c>
      <c r="F5304" t="s">
        <v>41</v>
      </c>
      <c r="G5304">
        <v>-302.74720000000002</v>
      </c>
      <c r="H5304">
        <v>0.96092770000000005</v>
      </c>
      <c r="I5304">
        <v>-15.93993</v>
      </c>
      <c r="J5304">
        <v>-302.8424</v>
      </c>
      <c r="K5304">
        <v>1.1103400000000001</v>
      </c>
      <c r="L5304">
        <v>-15.39359</v>
      </c>
      <c r="M5304">
        <v>0.1434821</v>
      </c>
      <c r="N5304">
        <v>-1.3684460000000001E-2</v>
      </c>
      <c r="O5304">
        <v>-0.9895583</v>
      </c>
      <c r="P5304">
        <v>0.18921689999999999</v>
      </c>
      <c r="Q5304">
        <v>0.37230530000000001</v>
      </c>
      <c r="R5304">
        <v>-0.90861749999999997</v>
      </c>
      <c r="S5304">
        <v>0.56292719999999996</v>
      </c>
      <c r="T5304">
        <v>-0.62847299999999995</v>
      </c>
      <c r="U5304">
        <v>-3.4362180000000002</v>
      </c>
      <c r="V5304">
        <v>-5.6270580000000001E-2</v>
      </c>
      <c r="W5304">
        <v>0.3850364</v>
      </c>
      <c r="X5304">
        <v>0.92118440000000001</v>
      </c>
      <c r="Y5304">
        <v>-1.6185100000000001E-2</v>
      </c>
      <c r="Z5304">
        <v>0.16268879999999999</v>
      </c>
      <c r="AA5304">
        <v>0.98654470000000005</v>
      </c>
      <c r="AB5304">
        <v>29</v>
      </c>
      <c r="AC5304">
        <v>9.5199999999976997E-2</v>
      </c>
      <c r="AD5304">
        <v>-0.149412299999999</v>
      </c>
      <c r="AE5304">
        <v>-0.54633999999999805</v>
      </c>
      <c r="AF5304">
        <v>-1.47469872606606E-2</v>
      </c>
      <c r="AG5304">
        <v>-0.149412299999999</v>
      </c>
      <c r="AH5304">
        <v>0.51683163985400804</v>
      </c>
      <c r="AI5304">
        <v>106.117981242726</v>
      </c>
      <c r="AJ5304">
        <v>91.634402526085694</v>
      </c>
      <c r="AK5304">
        <v>0.538197410787843</v>
      </c>
      <c r="AL5304">
        <v>67.354001232918705</v>
      </c>
      <c r="AM5304">
        <v>93.495571163183598</v>
      </c>
      <c r="AN5304">
        <v>1.0000000531509201</v>
      </c>
    </row>
    <row r="5305" spans="1:40" x14ac:dyDescent="0.25">
      <c r="A5305" t="str">
        <f>"20190304164515806"</f>
        <v>20190304164515806</v>
      </c>
      <c r="B5305" t="str">
        <f>"1551689115795095"</f>
        <v>1551689115795095</v>
      </c>
      <c r="C5305" t="s">
        <v>40</v>
      </c>
      <c r="D5305">
        <v>5.7429769999999998</v>
      </c>
      <c r="E5305">
        <v>0.52541510000000002</v>
      </c>
      <c r="F5305" t="s">
        <v>41</v>
      </c>
      <c r="G5305">
        <v>-302.71030000000002</v>
      </c>
      <c r="H5305">
        <v>0.96613930000000003</v>
      </c>
      <c r="I5305">
        <v>-16.197890000000001</v>
      </c>
      <c r="J5305">
        <v>-302.80309999999997</v>
      </c>
      <c r="K5305">
        <v>1.1099060000000001</v>
      </c>
      <c r="L5305">
        <v>-15.675230000000001</v>
      </c>
      <c r="M5305">
        <v>0.1416222</v>
      </c>
      <c r="N5305">
        <v>-1.367226E-2</v>
      </c>
      <c r="O5305">
        <v>-0.98982650000000005</v>
      </c>
      <c r="P5305">
        <v>0.18956400000000001</v>
      </c>
      <c r="Q5305">
        <v>0.37500489999999997</v>
      </c>
      <c r="R5305">
        <v>-0.90743450000000003</v>
      </c>
      <c r="S5305">
        <v>0.56497189999999997</v>
      </c>
      <c r="T5305">
        <v>-0.61598730000000002</v>
      </c>
      <c r="U5305">
        <v>-3.4364620000000001</v>
      </c>
      <c r="V5305">
        <v>-5.8091780000000003E-2</v>
      </c>
      <c r="W5305">
        <v>0.38777509999999998</v>
      </c>
      <c r="X5305">
        <v>0.91992160000000001</v>
      </c>
      <c r="Y5305">
        <v>-1.8711760000000001E-2</v>
      </c>
      <c r="Z5305">
        <v>0.15934770000000001</v>
      </c>
      <c r="AA5305">
        <v>0.98704519999999996</v>
      </c>
      <c r="AB5305">
        <v>29</v>
      </c>
      <c r="AC5305">
        <v>9.2799999999954197E-2</v>
      </c>
      <c r="AD5305">
        <v>-0.1437667</v>
      </c>
      <c r="AE5305">
        <v>-0.52266000000000101</v>
      </c>
      <c r="AF5305">
        <v>-1.6618353896086499E-2</v>
      </c>
      <c r="AG5305">
        <v>-0.1437667</v>
      </c>
      <c r="AH5305">
        <v>0.49427952637369799</v>
      </c>
      <c r="AI5305">
        <v>106.208982527994</v>
      </c>
      <c r="AJ5305">
        <v>91.925637133905397</v>
      </c>
      <c r="AK5305">
        <v>0.51503134264558403</v>
      </c>
      <c r="AL5305">
        <v>67.183868914929803</v>
      </c>
      <c r="AM5305">
        <v>93.613351487749199</v>
      </c>
      <c r="AN5305">
        <v>0.99999996661506796</v>
      </c>
    </row>
    <row r="5306" spans="1:40" x14ac:dyDescent="0.25">
      <c r="A5306" t="str">
        <f>"20190304164515830"</f>
        <v>20190304164515830</v>
      </c>
      <c r="B5306" t="str">
        <f>"1551689115825352"</f>
        <v>1551689115825352</v>
      </c>
      <c r="C5306" t="s">
        <v>40</v>
      </c>
      <c r="D5306">
        <v>5.7571490000000001</v>
      </c>
      <c r="E5306">
        <v>0.5257484</v>
      </c>
      <c r="F5306" t="s">
        <v>41</v>
      </c>
      <c r="G5306">
        <v>-302.67309999999998</v>
      </c>
      <c r="H5306">
        <v>0.97228460000000005</v>
      </c>
      <c r="I5306">
        <v>-16.456240000000001</v>
      </c>
      <c r="J5306">
        <v>-302.76389999999998</v>
      </c>
      <c r="K5306">
        <v>1.1094660000000001</v>
      </c>
      <c r="L5306">
        <v>-15.963900000000001</v>
      </c>
      <c r="M5306">
        <v>0.13925129999999999</v>
      </c>
      <c r="N5306">
        <v>-1.3664340000000001E-2</v>
      </c>
      <c r="O5306">
        <v>-0.99016300000000002</v>
      </c>
      <c r="P5306">
        <v>0.18894140000000001</v>
      </c>
      <c r="Q5306">
        <v>0.37809310000000002</v>
      </c>
      <c r="R5306">
        <v>-0.90628209999999998</v>
      </c>
      <c r="S5306">
        <v>0.57260129999999998</v>
      </c>
      <c r="T5306">
        <v>-0.60541959999999995</v>
      </c>
      <c r="U5306">
        <v>-3.4366150000000002</v>
      </c>
      <c r="V5306">
        <v>-5.9417850000000001E-2</v>
      </c>
      <c r="W5306">
        <v>0.3909067</v>
      </c>
      <c r="X5306">
        <v>0.91851050000000001</v>
      </c>
      <c r="Y5306">
        <v>-2.3302429999999999E-2</v>
      </c>
      <c r="Z5306">
        <v>0.1565146</v>
      </c>
      <c r="AA5306">
        <v>0.98740070000000002</v>
      </c>
      <c r="AB5306">
        <v>29</v>
      </c>
      <c r="AC5306">
        <v>9.0800000000001505E-2</v>
      </c>
      <c r="AD5306">
        <v>-0.13718140000000001</v>
      </c>
      <c r="AE5306">
        <v>-0.49234</v>
      </c>
      <c r="AF5306">
        <v>-1.9858773026676501E-2</v>
      </c>
      <c r="AG5306">
        <v>-0.13718140000000001</v>
      </c>
      <c r="AH5306">
        <v>0.46525528919042602</v>
      </c>
      <c r="AI5306">
        <v>106.414111948708</v>
      </c>
      <c r="AJ5306">
        <v>92.444106848052698</v>
      </c>
      <c r="AK5306">
        <v>0.48546430506449401</v>
      </c>
      <c r="AL5306">
        <v>66.989072130801901</v>
      </c>
      <c r="AM5306">
        <v>93.701269740653103</v>
      </c>
      <c r="AN5306">
        <v>1.00000003380688</v>
      </c>
    </row>
    <row r="5307" spans="1:40" x14ac:dyDescent="0.25">
      <c r="A5307" t="str">
        <f>"20190304164515851"</f>
        <v>20190304164515851</v>
      </c>
      <c r="B5307" t="str">
        <f>"1551689115845847"</f>
        <v>1551689115845847</v>
      </c>
      <c r="C5307" t="s">
        <v>40</v>
      </c>
      <c r="D5307">
        <v>5.7654370000000004</v>
      </c>
      <c r="E5307">
        <v>0.5258948</v>
      </c>
      <c r="F5307" t="s">
        <v>41</v>
      </c>
      <c r="G5307">
        <v>-302.63679999999999</v>
      </c>
      <c r="H5307">
        <v>0.98030499999999998</v>
      </c>
      <c r="I5307">
        <v>-16.715479999999999</v>
      </c>
      <c r="J5307">
        <v>-302.72579999999999</v>
      </c>
      <c r="K5307">
        <v>1.109075</v>
      </c>
      <c r="L5307">
        <v>-16.25385</v>
      </c>
      <c r="M5307">
        <v>0.13645199999999999</v>
      </c>
      <c r="N5307">
        <v>-1.365913E-2</v>
      </c>
      <c r="O5307">
        <v>-0.99055249999999995</v>
      </c>
      <c r="P5307">
        <v>0.1904235</v>
      </c>
      <c r="Q5307">
        <v>0.37994250000000002</v>
      </c>
      <c r="R5307">
        <v>-0.90519760000000005</v>
      </c>
      <c r="S5307">
        <v>0.58166499999999999</v>
      </c>
      <c r="T5307">
        <v>-0.590194</v>
      </c>
      <c r="U5307">
        <v>-3.435181</v>
      </c>
      <c r="V5307">
        <v>-6.3251089999999996E-2</v>
      </c>
      <c r="W5307">
        <v>0.39281539999999998</v>
      </c>
      <c r="X5307">
        <v>0.91743960000000002</v>
      </c>
      <c r="Y5307">
        <v>-2.8829690000000002E-2</v>
      </c>
      <c r="Z5307">
        <v>0.1524761</v>
      </c>
      <c r="AA5307">
        <v>0.98788659999999995</v>
      </c>
      <c r="AB5307">
        <v>29</v>
      </c>
      <c r="AC5307">
        <v>8.8999999999998594E-2</v>
      </c>
      <c r="AD5307">
        <v>-0.12877</v>
      </c>
      <c r="AE5307">
        <v>-0.46162999999999899</v>
      </c>
      <c r="AF5307">
        <v>-2.3414565501087298E-2</v>
      </c>
      <c r="AG5307">
        <v>-0.12877</v>
      </c>
      <c r="AH5307">
        <v>0.43669484943387998</v>
      </c>
      <c r="AI5307">
        <v>106.40712568691799</v>
      </c>
      <c r="AJ5307">
        <v>93.069128028261105</v>
      </c>
      <c r="AK5307">
        <v>0.45588633045934202</v>
      </c>
      <c r="AL5307">
        <v>66.870205086188093</v>
      </c>
      <c r="AM5307">
        <v>93.943905402166195</v>
      </c>
      <c r="AN5307">
        <v>1.00000002925575</v>
      </c>
    </row>
    <row r="5308" spans="1:40" x14ac:dyDescent="0.25">
      <c r="A5308" t="str">
        <f>"20190304164515874"</f>
        <v>20190304164515874</v>
      </c>
      <c r="B5308" t="str">
        <f>"1551689115865368"</f>
        <v>1551689115865368</v>
      </c>
      <c r="C5308" t="s">
        <v>40</v>
      </c>
      <c r="D5308">
        <v>5.7520559999999996</v>
      </c>
      <c r="E5308">
        <v>0.52598129999999998</v>
      </c>
      <c r="F5308" t="s">
        <v>41</v>
      </c>
      <c r="G5308">
        <v>-302.60289999999998</v>
      </c>
      <c r="H5308">
        <v>0.98703300000000005</v>
      </c>
      <c r="I5308">
        <v>-16.974439999999898</v>
      </c>
      <c r="J5308">
        <v>-302.69060000000002</v>
      </c>
      <c r="K5308">
        <v>1.1087739999999999</v>
      </c>
      <c r="L5308">
        <v>-16.530639999999998</v>
      </c>
      <c r="M5308">
        <v>0.13344610000000001</v>
      </c>
      <c r="N5308">
        <v>-1.3654980000000001E-2</v>
      </c>
      <c r="O5308">
        <v>-0.99096229999999996</v>
      </c>
      <c r="P5308">
        <v>0.1935307</v>
      </c>
      <c r="Q5308">
        <v>0.37980710000000001</v>
      </c>
      <c r="R5308">
        <v>-0.90459540000000005</v>
      </c>
      <c r="S5308">
        <v>0.58621219999999996</v>
      </c>
      <c r="T5308">
        <v>-0.58153889999999997</v>
      </c>
      <c r="U5308">
        <v>-3.4349669999999999</v>
      </c>
      <c r="V5308">
        <v>-6.8910109999999997E-2</v>
      </c>
      <c r="W5308">
        <v>0.39275179999999998</v>
      </c>
      <c r="X5308">
        <v>0.91705910000000002</v>
      </c>
      <c r="Y5308">
        <v>-3.3198640000000001E-2</v>
      </c>
      <c r="Z5308">
        <v>0.1501895</v>
      </c>
      <c r="AA5308">
        <v>0.98809970000000003</v>
      </c>
      <c r="AB5308">
        <v>29</v>
      </c>
      <c r="AC5308">
        <v>8.7700000000040704E-2</v>
      </c>
      <c r="AD5308">
        <v>-0.121741</v>
      </c>
      <c r="AE5308">
        <v>-0.44379999999999897</v>
      </c>
      <c r="AF5308">
        <v>-2.5816909586590799E-2</v>
      </c>
      <c r="AG5308">
        <v>-0.121741</v>
      </c>
      <c r="AH5308">
        <v>0.42104210216591198</v>
      </c>
      <c r="AI5308">
        <v>106.098144390686</v>
      </c>
      <c r="AJ5308">
        <v>93.508794777453502</v>
      </c>
      <c r="AK5308">
        <v>0.43904878510012202</v>
      </c>
      <c r="AL5308">
        <v>66.874166506176806</v>
      </c>
      <c r="AM5308">
        <v>94.297272009218403</v>
      </c>
      <c r="AN5308">
        <v>0.99999998627813103</v>
      </c>
    </row>
    <row r="5309" spans="1:40" x14ac:dyDescent="0.25">
      <c r="A5309" t="str">
        <f>"20190304164515896"</f>
        <v>20190304164515896</v>
      </c>
      <c r="B5309" t="str">
        <f>"1551689115885864"</f>
        <v>1551689115885864</v>
      </c>
      <c r="C5309" t="s">
        <v>40</v>
      </c>
      <c r="D5309">
        <v>5.7705760000000001</v>
      </c>
      <c r="E5309">
        <v>0.52610140000000005</v>
      </c>
      <c r="F5309" t="s">
        <v>41</v>
      </c>
      <c r="G5309">
        <v>-302.57029999999997</v>
      </c>
      <c r="H5309">
        <v>0.99010920000000002</v>
      </c>
      <c r="I5309">
        <v>-17.231649999999998</v>
      </c>
      <c r="J5309">
        <v>-302.65550000000002</v>
      </c>
      <c r="K5309">
        <v>1.108562</v>
      </c>
      <c r="L5309">
        <v>-16.817629999999902</v>
      </c>
      <c r="M5309">
        <v>0.1300692</v>
      </c>
      <c r="N5309">
        <v>-1.3649939999999999E-2</v>
      </c>
      <c r="O5309">
        <v>-0.99141120000000005</v>
      </c>
      <c r="P5309">
        <v>0.1937856</v>
      </c>
      <c r="Q5309">
        <v>0.38052599999999998</v>
      </c>
      <c r="R5309">
        <v>-0.90423869999999895</v>
      </c>
      <c r="S5309">
        <v>0.58984380000000003</v>
      </c>
      <c r="T5309">
        <v>-0.58110360000000005</v>
      </c>
      <c r="U5309">
        <v>-3.4342039999999998</v>
      </c>
      <c r="V5309">
        <v>-7.2129979999999996E-2</v>
      </c>
      <c r="W5309">
        <v>0.39351740000000002</v>
      </c>
      <c r="X5309">
        <v>0.91648309999999999</v>
      </c>
      <c r="Y5309">
        <v>-3.7650200000000002E-2</v>
      </c>
      <c r="Z5309">
        <v>0.1501902</v>
      </c>
      <c r="AA5309">
        <v>0.98794000000000004</v>
      </c>
      <c r="AB5309">
        <v>29</v>
      </c>
      <c r="AC5309">
        <v>8.5200000000043005E-2</v>
      </c>
      <c r="AD5309">
        <v>-0.1184528</v>
      </c>
      <c r="AE5309">
        <v>-0.41402</v>
      </c>
      <c r="AF5309">
        <v>-2.8390338417194901E-2</v>
      </c>
      <c r="AG5309">
        <v>-0.1184528</v>
      </c>
      <c r="AH5309">
        <v>0.39088868013336497</v>
      </c>
      <c r="AI5309">
        <v>106.816837431278</v>
      </c>
      <c r="AJ5309">
        <v>94.154111906265896</v>
      </c>
      <c r="AK5309">
        <v>0.40942769495930198</v>
      </c>
      <c r="AL5309">
        <v>66.826459265825207</v>
      </c>
      <c r="AM5309">
        <v>94.500074294778798</v>
      </c>
      <c r="AN5309">
        <v>0.99999997535158502</v>
      </c>
    </row>
    <row r="5310" spans="1:40" x14ac:dyDescent="0.25">
      <c r="A5310" t="str">
        <f>"20190304164515919"</f>
        <v>20190304164515919</v>
      </c>
      <c r="B5310" t="str">
        <f>"1551689115915144"</f>
        <v>1551689115915144</v>
      </c>
      <c r="C5310" t="s">
        <v>40</v>
      </c>
      <c r="D5310">
        <v>5.7474530000000001</v>
      </c>
      <c r="E5310">
        <v>0.52627639999999998</v>
      </c>
      <c r="F5310" t="s">
        <v>41</v>
      </c>
      <c r="G5310">
        <v>-302.50040000000001</v>
      </c>
      <c r="H5310">
        <v>0.95535720000000002</v>
      </c>
      <c r="I5310">
        <v>-17.72655</v>
      </c>
      <c r="J5310">
        <v>-302.62180000000001</v>
      </c>
      <c r="K5310">
        <v>1.1084369999999999</v>
      </c>
      <c r="L5310">
        <v>-17.10248</v>
      </c>
      <c r="M5310">
        <v>0.12657660000000001</v>
      </c>
      <c r="N5310">
        <v>-1.3643819999999999E-2</v>
      </c>
      <c r="O5310">
        <v>-0.99186300000000005</v>
      </c>
      <c r="P5310">
        <v>0.1896698</v>
      </c>
      <c r="Q5310">
        <v>0.38191039999999998</v>
      </c>
      <c r="R5310">
        <v>-0.90452730000000003</v>
      </c>
      <c r="S5310">
        <v>0.58773799999999998</v>
      </c>
      <c r="T5310">
        <v>-0.57863830000000005</v>
      </c>
      <c r="U5310">
        <v>-3.4352719999999999</v>
      </c>
      <c r="V5310">
        <v>-7.1120199999999995E-2</v>
      </c>
      <c r="W5310">
        <v>0.39490700000000001</v>
      </c>
      <c r="X5310">
        <v>0.91596420000000001</v>
      </c>
      <c r="Y5310">
        <v>-4.0543330000000002E-2</v>
      </c>
      <c r="Z5310">
        <v>0.14957570000000001</v>
      </c>
      <c r="AA5310">
        <v>0.98791870000000004</v>
      </c>
      <c r="AB5310">
        <v>29</v>
      </c>
      <c r="AC5310">
        <v>0.121399999999994</v>
      </c>
      <c r="AD5310">
        <v>-0.15307979999999999</v>
      </c>
      <c r="AE5310">
        <v>-0.62406999999999901</v>
      </c>
      <c r="AF5310">
        <v>-3.9153457667447898E-2</v>
      </c>
      <c r="AG5310">
        <v>-0.15307979999999999</v>
      </c>
      <c r="AH5310">
        <v>0.599652743665822</v>
      </c>
      <c r="AI5310">
        <v>104.29147308388301</v>
      </c>
      <c r="AJ5310">
        <v>93.735742188962007</v>
      </c>
      <c r="AK5310">
        <v>0.62012082000308999</v>
      </c>
      <c r="AL5310">
        <v>66.739826440968997</v>
      </c>
      <c r="AM5310">
        <v>94.439832840024295</v>
      </c>
      <c r="AN5310">
        <v>1.0000000185893301</v>
      </c>
    </row>
    <row r="5311" spans="1:40" x14ac:dyDescent="0.25">
      <c r="A5311" t="str">
        <f>"20190304164515942"</f>
        <v>20190304164515942</v>
      </c>
      <c r="B5311" t="str">
        <f>"1551689115935639"</f>
        <v>1551689115935639</v>
      </c>
      <c r="C5311" t="s">
        <v>40</v>
      </c>
      <c r="D5311">
        <v>5.772837</v>
      </c>
      <c r="E5311">
        <v>0.52642359999999999</v>
      </c>
      <c r="F5311" t="s">
        <v>41</v>
      </c>
      <c r="G5311">
        <v>-302.47250000000003</v>
      </c>
      <c r="H5311">
        <v>0.96051319999999996</v>
      </c>
      <c r="I5311">
        <v>-17.9846</v>
      </c>
      <c r="J5311">
        <v>-302.5881</v>
      </c>
      <c r="K5311">
        <v>1.108366</v>
      </c>
      <c r="L5311">
        <v>-17.39789</v>
      </c>
      <c r="M5311">
        <v>0.1228963</v>
      </c>
      <c r="N5311">
        <v>-1.3636799999999999E-2</v>
      </c>
      <c r="O5311">
        <v>-0.99232580000000004</v>
      </c>
      <c r="P5311">
        <v>0.18615470000000001</v>
      </c>
      <c r="Q5311">
        <v>0.38122889999999998</v>
      </c>
      <c r="R5311">
        <v>-0.90554449999999997</v>
      </c>
      <c r="S5311">
        <v>0.5825806</v>
      </c>
      <c r="T5311">
        <v>-0.57637989999999995</v>
      </c>
      <c r="U5311">
        <v>-3.4378660000000001</v>
      </c>
      <c r="V5311">
        <v>-7.0867340000000001E-2</v>
      </c>
      <c r="W5311">
        <v>0.3942331</v>
      </c>
      <c r="X5311">
        <v>0.91627400000000003</v>
      </c>
      <c r="Y5311">
        <v>-4.2699429999999997E-2</v>
      </c>
      <c r="Z5311">
        <v>0.14896409999999999</v>
      </c>
      <c r="AA5311">
        <v>0.98792029999999997</v>
      </c>
      <c r="AB5311">
        <v>29</v>
      </c>
      <c r="AC5311">
        <v>0.115599999999972</v>
      </c>
      <c r="AD5311">
        <v>-0.14785279999999901</v>
      </c>
      <c r="AE5311">
        <v>-0.58670999999999995</v>
      </c>
      <c r="AF5311">
        <v>-4.0157418822911198E-2</v>
      </c>
      <c r="AG5311">
        <v>-0.14785279999999901</v>
      </c>
      <c r="AH5311">
        <v>0.56210682805382695</v>
      </c>
      <c r="AI5311">
        <v>104.701045848169</v>
      </c>
      <c r="AJ5311">
        <v>94.0863196834663</v>
      </c>
      <c r="AK5311">
        <v>0.58261235388471899</v>
      </c>
      <c r="AL5311">
        <v>66.7818464542637</v>
      </c>
      <c r="AM5311">
        <v>94.422620391988403</v>
      </c>
      <c r="AN5311">
        <v>0.99999998004514201</v>
      </c>
    </row>
    <row r="5312" spans="1:40" x14ac:dyDescent="0.25">
      <c r="A5312" t="str">
        <f>"20190304164515966"</f>
        <v>20190304164515966</v>
      </c>
      <c r="B5312" t="str">
        <f>"1551689115955159"</f>
        <v>1551689115955159</v>
      </c>
      <c r="C5312" t="s">
        <v>40</v>
      </c>
      <c r="D5312">
        <v>5.9063330000000001</v>
      </c>
      <c r="E5312">
        <v>0.52648090000000003</v>
      </c>
      <c r="F5312" t="s">
        <v>41</v>
      </c>
      <c r="G5312">
        <v>-302.44729999999998</v>
      </c>
      <c r="H5312">
        <v>0.96560699999999999</v>
      </c>
      <c r="I5312">
        <v>-18.242609999999999</v>
      </c>
      <c r="J5312">
        <v>-302.55349999999999</v>
      </c>
      <c r="K5312">
        <v>1.1083480000000001</v>
      </c>
      <c r="L5312">
        <v>-17.71078</v>
      </c>
      <c r="M5312">
        <v>0.1190273</v>
      </c>
      <c r="N5312">
        <v>-1.362933E-2</v>
      </c>
      <c r="O5312">
        <v>-0.99279759999999995</v>
      </c>
      <c r="P5312">
        <v>0.18467810000000001</v>
      </c>
      <c r="Q5312">
        <v>0.37804539999999998</v>
      </c>
      <c r="R5312">
        <v>-0.90718019999999999</v>
      </c>
      <c r="S5312">
        <v>0.57406619999999997</v>
      </c>
      <c r="T5312">
        <v>-0.58109330000000003</v>
      </c>
      <c r="U5312">
        <v>-3.4395449999999999</v>
      </c>
      <c r="V5312">
        <v>-7.2813810000000007E-2</v>
      </c>
      <c r="W5312">
        <v>0.39107209999999998</v>
      </c>
      <c r="X5312">
        <v>0.91747520000000005</v>
      </c>
      <c r="Y5312">
        <v>-4.4100489999999999E-2</v>
      </c>
      <c r="Z5312">
        <v>0.1503253</v>
      </c>
      <c r="AA5312">
        <v>0.98765250000000004</v>
      </c>
      <c r="AB5312">
        <v>29</v>
      </c>
      <c r="AC5312">
        <v>0.106200000000001</v>
      </c>
      <c r="AD5312">
        <v>-0.14274099999999901</v>
      </c>
      <c r="AE5312">
        <v>-0.53182999999999903</v>
      </c>
      <c r="AF5312">
        <v>-3.9406850908099797E-2</v>
      </c>
      <c r="AG5312">
        <v>-0.14274099999999901</v>
      </c>
      <c r="AH5312">
        <v>0.50566118157954199</v>
      </c>
      <c r="AI5312">
        <v>105.718329453465</v>
      </c>
      <c r="AJ5312">
        <v>94.456130020035502</v>
      </c>
      <c r="AK5312">
        <v>0.52689764047290299</v>
      </c>
      <c r="AL5312">
        <v>66.978774714165695</v>
      </c>
      <c r="AM5312">
        <v>94.537668121539198</v>
      </c>
      <c r="AN5312">
        <v>0.99999999047008303</v>
      </c>
    </row>
    <row r="5313" spans="1:40" x14ac:dyDescent="0.25">
      <c r="A5313" t="str">
        <f>"20190304164515985"</f>
        <v>20190304164515985</v>
      </c>
      <c r="B5313" t="str">
        <f>"1551689115975656"</f>
        <v>1551689115975656</v>
      </c>
      <c r="C5313" t="s">
        <v>40</v>
      </c>
      <c r="D5313">
        <v>5.7646990000000002</v>
      </c>
      <c r="E5313">
        <v>0.49478850000000002</v>
      </c>
      <c r="F5313" t="s">
        <v>41</v>
      </c>
      <c r="G5313">
        <v>-302.42349999999999</v>
      </c>
      <c r="H5313">
        <v>0.97203119999999998</v>
      </c>
      <c r="I5313">
        <v>-18.501049999999999</v>
      </c>
      <c r="J5313">
        <v>-302.52710000000002</v>
      </c>
      <c r="K5313">
        <v>1.108368</v>
      </c>
      <c r="L5313">
        <v>-17.957090000000001</v>
      </c>
      <c r="M5313">
        <v>0.11605699999999999</v>
      </c>
      <c r="N5313">
        <v>-1.3623410000000001E-2</v>
      </c>
      <c r="O5313">
        <v>-0.99314919999999995</v>
      </c>
      <c r="P5313">
        <v>0.18440219999999999</v>
      </c>
      <c r="Q5313">
        <v>0.37538460000000001</v>
      </c>
      <c r="R5313">
        <v>-0.9083405</v>
      </c>
      <c r="S5313">
        <v>0.56607059999999998</v>
      </c>
      <c r="T5313">
        <v>-0.59317159999999902</v>
      </c>
      <c r="U5313">
        <v>-3.438904</v>
      </c>
      <c r="V5313">
        <v>-7.5210429999999995E-2</v>
      </c>
      <c r="W5313">
        <v>0.38842850000000001</v>
      </c>
      <c r="X5313">
        <v>0.91840440000000001</v>
      </c>
      <c r="Y5313">
        <v>-4.4795250000000002E-2</v>
      </c>
      <c r="Z5313">
        <v>0.15378539999999999</v>
      </c>
      <c r="AA5313">
        <v>0.98708839999999998</v>
      </c>
      <c r="AB5313">
        <v>29</v>
      </c>
      <c r="AC5313">
        <v>0.103600000000028</v>
      </c>
      <c r="AD5313">
        <v>-0.13633680000000001</v>
      </c>
      <c r="AE5313">
        <v>-0.543959999999998</v>
      </c>
      <c r="AF5313">
        <v>-3.7490870983656298E-2</v>
      </c>
      <c r="AG5313">
        <v>-0.13633680000000001</v>
      </c>
      <c r="AH5313">
        <v>0.52074070399793004</v>
      </c>
      <c r="AI5313">
        <v>104.63523648771999</v>
      </c>
      <c r="AJ5313">
        <v>94.1179204646172</v>
      </c>
      <c r="AK5313">
        <v>0.5395963021015</v>
      </c>
      <c r="AL5313">
        <v>67.143248033864396</v>
      </c>
      <c r="AM5313">
        <v>94.681647492069402</v>
      </c>
      <c r="AN5313">
        <v>0.99999997516619699</v>
      </c>
    </row>
    <row r="5314" spans="1:40" x14ac:dyDescent="0.25">
      <c r="A5314" t="str">
        <f>"20190304164516007"</f>
        <v>20190304164516007</v>
      </c>
      <c r="B5314" t="str">
        <f>"1551689115995175"</f>
        <v>1551689115995175</v>
      </c>
      <c r="C5314" t="s">
        <v>40</v>
      </c>
      <c r="D5314">
        <v>5.7694320000000001</v>
      </c>
      <c r="E5314">
        <v>0.48248760000000002</v>
      </c>
      <c r="F5314" t="s">
        <v>42</v>
      </c>
      <c r="G5314">
        <v>-300.84879999999998</v>
      </c>
      <c r="H5314" s="1">
        <v>-2.5611739999999998E-6</v>
      </c>
      <c r="I5314">
        <v>-24.967189999999999</v>
      </c>
      <c r="J5314">
        <v>-302.49790000000002</v>
      </c>
      <c r="K5314">
        <v>1.108433</v>
      </c>
      <c r="L5314">
        <v>-18.23657</v>
      </c>
      <c r="M5314">
        <v>0.1128016</v>
      </c>
      <c r="N5314">
        <v>-1.361648E-2</v>
      </c>
      <c r="O5314">
        <v>-0.99352419999999997</v>
      </c>
      <c r="P5314">
        <v>0.18393000000000001</v>
      </c>
      <c r="Q5314">
        <v>0.37570769999999998</v>
      </c>
      <c r="R5314">
        <v>-0.90830250000000001</v>
      </c>
      <c r="S5314">
        <v>0.80413819999999903</v>
      </c>
      <c r="T5314">
        <v>-0.53108509999999998</v>
      </c>
      <c r="U5314">
        <v>-3.3589479999999998</v>
      </c>
      <c r="V5314">
        <v>-7.7828170000000002E-2</v>
      </c>
      <c r="W5314">
        <v>0.3887449</v>
      </c>
      <c r="X5314">
        <v>0.91805239999999999</v>
      </c>
      <c r="Y5314">
        <v>-0.1192265</v>
      </c>
      <c r="Z5314">
        <v>0.13875589999999999</v>
      </c>
      <c r="AA5314">
        <v>0.98312350000000004</v>
      </c>
      <c r="AB5314">
        <v>29</v>
      </c>
      <c r="AC5314">
        <v>1.64910000000003</v>
      </c>
      <c r="AD5314">
        <v>-1.108435561174</v>
      </c>
      <c r="AE5314">
        <v>-6.7306199999999903</v>
      </c>
      <c r="AF5314">
        <v>-0.85734217587678596</v>
      </c>
      <c r="AG5314">
        <v>-1.108435561174</v>
      </c>
      <c r="AH5314">
        <v>6.7022137791585799</v>
      </c>
      <c r="AI5314">
        <v>99.316208334186499</v>
      </c>
      <c r="AJ5314">
        <v>97.289644342702303</v>
      </c>
      <c r="AK5314">
        <v>6.8471406106020201</v>
      </c>
      <c r="AL5314">
        <v>67.123574435553493</v>
      </c>
      <c r="AM5314">
        <v>94.845680812362005</v>
      </c>
      <c r="AN5314">
        <v>1.0000000152336499</v>
      </c>
    </row>
    <row r="5315" spans="1:40" x14ac:dyDescent="0.25">
      <c r="A5315" t="str">
        <f>"20190304164516031"</f>
        <v>20190304164516031</v>
      </c>
      <c r="B5315" t="str">
        <f>"1551689116025432"</f>
        <v>1551689116025432</v>
      </c>
      <c r="C5315" t="s">
        <v>40</v>
      </c>
      <c r="D5315">
        <v>5.7379360000000004</v>
      </c>
      <c r="E5315">
        <v>0.47535850000000002</v>
      </c>
      <c r="F5315" t="s">
        <v>42</v>
      </c>
      <c r="G5315">
        <v>-300.52460000000002</v>
      </c>
      <c r="H5315" s="1">
        <v>-2.2165720000000002E-6</v>
      </c>
      <c r="I5315">
        <v>-25.569369999999999</v>
      </c>
      <c r="J5315">
        <v>-302.46789999999999</v>
      </c>
      <c r="K5315">
        <v>1.1085320000000001</v>
      </c>
      <c r="L5315">
        <v>-18.532900000000001</v>
      </c>
      <c r="M5315">
        <v>0.1095021</v>
      </c>
      <c r="N5315">
        <v>-1.360901E-2</v>
      </c>
      <c r="O5315">
        <v>-0.99389340000000004</v>
      </c>
      <c r="P5315">
        <v>0.18550320000000001</v>
      </c>
      <c r="Q5315">
        <v>0.37684420000000002</v>
      </c>
      <c r="R5315">
        <v>-0.90751139999999997</v>
      </c>
      <c r="S5315">
        <v>0.89602660000000001</v>
      </c>
      <c r="T5315">
        <v>-0.50330940000000002</v>
      </c>
      <c r="U5315">
        <v>-3.3296199999999998</v>
      </c>
      <c r="V5315">
        <v>-8.2621959999999994E-2</v>
      </c>
      <c r="W5315">
        <v>0.3898742</v>
      </c>
      <c r="X5315">
        <v>0.91715409999999997</v>
      </c>
      <c r="Y5315">
        <v>-0.1501239</v>
      </c>
      <c r="Z5315">
        <v>0.13149079999999999</v>
      </c>
      <c r="AA5315">
        <v>0.97988410000000004</v>
      </c>
      <c r="AB5315">
        <v>29</v>
      </c>
      <c r="AC5315">
        <v>1.9432999999999601</v>
      </c>
      <c r="AD5315">
        <v>-1.108534216572</v>
      </c>
      <c r="AE5315">
        <v>-7.0364699999999996</v>
      </c>
      <c r="AF5315">
        <v>-1.1348619896601699</v>
      </c>
      <c r="AG5315">
        <v>-1.108534216572</v>
      </c>
      <c r="AH5315">
        <v>7.04451484875141</v>
      </c>
      <c r="AI5315">
        <v>98.830776670173904</v>
      </c>
      <c r="AJ5315">
        <v>99.151644392007299</v>
      </c>
      <c r="AK5315">
        <v>7.2209382561524196</v>
      </c>
      <c r="AL5315">
        <v>67.053327083268897</v>
      </c>
      <c r="AM5315">
        <v>95.147603766979699</v>
      </c>
      <c r="AN5315">
        <v>0.99999996162334504</v>
      </c>
    </row>
    <row r="5316" spans="1:40" x14ac:dyDescent="0.25">
      <c r="A5316" t="str">
        <f>"20190304164516052"</f>
        <v>20190304164516052</v>
      </c>
      <c r="B5316" t="str">
        <f>"1551689116045928"</f>
        <v>1551689116045928</v>
      </c>
      <c r="C5316" t="s">
        <v>40</v>
      </c>
      <c r="D5316">
        <v>5.6416930000000001</v>
      </c>
      <c r="E5316">
        <v>0.47278490000000001</v>
      </c>
      <c r="F5316" t="s">
        <v>42</v>
      </c>
      <c r="G5316">
        <v>-300.28539999999998</v>
      </c>
      <c r="H5316" s="1">
        <v>-1.9195049999999999E-6</v>
      </c>
      <c r="I5316">
        <v>-26.11347</v>
      </c>
      <c r="J5316">
        <v>-302.43979999999999</v>
      </c>
      <c r="K5316">
        <v>1.1086469999999999</v>
      </c>
      <c r="L5316">
        <v>-18.816990000000001</v>
      </c>
      <c r="M5316">
        <v>0.1064948</v>
      </c>
      <c r="N5316">
        <v>-1.360199E-2</v>
      </c>
      <c r="O5316">
        <v>-0.99422029999999995</v>
      </c>
      <c r="P5316">
        <v>0.1897653</v>
      </c>
      <c r="Q5316">
        <v>0.37812099999999998</v>
      </c>
      <c r="R5316">
        <v>-0.90609819999999996</v>
      </c>
      <c r="S5316">
        <v>0.95352170000000003</v>
      </c>
      <c r="T5316">
        <v>-0.48431809999999997</v>
      </c>
      <c r="U5316">
        <v>-3.3119510000000001</v>
      </c>
      <c r="V5316">
        <v>-8.9890429999999993E-2</v>
      </c>
      <c r="W5316">
        <v>0.39114929999999998</v>
      </c>
      <c r="X5316">
        <v>0.91592680000000004</v>
      </c>
      <c r="Y5316">
        <v>-0.1703442</v>
      </c>
      <c r="Z5316">
        <v>0.1263697</v>
      </c>
      <c r="AA5316">
        <v>0.97724800000000001</v>
      </c>
      <c r="AB5316">
        <v>29</v>
      </c>
      <c r="AC5316">
        <v>2.1543999999999999</v>
      </c>
      <c r="AD5316">
        <v>-1.108648919505</v>
      </c>
      <c r="AE5316">
        <v>-7.2964799999999901</v>
      </c>
      <c r="AF5316">
        <v>-1.3366529350945799</v>
      </c>
      <c r="AG5316">
        <v>-1.108648919505</v>
      </c>
      <c r="AH5316">
        <v>7.3288031364989701</v>
      </c>
      <c r="AI5316">
        <v>98.464519291454295</v>
      </c>
      <c r="AJ5316">
        <v>100.33619847420201</v>
      </c>
      <c r="AK5316">
        <v>7.5317394344980899</v>
      </c>
      <c r="AL5316">
        <v>66.9739684794217</v>
      </c>
      <c r="AM5316">
        <v>95.6051439430736</v>
      </c>
      <c r="AN5316">
        <v>0.99999998362715703</v>
      </c>
    </row>
    <row r="5317" spans="1:40" x14ac:dyDescent="0.25">
      <c r="A5317" t="str">
        <f>"20190304164516075"</f>
        <v>20190304164516075</v>
      </c>
      <c r="B5317" t="str">
        <f>"1551689116065448"</f>
        <v>1551689116065448</v>
      </c>
      <c r="C5317" t="s">
        <v>40</v>
      </c>
      <c r="D5317">
        <v>5.7342820000000003</v>
      </c>
      <c r="E5317">
        <v>0.47182570000000001</v>
      </c>
      <c r="F5317" t="s">
        <v>42</v>
      </c>
      <c r="G5317">
        <v>-300.14920000000001</v>
      </c>
      <c r="H5317" s="1">
        <v>-1.7059099999999999E-6</v>
      </c>
      <c r="I5317">
        <v>-26.526879999999998</v>
      </c>
      <c r="J5317">
        <v>-302.41309999999999</v>
      </c>
      <c r="K5317">
        <v>1.1087499999999999</v>
      </c>
      <c r="L5317">
        <v>-19.09525</v>
      </c>
      <c r="M5317">
        <v>0.10369970000000001</v>
      </c>
      <c r="N5317">
        <v>-1.359521E-2</v>
      </c>
      <c r="O5317">
        <v>-0.99451599999999996</v>
      </c>
      <c r="P5317">
        <v>0.19587740000000001</v>
      </c>
      <c r="Q5317">
        <v>0.37967990000000001</v>
      </c>
      <c r="R5317">
        <v>-0.90414369999999999</v>
      </c>
      <c r="S5317">
        <v>0.98150630000000005</v>
      </c>
      <c r="T5317">
        <v>-0.47503719999999999</v>
      </c>
      <c r="U5317">
        <v>-3.3035580000000002</v>
      </c>
      <c r="V5317">
        <v>-9.8854410000000004E-2</v>
      </c>
      <c r="W5317">
        <v>0.39270670000000002</v>
      </c>
      <c r="X5317">
        <v>0.91433540000000002</v>
      </c>
      <c r="Y5317">
        <v>-0.1814704</v>
      </c>
      <c r="Z5317">
        <v>0.1238422</v>
      </c>
      <c r="AA5317">
        <v>0.97556730000000003</v>
      </c>
      <c r="AB5317">
        <v>28</v>
      </c>
      <c r="AC5317">
        <v>2.2638999999999698</v>
      </c>
      <c r="AD5317">
        <v>-1.1087517059099901</v>
      </c>
      <c r="AE5317">
        <v>-7.4316299999999904</v>
      </c>
      <c r="AF5317">
        <v>-1.4514005367226199</v>
      </c>
      <c r="AG5317">
        <v>-1.1087517059099901</v>
      </c>
      <c r="AH5317">
        <v>7.4741068407524596</v>
      </c>
      <c r="AI5317">
        <v>98.285476715153493</v>
      </c>
      <c r="AJ5317">
        <v>100.98952025523501</v>
      </c>
      <c r="AK5317">
        <v>7.6940345028040902</v>
      </c>
      <c r="AL5317">
        <v>66.876976273612698</v>
      </c>
      <c r="AM5317">
        <v>96.170629717050602</v>
      </c>
      <c r="AN5317">
        <v>0.99999998514724797</v>
      </c>
    </row>
    <row r="5318" spans="1:40" x14ac:dyDescent="0.25">
      <c r="A5318" t="str">
        <f>"20190304164516097"</f>
        <v>20190304164516097</v>
      </c>
      <c r="B5318" t="str">
        <f>"1551689116085944"</f>
        <v>1551689116085944</v>
      </c>
      <c r="C5318" t="s">
        <v>40</v>
      </c>
      <c r="D5318">
        <v>5.7345579999999998</v>
      </c>
      <c r="E5318">
        <v>0.47036840000000002</v>
      </c>
      <c r="F5318" t="s">
        <v>42</v>
      </c>
      <c r="G5318">
        <v>-300.0308</v>
      </c>
      <c r="H5318" s="1">
        <v>-1.510278E-6</v>
      </c>
      <c r="I5318">
        <v>-26.909500000000001</v>
      </c>
      <c r="J5318">
        <v>-302.38690000000003</v>
      </c>
      <c r="K5318">
        <v>1.1088519999999999</v>
      </c>
      <c r="L5318">
        <v>-19.375520000000002</v>
      </c>
      <c r="M5318">
        <v>0.1010238</v>
      </c>
      <c r="N5318">
        <v>-1.358843E-2</v>
      </c>
      <c r="O5318">
        <v>-0.99479139999999999</v>
      </c>
      <c r="P5318">
        <v>0.20247809999999999</v>
      </c>
      <c r="Q5318">
        <v>0.38099349999999998</v>
      </c>
      <c r="R5318">
        <v>-0.90213460000000001</v>
      </c>
      <c r="S5318">
        <v>1.005066</v>
      </c>
      <c r="T5318">
        <v>-0.46777069999999998</v>
      </c>
      <c r="U5318">
        <v>-3.2967529999999998</v>
      </c>
      <c r="V5318">
        <v>-0.1081926</v>
      </c>
      <c r="W5318">
        <v>0.39401619999999998</v>
      </c>
      <c r="X5318">
        <v>0.91271329999999995</v>
      </c>
      <c r="Y5318">
        <v>-0.19111359999999999</v>
      </c>
      <c r="Z5318">
        <v>0.1218462</v>
      </c>
      <c r="AA5318">
        <v>0.97397590000000001</v>
      </c>
      <c r="AB5318">
        <v>28</v>
      </c>
      <c r="AC5318">
        <v>2.3561000000000201</v>
      </c>
      <c r="AD5318">
        <v>-1.1088535102779999</v>
      </c>
      <c r="AE5318">
        <v>-7.5339799999999997</v>
      </c>
      <c r="AF5318">
        <v>-1.5522335331477499</v>
      </c>
      <c r="AG5318">
        <v>-1.1088535102779999</v>
      </c>
      <c r="AH5318">
        <v>7.5838273669303904</v>
      </c>
      <c r="AI5318">
        <v>98.1517828193019</v>
      </c>
      <c r="AJ5318">
        <v>101.56735404809901</v>
      </c>
      <c r="AK5318">
        <v>7.8200653820851498</v>
      </c>
      <c r="AL5318">
        <v>66.795368570587101</v>
      </c>
      <c r="AM5318">
        <v>96.760267970103598</v>
      </c>
      <c r="AN5318">
        <v>0.99999998627704401</v>
      </c>
    </row>
    <row r="5319" spans="1:40" x14ac:dyDescent="0.25">
      <c r="A5319" t="str">
        <f>"20190304164516120"</f>
        <v>20190304164516120</v>
      </c>
      <c r="B5319" t="str">
        <f>"1551689116115224"</f>
        <v>1551689116115224</v>
      </c>
      <c r="C5319" t="s">
        <v>40</v>
      </c>
      <c r="D5319">
        <v>5.7388750000000002</v>
      </c>
      <c r="E5319">
        <v>0.46929969999999999</v>
      </c>
      <c r="F5319" t="s">
        <v>42</v>
      </c>
      <c r="G5319">
        <v>-299.89240000000001</v>
      </c>
      <c r="H5319" s="1">
        <v>-1.3416490000000001E-6</v>
      </c>
      <c r="I5319">
        <v>-27.284300000000002</v>
      </c>
      <c r="J5319">
        <v>-302.36070000000001</v>
      </c>
      <c r="K5319">
        <v>1.108943</v>
      </c>
      <c r="L5319">
        <v>-19.66309</v>
      </c>
      <c r="M5319">
        <v>9.8386539999999995E-2</v>
      </c>
      <c r="N5319">
        <v>-1.3582199999999999E-2</v>
      </c>
      <c r="O5319">
        <v>-0.99505569999999999</v>
      </c>
      <c r="P5319">
        <v>0.21039550000000001</v>
      </c>
      <c r="Q5319">
        <v>0.38269599999999998</v>
      </c>
      <c r="R5319">
        <v>-0.89959869999999897</v>
      </c>
      <c r="S5319">
        <v>1.03689599999999</v>
      </c>
      <c r="T5319">
        <v>-0.46090880000000001</v>
      </c>
      <c r="U5319">
        <v>-3.2873839999999999</v>
      </c>
      <c r="V5319">
        <v>-0.11883539999999999</v>
      </c>
      <c r="W5319">
        <v>0.39571420000000002</v>
      </c>
      <c r="X5319">
        <v>0.91065280000000004</v>
      </c>
      <c r="Y5319">
        <v>-0.2031356</v>
      </c>
      <c r="Z5319">
        <v>0.1199667</v>
      </c>
      <c r="AA5319">
        <v>0.97177360000000002</v>
      </c>
      <c r="AB5319">
        <v>28</v>
      </c>
      <c r="AC5319">
        <v>2.4683000000000002</v>
      </c>
      <c r="AD5319">
        <v>-1.1089443416489999</v>
      </c>
      <c r="AE5319">
        <v>-7.6212099999999996</v>
      </c>
      <c r="AF5319">
        <v>-1.6743441536521</v>
      </c>
      <c r="AG5319">
        <v>-1.1089443416489999</v>
      </c>
      <c r="AH5319">
        <v>7.6799306553217104</v>
      </c>
      <c r="AI5319">
        <v>98.030357080897005</v>
      </c>
      <c r="AJ5319">
        <v>102.298920838551</v>
      </c>
      <c r="AK5319">
        <v>7.9381686029143097</v>
      </c>
      <c r="AL5319">
        <v>66.689476934739503</v>
      </c>
      <c r="AM5319">
        <v>97.434785760072202</v>
      </c>
      <c r="AN5319">
        <v>1.0000000512613101</v>
      </c>
    </row>
    <row r="5320" spans="1:40" x14ac:dyDescent="0.25">
      <c r="A5320" t="str">
        <f>"20190304164516142"</f>
        <v>20190304164516142</v>
      </c>
      <c r="B5320" t="str">
        <f>"1551689116135719"</f>
        <v>1551689116135719</v>
      </c>
      <c r="C5320" t="s">
        <v>40</v>
      </c>
      <c r="D5320">
        <v>5.7283330000000001</v>
      </c>
      <c r="E5320">
        <v>0.46876859999999998</v>
      </c>
      <c r="F5320" t="s">
        <v>42</v>
      </c>
      <c r="G5320">
        <v>-299.73509999999999</v>
      </c>
      <c r="H5320" s="1">
        <v>-1.1912609999999999E-6</v>
      </c>
      <c r="I5320">
        <v>-27.69988</v>
      </c>
      <c r="J5320">
        <v>-302.3347</v>
      </c>
      <c r="K5320">
        <v>1.1090359999999999</v>
      </c>
      <c r="L5320">
        <v>-19.955259999999999</v>
      </c>
      <c r="M5320">
        <v>9.5800800000000005E-2</v>
      </c>
      <c r="N5320">
        <v>-1.357654E-2</v>
      </c>
      <c r="O5320">
        <v>-0.99530799999999997</v>
      </c>
      <c r="P5320">
        <v>0.22006609999999999</v>
      </c>
      <c r="Q5320">
        <v>0.38425520000000002</v>
      </c>
      <c r="R5320">
        <v>-0.8966153</v>
      </c>
      <c r="S5320">
        <v>1.0704959999999999</v>
      </c>
      <c r="T5320">
        <v>-0.45214310000000002</v>
      </c>
      <c r="U5320">
        <v>-3.2767940000000002</v>
      </c>
      <c r="V5320">
        <v>-0.13119620000000001</v>
      </c>
      <c r="W5320">
        <v>0.3972735</v>
      </c>
      <c r="X5320">
        <v>0.90827380000000002</v>
      </c>
      <c r="Y5320">
        <v>-0.21567529999999999</v>
      </c>
      <c r="Z5320">
        <v>0.1175505</v>
      </c>
      <c r="AA5320">
        <v>0.96936369999999905</v>
      </c>
      <c r="AB5320">
        <v>28</v>
      </c>
      <c r="AC5320">
        <v>2.5996000000000001</v>
      </c>
      <c r="AD5320">
        <v>-1.109037191261</v>
      </c>
      <c r="AE5320">
        <v>-7.7446200000000003</v>
      </c>
      <c r="AF5320">
        <v>-1.8122324380636099</v>
      </c>
      <c r="AG5320">
        <v>-1.109037191261</v>
      </c>
      <c r="AH5320">
        <v>7.8140461304724003</v>
      </c>
      <c r="AI5320">
        <v>97.871758913043493</v>
      </c>
      <c r="AJ5320">
        <v>103.05719351878</v>
      </c>
      <c r="AK5320">
        <v>8.0977445520540297</v>
      </c>
      <c r="AL5320">
        <v>66.592157584532103</v>
      </c>
      <c r="AM5320">
        <v>98.219276946332499</v>
      </c>
      <c r="AN5320">
        <v>0.99999998623156405</v>
      </c>
    </row>
    <row r="5321" spans="1:40" x14ac:dyDescent="0.25">
      <c r="A5321" t="str">
        <f>"20190304164516168"</f>
        <v>20190304164516168</v>
      </c>
      <c r="B5321" t="str">
        <f>"1551689116155240"</f>
        <v>1551689116155240</v>
      </c>
      <c r="C5321" t="s">
        <v>40</v>
      </c>
      <c r="D5321">
        <v>5.7471360000000002</v>
      </c>
      <c r="E5321">
        <v>0.46865760000000001</v>
      </c>
      <c r="F5321" t="s">
        <v>42</v>
      </c>
      <c r="G5321">
        <v>-299.59190000000001</v>
      </c>
      <c r="H5321" s="1">
        <v>-1.0563120000000001E-6</v>
      </c>
      <c r="I5321">
        <v>-28.073689999999999</v>
      </c>
      <c r="J5321">
        <v>-302.30680000000001</v>
      </c>
      <c r="K5321">
        <v>1.109119</v>
      </c>
      <c r="L5321">
        <v>-20.27768</v>
      </c>
      <c r="M5321">
        <v>9.3030349999999998E-2</v>
      </c>
      <c r="N5321">
        <v>-1.357067E-2</v>
      </c>
      <c r="O5321">
        <v>-0.99557090000000004</v>
      </c>
      <c r="P5321">
        <v>0.22998440000000001</v>
      </c>
      <c r="Q5321">
        <v>0.38639309999999899</v>
      </c>
      <c r="R5321">
        <v>-0.89320109999999997</v>
      </c>
      <c r="S5321">
        <v>1.1035159999999999</v>
      </c>
      <c r="T5321">
        <v>-0.44620009999999999</v>
      </c>
      <c r="U5321">
        <v>-3.2662960000000001</v>
      </c>
      <c r="V5321">
        <v>-0.14398929999999999</v>
      </c>
      <c r="W5321">
        <v>0.39940490000000001</v>
      </c>
      <c r="X5321">
        <v>0.90539650000000005</v>
      </c>
      <c r="Y5321">
        <v>-0.2281687</v>
      </c>
      <c r="Z5321">
        <v>0.1159186</v>
      </c>
      <c r="AA5321">
        <v>0.96669640000000001</v>
      </c>
      <c r="AB5321">
        <v>28</v>
      </c>
      <c r="AC5321">
        <v>2.7149000000000001</v>
      </c>
      <c r="AD5321">
        <v>-1.1091200563120001</v>
      </c>
      <c r="AE5321">
        <v>-7.7960099999999999</v>
      </c>
      <c r="AF5321">
        <v>-1.9427237074418999</v>
      </c>
      <c r="AG5321">
        <v>-1.1091200563120001</v>
      </c>
      <c r="AH5321">
        <v>7.8726763024630797</v>
      </c>
      <c r="AI5321">
        <v>97.788540585011702</v>
      </c>
      <c r="AJ5321">
        <v>103.861818319458</v>
      </c>
      <c r="AK5321">
        <v>8.1843359453369295</v>
      </c>
      <c r="AL5321">
        <v>66.4590190100065</v>
      </c>
      <c r="AM5321">
        <v>99.036331809596803</v>
      </c>
      <c r="AN5321">
        <v>1.0000000074353701</v>
      </c>
    </row>
    <row r="5322" spans="1:40" x14ac:dyDescent="0.25">
      <c r="A5322" t="str">
        <f>"20190304164516189"</f>
        <v>20190304164516189</v>
      </c>
      <c r="B5322" t="str">
        <f>"1551689116185497"</f>
        <v>1551689116185497</v>
      </c>
      <c r="C5322" t="s">
        <v>40</v>
      </c>
      <c r="D5322">
        <v>5.7400969999999996</v>
      </c>
      <c r="E5322">
        <v>0.46855570000000002</v>
      </c>
      <c r="F5322" t="s">
        <v>42</v>
      </c>
      <c r="G5322">
        <v>-299.44889999999998</v>
      </c>
      <c r="H5322" s="1">
        <v>-9.0918769999999997E-7</v>
      </c>
      <c r="I5322">
        <v>-28.475750000000001</v>
      </c>
      <c r="J5322">
        <v>-302.28429999999997</v>
      </c>
      <c r="K5322">
        <v>1.109167</v>
      </c>
      <c r="L5322">
        <v>-20.54468</v>
      </c>
      <c r="M5322">
        <v>9.0779369999999998E-2</v>
      </c>
      <c r="N5322">
        <v>-1.3566129999999999E-2</v>
      </c>
      <c r="O5322">
        <v>-0.99577890000000002</v>
      </c>
      <c r="P5322">
        <v>0.24036669999999999</v>
      </c>
      <c r="Q5322">
        <v>0.3888761</v>
      </c>
      <c r="R5322">
        <v>-0.88938150000000005</v>
      </c>
      <c r="S5322">
        <v>1.1354059999999999</v>
      </c>
      <c r="T5322">
        <v>-0.44063940000000001</v>
      </c>
      <c r="U5322">
        <v>-3.2569889999999999</v>
      </c>
      <c r="V5322">
        <v>-0.15676660000000001</v>
      </c>
      <c r="W5322">
        <v>0.40188380000000001</v>
      </c>
      <c r="X5322">
        <v>0.90217170000000002</v>
      </c>
      <c r="Y5322">
        <v>-0.2397079</v>
      </c>
      <c r="Z5322">
        <v>0.11434370000000001</v>
      </c>
      <c r="AA5322">
        <v>0.96408799999999995</v>
      </c>
      <c r="AB5322">
        <v>28</v>
      </c>
      <c r="AC5322">
        <v>2.8353999999999902</v>
      </c>
      <c r="AD5322">
        <v>-1.1091679091877</v>
      </c>
      <c r="AE5322">
        <v>-7.9310700000000001</v>
      </c>
      <c r="AF5322">
        <v>-2.0677877272321701</v>
      </c>
      <c r="AG5322">
        <v>-1.1091679091877</v>
      </c>
      <c r="AH5322">
        <v>8.0167117673624002</v>
      </c>
      <c r="AI5322">
        <v>97.630600860301996</v>
      </c>
      <c r="AJ5322">
        <v>104.463317583446</v>
      </c>
      <c r="AK5322">
        <v>8.3530633360839897</v>
      </c>
      <c r="AL5322">
        <v>66.304004809471706</v>
      </c>
      <c r="AM5322">
        <v>99.857618774571193</v>
      </c>
      <c r="AN5322">
        <v>1.0000000659294399</v>
      </c>
    </row>
    <row r="5323" spans="1:40" x14ac:dyDescent="0.25">
      <c r="A5323" t="str">
        <f>"20190304164516208"</f>
        <v>20190304164516208</v>
      </c>
      <c r="B5323" t="str">
        <f>"1551689116195256"</f>
        <v>1551689116195256</v>
      </c>
      <c r="C5323" t="s">
        <v>40</v>
      </c>
      <c r="D5323">
        <v>5.7349819999999996</v>
      </c>
      <c r="E5323">
        <v>0.46861190000000003</v>
      </c>
      <c r="F5323" t="s">
        <v>42</v>
      </c>
      <c r="G5323">
        <v>-299.2955</v>
      </c>
      <c r="H5323" s="1">
        <v>-7.8781250000000003E-7</v>
      </c>
      <c r="I5323">
        <v>-28.822120000000002</v>
      </c>
      <c r="J5323">
        <v>-302.26429999999999</v>
      </c>
      <c r="K5323">
        <v>1.109202</v>
      </c>
      <c r="L5323">
        <v>-20.78885</v>
      </c>
      <c r="M5323">
        <v>8.8739129999999999E-2</v>
      </c>
      <c r="N5323">
        <v>-1.355659E-2</v>
      </c>
      <c r="O5323">
        <v>-0.99596269999999998</v>
      </c>
      <c r="P5323">
        <v>0.25179829999999997</v>
      </c>
      <c r="Q5323">
        <v>0.3891346</v>
      </c>
      <c r="R5323">
        <v>-0.88609950000000004</v>
      </c>
      <c r="S5323">
        <v>1.172272</v>
      </c>
      <c r="T5323">
        <v>-0.43503009999999998</v>
      </c>
      <c r="U5323">
        <v>-3.246521</v>
      </c>
      <c r="V5323">
        <v>-0.1703326</v>
      </c>
      <c r="W5323">
        <v>0.40214830000000001</v>
      </c>
      <c r="X5323">
        <v>0.89959069999999997</v>
      </c>
      <c r="Y5323">
        <v>-0.2524151</v>
      </c>
      <c r="Z5323">
        <v>0.11273089999999999</v>
      </c>
      <c r="AA5323">
        <v>0.96102980000000005</v>
      </c>
      <c r="AB5323">
        <v>28</v>
      </c>
      <c r="AC5323">
        <v>2.9687999999999799</v>
      </c>
      <c r="AD5323">
        <v>-1.1092027878124999</v>
      </c>
      <c r="AE5323">
        <v>-8.0332699999999999</v>
      </c>
      <c r="AF5323">
        <v>-2.2071321886109101</v>
      </c>
      <c r="AG5323">
        <v>-1.1092027878124999</v>
      </c>
      <c r="AH5323">
        <v>8.1286937998062498</v>
      </c>
      <c r="AI5323">
        <v>97.501955765634506</v>
      </c>
      <c r="AJ5323">
        <v>105.190908168965</v>
      </c>
      <c r="AK5323">
        <v>8.4957298811521795</v>
      </c>
      <c r="AL5323">
        <v>66.287450500863599</v>
      </c>
      <c r="AM5323">
        <v>100.7217169283</v>
      </c>
      <c r="AN5323">
        <v>0.99999993867106796</v>
      </c>
    </row>
    <row r="5324" spans="1:40" x14ac:dyDescent="0.25">
      <c r="A5324" t="str">
        <f>"20190304164516231"</f>
        <v>20190304164516231</v>
      </c>
      <c r="B5324" t="str">
        <f>"1551689116225514"</f>
        <v>1551689116225514</v>
      </c>
      <c r="C5324" t="s">
        <v>40</v>
      </c>
      <c r="D5324">
        <v>5.7382010000000001</v>
      </c>
      <c r="E5324">
        <v>0.46896789999999999</v>
      </c>
      <c r="F5324" t="s">
        <v>42</v>
      </c>
      <c r="G5324">
        <v>-299.17689999999999</v>
      </c>
      <c r="H5324" s="1">
        <v>-7.2381079999999996E-7</v>
      </c>
      <c r="I5324">
        <v>-29.020330000000001</v>
      </c>
      <c r="J5324">
        <v>-302.24110000000002</v>
      </c>
      <c r="K5324">
        <v>1.109221</v>
      </c>
      <c r="L5324">
        <v>-21.079280000000001</v>
      </c>
      <c r="M5324">
        <v>8.6324250000000005E-2</v>
      </c>
      <c r="N5324">
        <v>-1.3536100000000001E-2</v>
      </c>
      <c r="O5324">
        <v>-0.99617520000000004</v>
      </c>
      <c r="P5324">
        <v>0.26363730000000002</v>
      </c>
      <c r="Q5324">
        <v>0.38990979999999997</v>
      </c>
      <c r="R5324">
        <v>-0.88230719999999996</v>
      </c>
      <c r="S5324">
        <v>1.212372</v>
      </c>
      <c r="T5324">
        <v>-0.43556850000000003</v>
      </c>
      <c r="U5324">
        <v>-3.2323909999999998</v>
      </c>
      <c r="V5324">
        <v>-0.184671</v>
      </c>
      <c r="W5324">
        <v>0.40291529999999998</v>
      </c>
      <c r="X5324">
        <v>0.89641280000000001</v>
      </c>
      <c r="Y5324">
        <v>-0.26654650000000002</v>
      </c>
      <c r="Z5324">
        <v>0.1129535</v>
      </c>
      <c r="AA5324">
        <v>0.95718040000000004</v>
      </c>
      <c r="AB5324">
        <v>28</v>
      </c>
      <c r="AC5324">
        <v>3.06420000000002</v>
      </c>
      <c r="AD5324">
        <v>-1.1092217238108</v>
      </c>
      <c r="AE5324">
        <v>-7.9410499999999997</v>
      </c>
      <c r="AF5324">
        <v>-2.3276621387465699</v>
      </c>
      <c r="AG5324">
        <v>-1.1092217238108</v>
      </c>
      <c r="AH5324">
        <v>8.0394113273658192</v>
      </c>
      <c r="AI5324">
        <v>97.549408929945002</v>
      </c>
      <c r="AJ5324">
        <v>106.147390731326</v>
      </c>
      <c r="AK5324">
        <v>8.4427790658826307</v>
      </c>
      <c r="AL5324">
        <v>66.239445396253601</v>
      </c>
      <c r="AM5324">
        <v>101.640711316345</v>
      </c>
      <c r="AN5324">
        <v>1.0000000126094599</v>
      </c>
    </row>
    <row r="5325" spans="1:40" x14ac:dyDescent="0.25">
      <c r="A5325" t="str">
        <f>"20190304164516258"</f>
        <v>20190304164516258</v>
      </c>
      <c r="B5325" t="str">
        <f>"1551689116255768"</f>
        <v>1551689116255768</v>
      </c>
      <c r="C5325" t="s">
        <v>40</v>
      </c>
      <c r="D5325">
        <v>5.7285690000000002</v>
      </c>
      <c r="E5325">
        <v>0.46969480000000002</v>
      </c>
      <c r="F5325" t="s">
        <v>42</v>
      </c>
      <c r="G5325">
        <v>-299.0675</v>
      </c>
      <c r="H5325" s="1">
        <v>-6.4618359999999996E-7</v>
      </c>
      <c r="I5325">
        <v>-29.246510000000001</v>
      </c>
      <c r="J5325">
        <v>-302.21519999999998</v>
      </c>
      <c r="K5325">
        <v>1.1092390000000001</v>
      </c>
      <c r="L5325">
        <v>-21.413360000000001</v>
      </c>
      <c r="M5325">
        <v>8.3564860000000005E-2</v>
      </c>
      <c r="N5325">
        <v>-1.35006E-2</v>
      </c>
      <c r="O5325">
        <v>-0.99641100000000005</v>
      </c>
      <c r="P5325">
        <v>0.27493289999999998</v>
      </c>
      <c r="Q5325">
        <v>0.39185120000000001</v>
      </c>
      <c r="R5325">
        <v>-0.87798899999999902</v>
      </c>
      <c r="S5325">
        <v>1.2510380000000001</v>
      </c>
      <c r="T5325">
        <v>-0.43726660000000001</v>
      </c>
      <c r="U5325">
        <v>-3.2196039999999999</v>
      </c>
      <c r="V5325">
        <v>-0.1987999</v>
      </c>
      <c r="W5325">
        <v>0.40482459999999998</v>
      </c>
      <c r="X5325">
        <v>0.89252209999999998</v>
      </c>
      <c r="Y5325">
        <v>-0.2804296</v>
      </c>
      <c r="Z5325">
        <v>0.1134666</v>
      </c>
      <c r="AA5325">
        <v>0.95314460000000001</v>
      </c>
      <c r="AB5325">
        <v>28</v>
      </c>
      <c r="AC5325">
        <v>3.14769999999998</v>
      </c>
      <c r="AD5325">
        <v>-1.1092396461835901</v>
      </c>
      <c r="AE5325">
        <v>-7.8331499999999901</v>
      </c>
      <c r="AF5325">
        <v>-2.4399273694705301</v>
      </c>
      <c r="AG5325">
        <v>-1.1092396461835901</v>
      </c>
      <c r="AH5325">
        <v>7.9318646411479099</v>
      </c>
      <c r="AI5325">
        <v>97.613310628687501</v>
      </c>
      <c r="AJ5325">
        <v>107.09846365567699</v>
      </c>
      <c r="AK5325">
        <v>8.3724628901207705</v>
      </c>
      <c r="AL5325">
        <v>66.119864567348003</v>
      </c>
      <c r="AM5325">
        <v>102.557046117243</v>
      </c>
      <c r="AN5325">
        <v>1.00000002799678</v>
      </c>
    </row>
    <row r="5326" spans="1:40" x14ac:dyDescent="0.25">
      <c r="A5326" t="str">
        <f>"20190304164516275"</f>
        <v>20190304164516275</v>
      </c>
      <c r="B5326" t="str">
        <f>"1551689116265529"</f>
        <v>1551689116265529</v>
      </c>
      <c r="C5326" t="s">
        <v>40</v>
      </c>
      <c r="D5326">
        <v>5.7288969999999999</v>
      </c>
      <c r="E5326">
        <v>0.46969480000000002</v>
      </c>
      <c r="F5326" t="s">
        <v>42</v>
      </c>
      <c r="G5326">
        <v>-298.93799999999999</v>
      </c>
      <c r="H5326" s="1">
        <v>-5.4086689999999998E-7</v>
      </c>
      <c r="I5326">
        <v>-29.592949999999998</v>
      </c>
      <c r="J5326">
        <v>-302.19880000000001</v>
      </c>
      <c r="K5326">
        <v>1.109253</v>
      </c>
      <c r="L5326">
        <v>-21.632449999999999</v>
      </c>
      <c r="M5326">
        <v>8.1771099999999999E-2</v>
      </c>
      <c r="N5326">
        <v>-1.346812E-2</v>
      </c>
      <c r="O5326">
        <v>-0.99656029999999995</v>
      </c>
      <c r="P5326">
        <v>0.2858676</v>
      </c>
      <c r="Q5326">
        <v>0.39453480000000002</v>
      </c>
      <c r="R5326">
        <v>-0.87328249999999996</v>
      </c>
      <c r="S5326">
        <v>1.2855529999999999</v>
      </c>
      <c r="T5326">
        <v>-0.43511030000000001</v>
      </c>
      <c r="U5326">
        <v>-3.2085270000000001</v>
      </c>
      <c r="V5326">
        <v>-0.21170459999999999</v>
      </c>
      <c r="W5326">
        <v>0.40747080000000002</v>
      </c>
      <c r="X5326">
        <v>0.88834040000000003</v>
      </c>
      <c r="Y5326">
        <v>-0.29213119999999998</v>
      </c>
      <c r="Z5326">
        <v>0.1128493</v>
      </c>
      <c r="AA5326">
        <v>0.94969700000000001</v>
      </c>
      <c r="AB5326">
        <v>28</v>
      </c>
      <c r="AC5326">
        <v>3.2608000000000099</v>
      </c>
      <c r="AD5326">
        <v>-1.1092535408669</v>
      </c>
      <c r="AE5326">
        <v>-7.9604999999999997</v>
      </c>
      <c r="AF5326">
        <v>-2.5563752119711598</v>
      </c>
      <c r="AG5326">
        <v>-1.1092535408669</v>
      </c>
      <c r="AH5326">
        <v>8.0663795426511093</v>
      </c>
      <c r="AI5326">
        <v>97.468319733607402</v>
      </c>
      <c r="AJ5326">
        <v>107.58430921055199</v>
      </c>
      <c r="AK5326">
        <v>8.5341652531695598</v>
      </c>
      <c r="AL5326">
        <v>65.953946319748994</v>
      </c>
      <c r="AM5326">
        <v>103.404398291741</v>
      </c>
      <c r="AN5326">
        <v>0.99999997839297905</v>
      </c>
    </row>
    <row r="5327" spans="1:40" x14ac:dyDescent="0.25">
      <c r="A5327" t="str">
        <f>"20190304164516298"</f>
        <v>20190304164516298</v>
      </c>
      <c r="B5327" t="str">
        <f>"1551689116295784"</f>
        <v>1551689116295784</v>
      </c>
      <c r="C5327" t="s">
        <v>40</v>
      </c>
      <c r="D5327">
        <v>5.8460390000000002</v>
      </c>
      <c r="E5327">
        <v>0.48094749999999997</v>
      </c>
      <c r="F5327" t="s">
        <v>42</v>
      </c>
      <c r="G5327">
        <v>-298.75409999999999</v>
      </c>
      <c r="H5327" s="1">
        <v>-4.6648049999999999E-7</v>
      </c>
      <c r="I5327">
        <v>-29.955310000000001</v>
      </c>
      <c r="J5327">
        <v>-302.17759999999998</v>
      </c>
      <c r="K5327">
        <v>1.109272</v>
      </c>
      <c r="L5327">
        <v>-21.921330000000001</v>
      </c>
      <c r="M5327">
        <v>7.9432009999999997E-2</v>
      </c>
      <c r="N5327">
        <v>-1.341812E-2</v>
      </c>
      <c r="O5327">
        <v>-0.99675009999999997</v>
      </c>
      <c r="P5327">
        <v>0.2960643</v>
      </c>
      <c r="Q5327">
        <v>0.39654620000000002</v>
      </c>
      <c r="R5327">
        <v>-0.86896369999999901</v>
      </c>
      <c r="S5327">
        <v>1.3222959999999999</v>
      </c>
      <c r="T5327">
        <v>-0.42580370000000001</v>
      </c>
      <c r="U5327">
        <v>-3.194855</v>
      </c>
      <c r="V5327">
        <v>-0.22432820000000001</v>
      </c>
      <c r="W5327">
        <v>0.40942430000000002</v>
      </c>
      <c r="X5327">
        <v>0.88433519999999899</v>
      </c>
      <c r="Y5327">
        <v>-0.3052183</v>
      </c>
      <c r="Z5327">
        <v>0.110246</v>
      </c>
      <c r="AA5327">
        <v>0.94587929999999998</v>
      </c>
      <c r="AB5327">
        <v>28</v>
      </c>
      <c r="AC5327">
        <v>3.42349999999999</v>
      </c>
      <c r="AD5327">
        <v>-1.1092724664805</v>
      </c>
      <c r="AE5327">
        <v>-8.0339799999999997</v>
      </c>
      <c r="AF5327">
        <v>-2.7304148823070502</v>
      </c>
      <c r="AG5327">
        <v>-1.1092724664805</v>
      </c>
      <c r="AH5327">
        <v>8.1490707325400908</v>
      </c>
      <c r="AI5327">
        <v>97.354520882473295</v>
      </c>
      <c r="AJ5327">
        <v>108.52385965214501</v>
      </c>
      <c r="AK5327">
        <v>8.6656219995079997</v>
      </c>
      <c r="AL5327">
        <v>65.831326501702605</v>
      </c>
      <c r="AM5327">
        <v>104.233910715688</v>
      </c>
      <c r="AN5327">
        <v>1.0000000723523801</v>
      </c>
    </row>
    <row r="5328" spans="1:40" x14ac:dyDescent="0.25">
      <c r="A5328" t="str">
        <f>"20190304164516322"</f>
        <v>20190304164516322</v>
      </c>
      <c r="B5328" t="str">
        <f>"1551689116315304"</f>
        <v>1551689116315304</v>
      </c>
      <c r="C5328" t="s">
        <v>40</v>
      </c>
      <c r="D5328">
        <v>5.6935630000000002</v>
      </c>
      <c r="E5328">
        <v>0.43806630000000002</v>
      </c>
      <c r="F5328" t="s">
        <v>42</v>
      </c>
      <c r="G5328">
        <v>-299.20690000000002</v>
      </c>
      <c r="H5328" s="1">
        <v>-5.5052769999999996E-7</v>
      </c>
      <c r="I5328">
        <v>-29.411850000000001</v>
      </c>
      <c r="J5328">
        <v>-302.1567</v>
      </c>
      <c r="K5328">
        <v>1.1093029999999999</v>
      </c>
      <c r="L5328">
        <v>-22.216090000000001</v>
      </c>
      <c r="M5328">
        <v>7.7100230000000006E-2</v>
      </c>
      <c r="N5328">
        <v>-1.334144E-2</v>
      </c>
      <c r="O5328">
        <v>-0.99693419999999999</v>
      </c>
      <c r="P5328">
        <v>0.3061991</v>
      </c>
      <c r="Q5328">
        <v>0.39786060000000001</v>
      </c>
      <c r="R5328">
        <v>-0.86484059999999996</v>
      </c>
      <c r="S5328">
        <v>1.282562</v>
      </c>
      <c r="T5328">
        <v>-0.47891590000000001</v>
      </c>
      <c r="U5328">
        <v>-3.2339479999999998</v>
      </c>
      <c r="V5328">
        <v>-0.2368691</v>
      </c>
      <c r="W5328">
        <v>0.41064850000000003</v>
      </c>
      <c r="X5328">
        <v>0.88048899999999997</v>
      </c>
      <c r="Y5328">
        <v>-0.29273709999999997</v>
      </c>
      <c r="Z5328">
        <v>0.1245182</v>
      </c>
      <c r="AA5328">
        <v>0.94805070000000002</v>
      </c>
      <c r="AB5328">
        <v>28</v>
      </c>
      <c r="AC5328">
        <v>2.9497999999999802</v>
      </c>
      <c r="AD5328">
        <v>-1.1093035505277</v>
      </c>
      <c r="AE5328">
        <v>-7.1957599999999999</v>
      </c>
      <c r="AF5328">
        <v>-2.3385919749720099</v>
      </c>
      <c r="AG5328">
        <v>-1.1093035505277</v>
      </c>
      <c r="AH5328">
        <v>7.2541909076986997</v>
      </c>
      <c r="AI5328">
        <v>98.2808521032741</v>
      </c>
      <c r="AJ5328">
        <v>107.86818257311</v>
      </c>
      <c r="AK5328">
        <v>7.7021329849565303</v>
      </c>
      <c r="AL5328">
        <v>65.754421450541997</v>
      </c>
      <c r="AM5328">
        <v>105.05722447877299</v>
      </c>
      <c r="AN5328">
        <v>1.00000002010402</v>
      </c>
    </row>
    <row r="5329" spans="1:40" x14ac:dyDescent="0.25">
      <c r="A5329" t="str">
        <f>"20190304164516344"</f>
        <v>20190304164516344</v>
      </c>
      <c r="B5329" t="str">
        <f>"1551689116335799"</f>
        <v>1551689116335799</v>
      </c>
      <c r="C5329" t="s">
        <v>40</v>
      </c>
      <c r="D5329">
        <v>5.7647959999999996</v>
      </c>
      <c r="E5329">
        <v>0.43023860000000003</v>
      </c>
      <c r="F5329" t="s">
        <v>42</v>
      </c>
      <c r="G5329">
        <v>-297.52800000000002</v>
      </c>
      <c r="H5329" s="1">
        <v>-4.4802209999999998E-6</v>
      </c>
      <c r="I5329">
        <v>-30.94584</v>
      </c>
      <c r="J5329">
        <v>-302.13729999999998</v>
      </c>
      <c r="K5329">
        <v>1.1093470000000001</v>
      </c>
      <c r="L5329">
        <v>-22.496980000000001</v>
      </c>
      <c r="M5329">
        <v>7.4969190000000005E-2</v>
      </c>
      <c r="N5329">
        <v>-1.3247500000000001E-2</v>
      </c>
      <c r="O5329">
        <v>-0.99709780000000003</v>
      </c>
      <c r="P5329">
        <v>0.31581690000000001</v>
      </c>
      <c r="Q5329">
        <v>0.39973599999999998</v>
      </c>
      <c r="R5329">
        <v>-0.8605062</v>
      </c>
      <c r="S5329">
        <v>1.6287229999999999</v>
      </c>
      <c r="T5329">
        <v>-0.3903375</v>
      </c>
      <c r="U5329">
        <v>-3.071777</v>
      </c>
      <c r="V5329">
        <v>-0.2487337</v>
      </c>
      <c r="W5329">
        <v>0.4123986</v>
      </c>
      <c r="X5329">
        <v>0.87638969999999905</v>
      </c>
      <c r="Y5329">
        <v>-0.39823540000000002</v>
      </c>
      <c r="Z5329">
        <v>0.1000694</v>
      </c>
      <c r="AA5329">
        <v>0.91180850000000002</v>
      </c>
      <c r="AB5329">
        <v>28</v>
      </c>
      <c r="AC5329">
        <v>4.6092999999999602</v>
      </c>
      <c r="AD5329">
        <v>-1.1093514802209901</v>
      </c>
      <c r="AE5329">
        <v>-8.4488599999999998</v>
      </c>
      <c r="AF5329">
        <v>-3.91090662346646</v>
      </c>
      <c r="AG5329">
        <v>-1.1093514802209901</v>
      </c>
      <c r="AH5329">
        <v>8.6556667246850605</v>
      </c>
      <c r="AI5329">
        <v>96.661735665524901</v>
      </c>
      <c r="AJ5329">
        <v>114.314971940573</v>
      </c>
      <c r="AK5329">
        <v>9.5627620368261006</v>
      </c>
      <c r="AL5329">
        <v>65.644399121819106</v>
      </c>
      <c r="AM5329">
        <v>105.84480737884201</v>
      </c>
      <c r="AN5329">
        <v>0.99999998253186895</v>
      </c>
    </row>
    <row r="5330" spans="1:40" x14ac:dyDescent="0.25">
      <c r="A5330" t="str">
        <f>"20190304164516368"</f>
        <v>20190304164516368</v>
      </c>
      <c r="B5330" t="str">
        <f>"1551689116355320"</f>
        <v>1551689116355320</v>
      </c>
      <c r="C5330" t="s">
        <v>40</v>
      </c>
      <c r="D5330">
        <v>5.683465</v>
      </c>
      <c r="E5330">
        <v>0.42788670000000001</v>
      </c>
      <c r="F5330" t="s">
        <v>41</v>
      </c>
      <c r="G5330">
        <v>-301.64100000000002</v>
      </c>
      <c r="H5330">
        <v>1.004008</v>
      </c>
      <c r="I5330">
        <v>-23.372140000000002</v>
      </c>
      <c r="J5330">
        <v>-302.11689999999999</v>
      </c>
      <c r="K5330">
        <v>1.1094299999999999</v>
      </c>
      <c r="L5330">
        <v>-22.799800000000001</v>
      </c>
      <c r="M5330">
        <v>7.2822650000000003E-2</v>
      </c>
      <c r="N5330">
        <v>-1.3123900000000001E-2</v>
      </c>
      <c r="O5330">
        <v>-0.9972586</v>
      </c>
      <c r="P5330">
        <v>0.32478040000000002</v>
      </c>
      <c r="Q5330">
        <v>0.40285140000000003</v>
      </c>
      <c r="R5330">
        <v>-0.85570349999999995</v>
      </c>
      <c r="S5330">
        <v>1.7166140000000001</v>
      </c>
      <c r="T5330">
        <v>-0.36418600000000001</v>
      </c>
      <c r="U5330">
        <v>-3.0254819999999998</v>
      </c>
      <c r="V5330">
        <v>-0.26001239999999998</v>
      </c>
      <c r="W5330">
        <v>0.41532429999999898</v>
      </c>
      <c r="X5330">
        <v>0.871721999999999</v>
      </c>
      <c r="Y5330">
        <v>-0.42640850000000002</v>
      </c>
      <c r="Z5330">
        <v>9.2743969999999995E-2</v>
      </c>
      <c r="AA5330">
        <v>0.89976350000000005</v>
      </c>
      <c r="AB5330">
        <v>28</v>
      </c>
      <c r="AC5330">
        <v>0.47590000000002403</v>
      </c>
      <c r="AD5330">
        <v>-0.105421999999999</v>
      </c>
      <c r="AE5330">
        <v>-0.57233999999999696</v>
      </c>
      <c r="AF5330">
        <v>-0.42443946440274399</v>
      </c>
      <c r="AG5330">
        <v>-0.105421999999999</v>
      </c>
      <c r="AH5330">
        <v>0.59357289198576102</v>
      </c>
      <c r="AI5330">
        <v>98.220697534179607</v>
      </c>
      <c r="AJ5330">
        <v>125.566993701111</v>
      </c>
      <c r="AK5330">
        <v>0.73728653529467703</v>
      </c>
      <c r="AL5330">
        <v>65.460258719312804</v>
      </c>
      <c r="AM5330">
        <v>106.608497781976</v>
      </c>
      <c r="AN5330">
        <v>0.99999998380412403</v>
      </c>
    </row>
    <row r="5331" spans="1:40" x14ac:dyDescent="0.25">
      <c r="A5331" t="str">
        <f>"20190304164516388"</f>
        <v>20190304164516388</v>
      </c>
      <c r="B5331" t="str">
        <f>"1551689116375816"</f>
        <v>1551689116375816</v>
      </c>
      <c r="C5331" t="s">
        <v>40</v>
      </c>
      <c r="D5331">
        <v>5.7033310000000004</v>
      </c>
      <c r="E5331">
        <v>0.42863950000000001</v>
      </c>
      <c r="F5331" t="s">
        <v>41</v>
      </c>
      <c r="G5331">
        <v>-301.61810000000003</v>
      </c>
      <c r="H5331">
        <v>1.0096529999999999</v>
      </c>
      <c r="I5331">
        <v>-23.650490000000001</v>
      </c>
      <c r="J5331">
        <v>-302.10039999999998</v>
      </c>
      <c r="K5331">
        <v>1.109534</v>
      </c>
      <c r="L5331">
        <v>-23.050540000000002</v>
      </c>
      <c r="M5331">
        <v>7.1209649999999999E-2</v>
      </c>
      <c r="N5331">
        <v>-1.30067E-2</v>
      </c>
      <c r="O5331">
        <v>-0.99737690000000001</v>
      </c>
      <c r="P5331">
        <v>0.33366810000000002</v>
      </c>
      <c r="Q5331">
        <v>0.40477950000000001</v>
      </c>
      <c r="R5331">
        <v>-0.85136350000000005</v>
      </c>
      <c r="S5331">
        <v>1.7610169999999901</v>
      </c>
      <c r="T5331">
        <v>-0.35225630000000002</v>
      </c>
      <c r="U5331">
        <v>-3.0033259999999999</v>
      </c>
      <c r="V5331">
        <v>-0.27071699999999999</v>
      </c>
      <c r="W5331">
        <v>0.41705989999999998</v>
      </c>
      <c r="X5331">
        <v>0.86762510000000004</v>
      </c>
      <c r="Y5331">
        <v>-0.4407797</v>
      </c>
      <c r="Z5331">
        <v>8.9382030000000001E-2</v>
      </c>
      <c r="AA5331">
        <v>0.893154</v>
      </c>
      <c r="AB5331">
        <v>28</v>
      </c>
      <c r="AC5331">
        <v>0.48229999999995199</v>
      </c>
      <c r="AD5331">
        <v>-9.9880999999999803E-2</v>
      </c>
      <c r="AE5331">
        <v>-0.59994999999999898</v>
      </c>
      <c r="AF5331">
        <v>-0.431091732085426</v>
      </c>
      <c r="AG5331">
        <v>-9.9880999999999803E-2</v>
      </c>
      <c r="AH5331">
        <v>0.62229702149087995</v>
      </c>
      <c r="AI5331">
        <v>97.516081902756596</v>
      </c>
      <c r="AJ5331">
        <v>124.71199961841501</v>
      </c>
      <c r="AK5331">
        <v>0.76359012473304899</v>
      </c>
      <c r="AL5331">
        <v>65.350894242534906</v>
      </c>
      <c r="AM5331">
        <v>107.329003122172</v>
      </c>
      <c r="AN5331">
        <v>0.999999984213509</v>
      </c>
    </row>
    <row r="5332" spans="1:40" x14ac:dyDescent="0.25">
      <c r="A5332" t="str">
        <f>"20190304164516409"</f>
        <v>20190304164516409</v>
      </c>
      <c r="B5332" t="str">
        <f>"1551689116405095"</f>
        <v>1551689116405095</v>
      </c>
      <c r="C5332" t="s">
        <v>40</v>
      </c>
      <c r="D5332">
        <v>5.6929429999999996</v>
      </c>
      <c r="E5332">
        <v>0.43063459999999998</v>
      </c>
      <c r="F5332" t="s">
        <v>41</v>
      </c>
      <c r="G5332">
        <v>-301.61189999999999</v>
      </c>
      <c r="H5332">
        <v>1.013139</v>
      </c>
      <c r="I5332">
        <v>-23.872199999999999</v>
      </c>
      <c r="J5332">
        <v>-302.08240000000001</v>
      </c>
      <c r="K5332">
        <v>1.1096729999999999</v>
      </c>
      <c r="L5332">
        <v>-23.327120000000001</v>
      </c>
      <c r="M5332">
        <v>6.9626590000000002E-2</v>
      </c>
      <c r="N5332">
        <v>-1.286341E-2</v>
      </c>
      <c r="O5332">
        <v>-0.99749030000000005</v>
      </c>
      <c r="P5332">
        <v>0.34220230000000001</v>
      </c>
      <c r="Q5332">
        <v>0.40559260000000003</v>
      </c>
      <c r="R5332">
        <v>-0.84758040000000001</v>
      </c>
      <c r="S5332">
        <v>1.779755</v>
      </c>
      <c r="T5332">
        <v>-0.35116429999999998</v>
      </c>
      <c r="U5332">
        <v>-2.9931950000000001</v>
      </c>
      <c r="V5332">
        <v>-0.28103640000000002</v>
      </c>
      <c r="W5332">
        <v>0.41763060000000002</v>
      </c>
      <c r="X5332">
        <v>0.864062</v>
      </c>
      <c r="Y5332">
        <v>-0.44765870000000002</v>
      </c>
      <c r="Z5332">
        <v>8.9185260000000002E-2</v>
      </c>
      <c r="AA5332">
        <v>0.88974589999999998</v>
      </c>
      <c r="AB5332">
        <v>28</v>
      </c>
      <c r="AC5332">
        <v>0.47050000000001502</v>
      </c>
      <c r="AD5332">
        <v>-9.6533999999999898E-2</v>
      </c>
      <c r="AE5332">
        <v>-0.54507999999999801</v>
      </c>
      <c r="AF5332">
        <v>-0.42378595867605401</v>
      </c>
      <c r="AG5332">
        <v>-9.6533999999999898E-2</v>
      </c>
      <c r="AH5332">
        <v>0.56633998870581803</v>
      </c>
      <c r="AI5332">
        <v>97.771368785071402</v>
      </c>
      <c r="AJ5332">
        <v>126.807103300205</v>
      </c>
      <c r="AK5332">
        <v>0.71390078773894605</v>
      </c>
      <c r="AL5332">
        <v>65.314911407233694</v>
      </c>
      <c r="AM5332">
        <v>108.017130234007</v>
      </c>
      <c r="AN5332">
        <v>0.99999995801265895</v>
      </c>
    </row>
    <row r="5333" spans="1:40" x14ac:dyDescent="0.25">
      <c r="A5333" t="str">
        <f>"20190304164516432"</f>
        <v>20190304164516432</v>
      </c>
      <c r="B5333" t="str">
        <f>"1551689116425592"</f>
        <v>1551689116425592</v>
      </c>
      <c r="C5333" t="s">
        <v>40</v>
      </c>
      <c r="D5333">
        <v>5.7065729999999997</v>
      </c>
      <c r="E5333">
        <v>0.43245790000000001</v>
      </c>
      <c r="F5333" t="s">
        <v>41</v>
      </c>
      <c r="G5333">
        <v>-301.58819999999997</v>
      </c>
      <c r="H5333">
        <v>1.0098959999999999</v>
      </c>
      <c r="I5333">
        <v>-24.154489999999999</v>
      </c>
      <c r="J5333">
        <v>-302.0641</v>
      </c>
      <c r="K5333">
        <v>1.109828</v>
      </c>
      <c r="L5333">
        <v>-23.611969999999999</v>
      </c>
      <c r="M5333">
        <v>6.8230830000000006E-2</v>
      </c>
      <c r="N5333">
        <v>-1.270875E-2</v>
      </c>
      <c r="O5333">
        <v>-0.99758860000000005</v>
      </c>
      <c r="P5333">
        <v>0.34936869999999998</v>
      </c>
      <c r="Q5333">
        <v>0.40706799999999999</v>
      </c>
      <c r="R5333">
        <v>-0.84394139999999995</v>
      </c>
      <c r="S5333">
        <v>1.786346</v>
      </c>
      <c r="T5333">
        <v>-0.36068460000000002</v>
      </c>
      <c r="U5333">
        <v>-2.990875</v>
      </c>
      <c r="V5333">
        <v>-0.28982809999999998</v>
      </c>
      <c r="W5333">
        <v>0.41882900000000001</v>
      </c>
      <c r="X5333">
        <v>0.86057070000000002</v>
      </c>
      <c r="Y5333">
        <v>-0.45051920000000001</v>
      </c>
      <c r="Z5333">
        <v>9.2012430000000006E-2</v>
      </c>
      <c r="AA5333">
        <v>0.88801249999999998</v>
      </c>
      <c r="AB5333">
        <v>28</v>
      </c>
      <c r="AC5333">
        <v>0.47590000000002403</v>
      </c>
      <c r="AD5333">
        <v>-9.9932000000000104E-2</v>
      </c>
      <c r="AE5333">
        <v>-0.542519999999999</v>
      </c>
      <c r="AF5333">
        <v>-0.429534937647091</v>
      </c>
      <c r="AG5333">
        <v>-9.9932000000000104E-2</v>
      </c>
      <c r="AH5333">
        <v>0.56293499415827997</v>
      </c>
      <c r="AI5333">
        <v>98.033004768158904</v>
      </c>
      <c r="AJ5333">
        <v>127.344631052629</v>
      </c>
      <c r="AK5333">
        <v>0.71511011385063905</v>
      </c>
      <c r="AL5333">
        <v>65.239320428894501</v>
      </c>
      <c r="AM5333">
        <v>108.61280111972999</v>
      </c>
      <c r="AN5333">
        <v>0.99999999424454999</v>
      </c>
    </row>
    <row r="5334" spans="1:40" x14ac:dyDescent="0.25">
      <c r="A5334" t="str">
        <f>"20190304164516454"</f>
        <v>20190304164516454</v>
      </c>
      <c r="B5334" t="str">
        <f>"1551689116445113"</f>
        <v>1551689116445113</v>
      </c>
      <c r="C5334" t="s">
        <v>40</v>
      </c>
      <c r="D5334">
        <v>5.727144</v>
      </c>
      <c r="E5334">
        <v>0.43379889999999999</v>
      </c>
      <c r="F5334" t="s">
        <v>42</v>
      </c>
      <c r="G5334">
        <v>-296.61779999999999</v>
      </c>
      <c r="H5334" s="1">
        <v>-3.8840070000000004E-6</v>
      </c>
      <c r="I5334">
        <v>-32.71199</v>
      </c>
      <c r="J5334">
        <v>-302.04640000000001</v>
      </c>
      <c r="K5334">
        <v>1.1099840000000001</v>
      </c>
      <c r="L5334">
        <v>-23.88983</v>
      </c>
      <c r="M5334">
        <v>6.7117109999999994E-2</v>
      </c>
      <c r="N5334">
        <v>-1.2553720000000001E-2</v>
      </c>
      <c r="O5334">
        <v>-0.99766639999999995</v>
      </c>
      <c r="P5334">
        <v>0.35481439999999997</v>
      </c>
      <c r="Q5334">
        <v>0.40923939999999998</v>
      </c>
      <c r="R5334">
        <v>-0.840613099999999</v>
      </c>
      <c r="S5334">
        <v>1.7894289999999999</v>
      </c>
      <c r="T5334">
        <v>-0.36464200000000002</v>
      </c>
      <c r="U5334">
        <v>-2.989868</v>
      </c>
      <c r="V5334">
        <v>-0.29662880000000003</v>
      </c>
      <c r="W5334">
        <v>0.42071520000000001</v>
      </c>
      <c r="X5334">
        <v>0.85732730000000001</v>
      </c>
      <c r="Y5334">
        <v>-0.4522602</v>
      </c>
      <c r="Z5334">
        <v>9.3261350000000007E-2</v>
      </c>
      <c r="AA5334">
        <v>0.88699660000000002</v>
      </c>
      <c r="AB5334">
        <v>28</v>
      </c>
      <c r="AC5334">
        <v>5.4286000000000101</v>
      </c>
      <c r="AD5334">
        <v>-1.1099878840070001</v>
      </c>
      <c r="AE5334">
        <v>-8.8221600000000002</v>
      </c>
      <c r="AF5334">
        <v>-4.7694278764746203</v>
      </c>
      <c r="AG5334">
        <v>-1.1099878840070001</v>
      </c>
      <c r="AH5334">
        <v>9.0625833929700708</v>
      </c>
      <c r="AI5334">
        <v>96.185957112657306</v>
      </c>
      <c r="AJ5334">
        <v>117.75679364416</v>
      </c>
      <c r="AK5334">
        <v>10.3009675820319</v>
      </c>
      <c r="AL5334">
        <v>65.120251027790403</v>
      </c>
      <c r="AM5334">
        <v>109.085235358156</v>
      </c>
      <c r="AN5334">
        <v>1.00000001191288</v>
      </c>
    </row>
    <row r="5335" spans="1:40" x14ac:dyDescent="0.25">
      <c r="A5335" t="str">
        <f>"20190304164516477"</f>
        <v>20190304164516477</v>
      </c>
      <c r="B5335" t="str">
        <f>"1551689116465609"</f>
        <v>1551689116465609</v>
      </c>
      <c r="C5335" t="s">
        <v>40</v>
      </c>
      <c r="D5335">
        <v>5.7156459999999996</v>
      </c>
      <c r="E5335">
        <v>0.4348397</v>
      </c>
      <c r="F5335" t="s">
        <v>41</v>
      </c>
      <c r="G5335">
        <v>-301.49</v>
      </c>
      <c r="H5335">
        <v>0.9991101</v>
      </c>
      <c r="I5335">
        <v>-24.81945</v>
      </c>
      <c r="J5335">
        <v>-302.02850000000001</v>
      </c>
      <c r="K5335">
        <v>1.110147</v>
      </c>
      <c r="L5335">
        <v>-24.170529999999999</v>
      </c>
      <c r="M5335">
        <v>6.625201E-2</v>
      </c>
      <c r="N5335">
        <v>-1.2397689999999999E-2</v>
      </c>
      <c r="O5335">
        <v>-0.9977258</v>
      </c>
      <c r="P5335">
        <v>0.35980649999999997</v>
      </c>
      <c r="Q5335">
        <v>0.41078599999999998</v>
      </c>
      <c r="R5335">
        <v>-0.83773140000000001</v>
      </c>
      <c r="S5335">
        <v>1.7885439999999999</v>
      </c>
      <c r="T5335">
        <v>-0.35631069999999998</v>
      </c>
      <c r="U5335">
        <v>-2.9873660000000002</v>
      </c>
      <c r="V5335">
        <v>-0.3027241</v>
      </c>
      <c r="W5335">
        <v>0.42197790000000002</v>
      </c>
      <c r="X5335">
        <v>0.85457169999999905</v>
      </c>
      <c r="Y5335">
        <v>-0.45327879999999998</v>
      </c>
      <c r="Z5335">
        <v>9.1087329999999994E-2</v>
      </c>
      <c r="AA5335">
        <v>0.88670260000000001</v>
      </c>
      <c r="AB5335">
        <v>28</v>
      </c>
      <c r="AC5335">
        <v>0.53849999999999898</v>
      </c>
      <c r="AD5335">
        <v>-0.11103689999999899</v>
      </c>
      <c r="AE5335">
        <v>-0.64892000000000005</v>
      </c>
      <c r="AF5335">
        <v>-0.48589631743372902</v>
      </c>
      <c r="AG5335">
        <v>-0.11103689999999899</v>
      </c>
      <c r="AH5335">
        <v>0.67153004698357099</v>
      </c>
      <c r="AI5335">
        <v>97.629896114960403</v>
      </c>
      <c r="AJ5335">
        <v>125.888220833513</v>
      </c>
      <c r="AK5335">
        <v>0.83628764696067703</v>
      </c>
      <c r="AL5335">
        <v>65.040476556732401</v>
      </c>
      <c r="AM5335">
        <v>109.506218809179</v>
      </c>
      <c r="AN5335">
        <v>1.0000000096250501</v>
      </c>
    </row>
    <row r="5336" spans="1:40" x14ac:dyDescent="0.25">
      <c r="A5336" t="str">
        <f>"20190304164516500"</f>
        <v>20190304164516500</v>
      </c>
      <c r="B5336" t="str">
        <f>"1551689116495865"</f>
        <v>1551689116495865</v>
      </c>
      <c r="C5336" t="s">
        <v>40</v>
      </c>
      <c r="D5336">
        <v>6.1018480000000004</v>
      </c>
      <c r="E5336">
        <v>0.49440770000000001</v>
      </c>
      <c r="F5336" t="s">
        <v>41</v>
      </c>
      <c r="G5336">
        <v>-301.48630000000003</v>
      </c>
      <c r="H5336">
        <v>1.0035559999999999</v>
      </c>
      <c r="I5336">
        <v>-25.075759999999999</v>
      </c>
      <c r="J5336">
        <v>-302.00979999999998</v>
      </c>
      <c r="K5336">
        <v>1.110276</v>
      </c>
      <c r="L5336">
        <v>-24.466339999999999</v>
      </c>
      <c r="M5336">
        <v>6.5554009999999996E-2</v>
      </c>
      <c r="N5336">
        <v>-1.2243499999999999E-2</v>
      </c>
      <c r="O5336">
        <v>-0.9977741</v>
      </c>
      <c r="P5336">
        <v>0.36371379999999998</v>
      </c>
      <c r="Q5336">
        <v>0.41119670000000003</v>
      </c>
      <c r="R5336">
        <v>-0.83584099999999995</v>
      </c>
      <c r="S5336">
        <v>1.7887569999999999</v>
      </c>
      <c r="T5336">
        <v>-0.351522</v>
      </c>
      <c r="U5336">
        <v>-2.9851990000000002</v>
      </c>
      <c r="V5336">
        <v>-0.30751009999999901</v>
      </c>
      <c r="W5336">
        <v>0.42212529999999998</v>
      </c>
      <c r="X5336">
        <v>0.8527882</v>
      </c>
      <c r="Y5336">
        <v>-0.45429340000000001</v>
      </c>
      <c r="Z5336">
        <v>8.9903689999999994E-2</v>
      </c>
      <c r="AA5336">
        <v>0.88630399999999998</v>
      </c>
      <c r="AB5336">
        <v>28</v>
      </c>
      <c r="AC5336">
        <v>0.523499999999955</v>
      </c>
      <c r="AD5336">
        <v>-0.10672</v>
      </c>
      <c r="AE5336">
        <v>-0.60941999999999996</v>
      </c>
      <c r="AF5336">
        <v>-0.47405595879094398</v>
      </c>
      <c r="AG5336">
        <v>-0.10672</v>
      </c>
      <c r="AH5336">
        <v>0.63128966357710403</v>
      </c>
      <c r="AI5336">
        <v>97.698580516212701</v>
      </c>
      <c r="AJ5336">
        <v>126.90407840852799</v>
      </c>
      <c r="AK5336">
        <v>0.79664600030659505</v>
      </c>
      <c r="AL5336">
        <v>65.031159808773097</v>
      </c>
      <c r="AM5336">
        <v>109.82898724867999</v>
      </c>
      <c r="AN5336">
        <v>0.99999997228066895</v>
      </c>
    </row>
    <row r="5337" spans="1:40" x14ac:dyDescent="0.25">
      <c r="A5337" t="str">
        <f>"20190304164516524"</f>
        <v>20190304164516524</v>
      </c>
      <c r="B5337" t="str">
        <f>"1551689116515384"</f>
        <v>1551689116515384</v>
      </c>
      <c r="C5337" t="s">
        <v>40</v>
      </c>
      <c r="D5337">
        <v>5.7636729999999998</v>
      </c>
      <c r="E5337">
        <v>0.54484309999999903</v>
      </c>
      <c r="F5337" t="s">
        <v>42</v>
      </c>
      <c r="G5337">
        <v>-298.42489999999998</v>
      </c>
      <c r="H5337" s="1">
        <v>-3.4948730000000001E-6</v>
      </c>
      <c r="I5337">
        <v>-32.871839999999999</v>
      </c>
      <c r="J5337">
        <v>-301.9907</v>
      </c>
      <c r="K5337">
        <v>1.1103889999999901</v>
      </c>
      <c r="L5337">
        <v>-24.76642</v>
      </c>
      <c r="M5337">
        <v>6.5053540000000007E-2</v>
      </c>
      <c r="N5337">
        <v>-1.208973E-2</v>
      </c>
      <c r="O5337">
        <v>-0.99780880000000005</v>
      </c>
      <c r="P5337">
        <v>0.36808679999999999</v>
      </c>
      <c r="Q5337">
        <v>0.41115439999999998</v>
      </c>
      <c r="R5337">
        <v>-0.8339453</v>
      </c>
      <c r="S5337">
        <v>1.3659969999999999</v>
      </c>
      <c r="T5337">
        <v>-0.42307109999999898</v>
      </c>
      <c r="U5337">
        <v>-3.2029109999999998</v>
      </c>
      <c r="V5337">
        <v>-0.31257420000000002</v>
      </c>
      <c r="W5337">
        <v>0.42182920000000002</v>
      </c>
      <c r="X5337">
        <v>0.85109190000000001</v>
      </c>
      <c r="Y5337">
        <v>-0.32900190000000001</v>
      </c>
      <c r="Z5337">
        <v>0.1098433</v>
      </c>
      <c r="AA5337">
        <v>0.93791910000000001</v>
      </c>
      <c r="AB5337">
        <v>28</v>
      </c>
      <c r="AC5337">
        <v>3.5658000000000198</v>
      </c>
      <c r="AD5337">
        <v>-1.110392494873</v>
      </c>
      <c r="AE5337">
        <v>-8.1054199999999899</v>
      </c>
      <c r="AF5337">
        <v>-2.9840002968173698</v>
      </c>
      <c r="AG5337">
        <v>-1.110392494873</v>
      </c>
      <c r="AH5337">
        <v>8.1914301895510899</v>
      </c>
      <c r="AI5337">
        <v>97.258542685690301</v>
      </c>
      <c r="AJ5337">
        <v>110.015831772521</v>
      </c>
      <c r="AK5337">
        <v>8.7884445617165596</v>
      </c>
      <c r="AL5337">
        <v>65.0498725214769</v>
      </c>
      <c r="AM5337">
        <v>110.166394164918</v>
      </c>
      <c r="AN5337">
        <v>0.99999996336194397</v>
      </c>
    </row>
    <row r="5338" spans="1:40" x14ac:dyDescent="0.25">
      <c r="A5338" t="str">
        <f>"20190304164516550"</f>
        <v>20190304164516550</v>
      </c>
      <c r="B5338" t="str">
        <f>"1551689116545640"</f>
        <v>1551689116545640</v>
      </c>
      <c r="C5338" t="s">
        <v>40</v>
      </c>
      <c r="D5338">
        <v>5.7419079999999996</v>
      </c>
      <c r="E5338">
        <v>0.54505879999999995</v>
      </c>
      <c r="F5338" t="s">
        <v>42</v>
      </c>
      <c r="G5338">
        <v>-300.27289999999999</v>
      </c>
      <c r="H5338" s="1">
        <v>-4.3042729999999999E-6</v>
      </c>
      <c r="I5338">
        <v>-30.50712</v>
      </c>
      <c r="J5338">
        <v>-301.97050000000002</v>
      </c>
      <c r="K5338">
        <v>1.1105100000000001</v>
      </c>
      <c r="L5338">
        <v>-25.084869999999999</v>
      </c>
      <c r="M5338">
        <v>6.4738480000000001E-2</v>
      </c>
      <c r="N5338">
        <v>-1.1920750000000001E-2</v>
      </c>
      <c r="O5338">
        <v>-0.99783120000000003</v>
      </c>
      <c r="P5338">
        <v>0.37308170000000002</v>
      </c>
      <c r="Q5338">
        <v>0.41058260000000002</v>
      </c>
      <c r="R5338">
        <v>-0.83200490000000005</v>
      </c>
      <c r="S5338">
        <v>1.0383610000000001</v>
      </c>
      <c r="T5338">
        <v>-0.67117199999999999</v>
      </c>
      <c r="U5338">
        <v>-3.4699399999999998</v>
      </c>
      <c r="V5338">
        <v>-0.31810630000000001</v>
      </c>
      <c r="W5338">
        <v>0.42098550000000001</v>
      </c>
      <c r="X5338">
        <v>0.84945839999999995</v>
      </c>
      <c r="Y5338">
        <v>-0.21955669999999999</v>
      </c>
      <c r="Z5338">
        <v>0.1715274</v>
      </c>
      <c r="AA5338">
        <v>0.96040270000000005</v>
      </c>
      <c r="AB5338">
        <v>28</v>
      </c>
      <c r="AC5338">
        <v>1.69760000000002</v>
      </c>
      <c r="AD5338">
        <v>-1.1105143042729999</v>
      </c>
      <c r="AE5338">
        <v>-5.4222499999999902</v>
      </c>
      <c r="AF5338">
        <v>-1.29356911126586</v>
      </c>
      <c r="AG5338">
        <v>-1.1105143042729999</v>
      </c>
      <c r="AH5338">
        <v>5.3176404738673497</v>
      </c>
      <c r="AI5338">
        <v>101.47061775697</v>
      </c>
      <c r="AJ5338">
        <v>103.672212464316</v>
      </c>
      <c r="AK5338">
        <v>5.5842513620832097</v>
      </c>
      <c r="AL5338">
        <v>65.103177902172902</v>
      </c>
      <c r="AM5338">
        <v>110.529986314819</v>
      </c>
      <c r="AN5338">
        <v>0.99999999132024997</v>
      </c>
    </row>
    <row r="5339" spans="1:40" x14ac:dyDescent="0.25">
      <c r="A5339" t="str">
        <f>"20190304164516571"</f>
        <v>20190304164516571</v>
      </c>
      <c r="B5339" t="str">
        <f>"1551689116565160"</f>
        <v>1551689116565160</v>
      </c>
      <c r="C5339" t="s">
        <v>40</v>
      </c>
      <c r="D5339">
        <v>5.7133659999999997</v>
      </c>
      <c r="E5339">
        <v>0.54502150000000005</v>
      </c>
      <c r="F5339" t="s">
        <v>42</v>
      </c>
      <c r="G5339">
        <v>-300.30180000000001</v>
      </c>
      <c r="H5339" s="1">
        <v>-4.2707189999999999E-6</v>
      </c>
      <c r="I5339">
        <v>-30.620840000000001</v>
      </c>
      <c r="J5339">
        <v>-301.95260000000002</v>
      </c>
      <c r="K5339">
        <v>1.110616</v>
      </c>
      <c r="L5339">
        <v>-25.3642</v>
      </c>
      <c r="M5339">
        <v>6.4630549999999995E-2</v>
      </c>
      <c r="N5339">
        <v>-1.176875E-2</v>
      </c>
      <c r="O5339">
        <v>-0.9978399</v>
      </c>
      <c r="P5339">
        <v>0.37803009999999998</v>
      </c>
      <c r="Q5339">
        <v>0.41003260000000002</v>
      </c>
      <c r="R5339">
        <v>-0.83003989999999905</v>
      </c>
      <c r="S5339">
        <v>1.048889</v>
      </c>
      <c r="T5339">
        <v>-0.69807089999999905</v>
      </c>
      <c r="U5339">
        <v>-3.4799190000000002</v>
      </c>
      <c r="V5339">
        <v>-0.32339770000000001</v>
      </c>
      <c r="W5339">
        <v>0.42018830000000001</v>
      </c>
      <c r="X5339">
        <v>0.84785359999999999</v>
      </c>
      <c r="Y5339">
        <v>-0.2212249</v>
      </c>
      <c r="Z5339">
        <v>0.178148</v>
      </c>
      <c r="AA5339">
        <v>0.95881329999999998</v>
      </c>
      <c r="AB5339">
        <v>28</v>
      </c>
      <c r="AC5339">
        <v>1.6508</v>
      </c>
      <c r="AD5339">
        <v>-1.110620270719</v>
      </c>
      <c r="AE5339">
        <v>-5.25664</v>
      </c>
      <c r="AF5339">
        <v>-1.2565299466234401</v>
      </c>
      <c r="AG5339">
        <v>-1.110620270719</v>
      </c>
      <c r="AH5339">
        <v>5.14336336201323</v>
      </c>
      <c r="AI5339">
        <v>101.846812761034</v>
      </c>
      <c r="AJ5339">
        <v>103.728524614344</v>
      </c>
      <c r="AK5339">
        <v>5.4098550411442199</v>
      </c>
      <c r="AL5339">
        <v>65.153523866430206</v>
      </c>
      <c r="AM5339">
        <v>110.87840486204099</v>
      </c>
      <c r="AN5339">
        <v>1.00000000342757</v>
      </c>
    </row>
    <row r="5340" spans="1:40" x14ac:dyDescent="0.25">
      <c r="A5340" t="str">
        <f>"20190304164516612"</f>
        <v>20190304164516612</v>
      </c>
      <c r="B5340" t="str">
        <f>"1551689116605177"</f>
        <v>1551689116605177</v>
      </c>
      <c r="C5340" t="s">
        <v>40</v>
      </c>
      <c r="D5340">
        <v>5.7088479999999997</v>
      </c>
      <c r="E5340">
        <v>0.54457650000000002</v>
      </c>
      <c r="F5340" t="s">
        <v>42</v>
      </c>
      <c r="G5340">
        <v>-300.27539999999999</v>
      </c>
      <c r="H5340" s="1">
        <v>-4.1744360000000004E-6</v>
      </c>
      <c r="I5340">
        <v>-30.850960000000001</v>
      </c>
      <c r="J5340">
        <v>-301.91950000000003</v>
      </c>
      <c r="K5340">
        <v>1.110832</v>
      </c>
      <c r="L5340">
        <v>-25.872409999999999</v>
      </c>
      <c r="M5340">
        <v>6.4876980000000001E-2</v>
      </c>
      <c r="N5340">
        <v>-1.1496549999999999E-2</v>
      </c>
      <c r="O5340">
        <v>-0.99782720000000003</v>
      </c>
      <c r="P5340">
        <v>0.38675969999999998</v>
      </c>
      <c r="Q5340">
        <v>0.40975200000000001</v>
      </c>
      <c r="R5340">
        <v>-0.82614789999999905</v>
      </c>
      <c r="S5340">
        <v>1.06311</v>
      </c>
      <c r="T5340">
        <v>-0.70397880000000002</v>
      </c>
      <c r="U5340">
        <v>-3.4778440000000002</v>
      </c>
      <c r="V5340">
        <v>-0.3324183</v>
      </c>
      <c r="W5340">
        <v>0.41943170000000002</v>
      </c>
      <c r="X5340">
        <v>0.84473379999999998</v>
      </c>
      <c r="Y5340">
        <v>-0.22463949999999999</v>
      </c>
      <c r="Z5340">
        <v>0.17988119999999999</v>
      </c>
      <c r="AA5340">
        <v>0.95769510000000002</v>
      </c>
      <c r="AB5340">
        <v>28</v>
      </c>
      <c r="AC5340">
        <v>1.6441000000000301</v>
      </c>
      <c r="AD5340">
        <v>-1.110836174436</v>
      </c>
      <c r="AE5340">
        <v>-4.9785499999999896</v>
      </c>
      <c r="AF5340">
        <v>-1.26101545962704</v>
      </c>
      <c r="AG5340">
        <v>-1.110836174436</v>
      </c>
      <c r="AH5340">
        <v>4.8567178383974001</v>
      </c>
      <c r="AI5340">
        <v>102.482874556211</v>
      </c>
      <c r="AJ5340">
        <v>104.555084624378</v>
      </c>
      <c r="AK5340">
        <v>5.1392436367291996</v>
      </c>
      <c r="AL5340">
        <v>65.201287389517901</v>
      </c>
      <c r="AM5340">
        <v>111.480550982506</v>
      </c>
      <c r="AN5340">
        <v>1.0000000350011</v>
      </c>
    </row>
    <row r="5341" spans="1:40" x14ac:dyDescent="0.25">
      <c r="A5341" t="str">
        <f>"20190304164516634"</f>
        <v>20190304164516634</v>
      </c>
      <c r="B5341" t="str">
        <f>"1551689116625672"</f>
        <v>1551689116625672</v>
      </c>
      <c r="C5341" t="s">
        <v>40</v>
      </c>
      <c r="D5341">
        <v>5.836093</v>
      </c>
      <c r="E5341">
        <v>0.54442000000000002</v>
      </c>
      <c r="F5341" t="s">
        <v>42</v>
      </c>
      <c r="G5341">
        <v>-300.21589999999998</v>
      </c>
      <c r="H5341" s="1">
        <v>-3.9764889999999999E-6</v>
      </c>
      <c r="I5341">
        <v>-31.275469999999999</v>
      </c>
      <c r="J5341">
        <v>-301.90030000000002</v>
      </c>
      <c r="K5341">
        <v>1.1109549999999999</v>
      </c>
      <c r="L5341">
        <v>-26.16254</v>
      </c>
      <c r="M5341">
        <v>6.5259120000000004E-2</v>
      </c>
      <c r="N5341">
        <v>-1.1348189999999999E-2</v>
      </c>
      <c r="O5341">
        <v>-0.99780400000000002</v>
      </c>
      <c r="P5341">
        <v>0.39212439999999998</v>
      </c>
      <c r="Q5341">
        <v>0.40834890000000001</v>
      </c>
      <c r="R5341">
        <v>-0.82431189999999999</v>
      </c>
      <c r="S5341">
        <v>1.095032</v>
      </c>
      <c r="T5341">
        <v>-0.71398809999999902</v>
      </c>
      <c r="U5341">
        <v>-3.4728089999999998</v>
      </c>
      <c r="V5341">
        <v>-0.33771679999999998</v>
      </c>
      <c r="W5341">
        <v>0.41776580000000002</v>
      </c>
      <c r="X5341">
        <v>0.84345669999999995</v>
      </c>
      <c r="Y5341">
        <v>-0.2325237</v>
      </c>
      <c r="Z5341">
        <v>0.1824692</v>
      </c>
      <c r="AA5341">
        <v>0.95532070000000002</v>
      </c>
      <c r="AB5341">
        <v>28</v>
      </c>
      <c r="AC5341">
        <v>1.6844000000000301</v>
      </c>
      <c r="AD5341">
        <v>-1.110958976489</v>
      </c>
      <c r="AE5341">
        <v>-5.1129300000000004</v>
      </c>
      <c r="AF5341">
        <v>-1.2920919079413899</v>
      </c>
      <c r="AG5341">
        <v>-1.110958976489</v>
      </c>
      <c r="AH5341">
        <v>4.99904907922613</v>
      </c>
      <c r="AI5341">
        <v>102.14281769212199</v>
      </c>
      <c r="AJ5341">
        <v>104.491941633652</v>
      </c>
      <c r="AK5341">
        <v>5.2814981816261897</v>
      </c>
      <c r="AL5341">
        <v>65.306388136596695</v>
      </c>
      <c r="AM5341">
        <v>111.820972915746</v>
      </c>
      <c r="AN5341">
        <v>1.0000000527133801</v>
      </c>
    </row>
    <row r="5342" spans="1:40" x14ac:dyDescent="0.25">
      <c r="A5342" t="str">
        <f>"20190304164516654"</f>
        <v>20190304164516654</v>
      </c>
      <c r="B5342" t="str">
        <f>"1551689116645193"</f>
        <v>1551689116645193</v>
      </c>
      <c r="C5342" t="s">
        <v>40</v>
      </c>
      <c r="D5342">
        <v>5.7591409999999996</v>
      </c>
      <c r="E5342">
        <v>0.54439459999999995</v>
      </c>
      <c r="F5342" t="s">
        <v>42</v>
      </c>
      <c r="G5342">
        <v>-300.1936</v>
      </c>
      <c r="H5342" s="1">
        <v>-3.8801840000000001E-6</v>
      </c>
      <c r="I5342">
        <v>-31.486129999999999</v>
      </c>
      <c r="J5342">
        <v>-301.88229999999999</v>
      </c>
      <c r="K5342">
        <v>1.111081</v>
      </c>
      <c r="L5342">
        <v>-26.430389999999999</v>
      </c>
      <c r="M5342">
        <v>6.5828170000000005E-2</v>
      </c>
      <c r="N5342">
        <v>-1.121931E-2</v>
      </c>
      <c r="O5342">
        <v>-0.99776819999999999</v>
      </c>
      <c r="P5342">
        <v>0.3965746</v>
      </c>
      <c r="Q5342">
        <v>0.40665259999999998</v>
      </c>
      <c r="R5342">
        <v>-0.82302030000000004</v>
      </c>
      <c r="S5342">
        <v>1.112152</v>
      </c>
      <c r="T5342">
        <v>-0.72391709999999998</v>
      </c>
      <c r="U5342">
        <v>-3.4689329999999998</v>
      </c>
      <c r="V5342">
        <v>-0.34190739999999997</v>
      </c>
      <c r="W5342">
        <v>0.41582609999999998</v>
      </c>
      <c r="X5342">
        <v>0.84272649999999905</v>
      </c>
      <c r="Y5342">
        <v>-0.23639830000000001</v>
      </c>
      <c r="Z5342">
        <v>0.1851477</v>
      </c>
      <c r="AA5342">
        <v>0.95385330000000002</v>
      </c>
      <c r="AB5342">
        <v>28</v>
      </c>
      <c r="AC5342">
        <v>1.6886999999999801</v>
      </c>
      <c r="AD5342">
        <v>-1.1110848801840001</v>
      </c>
      <c r="AE5342">
        <v>-5.0557399999999904</v>
      </c>
      <c r="AF5342">
        <v>-1.2958989858707699</v>
      </c>
      <c r="AG5342">
        <v>-1.1110848801840001</v>
      </c>
      <c r="AH5342">
        <v>4.9412466141646201</v>
      </c>
      <c r="AI5342">
        <v>102.270913792161</v>
      </c>
      <c r="AJ5342">
        <v>104.695521585504</v>
      </c>
      <c r="AK5342">
        <v>5.2277893888858697</v>
      </c>
      <c r="AL5342">
        <v>65.428648887146807</v>
      </c>
      <c r="AM5342">
        <v>112.08316860406499</v>
      </c>
      <c r="AN5342">
        <v>0.999999984709109</v>
      </c>
    </row>
    <row r="5343" spans="1:40" x14ac:dyDescent="0.25">
      <c r="A5343" t="str">
        <f>"20190304164516677"</f>
        <v>20190304164516677</v>
      </c>
      <c r="B5343" t="str">
        <f>"1551689116665688"</f>
        <v>1551689116665688</v>
      </c>
      <c r="C5343" t="s">
        <v>40</v>
      </c>
      <c r="D5343">
        <v>5.7283839999999904</v>
      </c>
      <c r="E5343">
        <v>0.54467980000000005</v>
      </c>
      <c r="F5343" t="s">
        <v>42</v>
      </c>
      <c r="G5343">
        <v>-300.17959999999999</v>
      </c>
      <c r="H5343" s="1">
        <v>-3.7936150000000002E-6</v>
      </c>
      <c r="I5343">
        <v>-31.679279999999999</v>
      </c>
      <c r="J5343">
        <v>-301.86290000000002</v>
      </c>
      <c r="K5343">
        <v>1.1112219999999999</v>
      </c>
      <c r="L5343">
        <v>-26.713899999999999</v>
      </c>
      <c r="M5343">
        <v>6.6630620000000002E-2</v>
      </c>
      <c r="N5343">
        <v>-1.1093230000000001E-2</v>
      </c>
      <c r="O5343">
        <v>-0.99771620000000005</v>
      </c>
      <c r="P5343">
        <v>0.40009149999999999</v>
      </c>
      <c r="Q5343">
        <v>0.4062789</v>
      </c>
      <c r="R5343">
        <v>-0.82150159999999905</v>
      </c>
      <c r="S5343">
        <v>1.124298</v>
      </c>
      <c r="T5343">
        <v>-0.73365719999999901</v>
      </c>
      <c r="U5343">
        <v>-3.4658809999999902</v>
      </c>
      <c r="V5343">
        <v>-0.344993099999999</v>
      </c>
      <c r="W5343">
        <v>0.4152016</v>
      </c>
      <c r="X5343">
        <v>0.84177639999999998</v>
      </c>
      <c r="Y5343">
        <v>-0.2387312</v>
      </c>
      <c r="Z5343">
        <v>0.18779650000000001</v>
      </c>
      <c r="AA5343">
        <v>0.95275379999999998</v>
      </c>
      <c r="AB5343">
        <v>28</v>
      </c>
      <c r="AC5343">
        <v>1.68330000000003</v>
      </c>
      <c r="AD5343">
        <v>-1.1112257936149901</v>
      </c>
      <c r="AE5343">
        <v>-4.9653799999999997</v>
      </c>
      <c r="AF5343">
        <v>-1.2907114933975601</v>
      </c>
      <c r="AG5343">
        <v>-1.1112257936149901</v>
      </c>
      <c r="AH5343">
        <v>4.8486997863852999</v>
      </c>
      <c r="AI5343">
        <v>102.487606149705</v>
      </c>
      <c r="AJ5343">
        <v>104.906314669525</v>
      </c>
      <c r="AK5343">
        <v>5.1391291618402297</v>
      </c>
      <c r="AL5343">
        <v>65.467988671838796</v>
      </c>
      <c r="AM5343">
        <v>112.285749197629</v>
      </c>
      <c r="AN5343">
        <v>1.0000000576435599</v>
      </c>
    </row>
    <row r="5344" spans="1:40" x14ac:dyDescent="0.25">
      <c r="A5344" t="str">
        <f>"20190304164516700"</f>
        <v>20190304164516700</v>
      </c>
      <c r="B5344" t="str">
        <f>"1551689116695944"</f>
        <v>1551689116695944</v>
      </c>
      <c r="C5344" t="s">
        <v>40</v>
      </c>
      <c r="D5344">
        <v>5.7179149999999996</v>
      </c>
      <c r="E5344">
        <v>0.5449927</v>
      </c>
      <c r="F5344" t="s">
        <v>42</v>
      </c>
      <c r="G5344">
        <v>-300.14980000000003</v>
      </c>
      <c r="H5344" s="1">
        <v>-3.6676249999999999E-6</v>
      </c>
      <c r="I5344">
        <v>-31.954450000000001</v>
      </c>
      <c r="J5344">
        <v>-301.84179999999998</v>
      </c>
      <c r="K5344">
        <v>1.111381</v>
      </c>
      <c r="L5344">
        <v>-27.013459999999998</v>
      </c>
      <c r="M5344">
        <v>6.7724770000000004E-2</v>
      </c>
      <c r="N5344">
        <v>-1.0966139999999999E-2</v>
      </c>
      <c r="O5344">
        <v>-0.99764410000000003</v>
      </c>
      <c r="P5344">
        <v>0.4023002</v>
      </c>
      <c r="Q5344">
        <v>0.40640179999999998</v>
      </c>
      <c r="R5344">
        <v>-0.82036139999999902</v>
      </c>
      <c r="S5344">
        <v>1.132233</v>
      </c>
      <c r="T5344">
        <v>-0.73444580000000004</v>
      </c>
      <c r="U5344">
        <v>-3.463654</v>
      </c>
      <c r="V5344">
        <v>-0.34652149999999998</v>
      </c>
      <c r="W5344">
        <v>0.41506270000000001</v>
      </c>
      <c r="X5344">
        <v>0.84121689999999905</v>
      </c>
      <c r="Y5344">
        <v>-0.23980280000000001</v>
      </c>
      <c r="Z5344">
        <v>0.1881303</v>
      </c>
      <c r="AA5344">
        <v>0.95241880000000001</v>
      </c>
      <c r="AB5344">
        <v>29</v>
      </c>
      <c r="AC5344">
        <v>1.69199999999995</v>
      </c>
      <c r="AD5344">
        <v>-1.1113846676250001</v>
      </c>
      <c r="AE5344">
        <v>-4.9409900000000002</v>
      </c>
      <c r="AF5344">
        <v>-1.2948322443064999</v>
      </c>
      <c r="AG5344">
        <v>-1.1113846676250001</v>
      </c>
      <c r="AH5344">
        <v>4.8257141531035099</v>
      </c>
      <c r="AI5344">
        <v>102.540515727494</v>
      </c>
      <c r="AJ5344">
        <v>105.019783272691</v>
      </c>
      <c r="AK5344">
        <v>5.1185235671813896</v>
      </c>
      <c r="AL5344">
        <v>65.476735822808195</v>
      </c>
      <c r="AM5344">
        <v>112.388175344724</v>
      </c>
      <c r="AN5344">
        <v>1.00000003386957</v>
      </c>
    </row>
    <row r="5345" spans="1:40" x14ac:dyDescent="0.25">
      <c r="A5345" t="str">
        <f>"20190304164516723"</f>
        <v>20190304164516723</v>
      </c>
      <c r="B5345" t="str">
        <f>"1551689116715464"</f>
        <v>1551689116715464</v>
      </c>
      <c r="C5345" t="s">
        <v>40</v>
      </c>
      <c r="D5345">
        <v>5.7163209999999998</v>
      </c>
      <c r="E5345">
        <v>0.54495360000000004</v>
      </c>
      <c r="F5345" t="s">
        <v>42</v>
      </c>
      <c r="G5345">
        <v>-300.12</v>
      </c>
      <c r="H5345" s="1">
        <v>-3.5336119999999998E-6</v>
      </c>
      <c r="I5345">
        <v>-32.248359999999998</v>
      </c>
      <c r="J5345">
        <v>-301.82139999999998</v>
      </c>
      <c r="K5345">
        <v>1.1115630000000001</v>
      </c>
      <c r="L5345">
        <v>-27.29449</v>
      </c>
      <c r="M5345">
        <v>6.9018300000000005E-2</v>
      </c>
      <c r="N5345">
        <v>-1.0853720000000001E-2</v>
      </c>
      <c r="O5345">
        <v>-0.99755660000000002</v>
      </c>
      <c r="P5345">
        <v>0.4041903</v>
      </c>
      <c r="Q5345">
        <v>0.40528189999999997</v>
      </c>
      <c r="R5345">
        <v>-0.81998590000000005</v>
      </c>
      <c r="S5345">
        <v>1.138855</v>
      </c>
      <c r="T5345">
        <v>-0.7351164</v>
      </c>
      <c r="U5345">
        <v>-3.4625849999999998</v>
      </c>
      <c r="V5345">
        <v>-0.34752329999999998</v>
      </c>
      <c r="W5345">
        <v>0.41369</v>
      </c>
      <c r="X5345">
        <v>0.84147969999999905</v>
      </c>
      <c r="Y5345">
        <v>-0.24026459999999999</v>
      </c>
      <c r="Z5345">
        <v>0.18837970000000001</v>
      </c>
      <c r="AA5345">
        <v>0.95225309999999996</v>
      </c>
      <c r="AB5345">
        <v>29</v>
      </c>
      <c r="AC5345">
        <v>1.70139999999997</v>
      </c>
      <c r="AD5345">
        <v>-1.11156653361199</v>
      </c>
      <c r="AE5345">
        <v>-4.9538699999999896</v>
      </c>
      <c r="AF5345">
        <v>-1.29700320595452</v>
      </c>
      <c r="AG5345">
        <v>-1.11156653361199</v>
      </c>
      <c r="AH5345">
        <v>4.8414521683887601</v>
      </c>
      <c r="AI5345">
        <v>102.504299092971</v>
      </c>
      <c r="AJ5345">
        <v>104.997129208668</v>
      </c>
      <c r="AK5345">
        <v>5.1339513606674103</v>
      </c>
      <c r="AL5345">
        <v>65.563152692753306</v>
      </c>
      <c r="AM5345">
        <v>112.440170623651</v>
      </c>
      <c r="AN5345">
        <v>0.99999997282748898</v>
      </c>
    </row>
    <row r="5346" spans="1:40" x14ac:dyDescent="0.25">
      <c r="A5346" t="str">
        <f>"20190304164516745"</f>
        <v>20190304164516745</v>
      </c>
      <c r="B5346" t="str">
        <f>"1551689116735960"</f>
        <v>1551689116735960</v>
      </c>
      <c r="C5346" t="s">
        <v>40</v>
      </c>
      <c r="D5346">
        <v>5.708132</v>
      </c>
      <c r="E5346">
        <v>0.54485430000000001</v>
      </c>
      <c r="F5346" t="s">
        <v>42</v>
      </c>
      <c r="G5346">
        <v>-300.1096</v>
      </c>
      <c r="H5346" s="1">
        <v>-3.4361029999999999E-6</v>
      </c>
      <c r="I5346">
        <v>-32.469200000000001</v>
      </c>
      <c r="J5346">
        <v>-301.80059999999997</v>
      </c>
      <c r="K5346">
        <v>1.1117729999999999</v>
      </c>
      <c r="L5346">
        <v>-27.573119999999999</v>
      </c>
      <c r="M5346">
        <v>7.0600930000000006E-2</v>
      </c>
      <c r="N5346">
        <v>-1.0752070000000001E-2</v>
      </c>
      <c r="O5346">
        <v>-0.99744670000000002</v>
      </c>
      <c r="P5346">
        <v>0.40552539999999998</v>
      </c>
      <c r="Q5346">
        <v>0.40463440000000001</v>
      </c>
      <c r="R5346">
        <v>-0.81964649999999994</v>
      </c>
      <c r="S5346">
        <v>1.1451420000000001</v>
      </c>
      <c r="T5346">
        <v>-0.74359249999999999</v>
      </c>
      <c r="U5346">
        <v>-3.4616699999999998</v>
      </c>
      <c r="V5346">
        <v>-0.34775630000000002</v>
      </c>
      <c r="W5346">
        <v>0.41277380000000002</v>
      </c>
      <c r="X5346">
        <v>0.84183339999999995</v>
      </c>
      <c r="Y5346">
        <v>-0.2402234</v>
      </c>
      <c r="Z5346">
        <v>0.19064780000000001</v>
      </c>
      <c r="AA5346">
        <v>0.95181199999999999</v>
      </c>
      <c r="AB5346">
        <v>29</v>
      </c>
      <c r="AC5346">
        <v>1.6909999999999701</v>
      </c>
      <c r="AD5346">
        <v>-1.11177643610299</v>
      </c>
      <c r="AE5346">
        <v>-4.8960800000000004</v>
      </c>
      <c r="AF5346">
        <v>-1.2820317900381299</v>
      </c>
      <c r="AG5346">
        <v>-1.11177643610299</v>
      </c>
      <c r="AH5346">
        <v>4.7829161149152002</v>
      </c>
      <c r="AI5346">
        <v>102.65429297712301</v>
      </c>
      <c r="AJ5346">
        <v>105.00506609453301</v>
      </c>
      <c r="AK5346">
        <v>5.0750309276749999</v>
      </c>
      <c r="AL5346">
        <v>65.620801561166203</v>
      </c>
      <c r="AM5346">
        <v>112.445224587263</v>
      </c>
      <c r="AN5346">
        <v>1.0000000637558399</v>
      </c>
    </row>
    <row r="5347" spans="1:40" x14ac:dyDescent="0.25">
      <c r="A5347" t="str">
        <f>"20190304164516770"</f>
        <v>20190304164516770</v>
      </c>
      <c r="B5347" t="str">
        <f>"1551689116765239"</f>
        <v>1551689116765239</v>
      </c>
      <c r="C5347" t="s">
        <v>40</v>
      </c>
      <c r="D5347">
        <v>6.9664330000000003</v>
      </c>
      <c r="E5347">
        <v>0.54486809999999997</v>
      </c>
      <c r="F5347" t="s">
        <v>42</v>
      </c>
      <c r="G5347">
        <v>-300.09559999999999</v>
      </c>
      <c r="H5347" s="1">
        <v>-3.334928E-6</v>
      </c>
      <c r="I5347">
        <v>-32.696339999999999</v>
      </c>
      <c r="J5347">
        <v>-301.77679999999998</v>
      </c>
      <c r="K5347">
        <v>1.112039</v>
      </c>
      <c r="L5347">
        <v>-27.880279999999999</v>
      </c>
      <c r="M5347">
        <v>7.2726139999999995E-2</v>
      </c>
      <c r="N5347">
        <v>-1.065053E-2</v>
      </c>
      <c r="O5347">
        <v>-0.99729509999999999</v>
      </c>
      <c r="P5347">
        <v>0.40677259999999998</v>
      </c>
      <c r="Q5347">
        <v>0.4043197</v>
      </c>
      <c r="R5347">
        <v>-0.81918340000000001</v>
      </c>
      <c r="S5347">
        <v>1.1518550000000001</v>
      </c>
      <c r="T5347">
        <v>-0.75106809999999902</v>
      </c>
      <c r="U5347">
        <v>-3.4610289999999999</v>
      </c>
      <c r="V5347">
        <v>-0.34751330000000002</v>
      </c>
      <c r="W5347">
        <v>0.41213919999999998</v>
      </c>
      <c r="X5347">
        <v>0.84224449999999995</v>
      </c>
      <c r="Y5347">
        <v>-0.23975199999999999</v>
      </c>
      <c r="Z5347">
        <v>0.1926331</v>
      </c>
      <c r="AA5347">
        <v>0.95153109999999996</v>
      </c>
      <c r="AB5347">
        <v>29</v>
      </c>
      <c r="AC5347">
        <v>1.68119999999998</v>
      </c>
      <c r="AD5347">
        <v>-1.112042334928</v>
      </c>
      <c r="AE5347">
        <v>-4.8160600000000002</v>
      </c>
      <c r="AF5347">
        <v>-1.2662938353318201</v>
      </c>
      <c r="AG5347">
        <v>-1.112042334928</v>
      </c>
      <c r="AH5347">
        <v>4.7021122542869298</v>
      </c>
      <c r="AI5347">
        <v>102.86362431353101</v>
      </c>
      <c r="AJ5347">
        <v>105.072357113717</v>
      </c>
      <c r="AK5347">
        <v>4.9949972856836302</v>
      </c>
      <c r="AL5347">
        <v>65.660713128938895</v>
      </c>
      <c r="AM5347">
        <v>112.421230869814</v>
      </c>
      <c r="AN5347">
        <v>1.0000000058168901</v>
      </c>
    </row>
    <row r="5348" spans="1:40" x14ac:dyDescent="0.25">
      <c r="A5348" t="str">
        <f>"20190304164516791"</f>
        <v>20190304164516791</v>
      </c>
      <c r="B5348" t="str">
        <f>"1551689116785737"</f>
        <v>1551689116785737</v>
      </c>
      <c r="C5348" t="s">
        <v>40</v>
      </c>
      <c r="D5348">
        <v>5.7122989999999998</v>
      </c>
      <c r="E5348">
        <v>0.54498279999999999</v>
      </c>
      <c r="F5348" t="s">
        <v>42</v>
      </c>
      <c r="G5348">
        <v>-300.07190000000003</v>
      </c>
      <c r="H5348" s="1">
        <v>-3.205737E-6</v>
      </c>
      <c r="I5348">
        <v>-32.98283</v>
      </c>
      <c r="J5348">
        <v>-301.7534</v>
      </c>
      <c r="K5348">
        <v>1.112325</v>
      </c>
      <c r="L5348">
        <v>-28.17004</v>
      </c>
      <c r="M5348">
        <v>7.5127330000000006E-2</v>
      </c>
      <c r="N5348">
        <v>-1.0567750000000001E-2</v>
      </c>
      <c r="O5348">
        <v>-0.99711810000000001</v>
      </c>
      <c r="P5348">
        <v>0.40732269999999998</v>
      </c>
      <c r="Q5348">
        <v>0.40356760000000003</v>
      </c>
      <c r="R5348">
        <v>-0.81928129999999999</v>
      </c>
      <c r="S5348">
        <v>1.156158</v>
      </c>
      <c r="T5348">
        <v>-0.7541312</v>
      </c>
      <c r="U5348">
        <v>-3.4602970000000002</v>
      </c>
      <c r="V5348">
        <v>-0.34630670000000002</v>
      </c>
      <c r="W5348">
        <v>0.41108460000000002</v>
      </c>
      <c r="X5348">
        <v>0.84325629999999996</v>
      </c>
      <c r="Y5348">
        <v>-0.2384915</v>
      </c>
      <c r="Z5348">
        <v>0.1934921</v>
      </c>
      <c r="AA5348">
        <v>0.95167360000000001</v>
      </c>
      <c r="AB5348">
        <v>29</v>
      </c>
      <c r="AC5348">
        <v>1.68149999999997</v>
      </c>
      <c r="AD5348">
        <v>-1.1123282057369901</v>
      </c>
      <c r="AE5348">
        <v>-4.8127899999999899</v>
      </c>
      <c r="AF5348">
        <v>-1.25539224332943</v>
      </c>
      <c r="AG5348">
        <v>-1.1123282057369901</v>
      </c>
      <c r="AH5348">
        <v>4.7016963994464902</v>
      </c>
      <c r="AI5348">
        <v>102.87506453358</v>
      </c>
      <c r="AJ5348">
        <v>104.949693434807</v>
      </c>
      <c r="AK5348">
        <v>4.9919167415390504</v>
      </c>
      <c r="AL5348">
        <v>65.727014951468803</v>
      </c>
      <c r="AM5348">
        <v>112.32687097882101</v>
      </c>
      <c r="AN5348">
        <v>1.0000000331558601</v>
      </c>
    </row>
    <row r="5349" spans="1:40" x14ac:dyDescent="0.25">
      <c r="A5349" t="str">
        <f>"20190304164516812"</f>
        <v>20190304164516812</v>
      </c>
      <c r="B5349" t="str">
        <f>"1551689116805257"</f>
        <v>1551689116805257</v>
      </c>
      <c r="C5349" t="s">
        <v>40</v>
      </c>
      <c r="D5349">
        <v>5.7066080000000001</v>
      </c>
      <c r="E5349">
        <v>0.5450526</v>
      </c>
      <c r="F5349" t="s">
        <v>42</v>
      </c>
      <c r="G5349">
        <v>-300.05290000000002</v>
      </c>
      <c r="H5349" s="1">
        <v>-3.090389E-6</v>
      </c>
      <c r="I5349">
        <v>-33.239890000000003</v>
      </c>
      <c r="J5349">
        <v>-301.73140000000001</v>
      </c>
      <c r="K5349">
        <v>1.1125830000000001</v>
      </c>
      <c r="L5349">
        <v>-28.429169999999999</v>
      </c>
      <c r="M5349">
        <v>7.7636700000000003E-2</v>
      </c>
      <c r="N5349">
        <v>-1.050473E-2</v>
      </c>
      <c r="O5349">
        <v>-0.99692630000000004</v>
      </c>
      <c r="P5349">
        <v>0.4079681</v>
      </c>
      <c r="Q5349">
        <v>0.40159329999999999</v>
      </c>
      <c r="R5349">
        <v>-0.81992969999999898</v>
      </c>
      <c r="S5349">
        <v>1.160126</v>
      </c>
      <c r="T5349">
        <v>-0.75885760000000002</v>
      </c>
      <c r="U5349">
        <v>-3.458771</v>
      </c>
      <c r="V5349">
        <v>-0.3450317</v>
      </c>
      <c r="W5349">
        <v>0.40884900000000002</v>
      </c>
      <c r="X5349">
        <v>0.84486419999999995</v>
      </c>
      <c r="Y5349">
        <v>-0.2370768</v>
      </c>
      <c r="Z5349">
        <v>0.19480710000000001</v>
      </c>
      <c r="AA5349">
        <v>0.95175869999999996</v>
      </c>
      <c r="AB5349">
        <v>29</v>
      </c>
      <c r="AC5349">
        <v>1.6784999999999799</v>
      </c>
      <c r="AD5349">
        <v>-1.1125860903889999</v>
      </c>
      <c r="AE5349">
        <v>-4.8107199999999999</v>
      </c>
      <c r="AF5349">
        <v>-1.24076196038075</v>
      </c>
      <c r="AG5349">
        <v>-1.1125860903889999</v>
      </c>
      <c r="AH5349">
        <v>4.7023026603093303</v>
      </c>
      <c r="AI5349">
        <v>102.886057558454</v>
      </c>
      <c r="AJ5349">
        <v>104.781319612405</v>
      </c>
      <c r="AK5349">
        <v>4.9888864849791101</v>
      </c>
      <c r="AL5349">
        <v>65.867447388675004</v>
      </c>
      <c r="AM5349">
        <v>112.214474452979</v>
      </c>
      <c r="AN5349">
        <v>0.99999994762376299</v>
      </c>
    </row>
    <row r="5350" spans="1:40" x14ac:dyDescent="0.25">
      <c r="A5350" t="str">
        <f>"20190304164516835"</f>
        <v>20190304164516835</v>
      </c>
      <c r="B5350" t="str">
        <f>"1551689116825752"</f>
        <v>1551689116825752</v>
      </c>
      <c r="C5350" t="s">
        <v>40</v>
      </c>
      <c r="D5350">
        <v>5.7150359999999996</v>
      </c>
      <c r="E5350">
        <v>0.5451163</v>
      </c>
      <c r="F5350" t="s">
        <v>42</v>
      </c>
      <c r="G5350">
        <v>-300.04969999999997</v>
      </c>
      <c r="H5350" s="1">
        <v>-3.0053089999999999E-6</v>
      </c>
      <c r="I5350">
        <v>-33.436230000000002</v>
      </c>
      <c r="J5350">
        <v>-301.70530000000002</v>
      </c>
      <c r="K5350">
        <v>1.112878</v>
      </c>
      <c r="L5350">
        <v>-28.722470000000001</v>
      </c>
      <c r="M5350">
        <v>8.0874730000000006E-2</v>
      </c>
      <c r="N5350">
        <v>-1.0443529999999999E-2</v>
      </c>
      <c r="O5350">
        <v>-0.99666969999999999</v>
      </c>
      <c r="P5350">
        <v>0.40925159999999999</v>
      </c>
      <c r="Q5350">
        <v>0.39897830000000001</v>
      </c>
      <c r="R5350">
        <v>-0.82056659999999904</v>
      </c>
      <c r="S5350">
        <v>1.161224</v>
      </c>
      <c r="T5350">
        <v>-0.76823260000000004</v>
      </c>
      <c r="U5350">
        <v>-3.4573360000000002</v>
      </c>
      <c r="V5350">
        <v>-0.34379369999999998</v>
      </c>
      <c r="W5350">
        <v>0.40594920000000001</v>
      </c>
      <c r="X5350">
        <v>0.84676509999999905</v>
      </c>
      <c r="Y5350">
        <v>-0.2341539</v>
      </c>
      <c r="Z5350">
        <v>0.1973616</v>
      </c>
      <c r="AA5350">
        <v>0.95195609999999997</v>
      </c>
      <c r="AB5350">
        <v>29</v>
      </c>
      <c r="AC5350">
        <v>1.6556000000000399</v>
      </c>
      <c r="AD5350">
        <v>-1.1128810053089999</v>
      </c>
      <c r="AE5350">
        <v>-4.7137599999999997</v>
      </c>
      <c r="AF5350">
        <v>-1.20894529141003</v>
      </c>
      <c r="AG5350">
        <v>-1.1128810053089999</v>
      </c>
      <c r="AH5350">
        <v>4.6037878884576298</v>
      </c>
      <c r="AI5350">
        <v>103.159630411283</v>
      </c>
      <c r="AJ5350">
        <v>104.71355445910601</v>
      </c>
      <c r="AK5350">
        <v>4.8882426056313202</v>
      </c>
      <c r="AL5350">
        <v>66.049377364061399</v>
      </c>
      <c r="AM5350">
        <v>112.097563106759</v>
      </c>
      <c r="AN5350">
        <v>0.99999999785916904</v>
      </c>
    </row>
    <row r="5351" spans="1:40" x14ac:dyDescent="0.25">
      <c r="A5351" t="str">
        <f>"20190304164516856"</f>
        <v>20190304164516856</v>
      </c>
      <c r="B5351" t="str">
        <f>"1551689116845272"</f>
        <v>1551689116845272</v>
      </c>
      <c r="C5351" t="s">
        <v>40</v>
      </c>
      <c r="D5351">
        <v>5.6963759999999999</v>
      </c>
      <c r="E5351">
        <v>0.54501199999999905</v>
      </c>
      <c r="F5351" t="s">
        <v>42</v>
      </c>
      <c r="G5351">
        <v>-300.04320000000001</v>
      </c>
      <c r="H5351" s="1">
        <v>-2.910113E-6</v>
      </c>
      <c r="I5351">
        <v>-33.654159999999997</v>
      </c>
      <c r="J5351">
        <v>-301.67970000000003</v>
      </c>
      <c r="K5351">
        <v>1.1131409999999999</v>
      </c>
      <c r="L5351">
        <v>-28.996189999999999</v>
      </c>
      <c r="M5351">
        <v>8.4259550000000003E-2</v>
      </c>
      <c r="N5351">
        <v>-1.0389789999999999E-2</v>
      </c>
      <c r="O5351">
        <v>-0.99638990000000005</v>
      </c>
      <c r="P5351">
        <v>0.41049330000000001</v>
      </c>
      <c r="Q5351">
        <v>0.39848139999999999</v>
      </c>
      <c r="R5351">
        <v>-0.82018799999999903</v>
      </c>
      <c r="S5351">
        <v>1.164185</v>
      </c>
      <c r="T5351">
        <v>-0.77951990000000004</v>
      </c>
      <c r="U5351">
        <v>-3.4544069999999998</v>
      </c>
      <c r="V5351">
        <v>-0.34243430000000002</v>
      </c>
      <c r="W5351">
        <v>0.4052</v>
      </c>
      <c r="X5351">
        <v>0.84767429999999999</v>
      </c>
      <c r="Y5351">
        <v>-0.2316318</v>
      </c>
      <c r="Z5351">
        <v>0.20044809999999999</v>
      </c>
      <c r="AA5351">
        <v>0.9519282</v>
      </c>
      <c r="AB5351">
        <v>29</v>
      </c>
      <c r="AC5351">
        <v>1.6365000000000101</v>
      </c>
      <c r="AD5351">
        <v>-1.1131439101129901</v>
      </c>
      <c r="AE5351">
        <v>-4.65796999999999</v>
      </c>
      <c r="AF5351">
        <v>-1.17828239569986</v>
      </c>
      <c r="AG5351">
        <v>-1.1131439101129901</v>
      </c>
      <c r="AH5351">
        <v>4.54810006238902</v>
      </c>
      <c r="AI5351">
        <v>103.329152714511</v>
      </c>
      <c r="AJ5351">
        <v>104.524365979099</v>
      </c>
      <c r="AK5351">
        <v>4.8283178174329899</v>
      </c>
      <c r="AL5351">
        <v>66.096339335053599</v>
      </c>
      <c r="AM5351">
        <v>111.9971905976</v>
      </c>
      <c r="AN5351">
        <v>1.00000000434849</v>
      </c>
    </row>
    <row r="5352" spans="1:40" x14ac:dyDescent="0.25">
      <c r="A5352" t="str">
        <f>"20190304164516879"</f>
        <v>20190304164516879</v>
      </c>
      <c r="B5352" t="str">
        <f>"1551689116875529"</f>
        <v>1551689116875529</v>
      </c>
      <c r="C5352" t="s">
        <v>40</v>
      </c>
      <c r="D5352">
        <v>5.8295300000000001</v>
      </c>
      <c r="E5352">
        <v>0.54489699999999996</v>
      </c>
      <c r="F5352" t="s">
        <v>42</v>
      </c>
      <c r="G5352">
        <v>-300.02170000000001</v>
      </c>
      <c r="H5352" s="1">
        <v>-2.8008949999999998E-6</v>
      </c>
      <c r="I5352">
        <v>-33.895400000000002</v>
      </c>
      <c r="J5352">
        <v>-301.65190000000001</v>
      </c>
      <c r="K5352">
        <v>1.113367</v>
      </c>
      <c r="L5352">
        <v>-29.279240000000001</v>
      </c>
      <c r="M5352">
        <v>8.8035409999999995E-2</v>
      </c>
      <c r="N5352">
        <v>-1.0338480000000001E-2</v>
      </c>
      <c r="O5352">
        <v>-0.99606380000000005</v>
      </c>
      <c r="P5352">
        <v>0.41330889999999998</v>
      </c>
      <c r="Q5352">
        <v>0.39956330000000001</v>
      </c>
      <c r="R5352">
        <v>-0.81824509999999995</v>
      </c>
      <c r="S5352">
        <v>1.168884</v>
      </c>
      <c r="T5352">
        <v>-0.78476679999999999</v>
      </c>
      <c r="U5352">
        <v>-3.4539490000000002</v>
      </c>
      <c r="V5352">
        <v>-0.3424179</v>
      </c>
      <c r="W5352">
        <v>0.40603980000000001</v>
      </c>
      <c r="X5352">
        <v>0.847279</v>
      </c>
      <c r="Y5352">
        <v>-0.22906270000000001</v>
      </c>
      <c r="Z5352">
        <v>0.20180439999999999</v>
      </c>
      <c r="AA5352">
        <v>0.95226319999999998</v>
      </c>
      <c r="AB5352">
        <v>29</v>
      </c>
      <c r="AC5352">
        <v>1.6302000000000001</v>
      </c>
      <c r="AD5352">
        <v>-1.1133698008949999</v>
      </c>
      <c r="AE5352">
        <v>-4.6161599999999998</v>
      </c>
      <c r="AF5352">
        <v>-1.1575898510011999</v>
      </c>
      <c r="AG5352">
        <v>-1.1133698008949999</v>
      </c>
      <c r="AH5352">
        <v>4.5085664575144602</v>
      </c>
      <c r="AI5352">
        <v>103.45169892953</v>
      </c>
      <c r="AJ5352">
        <v>104.399841873906</v>
      </c>
      <c r="AK5352">
        <v>4.7861025979924898</v>
      </c>
      <c r="AL5352">
        <v>66.043697741724102</v>
      </c>
      <c r="AM5352">
        <v>112.005520358235</v>
      </c>
      <c r="AN5352">
        <v>1.00000002063272</v>
      </c>
    </row>
    <row r="5353" spans="1:40" x14ac:dyDescent="0.25">
      <c r="A5353" t="str">
        <f>"20190304164516901"</f>
        <v>20190304164516901</v>
      </c>
      <c r="B5353" t="str">
        <f>"1551689116895048"</f>
        <v>1551689116895048</v>
      </c>
      <c r="C5353" t="s">
        <v>40</v>
      </c>
      <c r="D5353">
        <v>5.754721</v>
      </c>
      <c r="E5353">
        <v>0.54487969999999997</v>
      </c>
      <c r="F5353" t="s">
        <v>42</v>
      </c>
      <c r="G5353">
        <v>-299.9778</v>
      </c>
      <c r="H5353" s="1">
        <v>-2.6606410000000001E-6</v>
      </c>
      <c r="I5353">
        <v>-34.195079999999997</v>
      </c>
      <c r="J5353">
        <v>-301.62139999999999</v>
      </c>
      <c r="K5353">
        <v>1.1135569999999999</v>
      </c>
      <c r="L5353">
        <v>-29.57593</v>
      </c>
      <c r="M5353">
        <v>9.2243740000000005E-2</v>
      </c>
      <c r="N5353">
        <v>-1.029097E-2</v>
      </c>
      <c r="O5353">
        <v>-0.99568319999999999</v>
      </c>
      <c r="P5353">
        <v>0.41771229999999998</v>
      </c>
      <c r="Q5353">
        <v>0.40143079999999998</v>
      </c>
      <c r="R5353">
        <v>-0.81508859999999905</v>
      </c>
      <c r="S5353">
        <v>1.176361</v>
      </c>
      <c r="T5353">
        <v>-0.78232690000000005</v>
      </c>
      <c r="U5353">
        <v>-3.4541930000000001</v>
      </c>
      <c r="V5353">
        <v>-0.34370420000000002</v>
      </c>
      <c r="W5353">
        <v>0.40767809999999999</v>
      </c>
      <c r="X5353">
        <v>0.84597049999999996</v>
      </c>
      <c r="Y5353">
        <v>-0.22683400000000001</v>
      </c>
      <c r="Z5353">
        <v>0.2010835</v>
      </c>
      <c r="AA5353">
        <v>0.95294900000000005</v>
      </c>
      <c r="AB5353">
        <v>29</v>
      </c>
      <c r="AC5353">
        <v>1.64359999999999</v>
      </c>
      <c r="AD5353">
        <v>-1.1135596606410001</v>
      </c>
      <c r="AE5353">
        <v>-4.6191499999999897</v>
      </c>
      <c r="AF5353">
        <v>-1.15110108575042</v>
      </c>
      <c r="AG5353">
        <v>-1.1135596606410001</v>
      </c>
      <c r="AH5353">
        <v>4.5180091988623801</v>
      </c>
      <c r="AI5353">
        <v>103.432939638148</v>
      </c>
      <c r="AJ5353">
        <v>104.29374793112601</v>
      </c>
      <c r="AK5353">
        <v>4.79348056723168</v>
      </c>
      <c r="AL5353">
        <v>65.940941348250007</v>
      </c>
      <c r="AM5353">
        <v>112.111115848898</v>
      </c>
      <c r="AN5353">
        <v>1.0000000485937399</v>
      </c>
    </row>
    <row r="5354" spans="1:40" x14ac:dyDescent="0.25">
      <c r="A5354" t="str">
        <f>"20190304164516926"</f>
        <v>20190304164516926</v>
      </c>
      <c r="B5354" t="str">
        <f>"1551689116915545"</f>
        <v>1551689116915545</v>
      </c>
      <c r="C5354" t="s">
        <v>40</v>
      </c>
      <c r="D5354">
        <v>5.722296</v>
      </c>
      <c r="E5354">
        <v>0.54471250000000004</v>
      </c>
      <c r="F5354" t="s">
        <v>42</v>
      </c>
      <c r="G5354">
        <v>-299.90839999999997</v>
      </c>
      <c r="H5354" s="1">
        <v>-2.5153010000000001E-6</v>
      </c>
      <c r="I5354">
        <v>-34.541840000000001</v>
      </c>
      <c r="J5354">
        <v>-301.5883</v>
      </c>
      <c r="K5354">
        <v>1.1137140000000001</v>
      </c>
      <c r="L5354">
        <v>-29.88297</v>
      </c>
      <c r="M5354">
        <v>9.6804849999999998E-2</v>
      </c>
      <c r="N5354">
        <v>-1.0248230000000001E-2</v>
      </c>
      <c r="O5354">
        <v>-0.99525070000000004</v>
      </c>
      <c r="P5354">
        <v>0.4225507</v>
      </c>
      <c r="Q5354">
        <v>0.4025455</v>
      </c>
      <c r="R5354">
        <v>-0.81203939999999997</v>
      </c>
      <c r="S5354">
        <v>1.1906129999999999</v>
      </c>
      <c r="T5354">
        <v>-0.7739954</v>
      </c>
      <c r="U5354">
        <v>-3.4516300000000002</v>
      </c>
      <c r="V5354">
        <v>-0.34508909999999998</v>
      </c>
      <c r="W5354">
        <v>0.40859790000000001</v>
      </c>
      <c r="X5354">
        <v>0.84496229999999894</v>
      </c>
      <c r="Y5354">
        <v>-0.22626560000000001</v>
      </c>
      <c r="Z5354">
        <v>0.1988742</v>
      </c>
      <c r="AA5354">
        <v>0.95354749999999999</v>
      </c>
      <c r="AB5354">
        <v>29</v>
      </c>
      <c r="AC5354">
        <v>1.6799000000000299</v>
      </c>
      <c r="AD5354">
        <v>-1.11371651530099</v>
      </c>
      <c r="AE5354">
        <v>-4.6588699999999896</v>
      </c>
      <c r="AF5354">
        <v>-1.1622101960162901</v>
      </c>
      <c r="AG5354">
        <v>-1.11371651530099</v>
      </c>
      <c r="AH5354">
        <v>4.5685795989618301</v>
      </c>
      <c r="AI5354">
        <v>103.292548415409</v>
      </c>
      <c r="AJ5354">
        <v>104.272839267694</v>
      </c>
      <c r="AK5354">
        <v>4.8438638057060102</v>
      </c>
      <c r="AL5354">
        <v>65.8832127883162</v>
      </c>
      <c r="AM5354">
        <v>112.215482016881</v>
      </c>
      <c r="AN5354">
        <v>1.0000000096222501</v>
      </c>
    </row>
    <row r="5355" spans="1:40" x14ac:dyDescent="0.25">
      <c r="A5355" t="str">
        <f>"20190304164516945"</f>
        <v>20190304164516945</v>
      </c>
      <c r="B5355" t="str">
        <f>"1551689116935065"</f>
        <v>1551689116935065</v>
      </c>
      <c r="C5355" t="s">
        <v>40</v>
      </c>
      <c r="D5355">
        <v>6.0992739999999896</v>
      </c>
      <c r="E5355">
        <v>0.52430519999999903</v>
      </c>
      <c r="F5355" t="s">
        <v>42</v>
      </c>
      <c r="G5355">
        <v>-299.8417</v>
      </c>
      <c r="H5355" s="1">
        <v>-2.3918819999999998E-6</v>
      </c>
      <c r="I5355">
        <v>-34.857140000000001</v>
      </c>
      <c r="J5355">
        <v>-301.5598</v>
      </c>
      <c r="K5355">
        <v>1.1138159999999999</v>
      </c>
      <c r="L5355">
        <v>-30.135680000000001</v>
      </c>
      <c r="M5355">
        <v>0.1006629</v>
      </c>
      <c r="N5355">
        <v>-1.0217209999999999E-2</v>
      </c>
      <c r="O5355">
        <v>-0.99486819999999998</v>
      </c>
      <c r="P5355">
        <v>0.42899340000000002</v>
      </c>
      <c r="Q5355">
        <v>0.40162880000000001</v>
      </c>
      <c r="R5355">
        <v>-0.80911</v>
      </c>
      <c r="S5355">
        <v>1.2104189999999999</v>
      </c>
      <c r="T5355">
        <v>-0.77181390000000005</v>
      </c>
      <c r="U5355">
        <v>-3.4471440000000002</v>
      </c>
      <c r="V5355">
        <v>-0.3485973</v>
      </c>
      <c r="W5355">
        <v>0.40752919999999998</v>
      </c>
      <c r="X5355">
        <v>0.84403790000000001</v>
      </c>
      <c r="Y5355">
        <v>-0.2278038</v>
      </c>
      <c r="Z5355">
        <v>0.19825609999999999</v>
      </c>
      <c r="AA5355">
        <v>0.95330999999999999</v>
      </c>
      <c r="AB5355">
        <v>29</v>
      </c>
      <c r="AC5355">
        <v>1.71809999999999</v>
      </c>
      <c r="AD5355">
        <v>-1.1138183918819999</v>
      </c>
      <c r="AE5355">
        <v>-4.7214600000000004</v>
      </c>
      <c r="AF5355">
        <v>-1.1762652504341999</v>
      </c>
      <c r="AG5355">
        <v>-1.1138183918819999</v>
      </c>
      <c r="AH5355">
        <v>4.6422927902379598</v>
      </c>
      <c r="AI5355">
        <v>103.09300993588</v>
      </c>
      <c r="AJ5355">
        <v>104.21837879365999</v>
      </c>
      <c r="AK5355">
        <v>4.9168154022465602</v>
      </c>
      <c r="AL5355">
        <v>65.9502840915045</v>
      </c>
      <c r="AM5355">
        <v>112.441184728053</v>
      </c>
      <c r="AN5355">
        <v>1.00000005152816</v>
      </c>
    </row>
    <row r="5356" spans="1:40" x14ac:dyDescent="0.25">
      <c r="A5356" t="str">
        <f>"20190304164516970"</f>
        <v>20190304164516970</v>
      </c>
      <c r="B5356" t="str">
        <f>"1551689116965321"</f>
        <v>1551689116965321</v>
      </c>
      <c r="C5356" t="s">
        <v>40</v>
      </c>
      <c r="D5356">
        <v>5.7978009999999998</v>
      </c>
      <c r="E5356">
        <v>0.4549164</v>
      </c>
      <c r="F5356" t="s">
        <v>42</v>
      </c>
      <c r="G5356">
        <v>-299.48489999999998</v>
      </c>
      <c r="H5356" s="1">
        <v>-2.3107359999999999E-6</v>
      </c>
      <c r="I5356">
        <v>-35.193809999999999</v>
      </c>
      <c r="J5356">
        <v>-301.52379999999999</v>
      </c>
      <c r="K5356">
        <v>1.1138969999999999</v>
      </c>
      <c r="L5356">
        <v>-30.443570000000001</v>
      </c>
      <c r="M5356">
        <v>0.1054248</v>
      </c>
      <c r="N5356">
        <v>-1.0183330000000001E-2</v>
      </c>
      <c r="O5356">
        <v>-0.99437520000000001</v>
      </c>
      <c r="P5356">
        <v>0.43599690000000002</v>
      </c>
      <c r="Q5356">
        <v>0.40027790000000002</v>
      </c>
      <c r="R5356">
        <v>-0.80603000000000002</v>
      </c>
      <c r="S5356">
        <v>1.372498</v>
      </c>
      <c r="T5356">
        <v>-0.73675610000000002</v>
      </c>
      <c r="U5356">
        <v>-3.3457949999999999</v>
      </c>
      <c r="V5356">
        <v>-0.3519022</v>
      </c>
      <c r="W5356">
        <v>0.4060377</v>
      </c>
      <c r="X5356">
        <v>0.84338500000000005</v>
      </c>
      <c r="Y5356">
        <v>-0.2725379</v>
      </c>
      <c r="Z5356">
        <v>0.1917092</v>
      </c>
      <c r="AA5356">
        <v>0.94285240000000003</v>
      </c>
      <c r="AB5356">
        <v>29</v>
      </c>
      <c r="AC5356">
        <v>2.0389000000000101</v>
      </c>
      <c r="AD5356">
        <v>-1.113899310736</v>
      </c>
      <c r="AE5356">
        <v>-4.75023999999999</v>
      </c>
      <c r="AF5356">
        <v>-1.45897337547289</v>
      </c>
      <c r="AG5356">
        <v>-1.113899310736</v>
      </c>
      <c r="AH5356">
        <v>4.7195838626550204</v>
      </c>
      <c r="AI5356">
        <v>102.70700004746401</v>
      </c>
      <c r="AJ5356">
        <v>107.17804127710799</v>
      </c>
      <c r="AK5356">
        <v>5.0639753970009096</v>
      </c>
      <c r="AL5356">
        <v>66.043829266705799</v>
      </c>
      <c r="AM5356">
        <v>112.648326358559</v>
      </c>
      <c r="AN5356">
        <v>1.0000000152055599</v>
      </c>
    </row>
    <row r="5357" spans="1:40" x14ac:dyDescent="0.25">
      <c r="A5357" t="str">
        <f>"20190304164516993"</f>
        <v>20190304164516993</v>
      </c>
      <c r="B5357" t="str">
        <f>"1551689116985816"</f>
        <v>1551689116985816</v>
      </c>
      <c r="C5357" t="s">
        <v>40</v>
      </c>
      <c r="D5357">
        <v>5.7153359999999997</v>
      </c>
      <c r="E5357">
        <v>0.44693040000000001</v>
      </c>
      <c r="F5357" t="s">
        <v>42</v>
      </c>
      <c r="G5357">
        <v>-296.87400000000002</v>
      </c>
      <c r="H5357" s="1">
        <v>-1.683737E-6</v>
      </c>
      <c r="I5357">
        <v>-37.848300000000002</v>
      </c>
      <c r="J5357">
        <v>-301.48700000000002</v>
      </c>
      <c r="K5357">
        <v>1.1139520000000001</v>
      </c>
      <c r="L5357">
        <v>-30.745729999999998</v>
      </c>
      <c r="M5357">
        <v>0.11011319999999999</v>
      </c>
      <c r="N5357">
        <v>-1.015366E-2</v>
      </c>
      <c r="O5357">
        <v>-0.99386750000000001</v>
      </c>
      <c r="P5357">
        <v>0.44099969999999999</v>
      </c>
      <c r="Q5357">
        <v>0.39760119999999999</v>
      </c>
      <c r="R5357">
        <v>-0.80463240000000003</v>
      </c>
      <c r="S5357">
        <v>1.847626</v>
      </c>
      <c r="T5357">
        <v>-0.4426155</v>
      </c>
      <c r="U5357">
        <v>-2.9423219999999999</v>
      </c>
      <c r="V5357">
        <v>-0.3530586</v>
      </c>
      <c r="W5357">
        <v>0.40328920000000001</v>
      </c>
      <c r="X5357">
        <v>0.84421999999999997</v>
      </c>
      <c r="Y5357">
        <v>-0.43126110000000001</v>
      </c>
      <c r="Z5357">
        <v>0.1190205</v>
      </c>
      <c r="AA5357">
        <v>0.89434219999999898</v>
      </c>
      <c r="AB5357">
        <v>29</v>
      </c>
      <c r="AC5357">
        <v>4.6130000000000004</v>
      </c>
      <c r="AD5357">
        <v>-1.1139536837369901</v>
      </c>
      <c r="AE5357">
        <v>-7.1025700000000001</v>
      </c>
      <c r="AF5357">
        <v>-3.73814749083764</v>
      </c>
      <c r="AG5357">
        <v>-1.1139536837369901</v>
      </c>
      <c r="AH5357">
        <v>7.4386616396279903</v>
      </c>
      <c r="AI5357">
        <v>97.621278868584696</v>
      </c>
      <c r="AJ5357">
        <v>116.680881110011</v>
      </c>
      <c r="AK5357">
        <v>8.39930511778444</v>
      </c>
      <c r="AL5357">
        <v>66.2160355690025</v>
      </c>
      <c r="AM5357">
        <v>112.69501642999801</v>
      </c>
      <c r="AN5357">
        <v>0.99999998113529898</v>
      </c>
    </row>
    <row r="5358" spans="1:40" x14ac:dyDescent="0.25">
      <c r="A5358" t="str">
        <f>"20190304164517015"</f>
        <v>20190304164517015</v>
      </c>
      <c r="B5358" t="str">
        <f>"1551689117005337"</f>
        <v>1551689117005337</v>
      </c>
      <c r="C5358" t="s">
        <v>40</v>
      </c>
      <c r="D5358">
        <v>5.6682499999999996</v>
      </c>
      <c r="E5358">
        <v>0.44633289999999998</v>
      </c>
      <c r="F5358" t="s">
        <v>42</v>
      </c>
      <c r="G5358">
        <v>-296.21120000000002</v>
      </c>
      <c r="H5358" s="1">
        <v>-1.586886E-6</v>
      </c>
      <c r="I5358">
        <v>-38.651119999999999</v>
      </c>
      <c r="J5358">
        <v>-301.45269999999999</v>
      </c>
      <c r="K5358">
        <v>1.113955</v>
      </c>
      <c r="L5358">
        <v>-31.016999999999999</v>
      </c>
      <c r="M5358">
        <v>0.11430609999999999</v>
      </c>
      <c r="N5358">
        <v>-1.0130180000000001E-2</v>
      </c>
      <c r="O5358">
        <v>-0.99339409999999895</v>
      </c>
      <c r="P5358">
        <v>0.44432280000000002</v>
      </c>
      <c r="Q5358">
        <v>0.3943835</v>
      </c>
      <c r="R5358">
        <v>-0.80438769999999904</v>
      </c>
      <c r="S5358">
        <v>1.919708</v>
      </c>
      <c r="T5358">
        <v>-0.40533760000000002</v>
      </c>
      <c r="U5358">
        <v>-2.8765559999999999</v>
      </c>
      <c r="V5358">
        <v>-0.35279820000000001</v>
      </c>
      <c r="W5358">
        <v>0.40005299999999999</v>
      </c>
      <c r="X5358">
        <v>0.84586700000000004</v>
      </c>
      <c r="Y5358">
        <v>-0.45281440000000001</v>
      </c>
      <c r="Z5358">
        <v>0.1091292</v>
      </c>
      <c r="AA5358">
        <v>0.8849011</v>
      </c>
      <c r="AB5358">
        <v>29</v>
      </c>
      <c r="AC5358">
        <v>5.2414999999999701</v>
      </c>
      <c r="AD5358">
        <v>-1.113956586886</v>
      </c>
      <c r="AE5358">
        <v>-7.6341199999999896</v>
      </c>
      <c r="AF5358">
        <v>-4.2726426378844602</v>
      </c>
      <c r="AG5358">
        <v>-1.113956586886</v>
      </c>
      <c r="AH5358">
        <v>8.0665163207934008</v>
      </c>
      <c r="AI5358">
        <v>96.957661749604497</v>
      </c>
      <c r="AJ5358">
        <v>117.90910905233</v>
      </c>
      <c r="AK5358">
        <v>9.1959262688519399</v>
      </c>
      <c r="AL5358">
        <v>66.418507624532097</v>
      </c>
      <c r="AM5358">
        <v>112.64027126329999</v>
      </c>
      <c r="AN5358">
        <v>0.99999997721061895</v>
      </c>
    </row>
    <row r="5359" spans="1:40" x14ac:dyDescent="0.25">
      <c r="A5359" t="str">
        <f>"20190304164517035"</f>
        <v>20190304164517035</v>
      </c>
      <c r="B5359" t="str">
        <f>"1551689117025832"</f>
        <v>1551689117025832</v>
      </c>
      <c r="C5359" t="s">
        <v>40</v>
      </c>
      <c r="D5359">
        <v>5.6499300000000003</v>
      </c>
      <c r="E5359">
        <v>0.44637369999999998</v>
      </c>
      <c r="F5359" t="s">
        <v>41</v>
      </c>
      <c r="G5359">
        <v>-300.83980000000003</v>
      </c>
      <c r="H5359">
        <v>0.98467389999999999</v>
      </c>
      <c r="I5359">
        <v>-31.920780000000001</v>
      </c>
      <c r="J5359">
        <v>-301.41750000000002</v>
      </c>
      <c r="K5359">
        <v>1.1139410000000001</v>
      </c>
      <c r="L5359">
        <v>-31.28586</v>
      </c>
      <c r="M5359">
        <v>0.11843579999999999</v>
      </c>
      <c r="N5359">
        <v>-1.0104139999999999E-2</v>
      </c>
      <c r="O5359">
        <v>-0.99291039999999997</v>
      </c>
      <c r="P5359">
        <v>0.44630969999999998</v>
      </c>
      <c r="Q5359">
        <v>0.39255309999999999</v>
      </c>
      <c r="R5359">
        <v>-0.80418279999999998</v>
      </c>
      <c r="S5359">
        <v>1.9393009999999999</v>
      </c>
      <c r="T5359">
        <v>-0.40896120000000002</v>
      </c>
      <c r="U5359">
        <v>-2.8588559999999998</v>
      </c>
      <c r="V5359">
        <v>-0.35124709999999998</v>
      </c>
      <c r="W5359">
        <v>0.39822459999999998</v>
      </c>
      <c r="X5359">
        <v>0.84737399999999996</v>
      </c>
      <c r="Y5359">
        <v>-0.45571919999999999</v>
      </c>
      <c r="Z5359">
        <v>0.1104333</v>
      </c>
      <c r="AA5359">
        <v>0.88324650000000005</v>
      </c>
      <c r="AB5359">
        <v>29</v>
      </c>
      <c r="AC5359">
        <v>0.577699999999992</v>
      </c>
      <c r="AD5359">
        <v>-0.1292671</v>
      </c>
      <c r="AE5359">
        <v>-0.63492000000000404</v>
      </c>
      <c r="AF5359">
        <v>-0.487380030740311</v>
      </c>
      <c r="AG5359">
        <v>-0.1292671</v>
      </c>
      <c r="AH5359">
        <v>0.68337751008777003</v>
      </c>
      <c r="AI5359">
        <v>98.755034747002895</v>
      </c>
      <c r="AJ5359">
        <v>125.496198334346</v>
      </c>
      <c r="AK5359">
        <v>0.84926680071729899</v>
      </c>
      <c r="AL5359">
        <v>66.532764188074594</v>
      </c>
      <c r="AM5359">
        <v>112.514617125778</v>
      </c>
      <c r="AN5359">
        <v>1.0000000265897799</v>
      </c>
    </row>
    <row r="5360" spans="1:40" x14ac:dyDescent="0.25">
      <c r="A5360" t="str">
        <f>"20190304164517057"</f>
        <v>20190304164517057</v>
      </c>
      <c r="B5360" t="str">
        <f>"1551689117045352"</f>
        <v>1551689117045352</v>
      </c>
      <c r="C5360" t="s">
        <v>40</v>
      </c>
      <c r="D5360">
        <v>5.6472600000000002</v>
      </c>
      <c r="E5360">
        <v>0.44642739999999997</v>
      </c>
      <c r="F5360" t="s">
        <v>41</v>
      </c>
      <c r="G5360">
        <v>-300.80759999999998</v>
      </c>
      <c r="H5360">
        <v>0.98460499999999995</v>
      </c>
      <c r="I5360">
        <v>-32.177349999999997</v>
      </c>
      <c r="J5360">
        <v>-301.37909999999999</v>
      </c>
      <c r="K5360">
        <v>1.1139220000000001</v>
      </c>
      <c r="L5360">
        <v>-31.569890000000001</v>
      </c>
      <c r="M5360">
        <v>0.122765899999999</v>
      </c>
      <c r="N5360">
        <v>-1.007707E-2</v>
      </c>
      <c r="O5360">
        <v>-0.99238459999999995</v>
      </c>
      <c r="P5360">
        <v>0.44762020000000002</v>
      </c>
      <c r="Q5360">
        <v>0.39237179999999999</v>
      </c>
      <c r="R5360">
        <v>-0.80354289999999995</v>
      </c>
      <c r="S5360">
        <v>1.9498599999999999</v>
      </c>
      <c r="T5360">
        <v>-0.41350439999999999</v>
      </c>
      <c r="U5360">
        <v>-2.8502200000000002</v>
      </c>
      <c r="V5360">
        <v>-0.3489061</v>
      </c>
      <c r="W5360">
        <v>0.3980514</v>
      </c>
      <c r="X5360">
        <v>0.8484218</v>
      </c>
      <c r="Y5360">
        <v>-0.45522550000000001</v>
      </c>
      <c r="Z5360">
        <v>0.1118919</v>
      </c>
      <c r="AA5360">
        <v>0.88331759999999904</v>
      </c>
      <c r="AB5360">
        <v>29</v>
      </c>
      <c r="AC5360">
        <v>0.571500000000014</v>
      </c>
      <c r="AD5360">
        <v>-0.12931699999999899</v>
      </c>
      <c r="AE5360">
        <v>-0.607459999999996</v>
      </c>
      <c r="AF5360">
        <v>-0.48103321981852598</v>
      </c>
      <c r="AG5360">
        <v>-0.12931699999999899</v>
      </c>
      <c r="AH5360">
        <v>0.65722880954445195</v>
      </c>
      <c r="AI5360">
        <v>99.021921113933203</v>
      </c>
      <c r="AJ5360">
        <v>126.200820076713</v>
      </c>
      <c r="AK5360">
        <v>0.82466087160310697</v>
      </c>
      <c r="AL5360">
        <v>66.543580712468696</v>
      </c>
      <c r="AM5360">
        <v>112.35448981523299</v>
      </c>
      <c r="AN5360">
        <v>0.99999996718720396</v>
      </c>
    </row>
    <row r="5361" spans="1:40" x14ac:dyDescent="0.25">
      <c r="A5361" t="str">
        <f>"20190304164517080"</f>
        <v>20190304164517080</v>
      </c>
      <c r="B5361" t="str">
        <f>"1551689117075143"</f>
        <v>1551689117075143</v>
      </c>
      <c r="C5361" t="s">
        <v>40</v>
      </c>
      <c r="D5361">
        <v>5.6496110000000002</v>
      </c>
      <c r="E5361">
        <v>0.44692409999999999</v>
      </c>
      <c r="F5361" t="s">
        <v>41</v>
      </c>
      <c r="G5361">
        <v>-300.78210000000001</v>
      </c>
      <c r="H5361">
        <v>0.98815149999999996</v>
      </c>
      <c r="I5361">
        <v>-32.436920000000001</v>
      </c>
      <c r="J5361">
        <v>-301.3383</v>
      </c>
      <c r="K5361">
        <v>1.1139049999999999</v>
      </c>
      <c r="L5361">
        <v>-31.861789999999999</v>
      </c>
      <c r="M5361">
        <v>0.12718579999999999</v>
      </c>
      <c r="N5361">
        <v>-1.004559E-2</v>
      </c>
      <c r="O5361">
        <v>-0.99182809999999999</v>
      </c>
      <c r="P5361">
        <v>0.44858199999999998</v>
      </c>
      <c r="Q5361">
        <v>0.39223989999999997</v>
      </c>
      <c r="R5361">
        <v>-0.80307050000000002</v>
      </c>
      <c r="S5361">
        <v>1.9586490000000001</v>
      </c>
      <c r="T5361">
        <v>-0.41255150000000002</v>
      </c>
      <c r="U5361">
        <v>-2.843842</v>
      </c>
      <c r="V5361">
        <v>-0.34611750000000002</v>
      </c>
      <c r="W5361">
        <v>0.39792850000000002</v>
      </c>
      <c r="X5361">
        <v>0.84962090000000001</v>
      </c>
      <c r="Y5361">
        <v>-0.45405620000000002</v>
      </c>
      <c r="Z5361">
        <v>0.1117213</v>
      </c>
      <c r="AA5361">
        <v>0.88394079999999997</v>
      </c>
      <c r="AB5361">
        <v>29</v>
      </c>
      <c r="AC5361">
        <v>0.55619999999998904</v>
      </c>
      <c r="AD5361">
        <v>-0.12575349999999899</v>
      </c>
      <c r="AE5361">
        <v>-0.57512999999999703</v>
      </c>
      <c r="AF5361">
        <v>-0.46699384909345198</v>
      </c>
      <c r="AG5361">
        <v>-0.12575349999999899</v>
      </c>
      <c r="AH5361">
        <v>0.62574466003732199</v>
      </c>
      <c r="AI5361">
        <v>99.149397460698594</v>
      </c>
      <c r="AJ5361">
        <v>126.734015937923</v>
      </c>
      <c r="AK5361">
        <v>0.79085623056191001</v>
      </c>
      <c r="AL5361">
        <v>66.551258376063004</v>
      </c>
      <c r="AM5361">
        <v>112.164937583197</v>
      </c>
      <c r="AN5361">
        <v>1.00000004431765</v>
      </c>
    </row>
    <row r="5362" spans="1:40" x14ac:dyDescent="0.25">
      <c r="A5362" t="str">
        <f>"20190304164517102"</f>
        <v>20190304164517102</v>
      </c>
      <c r="B5362" t="str">
        <f>"1551689117095638"</f>
        <v>1551689117095638</v>
      </c>
      <c r="C5362" t="s">
        <v>40</v>
      </c>
      <c r="D5362">
        <v>5.6356299999999999</v>
      </c>
      <c r="E5362">
        <v>0.44702599999999998</v>
      </c>
      <c r="F5362" t="s">
        <v>41</v>
      </c>
      <c r="G5362">
        <v>-300.76049999999998</v>
      </c>
      <c r="H5362">
        <v>0.99269399999999997</v>
      </c>
      <c r="I5362">
        <v>-32.698590000000003</v>
      </c>
      <c r="J5362">
        <v>-301.29640000000001</v>
      </c>
      <c r="K5362">
        <v>1.1138999999999999</v>
      </c>
      <c r="L5362">
        <v>-32.1524</v>
      </c>
      <c r="M5362">
        <v>0.1315664</v>
      </c>
      <c r="N5362">
        <v>-1.0008319999999999E-2</v>
      </c>
      <c r="O5362">
        <v>-0.99125680000000005</v>
      </c>
      <c r="P5362">
        <v>0.4496542</v>
      </c>
      <c r="Q5362">
        <v>0.39252520000000002</v>
      </c>
      <c r="R5362">
        <v>-0.80233100000000002</v>
      </c>
      <c r="S5362">
        <v>1.9619139999999999</v>
      </c>
      <c r="T5362">
        <v>-0.411495</v>
      </c>
      <c r="U5362">
        <v>-2.8407290000000001</v>
      </c>
      <c r="V5362">
        <v>-0.34350989999999998</v>
      </c>
      <c r="W5362">
        <v>0.39820939999999999</v>
      </c>
      <c r="X5362">
        <v>0.8505471</v>
      </c>
      <c r="Y5362">
        <v>-0.45128190000000001</v>
      </c>
      <c r="Z5362">
        <v>0.1115207</v>
      </c>
      <c r="AA5362">
        <v>0.88538569999999905</v>
      </c>
      <c r="AB5362">
        <v>29</v>
      </c>
      <c r="AC5362">
        <v>0.53590000000002602</v>
      </c>
      <c r="AD5362">
        <v>-0.121205999999999</v>
      </c>
      <c r="AE5362">
        <v>-0.54619000000000195</v>
      </c>
      <c r="AF5362">
        <v>-0.44813332758889701</v>
      </c>
      <c r="AG5362">
        <v>-0.121205999999999</v>
      </c>
      <c r="AH5362">
        <v>0.59697320135086696</v>
      </c>
      <c r="AI5362">
        <v>99.222891963918002</v>
      </c>
      <c r="AJ5362">
        <v>126.894670234711</v>
      </c>
      <c r="AK5362">
        <v>0.75623500108299702</v>
      </c>
      <c r="AL5362">
        <v>66.533714775703103</v>
      </c>
      <c r="AM5362">
        <v>111.992272331965</v>
      </c>
      <c r="AN5362">
        <v>1.00000007348238</v>
      </c>
    </row>
    <row r="5363" spans="1:40" x14ac:dyDescent="0.25">
      <c r="A5363" t="str">
        <f>"20190304164517123"</f>
        <v>20190304164517123</v>
      </c>
      <c r="B5363" t="str">
        <f>"1551689117115159"</f>
        <v>1551689117115159</v>
      </c>
      <c r="C5363" t="s">
        <v>40</v>
      </c>
      <c r="D5363">
        <v>5.6585559999999999</v>
      </c>
      <c r="E5363">
        <v>0.44705800000000001</v>
      </c>
      <c r="F5363" t="s">
        <v>41</v>
      </c>
      <c r="G5363">
        <v>-300.7362</v>
      </c>
      <c r="H5363">
        <v>0.99726360000000003</v>
      </c>
      <c r="I5363">
        <v>-32.960050000000003</v>
      </c>
      <c r="J5363">
        <v>-301.25490000000002</v>
      </c>
      <c r="K5363">
        <v>1.1139110000000001</v>
      </c>
      <c r="L5363">
        <v>-32.432499999999997</v>
      </c>
      <c r="M5363">
        <v>0.13578609999999999</v>
      </c>
      <c r="N5363">
        <v>-9.9674159999999998E-3</v>
      </c>
      <c r="O5363">
        <v>-0.99068809999999996</v>
      </c>
      <c r="P5363">
        <v>0.45038329999999999</v>
      </c>
      <c r="Q5363">
        <v>0.39374520000000002</v>
      </c>
      <c r="R5363">
        <v>-0.80132380000000003</v>
      </c>
      <c r="S5363">
        <v>1.9683839999999999</v>
      </c>
      <c r="T5363">
        <v>-0.40965079999999998</v>
      </c>
      <c r="U5363">
        <v>-2.8363649999999998</v>
      </c>
      <c r="V5363">
        <v>-0.34074890000000002</v>
      </c>
      <c r="W5363">
        <v>0.39941320000000002</v>
      </c>
      <c r="X5363">
        <v>0.85109299999999999</v>
      </c>
      <c r="Y5363">
        <v>-0.44952140000000002</v>
      </c>
      <c r="Z5363">
        <v>0.1110705</v>
      </c>
      <c r="AA5363">
        <v>0.88633729999999999</v>
      </c>
      <c r="AB5363">
        <v>29</v>
      </c>
      <c r="AC5363">
        <v>0.51870000000002303</v>
      </c>
      <c r="AD5363">
        <v>-0.1166474</v>
      </c>
      <c r="AE5363">
        <v>-0.52755000000000496</v>
      </c>
      <c r="AF5363">
        <v>-0.43153061952120098</v>
      </c>
      <c r="AG5363">
        <v>-0.1166474</v>
      </c>
      <c r="AH5363">
        <v>0.57871313656722301</v>
      </c>
      <c r="AI5363">
        <v>99.178843425632294</v>
      </c>
      <c r="AJ5363">
        <v>126.710890782864</v>
      </c>
      <c r="AK5363">
        <v>0.73125521259447102</v>
      </c>
      <c r="AL5363">
        <v>66.458500244947402</v>
      </c>
      <c r="AM5363">
        <v>111.819496612591</v>
      </c>
      <c r="AN5363">
        <v>1.00000000591722</v>
      </c>
    </row>
    <row r="5364" spans="1:40" x14ac:dyDescent="0.25">
      <c r="A5364" t="str">
        <f>"20190304164517147"</f>
        <v>20190304164517147</v>
      </c>
      <c r="B5364" t="str">
        <f>"1551689117135654"</f>
        <v>1551689117135654</v>
      </c>
      <c r="C5364" t="s">
        <v>40</v>
      </c>
      <c r="D5364">
        <v>5.6553579999999997</v>
      </c>
      <c r="E5364">
        <v>0.44698860000000001</v>
      </c>
      <c r="F5364" t="s">
        <v>41</v>
      </c>
      <c r="G5364">
        <v>-300.7054</v>
      </c>
      <c r="H5364">
        <v>1.0029889999999999</v>
      </c>
      <c r="I5364">
        <v>-33.219940000000001</v>
      </c>
      <c r="J5364">
        <v>-301.21050000000002</v>
      </c>
      <c r="K5364">
        <v>1.113934</v>
      </c>
      <c r="L5364">
        <v>-32.72287</v>
      </c>
      <c r="M5364">
        <v>0.14018329999999901</v>
      </c>
      <c r="N5364">
        <v>-9.920346E-3</v>
      </c>
      <c r="O5364">
        <v>-0.99007590000000001</v>
      </c>
      <c r="P5364">
        <v>0.45125419999999999</v>
      </c>
      <c r="Q5364">
        <v>0.39483170000000001</v>
      </c>
      <c r="R5364">
        <v>-0.80029849999999902</v>
      </c>
      <c r="S5364">
        <v>1.9746699999999999</v>
      </c>
      <c r="T5364">
        <v>-0.39862140000000001</v>
      </c>
      <c r="U5364">
        <v>-2.8298030000000001</v>
      </c>
      <c r="V5364">
        <v>-0.33798679999999998</v>
      </c>
      <c r="W5364">
        <v>0.40046989999999999</v>
      </c>
      <c r="X5364">
        <v>0.85169760000000005</v>
      </c>
      <c r="Y5364">
        <v>-0.4480498</v>
      </c>
      <c r="Z5364">
        <v>0.108019699999999</v>
      </c>
      <c r="AA5364">
        <v>0.88745879999999999</v>
      </c>
      <c r="AB5364">
        <v>29</v>
      </c>
      <c r="AC5364">
        <v>0.50510000000002697</v>
      </c>
      <c r="AD5364">
        <v>-0.110945</v>
      </c>
      <c r="AE5364">
        <v>-0.49707000000000001</v>
      </c>
      <c r="AF5364">
        <v>-0.42013039801223301</v>
      </c>
      <c r="AG5364">
        <v>-0.110945</v>
      </c>
      <c r="AH5364">
        <v>0.54950323851750404</v>
      </c>
      <c r="AI5364">
        <v>99.112189108185703</v>
      </c>
      <c r="AJ5364">
        <v>127.400226942114</v>
      </c>
      <c r="AK5364">
        <v>0.700551321103702</v>
      </c>
      <c r="AL5364">
        <v>66.392442764707397</v>
      </c>
      <c r="AM5364">
        <v>111.64510711813899</v>
      </c>
      <c r="AN5364">
        <v>1.000000009813</v>
      </c>
    </row>
    <row r="5365" spans="1:40" x14ac:dyDescent="0.25">
      <c r="A5365" t="str">
        <f>"20190304164517173"</f>
        <v>20190304164517173</v>
      </c>
      <c r="B5365" t="str">
        <f>"1551689117165911"</f>
        <v>1551689117165911</v>
      </c>
      <c r="C5365" t="s">
        <v>40</v>
      </c>
      <c r="D5365">
        <v>5.6419379999999997</v>
      </c>
      <c r="E5365">
        <v>0.4467583</v>
      </c>
      <c r="F5365" t="s">
        <v>41</v>
      </c>
      <c r="G5365">
        <v>-300.67540000000002</v>
      </c>
      <c r="H5365">
        <v>1.010302</v>
      </c>
      <c r="I5365">
        <v>-33.483539999999998</v>
      </c>
      <c r="J5365">
        <v>-301.15589999999997</v>
      </c>
      <c r="K5365">
        <v>1.113974</v>
      </c>
      <c r="L5365">
        <v>-33.068269999999998</v>
      </c>
      <c r="M5365">
        <v>0.1454762</v>
      </c>
      <c r="N5365">
        <v>-9.8588300000000007E-3</v>
      </c>
      <c r="O5365">
        <v>-0.98931279999999999</v>
      </c>
      <c r="P5365">
        <v>0.45386070000000001</v>
      </c>
      <c r="Q5365">
        <v>0.3951982</v>
      </c>
      <c r="R5365">
        <v>-0.79864209999999902</v>
      </c>
      <c r="S5365">
        <v>1.9841</v>
      </c>
      <c r="T5365">
        <v>-0.38413809999999998</v>
      </c>
      <c r="U5365">
        <v>-2.819366</v>
      </c>
      <c r="V5365">
        <v>-0.33627489999999999</v>
      </c>
      <c r="W5365">
        <v>0.40076479999999998</v>
      </c>
      <c r="X5365">
        <v>0.85223629999999995</v>
      </c>
      <c r="Y5365">
        <v>-0.44705990000000001</v>
      </c>
      <c r="Z5365">
        <v>0.1040244</v>
      </c>
      <c r="AA5365">
        <v>0.88843479999999997</v>
      </c>
      <c r="AB5365">
        <v>29</v>
      </c>
      <c r="AC5365">
        <v>0.48049999999994902</v>
      </c>
      <c r="AD5365">
        <v>-0.103672</v>
      </c>
      <c r="AE5365">
        <v>-0.41527000000000602</v>
      </c>
      <c r="AF5365">
        <v>-0.40420186393655499</v>
      </c>
      <c r="AG5365">
        <v>-0.103672</v>
      </c>
      <c r="AH5365">
        <v>0.46827789958517602</v>
      </c>
      <c r="AI5365">
        <v>99.513894191062903</v>
      </c>
      <c r="AJ5365">
        <v>130.79966512540099</v>
      </c>
      <c r="AK5365">
        <v>0.627225016747331</v>
      </c>
      <c r="AL5365">
        <v>66.374000774376995</v>
      </c>
      <c r="AM5365">
        <v>111.533171535097</v>
      </c>
      <c r="AN5365">
        <v>0.999999972163369</v>
      </c>
    </row>
    <row r="5366" spans="1:40" x14ac:dyDescent="0.25">
      <c r="A5366" t="str">
        <f>"20190304164517194"</f>
        <v>20190304164517194</v>
      </c>
      <c r="B5366" t="str">
        <f>"1551689117185430"</f>
        <v>1551689117185430</v>
      </c>
      <c r="C5366" t="s">
        <v>40</v>
      </c>
      <c r="D5366">
        <v>5.660177</v>
      </c>
      <c r="E5366">
        <v>0.44667059999999997</v>
      </c>
      <c r="F5366" t="s">
        <v>49</v>
      </c>
      <c r="G5366">
        <v>-295.178</v>
      </c>
      <c r="H5366" s="1">
        <v>-1.9535660000000001E-6</v>
      </c>
      <c r="I5366">
        <v>-41.458770000000001</v>
      </c>
      <c r="J5366">
        <v>-301.11369999999999</v>
      </c>
      <c r="K5366">
        <v>1.114015</v>
      </c>
      <c r="L5366">
        <v>-33.327179999999998</v>
      </c>
      <c r="M5366">
        <v>0.1495225</v>
      </c>
      <c r="N5366">
        <v>-9.8089879999999994E-3</v>
      </c>
      <c r="O5366">
        <v>-0.98870990000000003</v>
      </c>
      <c r="P5366">
        <v>0.45685300000000001</v>
      </c>
      <c r="Q5366">
        <v>0.39584340000000001</v>
      </c>
      <c r="R5366">
        <v>-0.79661419999999905</v>
      </c>
      <c r="S5366">
        <v>1.9984440000000001</v>
      </c>
      <c r="T5366">
        <v>-0.37240450000000003</v>
      </c>
      <c r="U5366">
        <v>-2.8049620000000002</v>
      </c>
      <c r="V5366">
        <v>-0.33609070000000002</v>
      </c>
      <c r="W5366">
        <v>0.40132259999999997</v>
      </c>
      <c r="X5366">
        <v>0.85204650000000004</v>
      </c>
      <c r="Y5366">
        <v>-0.4487681</v>
      </c>
      <c r="Z5366">
        <v>0.10082530000000001</v>
      </c>
      <c r="AA5366">
        <v>0.88794229999999996</v>
      </c>
      <c r="AB5366">
        <v>29</v>
      </c>
      <c r="AC5366">
        <v>5.93569999999999</v>
      </c>
      <c r="AD5366">
        <v>-1.1140169535660001</v>
      </c>
      <c r="AE5366">
        <v>-8.1315899999999992</v>
      </c>
      <c r="AF5366">
        <v>-4.5967678495954596</v>
      </c>
      <c r="AG5366">
        <v>-1.1140169535660001</v>
      </c>
      <c r="AH5366">
        <v>8.8197393552209302</v>
      </c>
      <c r="AI5366">
        <v>96.391019880239199</v>
      </c>
      <c r="AJ5366">
        <v>117.528115506766</v>
      </c>
      <c r="AK5366">
        <v>10.007952374483899</v>
      </c>
      <c r="AL5366">
        <v>66.339113665009094</v>
      </c>
      <c r="AM5366">
        <v>111.526811036797</v>
      </c>
      <c r="AN5366">
        <v>1.0000000130297499</v>
      </c>
    </row>
    <row r="5367" spans="1:40" x14ac:dyDescent="0.25">
      <c r="A5367" t="str">
        <f>"20190304164517218"</f>
        <v>20190304164517218</v>
      </c>
      <c r="B5367" t="str">
        <f>"1551689117215687"</f>
        <v>1551689117215687</v>
      </c>
      <c r="C5367" t="s">
        <v>40</v>
      </c>
      <c r="D5367">
        <v>5.6563109999999996</v>
      </c>
      <c r="E5367">
        <v>0.44629790000000003</v>
      </c>
      <c r="F5367" t="s">
        <v>49</v>
      </c>
      <c r="G5367">
        <v>-295.0539</v>
      </c>
      <c r="H5367" s="1">
        <v>-2.1625340000000001E-6</v>
      </c>
      <c r="I5367">
        <v>-41.735570000000003</v>
      </c>
      <c r="J5367">
        <v>-301.05959999999999</v>
      </c>
      <c r="K5367">
        <v>1.1140939999999999</v>
      </c>
      <c r="L5367">
        <v>-33.648829999999997</v>
      </c>
      <c r="M5367">
        <v>0.15468460000000001</v>
      </c>
      <c r="N5367">
        <v>-9.7505430000000004E-3</v>
      </c>
      <c r="O5367">
        <v>-0.98791580000000001</v>
      </c>
      <c r="P5367">
        <v>0.46118130000000002</v>
      </c>
      <c r="Q5367">
        <v>0.3961344</v>
      </c>
      <c r="R5367">
        <v>-0.79397059999999997</v>
      </c>
      <c r="S5367">
        <v>2.0141909999999998</v>
      </c>
      <c r="T5367">
        <v>-0.37027969999999999</v>
      </c>
      <c r="U5367">
        <v>-2.7948</v>
      </c>
      <c r="V5367">
        <v>-0.33639580000000002</v>
      </c>
      <c r="W5367">
        <v>0.40148119999999998</v>
      </c>
      <c r="X5367">
        <v>0.85185129999999998</v>
      </c>
      <c r="Y5367">
        <v>-0.44896720000000001</v>
      </c>
      <c r="Z5367">
        <v>0.1002985</v>
      </c>
      <c r="AA5367">
        <v>0.8879013</v>
      </c>
      <c r="AB5367">
        <v>29</v>
      </c>
      <c r="AC5367">
        <v>6.0056999999999903</v>
      </c>
      <c r="AD5367">
        <v>-1.114096162534</v>
      </c>
      <c r="AE5367">
        <v>-8.0867400000000007</v>
      </c>
      <c r="AF5367">
        <v>-4.6258659251326302</v>
      </c>
      <c r="AG5367">
        <v>-1.114096162534</v>
      </c>
      <c r="AH5367">
        <v>8.8106503603665196</v>
      </c>
      <c r="AI5367">
        <v>96.388009285888501</v>
      </c>
      <c r="AJ5367">
        <v>117.700872093054</v>
      </c>
      <c r="AK5367">
        <v>10.013361353177199</v>
      </c>
      <c r="AL5367">
        <v>66.3291909149101</v>
      </c>
      <c r="AM5367">
        <v>111.549047278667</v>
      </c>
      <c r="AN5367">
        <v>0.99999996276138403</v>
      </c>
    </row>
    <row r="5368" spans="1:40" x14ac:dyDescent="0.25">
      <c r="A5368" t="str">
        <f>"20190304164517236"</f>
        <v>20190304164517236</v>
      </c>
      <c r="B5368" t="str">
        <f>"1551689117225448"</f>
        <v>1551689117225448</v>
      </c>
      <c r="C5368" t="s">
        <v>40</v>
      </c>
      <c r="D5368">
        <v>5.6496110000000002</v>
      </c>
      <c r="E5368">
        <v>0.44614680000000001</v>
      </c>
      <c r="F5368" t="s">
        <v>41</v>
      </c>
      <c r="G5368">
        <v>-300.44450000000001</v>
      </c>
      <c r="H5368">
        <v>1.002057</v>
      </c>
      <c r="I5368">
        <v>-34.488660000000003</v>
      </c>
      <c r="J5368">
        <v>-301.02</v>
      </c>
      <c r="K5368">
        <v>1.114163</v>
      </c>
      <c r="L5368">
        <v>-33.877409999999998</v>
      </c>
      <c r="M5368">
        <v>0.158442</v>
      </c>
      <c r="N5368">
        <v>-9.7090549999999994E-3</v>
      </c>
      <c r="O5368">
        <v>-0.98732050000000005</v>
      </c>
      <c r="P5368">
        <v>0.46459139999999999</v>
      </c>
      <c r="Q5368">
        <v>0.39529700000000001</v>
      </c>
      <c r="R5368">
        <v>-0.7923983</v>
      </c>
      <c r="S5368">
        <v>2.0362239999999998</v>
      </c>
      <c r="T5368">
        <v>-0.3709614</v>
      </c>
      <c r="U5368">
        <v>-2.7807919999999999</v>
      </c>
      <c r="V5368">
        <v>-0.33682509999999999</v>
      </c>
      <c r="W5368">
        <v>0.40054200000000001</v>
      </c>
      <c r="X5368">
        <v>0.85212379999999999</v>
      </c>
      <c r="Y5368">
        <v>-0.45226820000000001</v>
      </c>
      <c r="Z5368">
        <v>0.10056950000000001</v>
      </c>
      <c r="AA5368">
        <v>0.88619380000000003</v>
      </c>
      <c r="AB5368">
        <v>30</v>
      </c>
      <c r="AC5368">
        <v>0.57549999999997603</v>
      </c>
      <c r="AD5368">
        <v>-0.112106</v>
      </c>
      <c r="AE5368">
        <v>-0.61124999999999796</v>
      </c>
      <c r="AF5368">
        <v>-0.46311963745748003</v>
      </c>
      <c r="AG5368">
        <v>-0.112106</v>
      </c>
      <c r="AH5368">
        <v>0.68254535025159402</v>
      </c>
      <c r="AI5368">
        <v>97.739857068739695</v>
      </c>
      <c r="AJ5368">
        <v>124.157617473505</v>
      </c>
      <c r="AK5368">
        <v>0.83241558670223104</v>
      </c>
      <c r="AL5368">
        <v>66.3879342671801</v>
      </c>
      <c r="AM5368">
        <v>111.56775684861</v>
      </c>
      <c r="AN5368">
        <v>1.0000000061402201</v>
      </c>
    </row>
    <row r="5369" spans="1:40" x14ac:dyDescent="0.25">
      <c r="A5369" t="str">
        <f>"20190304164517259"</f>
        <v>20190304164517259</v>
      </c>
      <c r="B5369" t="str">
        <f>"1551689117255703"</f>
        <v>1551689117255703</v>
      </c>
      <c r="C5369" t="s">
        <v>40</v>
      </c>
      <c r="D5369">
        <v>5.6207710000000004</v>
      </c>
      <c r="E5369">
        <v>0.44571490000000002</v>
      </c>
      <c r="F5369" t="s">
        <v>41</v>
      </c>
      <c r="G5369">
        <v>-300.38220000000001</v>
      </c>
      <c r="H5369">
        <v>0.99753069999999999</v>
      </c>
      <c r="I5369">
        <v>-34.740070000000003</v>
      </c>
      <c r="J5369">
        <v>-300.9667</v>
      </c>
      <c r="K5369">
        <v>1.114258</v>
      </c>
      <c r="L5369">
        <v>-34.176609999999997</v>
      </c>
      <c r="M5369">
        <v>0.16348080000000001</v>
      </c>
      <c r="N5369">
        <v>-9.6578789999999994E-3</v>
      </c>
      <c r="O5369">
        <v>-0.98649940000000003</v>
      </c>
      <c r="P5369">
        <v>0.46925660000000002</v>
      </c>
      <c r="Q5369">
        <v>0.3943817</v>
      </c>
      <c r="R5369">
        <v>-0.79010239999999998</v>
      </c>
      <c r="S5369">
        <v>2.0490110000000001</v>
      </c>
      <c r="T5369">
        <v>-0.37470969999999998</v>
      </c>
      <c r="U5369">
        <v>-2.7715450000000001</v>
      </c>
      <c r="V5369">
        <v>-0.3375243</v>
      </c>
      <c r="W5369">
        <v>0.39949050000000003</v>
      </c>
      <c r="X5369">
        <v>0.85234069999999995</v>
      </c>
      <c r="Y5369">
        <v>-0.4517061</v>
      </c>
      <c r="Z5369">
        <v>0.1017666</v>
      </c>
      <c r="AA5369">
        <v>0.88634369999999996</v>
      </c>
      <c r="AB5369">
        <v>30</v>
      </c>
      <c r="AC5369">
        <v>0.58449999999999103</v>
      </c>
      <c r="AD5369">
        <v>-0.11672730000000001</v>
      </c>
      <c r="AE5369">
        <v>-0.56346000000000596</v>
      </c>
      <c r="AF5369">
        <v>-0.47470361399829097</v>
      </c>
      <c r="AG5369">
        <v>-0.11672730000000001</v>
      </c>
      <c r="AH5369">
        <v>0.638244188329814</v>
      </c>
      <c r="AI5369">
        <v>98.348484126062303</v>
      </c>
      <c r="AJ5369">
        <v>126.640575165179</v>
      </c>
      <c r="AK5369">
        <v>0.80394305000112498</v>
      </c>
      <c r="AL5369">
        <v>66.453668731376894</v>
      </c>
      <c r="AM5369">
        <v>111.603413646524</v>
      </c>
      <c r="AN5369">
        <v>0.99999999077861401</v>
      </c>
    </row>
    <row r="5370" spans="1:40" x14ac:dyDescent="0.25">
      <c r="A5370" t="str">
        <f>"20190304164517282"</f>
        <v>20190304164517282</v>
      </c>
      <c r="B5370" t="str">
        <f>"1551689117275222"</f>
        <v>1551689117275222</v>
      </c>
      <c r="C5370" t="s">
        <v>40</v>
      </c>
      <c r="D5370">
        <v>5.6053649999999999</v>
      </c>
      <c r="E5370">
        <v>0.44547989999999998</v>
      </c>
      <c r="F5370" t="s">
        <v>41</v>
      </c>
      <c r="G5370">
        <v>-300.34739999999999</v>
      </c>
      <c r="H5370">
        <v>1.0003799999999901</v>
      </c>
      <c r="I5370">
        <v>-35.002929999999999</v>
      </c>
      <c r="J5370">
        <v>-300.9135</v>
      </c>
      <c r="K5370">
        <v>1.11436</v>
      </c>
      <c r="L5370">
        <v>-34.465820000000001</v>
      </c>
      <c r="M5370">
        <v>0.168487</v>
      </c>
      <c r="N5370">
        <v>-9.6136239999999994E-3</v>
      </c>
      <c r="O5370">
        <v>-0.98565720000000001</v>
      </c>
      <c r="P5370">
        <v>0.4726322</v>
      </c>
      <c r="Q5370">
        <v>0.39278160000000001</v>
      </c>
      <c r="R5370">
        <v>-0.78888639999999999</v>
      </c>
      <c r="S5370">
        <v>2.0681150000000001</v>
      </c>
      <c r="T5370">
        <v>-0.38017830000000002</v>
      </c>
      <c r="U5370">
        <v>-2.7584529999999998</v>
      </c>
      <c r="V5370">
        <v>-0.33679680000000001</v>
      </c>
      <c r="W5370">
        <v>0.39778059999999998</v>
      </c>
      <c r="X5370">
        <v>0.85342750000000001</v>
      </c>
      <c r="Y5370">
        <v>-0.45302680000000001</v>
      </c>
      <c r="Z5370">
        <v>0.10345500000000001</v>
      </c>
      <c r="AA5370">
        <v>0.88547379999999998</v>
      </c>
      <c r="AB5370">
        <v>30</v>
      </c>
      <c r="AC5370">
        <v>0.56610000000000504</v>
      </c>
      <c r="AD5370">
        <v>-0.11398</v>
      </c>
      <c r="AE5370">
        <v>-0.53710999999999798</v>
      </c>
      <c r="AF5370">
        <v>-0.45774058597684197</v>
      </c>
      <c r="AG5370">
        <v>-0.11398</v>
      </c>
      <c r="AH5370">
        <v>0.61176423287522197</v>
      </c>
      <c r="AI5370">
        <v>98.484671419172699</v>
      </c>
      <c r="AJ5370">
        <v>126.804951875375</v>
      </c>
      <c r="AK5370">
        <v>0.77251107505059802</v>
      </c>
      <c r="AL5370">
        <v>66.560493661063703</v>
      </c>
      <c r="AM5370">
        <v>111.53618509205199</v>
      </c>
      <c r="AN5370">
        <v>0.99999999399142503</v>
      </c>
    </row>
    <row r="5371" spans="1:40" x14ac:dyDescent="0.25">
      <c r="A5371" t="str">
        <f>"20190304164517303"</f>
        <v>20190304164517303</v>
      </c>
      <c r="B5371" t="str">
        <f>"1551689117295718"</f>
        <v>1551689117295718</v>
      </c>
      <c r="C5371" t="s">
        <v>40</v>
      </c>
      <c r="D5371">
        <v>5.5968439999999999</v>
      </c>
      <c r="E5371">
        <v>0.4453241</v>
      </c>
      <c r="F5371" t="s">
        <v>41</v>
      </c>
      <c r="G5371">
        <v>-300.30849999999998</v>
      </c>
      <c r="H5371">
        <v>1.0018</v>
      </c>
      <c r="I5371">
        <v>-35.264949999999999</v>
      </c>
      <c r="J5371">
        <v>-300.85919999999999</v>
      </c>
      <c r="K5371">
        <v>1.114473</v>
      </c>
      <c r="L5371">
        <v>-34.75262</v>
      </c>
      <c r="M5371">
        <v>0.1736103</v>
      </c>
      <c r="N5371">
        <v>-9.5759650000000005E-3</v>
      </c>
      <c r="O5371">
        <v>-0.98476810000000004</v>
      </c>
      <c r="P5371">
        <v>0.4754235</v>
      </c>
      <c r="Q5371">
        <v>0.39223609999999998</v>
      </c>
      <c r="R5371">
        <v>-0.78747909999999999</v>
      </c>
      <c r="S5371">
        <v>2.0809630000000001</v>
      </c>
      <c r="T5371">
        <v>-0.38717570000000001</v>
      </c>
      <c r="U5371">
        <v>-2.748901</v>
      </c>
      <c r="V5371">
        <v>-0.33543869999999998</v>
      </c>
      <c r="W5371">
        <v>0.39712730000000002</v>
      </c>
      <c r="X5371">
        <v>0.85426619999999998</v>
      </c>
      <c r="Y5371">
        <v>-0.452372</v>
      </c>
      <c r="Z5371">
        <v>0.1055857</v>
      </c>
      <c r="AA5371">
        <v>0.88555699999999904</v>
      </c>
      <c r="AB5371">
        <v>30</v>
      </c>
      <c r="AC5371">
        <v>0.55070000000000596</v>
      </c>
      <c r="AD5371">
        <v>-0.112673</v>
      </c>
      <c r="AE5371">
        <v>-0.51232999999999795</v>
      </c>
      <c r="AF5371">
        <v>-0.44343622637605401</v>
      </c>
      <c r="AG5371">
        <v>-0.112673</v>
      </c>
      <c r="AH5371">
        <v>0.58698907407517498</v>
      </c>
      <c r="AI5371">
        <v>98.707731311992404</v>
      </c>
      <c r="AJ5371">
        <v>127.068932893121</v>
      </c>
      <c r="AK5371">
        <v>0.74423589329947504</v>
      </c>
      <c r="AL5371">
        <v>66.601284908931305</v>
      </c>
      <c r="AM5371">
        <v>111.43809768452699</v>
      </c>
      <c r="AN5371">
        <v>0.99999997716270905</v>
      </c>
    </row>
    <row r="5372" spans="1:40" x14ac:dyDescent="0.25">
      <c r="A5372" t="str">
        <f>"20190304164517325"</f>
        <v>20190304164517325</v>
      </c>
      <c r="B5372" t="str">
        <f>"1551689117315240"</f>
        <v>1551689117315240</v>
      </c>
      <c r="C5372" t="s">
        <v>40</v>
      </c>
      <c r="D5372">
        <v>5.5839410000000003</v>
      </c>
      <c r="E5372">
        <v>0.44513520000000001</v>
      </c>
      <c r="F5372" t="s">
        <v>41</v>
      </c>
      <c r="G5372">
        <v>-300.26780000000002</v>
      </c>
      <c r="H5372">
        <v>1.004219</v>
      </c>
      <c r="I5372">
        <v>-35.526959999999903</v>
      </c>
      <c r="J5372">
        <v>-300.8032</v>
      </c>
      <c r="K5372">
        <v>1.1145969999999901</v>
      </c>
      <c r="L5372">
        <v>-35.03922</v>
      </c>
      <c r="M5372">
        <v>0.1789174</v>
      </c>
      <c r="N5372">
        <v>-9.545507E-3</v>
      </c>
      <c r="O5372">
        <v>-0.98381799999999997</v>
      </c>
      <c r="P5372">
        <v>0.47745100000000001</v>
      </c>
      <c r="Q5372">
        <v>0.39297290000000001</v>
      </c>
      <c r="R5372">
        <v>-0.78588419999999903</v>
      </c>
      <c r="S5372">
        <v>2.0932620000000002</v>
      </c>
      <c r="T5372">
        <v>-0.39020260000000001</v>
      </c>
      <c r="U5372">
        <v>-2.7402340000000001</v>
      </c>
      <c r="V5372">
        <v>-0.33323380000000002</v>
      </c>
      <c r="W5372">
        <v>0.39774999999999999</v>
      </c>
      <c r="X5372">
        <v>0.85483929999999997</v>
      </c>
      <c r="Y5372">
        <v>-0.45137169999999999</v>
      </c>
      <c r="Z5372">
        <v>0.1065271</v>
      </c>
      <c r="AA5372">
        <v>0.88595460000000004</v>
      </c>
      <c r="AB5372">
        <v>30</v>
      </c>
      <c r="AC5372">
        <v>0.535399999999981</v>
      </c>
      <c r="AD5372">
        <v>-0.110377999999999</v>
      </c>
      <c r="AE5372">
        <v>-0.48773999999999501</v>
      </c>
      <c r="AF5372">
        <v>-0.42951479685135402</v>
      </c>
      <c r="AG5372">
        <v>-0.110377999999999</v>
      </c>
      <c r="AH5372">
        <v>0.56259868434916804</v>
      </c>
      <c r="AI5372">
        <v>98.863440921755597</v>
      </c>
      <c r="AJ5372">
        <v>127.359848884378</v>
      </c>
      <c r="AK5372">
        <v>0.71636830138531005</v>
      </c>
      <c r="AL5372">
        <v>66.562405442348094</v>
      </c>
      <c r="AM5372">
        <v>111.29685140340401</v>
      </c>
      <c r="AN5372">
        <v>1.00000002839346</v>
      </c>
    </row>
    <row r="5373" spans="1:40" x14ac:dyDescent="0.25">
      <c r="A5373" t="str">
        <f>"20190304164517347"</f>
        <v>20190304164517347</v>
      </c>
      <c r="B5373" t="str">
        <f>"1551689117335735"</f>
        <v>1551689117335735</v>
      </c>
      <c r="C5373" t="s">
        <v>40</v>
      </c>
      <c r="D5373">
        <v>5.5706199999999999</v>
      </c>
      <c r="E5373">
        <v>0.44500240000000002</v>
      </c>
      <c r="F5373" t="s">
        <v>41</v>
      </c>
      <c r="G5373">
        <v>-300.22570000000002</v>
      </c>
      <c r="H5373">
        <v>1.008108</v>
      </c>
      <c r="I5373">
        <v>-35.789149999999999</v>
      </c>
      <c r="J5373">
        <v>-300.74540000000002</v>
      </c>
      <c r="K5373">
        <v>1.114765</v>
      </c>
      <c r="L5373">
        <v>-35.326050000000002</v>
      </c>
      <c r="M5373">
        <v>0.18444350000000001</v>
      </c>
      <c r="N5373">
        <v>-9.5226400000000006E-3</v>
      </c>
      <c r="O5373">
        <v>-0.98279700000000003</v>
      </c>
      <c r="P5373">
        <v>0.47987020000000002</v>
      </c>
      <c r="Q5373">
        <v>0.39273520000000001</v>
      </c>
      <c r="R5373">
        <v>-0.78452769999999905</v>
      </c>
      <c r="S5373">
        <v>2.1043699999999999</v>
      </c>
      <c r="T5373">
        <v>-0.38805810000000002</v>
      </c>
      <c r="U5373">
        <v>-2.7329409999999998</v>
      </c>
      <c r="V5373">
        <v>-0.3311963</v>
      </c>
      <c r="W5373">
        <v>0.39738499999999999</v>
      </c>
      <c r="X5373">
        <v>0.85580029999999996</v>
      </c>
      <c r="Y5373">
        <v>-0.44981080000000001</v>
      </c>
      <c r="Z5373">
        <v>0.1059248</v>
      </c>
      <c r="AA5373">
        <v>0.88682030000000001</v>
      </c>
      <c r="AB5373">
        <v>30</v>
      </c>
      <c r="AC5373">
        <v>0.51970000000000005</v>
      </c>
      <c r="AD5373">
        <v>-0.106656999999999</v>
      </c>
      <c r="AE5373">
        <v>-0.46309999999999701</v>
      </c>
      <c r="AF5373">
        <v>-0.41560596473567502</v>
      </c>
      <c r="AG5373">
        <v>-0.106656999999999</v>
      </c>
      <c r="AH5373">
        <v>0.53837420630477795</v>
      </c>
      <c r="AI5373">
        <v>98.912471761566593</v>
      </c>
      <c r="AJ5373">
        <v>127.666878763019</v>
      </c>
      <c r="AK5373">
        <v>0.68844086135787297</v>
      </c>
      <c r="AL5373">
        <v>66.585196104319394</v>
      </c>
      <c r="AM5373">
        <v>111.156529709916</v>
      </c>
      <c r="AN5373">
        <v>0.99999999041939003</v>
      </c>
    </row>
    <row r="5374" spans="1:40" x14ac:dyDescent="0.25">
      <c r="A5374" t="str">
        <f>"20190304164517371"</f>
        <v>20190304164517371</v>
      </c>
      <c r="B5374" t="str">
        <f>"1551689117365991"</f>
        <v>1551689117365991</v>
      </c>
      <c r="C5374" t="s">
        <v>40</v>
      </c>
      <c r="D5374">
        <v>5.6636369999999996</v>
      </c>
      <c r="E5374">
        <v>0.44485140000000001</v>
      </c>
      <c r="F5374" t="s">
        <v>41</v>
      </c>
      <c r="G5374">
        <v>-300.17430000000002</v>
      </c>
      <c r="H5374">
        <v>1.0097959999999999</v>
      </c>
      <c r="I5374">
        <v>-36.061079999999997</v>
      </c>
      <c r="J5374">
        <v>-300.68049999999999</v>
      </c>
      <c r="K5374">
        <v>1.1149849999999999</v>
      </c>
      <c r="L5374">
        <v>-35.637569999999997</v>
      </c>
      <c r="M5374">
        <v>0.1907103</v>
      </c>
      <c r="N5374">
        <v>-9.5057070000000004E-3</v>
      </c>
      <c r="O5374">
        <v>-0.98160040000000004</v>
      </c>
      <c r="P5374">
        <v>0.48305039999999999</v>
      </c>
      <c r="Q5374">
        <v>0.39337430000000001</v>
      </c>
      <c r="R5374">
        <v>-0.78225269999999902</v>
      </c>
      <c r="S5374">
        <v>2.1174010000000001</v>
      </c>
      <c r="T5374">
        <v>-0.38900669999999998</v>
      </c>
      <c r="U5374">
        <v>-2.723541</v>
      </c>
      <c r="V5374">
        <v>-0.32947989999999999</v>
      </c>
      <c r="W5374">
        <v>0.3978585</v>
      </c>
      <c r="X5374">
        <v>0.85624270000000002</v>
      </c>
      <c r="Y5374">
        <v>-0.4482293</v>
      </c>
      <c r="Z5374">
        <v>0.1062382</v>
      </c>
      <c r="AA5374">
        <v>0.88758320000000002</v>
      </c>
      <c r="AB5374">
        <v>30</v>
      </c>
      <c r="AC5374">
        <v>0.506199999999978</v>
      </c>
      <c r="AD5374">
        <v>-0.105189</v>
      </c>
      <c r="AE5374">
        <v>-0.423509999999993</v>
      </c>
      <c r="AF5374">
        <v>-0.40582865873578899</v>
      </c>
      <c r="AG5374">
        <v>-0.105189</v>
      </c>
      <c r="AH5374">
        <v>0.499588132694684</v>
      </c>
      <c r="AI5374">
        <v>99.281558337910496</v>
      </c>
      <c r="AJ5374">
        <v>129.087869077942</v>
      </c>
      <c r="AK5374">
        <v>0.65218856805501502</v>
      </c>
      <c r="AL5374">
        <v>66.555628342220899</v>
      </c>
      <c r="AM5374">
        <v>111.046591505595</v>
      </c>
      <c r="AN5374">
        <v>0.99999997591477396</v>
      </c>
    </row>
    <row r="5375" spans="1:40" x14ac:dyDescent="0.25">
      <c r="A5375" t="str">
        <f>"20190304164517397"</f>
        <v>20190304164517397</v>
      </c>
      <c r="B5375" t="str">
        <f>"1551689117385510"</f>
        <v>1551689117385510</v>
      </c>
      <c r="C5375" t="s">
        <v>40</v>
      </c>
      <c r="D5375">
        <v>5.4543359999999996</v>
      </c>
      <c r="E5375">
        <v>0.44457370000000002</v>
      </c>
      <c r="F5375" t="s">
        <v>41</v>
      </c>
      <c r="G5375">
        <v>-300.08199999999999</v>
      </c>
      <c r="H5375">
        <v>1.006556</v>
      </c>
      <c r="I5375">
        <v>-36.398319999999998</v>
      </c>
      <c r="J5375">
        <v>-300.6105</v>
      </c>
      <c r="K5375">
        <v>1.115237</v>
      </c>
      <c r="L5375">
        <v>-35.960850000000001</v>
      </c>
      <c r="M5375">
        <v>0.19756000000000001</v>
      </c>
      <c r="N5375">
        <v>-9.4967760000000002E-3</v>
      </c>
      <c r="O5375">
        <v>-0.98024480000000003</v>
      </c>
      <c r="P5375">
        <v>0.48798710000000001</v>
      </c>
      <c r="Q5375">
        <v>0.39360879999999998</v>
      </c>
      <c r="R5375">
        <v>-0.77906379999999997</v>
      </c>
      <c r="S5375">
        <v>2.1336979999999999</v>
      </c>
      <c r="T5375">
        <v>-0.38653500000000002</v>
      </c>
      <c r="U5375">
        <v>-2.711884</v>
      </c>
      <c r="V5375">
        <v>-0.32918530000000001</v>
      </c>
      <c r="W5375">
        <v>0.39788859999999998</v>
      </c>
      <c r="X5375">
        <v>0.85634200000000005</v>
      </c>
      <c r="Y5375">
        <v>-0.44719500000000001</v>
      </c>
      <c r="Z5375">
        <v>0.1055398</v>
      </c>
      <c r="AA5375">
        <v>0.88818809999999904</v>
      </c>
      <c r="AB5375">
        <v>30</v>
      </c>
      <c r="AC5375">
        <v>0.52850000000000796</v>
      </c>
      <c r="AD5375">
        <v>-0.108681</v>
      </c>
      <c r="AE5375">
        <v>-0.43746999999999697</v>
      </c>
      <c r="AF5375">
        <v>-0.42108553886775502</v>
      </c>
      <c r="AG5375">
        <v>-0.108681</v>
      </c>
      <c r="AH5375">
        <v>0.52020808655700901</v>
      </c>
      <c r="AI5375">
        <v>99.223526971544104</v>
      </c>
      <c r="AJ5375">
        <v>128.98864567769201</v>
      </c>
      <c r="AK5375">
        <v>0.67804206663292799</v>
      </c>
      <c r="AL5375">
        <v>66.553748156879394</v>
      </c>
      <c r="AM5375">
        <v>111.02719333302301</v>
      </c>
      <c r="AN5375">
        <v>0.99999996035502403</v>
      </c>
    </row>
    <row r="5376" spans="1:40" x14ac:dyDescent="0.25">
      <c r="A5376" t="str">
        <f>"20190304164517415"</f>
        <v>20190304164517415</v>
      </c>
      <c r="B5376" t="str">
        <f>"1551689117406007"</f>
        <v>1551689117406007</v>
      </c>
      <c r="C5376" t="s">
        <v>40</v>
      </c>
      <c r="D5376">
        <v>5.5374169999999996</v>
      </c>
      <c r="E5376">
        <v>0.44446910000000001</v>
      </c>
      <c r="F5376" t="s">
        <v>41</v>
      </c>
      <c r="G5376">
        <v>-299.9427</v>
      </c>
      <c r="H5376">
        <v>0.99592899999999995</v>
      </c>
      <c r="I5376">
        <v>-36.795270000000002</v>
      </c>
      <c r="J5376">
        <v>-300.55399999999997</v>
      </c>
      <c r="K5376">
        <v>1.1154500000000001</v>
      </c>
      <c r="L5376">
        <v>-36.213200000000001</v>
      </c>
      <c r="M5376">
        <v>0.20315259999999999</v>
      </c>
      <c r="N5376">
        <v>-9.4948089999999999E-3</v>
      </c>
      <c r="O5376">
        <v>-0.9791012</v>
      </c>
      <c r="P5376">
        <v>0.49385180000000001</v>
      </c>
      <c r="Q5376">
        <v>0.39466119999999999</v>
      </c>
      <c r="R5376">
        <v>-0.77482469999999903</v>
      </c>
      <c r="S5376">
        <v>2.1567379999999998</v>
      </c>
      <c r="T5376">
        <v>-0.38527149999999999</v>
      </c>
      <c r="U5376">
        <v>-2.6944889999999999</v>
      </c>
      <c r="V5376">
        <v>-0.33108749999999998</v>
      </c>
      <c r="W5376">
        <v>0.39874110000000001</v>
      </c>
      <c r="X5376">
        <v>0.85521139999999995</v>
      </c>
      <c r="Y5376">
        <v>-0.44954470000000002</v>
      </c>
      <c r="Z5376">
        <v>0.105227399999999</v>
      </c>
      <c r="AA5376">
        <v>0.8870382</v>
      </c>
      <c r="AB5376">
        <v>30</v>
      </c>
      <c r="AC5376">
        <v>0.61130000000002804</v>
      </c>
      <c r="AD5376">
        <v>-0.119521</v>
      </c>
      <c r="AE5376">
        <v>-0.58207000000000098</v>
      </c>
      <c r="AF5376">
        <v>-0.47085658032195798</v>
      </c>
      <c r="AG5376">
        <v>-0.119521</v>
      </c>
      <c r="AH5376">
        <v>0.68048038515510301</v>
      </c>
      <c r="AI5376">
        <v>98.218730466462702</v>
      </c>
      <c r="AJ5376">
        <v>124.681193341428</v>
      </c>
      <c r="AK5376">
        <v>0.83608895654369497</v>
      </c>
      <c r="AL5376">
        <v>66.500497083956304</v>
      </c>
      <c r="AM5376">
        <v>111.16346954372</v>
      </c>
      <c r="AN5376">
        <v>0.99999996808770897</v>
      </c>
    </row>
    <row r="5377" spans="1:40" x14ac:dyDescent="0.25">
      <c r="A5377" t="str">
        <f>"20190304164517438"</f>
        <v>20190304164517438</v>
      </c>
      <c r="B5377" t="str">
        <f>"1551689117425527"</f>
        <v>1551689117425527</v>
      </c>
      <c r="C5377" t="s">
        <v>40</v>
      </c>
      <c r="D5377">
        <v>5.6176279999999998</v>
      </c>
      <c r="E5377">
        <v>0.44433889999999998</v>
      </c>
      <c r="F5377" t="s">
        <v>41</v>
      </c>
      <c r="G5377">
        <v>-299.87479999999999</v>
      </c>
      <c r="H5377">
        <v>0.99593799999999999</v>
      </c>
      <c r="I5377">
        <v>-37.049259999999997</v>
      </c>
      <c r="J5377">
        <v>-300.48989999999998</v>
      </c>
      <c r="K5377">
        <v>1.115653</v>
      </c>
      <c r="L5377">
        <v>-36.490229999999997</v>
      </c>
      <c r="M5377">
        <v>0.20951249999999999</v>
      </c>
      <c r="N5377">
        <v>-9.4954989999999993E-3</v>
      </c>
      <c r="O5377">
        <v>-0.97775990000000002</v>
      </c>
      <c r="P5377">
        <v>0.50126219999999999</v>
      </c>
      <c r="Q5377">
        <v>0.3948316</v>
      </c>
      <c r="R5377">
        <v>-0.76996369999999903</v>
      </c>
      <c r="S5377">
        <v>2.176971</v>
      </c>
      <c r="T5377">
        <v>-0.38302770000000003</v>
      </c>
      <c r="U5377">
        <v>-2.6793819999999999</v>
      </c>
      <c r="V5377">
        <v>-0.3339684</v>
      </c>
      <c r="W5377">
        <v>0.39869700000000002</v>
      </c>
      <c r="X5377">
        <v>0.85411109999999901</v>
      </c>
      <c r="Y5377">
        <v>-0.45027509999999998</v>
      </c>
      <c r="Z5377">
        <v>0.1045972</v>
      </c>
      <c r="AA5377">
        <v>0.88674219999999904</v>
      </c>
      <c r="AB5377">
        <v>30</v>
      </c>
      <c r="AC5377">
        <v>0.61509999999998399</v>
      </c>
      <c r="AD5377">
        <v>-0.119715</v>
      </c>
      <c r="AE5377">
        <v>-0.55902999999999903</v>
      </c>
      <c r="AF5377">
        <v>-0.47447534741564401</v>
      </c>
      <c r="AG5377">
        <v>-0.119715</v>
      </c>
      <c r="AH5377">
        <v>0.66177050645808899</v>
      </c>
      <c r="AI5377">
        <v>98.363583948706307</v>
      </c>
      <c r="AJ5377">
        <v>125.63971659033</v>
      </c>
      <c r="AK5377">
        <v>0.82304236813665399</v>
      </c>
      <c r="AL5377">
        <v>66.503252621286194</v>
      </c>
      <c r="AM5377">
        <v>111.356136096749</v>
      </c>
      <c r="AN5377">
        <v>0.99999998057538397</v>
      </c>
    </row>
    <row r="5378" spans="1:40" x14ac:dyDescent="0.25">
      <c r="A5378" t="str">
        <f>"20190304164517459"</f>
        <v>20190304164517459</v>
      </c>
      <c r="B5378" t="str">
        <f>"1551689117455782"</f>
        <v>1551689117455782</v>
      </c>
      <c r="C5378" t="s">
        <v>40</v>
      </c>
      <c r="D5378">
        <v>5.5350989999999998</v>
      </c>
      <c r="E5378">
        <v>0.44425759999999997</v>
      </c>
      <c r="F5378" t="s">
        <v>41</v>
      </c>
      <c r="G5378">
        <v>-299.8141</v>
      </c>
      <c r="H5378">
        <v>0.99781379999999997</v>
      </c>
      <c r="I5378">
        <v>-37.307139999999997</v>
      </c>
      <c r="J5378">
        <v>-300.42110000000002</v>
      </c>
      <c r="K5378">
        <v>1.115839</v>
      </c>
      <c r="L5378">
        <v>-36.777830000000002</v>
      </c>
      <c r="M5378">
        <v>0.2163495</v>
      </c>
      <c r="N5378">
        <v>-9.4975289999999993E-3</v>
      </c>
      <c r="O5378">
        <v>-0.97626979999999997</v>
      </c>
      <c r="P5378">
        <v>0.5088087</v>
      </c>
      <c r="Q5378">
        <v>0.39437179999999999</v>
      </c>
      <c r="R5378">
        <v>-0.765235</v>
      </c>
      <c r="S5378">
        <v>2.2005309999999998</v>
      </c>
      <c r="T5378">
        <v>-0.3837622</v>
      </c>
      <c r="U5378">
        <v>-2.6605219999999998</v>
      </c>
      <c r="V5378">
        <v>-0.33653880000000003</v>
      </c>
      <c r="W5378">
        <v>0.39803519999999998</v>
      </c>
      <c r="X5378">
        <v>0.85341060000000002</v>
      </c>
      <c r="Y5378">
        <v>-0.45176759999999999</v>
      </c>
      <c r="Z5378">
        <v>0.1048683</v>
      </c>
      <c r="AA5378">
        <v>0.88595069999999998</v>
      </c>
      <c r="AB5378">
        <v>30</v>
      </c>
      <c r="AC5378">
        <v>0.60700000000002696</v>
      </c>
      <c r="AD5378">
        <v>-0.118025199999999</v>
      </c>
      <c r="AE5378">
        <v>-0.52931000000000195</v>
      </c>
      <c r="AF5378">
        <v>-0.468049379214237</v>
      </c>
      <c r="AG5378">
        <v>-0.118025199999999</v>
      </c>
      <c r="AH5378">
        <v>0.63447649683039498</v>
      </c>
      <c r="AI5378">
        <v>98.5136981619967</v>
      </c>
      <c r="AJ5378">
        <v>126.415966071547</v>
      </c>
      <c r="AK5378">
        <v>0.79722054304191303</v>
      </c>
      <c r="AL5378">
        <v>66.5445937824624</v>
      </c>
      <c r="AM5378">
        <v>111.52158373834</v>
      </c>
      <c r="AN5378">
        <v>1.0000000182684099</v>
      </c>
    </row>
    <row r="5379" spans="1:40" x14ac:dyDescent="0.25">
      <c r="A5379" t="str">
        <f>"20190304164517483"</f>
        <v>20190304164517483</v>
      </c>
      <c r="B5379" t="str">
        <f>"1551689117475303"</f>
        <v>1551689117475303</v>
      </c>
      <c r="C5379" t="s">
        <v>40</v>
      </c>
      <c r="D5379">
        <v>5.5332039999999996</v>
      </c>
      <c r="E5379">
        <v>0.44423560000000001</v>
      </c>
      <c r="F5379" t="s">
        <v>41</v>
      </c>
      <c r="G5379">
        <v>-299.75639999999999</v>
      </c>
      <c r="H5379">
        <v>1.000059</v>
      </c>
      <c r="I5379">
        <v>-37.567100000000003</v>
      </c>
      <c r="J5379">
        <v>-300.34519999999998</v>
      </c>
      <c r="K5379">
        <v>1.1160319999999999</v>
      </c>
      <c r="L5379">
        <v>-37.084809999999997</v>
      </c>
      <c r="M5379">
        <v>0.2238974</v>
      </c>
      <c r="N5379">
        <v>-9.5029699999999995E-3</v>
      </c>
      <c r="O5379">
        <v>-0.97456659999999995</v>
      </c>
      <c r="P5379">
        <v>0.51668019999999903</v>
      </c>
      <c r="Q5379">
        <v>0.3926058</v>
      </c>
      <c r="R5379">
        <v>-0.76085659999999999</v>
      </c>
      <c r="S5379">
        <v>2.2248839999999999</v>
      </c>
      <c r="T5379">
        <v>-0.38740910000000001</v>
      </c>
      <c r="U5379">
        <v>-2.6406559999999999</v>
      </c>
      <c r="V5379">
        <v>-0.33872099999999999</v>
      </c>
      <c r="W5379">
        <v>0.39607900000000001</v>
      </c>
      <c r="X5379">
        <v>0.85345749999999998</v>
      </c>
      <c r="Y5379">
        <v>-0.45285930000000002</v>
      </c>
      <c r="Z5379">
        <v>0.1059833</v>
      </c>
      <c r="AA5379">
        <v>0.88526039999999995</v>
      </c>
      <c r="AB5379">
        <v>30</v>
      </c>
      <c r="AC5379">
        <v>0.588799999999992</v>
      </c>
      <c r="AD5379">
        <v>-0.11597299999999899</v>
      </c>
      <c r="AE5379">
        <v>-0.48229000000000599</v>
      </c>
      <c r="AF5379">
        <v>-0.45529147473306503</v>
      </c>
      <c r="AG5379">
        <v>-0.11597299999999899</v>
      </c>
      <c r="AH5379">
        <v>0.58822437546471895</v>
      </c>
      <c r="AI5379">
        <v>98.861707622719805</v>
      </c>
      <c r="AJ5379">
        <v>127.740224879886</v>
      </c>
      <c r="AK5379">
        <v>0.752826659719532</v>
      </c>
      <c r="AL5379">
        <v>66.666716868891598</v>
      </c>
      <c r="AM5379">
        <v>111.64718366196701</v>
      </c>
      <c r="AN5379">
        <v>1.0000000971941201</v>
      </c>
    </row>
    <row r="5380" spans="1:40" x14ac:dyDescent="0.25">
      <c r="A5380" t="str">
        <f>"20190304164517505"</f>
        <v>20190304164517505</v>
      </c>
      <c r="B5380" t="str">
        <f>"1551689117495800"</f>
        <v>1551689117495800</v>
      </c>
      <c r="C5380" t="s">
        <v>40</v>
      </c>
      <c r="D5380">
        <v>5.634798</v>
      </c>
      <c r="E5380">
        <v>0.44426589999999999</v>
      </c>
      <c r="F5380" t="s">
        <v>41</v>
      </c>
      <c r="G5380">
        <v>-299.70440000000002</v>
      </c>
      <c r="H5380">
        <v>1.0035769999999999</v>
      </c>
      <c r="I5380">
        <v>-37.830570000000002</v>
      </c>
      <c r="J5380">
        <v>-300.26990000000001</v>
      </c>
      <c r="K5380">
        <v>1.116225</v>
      </c>
      <c r="L5380">
        <v>-37.378909999999998</v>
      </c>
      <c r="M5380">
        <v>0.23136290000000001</v>
      </c>
      <c r="N5380">
        <v>-9.5122790000000002E-3</v>
      </c>
      <c r="O5380">
        <v>-0.97282109999999999</v>
      </c>
      <c r="P5380">
        <v>0.52365850000000003</v>
      </c>
      <c r="Q5380">
        <v>0.39174229999999999</v>
      </c>
      <c r="R5380">
        <v>-0.75651840000000004</v>
      </c>
      <c r="S5380">
        <v>2.2496640000000001</v>
      </c>
      <c r="T5380">
        <v>-0.39489809999999997</v>
      </c>
      <c r="U5380">
        <v>-2.6190190000000002</v>
      </c>
      <c r="V5380">
        <v>-0.3401054</v>
      </c>
      <c r="W5380">
        <v>0.39504590000000001</v>
      </c>
      <c r="X5380">
        <v>0.85338570000000002</v>
      </c>
      <c r="Y5380">
        <v>-0.4543025</v>
      </c>
      <c r="Z5380">
        <v>0.1082462</v>
      </c>
      <c r="AA5380">
        <v>0.88424659999999999</v>
      </c>
      <c r="AB5380">
        <v>30</v>
      </c>
      <c r="AC5380">
        <v>0.56549999999998501</v>
      </c>
      <c r="AD5380">
        <v>-0.112648</v>
      </c>
      <c r="AE5380">
        <v>-0.451660000000004</v>
      </c>
      <c r="AF5380">
        <v>-0.435111815254692</v>
      </c>
      <c r="AG5380">
        <v>-0.112648</v>
      </c>
      <c r="AH5380">
        <v>0.55675751484792901</v>
      </c>
      <c r="AI5380">
        <v>99.057858932214401</v>
      </c>
      <c r="AJ5380">
        <v>128.00799795142001</v>
      </c>
      <c r="AK5380">
        <v>0.71553531989544406</v>
      </c>
      <c r="AL5380">
        <v>66.731164464552506</v>
      </c>
      <c r="AM5380">
        <v>111.729089393083</v>
      </c>
      <c r="AN5380">
        <v>1.0000000495902199</v>
      </c>
    </row>
    <row r="5381" spans="1:40" x14ac:dyDescent="0.25">
      <c r="A5381" t="str">
        <f>"20190304164517528"</f>
        <v>20190304164517528</v>
      </c>
      <c r="B5381" t="str">
        <f>"1551689117515319"</f>
        <v>1551689117515319</v>
      </c>
      <c r="C5381" t="s">
        <v>40</v>
      </c>
      <c r="D5381">
        <v>5.5691079999999999</v>
      </c>
      <c r="E5381">
        <v>0.47644609999999898</v>
      </c>
      <c r="F5381" t="s">
        <v>41</v>
      </c>
      <c r="G5381">
        <v>-299.6465</v>
      </c>
      <c r="H5381">
        <v>1.0068060000000001</v>
      </c>
      <c r="I5381">
        <v>-38.092199999999998</v>
      </c>
      <c r="J5381">
        <v>-300.19589999999999</v>
      </c>
      <c r="K5381">
        <v>1.1164099999999999</v>
      </c>
      <c r="L5381">
        <v>-37.658329999999999</v>
      </c>
      <c r="M5381">
        <v>0.23866560000000001</v>
      </c>
      <c r="N5381">
        <v>-9.5245969999999992E-3</v>
      </c>
      <c r="O5381">
        <v>-0.97105540000000001</v>
      </c>
      <c r="P5381">
        <v>0.52979779999999999</v>
      </c>
      <c r="Q5381">
        <v>0.3907737</v>
      </c>
      <c r="R5381">
        <v>-0.7527353</v>
      </c>
      <c r="S5381">
        <v>2.2723080000000002</v>
      </c>
      <c r="T5381">
        <v>-0.39874540000000003</v>
      </c>
      <c r="U5381">
        <v>-2.5991209999999998</v>
      </c>
      <c r="V5381">
        <v>-0.34068710000000002</v>
      </c>
      <c r="W5381">
        <v>0.39392890000000003</v>
      </c>
      <c r="X5381">
        <v>0.85366989999999998</v>
      </c>
      <c r="Y5381">
        <v>-0.4552522</v>
      </c>
      <c r="Z5381">
        <v>0.10941919999999999</v>
      </c>
      <c r="AA5381">
        <v>0.88361350000000005</v>
      </c>
      <c r="AB5381">
        <v>30</v>
      </c>
      <c r="AC5381">
        <v>0.54939999999999101</v>
      </c>
      <c r="AD5381">
        <v>-0.10960399999999999</v>
      </c>
      <c r="AE5381">
        <v>-0.43386999999999798</v>
      </c>
      <c r="AF5381">
        <v>-0.41968008066297902</v>
      </c>
      <c r="AG5381">
        <v>-0.10960399999999999</v>
      </c>
      <c r="AH5381">
        <v>0.53924157770759396</v>
      </c>
      <c r="AI5381">
        <v>99.112706920535899</v>
      </c>
      <c r="AJ5381">
        <v>127.892851920393</v>
      </c>
      <c r="AK5381">
        <v>0.69204471390933897</v>
      </c>
      <c r="AL5381">
        <v>66.800810683119593</v>
      </c>
      <c r="AM5381">
        <v>111.756215071649</v>
      </c>
      <c r="AN5381">
        <v>0.99999998826381498</v>
      </c>
    </row>
    <row r="5382" spans="1:40" x14ac:dyDescent="0.25">
      <c r="A5382" t="str">
        <f>"20190304164517550"</f>
        <v>20190304164517550</v>
      </c>
      <c r="B5382" t="str">
        <f>"1551689117545575"</f>
        <v>1551689117545575</v>
      </c>
      <c r="C5382" t="s">
        <v>40</v>
      </c>
      <c r="D5382">
        <v>5.5252239999999997</v>
      </c>
      <c r="E5382">
        <v>0.49607220000000002</v>
      </c>
      <c r="F5382" t="s">
        <v>49</v>
      </c>
      <c r="G5382">
        <v>-295.1259</v>
      </c>
      <c r="H5382" s="1">
        <v>-3.6604819999999999E-6</v>
      </c>
      <c r="I5382">
        <v>-44.309620000000002</v>
      </c>
      <c r="J5382">
        <v>-300.11380000000003</v>
      </c>
      <c r="K5382">
        <v>1.1166049999999901</v>
      </c>
      <c r="L5382">
        <v>-37.958190000000002</v>
      </c>
      <c r="M5382">
        <v>0.246724</v>
      </c>
      <c r="N5382">
        <v>-9.5411750000000007E-3</v>
      </c>
      <c r="O5382">
        <v>-0.96903899999999998</v>
      </c>
      <c r="P5382">
        <v>0.53568800000000005</v>
      </c>
      <c r="Q5382">
        <v>0.38974930000000002</v>
      </c>
      <c r="R5382">
        <v>-0.7490888</v>
      </c>
      <c r="S5382">
        <v>2.0960390000000002</v>
      </c>
      <c r="T5382">
        <v>-0.46155410000000002</v>
      </c>
      <c r="U5382">
        <v>-2.7498170000000002</v>
      </c>
      <c r="V5382">
        <v>-0.34034629999999999</v>
      </c>
      <c r="W5382">
        <v>0.39275969999999999</v>
      </c>
      <c r="X5382">
        <v>0.85434429999999995</v>
      </c>
      <c r="Y5382">
        <v>-0.38608880000000001</v>
      </c>
      <c r="Z5382">
        <v>0.12615290000000001</v>
      </c>
      <c r="AA5382">
        <v>0.91379480000000002</v>
      </c>
      <c r="AB5382">
        <v>30</v>
      </c>
      <c r="AC5382">
        <v>4.9879000000000202</v>
      </c>
      <c r="AD5382">
        <v>-1.11660866048199</v>
      </c>
      <c r="AE5382">
        <v>-6.3514299999999997</v>
      </c>
      <c r="AF5382">
        <v>-3.2052915865757501</v>
      </c>
      <c r="AG5382">
        <v>-1.11660866048199</v>
      </c>
      <c r="AH5382">
        <v>7.2472071820878297</v>
      </c>
      <c r="AI5382">
        <v>98.020622593886301</v>
      </c>
      <c r="AJ5382">
        <v>113.858826942619</v>
      </c>
      <c r="AK5382">
        <v>8.0026696168055196</v>
      </c>
      <c r="AL5382">
        <v>66.873674272884202</v>
      </c>
      <c r="AM5382">
        <v>111.72092102206101</v>
      </c>
      <c r="AN5382">
        <v>0.99999998440513405</v>
      </c>
    </row>
    <row r="5383" spans="1:40" x14ac:dyDescent="0.25">
      <c r="A5383" t="str">
        <f>"20190304164517581"</f>
        <v>20190304164517581</v>
      </c>
      <c r="B5383" t="str">
        <f>"1551689117575831"</f>
        <v>1551689117575831</v>
      </c>
      <c r="C5383" t="s">
        <v>40</v>
      </c>
      <c r="D5383">
        <v>5.5519759999999998</v>
      </c>
      <c r="E5383">
        <v>0.50494110000000003</v>
      </c>
      <c r="F5383" t="s">
        <v>49</v>
      </c>
      <c r="G5383">
        <v>-295.72199999999998</v>
      </c>
      <c r="H5383" s="1">
        <v>-3.4631459999999999E-6</v>
      </c>
      <c r="I5383">
        <v>-44.190469999999998</v>
      </c>
      <c r="J5383">
        <v>-300.01240000000001</v>
      </c>
      <c r="K5383">
        <v>1.116854</v>
      </c>
      <c r="L5383">
        <v>-38.31467</v>
      </c>
      <c r="M5383">
        <v>0.25662960000000001</v>
      </c>
      <c r="N5383">
        <v>-9.5655280000000002E-3</v>
      </c>
      <c r="O5383">
        <v>-0.96646270000000001</v>
      </c>
      <c r="P5383">
        <v>0.54285039999999996</v>
      </c>
      <c r="Q5383">
        <v>0.38786559999999998</v>
      </c>
      <c r="R5383">
        <v>-0.74489869999999903</v>
      </c>
      <c r="S5383">
        <v>2.0005190000000002</v>
      </c>
      <c r="T5383">
        <v>-0.5086271</v>
      </c>
      <c r="U5383">
        <v>-2.838867</v>
      </c>
      <c r="V5383">
        <v>-0.33976109999999998</v>
      </c>
      <c r="W5383">
        <v>0.39070700000000003</v>
      </c>
      <c r="X5383">
        <v>0.85551769999999905</v>
      </c>
      <c r="Y5383">
        <v>-0.34109899999999999</v>
      </c>
      <c r="Z5383">
        <v>0.1379591</v>
      </c>
      <c r="AA5383">
        <v>0.92984880000000003</v>
      </c>
      <c r="AB5383">
        <v>30</v>
      </c>
      <c r="AC5383">
        <v>4.2904000000000302</v>
      </c>
      <c r="AD5383">
        <v>-1.116857463146</v>
      </c>
      <c r="AE5383">
        <v>-5.8757999999999901</v>
      </c>
      <c r="AF5383">
        <v>-2.5779768107407901</v>
      </c>
      <c r="AG5383">
        <v>-1.116857463146</v>
      </c>
      <c r="AH5383">
        <v>6.62399763678805</v>
      </c>
      <c r="AI5383">
        <v>98.929724445422593</v>
      </c>
      <c r="AJ5383">
        <v>111.265363556018</v>
      </c>
      <c r="AK5383">
        <v>7.1951844814344996</v>
      </c>
      <c r="AL5383">
        <v>67.001503057223601</v>
      </c>
      <c r="AM5383">
        <v>111.660052902937</v>
      </c>
      <c r="AN5383">
        <v>1.0000000499677399</v>
      </c>
    </row>
    <row r="5384" spans="1:40" x14ac:dyDescent="0.25">
      <c r="A5384" t="str">
        <f>"20190304164517602"</f>
        <v>20190304164517602</v>
      </c>
      <c r="B5384" t="str">
        <f>"1551689117595351"</f>
        <v>1551689117595351</v>
      </c>
      <c r="C5384" t="s">
        <v>40</v>
      </c>
      <c r="D5384">
        <v>5.6918739999999897</v>
      </c>
      <c r="E5384">
        <v>0.50829329999999995</v>
      </c>
      <c r="F5384" t="s">
        <v>49</v>
      </c>
      <c r="G5384">
        <v>-295.94929999999999</v>
      </c>
      <c r="H5384" s="1">
        <v>-3.4270789999999998E-6</v>
      </c>
      <c r="I5384">
        <v>-44.216659999999997</v>
      </c>
      <c r="J5384">
        <v>-299.9228</v>
      </c>
      <c r="K5384">
        <v>1.1170610000000001</v>
      </c>
      <c r="L5384">
        <v>-38.617400000000004</v>
      </c>
      <c r="M5384">
        <v>0.265314099999999</v>
      </c>
      <c r="N5384">
        <v>-9.5893030000000004E-3</v>
      </c>
      <c r="O5384">
        <v>-0.96411440000000004</v>
      </c>
      <c r="P5384">
        <v>0.54898639999999999</v>
      </c>
      <c r="Q5384">
        <v>0.38673590000000002</v>
      </c>
      <c r="R5384">
        <v>-0.74097880000000005</v>
      </c>
      <c r="S5384">
        <v>1.9759519999999999</v>
      </c>
      <c r="T5384">
        <v>-0.54314659999999904</v>
      </c>
      <c r="U5384">
        <v>-2.8702390000000002</v>
      </c>
      <c r="V5384">
        <v>-0.33916400000000002</v>
      </c>
      <c r="W5384">
        <v>0.38943630000000001</v>
      </c>
      <c r="X5384">
        <v>0.85633359999999903</v>
      </c>
      <c r="Y5384">
        <v>-0.32166790000000001</v>
      </c>
      <c r="Z5384">
        <v>0.1466259</v>
      </c>
      <c r="AA5384">
        <v>0.93543069999999895</v>
      </c>
      <c r="AB5384">
        <v>30</v>
      </c>
      <c r="AC5384">
        <v>3.9735</v>
      </c>
      <c r="AD5384">
        <v>-1.117064427079</v>
      </c>
      <c r="AE5384">
        <v>-5.5992599999999904</v>
      </c>
      <c r="AF5384">
        <v>-2.2849692566988802</v>
      </c>
      <c r="AG5384">
        <v>-1.117064427079</v>
      </c>
      <c r="AH5384">
        <v>6.2864434853073501</v>
      </c>
      <c r="AI5384">
        <v>99.481151116776005</v>
      </c>
      <c r="AJ5384">
        <v>109.97497430463601</v>
      </c>
      <c r="AK5384">
        <v>6.7814665915469599</v>
      </c>
      <c r="AL5384">
        <v>67.080572140274001</v>
      </c>
      <c r="AM5384">
        <v>111.606798493818</v>
      </c>
      <c r="AN5384">
        <v>1.00000004257132</v>
      </c>
    </row>
    <row r="5385" spans="1:40" x14ac:dyDescent="0.25">
      <c r="A5385" t="str">
        <f>"20190304164517622"</f>
        <v>20190304164517622</v>
      </c>
      <c r="B5385" t="str">
        <f>"1551689117615847"</f>
        <v>1551689117615847</v>
      </c>
      <c r="C5385" t="s">
        <v>40</v>
      </c>
      <c r="D5385">
        <v>5.5922470000000004</v>
      </c>
      <c r="E5385">
        <v>0.51072229999999996</v>
      </c>
      <c r="F5385" t="s">
        <v>49</v>
      </c>
      <c r="G5385">
        <v>-295.91359999999997</v>
      </c>
      <c r="H5385" s="1">
        <v>-3.5545520000000002E-6</v>
      </c>
      <c r="I5385">
        <v>-44.435250000000003</v>
      </c>
      <c r="J5385">
        <v>-299.84100000000001</v>
      </c>
      <c r="K5385">
        <v>1.1172409999999999</v>
      </c>
      <c r="L5385">
        <v>-38.884860000000003</v>
      </c>
      <c r="M5385">
        <v>0.27316950000000001</v>
      </c>
      <c r="N5385">
        <v>-9.6087829999999992E-3</v>
      </c>
      <c r="O5385">
        <v>-0.96191789999999999</v>
      </c>
      <c r="P5385">
        <v>0.55320029999999998</v>
      </c>
      <c r="Q5385">
        <v>0.38669599999999998</v>
      </c>
      <c r="R5385">
        <v>-0.73785859999999903</v>
      </c>
      <c r="S5385">
        <v>1.9782709999999999</v>
      </c>
      <c r="T5385">
        <v>-0.55119849999999904</v>
      </c>
      <c r="U5385">
        <v>-2.8707280000000002</v>
      </c>
      <c r="V5385">
        <v>-0.33721869999999998</v>
      </c>
      <c r="W5385">
        <v>0.3893045</v>
      </c>
      <c r="X5385">
        <v>0.85716130000000001</v>
      </c>
      <c r="Y5385">
        <v>-0.3142142</v>
      </c>
      <c r="Z5385">
        <v>0.14849949999999901</v>
      </c>
      <c r="AA5385">
        <v>0.93766590000000005</v>
      </c>
      <c r="AB5385">
        <v>30</v>
      </c>
      <c r="AC5385">
        <v>3.9274000000000302</v>
      </c>
      <c r="AD5385">
        <v>-1.117244554552</v>
      </c>
      <c r="AE5385">
        <v>-5.5503900000000002</v>
      </c>
      <c r="AF5385">
        <v>-2.20228240659499</v>
      </c>
      <c r="AG5385">
        <v>-1.117244554552</v>
      </c>
      <c r="AH5385">
        <v>6.2435860522093503</v>
      </c>
      <c r="AI5385">
        <v>99.578569412573998</v>
      </c>
      <c r="AJ5385">
        <v>109.429130380635</v>
      </c>
      <c r="AK5385">
        <v>6.7142125364347196</v>
      </c>
      <c r="AL5385">
        <v>67.088768984751795</v>
      </c>
      <c r="AM5385">
        <v>111.475338659855</v>
      </c>
      <c r="AN5385">
        <v>0.999999969783814</v>
      </c>
    </row>
    <row r="5386" spans="1:40" x14ac:dyDescent="0.25">
      <c r="A5386" t="str">
        <f>"20190304164517640"</f>
        <v>20190304164517640</v>
      </c>
      <c r="B5386" t="str">
        <f>"1551689117635368"</f>
        <v>1551689117635368</v>
      </c>
      <c r="C5386" t="s">
        <v>40</v>
      </c>
      <c r="D5386">
        <v>5.5648309999999999</v>
      </c>
      <c r="E5386">
        <v>0.51232500000000003</v>
      </c>
      <c r="F5386" t="s">
        <v>49</v>
      </c>
      <c r="G5386">
        <v>-295.82960000000003</v>
      </c>
      <c r="H5386" s="1">
        <v>-3.7131570000000002E-6</v>
      </c>
      <c r="I5386">
        <v>-44.69117</v>
      </c>
      <c r="J5386">
        <v>-299.76780000000002</v>
      </c>
      <c r="K5386">
        <v>1.1173979999999999</v>
      </c>
      <c r="L5386">
        <v>-39.117579999999997</v>
      </c>
      <c r="M5386">
        <v>0.28016229999999998</v>
      </c>
      <c r="N5386">
        <v>-9.6233480000000003E-3</v>
      </c>
      <c r="O5386">
        <v>-0.9599046</v>
      </c>
      <c r="P5386">
        <v>0.55649340000000003</v>
      </c>
      <c r="Q5386">
        <v>0.38708290000000001</v>
      </c>
      <c r="R5386">
        <v>-0.73517509999999997</v>
      </c>
      <c r="S5386">
        <v>1.9821470000000001</v>
      </c>
      <c r="T5386">
        <v>-0.55205909999999903</v>
      </c>
      <c r="U5386">
        <v>-2.869049</v>
      </c>
      <c r="V5386">
        <v>-0.3350185</v>
      </c>
      <c r="W5386">
        <v>0.38961899999999999</v>
      </c>
      <c r="X5386">
        <v>0.85788089999999995</v>
      </c>
      <c r="Y5386">
        <v>-0.30842449999999999</v>
      </c>
      <c r="Z5386">
        <v>0.14843970000000001</v>
      </c>
      <c r="AA5386">
        <v>0.93959559999999998</v>
      </c>
      <c r="AB5386">
        <v>30</v>
      </c>
      <c r="AC5386">
        <v>3.9381999999999899</v>
      </c>
      <c r="AD5386">
        <v>-1.117401713157</v>
      </c>
      <c r="AE5386">
        <v>-5.5735900000000003</v>
      </c>
      <c r="AF5386">
        <v>-2.16095688740478</v>
      </c>
      <c r="AG5386">
        <v>-1.117401713157</v>
      </c>
      <c r="AH5386">
        <v>6.2852495661748797</v>
      </c>
      <c r="AI5386">
        <v>99.543454239329506</v>
      </c>
      <c r="AJ5386">
        <v>108.973687922876</v>
      </c>
      <c r="AK5386">
        <v>6.7396352547367098</v>
      </c>
      <c r="AL5386">
        <v>67.069205439869506</v>
      </c>
      <c r="AM5386">
        <v>111.331572909804</v>
      </c>
      <c r="AN5386">
        <v>0.99999999954402996</v>
      </c>
    </row>
    <row r="5387" spans="1:40" x14ac:dyDescent="0.25">
      <c r="A5387" t="str">
        <f>"20190304164517661"</f>
        <v>20190304164517661</v>
      </c>
      <c r="B5387" t="str">
        <f>"1551689117655863"</f>
        <v>1551689117655863</v>
      </c>
      <c r="C5387" t="s">
        <v>40</v>
      </c>
      <c r="D5387">
        <v>5.555409</v>
      </c>
      <c r="E5387">
        <v>0.51360779999999995</v>
      </c>
      <c r="F5387" t="s">
        <v>49</v>
      </c>
      <c r="G5387">
        <v>-295.77280000000002</v>
      </c>
      <c r="H5387" s="1">
        <v>-3.8247789999999901E-6</v>
      </c>
      <c r="I5387">
        <v>-44.872250000000001</v>
      </c>
      <c r="J5387">
        <v>-299.6789</v>
      </c>
      <c r="K5387">
        <v>1.1175900000000001</v>
      </c>
      <c r="L5387">
        <v>-39.391779999999997</v>
      </c>
      <c r="M5387">
        <v>0.2886127</v>
      </c>
      <c r="N5387">
        <v>-9.6431680000000006E-3</v>
      </c>
      <c r="O5387">
        <v>-0.95739739999999995</v>
      </c>
      <c r="P5387">
        <v>0.5605675</v>
      </c>
      <c r="Q5387">
        <v>0.38774900000000001</v>
      </c>
      <c r="R5387">
        <v>-0.731720699999999</v>
      </c>
      <c r="S5387">
        <v>1.9904170000000001</v>
      </c>
      <c r="T5387">
        <v>-0.55671939999999998</v>
      </c>
      <c r="U5387">
        <v>-2.8671259999999998</v>
      </c>
      <c r="V5387">
        <v>-0.3325109</v>
      </c>
      <c r="W5387">
        <v>0.39019379999999998</v>
      </c>
      <c r="X5387">
        <v>0.858595</v>
      </c>
      <c r="Y5387">
        <v>-0.30208859999999998</v>
      </c>
      <c r="Z5387">
        <v>0.14927260000000001</v>
      </c>
      <c r="AA5387">
        <v>0.94152020000000003</v>
      </c>
      <c r="AB5387">
        <v>31</v>
      </c>
      <c r="AC5387">
        <v>3.9060999999999799</v>
      </c>
      <c r="AD5387">
        <v>-1.1175938247789901</v>
      </c>
      <c r="AE5387">
        <v>-5.4804700000000004</v>
      </c>
      <c r="AF5387">
        <v>-2.1001429376367899</v>
      </c>
      <c r="AG5387">
        <v>-1.1175938247789901</v>
      </c>
      <c r="AH5387">
        <v>6.2035629610632501</v>
      </c>
      <c r="AI5387">
        <v>99.683699654682201</v>
      </c>
      <c r="AJ5387">
        <v>108.70292280241701</v>
      </c>
      <c r="AK5387">
        <v>6.6440808038106898</v>
      </c>
      <c r="AL5387">
        <v>67.033442161999105</v>
      </c>
      <c r="AM5387">
        <v>111.170054326943</v>
      </c>
      <c r="AN5387">
        <v>1.00000003710112</v>
      </c>
    </row>
    <row r="5388" spans="1:40" x14ac:dyDescent="0.25">
      <c r="A5388" t="str">
        <f>"20190304164517683"</f>
        <v>20190304164517683</v>
      </c>
      <c r="B5388" t="str">
        <f>"1551689117675384"</f>
        <v>1551689117675384</v>
      </c>
      <c r="C5388" t="s">
        <v>40</v>
      </c>
      <c r="D5388">
        <v>5.5780059999999896</v>
      </c>
      <c r="E5388">
        <v>0.51466290000000003</v>
      </c>
      <c r="F5388" t="s">
        <v>49</v>
      </c>
      <c r="G5388">
        <v>-295.66820000000001</v>
      </c>
      <c r="H5388" s="1">
        <v>-3.9802959999999997E-6</v>
      </c>
      <c r="I5388">
        <v>-45.114179999999998</v>
      </c>
      <c r="J5388">
        <v>-299.58589999999998</v>
      </c>
      <c r="K5388">
        <v>1.117802</v>
      </c>
      <c r="L5388">
        <v>-39.669589999999999</v>
      </c>
      <c r="M5388">
        <v>0.29740860000000002</v>
      </c>
      <c r="N5388">
        <v>-9.6681030000000008E-3</v>
      </c>
      <c r="O5388">
        <v>-0.95470149999999998</v>
      </c>
      <c r="P5388">
        <v>0.56515819999999894</v>
      </c>
      <c r="Q5388">
        <v>0.38850499999999999</v>
      </c>
      <c r="R5388">
        <v>-0.72777749999999997</v>
      </c>
      <c r="S5388">
        <v>2.0046390000000001</v>
      </c>
      <c r="T5388">
        <v>-0.55859599999999998</v>
      </c>
      <c r="U5388">
        <v>-2.8601679999999998</v>
      </c>
      <c r="V5388">
        <v>-0.33033810000000002</v>
      </c>
      <c r="W5388">
        <v>0.39084649999999999</v>
      </c>
      <c r="X5388">
        <v>0.85913660000000003</v>
      </c>
      <c r="Y5388">
        <v>-0.29752810000000002</v>
      </c>
      <c r="Z5388">
        <v>0.14937410000000001</v>
      </c>
      <c r="AA5388">
        <v>0.94295510000000005</v>
      </c>
      <c r="AB5388">
        <v>31</v>
      </c>
      <c r="AC5388">
        <v>3.91769999999996</v>
      </c>
      <c r="AD5388">
        <v>-1.1178059802960001</v>
      </c>
      <c r="AE5388">
        <v>-5.44458999999999</v>
      </c>
      <c r="AF5388">
        <v>-2.0637516606634598</v>
      </c>
      <c r="AG5388">
        <v>-1.1178059802960001</v>
      </c>
      <c r="AH5388">
        <v>6.1914664988692998</v>
      </c>
      <c r="AI5388">
        <v>99.719067057846203</v>
      </c>
      <c r="AJ5388">
        <v>108.43436160828399</v>
      </c>
      <c r="AK5388">
        <v>6.62139098174225</v>
      </c>
      <c r="AL5388">
        <v>66.992817963088896</v>
      </c>
      <c r="AM5388">
        <v>111.03175618208699</v>
      </c>
      <c r="AN5388">
        <v>0.99999997216670899</v>
      </c>
    </row>
    <row r="5389" spans="1:40" x14ac:dyDescent="0.25">
      <c r="A5389" t="str">
        <f>"20190304164517705"</f>
        <v>20190304164517705</v>
      </c>
      <c r="B5389" t="str">
        <f>"1551689117695879"</f>
        <v>1551689117695879</v>
      </c>
      <c r="C5389" t="s">
        <v>40</v>
      </c>
      <c r="D5389">
        <v>5.5752990000000002</v>
      </c>
      <c r="E5389">
        <v>0.51560090000000003</v>
      </c>
      <c r="F5389" t="s">
        <v>49</v>
      </c>
      <c r="G5389">
        <v>-295.54689999999999</v>
      </c>
      <c r="H5389" s="1">
        <v>-4.1458719999999996E-6</v>
      </c>
      <c r="I5389">
        <v>-45.367730000000002</v>
      </c>
      <c r="J5389">
        <v>-299.48899999999998</v>
      </c>
      <c r="K5389">
        <v>1.118034</v>
      </c>
      <c r="L5389">
        <v>-39.949680000000001</v>
      </c>
      <c r="M5389">
        <v>0.30652180000000001</v>
      </c>
      <c r="N5389">
        <v>-9.693877E-3</v>
      </c>
      <c r="O5389">
        <v>-0.95181459999999996</v>
      </c>
      <c r="P5389">
        <v>0.57037139999999997</v>
      </c>
      <c r="Q5389">
        <v>0.38964169999999998</v>
      </c>
      <c r="R5389">
        <v>-0.72308790000000001</v>
      </c>
      <c r="S5389">
        <v>2.0210569999999999</v>
      </c>
      <c r="T5389">
        <v>-0.55933169999999899</v>
      </c>
      <c r="U5389">
        <v>-2.8512569999999999</v>
      </c>
      <c r="V5389">
        <v>-0.3287119</v>
      </c>
      <c r="W5389">
        <v>0.3918584</v>
      </c>
      <c r="X5389">
        <v>0.85929940000000005</v>
      </c>
      <c r="Y5389">
        <v>-0.29342869999999999</v>
      </c>
      <c r="Z5389">
        <v>0.149154799999999</v>
      </c>
      <c r="AA5389">
        <v>0.94427349999999999</v>
      </c>
      <c r="AB5389">
        <v>31</v>
      </c>
      <c r="AC5389">
        <v>3.9421000000000301</v>
      </c>
      <c r="AD5389">
        <v>-1.1180381458719999</v>
      </c>
      <c r="AE5389">
        <v>-5.41805</v>
      </c>
      <c r="AF5389">
        <v>-2.03484009669189</v>
      </c>
      <c r="AG5389">
        <v>-1.1180381458719999</v>
      </c>
      <c r="AH5389">
        <v>6.1931809841977996</v>
      </c>
      <c r="AI5389">
        <v>99.731952901445794</v>
      </c>
      <c r="AJ5389">
        <v>108.18852610691</v>
      </c>
      <c r="AK5389">
        <v>6.6140815097607604</v>
      </c>
      <c r="AL5389">
        <v>66.929815728586902</v>
      </c>
      <c r="AM5389">
        <v>110.933590524797</v>
      </c>
      <c r="AN5389">
        <v>0.99999998884626495</v>
      </c>
    </row>
    <row r="5390" spans="1:40" x14ac:dyDescent="0.25">
      <c r="A5390" t="str">
        <f>"20190304164517727"</f>
        <v>20190304164517727</v>
      </c>
      <c r="B5390" t="str">
        <f>"1551689117715399"</f>
        <v>1551689117715399</v>
      </c>
      <c r="C5390" t="s">
        <v>40</v>
      </c>
      <c r="D5390">
        <v>5.6011170000000003</v>
      </c>
      <c r="E5390">
        <v>0.51636419999999905</v>
      </c>
      <c r="F5390" t="s">
        <v>49</v>
      </c>
      <c r="G5390">
        <v>-295.40519999999998</v>
      </c>
      <c r="H5390" s="1">
        <v>-4.3114239999999997E-6</v>
      </c>
      <c r="I5390">
        <v>-45.629840000000002</v>
      </c>
      <c r="J5390">
        <v>-299.38780000000003</v>
      </c>
      <c r="K5390">
        <v>1.118277</v>
      </c>
      <c r="L5390">
        <v>-40.232790000000001</v>
      </c>
      <c r="M5390">
        <v>0.31599260000000001</v>
      </c>
      <c r="N5390">
        <v>-9.7154600000000004E-3</v>
      </c>
      <c r="O5390">
        <v>-0.948712</v>
      </c>
      <c r="P5390">
        <v>0.57620689999999997</v>
      </c>
      <c r="Q5390">
        <v>0.39136409999999999</v>
      </c>
      <c r="R5390">
        <v>-0.71750990000000003</v>
      </c>
      <c r="S5390">
        <v>2.0415649999999999</v>
      </c>
      <c r="T5390">
        <v>-0.55893029999999999</v>
      </c>
      <c r="U5390">
        <v>-2.8396300000000001</v>
      </c>
      <c r="V5390">
        <v>-0.32765559999999899</v>
      </c>
      <c r="W5390">
        <v>0.3934301</v>
      </c>
      <c r="X5390">
        <v>0.85898459999999999</v>
      </c>
      <c r="Y5390">
        <v>-0.2902844</v>
      </c>
      <c r="Z5390">
        <v>0.14861179999999999</v>
      </c>
      <c r="AA5390">
        <v>0.94533040000000002</v>
      </c>
      <c r="AB5390">
        <v>31</v>
      </c>
      <c r="AC5390">
        <v>3.9826000000000401</v>
      </c>
      <c r="AD5390">
        <v>-1.118281311424</v>
      </c>
      <c r="AE5390">
        <v>-5.3970500000000001</v>
      </c>
      <c r="AF5390">
        <v>-2.0169457564155899</v>
      </c>
      <c r="AG5390">
        <v>-1.118281311424</v>
      </c>
      <c r="AH5390">
        <v>6.2064985162887503</v>
      </c>
      <c r="AI5390">
        <v>99.723639978136504</v>
      </c>
      <c r="AJ5390">
        <v>108.002773371128</v>
      </c>
      <c r="AK5390">
        <v>6.6211212878558197</v>
      </c>
      <c r="AL5390">
        <v>66.831900409833693</v>
      </c>
      <c r="AM5390">
        <v>110.87911472994899</v>
      </c>
      <c r="AN5390">
        <v>0.99999998941726498</v>
      </c>
    </row>
    <row r="5391" spans="1:40" x14ac:dyDescent="0.25">
      <c r="A5391" t="str">
        <f>"20190304164517750"</f>
        <v>20190304164517750</v>
      </c>
      <c r="B5391" t="str">
        <f>"1551689117745655"</f>
        <v>1551689117745655</v>
      </c>
      <c r="C5391" t="s">
        <v>40</v>
      </c>
      <c r="D5391">
        <v>5.6306370000000001</v>
      </c>
      <c r="E5391">
        <v>0.51732339999999999</v>
      </c>
      <c r="F5391" t="s">
        <v>49</v>
      </c>
      <c r="G5391">
        <v>-295.2362</v>
      </c>
      <c r="H5391" s="1">
        <v>-4.490958E-6</v>
      </c>
      <c r="I5391">
        <v>-45.908650000000002</v>
      </c>
      <c r="J5391">
        <v>-299.2783</v>
      </c>
      <c r="K5391">
        <v>1.1185290000000001</v>
      </c>
      <c r="L5391">
        <v>-40.52899</v>
      </c>
      <c r="M5391">
        <v>0.32617560000000001</v>
      </c>
      <c r="N5391">
        <v>-9.7361310000000003E-3</v>
      </c>
      <c r="O5391">
        <v>-0.94525910000000002</v>
      </c>
      <c r="P5391">
        <v>0.58270409999999995</v>
      </c>
      <c r="Q5391">
        <v>0.39409559999999999</v>
      </c>
      <c r="R5391">
        <v>-0.71073520000000001</v>
      </c>
      <c r="S5391">
        <v>2.0664980000000002</v>
      </c>
      <c r="T5391">
        <v>-0.55663739999999995</v>
      </c>
      <c r="U5391">
        <v>-2.8252259999999998</v>
      </c>
      <c r="V5391">
        <v>-0.32701029999999998</v>
      </c>
      <c r="W5391">
        <v>0.3959857</v>
      </c>
      <c r="X5391">
        <v>0.85805569999999898</v>
      </c>
      <c r="Y5391">
        <v>-0.28783550000000002</v>
      </c>
      <c r="Z5391">
        <v>0.14751020000000001</v>
      </c>
      <c r="AA5391">
        <v>0.94625130000000002</v>
      </c>
      <c r="AB5391">
        <v>31</v>
      </c>
      <c r="AC5391">
        <v>4.0420999999999996</v>
      </c>
      <c r="AD5391">
        <v>-1.118533490958</v>
      </c>
      <c r="AE5391">
        <v>-5.3796600000000003</v>
      </c>
      <c r="AF5391">
        <v>-2.0106591105496801</v>
      </c>
      <c r="AG5391">
        <v>-1.118533490958</v>
      </c>
      <c r="AH5391">
        <v>6.2317209402644398</v>
      </c>
      <c r="AI5391">
        <v>99.6936493010314</v>
      </c>
      <c r="AJ5391">
        <v>107.88224867845901</v>
      </c>
      <c r="AK5391">
        <v>6.6429069771118598</v>
      </c>
      <c r="AL5391">
        <v>66.672536105929197</v>
      </c>
      <c r="AM5391">
        <v>110.86215115689799</v>
      </c>
      <c r="AN5391">
        <v>0.99999999760653402</v>
      </c>
    </row>
    <row r="5392" spans="1:40" x14ac:dyDescent="0.25">
      <c r="A5392" t="str">
        <f>"20190304164517774"</f>
        <v>20190304164517774</v>
      </c>
      <c r="B5392" t="str">
        <f>"1551689117765175"</f>
        <v>1551689117765175</v>
      </c>
      <c r="C5392" t="s">
        <v>40</v>
      </c>
      <c r="D5392">
        <v>5.6354329999999999</v>
      </c>
      <c r="E5392">
        <v>0.51703160000000004</v>
      </c>
      <c r="F5392" t="s">
        <v>49</v>
      </c>
      <c r="G5392">
        <v>-295.03160000000003</v>
      </c>
      <c r="H5392" s="1">
        <v>-4.7015660000000003E-6</v>
      </c>
      <c r="I5392">
        <v>-46.232930000000003</v>
      </c>
      <c r="J5392">
        <v>-299.16430000000003</v>
      </c>
      <c r="K5392">
        <v>1.118771</v>
      </c>
      <c r="L5392">
        <v>-40.826810000000002</v>
      </c>
      <c r="M5392">
        <v>0.33669250000000001</v>
      </c>
      <c r="N5392">
        <v>-9.7536210000000005E-3</v>
      </c>
      <c r="O5392">
        <v>-0.94156419999999996</v>
      </c>
      <c r="P5392">
        <v>0.59001899999999996</v>
      </c>
      <c r="Q5392">
        <v>0.39684750000000002</v>
      </c>
      <c r="R5392">
        <v>-0.70312869999999905</v>
      </c>
      <c r="S5392">
        <v>2.092743</v>
      </c>
      <c r="T5392">
        <v>-0.55120440000000004</v>
      </c>
      <c r="U5392">
        <v>-2.8108520000000001</v>
      </c>
      <c r="V5392">
        <v>-0.3271309</v>
      </c>
      <c r="W5392">
        <v>0.39854299999999998</v>
      </c>
      <c r="X5392">
        <v>0.8568249</v>
      </c>
      <c r="Y5392">
        <v>-0.28536070000000002</v>
      </c>
      <c r="Z5392">
        <v>0.14547939999999901</v>
      </c>
      <c r="AA5392">
        <v>0.94731460000000001</v>
      </c>
      <c r="AB5392">
        <v>31</v>
      </c>
      <c r="AC5392">
        <v>4.1326999999999998</v>
      </c>
      <c r="AD5392">
        <v>-1.118775701566</v>
      </c>
      <c r="AE5392">
        <v>-5.4061199999999996</v>
      </c>
      <c r="AF5392">
        <v>-2.0165911335566</v>
      </c>
      <c r="AG5392">
        <v>-1.118775701566</v>
      </c>
      <c r="AH5392">
        <v>6.31136637577091</v>
      </c>
      <c r="AI5392">
        <v>99.584205435363501</v>
      </c>
      <c r="AJ5392">
        <v>107.719583629337</v>
      </c>
      <c r="AK5392">
        <v>6.7194973323579203</v>
      </c>
      <c r="AL5392">
        <v>66.512874798236098</v>
      </c>
      <c r="AM5392">
        <v>110.896573426655</v>
      </c>
      <c r="AN5392">
        <v>1.0000000289219</v>
      </c>
    </row>
    <row r="5393" spans="1:40" x14ac:dyDescent="0.25">
      <c r="A5393" t="str">
        <f>"20190304164517796"</f>
        <v>20190304164517796</v>
      </c>
      <c r="B5393" t="str">
        <f>"1551689117785672"</f>
        <v>1551689117785672</v>
      </c>
      <c r="C5393" t="s">
        <v>40</v>
      </c>
      <c r="D5393">
        <v>5.4925079999999999</v>
      </c>
      <c r="E5393">
        <v>0.45977709999999999</v>
      </c>
      <c r="F5393" t="s">
        <v>49</v>
      </c>
      <c r="G5393">
        <v>-294.76900000000001</v>
      </c>
      <c r="H5393" s="1">
        <v>-4.9442299999999996E-6</v>
      </c>
      <c r="I5393">
        <v>-46.594920000000002</v>
      </c>
      <c r="J5393">
        <v>-299.05239999999998</v>
      </c>
      <c r="K5393">
        <v>1.118984</v>
      </c>
      <c r="L5393">
        <v>-41.108640000000001</v>
      </c>
      <c r="M5393">
        <v>0.3469102</v>
      </c>
      <c r="N5393">
        <v>-9.7628220000000009E-3</v>
      </c>
      <c r="O5393">
        <v>-0.9378476</v>
      </c>
      <c r="P5393">
        <v>0.59830550000000005</v>
      </c>
      <c r="Q5393">
        <v>0.3976558</v>
      </c>
      <c r="R5393">
        <v>-0.69562950000000001</v>
      </c>
      <c r="S5393">
        <v>2.1250309999999999</v>
      </c>
      <c r="T5393">
        <v>-0.54090479999999996</v>
      </c>
      <c r="U5393">
        <v>-2.7887569999999999</v>
      </c>
      <c r="V5393">
        <v>-0.32836100000000001</v>
      </c>
      <c r="W5393">
        <v>0.39915220000000001</v>
      </c>
      <c r="X5393">
        <v>0.85607049999999996</v>
      </c>
      <c r="Y5393">
        <v>-0.28579939999999998</v>
      </c>
      <c r="Z5393">
        <v>0.14230599999999999</v>
      </c>
      <c r="AA5393">
        <v>0.94766430000000001</v>
      </c>
      <c r="AB5393">
        <v>31</v>
      </c>
      <c r="AC5393">
        <v>4.2833999999999701</v>
      </c>
      <c r="AD5393">
        <v>-1.1189889442299901</v>
      </c>
      <c r="AE5393">
        <v>-5.4862799999999998</v>
      </c>
      <c r="AF5393">
        <v>-2.06076873290497</v>
      </c>
      <c r="AG5393">
        <v>-1.1189889442299901</v>
      </c>
      <c r="AH5393">
        <v>6.4644867783834998</v>
      </c>
      <c r="AI5393">
        <v>99.364965107046402</v>
      </c>
      <c r="AJ5393">
        <v>107.68139930042901</v>
      </c>
      <c r="AK5393">
        <v>6.8766629505686003</v>
      </c>
      <c r="AL5393">
        <v>66.474812472250093</v>
      </c>
      <c r="AM5393">
        <v>110.985200750264</v>
      </c>
      <c r="AN5393">
        <v>1.0000000630280399</v>
      </c>
    </row>
    <row r="5394" spans="1:40" x14ac:dyDescent="0.25">
      <c r="A5394" t="str">
        <f>"20190304164517817"</f>
        <v>20190304164517817</v>
      </c>
      <c r="B5394" t="str">
        <f>"1551689117805192"</f>
        <v>1551689117805192</v>
      </c>
      <c r="C5394" t="s">
        <v>40</v>
      </c>
      <c r="D5394">
        <v>5.5322259999999996</v>
      </c>
      <c r="E5394">
        <v>0.45638410000000001</v>
      </c>
      <c r="F5394" t="s">
        <v>41</v>
      </c>
      <c r="G5394">
        <v>-298.291</v>
      </c>
      <c r="H5394">
        <v>0.98746029999999996</v>
      </c>
      <c r="I5394">
        <v>-41.857599999999998</v>
      </c>
      <c r="J5394">
        <v>-298.94049999999999</v>
      </c>
      <c r="K5394">
        <v>1.119165</v>
      </c>
      <c r="L5394">
        <v>-41.381259999999997</v>
      </c>
      <c r="M5394">
        <v>0.35696709999999998</v>
      </c>
      <c r="N5394">
        <v>-9.7670020000000003E-3</v>
      </c>
      <c r="O5394">
        <v>-0.93406599999999995</v>
      </c>
      <c r="P5394">
        <v>0.60612639999999995</v>
      </c>
      <c r="Q5394">
        <v>0.3972772</v>
      </c>
      <c r="R5394">
        <v>-0.689044199999999</v>
      </c>
      <c r="S5394">
        <v>2.4713750000000001</v>
      </c>
      <c r="T5394">
        <v>-0.42690210000000001</v>
      </c>
      <c r="U5394">
        <v>-2.4310610000000001</v>
      </c>
      <c r="V5394">
        <v>-0.32893699999999998</v>
      </c>
      <c r="W5394">
        <v>0.3986152</v>
      </c>
      <c r="X5394">
        <v>0.85609950000000001</v>
      </c>
      <c r="Y5394">
        <v>-0.4103772</v>
      </c>
      <c r="Z5394">
        <v>0.115319699999999</v>
      </c>
      <c r="AA5394">
        <v>0.90459489999999998</v>
      </c>
      <c r="AB5394">
        <v>31</v>
      </c>
      <c r="AC5394">
        <v>0.64949999999998898</v>
      </c>
      <c r="AD5394">
        <v>-0.13170469999999901</v>
      </c>
      <c r="AE5394">
        <v>-0.47633999999999999</v>
      </c>
      <c r="AF5394">
        <v>-0.42528769971424901</v>
      </c>
      <c r="AG5394">
        <v>-0.13170469999999901</v>
      </c>
      <c r="AH5394">
        <v>0.65919007502328297</v>
      </c>
      <c r="AI5394">
        <v>99.530447541456894</v>
      </c>
      <c r="AJ5394">
        <v>122.828773801819</v>
      </c>
      <c r="AK5394">
        <v>0.79545415363773697</v>
      </c>
      <c r="AL5394">
        <v>66.508363323706305</v>
      </c>
      <c r="AM5394">
        <v>111.018150007798</v>
      </c>
      <c r="AN5394">
        <v>0.99999999077014501</v>
      </c>
    </row>
    <row r="5395" spans="1:40" x14ac:dyDescent="0.25">
      <c r="A5395" t="str">
        <f>"20190304164517841"</f>
        <v>20190304164517841</v>
      </c>
      <c r="B5395" t="str">
        <f>"1551689117835447"</f>
        <v>1551689117835447</v>
      </c>
      <c r="C5395" t="s">
        <v>40</v>
      </c>
      <c r="D5395">
        <v>5.4963989999999896</v>
      </c>
      <c r="E5395">
        <v>0.45653709999999997</v>
      </c>
      <c r="F5395" t="s">
        <v>41</v>
      </c>
      <c r="G5395">
        <v>-298.18</v>
      </c>
      <c r="H5395">
        <v>0.99329920000000005</v>
      </c>
      <c r="I5395">
        <v>-42.103020000000001</v>
      </c>
      <c r="J5395">
        <v>-298.8211</v>
      </c>
      <c r="K5395">
        <v>1.1193169999999999</v>
      </c>
      <c r="L5395">
        <v>-41.663209999999999</v>
      </c>
      <c r="M5395">
        <v>0.36752509999999999</v>
      </c>
      <c r="N5395">
        <v>-9.7626970000000007E-3</v>
      </c>
      <c r="O5395">
        <v>-0.92996250000000003</v>
      </c>
      <c r="P5395">
        <v>0.61452879999999999</v>
      </c>
      <c r="Q5395">
        <v>0.39648290000000003</v>
      </c>
      <c r="R5395">
        <v>-0.6820235</v>
      </c>
      <c r="S5395">
        <v>2.5122070000000001</v>
      </c>
      <c r="T5395">
        <v>-0.4157187</v>
      </c>
      <c r="U5395">
        <v>-2.3836360000000001</v>
      </c>
      <c r="V5395">
        <v>-0.32971879999999998</v>
      </c>
      <c r="W5395">
        <v>0.39766639999999998</v>
      </c>
      <c r="X5395">
        <v>0.85624</v>
      </c>
      <c r="Y5395">
        <v>-0.41663129999999998</v>
      </c>
      <c r="Z5395">
        <v>0.11226460000000001</v>
      </c>
      <c r="AA5395">
        <v>0.90211699999999995</v>
      </c>
      <c r="AB5395">
        <v>31</v>
      </c>
      <c r="AC5395">
        <v>0.64109999999999401</v>
      </c>
      <c r="AD5395">
        <v>-0.12601780000000001</v>
      </c>
      <c r="AE5395">
        <v>-0.43981000000000098</v>
      </c>
      <c r="AF5395">
        <v>-0.423453030738631</v>
      </c>
      <c r="AG5395">
        <v>-0.12601780000000001</v>
      </c>
      <c r="AH5395">
        <v>0.62815430922853199</v>
      </c>
      <c r="AI5395">
        <v>99.444553631192306</v>
      </c>
      <c r="AJ5395">
        <v>123.98480095414099</v>
      </c>
      <c r="AK5395">
        <v>0.76796535817766298</v>
      </c>
      <c r="AL5395">
        <v>66.567625178471005</v>
      </c>
      <c r="AM5395">
        <v>111.06057510903101</v>
      </c>
      <c r="AN5395">
        <v>0.99999999518119997</v>
      </c>
    </row>
    <row r="5396" spans="1:40" x14ac:dyDescent="0.25">
      <c r="A5396" t="str">
        <f>"20190304164517862"</f>
        <v>20190304164517862</v>
      </c>
      <c r="B5396" t="str">
        <f>"1551689117855943"</f>
        <v>1551689117855943</v>
      </c>
      <c r="C5396" t="s">
        <v>40</v>
      </c>
      <c r="D5396">
        <v>5.4522559999999904</v>
      </c>
      <c r="E5396">
        <v>0.45662530000000001</v>
      </c>
      <c r="F5396" t="s">
        <v>41</v>
      </c>
      <c r="G5396">
        <v>-298.07650000000001</v>
      </c>
      <c r="H5396">
        <v>0.99753380000000003</v>
      </c>
      <c r="I5396">
        <v>-42.354419999999998</v>
      </c>
      <c r="J5396">
        <v>-298.70049999999998</v>
      </c>
      <c r="K5396">
        <v>1.1194470000000001</v>
      </c>
      <c r="L5396">
        <v>-41.939480000000003</v>
      </c>
      <c r="M5396">
        <v>0.37799139999999998</v>
      </c>
      <c r="N5396">
        <v>-9.7511490000000006E-3</v>
      </c>
      <c r="O5396">
        <v>-0.92575770000000002</v>
      </c>
      <c r="P5396">
        <v>0.62304040000000005</v>
      </c>
      <c r="Q5396">
        <v>0.39592159999999998</v>
      </c>
      <c r="R5396">
        <v>-0.67458619999999903</v>
      </c>
      <c r="S5396">
        <v>2.5362550000000001</v>
      </c>
      <c r="T5396">
        <v>-0.4148521</v>
      </c>
      <c r="U5396">
        <v>-2.3546450000000001</v>
      </c>
      <c r="V5396">
        <v>-0.33081460000000001</v>
      </c>
      <c r="W5396">
        <v>0.3969567</v>
      </c>
      <c r="X5396">
        <v>0.85614659999999998</v>
      </c>
      <c r="Y5396">
        <v>-0.41621200000000003</v>
      </c>
      <c r="Z5396">
        <v>0.111932</v>
      </c>
      <c r="AA5396">
        <v>0.90235189999999998</v>
      </c>
      <c r="AB5396">
        <v>31</v>
      </c>
      <c r="AC5396">
        <v>0.62399999999996603</v>
      </c>
      <c r="AD5396">
        <v>-0.121913199999999</v>
      </c>
      <c r="AE5396">
        <v>-0.41494000000000802</v>
      </c>
      <c r="AF5396">
        <v>-0.409997494345965</v>
      </c>
      <c r="AG5396">
        <v>-0.121913199999999</v>
      </c>
      <c r="AH5396">
        <v>0.60404257572304998</v>
      </c>
      <c r="AI5396">
        <v>99.480576977813897</v>
      </c>
      <c r="AJ5396">
        <v>124.16693308027</v>
      </c>
      <c r="AK5396">
        <v>0.74015417785103799</v>
      </c>
      <c r="AL5396">
        <v>66.611934600907006</v>
      </c>
      <c r="AM5396">
        <v>111.126506004018</v>
      </c>
      <c r="AN5396">
        <v>0.99999996096980404</v>
      </c>
    </row>
    <row r="5397" spans="1:40" x14ac:dyDescent="0.25">
      <c r="A5397" t="str">
        <f>"20190304164517884"</f>
        <v>20190304164517884</v>
      </c>
      <c r="B5397" t="str">
        <f>"1551689117875463"</f>
        <v>1551689117875463</v>
      </c>
      <c r="C5397" t="s">
        <v>40</v>
      </c>
      <c r="D5397">
        <v>5.4337090000000003</v>
      </c>
      <c r="E5397">
        <v>0.45769339999999997</v>
      </c>
      <c r="F5397" t="s">
        <v>41</v>
      </c>
      <c r="G5397">
        <v>-297.95139999999998</v>
      </c>
      <c r="H5397">
        <v>0.99642430000000004</v>
      </c>
      <c r="I5397">
        <v>-42.619770000000003</v>
      </c>
      <c r="J5397">
        <v>-298.57769999999999</v>
      </c>
      <c r="K5397">
        <v>1.119548</v>
      </c>
      <c r="L5397">
        <v>-42.212040000000002</v>
      </c>
      <c r="M5397">
        <v>0.3884013</v>
      </c>
      <c r="N5397">
        <v>-9.7354520000000003E-3</v>
      </c>
      <c r="O5397">
        <v>-0.92143909999999996</v>
      </c>
      <c r="P5397">
        <v>0.63204069999999901</v>
      </c>
      <c r="Q5397">
        <v>0.39568199999999998</v>
      </c>
      <c r="R5397">
        <v>-0.66630389999999995</v>
      </c>
      <c r="S5397">
        <v>2.5629879999999998</v>
      </c>
      <c r="T5397">
        <v>-0.4208674</v>
      </c>
      <c r="U5397">
        <v>-2.3270569999999999</v>
      </c>
      <c r="V5397">
        <v>-0.33272249999999998</v>
      </c>
      <c r="W5397">
        <v>0.39655970000000001</v>
      </c>
      <c r="X5397">
        <v>0.85559110000000005</v>
      </c>
      <c r="Y5397">
        <v>-0.41584599999999999</v>
      </c>
      <c r="Z5397">
        <v>0.11344029999999999</v>
      </c>
      <c r="AA5397">
        <v>0.90233220000000003</v>
      </c>
      <c r="AB5397">
        <v>31</v>
      </c>
      <c r="AC5397">
        <v>0.62630000000001396</v>
      </c>
      <c r="AD5397">
        <v>-0.123123699999999</v>
      </c>
      <c r="AE5397">
        <v>-0.40772999999999998</v>
      </c>
      <c r="AF5397">
        <v>-0.40768818599365803</v>
      </c>
      <c r="AG5397">
        <v>-0.123123699999999</v>
      </c>
      <c r="AH5397">
        <v>0.60262602192069703</v>
      </c>
      <c r="AI5397">
        <v>99.604847717528202</v>
      </c>
      <c r="AJ5397">
        <v>124.079113355099</v>
      </c>
      <c r="AK5397">
        <v>0.73792087976723797</v>
      </c>
      <c r="AL5397">
        <v>66.636715735050302</v>
      </c>
      <c r="AM5397">
        <v>111.250076670147</v>
      </c>
      <c r="AN5397">
        <v>0.99999999403477502</v>
      </c>
    </row>
    <row r="5398" spans="1:40" x14ac:dyDescent="0.25">
      <c r="A5398" t="str">
        <f>"20190304164517906"</f>
        <v>20190304164517906</v>
      </c>
      <c r="B5398" t="str">
        <f>"1551689117895960"</f>
        <v>1551689117895960</v>
      </c>
      <c r="C5398" t="s">
        <v>40</v>
      </c>
      <c r="D5398">
        <v>5.4417619999999998</v>
      </c>
      <c r="E5398">
        <v>0.45890180000000003</v>
      </c>
      <c r="F5398" t="s">
        <v>41</v>
      </c>
      <c r="G5398">
        <v>-297.80500000000001</v>
      </c>
      <c r="H5398">
        <v>0.99229959999999995</v>
      </c>
      <c r="I5398">
        <v>-42.900109999999998</v>
      </c>
      <c r="J5398">
        <v>-298.44990000000001</v>
      </c>
      <c r="K5398">
        <v>1.119634</v>
      </c>
      <c r="L5398">
        <v>-42.487520000000004</v>
      </c>
      <c r="M5398">
        <v>0.39898040000000001</v>
      </c>
      <c r="N5398">
        <v>-9.7153020000000003E-3</v>
      </c>
      <c r="O5398">
        <v>-0.91690799999999995</v>
      </c>
      <c r="P5398">
        <v>0.63999910000000004</v>
      </c>
      <c r="Q5398">
        <v>0.39607039999999999</v>
      </c>
      <c r="R5398">
        <v>-0.6584293</v>
      </c>
      <c r="S5398">
        <v>2.5861209999999999</v>
      </c>
      <c r="T5398">
        <v>-0.42580129999999999</v>
      </c>
      <c r="U5398">
        <v>-2.3021850000000001</v>
      </c>
      <c r="V5398">
        <v>-0.33335569999999998</v>
      </c>
      <c r="W5398">
        <v>0.39683190000000002</v>
      </c>
      <c r="X5398">
        <v>0.85521840000000005</v>
      </c>
      <c r="Y5398">
        <v>-0.4141302</v>
      </c>
      <c r="Z5398">
        <v>0.11459129999999999</v>
      </c>
      <c r="AA5398">
        <v>0.90297570000000005</v>
      </c>
      <c r="AB5398">
        <v>31</v>
      </c>
      <c r="AC5398">
        <v>0.64490000000000602</v>
      </c>
      <c r="AD5398">
        <v>-0.12733439999999999</v>
      </c>
      <c r="AE5398">
        <v>-0.41258999999999402</v>
      </c>
      <c r="AF5398">
        <v>-0.41523218863317302</v>
      </c>
      <c r="AG5398">
        <v>-0.12733439999999999</v>
      </c>
      <c r="AH5398">
        <v>0.61852911756803097</v>
      </c>
      <c r="AI5398">
        <v>99.699442564477096</v>
      </c>
      <c r="AJ5398">
        <v>123.874329870202</v>
      </c>
      <c r="AK5398">
        <v>0.75578441977851296</v>
      </c>
      <c r="AL5398">
        <v>66.619727080148493</v>
      </c>
      <c r="AM5398">
        <v>111.295346210077</v>
      </c>
      <c r="AN5398">
        <v>1.0000000456393201</v>
      </c>
    </row>
    <row r="5399" spans="1:40" x14ac:dyDescent="0.25">
      <c r="A5399" t="str">
        <f>"20190304164517929"</f>
        <v>20190304164517929</v>
      </c>
      <c r="B5399" t="str">
        <f>"1551689117915479"</f>
        <v>1551689117915479</v>
      </c>
      <c r="C5399" t="s">
        <v>40</v>
      </c>
      <c r="D5399">
        <v>5.4142570000000001</v>
      </c>
      <c r="E5399">
        <v>0.45989960000000002</v>
      </c>
      <c r="F5399" t="s">
        <v>49</v>
      </c>
      <c r="G5399">
        <v>-291.63720000000001</v>
      </c>
      <c r="H5399" s="1">
        <v>-6.2888989999999998E-6</v>
      </c>
      <c r="I5399">
        <v>-48.441789999999997</v>
      </c>
      <c r="J5399">
        <v>-298.31819999999999</v>
      </c>
      <c r="K5399">
        <v>1.1196969999999999</v>
      </c>
      <c r="L5399">
        <v>-42.763030000000001</v>
      </c>
      <c r="M5399">
        <v>0.40959770000000001</v>
      </c>
      <c r="N5399">
        <v>-9.6945550000000005E-3</v>
      </c>
      <c r="O5399">
        <v>-0.91221479999999999</v>
      </c>
      <c r="P5399">
        <v>0.64751080000000005</v>
      </c>
      <c r="Q5399">
        <v>0.39604040000000001</v>
      </c>
      <c r="R5399">
        <v>-0.65106229999999998</v>
      </c>
      <c r="S5399">
        <v>2.6078489999999999</v>
      </c>
      <c r="T5399">
        <v>-0.428593</v>
      </c>
      <c r="U5399">
        <v>-2.2792659999999998</v>
      </c>
      <c r="V5399">
        <v>-0.33331460000000002</v>
      </c>
      <c r="W5399">
        <v>0.39671679999999998</v>
      </c>
      <c r="X5399">
        <v>0.85528780000000004</v>
      </c>
      <c r="Y5399">
        <v>-0.41175299999999998</v>
      </c>
      <c r="Z5399">
        <v>0.1150666</v>
      </c>
      <c r="AA5399">
        <v>0.90400170000000002</v>
      </c>
      <c r="AB5399">
        <v>31</v>
      </c>
      <c r="AC5399">
        <v>6.6809999999999796</v>
      </c>
      <c r="AD5399">
        <v>-1.1197032888989999</v>
      </c>
      <c r="AE5399">
        <v>-5.6787599999999996</v>
      </c>
      <c r="AF5399">
        <v>-3.7082078451875402</v>
      </c>
      <c r="AG5399">
        <v>-1.1197032888989999</v>
      </c>
      <c r="AH5399">
        <v>7.7901107999531298</v>
      </c>
      <c r="AI5399">
        <v>97.3945469677451</v>
      </c>
      <c r="AJ5399">
        <v>115.455138400264</v>
      </c>
      <c r="AK5399">
        <v>8.7000211007691295</v>
      </c>
      <c r="AL5399">
        <v>66.626911200444795</v>
      </c>
      <c r="AM5399">
        <v>111.29138280382899</v>
      </c>
      <c r="AN5399">
        <v>1.00000003140211</v>
      </c>
    </row>
    <row r="5400" spans="1:40" x14ac:dyDescent="0.25">
      <c r="A5400" t="str">
        <f>"20190304164517951"</f>
        <v>20190304164517951</v>
      </c>
      <c r="B5400" t="str">
        <f>"1551689117945735"</f>
        <v>1551689117945735</v>
      </c>
      <c r="C5400" t="s">
        <v>40</v>
      </c>
      <c r="D5400">
        <v>5.4173159999999996</v>
      </c>
      <c r="E5400">
        <v>0.46132820000000002</v>
      </c>
      <c r="F5400" t="s">
        <v>49</v>
      </c>
      <c r="G5400">
        <v>-291.49720000000002</v>
      </c>
      <c r="H5400" s="1">
        <v>-6.3755929999999996E-6</v>
      </c>
      <c r="I5400">
        <v>-48.613050000000001</v>
      </c>
      <c r="J5400">
        <v>-298.1737</v>
      </c>
      <c r="K5400">
        <v>1.1197539999999999</v>
      </c>
      <c r="L5400">
        <v>-43.056579999999997</v>
      </c>
      <c r="M5400">
        <v>0.42093039999999998</v>
      </c>
      <c r="N5400">
        <v>-9.673694E-3</v>
      </c>
      <c r="O5400">
        <v>-0.9070416</v>
      </c>
      <c r="P5400">
        <v>0.65615119999999905</v>
      </c>
      <c r="Q5400">
        <v>0.39469579999999999</v>
      </c>
      <c r="R5400">
        <v>-0.64318030000000004</v>
      </c>
      <c r="S5400">
        <v>2.6295470000000001</v>
      </c>
      <c r="T5400">
        <v>-0.43165249999999999</v>
      </c>
      <c r="U5400">
        <v>-2.2552189999999999</v>
      </c>
      <c r="V5400">
        <v>-0.33378760000000002</v>
      </c>
      <c r="W5400">
        <v>0.3952833</v>
      </c>
      <c r="X5400">
        <v>0.8557669</v>
      </c>
      <c r="Y5400">
        <v>-0.4088059</v>
      </c>
      <c r="Z5400">
        <v>0.1155728</v>
      </c>
      <c r="AA5400">
        <v>0.90527380000000002</v>
      </c>
      <c r="AB5400">
        <v>31</v>
      </c>
      <c r="AC5400">
        <v>6.6764999999999697</v>
      </c>
      <c r="AD5400">
        <v>-1.1197603755929999</v>
      </c>
      <c r="AE5400">
        <v>-5.55647</v>
      </c>
      <c r="AF5400">
        <v>-3.6563856894411</v>
      </c>
      <c r="AG5400">
        <v>-1.1197603755929999</v>
      </c>
      <c r="AH5400">
        <v>7.7223236869553897</v>
      </c>
      <c r="AI5400">
        <v>97.466343835508596</v>
      </c>
      <c r="AJ5400">
        <v>115.336739405229</v>
      </c>
      <c r="AK5400">
        <v>8.6172677070409094</v>
      </c>
      <c r="AL5400">
        <v>66.716356521648095</v>
      </c>
      <c r="AM5400">
        <v>111.308021476194</v>
      </c>
      <c r="AN5400">
        <v>1.00000001815412</v>
      </c>
    </row>
    <row r="5401" spans="1:40" x14ac:dyDescent="0.25">
      <c r="A5401" t="str">
        <f>"20190304164517974"</f>
        <v>20190304164517974</v>
      </c>
      <c r="B5401" t="str">
        <f>"1551689117965256"</f>
        <v>1551689117965256</v>
      </c>
      <c r="C5401" t="s">
        <v>40</v>
      </c>
      <c r="D5401">
        <v>5.3739150000000002</v>
      </c>
      <c r="E5401">
        <v>0.46213389999999999</v>
      </c>
      <c r="F5401" t="s">
        <v>49</v>
      </c>
      <c r="G5401">
        <v>-291.4941</v>
      </c>
      <c r="H5401" s="1">
        <v>-6.4032589999999997E-6</v>
      </c>
      <c r="I5401">
        <v>-48.68488</v>
      </c>
      <c r="J5401">
        <v>-298.03829999999999</v>
      </c>
      <c r="K5401">
        <v>1.119807</v>
      </c>
      <c r="L5401">
        <v>-43.323610000000002</v>
      </c>
      <c r="M5401">
        <v>0.43125000000000002</v>
      </c>
      <c r="N5401">
        <v>-9.6566229999999996E-3</v>
      </c>
      <c r="O5401">
        <v>-0.9021808</v>
      </c>
      <c r="P5401">
        <v>0.66350609999999999</v>
      </c>
      <c r="Q5401">
        <v>0.39445530000000001</v>
      </c>
      <c r="R5401">
        <v>-0.63573970000000002</v>
      </c>
      <c r="S5401">
        <v>2.650299</v>
      </c>
      <c r="T5401">
        <v>-0.44429000000000002</v>
      </c>
      <c r="U5401">
        <v>-2.2331539999999999</v>
      </c>
      <c r="V5401">
        <v>-0.3338622</v>
      </c>
      <c r="W5401">
        <v>0.39497579999999999</v>
      </c>
      <c r="X5401">
        <v>0.85587979999999997</v>
      </c>
      <c r="Y5401">
        <v>-0.40598679999999998</v>
      </c>
      <c r="Z5401">
        <v>0.11873889999999999</v>
      </c>
      <c r="AA5401">
        <v>0.9061323</v>
      </c>
      <c r="AB5401">
        <v>31</v>
      </c>
      <c r="AC5401">
        <v>6.5441999999999796</v>
      </c>
      <c r="AD5401">
        <v>-1.1198134032589999</v>
      </c>
      <c r="AE5401">
        <v>-5.3612700000000002</v>
      </c>
      <c r="AF5401">
        <v>-3.53031630497488</v>
      </c>
      <c r="AG5401">
        <v>-1.1198134032589999</v>
      </c>
      <c r="AH5401">
        <v>7.5274882266435004</v>
      </c>
      <c r="AI5401">
        <v>97.670810044429103</v>
      </c>
      <c r="AJ5401">
        <v>115.126105188003</v>
      </c>
      <c r="AK5401">
        <v>8.3892904511374802</v>
      </c>
      <c r="AL5401">
        <v>66.735536246722702</v>
      </c>
      <c r="AM5401">
        <v>111.30979734240999</v>
      </c>
      <c r="AN5401">
        <v>1.00000004161125</v>
      </c>
    </row>
    <row r="5402" spans="1:40" x14ac:dyDescent="0.25">
      <c r="A5402" t="str">
        <f>"20190304164517997"</f>
        <v>20190304164517997</v>
      </c>
      <c r="B5402" t="str">
        <f>"1551689117985752"</f>
        <v>1551689117985752</v>
      </c>
      <c r="C5402" t="s">
        <v>40</v>
      </c>
      <c r="D5402">
        <v>5.3824529999999999</v>
      </c>
      <c r="E5402">
        <v>0.46252280000000001</v>
      </c>
      <c r="F5402" t="s">
        <v>49</v>
      </c>
      <c r="G5402">
        <v>-291.38159999999999</v>
      </c>
      <c r="H5402" s="1">
        <v>-6.476979E-6</v>
      </c>
      <c r="I5402">
        <v>-48.83325</v>
      </c>
      <c r="J5402">
        <v>-297.88940000000002</v>
      </c>
      <c r="K5402">
        <v>1.119858</v>
      </c>
      <c r="L5402">
        <v>-43.60812</v>
      </c>
      <c r="M5402">
        <v>0.44225619999999999</v>
      </c>
      <c r="N5402">
        <v>-9.6353050000000003E-3</v>
      </c>
      <c r="O5402">
        <v>-0.896837199999999</v>
      </c>
      <c r="P5402">
        <v>0.670602699999999</v>
      </c>
      <c r="Q5402">
        <v>0.39473520000000001</v>
      </c>
      <c r="R5402">
        <v>-0.62807380000000002</v>
      </c>
      <c r="S5402">
        <v>2.6705930000000002</v>
      </c>
      <c r="T5402">
        <v>-0.44925870000000001</v>
      </c>
      <c r="U5402">
        <v>-2.2104189999999999</v>
      </c>
      <c r="V5402">
        <v>-0.33314179999999999</v>
      </c>
      <c r="W5402">
        <v>0.3952058</v>
      </c>
      <c r="X5402">
        <v>0.85605429999999905</v>
      </c>
      <c r="Y5402">
        <v>-0.40267019999999998</v>
      </c>
      <c r="Z5402">
        <v>0.11969200000000001</v>
      </c>
      <c r="AA5402">
        <v>0.90748580000000001</v>
      </c>
      <c r="AB5402">
        <v>31</v>
      </c>
      <c r="AC5402">
        <v>6.5078000000000298</v>
      </c>
      <c r="AD5402">
        <v>-1.119864476979</v>
      </c>
      <c r="AE5402">
        <v>-5.2251300000000001</v>
      </c>
      <c r="AF5402">
        <v>-3.4633962816415602</v>
      </c>
      <c r="AG5402">
        <v>-1.119864476979</v>
      </c>
      <c r="AH5402">
        <v>7.43076621761141</v>
      </c>
      <c r="AI5402">
        <v>97.778342427485597</v>
      </c>
      <c r="AJ5402">
        <v>114.989695170103</v>
      </c>
      <c r="AK5402">
        <v>8.2743880034285997</v>
      </c>
      <c r="AL5402">
        <v>66.721190692529007</v>
      </c>
      <c r="AM5402">
        <v>111.263980259441</v>
      </c>
      <c r="AN5402">
        <v>1.00000002390468</v>
      </c>
    </row>
    <row r="5403" spans="1:40" x14ac:dyDescent="0.25">
      <c r="A5403" t="str">
        <f>"20190304164518041"</f>
        <v>20190304164518041</v>
      </c>
      <c r="B5403" t="str">
        <f>"1551689118035527"</f>
        <v>1551689118035527</v>
      </c>
      <c r="C5403" t="s">
        <v>40</v>
      </c>
      <c r="D5403">
        <v>5.2788969999999997</v>
      </c>
      <c r="E5403">
        <v>0.47400920000000002</v>
      </c>
      <c r="F5403" t="s">
        <v>41</v>
      </c>
      <c r="G5403">
        <v>-297.0634</v>
      </c>
      <c r="H5403">
        <v>0.98195100000000002</v>
      </c>
      <c r="I5403">
        <v>-44.276919999999997</v>
      </c>
      <c r="J5403">
        <v>-297.59460000000001</v>
      </c>
      <c r="K5403">
        <v>1.1199380000000001</v>
      </c>
      <c r="L5403">
        <v>-44.148380000000003</v>
      </c>
      <c r="M5403">
        <v>0.46314440000000001</v>
      </c>
      <c r="N5403">
        <v>-9.597754E-3</v>
      </c>
      <c r="O5403">
        <v>-0.88623090000000004</v>
      </c>
      <c r="P5403">
        <v>0.68610640000000001</v>
      </c>
      <c r="Q5403">
        <v>0.39233679999999999</v>
      </c>
      <c r="R5403">
        <v>-0.61264160000000001</v>
      </c>
      <c r="S5403">
        <v>2.6950069999999999</v>
      </c>
      <c r="T5403">
        <v>-0.44988889999999998</v>
      </c>
      <c r="U5403">
        <v>-2.1817929999999999</v>
      </c>
      <c r="V5403">
        <v>-0.33384429999999998</v>
      </c>
      <c r="W5403">
        <v>0.39267950000000001</v>
      </c>
      <c r="X5403">
        <v>0.85694269999999995</v>
      </c>
      <c r="Y5403">
        <v>-0.39113039999999999</v>
      </c>
      <c r="Z5403">
        <v>0.1188023</v>
      </c>
      <c r="AA5403">
        <v>0.91263519999999998</v>
      </c>
      <c r="AB5403">
        <v>32</v>
      </c>
      <c r="AC5403">
        <v>0.531200000000012</v>
      </c>
      <c r="AD5403">
        <v>-0.137986999999999</v>
      </c>
      <c r="AE5403">
        <v>-0.12854000000000801</v>
      </c>
      <c r="AF5403">
        <v>-0.386607837500554</v>
      </c>
      <c r="AG5403">
        <v>-0.137986999999999</v>
      </c>
      <c r="AH5403">
        <v>0.33838462341365499</v>
      </c>
      <c r="AI5403">
        <v>105.033299890669</v>
      </c>
      <c r="AJ5403">
        <v>138.80545013296</v>
      </c>
      <c r="AK5403">
        <v>0.53198701633466206</v>
      </c>
      <c r="AL5403">
        <v>66.878671176552004</v>
      </c>
      <c r="AM5403">
        <v>111.28469385271001</v>
      </c>
      <c r="AN5403">
        <v>0.99999999872301404</v>
      </c>
    </row>
    <row r="5404" spans="1:40" x14ac:dyDescent="0.25">
      <c r="A5404" t="str">
        <f>"20190304164518062"</f>
        <v>20190304164518062</v>
      </c>
      <c r="B5404" t="str">
        <f>"1551689118056024"</f>
        <v>1551689118056024</v>
      </c>
      <c r="C5404" t="s">
        <v>40</v>
      </c>
      <c r="D5404">
        <v>5.3707099999999999</v>
      </c>
      <c r="E5404">
        <v>0.47497089999999997</v>
      </c>
      <c r="F5404" t="s">
        <v>49</v>
      </c>
      <c r="G5404">
        <v>-291.5437</v>
      </c>
      <c r="H5404" s="1">
        <v>-6.5422190000000001E-6</v>
      </c>
      <c r="I5404">
        <v>-49.072539999999996</v>
      </c>
      <c r="J5404">
        <v>-297.44349999999997</v>
      </c>
      <c r="K5404">
        <v>1.119972</v>
      </c>
      <c r="L5404">
        <v>-44.414430000000003</v>
      </c>
      <c r="M5404">
        <v>0.4734257</v>
      </c>
      <c r="N5404">
        <v>-9.5825300000000006E-3</v>
      </c>
      <c r="O5404">
        <v>-0.880781699999999</v>
      </c>
      <c r="P5404">
        <v>0.69463319999999995</v>
      </c>
      <c r="Q5404">
        <v>0.39081490000000002</v>
      </c>
      <c r="R5404">
        <v>-0.60394429999999999</v>
      </c>
      <c r="S5404">
        <v>2.6977229999999999</v>
      </c>
      <c r="T5404">
        <v>-0.49931239999999999</v>
      </c>
      <c r="U5404">
        <v>-2.1953740000000002</v>
      </c>
      <c r="V5404">
        <v>-0.33544309999999899</v>
      </c>
      <c r="W5404">
        <v>0.39106849999999999</v>
      </c>
      <c r="X5404">
        <v>0.85705499999999901</v>
      </c>
      <c r="Y5404">
        <v>-0.37670419999999999</v>
      </c>
      <c r="Z5404">
        <v>0.1310751</v>
      </c>
      <c r="AA5404">
        <v>0.91701319999999997</v>
      </c>
      <c r="AB5404">
        <v>32</v>
      </c>
      <c r="AC5404">
        <v>5.8997999999999697</v>
      </c>
      <c r="AD5404">
        <v>-1.1199785422190001</v>
      </c>
      <c r="AE5404">
        <v>-4.6581099999999998</v>
      </c>
      <c r="AF5404">
        <v>-2.9263430128894998</v>
      </c>
      <c r="AG5404">
        <v>-1.1199785422190001</v>
      </c>
      <c r="AH5404">
        <v>6.7464487564590696</v>
      </c>
      <c r="AI5404">
        <v>98.659588071934706</v>
      </c>
      <c r="AJ5404">
        <v>113.449295368172</v>
      </c>
      <c r="AK5404">
        <v>7.4385755482919196</v>
      </c>
      <c r="AL5404">
        <v>66.978998061666701</v>
      </c>
      <c r="AM5404">
        <v>111.374897917106</v>
      </c>
      <c r="AN5404">
        <v>0.999999959027429</v>
      </c>
    </row>
    <row r="5405" spans="1:40" x14ac:dyDescent="0.25">
      <c r="A5405" t="str">
        <f>"20190304164518085"</f>
        <v>20190304164518085</v>
      </c>
      <c r="B5405" t="str">
        <f>"1551689118075544"</f>
        <v>1551689118075544</v>
      </c>
      <c r="C5405" t="s">
        <v>40</v>
      </c>
      <c r="D5405">
        <v>5.3818619999999999</v>
      </c>
      <c r="E5405">
        <v>0.44947540000000002</v>
      </c>
      <c r="F5405" t="s">
        <v>49</v>
      </c>
      <c r="G5405">
        <v>-291.4341</v>
      </c>
      <c r="H5405" s="1">
        <v>-6.6053799999999998E-6</v>
      </c>
      <c r="I5405">
        <v>-49.19417</v>
      </c>
      <c r="J5405">
        <v>-297.28960000000001</v>
      </c>
      <c r="K5405">
        <v>1.12002</v>
      </c>
      <c r="L5405">
        <v>-44.678040000000003</v>
      </c>
      <c r="M5405">
        <v>0.48360880000000001</v>
      </c>
      <c r="N5405">
        <v>-9.569546E-3</v>
      </c>
      <c r="O5405">
        <v>-0.87523209999999996</v>
      </c>
      <c r="P5405">
        <v>0.70197880000000001</v>
      </c>
      <c r="Q5405">
        <v>0.39078420000000003</v>
      </c>
      <c r="R5405">
        <v>-0.59541080000000002</v>
      </c>
      <c r="S5405">
        <v>2.7219540000000002</v>
      </c>
      <c r="T5405">
        <v>-0.50729250000000004</v>
      </c>
      <c r="U5405">
        <v>-2.1649780000000001</v>
      </c>
      <c r="V5405">
        <v>-0.33603640000000001</v>
      </c>
      <c r="W5405">
        <v>0.3909743</v>
      </c>
      <c r="X5405">
        <v>0.85686559999999901</v>
      </c>
      <c r="Y5405">
        <v>-0.37600030000000001</v>
      </c>
      <c r="Z5405">
        <v>0.13280719999999999</v>
      </c>
      <c r="AA5405">
        <v>0.91705289999999995</v>
      </c>
      <c r="AB5405">
        <v>32</v>
      </c>
      <c r="AC5405">
        <v>5.8555000000000001</v>
      </c>
      <c r="AD5405">
        <v>-1.1200266053799901</v>
      </c>
      <c r="AE5405">
        <v>-4.5161299999999898</v>
      </c>
      <c r="AF5405">
        <v>-2.8750592602108398</v>
      </c>
      <c r="AG5405">
        <v>-1.1200266053799901</v>
      </c>
      <c r="AH5405">
        <v>6.6325857361744802</v>
      </c>
      <c r="AI5405">
        <v>98.807213946735402</v>
      </c>
      <c r="AJ5405">
        <v>113.43552002150599</v>
      </c>
      <c r="AK5405">
        <v>7.3151636273010601</v>
      </c>
      <c r="AL5405">
        <v>66.984863482381499</v>
      </c>
      <c r="AM5405">
        <v>111.413588104025</v>
      </c>
      <c r="AN5405">
        <v>1.0000000109244001</v>
      </c>
    </row>
    <row r="5406" spans="1:40" x14ac:dyDescent="0.25">
      <c r="A5406" t="str">
        <f>"20190304164518107"</f>
        <v>20190304164518107</v>
      </c>
      <c r="B5406" t="str">
        <f>"1551689118096039"</f>
        <v>1551689118096039</v>
      </c>
      <c r="C5406" t="s">
        <v>40</v>
      </c>
      <c r="D5406">
        <v>5.3497940000000002</v>
      </c>
      <c r="E5406">
        <v>0.43094719999999997</v>
      </c>
      <c r="F5406" t="s">
        <v>41</v>
      </c>
      <c r="G5406">
        <v>-296.49520000000001</v>
      </c>
      <c r="H5406">
        <v>1.001498</v>
      </c>
      <c r="I5406">
        <v>-45.21978</v>
      </c>
      <c r="J5406">
        <v>-297.12619999999998</v>
      </c>
      <c r="K5406">
        <v>1.120047</v>
      </c>
      <c r="L5406">
        <v>-44.95093</v>
      </c>
      <c r="M5406">
        <v>0.49414429999999998</v>
      </c>
      <c r="N5406">
        <v>-9.5583109999999999E-3</v>
      </c>
      <c r="O5406">
        <v>-0.86932739999999997</v>
      </c>
      <c r="P5406">
        <v>0.70994440000000003</v>
      </c>
      <c r="Q5406">
        <v>0.389297</v>
      </c>
      <c r="R5406">
        <v>-0.58687909999999999</v>
      </c>
      <c r="S5406">
        <v>2.8579409999999998</v>
      </c>
      <c r="T5406">
        <v>-0.42639899999999997</v>
      </c>
      <c r="U5406">
        <v>-1.948944</v>
      </c>
      <c r="V5406">
        <v>-0.33676519999999999</v>
      </c>
      <c r="W5406">
        <v>0.38942749999999998</v>
      </c>
      <c r="X5406">
        <v>0.85728379999999904</v>
      </c>
      <c r="Y5406">
        <v>-0.43370570000000003</v>
      </c>
      <c r="Z5406">
        <v>0.1131437</v>
      </c>
      <c r="AA5406">
        <v>0.89392269999999896</v>
      </c>
      <c r="AB5406">
        <v>32</v>
      </c>
      <c r="AC5406">
        <v>0.63099999999997103</v>
      </c>
      <c r="AD5406">
        <v>-0.118549</v>
      </c>
      <c r="AE5406">
        <v>-0.26884999999999998</v>
      </c>
      <c r="AF5406">
        <v>-0.40365515889817899</v>
      </c>
      <c r="AG5406">
        <v>-0.118549</v>
      </c>
      <c r="AH5406">
        <v>0.52972376810114796</v>
      </c>
      <c r="AI5406">
        <v>100.093148499233</v>
      </c>
      <c r="AJ5406">
        <v>127.30778711987701</v>
      </c>
      <c r="AK5406">
        <v>0.676460363360185</v>
      </c>
      <c r="AL5406">
        <v>67.081119635082999</v>
      </c>
      <c r="AM5406">
        <v>111.44629671406</v>
      </c>
      <c r="AN5406">
        <v>1.0000000457148599</v>
      </c>
    </row>
    <row r="5407" spans="1:40" x14ac:dyDescent="0.25">
      <c r="A5407" t="str">
        <f>"20190304164518130"</f>
        <v>20190304164518130</v>
      </c>
      <c r="B5407" t="str">
        <f>"1551689118125319"</f>
        <v>1551689118125319</v>
      </c>
      <c r="C5407" t="s">
        <v>40</v>
      </c>
      <c r="D5407">
        <v>5.2948380000000004</v>
      </c>
      <c r="E5407">
        <v>0.4237457</v>
      </c>
      <c r="F5407" t="s">
        <v>41</v>
      </c>
      <c r="G5407">
        <v>-296.32510000000002</v>
      </c>
      <c r="H5407">
        <v>1.015584</v>
      </c>
      <c r="I5407">
        <v>-45.432180000000002</v>
      </c>
      <c r="J5407">
        <v>-296.96129999999999</v>
      </c>
      <c r="K5407">
        <v>1.120066</v>
      </c>
      <c r="L5407">
        <v>-45.218780000000002</v>
      </c>
      <c r="M5407">
        <v>0.50448479999999996</v>
      </c>
      <c r="N5407">
        <v>-9.5457879999999995E-3</v>
      </c>
      <c r="O5407">
        <v>-0.86336809999999997</v>
      </c>
      <c r="P5407">
        <v>0.71868409999999905</v>
      </c>
      <c r="Q5407">
        <v>0.38581320000000002</v>
      </c>
      <c r="R5407">
        <v>-0.57848219999999995</v>
      </c>
      <c r="S5407">
        <v>2.9652400000000001</v>
      </c>
      <c r="T5407">
        <v>-0.38667400000000002</v>
      </c>
      <c r="U5407">
        <v>-1.7812190000000001</v>
      </c>
      <c r="V5407">
        <v>-0.33820159999999899</v>
      </c>
      <c r="W5407">
        <v>0.38587329999999997</v>
      </c>
      <c r="X5407">
        <v>0.8583248</v>
      </c>
      <c r="Y5407">
        <v>-0.47502339999999998</v>
      </c>
      <c r="Z5407">
        <v>0.10324170000000001</v>
      </c>
      <c r="AA5407">
        <v>0.8738958</v>
      </c>
      <c r="AB5407">
        <v>32</v>
      </c>
      <c r="AC5407">
        <v>0.63619999999997301</v>
      </c>
      <c r="AD5407">
        <v>-0.10448199999999901</v>
      </c>
      <c r="AE5407">
        <v>-0.21340000000000001</v>
      </c>
      <c r="AF5407">
        <v>-0.43118443043030502</v>
      </c>
      <c r="AG5407">
        <v>-0.10448199999999901</v>
      </c>
      <c r="AH5407">
        <v>0.49326063613047499</v>
      </c>
      <c r="AI5407">
        <v>99.061064512261495</v>
      </c>
      <c r="AJ5407">
        <v>131.15837293552701</v>
      </c>
      <c r="AK5407">
        <v>0.66343240539285298</v>
      </c>
      <c r="AL5407">
        <v>67.302033360514002</v>
      </c>
      <c r="AM5407">
        <v>111.505690007515</v>
      </c>
      <c r="AN5407">
        <v>0.99999999409524398</v>
      </c>
    </row>
    <row r="5408" spans="1:40" x14ac:dyDescent="0.25">
      <c r="A5408" t="str">
        <f>"20190304164518152"</f>
        <v>20190304164518152</v>
      </c>
      <c r="B5408" t="str">
        <f>"1551689118145815"</f>
        <v>1551689118145815</v>
      </c>
      <c r="C5408" t="s">
        <v>40</v>
      </c>
      <c r="D5408">
        <v>5.2973249999999998</v>
      </c>
      <c r="E5408">
        <v>0.42216720000000002</v>
      </c>
      <c r="F5408" t="s">
        <v>41</v>
      </c>
      <c r="G5408">
        <v>-296.17140000000001</v>
      </c>
      <c r="H5408">
        <v>1.0206959999999901</v>
      </c>
      <c r="I5408">
        <v>-45.661409999999997</v>
      </c>
      <c r="J5408">
        <v>-296.7946</v>
      </c>
      <c r="K5408">
        <v>1.1200840000000001</v>
      </c>
      <c r="L5408">
        <v>-45.482819999999997</v>
      </c>
      <c r="M5408">
        <v>0.51467390000000002</v>
      </c>
      <c r="N5408">
        <v>-9.5319559999999994E-3</v>
      </c>
      <c r="O5408">
        <v>-0.85733320000000002</v>
      </c>
      <c r="P5408">
        <v>0.72741480000000003</v>
      </c>
      <c r="Q5408">
        <v>0.38209860000000001</v>
      </c>
      <c r="R5408">
        <v>-0.56997249999999999</v>
      </c>
      <c r="S5408">
        <v>3.0173030000000001</v>
      </c>
      <c r="T5408">
        <v>-0.37958120000000001</v>
      </c>
      <c r="U5408">
        <v>-1.6905520000000001</v>
      </c>
      <c r="V5408">
        <v>-0.33978039999999998</v>
      </c>
      <c r="W5408">
        <v>0.38208550000000002</v>
      </c>
      <c r="X5408">
        <v>0.85939509999999897</v>
      </c>
      <c r="Y5408">
        <v>-0.4911218</v>
      </c>
      <c r="Z5408">
        <v>0.1015737</v>
      </c>
      <c r="AA5408">
        <v>0.86514869999999899</v>
      </c>
      <c r="AB5408">
        <v>32</v>
      </c>
      <c r="AC5408">
        <v>0.62319999999999698</v>
      </c>
      <c r="AD5408">
        <v>-9.9388000000000198E-2</v>
      </c>
      <c r="AE5408">
        <v>-0.17858999999999201</v>
      </c>
      <c r="AF5408">
        <v>-0.43223532808007198</v>
      </c>
      <c r="AG5408">
        <v>-9.9388000000000198E-2</v>
      </c>
      <c r="AH5408">
        <v>0.46299525291966698</v>
      </c>
      <c r="AI5408">
        <v>98.917715008956705</v>
      </c>
      <c r="AJ5408">
        <v>133.03210386865999</v>
      </c>
      <c r="AK5408">
        <v>0.64114737589000104</v>
      </c>
      <c r="AL5408">
        <v>67.537076560165104</v>
      </c>
      <c r="AM5408">
        <v>111.57243419368901</v>
      </c>
      <c r="AN5408">
        <v>0.999999993719209</v>
      </c>
    </row>
    <row r="5409" spans="1:40" x14ac:dyDescent="0.25">
      <c r="A5409" t="str">
        <f>"20190304164518175"</f>
        <v>20190304164518175</v>
      </c>
      <c r="B5409" t="str">
        <f>"1551689118165335"</f>
        <v>1551689118165335</v>
      </c>
      <c r="C5409" t="s">
        <v>40</v>
      </c>
      <c r="D5409">
        <v>5.3093130000000004</v>
      </c>
      <c r="E5409">
        <v>0.42204659999999999</v>
      </c>
      <c r="F5409" t="s">
        <v>41</v>
      </c>
      <c r="G5409">
        <v>-296.02420000000001</v>
      </c>
      <c r="H5409">
        <v>1.0222039999999999</v>
      </c>
      <c r="I5409">
        <v>-45.8979</v>
      </c>
      <c r="J5409">
        <v>-296.625</v>
      </c>
      <c r="K5409">
        <v>1.120107</v>
      </c>
      <c r="L5409">
        <v>-45.744660000000003</v>
      </c>
      <c r="M5409">
        <v>0.52477580000000001</v>
      </c>
      <c r="N5409">
        <v>-9.5147879999999997E-3</v>
      </c>
      <c r="O5409">
        <v>-0.85118729999999998</v>
      </c>
      <c r="P5409">
        <v>0.73436950000000001</v>
      </c>
      <c r="Q5409">
        <v>0.38083739999999999</v>
      </c>
      <c r="R5409">
        <v>-0.56184040000000002</v>
      </c>
      <c r="S5409">
        <v>3.0432429999999999</v>
      </c>
      <c r="T5409">
        <v>-0.3865345</v>
      </c>
      <c r="U5409">
        <v>-1.638641</v>
      </c>
      <c r="V5409">
        <v>-0.33974270000000001</v>
      </c>
      <c r="W5409">
        <v>0.38078519999999999</v>
      </c>
      <c r="X5409">
        <v>0.8599869</v>
      </c>
      <c r="Y5409">
        <v>-0.49513360000000001</v>
      </c>
      <c r="Z5409">
        <v>0.10348309999999999</v>
      </c>
      <c r="AA5409">
        <v>0.86263199999999995</v>
      </c>
      <c r="AB5409">
        <v>32</v>
      </c>
      <c r="AC5409">
        <v>0.60079999999999201</v>
      </c>
      <c r="AD5409">
        <v>-9.7902999999999796E-2</v>
      </c>
      <c r="AE5409">
        <v>-0.15324000000000301</v>
      </c>
      <c r="AF5409">
        <v>-0.42051192768293799</v>
      </c>
      <c r="AG5409">
        <v>-9.7902999999999796E-2</v>
      </c>
      <c r="AH5409">
        <v>0.43489846404752902</v>
      </c>
      <c r="AI5409">
        <v>99.192815215051198</v>
      </c>
      <c r="AJ5409">
        <v>134.03647404946901</v>
      </c>
      <c r="AK5409">
        <v>0.61282293753050798</v>
      </c>
      <c r="AL5409">
        <v>67.617671047361398</v>
      </c>
      <c r="AM5409">
        <v>111.55677897041301</v>
      </c>
      <c r="AN5409">
        <v>0.99999996945696901</v>
      </c>
    </row>
    <row r="5410" spans="1:40" x14ac:dyDescent="0.25">
      <c r="A5410" t="str">
        <f>"20190304164518197"</f>
        <v>20190304164518197</v>
      </c>
      <c r="B5410" t="str">
        <f>"1551689118185832"</f>
        <v>1551689118185832</v>
      </c>
      <c r="C5410" t="s">
        <v>40</v>
      </c>
      <c r="D5410">
        <v>5.3011739999999996</v>
      </c>
      <c r="E5410">
        <v>0.42245329999999898</v>
      </c>
      <c r="F5410" t="s">
        <v>41</v>
      </c>
      <c r="G5410">
        <v>-295.62049999999999</v>
      </c>
      <c r="H5410">
        <v>0.99249359999999998</v>
      </c>
      <c r="I5410">
        <v>-46.269359999999999</v>
      </c>
      <c r="J5410">
        <v>-296.44839999999999</v>
      </c>
      <c r="K5410">
        <v>1.1201399999999999</v>
      </c>
      <c r="L5410">
        <v>-46.009700000000002</v>
      </c>
      <c r="M5410">
        <v>0.53500369999999997</v>
      </c>
      <c r="N5410">
        <v>-9.4964769999999997E-3</v>
      </c>
      <c r="O5410">
        <v>-0.84479630000000006</v>
      </c>
      <c r="P5410">
        <v>0.74012349999999905</v>
      </c>
      <c r="Q5410">
        <v>0.38046249999999998</v>
      </c>
      <c r="R5410">
        <v>-0.55449559999999998</v>
      </c>
      <c r="S5410">
        <v>3.0630489999999999</v>
      </c>
      <c r="T5410">
        <v>-0.38912380000000002</v>
      </c>
      <c r="U5410">
        <v>-1.599701</v>
      </c>
      <c r="V5410">
        <v>-0.338119</v>
      </c>
      <c r="W5410">
        <v>0.38041219999999998</v>
      </c>
      <c r="X5410">
        <v>0.86079159999999899</v>
      </c>
      <c r="Y5410">
        <v>-0.49551390000000001</v>
      </c>
      <c r="Z5410">
        <v>0.1039456</v>
      </c>
      <c r="AA5410">
        <v>0.86235799999999996</v>
      </c>
      <c r="AB5410">
        <v>32</v>
      </c>
      <c r="AC5410">
        <v>0.82789999999999897</v>
      </c>
      <c r="AD5410">
        <v>-0.12764639999999899</v>
      </c>
      <c r="AE5410">
        <v>-0.25965999999999601</v>
      </c>
      <c r="AF5410">
        <v>-0.54863900578681002</v>
      </c>
      <c r="AG5410">
        <v>-0.12764639999999899</v>
      </c>
      <c r="AH5410">
        <v>0.648288480753208</v>
      </c>
      <c r="AI5410">
        <v>98.547513871347704</v>
      </c>
      <c r="AJ5410">
        <v>130.24084992220401</v>
      </c>
      <c r="AK5410">
        <v>0.85882263383134205</v>
      </c>
      <c r="AL5410">
        <v>67.640783319983996</v>
      </c>
      <c r="AM5410">
        <v>111.44490340478001</v>
      </c>
      <c r="AN5410">
        <v>1.00000003935019</v>
      </c>
    </row>
    <row r="5411" spans="1:40" x14ac:dyDescent="0.25">
      <c r="A5411" t="str">
        <f>"20190304164518219"</f>
        <v>20190304164518219</v>
      </c>
      <c r="B5411" t="str">
        <f>"1551689118216088"</f>
        <v>1551689118216088</v>
      </c>
      <c r="C5411" t="s">
        <v>40</v>
      </c>
      <c r="D5411">
        <v>5.3246140000000004</v>
      </c>
      <c r="E5411">
        <v>0.4237455</v>
      </c>
      <c r="F5411" t="s">
        <v>41</v>
      </c>
      <c r="G5411">
        <v>-295.47109999999998</v>
      </c>
      <c r="H5411">
        <v>0.99725629999999998</v>
      </c>
      <c r="I5411">
        <v>-46.506959999999999</v>
      </c>
      <c r="J5411">
        <v>-296.2715</v>
      </c>
      <c r="K5411">
        <v>1.120169</v>
      </c>
      <c r="L5411">
        <v>-46.268619999999999</v>
      </c>
      <c r="M5411">
        <v>0.54498740000000001</v>
      </c>
      <c r="N5411">
        <v>-9.4803270000000002E-3</v>
      </c>
      <c r="O5411">
        <v>-0.83839079999999999</v>
      </c>
      <c r="P5411">
        <v>0.74550419999999995</v>
      </c>
      <c r="Q5411">
        <v>0.38090600000000002</v>
      </c>
      <c r="R5411">
        <v>-0.54693169999999902</v>
      </c>
      <c r="S5411">
        <v>3.078827</v>
      </c>
      <c r="T5411">
        <v>-0.38713910000000001</v>
      </c>
      <c r="U5411">
        <v>-1.566406</v>
      </c>
      <c r="V5411">
        <v>-0.3365185</v>
      </c>
      <c r="W5411">
        <v>0.38085790000000003</v>
      </c>
      <c r="X5411">
        <v>0.86122160000000003</v>
      </c>
      <c r="Y5411">
        <v>-0.49449910000000002</v>
      </c>
      <c r="Z5411">
        <v>0.1030663</v>
      </c>
      <c r="AA5411">
        <v>0.86304579999999997</v>
      </c>
      <c r="AB5411">
        <v>32</v>
      </c>
      <c r="AC5411">
        <v>0.80040000000002398</v>
      </c>
      <c r="AD5411">
        <v>-0.1229127</v>
      </c>
      <c r="AE5411">
        <v>-0.23834</v>
      </c>
      <c r="AF5411">
        <v>-0.529705870951798</v>
      </c>
      <c r="AG5411">
        <v>-0.1229127</v>
      </c>
      <c r="AH5411">
        <v>0.62257278994175502</v>
      </c>
      <c r="AI5411">
        <v>98.551247896850995</v>
      </c>
      <c r="AJ5411">
        <v>130.39225455152001</v>
      </c>
      <c r="AK5411">
        <v>0.82661521902149404</v>
      </c>
      <c r="AL5411">
        <v>67.613167922549806</v>
      </c>
      <c r="AM5411">
        <v>111.342851205823</v>
      </c>
      <c r="AN5411">
        <v>1.0000000425705999</v>
      </c>
    </row>
    <row r="5412" spans="1:40" x14ac:dyDescent="0.25">
      <c r="A5412" t="str">
        <f>"20190304164518242"</f>
        <v>20190304164518242</v>
      </c>
      <c r="B5412" t="str">
        <f>"1551689118235611"</f>
        <v>1551689118235611</v>
      </c>
      <c r="C5412" t="s">
        <v>40</v>
      </c>
      <c r="D5412">
        <v>5.3217160000000003</v>
      </c>
      <c r="E5412">
        <v>0.42487770000000002</v>
      </c>
      <c r="F5412" t="s">
        <v>41</v>
      </c>
      <c r="G5412">
        <v>-295.31900000000002</v>
      </c>
      <c r="H5412">
        <v>1.001665</v>
      </c>
      <c r="I5412">
        <v>-46.743589999999998</v>
      </c>
      <c r="J5412">
        <v>-296.08370000000002</v>
      </c>
      <c r="K5412">
        <v>1.1201939999999999</v>
      </c>
      <c r="L5412">
        <v>-46.536650000000002</v>
      </c>
      <c r="M5412">
        <v>0.55532119999999996</v>
      </c>
      <c r="N5412">
        <v>-9.4654430000000005E-3</v>
      </c>
      <c r="O5412">
        <v>-0.83158240000000005</v>
      </c>
      <c r="P5412">
        <v>0.75152019999999997</v>
      </c>
      <c r="Q5412">
        <v>0.38130989999999998</v>
      </c>
      <c r="R5412">
        <v>-0.53834989999999905</v>
      </c>
      <c r="S5412">
        <v>3.0904850000000001</v>
      </c>
      <c r="T5412">
        <v>-0.38441360000000002</v>
      </c>
      <c r="U5412">
        <v>-1.540314</v>
      </c>
      <c r="V5412">
        <v>-0.33560259999999997</v>
      </c>
      <c r="W5412">
        <v>0.3812451</v>
      </c>
      <c r="X5412">
        <v>0.86140759999999905</v>
      </c>
      <c r="Y5412">
        <v>-0.4910041</v>
      </c>
      <c r="Z5412">
        <v>0.1018517</v>
      </c>
      <c r="AA5412">
        <v>0.86518280000000003</v>
      </c>
      <c r="AB5412">
        <v>32</v>
      </c>
      <c r="AC5412">
        <v>0.76470000000000404</v>
      </c>
      <c r="AD5412">
        <v>-0.118529</v>
      </c>
      <c r="AE5412">
        <v>-0.20694000000000301</v>
      </c>
      <c r="AF5412">
        <v>-0.50960810154230596</v>
      </c>
      <c r="AG5412">
        <v>-0.118529</v>
      </c>
      <c r="AH5412">
        <v>0.58370172027153999</v>
      </c>
      <c r="AI5412">
        <v>98.697019507685894</v>
      </c>
      <c r="AJ5412">
        <v>131.12299254300399</v>
      </c>
      <c r="AK5412">
        <v>0.78387322906609602</v>
      </c>
      <c r="AL5412">
        <v>67.589171459262104</v>
      </c>
      <c r="AM5412">
        <v>111.285784280648</v>
      </c>
      <c r="AN5412">
        <v>0.99999999236926396</v>
      </c>
    </row>
    <row r="5413" spans="1:40" x14ac:dyDescent="0.25">
      <c r="A5413" t="str">
        <f>"20190304164518263"</f>
        <v>20190304164518263</v>
      </c>
      <c r="B5413" t="str">
        <f>"1551689118256104"</f>
        <v>1551689118256104</v>
      </c>
      <c r="C5413" t="s">
        <v>40</v>
      </c>
      <c r="D5413">
        <v>5.3770020000000001</v>
      </c>
      <c r="E5413">
        <v>0.42602079999999998</v>
      </c>
      <c r="F5413" t="s">
        <v>41</v>
      </c>
      <c r="G5413">
        <v>-295.1671</v>
      </c>
      <c r="H5413">
        <v>1.0071749999999999</v>
      </c>
      <c r="I5413">
        <v>-46.982619999999997</v>
      </c>
      <c r="J5413">
        <v>-295.90359999999998</v>
      </c>
      <c r="K5413">
        <v>1.1202219999999901</v>
      </c>
      <c r="L5413">
        <v>-46.787410000000001</v>
      </c>
      <c r="M5413">
        <v>0.56498280000000001</v>
      </c>
      <c r="N5413">
        <v>-9.4532460000000002E-3</v>
      </c>
      <c r="O5413">
        <v>-0.82504880000000003</v>
      </c>
      <c r="P5413">
        <v>0.75638119999999998</v>
      </c>
      <c r="Q5413">
        <v>0.38203359999999997</v>
      </c>
      <c r="R5413">
        <v>-0.53097850000000002</v>
      </c>
      <c r="S5413">
        <v>3.1041259999999999</v>
      </c>
      <c r="T5413">
        <v>-0.38276480000000002</v>
      </c>
      <c r="U5413">
        <v>-1.5104059999999999</v>
      </c>
      <c r="V5413">
        <v>-0.33371620000000002</v>
      </c>
      <c r="W5413">
        <v>0.38198280000000001</v>
      </c>
      <c r="X5413">
        <v>0.86181350000000001</v>
      </c>
      <c r="Y5413">
        <v>-0.48916779999999999</v>
      </c>
      <c r="Z5413">
        <v>0.1010016</v>
      </c>
      <c r="AA5413">
        <v>0.86632189999999998</v>
      </c>
      <c r="AB5413">
        <v>32</v>
      </c>
      <c r="AC5413">
        <v>0.73649999999997795</v>
      </c>
      <c r="AD5413">
        <v>-0.113046999999999</v>
      </c>
      <c r="AE5413">
        <v>-0.19521000000000999</v>
      </c>
      <c r="AF5413">
        <v>-0.486667078592675</v>
      </c>
      <c r="AG5413">
        <v>-0.113046999999999</v>
      </c>
      <c r="AH5413">
        <v>0.56476097663757296</v>
      </c>
      <c r="AI5413">
        <v>98.622368413302993</v>
      </c>
      <c r="AJ5413">
        <v>130.752205885249</v>
      </c>
      <c r="AK5413">
        <v>0.75404206137824603</v>
      </c>
      <c r="AL5413">
        <v>67.543442418003195</v>
      </c>
      <c r="AM5413">
        <v>111.167675953683</v>
      </c>
      <c r="AN5413">
        <v>0.99999993521026298</v>
      </c>
    </row>
    <row r="5414" spans="1:40" x14ac:dyDescent="0.25">
      <c r="A5414" t="str">
        <f>"20190304164518286"</f>
        <v>20190304164518286</v>
      </c>
      <c r="B5414" t="str">
        <f>"1551689118275624"</f>
        <v>1551689118275624</v>
      </c>
      <c r="C5414" t="s">
        <v>40</v>
      </c>
      <c r="D5414">
        <v>5.3937900000000001</v>
      </c>
      <c r="E5414">
        <v>0.42714920000000001</v>
      </c>
      <c r="F5414" t="s">
        <v>41</v>
      </c>
      <c r="G5414">
        <v>-295.00700000000001</v>
      </c>
      <c r="H5414">
        <v>1.010864</v>
      </c>
      <c r="I5414">
        <v>-47.214970000000001</v>
      </c>
      <c r="J5414">
        <v>-295.71910000000003</v>
      </c>
      <c r="K5414">
        <v>1.12026</v>
      </c>
      <c r="L5414">
        <v>-47.038060000000002</v>
      </c>
      <c r="M5414">
        <v>0.57463640000000005</v>
      </c>
      <c r="N5414">
        <v>-9.4428359999999996E-3</v>
      </c>
      <c r="O5414">
        <v>-0.81835429999999998</v>
      </c>
      <c r="P5414">
        <v>0.76048269999999996</v>
      </c>
      <c r="Q5414">
        <v>0.38376909999999997</v>
      </c>
      <c r="R5414">
        <v>-0.52382010000000001</v>
      </c>
      <c r="S5414">
        <v>3.1155089999999999</v>
      </c>
      <c r="T5414">
        <v>-0.37997029999999998</v>
      </c>
      <c r="U5414">
        <v>-1.4853209999999999</v>
      </c>
      <c r="V5414">
        <v>-0.3310728</v>
      </c>
      <c r="W5414">
        <v>0.38375100000000001</v>
      </c>
      <c r="X5414">
        <v>0.86204760000000002</v>
      </c>
      <c r="Y5414">
        <v>-0.48596329999999999</v>
      </c>
      <c r="Z5414">
        <v>9.9749379999999999E-2</v>
      </c>
      <c r="AA5414">
        <v>0.86826829999999999</v>
      </c>
      <c r="AB5414">
        <v>32</v>
      </c>
      <c r="AC5414">
        <v>0.71210000000002005</v>
      </c>
      <c r="AD5414">
        <v>-0.10939599999999999</v>
      </c>
      <c r="AE5414">
        <v>-0.17691000000000601</v>
      </c>
      <c r="AF5414">
        <v>-0.47065075801565498</v>
      </c>
      <c r="AG5414">
        <v>-0.10939599999999999</v>
      </c>
      <c r="AH5414">
        <v>0.54195156524530996</v>
      </c>
      <c r="AI5414">
        <v>98.665567242568201</v>
      </c>
      <c r="AJ5414">
        <v>130.97225520053101</v>
      </c>
      <c r="AK5414">
        <v>0.72607927935491501</v>
      </c>
      <c r="AL5414">
        <v>67.433778433727994</v>
      </c>
      <c r="AM5414">
        <v>111.009484079402</v>
      </c>
      <c r="AN5414">
        <v>1.0000000467832899</v>
      </c>
    </row>
    <row r="5415" spans="1:40" x14ac:dyDescent="0.25">
      <c r="A5415" t="str">
        <f>"20190304164518308"</f>
        <v>20190304164518308</v>
      </c>
      <c r="B5415" t="str">
        <f>"1551689118305880"</f>
        <v>1551689118305880</v>
      </c>
      <c r="C5415" t="s">
        <v>40</v>
      </c>
      <c r="D5415">
        <v>5.3909370000000001</v>
      </c>
      <c r="E5415">
        <v>0.4287897</v>
      </c>
      <c r="F5415" t="s">
        <v>41</v>
      </c>
      <c r="G5415">
        <v>-294.84469999999999</v>
      </c>
      <c r="H5415">
        <v>1.015668</v>
      </c>
      <c r="I5415">
        <v>-47.44706</v>
      </c>
      <c r="J5415">
        <v>-295.52440000000001</v>
      </c>
      <c r="K5415">
        <v>1.1203050000000001</v>
      </c>
      <c r="L5415">
        <v>-47.296259999999997</v>
      </c>
      <c r="M5415">
        <v>0.58457680000000001</v>
      </c>
      <c r="N5415">
        <v>-9.4307160000000004E-3</v>
      </c>
      <c r="O5415">
        <v>-0.81128350000000005</v>
      </c>
      <c r="P5415">
        <v>0.76480689999999996</v>
      </c>
      <c r="Q5415">
        <v>0.38572109999999998</v>
      </c>
      <c r="R5415">
        <v>-0.51603250000000001</v>
      </c>
      <c r="S5415">
        <v>3.1262819999999998</v>
      </c>
      <c r="T5415">
        <v>-0.3739749</v>
      </c>
      <c r="U5415">
        <v>-1.4624330000000001</v>
      </c>
      <c r="V5415">
        <v>-0.32863239999999999</v>
      </c>
      <c r="W5415">
        <v>0.38572679999999998</v>
      </c>
      <c r="X5415">
        <v>0.86209950000000002</v>
      </c>
      <c r="Y5415">
        <v>-0.48189359999999998</v>
      </c>
      <c r="Z5415">
        <v>9.7537550000000001E-2</v>
      </c>
      <c r="AA5415">
        <v>0.87078409999999995</v>
      </c>
      <c r="AB5415">
        <v>32</v>
      </c>
      <c r="AC5415">
        <v>0.67970000000002495</v>
      </c>
      <c r="AD5415">
        <v>-0.10463699999999899</v>
      </c>
      <c r="AE5415">
        <v>-0.15080000000000299</v>
      </c>
      <c r="AF5415">
        <v>-0.45306229588623098</v>
      </c>
      <c r="AG5415">
        <v>-0.10463699999999899</v>
      </c>
      <c r="AH5415">
        <v>0.508222074937</v>
      </c>
      <c r="AI5415">
        <v>98.737203630389899</v>
      </c>
      <c r="AJ5415">
        <v>131.71589304537</v>
      </c>
      <c r="AK5415">
        <v>0.68884252422159098</v>
      </c>
      <c r="AL5415">
        <v>67.311131292103994</v>
      </c>
      <c r="AM5415">
        <v>110.866850618889</v>
      </c>
      <c r="AN5415">
        <v>0.99999998323412498</v>
      </c>
    </row>
    <row r="5416" spans="1:40" x14ac:dyDescent="0.25">
      <c r="A5416" t="str">
        <f>"20190304164518331"</f>
        <v>20190304164518331</v>
      </c>
      <c r="B5416" t="str">
        <f>"1551689118325399"</f>
        <v>1551689118325399</v>
      </c>
      <c r="C5416" t="s">
        <v>40</v>
      </c>
      <c r="D5416">
        <v>5.3958469999999998</v>
      </c>
      <c r="E5416">
        <v>0.42986930000000001</v>
      </c>
      <c r="F5416" t="s">
        <v>41</v>
      </c>
      <c r="G5416">
        <v>-294.68389999999999</v>
      </c>
      <c r="H5416">
        <v>1.021566</v>
      </c>
      <c r="I5416">
        <v>-47.682699999999997</v>
      </c>
      <c r="J5416">
        <v>-295.32580000000002</v>
      </c>
      <c r="K5416">
        <v>1.120347</v>
      </c>
      <c r="L5416">
        <v>-47.553069999999998</v>
      </c>
      <c r="M5416">
        <v>0.59446109999999996</v>
      </c>
      <c r="N5416">
        <v>-9.4165289999999999E-3</v>
      </c>
      <c r="O5416">
        <v>-0.80406929999999999</v>
      </c>
      <c r="P5416">
        <v>0.76965629999999996</v>
      </c>
      <c r="Q5416">
        <v>0.38746530000000001</v>
      </c>
      <c r="R5416">
        <v>-0.50744460000000002</v>
      </c>
      <c r="S5416">
        <v>3.135834</v>
      </c>
      <c r="T5416">
        <v>-0.36833539999999998</v>
      </c>
      <c r="U5416">
        <v>-1.441284</v>
      </c>
      <c r="V5416">
        <v>-0.32709700000000003</v>
      </c>
      <c r="W5416">
        <v>0.38746819999999998</v>
      </c>
      <c r="X5416">
        <v>0.86190250000000002</v>
      </c>
      <c r="Y5416">
        <v>-0.47723949999999998</v>
      </c>
      <c r="Z5416">
        <v>9.5404299999999997E-2</v>
      </c>
      <c r="AA5416">
        <v>0.87357909999999905</v>
      </c>
      <c r="AB5416">
        <v>32</v>
      </c>
      <c r="AC5416">
        <v>0.64190000000002101</v>
      </c>
      <c r="AD5416">
        <v>-9.8780999999999994E-2</v>
      </c>
      <c r="AE5416">
        <v>-0.129629999999998</v>
      </c>
      <c r="AF5416">
        <v>-0.42932285204384502</v>
      </c>
      <c r="AG5416">
        <v>-9.8780999999999994E-2</v>
      </c>
      <c r="AH5416">
        <v>0.47502893182866601</v>
      </c>
      <c r="AI5416">
        <v>98.770193649660996</v>
      </c>
      <c r="AJ5416">
        <v>132.106724156665</v>
      </c>
      <c r="AK5416">
        <v>0.64786440195641704</v>
      </c>
      <c r="AL5416">
        <v>67.202944812212294</v>
      </c>
      <c r="AM5416">
        <v>110.782044357262</v>
      </c>
      <c r="AN5416">
        <v>0.99999998646324495</v>
      </c>
    </row>
    <row r="5417" spans="1:40" x14ac:dyDescent="0.25">
      <c r="A5417" t="str">
        <f>"20190304164518352"</f>
        <v>20190304164518352</v>
      </c>
      <c r="B5417" t="str">
        <f>"1551689118345895"</f>
        <v>1551689118345895</v>
      </c>
      <c r="C5417" t="s">
        <v>40</v>
      </c>
      <c r="D5417">
        <v>5.379569</v>
      </c>
      <c r="E5417">
        <v>0.43093480000000001</v>
      </c>
      <c r="F5417" t="s">
        <v>41</v>
      </c>
      <c r="G5417">
        <v>-294.51909999999998</v>
      </c>
      <c r="H5417">
        <v>1.0269729999999999</v>
      </c>
      <c r="I5417">
        <v>-47.916150000000002</v>
      </c>
      <c r="J5417">
        <v>-295.12979999999999</v>
      </c>
      <c r="K5417">
        <v>1.120377</v>
      </c>
      <c r="L5417">
        <v>-47.80048</v>
      </c>
      <c r="M5417">
        <v>0.60397699999999999</v>
      </c>
      <c r="N5417">
        <v>-9.4039150000000005E-3</v>
      </c>
      <c r="O5417">
        <v>-0.79694639999999894</v>
      </c>
      <c r="P5417">
        <v>0.77540430000000005</v>
      </c>
      <c r="Q5417">
        <v>0.38843149999999999</v>
      </c>
      <c r="R5417">
        <v>-0.4978649</v>
      </c>
      <c r="S5417">
        <v>3.1475520000000001</v>
      </c>
      <c r="T5417">
        <v>-0.3642707</v>
      </c>
      <c r="U5417">
        <v>-1.4161379999999999</v>
      </c>
      <c r="V5417">
        <v>-0.3272099</v>
      </c>
      <c r="W5417">
        <v>0.38838990000000001</v>
      </c>
      <c r="X5417">
        <v>0.86144469999999995</v>
      </c>
      <c r="Y5417">
        <v>-0.47398020000000002</v>
      </c>
      <c r="Z5417">
        <v>9.3754390000000007E-2</v>
      </c>
      <c r="AA5417">
        <v>0.87553009999999998</v>
      </c>
      <c r="AB5417">
        <v>32</v>
      </c>
      <c r="AC5417">
        <v>0.61070000000000801</v>
      </c>
      <c r="AD5417">
        <v>-9.3404000000000001E-2</v>
      </c>
      <c r="AE5417">
        <v>-0.11567000000000099</v>
      </c>
      <c r="AF5417">
        <v>-0.40764595531966702</v>
      </c>
      <c r="AG5417">
        <v>-9.3404000000000001E-2</v>
      </c>
      <c r="AH5417">
        <v>0.45087019970387598</v>
      </c>
      <c r="AI5417">
        <v>98.736167091004006</v>
      </c>
      <c r="AJ5417">
        <v>132.11772767909699</v>
      </c>
      <c r="AK5417">
        <v>0.61496623410191897</v>
      </c>
      <c r="AL5417">
        <v>67.1456487372174</v>
      </c>
      <c r="AM5417">
        <v>110.79870705415399</v>
      </c>
      <c r="AN5417">
        <v>1.00000000211905</v>
      </c>
    </row>
    <row r="5418" spans="1:40" x14ac:dyDescent="0.25">
      <c r="A5418" t="str">
        <f>"20190304164518376"</f>
        <v>20190304164518376</v>
      </c>
      <c r="B5418" t="str">
        <f>"1551689118365416"</f>
        <v>1551689118365416</v>
      </c>
      <c r="C5418" t="s">
        <v>40</v>
      </c>
      <c r="D5418">
        <v>5.35107</v>
      </c>
      <c r="E5418">
        <v>0.4467507</v>
      </c>
      <c r="F5418" t="s">
        <v>41</v>
      </c>
      <c r="G5418">
        <v>-294.32600000000002</v>
      </c>
      <c r="H5418">
        <v>1.0276080000000001</v>
      </c>
      <c r="I5418">
        <v>-48.15372</v>
      </c>
      <c r="J5418">
        <v>-294.93029999999999</v>
      </c>
      <c r="K5418">
        <v>1.120403</v>
      </c>
      <c r="L5418">
        <v>-48.046080000000003</v>
      </c>
      <c r="M5418">
        <v>0.61342759999999996</v>
      </c>
      <c r="N5418">
        <v>-9.3882319999999998E-3</v>
      </c>
      <c r="O5418">
        <v>-0.78969519999999904</v>
      </c>
      <c r="P5418">
        <v>0.78211649999999999</v>
      </c>
      <c r="Q5418">
        <v>0.38813370000000003</v>
      </c>
      <c r="R5418">
        <v>-0.48748970000000003</v>
      </c>
      <c r="S5418">
        <v>3.1602779999999999</v>
      </c>
      <c r="T5418">
        <v>-0.36467100000000002</v>
      </c>
      <c r="U5418">
        <v>-1.388245</v>
      </c>
      <c r="V5418">
        <v>-0.3285711</v>
      </c>
      <c r="W5418">
        <v>0.38801370000000002</v>
      </c>
      <c r="X5418">
        <v>0.86109609999999903</v>
      </c>
      <c r="Y5418">
        <v>-0.47130270000000002</v>
      </c>
      <c r="Z5418">
        <v>9.3332230000000002E-2</v>
      </c>
      <c r="AA5418">
        <v>0.87701929999999995</v>
      </c>
      <c r="AB5418">
        <v>32</v>
      </c>
      <c r="AC5418">
        <v>0.60430000000002304</v>
      </c>
      <c r="AD5418">
        <v>-9.2794999999999905E-2</v>
      </c>
      <c r="AE5418">
        <v>-0.107640000000003</v>
      </c>
      <c r="AF5418">
        <v>-0.40201360154156901</v>
      </c>
      <c r="AG5418">
        <v>-9.2794999999999905E-2</v>
      </c>
      <c r="AH5418">
        <v>0.445534524307165</v>
      </c>
      <c r="AI5418">
        <v>98.790221876329497</v>
      </c>
      <c r="AJ5418">
        <v>132.06048901378</v>
      </c>
      <c r="AK5418">
        <v>0.60722883676505002</v>
      </c>
      <c r="AL5418">
        <v>67.169038768957606</v>
      </c>
      <c r="AM5418">
        <v>110.885508531176</v>
      </c>
      <c r="AN5418">
        <v>1.0000000462890499</v>
      </c>
    </row>
    <row r="5419" spans="1:40" x14ac:dyDescent="0.25">
      <c r="A5419" t="str">
        <f>"20190304164518398"</f>
        <v>20190304164518398</v>
      </c>
      <c r="B5419" t="str">
        <f>"1551689118395672"</f>
        <v>1551689118395672</v>
      </c>
      <c r="C5419" t="s">
        <v>40</v>
      </c>
      <c r="D5419">
        <v>5.4233609999999999</v>
      </c>
      <c r="E5419">
        <v>0.44803660000000001</v>
      </c>
      <c r="F5419" t="s">
        <v>41</v>
      </c>
      <c r="G5419">
        <v>-293.92869999999999</v>
      </c>
      <c r="H5419">
        <v>0.98321939999999997</v>
      </c>
      <c r="I5419">
        <v>-48.516039999999997</v>
      </c>
      <c r="J5419">
        <v>-294.7201</v>
      </c>
      <c r="K5419">
        <v>1.1204270000000001</v>
      </c>
      <c r="L5419">
        <v>-48.298310000000001</v>
      </c>
      <c r="M5419">
        <v>0.62312990000000001</v>
      </c>
      <c r="N5419">
        <v>-9.371107E-3</v>
      </c>
      <c r="O5419">
        <v>-0.78206249999999999</v>
      </c>
      <c r="P5419">
        <v>0.7885877</v>
      </c>
      <c r="Q5419">
        <v>0.38811240000000002</v>
      </c>
      <c r="R5419">
        <v>-0.47696810000000001</v>
      </c>
      <c r="S5419">
        <v>3.1327509999999998</v>
      </c>
      <c r="T5419">
        <v>-0.42905599999999999</v>
      </c>
      <c r="U5419">
        <v>-1.469482</v>
      </c>
      <c r="V5419">
        <v>-0.32952110000000001</v>
      </c>
      <c r="W5419">
        <v>0.38792280000000001</v>
      </c>
      <c r="X5419">
        <v>0.86077389999999998</v>
      </c>
      <c r="Y5419">
        <v>-0.4367105</v>
      </c>
      <c r="Z5419">
        <v>0.1081724</v>
      </c>
      <c r="AA5419">
        <v>0.8930749</v>
      </c>
      <c r="AB5419">
        <v>33</v>
      </c>
      <c r="AC5419">
        <v>0.79140000000000998</v>
      </c>
      <c r="AD5419">
        <v>-0.13720760000000001</v>
      </c>
      <c r="AE5419">
        <v>-0.217730000000003</v>
      </c>
      <c r="AF5419">
        <v>-0.47013423084201</v>
      </c>
      <c r="AG5419">
        <v>-0.13720760000000001</v>
      </c>
      <c r="AH5419">
        <v>0.64541740513075996</v>
      </c>
      <c r="AI5419">
        <v>99.750107536022995</v>
      </c>
      <c r="AJ5419">
        <v>126.070301948332</v>
      </c>
      <c r="AK5419">
        <v>0.810194882329487</v>
      </c>
      <c r="AL5419">
        <v>67.174687980366102</v>
      </c>
      <c r="AM5419">
        <v>110.947824224865</v>
      </c>
      <c r="AN5419">
        <v>0.99999998051312899</v>
      </c>
    </row>
    <row r="5420" spans="1:40" x14ac:dyDescent="0.25">
      <c r="A5420" t="str">
        <f>"20190304164518422"</f>
        <v>20190304164518422</v>
      </c>
      <c r="B5420" t="str">
        <f>"1551689118415191"</f>
        <v>1551689118415191</v>
      </c>
      <c r="C5420" t="s">
        <v>40</v>
      </c>
      <c r="D5420">
        <v>5.3538360000000003</v>
      </c>
      <c r="E5420">
        <v>0.44852559999999903</v>
      </c>
      <c r="F5420" t="s">
        <v>41</v>
      </c>
      <c r="G5420">
        <v>-293.75139999999999</v>
      </c>
      <c r="H5420">
        <v>0.98762720000000004</v>
      </c>
      <c r="I5420">
        <v>-48.74006</v>
      </c>
      <c r="J5420">
        <v>-294.50319999999999</v>
      </c>
      <c r="K5420">
        <v>1.120452</v>
      </c>
      <c r="L5420">
        <v>-48.552250000000001</v>
      </c>
      <c r="M5420">
        <v>0.63289249999999997</v>
      </c>
      <c r="N5420">
        <v>-9.3555489999999995E-3</v>
      </c>
      <c r="O5420">
        <v>-0.77418310000000001</v>
      </c>
      <c r="P5420">
        <v>0.79424519999999998</v>
      </c>
      <c r="Q5420">
        <v>0.38826159999999998</v>
      </c>
      <c r="R5420">
        <v>-0.467362</v>
      </c>
      <c r="S5420">
        <v>3.1481319999999999</v>
      </c>
      <c r="T5420">
        <v>-0.43161559999999999</v>
      </c>
      <c r="U5420">
        <v>-1.436005</v>
      </c>
      <c r="V5420">
        <v>-0.3291482</v>
      </c>
      <c r="W5420">
        <v>0.38804139999999998</v>
      </c>
      <c r="X5420">
        <v>0.86086309999999999</v>
      </c>
      <c r="Y5420">
        <v>-0.43491400000000002</v>
      </c>
      <c r="Z5420">
        <v>0.10817160000000001</v>
      </c>
      <c r="AA5420">
        <v>0.89395119999999895</v>
      </c>
      <c r="AB5420">
        <v>33</v>
      </c>
      <c r="AC5420">
        <v>0.75180000000000202</v>
      </c>
      <c r="AD5420">
        <v>-0.13282479999999999</v>
      </c>
      <c r="AE5420">
        <v>-0.18780999999999801</v>
      </c>
      <c r="AF5420">
        <v>-0.44996723222613</v>
      </c>
      <c r="AG5420">
        <v>-0.13282479999999999</v>
      </c>
      <c r="AH5420">
        <v>0.60350373425984205</v>
      </c>
      <c r="AI5420">
        <v>100.00651479321699</v>
      </c>
      <c r="AJ5420">
        <v>126.70789731164</v>
      </c>
      <c r="AK5420">
        <v>0.76441460925198101</v>
      </c>
      <c r="AL5420">
        <v>67.167314943334603</v>
      </c>
      <c r="AM5420">
        <v>110.924191768181</v>
      </c>
      <c r="AN5420">
        <v>0.99999997130940399</v>
      </c>
    </row>
    <row r="5421" spans="1:40" x14ac:dyDescent="0.25">
      <c r="A5421" t="str">
        <f>"20190304164518443"</f>
        <v>20190304164518443</v>
      </c>
      <c r="B5421" t="str">
        <f>"1551689118435687"</f>
        <v>1551689118435687</v>
      </c>
      <c r="C5421" t="s">
        <v>40</v>
      </c>
      <c r="D5421">
        <v>5.4069960000000004</v>
      </c>
      <c r="E5421">
        <v>0.44975100000000001</v>
      </c>
      <c r="F5421" t="s">
        <v>41</v>
      </c>
      <c r="G5421">
        <v>-293.57060000000001</v>
      </c>
      <c r="H5421">
        <v>0.99268520000000005</v>
      </c>
      <c r="I5421">
        <v>-48.963740000000001</v>
      </c>
      <c r="J5421">
        <v>-294.29320000000001</v>
      </c>
      <c r="K5421">
        <v>1.1204750000000001</v>
      </c>
      <c r="L5421">
        <v>-48.792299999999997</v>
      </c>
      <c r="M5421">
        <v>0.64211649999999998</v>
      </c>
      <c r="N5421">
        <v>-9.3404990000000004E-3</v>
      </c>
      <c r="O5421">
        <v>-0.76655019999999996</v>
      </c>
      <c r="P5421">
        <v>0.79937100000000005</v>
      </c>
      <c r="Q5421">
        <v>0.38800699999999999</v>
      </c>
      <c r="R5421">
        <v>-0.45875519999999997</v>
      </c>
      <c r="S5421">
        <v>3.1671140000000002</v>
      </c>
      <c r="T5421">
        <v>-0.43390040000000002</v>
      </c>
      <c r="U5421">
        <v>-1.3972469999999999</v>
      </c>
      <c r="V5421">
        <v>-0.3282564</v>
      </c>
      <c r="W5421">
        <v>0.3877738</v>
      </c>
      <c r="X5421">
        <v>0.86132410000000004</v>
      </c>
      <c r="Y5421">
        <v>-0.43525799999999998</v>
      </c>
      <c r="Z5421">
        <v>0.10815669999999999</v>
      </c>
      <c r="AA5421">
        <v>0.89378550000000001</v>
      </c>
      <c r="AB5421">
        <v>33</v>
      </c>
      <c r="AC5421">
        <v>0.72259999999999902</v>
      </c>
      <c r="AD5421">
        <v>-0.12778980000000001</v>
      </c>
      <c r="AE5421">
        <v>-0.17144000000000401</v>
      </c>
      <c r="AF5421">
        <v>-0.43108051141467602</v>
      </c>
      <c r="AG5421">
        <v>-0.12778980000000001</v>
      </c>
      <c r="AH5421">
        <v>0.57831382002320497</v>
      </c>
      <c r="AI5421">
        <v>100.046579280057</v>
      </c>
      <c r="AJ5421">
        <v>126.701189367556</v>
      </c>
      <c r="AK5421">
        <v>0.73253499215765205</v>
      </c>
      <c r="AL5421">
        <v>67.183950398603798</v>
      </c>
      <c r="AM5421">
        <v>110.862179773623</v>
      </c>
      <c r="AN5421">
        <v>0.99999999467410505</v>
      </c>
    </row>
    <row r="5422" spans="1:40" x14ac:dyDescent="0.25">
      <c r="A5422" t="str">
        <f>"20190304164518463"</f>
        <v>20190304164518463</v>
      </c>
      <c r="B5422" t="str">
        <f>"1551689118455207"</f>
        <v>1551689118455207</v>
      </c>
      <c r="C5422" t="s">
        <v>40</v>
      </c>
      <c r="D5422">
        <v>5.4076570000000004</v>
      </c>
      <c r="E5422">
        <v>0.45689069999999998</v>
      </c>
      <c r="F5422" t="s">
        <v>41</v>
      </c>
      <c r="G5422">
        <v>-293.38440000000003</v>
      </c>
      <c r="H5422">
        <v>0.99517509999999998</v>
      </c>
      <c r="I5422">
        <v>-49.182720000000003</v>
      </c>
      <c r="J5422">
        <v>-294.09019999999998</v>
      </c>
      <c r="K5422">
        <v>1.120498</v>
      </c>
      <c r="L5422">
        <v>-49.019100000000002</v>
      </c>
      <c r="M5422">
        <v>0.65082779999999996</v>
      </c>
      <c r="N5422">
        <v>-9.3239570000000008E-3</v>
      </c>
      <c r="O5422">
        <v>-0.75916810000000001</v>
      </c>
      <c r="P5422">
        <v>0.80414180000000002</v>
      </c>
      <c r="Q5422">
        <v>0.3867661</v>
      </c>
      <c r="R5422">
        <v>-0.45140649999999899</v>
      </c>
      <c r="S5422">
        <v>3.1812740000000002</v>
      </c>
      <c r="T5422">
        <v>-0.43866309999999897</v>
      </c>
      <c r="U5422">
        <v>-1.3671260000000001</v>
      </c>
      <c r="V5422">
        <v>-0.32676329999999998</v>
      </c>
      <c r="W5422">
        <v>0.38654139999999998</v>
      </c>
      <c r="X5422">
        <v>0.86244509999999996</v>
      </c>
      <c r="Y5422">
        <v>-0.43347629999999998</v>
      </c>
      <c r="Z5422">
        <v>0.108694899999999</v>
      </c>
      <c r="AA5422">
        <v>0.89458570000000004</v>
      </c>
      <c r="AB5422">
        <v>33</v>
      </c>
      <c r="AC5422">
        <v>0.70579999999995302</v>
      </c>
      <c r="AD5422">
        <v>-0.12532289999999999</v>
      </c>
      <c r="AE5422">
        <v>-0.16362000000000099</v>
      </c>
      <c r="AF5422">
        <v>-0.41687802594016499</v>
      </c>
      <c r="AG5422">
        <v>-0.12532289999999999</v>
      </c>
      <c r="AH5422">
        <v>0.56664075822262705</v>
      </c>
      <c r="AI5422">
        <v>100.101257929719</v>
      </c>
      <c r="AJ5422">
        <v>126.34194502023701</v>
      </c>
      <c r="AK5422">
        <v>0.71454521666252302</v>
      </c>
      <c r="AL5422">
        <v>67.260535058498306</v>
      </c>
      <c r="AM5422">
        <v>110.750701844415</v>
      </c>
      <c r="AN5422">
        <v>1.00000002932742</v>
      </c>
    </row>
    <row r="5423" spans="1:40" x14ac:dyDescent="0.25">
      <c r="A5423" t="str">
        <f>"20190304164518487"</f>
        <v>20190304164518487</v>
      </c>
      <c r="B5423" t="str">
        <f>"1551689118475704"</f>
        <v>1551689118475704</v>
      </c>
      <c r="C5423" t="s">
        <v>40</v>
      </c>
      <c r="D5423">
        <v>5.3848649999999996</v>
      </c>
      <c r="E5423">
        <v>0.4581094</v>
      </c>
      <c r="F5423" t="s">
        <v>41</v>
      </c>
      <c r="G5423">
        <v>-293.16770000000002</v>
      </c>
      <c r="H5423">
        <v>0.98601629999999996</v>
      </c>
      <c r="I5423">
        <v>-49.421750000000003</v>
      </c>
      <c r="J5423">
        <v>-293.86320000000001</v>
      </c>
      <c r="K5423">
        <v>1.1205259999999999</v>
      </c>
      <c r="L5423">
        <v>-49.266660000000002</v>
      </c>
      <c r="M5423">
        <v>0.66033149999999996</v>
      </c>
      <c r="N5423">
        <v>-9.3063009999999995E-3</v>
      </c>
      <c r="O5423">
        <v>-0.75091660000000005</v>
      </c>
      <c r="P5423">
        <v>0.80904140000000002</v>
      </c>
      <c r="Q5423">
        <v>0.38573629999999998</v>
      </c>
      <c r="R5423">
        <v>-0.44346340000000001</v>
      </c>
      <c r="S5423">
        <v>3.1756289999999998</v>
      </c>
      <c r="T5423">
        <v>-0.46287689999999998</v>
      </c>
      <c r="U5423">
        <v>-1.385345</v>
      </c>
      <c r="V5423">
        <v>-0.32477070000000002</v>
      </c>
      <c r="W5423">
        <v>0.3855306</v>
      </c>
      <c r="X5423">
        <v>0.86364929999999995</v>
      </c>
      <c r="Y5423">
        <v>-0.41652119999999998</v>
      </c>
      <c r="Z5423">
        <v>0.1132435</v>
      </c>
      <c r="AA5423">
        <v>0.90204549999999994</v>
      </c>
      <c r="AB5423">
        <v>33</v>
      </c>
      <c r="AC5423">
        <v>0.69549999999998102</v>
      </c>
      <c r="AD5423">
        <v>-0.13450969999999901</v>
      </c>
      <c r="AE5423">
        <v>-0.155090000000008</v>
      </c>
      <c r="AF5423">
        <v>-0.40542388440805199</v>
      </c>
      <c r="AG5423">
        <v>-0.13450969999999901</v>
      </c>
      <c r="AH5423">
        <v>0.55593614330657004</v>
      </c>
      <c r="AI5423">
        <v>101.06124194669501</v>
      </c>
      <c r="AJ5423">
        <v>126.101902467626</v>
      </c>
      <c r="AK5423">
        <v>0.70108942430847399</v>
      </c>
      <c r="AL5423">
        <v>67.323315068299493</v>
      </c>
      <c r="AM5423">
        <v>110.608502033343</v>
      </c>
      <c r="AN5423">
        <v>0.99999998225266995</v>
      </c>
    </row>
    <row r="5424" spans="1:40" x14ac:dyDescent="0.25">
      <c r="A5424" t="str">
        <f>"20190304164518510"</f>
        <v>20190304164518510</v>
      </c>
      <c r="B5424" t="str">
        <f>"1551689118505960"</f>
        <v>1551689118505960</v>
      </c>
      <c r="C5424" t="s">
        <v>40</v>
      </c>
      <c r="D5424">
        <v>5.3495900000000001</v>
      </c>
      <c r="E5424">
        <v>0.4598409</v>
      </c>
      <c r="F5424" t="s">
        <v>49</v>
      </c>
      <c r="G5424">
        <v>-286.24849999999998</v>
      </c>
      <c r="H5424" s="1">
        <v>-4.58369E-6</v>
      </c>
      <c r="I5424">
        <v>-52.516689999999997</v>
      </c>
      <c r="J5424">
        <v>-293.63400000000001</v>
      </c>
      <c r="K5424">
        <v>1.1205560000000001</v>
      </c>
      <c r="L5424">
        <v>-49.510620000000003</v>
      </c>
      <c r="M5424">
        <v>0.66968890000000003</v>
      </c>
      <c r="N5424">
        <v>-9.290843E-3</v>
      </c>
      <c r="O5424">
        <v>-0.74258359999999901</v>
      </c>
      <c r="P5424">
        <v>0.81377109999999997</v>
      </c>
      <c r="Q5424">
        <v>0.38560889999999998</v>
      </c>
      <c r="R5424">
        <v>-0.43483620000000001</v>
      </c>
      <c r="S5424">
        <v>3.1862490000000001</v>
      </c>
      <c r="T5424">
        <v>-0.46886990000000001</v>
      </c>
      <c r="U5424">
        <v>-1.3599239999999999</v>
      </c>
      <c r="V5424">
        <v>-0.3232006</v>
      </c>
      <c r="W5424">
        <v>0.38540780000000002</v>
      </c>
      <c r="X5424">
        <v>0.86429290000000003</v>
      </c>
      <c r="Y5424">
        <v>-0.4121862</v>
      </c>
      <c r="Z5424">
        <v>0.11380029999999999</v>
      </c>
      <c r="AA5424">
        <v>0.90396460000000001</v>
      </c>
      <c r="AB5424">
        <v>33</v>
      </c>
      <c r="AC5424">
        <v>7.3855000000000297</v>
      </c>
      <c r="AD5424">
        <v>-1.1205605836899999</v>
      </c>
      <c r="AE5424">
        <v>-3.0060699999999998</v>
      </c>
      <c r="AF5424">
        <v>-3.4041423837757399</v>
      </c>
      <c r="AG5424">
        <v>-1.1205605836899999</v>
      </c>
      <c r="AH5424">
        <v>7.0395348113243301</v>
      </c>
      <c r="AI5424">
        <v>98.155243991407204</v>
      </c>
      <c r="AJ5424">
        <v>115.807245408423</v>
      </c>
      <c r="AK5424">
        <v>7.8992969149529504</v>
      </c>
      <c r="AL5424">
        <v>67.330940889300607</v>
      </c>
      <c r="AM5424">
        <v>110.503182895918</v>
      </c>
      <c r="AN5424">
        <v>1.0000000085658001</v>
      </c>
    </row>
    <row r="5425" spans="1:40" x14ac:dyDescent="0.25">
      <c r="A5425" t="str">
        <f>"20190304164518533"</f>
        <v>20190304164518533</v>
      </c>
      <c r="B5425" t="str">
        <f>"1551689118525479"</f>
        <v>1551689118525479</v>
      </c>
      <c r="C5425" t="s">
        <v>40</v>
      </c>
      <c r="D5425">
        <v>5.406962</v>
      </c>
      <c r="E5425">
        <v>0.46004499999999998</v>
      </c>
      <c r="F5425" t="s">
        <v>49</v>
      </c>
      <c r="G5425">
        <v>-286.05610000000001</v>
      </c>
      <c r="H5425" s="1">
        <v>-4.6498209999999999E-6</v>
      </c>
      <c r="I5425">
        <v>-52.689269999999901</v>
      </c>
      <c r="J5425">
        <v>-293.40660000000003</v>
      </c>
      <c r="K5425">
        <v>1.1205849999999999</v>
      </c>
      <c r="L5425">
        <v>-49.746920000000003</v>
      </c>
      <c r="M5425">
        <v>0.67874760000000001</v>
      </c>
      <c r="N5425">
        <v>-9.2777199999999997E-3</v>
      </c>
      <c r="O5425">
        <v>-0.73431299999999999</v>
      </c>
      <c r="P5425">
        <v>0.81812620000000003</v>
      </c>
      <c r="Q5425">
        <v>0.38596360000000002</v>
      </c>
      <c r="R5425">
        <v>-0.4262648</v>
      </c>
      <c r="S5425">
        <v>3.194366</v>
      </c>
      <c r="T5425">
        <v>-0.47235310000000003</v>
      </c>
      <c r="U5425">
        <v>-1.3399049999999999</v>
      </c>
      <c r="V5425">
        <v>-0.32158989999999998</v>
      </c>
      <c r="W5425">
        <v>0.38576949999999999</v>
      </c>
      <c r="X5425">
        <v>0.86473230000000001</v>
      </c>
      <c r="Y5425">
        <v>-0.40662350000000003</v>
      </c>
      <c r="Z5425">
        <v>0.1136255</v>
      </c>
      <c r="AA5425">
        <v>0.90650240000000004</v>
      </c>
      <c r="AB5425">
        <v>33</v>
      </c>
      <c r="AC5425">
        <v>7.35050000000001</v>
      </c>
      <c r="AD5425">
        <v>-1.120589649821</v>
      </c>
      <c r="AE5425">
        <v>-2.94234999999999</v>
      </c>
      <c r="AF5425">
        <v>-3.3338196638312501</v>
      </c>
      <c r="AG5425">
        <v>-1.120589649821</v>
      </c>
      <c r="AH5425">
        <v>7.0096343473192597</v>
      </c>
      <c r="AI5425">
        <v>98.2149106762065</v>
      </c>
      <c r="AJ5425">
        <v>115.43601094488101</v>
      </c>
      <c r="AK5425">
        <v>7.8425154381328301</v>
      </c>
      <c r="AL5425">
        <v>67.308481384527099</v>
      </c>
      <c r="AM5425">
        <v>110.399932498952</v>
      </c>
      <c r="AN5425">
        <v>1.0000000607877699</v>
      </c>
    </row>
    <row r="5426" spans="1:40" x14ac:dyDescent="0.25">
      <c r="A5426" t="str">
        <f>"20190304164518554"</f>
        <v>20190304164518554</v>
      </c>
      <c r="B5426" t="str">
        <f>"1551689118545976"</f>
        <v>1551689118545976</v>
      </c>
      <c r="C5426" t="s">
        <v>40</v>
      </c>
      <c r="D5426">
        <v>5.4769649999999999</v>
      </c>
      <c r="E5426">
        <v>0.4603122</v>
      </c>
      <c r="F5426" t="s">
        <v>49</v>
      </c>
      <c r="G5426">
        <v>-285.81450000000001</v>
      </c>
      <c r="H5426" s="1">
        <v>-4.7420660000000002E-6</v>
      </c>
      <c r="I5426">
        <v>-52.853789999999996</v>
      </c>
      <c r="J5426">
        <v>-293.18979999999999</v>
      </c>
      <c r="K5426">
        <v>1.1206229999999999</v>
      </c>
      <c r="L5426">
        <v>-49.966769999999997</v>
      </c>
      <c r="M5426">
        <v>0.68717410000000001</v>
      </c>
      <c r="N5426">
        <v>-9.2671609999999995E-3</v>
      </c>
      <c r="O5426">
        <v>-0.72643409999999997</v>
      </c>
      <c r="P5426">
        <v>0.8222545</v>
      </c>
      <c r="Q5426">
        <v>0.38672060000000003</v>
      </c>
      <c r="R5426">
        <v>-0.4175468</v>
      </c>
      <c r="S5426">
        <v>3.206512</v>
      </c>
      <c r="T5426">
        <v>-0.47328310000000001</v>
      </c>
      <c r="U5426">
        <v>-1.312195</v>
      </c>
      <c r="V5426">
        <v>-0.32059379999999998</v>
      </c>
      <c r="W5426">
        <v>0.38651849999999999</v>
      </c>
      <c r="X5426">
        <v>0.86476759999999997</v>
      </c>
      <c r="Y5426">
        <v>-0.40405360000000001</v>
      </c>
      <c r="Z5426">
        <v>0.1129646</v>
      </c>
      <c r="AA5426">
        <v>0.90773329999999997</v>
      </c>
      <c r="AB5426">
        <v>33</v>
      </c>
      <c r="AC5426">
        <v>7.3752999999999798</v>
      </c>
      <c r="AD5426">
        <v>-1.120627742066</v>
      </c>
      <c r="AE5426">
        <v>-2.8870200000000001</v>
      </c>
      <c r="AF5426">
        <v>-3.3077099835555801</v>
      </c>
      <c r="AG5426">
        <v>-1.120627742066</v>
      </c>
      <c r="AH5426">
        <v>7.0250148134290296</v>
      </c>
      <c r="AI5426">
        <v>98.212332925629994</v>
      </c>
      <c r="AJ5426">
        <v>115.213279455657</v>
      </c>
      <c r="AK5426">
        <v>7.8452268928628497</v>
      </c>
      <c r="AL5426">
        <v>67.261956249126797</v>
      </c>
      <c r="AM5426">
        <v>110.341167481818</v>
      </c>
      <c r="AN5426">
        <v>0.99999996872522401</v>
      </c>
    </row>
    <row r="5427" spans="1:40" x14ac:dyDescent="0.25">
      <c r="A5427" t="str">
        <f>"20190304164518577"</f>
        <v>20190304164518577</v>
      </c>
      <c r="B5427" t="str">
        <f>"1551689118565497"</f>
        <v>1551689118565497</v>
      </c>
      <c r="C5427" t="s">
        <v>40</v>
      </c>
      <c r="D5427">
        <v>5.5484450000000001</v>
      </c>
      <c r="E5427">
        <v>0.49422579999999999</v>
      </c>
      <c r="F5427" t="s">
        <v>49</v>
      </c>
      <c r="G5427">
        <v>-285.54360000000003</v>
      </c>
      <c r="H5427" s="1">
        <v>-4.8495029999999998E-6</v>
      </c>
      <c r="I5427">
        <v>-53.016199999999998</v>
      </c>
      <c r="J5427">
        <v>-292.95530000000002</v>
      </c>
      <c r="K5427">
        <v>1.1206579999999999</v>
      </c>
      <c r="L5427">
        <v>-50.198790000000002</v>
      </c>
      <c r="M5427">
        <v>0.69607069999999904</v>
      </c>
      <c r="N5427">
        <v>-9.2580560000000006E-3</v>
      </c>
      <c r="O5427">
        <v>-0.71791349999999998</v>
      </c>
      <c r="P5427">
        <v>0.82678039999999997</v>
      </c>
      <c r="Q5427">
        <v>0.38732090000000002</v>
      </c>
      <c r="R5427">
        <v>-0.40794190000000002</v>
      </c>
      <c r="S5427">
        <v>3.2185359999999998</v>
      </c>
      <c r="T5427">
        <v>-0.47170580000000001</v>
      </c>
      <c r="U5427">
        <v>-1.2836000000000001</v>
      </c>
      <c r="V5427">
        <v>-0.31985799999999998</v>
      </c>
      <c r="W5427">
        <v>0.38710250000000002</v>
      </c>
      <c r="X5427">
        <v>0.86477890000000002</v>
      </c>
      <c r="Y5427">
        <v>-0.40106039999999998</v>
      </c>
      <c r="Z5427">
        <v>0.11159669999999999</v>
      </c>
      <c r="AA5427">
        <v>0.90922860000000005</v>
      </c>
      <c r="AB5427">
        <v>33</v>
      </c>
      <c r="AC5427">
        <v>7.41169999999999</v>
      </c>
      <c r="AD5427">
        <v>-1.120662849503</v>
      </c>
      <c r="AE5427">
        <v>-2.81740999999999</v>
      </c>
      <c r="AF5427">
        <v>-3.29418390051661</v>
      </c>
      <c r="AG5427">
        <v>-1.120662849503</v>
      </c>
      <c r="AH5427">
        <v>7.0413765258228302</v>
      </c>
      <c r="AI5427">
        <v>98.203140830817702</v>
      </c>
      <c r="AJ5427">
        <v>115.071714893614</v>
      </c>
      <c r="AK5427">
        <v>7.8542037261002902</v>
      </c>
      <c r="AL5427">
        <v>67.225672175113601</v>
      </c>
      <c r="AM5427">
        <v>110.298051754388</v>
      </c>
      <c r="AN5427">
        <v>1.00000001577772</v>
      </c>
    </row>
    <row r="5428" spans="1:40" x14ac:dyDescent="0.25">
      <c r="A5428" t="str">
        <f>"20190304164518599"</f>
        <v>20190304164518599</v>
      </c>
      <c r="B5428" t="str">
        <f>"1551689118595752"</f>
        <v>1551689118595752</v>
      </c>
      <c r="C5428" t="s">
        <v>40</v>
      </c>
      <c r="D5428">
        <v>5.3907889999999998</v>
      </c>
      <c r="E5428">
        <v>0.50975039999999905</v>
      </c>
      <c r="F5428" t="s">
        <v>49</v>
      </c>
      <c r="G5428">
        <v>-286.06079999999997</v>
      </c>
      <c r="H5428" s="1">
        <v>-4.502611E-6</v>
      </c>
      <c r="I5428">
        <v>-53.502940000000002</v>
      </c>
      <c r="J5428">
        <v>-292.71600000000001</v>
      </c>
      <c r="K5428">
        <v>1.1206989999999999</v>
      </c>
      <c r="L5428">
        <v>-50.429720000000003</v>
      </c>
      <c r="M5428">
        <v>0.70492189999999999</v>
      </c>
      <c r="N5428">
        <v>-9.2509889999999994E-3</v>
      </c>
      <c r="O5428">
        <v>-0.70922459999999998</v>
      </c>
      <c r="P5428">
        <v>0.83145000000000002</v>
      </c>
      <c r="Q5428">
        <v>0.3886366</v>
      </c>
      <c r="R5428">
        <v>-0.39705479999999999</v>
      </c>
      <c r="S5428">
        <v>3.1271969999999998</v>
      </c>
      <c r="T5428">
        <v>-0.50830759999999997</v>
      </c>
      <c r="U5428">
        <v>-1.498688</v>
      </c>
      <c r="V5428">
        <v>-0.32011919999999999</v>
      </c>
      <c r="W5428">
        <v>0.38837139999999998</v>
      </c>
      <c r="X5428">
        <v>0.86411299999999902</v>
      </c>
      <c r="Y5428">
        <v>-0.32657229999999998</v>
      </c>
      <c r="Z5428">
        <v>0.11501020000000001</v>
      </c>
      <c r="AA5428">
        <v>0.9381488</v>
      </c>
      <c r="AB5428">
        <v>33</v>
      </c>
      <c r="AC5428">
        <v>6.65520000000003</v>
      </c>
      <c r="AD5428">
        <v>-1.1207035026109999</v>
      </c>
      <c r="AE5428">
        <v>-3.0732199999999898</v>
      </c>
      <c r="AF5428">
        <v>-2.4954351272066</v>
      </c>
      <c r="AG5428">
        <v>-1.1207035026109999</v>
      </c>
      <c r="AH5428">
        <v>6.7143592440878797</v>
      </c>
      <c r="AI5428">
        <v>98.892145686746304</v>
      </c>
      <c r="AJ5428">
        <v>110.387909501677</v>
      </c>
      <c r="AK5428">
        <v>7.2502270911695996</v>
      </c>
      <c r="AL5428">
        <v>67.146798029334803</v>
      </c>
      <c r="AM5428">
        <v>110.32764668228501</v>
      </c>
      <c r="AN5428">
        <v>0.99999996165779903</v>
      </c>
    </row>
    <row r="5429" spans="1:40" x14ac:dyDescent="0.25">
      <c r="A5429" t="str">
        <f>"20190304164518622"</f>
        <v>20190304164518622</v>
      </c>
      <c r="B5429" t="str">
        <f>"1551689118615273"</f>
        <v>1551689118615273</v>
      </c>
      <c r="C5429" t="s">
        <v>40</v>
      </c>
      <c r="D5429">
        <v>5.3790839999999998</v>
      </c>
      <c r="E5429">
        <v>0.51424910000000001</v>
      </c>
      <c r="F5429" t="s">
        <v>49</v>
      </c>
      <c r="G5429">
        <v>-285.97739999999999</v>
      </c>
      <c r="H5429" s="1">
        <v>-4.4811390000000002E-6</v>
      </c>
      <c r="I5429">
        <v>-53.859219999999901</v>
      </c>
      <c r="J5429">
        <v>-292.47089999999997</v>
      </c>
      <c r="K5429">
        <v>1.1207450000000001</v>
      </c>
      <c r="L5429">
        <v>-50.660679999999999</v>
      </c>
      <c r="M5429">
        <v>0.71376819999999996</v>
      </c>
      <c r="N5429">
        <v>-9.2455439999999996E-3</v>
      </c>
      <c r="O5429">
        <v>-0.70032109999999903</v>
      </c>
      <c r="P5429">
        <v>0.836362099999999</v>
      </c>
      <c r="Q5429">
        <v>0.3899956</v>
      </c>
      <c r="R5429">
        <v>-0.38522960000000001</v>
      </c>
      <c r="S5429">
        <v>3.0963440000000002</v>
      </c>
      <c r="T5429">
        <v>-0.514957</v>
      </c>
      <c r="U5429">
        <v>-1.575836</v>
      </c>
      <c r="V5429">
        <v>-0.32115549999999998</v>
      </c>
      <c r="W5429">
        <v>0.3896616</v>
      </c>
      <c r="X5429">
        <v>0.86314709999999994</v>
      </c>
      <c r="Y5429">
        <v>-0.29225889999999999</v>
      </c>
      <c r="Z5429">
        <v>0.1132758</v>
      </c>
      <c r="AA5429">
        <v>0.94960699999999998</v>
      </c>
      <c r="AB5429">
        <v>33</v>
      </c>
      <c r="AC5429">
        <v>6.4934999999999796</v>
      </c>
      <c r="AD5429">
        <v>-1.120749481139</v>
      </c>
      <c r="AE5429">
        <v>-3.1985399999999902</v>
      </c>
      <c r="AF5429">
        <v>-2.2115975213066799</v>
      </c>
      <c r="AG5429">
        <v>-1.120749481139</v>
      </c>
      <c r="AH5429">
        <v>6.7141946333402798</v>
      </c>
      <c r="AI5429">
        <v>99.008861523083098</v>
      </c>
      <c r="AJ5429">
        <v>108.231435026377</v>
      </c>
      <c r="AK5429">
        <v>7.1573495492464696</v>
      </c>
      <c r="AL5429">
        <v>67.066554392416606</v>
      </c>
      <c r="AM5429">
        <v>110.408978252382</v>
      </c>
      <c r="AN5429">
        <v>0.99999996696660898</v>
      </c>
    </row>
    <row r="5430" spans="1:40" x14ac:dyDescent="0.25">
      <c r="A5430" t="str">
        <f>"20190304164518643"</f>
        <v>20190304164518643</v>
      </c>
      <c r="B5430" t="str">
        <f>"1551689118635768"</f>
        <v>1551689118635768</v>
      </c>
      <c r="C5430" t="s">
        <v>40</v>
      </c>
      <c r="D5430">
        <v>5.3971589999999896</v>
      </c>
      <c r="E5430">
        <v>0.51697269999999995</v>
      </c>
      <c r="F5430" t="s">
        <v>49</v>
      </c>
      <c r="G5430">
        <v>-285.6712</v>
      </c>
      <c r="H5430" s="1">
        <v>-4.5920000000000002E-6</v>
      </c>
      <c r="I5430">
        <v>-54.101970000000001</v>
      </c>
      <c r="J5430">
        <v>-292.23939999999999</v>
      </c>
      <c r="K5430">
        <v>1.1207769999999999</v>
      </c>
      <c r="L5430">
        <v>-50.873629999999999</v>
      </c>
      <c r="M5430">
        <v>0.72192080000000003</v>
      </c>
      <c r="N5430">
        <v>-9.241895E-3</v>
      </c>
      <c r="O5430">
        <v>-0.69191400000000003</v>
      </c>
      <c r="P5430">
        <v>0.84097330000000003</v>
      </c>
      <c r="Q5430">
        <v>0.39086949999999998</v>
      </c>
      <c r="R5430">
        <v>-0.37414619999999998</v>
      </c>
      <c r="S5430">
        <v>3.1022340000000002</v>
      </c>
      <c r="T5430">
        <v>-0.51132489999999997</v>
      </c>
      <c r="U5430">
        <v>-1.5700379999999901</v>
      </c>
      <c r="V5430">
        <v>-0.3222314</v>
      </c>
      <c r="W5430">
        <v>0.39047029999999999</v>
      </c>
      <c r="X5430">
        <v>0.86238040000000005</v>
      </c>
      <c r="Y5430">
        <v>-0.28345880000000001</v>
      </c>
      <c r="Z5430">
        <v>0.1108814</v>
      </c>
      <c r="AA5430">
        <v>0.95255259999999997</v>
      </c>
      <c r="AB5430">
        <v>33</v>
      </c>
      <c r="AC5430">
        <v>6.5681999999999903</v>
      </c>
      <c r="AD5430">
        <v>-1.1207815919999999</v>
      </c>
      <c r="AE5430">
        <v>-3.22833999999999</v>
      </c>
      <c r="AF5430">
        <v>-2.1633833256968402</v>
      </c>
      <c r="AG5430">
        <v>-1.1207815919999999</v>
      </c>
      <c r="AH5430">
        <v>6.8159072829363501</v>
      </c>
      <c r="AI5430">
        <v>98.907544070296794</v>
      </c>
      <c r="AJ5430">
        <v>107.60954787731499</v>
      </c>
      <c r="AK5430">
        <v>7.2382988941086097</v>
      </c>
      <c r="AL5430">
        <v>67.016235025519194</v>
      </c>
      <c r="AM5430">
        <v>110.48837482619</v>
      </c>
      <c r="AN5430">
        <v>1.0000000423161</v>
      </c>
    </row>
    <row r="5431" spans="1:40" x14ac:dyDescent="0.25">
      <c r="A5431" t="str">
        <f>"20190304164518665"</f>
        <v>20190304164518665</v>
      </c>
      <c r="B5431" t="str">
        <f>"1551689118655288"</f>
        <v>1551689118655288</v>
      </c>
      <c r="C5431" t="s">
        <v>40</v>
      </c>
      <c r="D5431">
        <v>5.3990349999999996</v>
      </c>
      <c r="E5431">
        <v>0.51893290000000003</v>
      </c>
      <c r="F5431" t="s">
        <v>49</v>
      </c>
      <c r="G5431">
        <v>-285.44170000000003</v>
      </c>
      <c r="H5431" s="1">
        <v>-4.6792339999999997E-6</v>
      </c>
      <c r="I5431">
        <v>-54.260689999999997</v>
      </c>
      <c r="J5431">
        <v>-291.99990000000003</v>
      </c>
      <c r="K5431">
        <v>1.1208100000000001</v>
      </c>
      <c r="L5431">
        <v>-51.08887</v>
      </c>
      <c r="M5431">
        <v>0.73015819999999998</v>
      </c>
      <c r="N5431">
        <v>-9.2394729999999998E-3</v>
      </c>
      <c r="O5431">
        <v>-0.68321569999999898</v>
      </c>
      <c r="P5431">
        <v>0.84541489999999997</v>
      </c>
      <c r="Q5431">
        <v>0.39092850000000001</v>
      </c>
      <c r="R5431">
        <v>-0.3639348</v>
      </c>
      <c r="S5431">
        <v>3.1154169999999999</v>
      </c>
      <c r="T5431">
        <v>-0.51366000000000001</v>
      </c>
      <c r="U5431">
        <v>-1.5523070000000001</v>
      </c>
      <c r="V5431">
        <v>-0.322360799999999</v>
      </c>
      <c r="W5431">
        <v>0.3904958</v>
      </c>
      <c r="X5431">
        <v>0.86232039999999999</v>
      </c>
      <c r="Y5431">
        <v>-0.2779874</v>
      </c>
      <c r="Z5431">
        <v>0.109946</v>
      </c>
      <c r="AA5431">
        <v>0.95427189999999995</v>
      </c>
      <c r="AB5431">
        <v>33</v>
      </c>
      <c r="AC5431">
        <v>6.5581999999999896</v>
      </c>
      <c r="AD5431">
        <v>-1.1208146792339999</v>
      </c>
      <c r="AE5431">
        <v>-3.1718199999999999</v>
      </c>
      <c r="AF5431">
        <v>-2.11476865866037</v>
      </c>
      <c r="AG5431">
        <v>-1.1208146792339999</v>
      </c>
      <c r="AH5431">
        <v>6.7950132665048901</v>
      </c>
      <c r="AI5431">
        <v>98.950301461718396</v>
      </c>
      <c r="AJ5431">
        <v>107.28737583886</v>
      </c>
      <c r="AK5431">
        <v>7.2042124702715498</v>
      </c>
      <c r="AL5431">
        <v>67.014646078513707</v>
      </c>
      <c r="AM5431">
        <v>110.497225915814</v>
      </c>
      <c r="AN5431">
        <v>0.99999996372521904</v>
      </c>
    </row>
    <row r="5432" spans="1:40" x14ac:dyDescent="0.25">
      <c r="A5432" t="str">
        <f>"20190304164518689"</f>
        <v>20190304164518689</v>
      </c>
      <c r="B5432" t="str">
        <f>"1551689118685396"</f>
        <v>1551689118685396</v>
      </c>
      <c r="C5432" t="s">
        <v>40</v>
      </c>
      <c r="D5432">
        <v>5.4096120000000001</v>
      </c>
      <c r="E5432">
        <v>0.52123839999999999</v>
      </c>
      <c r="F5432" t="s">
        <v>49</v>
      </c>
      <c r="G5432">
        <v>-285.22269999999997</v>
      </c>
      <c r="H5432" s="1">
        <v>-4.7652139999999997E-6</v>
      </c>
      <c r="I5432">
        <v>-54.396650000000001</v>
      </c>
      <c r="J5432">
        <v>-291.7407</v>
      </c>
      <c r="K5432">
        <v>1.1208359999999999</v>
      </c>
      <c r="L5432">
        <v>-51.316220000000001</v>
      </c>
      <c r="M5432">
        <v>0.73885469999999998</v>
      </c>
      <c r="N5432">
        <v>-9.2383250000000004E-3</v>
      </c>
      <c r="O5432">
        <v>-0.67380169999999995</v>
      </c>
      <c r="P5432">
        <v>0.84985200000000005</v>
      </c>
      <c r="Q5432">
        <v>0.39107570000000003</v>
      </c>
      <c r="R5432">
        <v>-0.35328680000000001</v>
      </c>
      <c r="S5432">
        <v>3.1302490000000001</v>
      </c>
      <c r="T5432">
        <v>-0.51768259999999999</v>
      </c>
      <c r="U5432">
        <v>-1.5278020000000001</v>
      </c>
      <c r="V5432">
        <v>-0.32213449999999999</v>
      </c>
      <c r="W5432">
        <v>0.39061869999999999</v>
      </c>
      <c r="X5432">
        <v>0.86234940000000004</v>
      </c>
      <c r="Y5432">
        <v>-0.27349899999999999</v>
      </c>
      <c r="Z5432">
        <v>0.1093773</v>
      </c>
      <c r="AA5432">
        <v>0.95563319999999996</v>
      </c>
      <c r="AB5432">
        <v>33</v>
      </c>
      <c r="AC5432">
        <v>6.5180000000000202</v>
      </c>
      <c r="AD5432">
        <v>-1.120840765214</v>
      </c>
      <c r="AE5432">
        <v>-3.0804299999999998</v>
      </c>
      <c r="AF5432">
        <v>-2.0660005134052701</v>
      </c>
      <c r="AG5432">
        <v>-1.120840765214</v>
      </c>
      <c r="AH5432">
        <v>6.7290932894787101</v>
      </c>
      <c r="AI5432">
        <v>99.047282615247795</v>
      </c>
      <c r="AJ5432">
        <v>107.067800251661</v>
      </c>
      <c r="AK5432">
        <v>7.1277863773308896</v>
      </c>
      <c r="AL5432">
        <v>67.006998927472694</v>
      </c>
      <c r="AM5432">
        <v>110.483400562011</v>
      </c>
      <c r="AN5432">
        <v>1.0000000462801399</v>
      </c>
    </row>
    <row r="5433" spans="1:40" x14ac:dyDescent="0.25">
      <c r="A5433" t="str">
        <f>"20190304164518711"</f>
        <v>20190304164518711</v>
      </c>
      <c r="B5433" t="str">
        <f>"1551689118705892"</f>
        <v>1551689118705892</v>
      </c>
      <c r="C5433" t="s">
        <v>40</v>
      </c>
      <c r="D5433">
        <v>5.4247949999999996</v>
      </c>
      <c r="E5433">
        <v>0.52238709999999999</v>
      </c>
      <c r="F5433" t="s">
        <v>49</v>
      </c>
      <c r="G5433">
        <v>-285.02140000000003</v>
      </c>
      <c r="H5433" s="1">
        <v>-4.8434120000000004E-6</v>
      </c>
      <c r="I5433">
        <v>-54.526699999999998</v>
      </c>
      <c r="J5433">
        <v>-291.4855</v>
      </c>
      <c r="K5433">
        <v>1.120871</v>
      </c>
      <c r="L5433">
        <v>-51.534550000000003</v>
      </c>
      <c r="M5433">
        <v>0.74720169999999997</v>
      </c>
      <c r="N5433">
        <v>-9.2383840000000005E-3</v>
      </c>
      <c r="O5433">
        <v>-0.66453309999999999</v>
      </c>
      <c r="P5433">
        <v>0.85437199999999902</v>
      </c>
      <c r="Q5433">
        <v>0.39046829999999999</v>
      </c>
      <c r="R5433">
        <v>-0.34290379999999998</v>
      </c>
      <c r="S5433">
        <v>3.146576</v>
      </c>
      <c r="T5433">
        <v>-0.52487269999999997</v>
      </c>
      <c r="U5433">
        <v>-1.5034179999999999</v>
      </c>
      <c r="V5433">
        <v>-0.32208959999999998</v>
      </c>
      <c r="W5433">
        <v>0.38998739999999998</v>
      </c>
      <c r="X5433">
        <v>0.86265179999999997</v>
      </c>
      <c r="Y5433">
        <v>-0.26937670000000002</v>
      </c>
      <c r="Z5433">
        <v>0.109444899999999</v>
      </c>
      <c r="AA5433">
        <v>0.95679570000000003</v>
      </c>
      <c r="AB5433">
        <v>34</v>
      </c>
      <c r="AC5433">
        <v>6.46409999999997</v>
      </c>
      <c r="AD5433">
        <v>-1.1208758434120001</v>
      </c>
      <c r="AE5433">
        <v>-2.9921499999999899</v>
      </c>
      <c r="AF5433">
        <v>-2.0101807126404898</v>
      </c>
      <c r="AG5433">
        <v>-1.1208758434120001</v>
      </c>
      <c r="AH5433">
        <v>6.6538966007089702</v>
      </c>
      <c r="AI5433">
        <v>99.160428007215103</v>
      </c>
      <c r="AJ5433">
        <v>106.80987088073201</v>
      </c>
      <c r="AK5433">
        <v>7.0407051583447799</v>
      </c>
      <c r="AL5433">
        <v>67.046284733971206</v>
      </c>
      <c r="AM5433">
        <v>110.47419898066801</v>
      </c>
      <c r="AN5433">
        <v>1.0000000053150799</v>
      </c>
    </row>
    <row r="5434" spans="1:40" x14ac:dyDescent="0.25">
      <c r="A5434" t="str">
        <f>"20190304164518733"</f>
        <v>20190304164518733</v>
      </c>
      <c r="B5434" t="str">
        <f>"1551689118725412"</f>
        <v>1551689118725412</v>
      </c>
      <c r="C5434" t="s">
        <v>40</v>
      </c>
      <c r="D5434">
        <v>5.4354849999999999</v>
      </c>
      <c r="E5434">
        <v>0.52309949999999905</v>
      </c>
      <c r="F5434" t="s">
        <v>49</v>
      </c>
      <c r="G5434">
        <v>-284.8211</v>
      </c>
      <c r="H5434" s="1">
        <v>-4.9200279999999901E-6</v>
      </c>
      <c r="I5434">
        <v>-54.633780000000002</v>
      </c>
      <c r="J5434">
        <v>-291.23399999999998</v>
      </c>
      <c r="K5434">
        <v>1.1209020000000001</v>
      </c>
      <c r="L5434">
        <v>-51.744509999999998</v>
      </c>
      <c r="M5434">
        <v>0.75522739999999999</v>
      </c>
      <c r="N5434">
        <v>-9.2393279999999998E-3</v>
      </c>
      <c r="O5434">
        <v>-0.65539799999999904</v>
      </c>
      <c r="P5434">
        <v>0.85839529999999997</v>
      </c>
      <c r="Q5434">
        <v>0.39007249999999999</v>
      </c>
      <c r="R5434">
        <v>-0.33316879999999999</v>
      </c>
      <c r="S5434">
        <v>3.1639710000000001</v>
      </c>
      <c r="T5434">
        <v>-0.53214050000000002</v>
      </c>
      <c r="U5434">
        <v>-1.4713750000000001</v>
      </c>
      <c r="V5434">
        <v>-0.32154579999999999</v>
      </c>
      <c r="W5434">
        <v>0.3895825</v>
      </c>
      <c r="X5434">
        <v>0.86303750000000001</v>
      </c>
      <c r="Y5434">
        <v>-0.26753090000000002</v>
      </c>
      <c r="Z5434">
        <v>0.1097075</v>
      </c>
      <c r="AA5434">
        <v>0.95728340000000001</v>
      </c>
      <c r="AB5434">
        <v>34</v>
      </c>
      <c r="AC5434">
        <v>6.4129000000000298</v>
      </c>
      <c r="AD5434">
        <v>-1.120906920028</v>
      </c>
      <c r="AE5434">
        <v>-2.8892699999999998</v>
      </c>
      <c r="AF5434">
        <v>-1.9709765082163899</v>
      </c>
      <c r="AG5434">
        <v>-1.120906920028</v>
      </c>
      <c r="AH5434">
        <v>6.5702464853189202</v>
      </c>
      <c r="AI5434">
        <v>99.280630107893103</v>
      </c>
      <c r="AJ5434">
        <v>106.698464687829</v>
      </c>
      <c r="AK5434">
        <v>6.9504906011844403</v>
      </c>
      <c r="AL5434">
        <v>67.071475591254099</v>
      </c>
      <c r="AM5434">
        <v>110.434112694763</v>
      </c>
      <c r="AN5434">
        <v>0.99999997610506897</v>
      </c>
    </row>
    <row r="5435" spans="1:40" x14ac:dyDescent="0.25">
      <c r="A5435" t="str">
        <f>"20190304164518755"</f>
        <v>20190304164518755</v>
      </c>
      <c r="B5435" t="str">
        <f>"1551689118745910"</f>
        <v>1551689118745910</v>
      </c>
      <c r="C5435" t="s">
        <v>40</v>
      </c>
      <c r="D5435">
        <v>5.3827990000000003</v>
      </c>
      <c r="E5435">
        <v>0.5230688</v>
      </c>
      <c r="F5435" t="s">
        <v>49</v>
      </c>
      <c r="G5435">
        <v>-284.61700000000002</v>
      </c>
      <c r="H5435" s="1">
        <v>-4.9961570000000004E-6</v>
      </c>
      <c r="I5435">
        <v>-54.740009999999998</v>
      </c>
      <c r="J5435">
        <v>-290.98390000000001</v>
      </c>
      <c r="K5435">
        <v>1.1209249999999999</v>
      </c>
      <c r="L5435">
        <v>-51.948</v>
      </c>
      <c r="M5435">
        <v>0.76300789999999996</v>
      </c>
      <c r="N5435">
        <v>-9.2412420000000002E-3</v>
      </c>
      <c r="O5435">
        <v>-0.64632299999999998</v>
      </c>
      <c r="P5435">
        <v>0.86215079999999999</v>
      </c>
      <c r="Q5435">
        <v>0.3902197</v>
      </c>
      <c r="R5435">
        <v>-0.32314739999999997</v>
      </c>
      <c r="S5435">
        <v>3.180847</v>
      </c>
      <c r="T5435">
        <v>-0.53883149999999902</v>
      </c>
      <c r="U5435">
        <v>-1.439972</v>
      </c>
      <c r="V5435">
        <v>-0.32127519999999998</v>
      </c>
      <c r="W5435">
        <v>0.38971260000000002</v>
      </c>
      <c r="X5435">
        <v>0.86307959999999995</v>
      </c>
      <c r="Y5435">
        <v>-0.26567180000000001</v>
      </c>
      <c r="Z5435">
        <v>0.109806399999999</v>
      </c>
      <c r="AA5435">
        <v>0.95778969999999997</v>
      </c>
      <c r="AB5435">
        <v>34</v>
      </c>
      <c r="AC5435">
        <v>6.3668999999999798</v>
      </c>
      <c r="AD5435">
        <v>-1.1209299961569901</v>
      </c>
      <c r="AE5435">
        <v>-2.7920099999999901</v>
      </c>
      <c r="AF5435">
        <v>-1.9345417019025299</v>
      </c>
      <c r="AG5435">
        <v>-1.1209299961569901</v>
      </c>
      <c r="AH5435">
        <v>6.4939986812832302</v>
      </c>
      <c r="AI5435">
        <v>99.393143140334502</v>
      </c>
      <c r="AJ5435">
        <v>106.588627999428</v>
      </c>
      <c r="AK5435">
        <v>6.8681114234695402</v>
      </c>
      <c r="AL5435">
        <v>67.063383016760298</v>
      </c>
      <c r="AM5435">
        <v>110.417422318435</v>
      </c>
      <c r="AN5435">
        <v>1.0000000303349701</v>
      </c>
    </row>
    <row r="5436" spans="1:40" x14ac:dyDescent="0.25">
      <c r="A5436" t="str">
        <f>"20190304164518777"</f>
        <v>20190304164518777</v>
      </c>
      <c r="B5436" t="str">
        <f>"1551689118765429"</f>
        <v>1551689118765429</v>
      </c>
      <c r="C5436" t="s">
        <v>40</v>
      </c>
      <c r="D5436">
        <v>5.4049899999999997</v>
      </c>
      <c r="E5436">
        <v>0.5232002</v>
      </c>
      <c r="F5436" t="s">
        <v>49</v>
      </c>
      <c r="G5436">
        <v>-284.35180000000003</v>
      </c>
      <c r="H5436" s="1">
        <v>-5.0985200000000001E-6</v>
      </c>
      <c r="I5436">
        <v>-54.8589699999999</v>
      </c>
      <c r="J5436">
        <v>-290.72219999999999</v>
      </c>
      <c r="K5436">
        <v>1.1209559999999901</v>
      </c>
      <c r="L5436">
        <v>-52.155700000000003</v>
      </c>
      <c r="M5436">
        <v>0.77095089999999999</v>
      </c>
      <c r="N5436">
        <v>-9.2440119999999994E-3</v>
      </c>
      <c r="O5436">
        <v>-0.63682740000000004</v>
      </c>
      <c r="P5436">
        <v>0.86580259999999998</v>
      </c>
      <c r="Q5436">
        <v>0.38990330000000001</v>
      </c>
      <c r="R5436">
        <v>-0.31362600000000002</v>
      </c>
      <c r="S5436">
        <v>3.1981809999999999</v>
      </c>
      <c r="T5436">
        <v>-0.54054209999999903</v>
      </c>
      <c r="U5436">
        <v>-1.403748</v>
      </c>
      <c r="V5436">
        <v>-0.32021480000000002</v>
      </c>
      <c r="W5436">
        <v>0.38940469999999999</v>
      </c>
      <c r="X5436">
        <v>0.86361250000000001</v>
      </c>
      <c r="Y5436">
        <v>-0.26480130000000002</v>
      </c>
      <c r="Z5436">
        <v>0.1088828</v>
      </c>
      <c r="AA5436">
        <v>0.95813610000000005</v>
      </c>
      <c r="AB5436">
        <v>34</v>
      </c>
      <c r="AC5436">
        <v>6.3703999999999601</v>
      </c>
      <c r="AD5436">
        <v>-1.12096109851999</v>
      </c>
      <c r="AE5436">
        <v>-2.7032699999999799</v>
      </c>
      <c r="AF5436">
        <v>-1.92240030856322</v>
      </c>
      <c r="AG5436">
        <v>-1.12096109851999</v>
      </c>
      <c r="AH5436">
        <v>6.4634738600800299</v>
      </c>
      <c r="AI5436">
        <v>99.438159947649893</v>
      </c>
      <c r="AJ5436">
        <v>106.563806777605</v>
      </c>
      <c r="AK5436">
        <v>6.8358372618646301</v>
      </c>
      <c r="AL5436">
        <v>67.082537903430605</v>
      </c>
      <c r="AM5436">
        <v>110.344038801667</v>
      </c>
      <c r="AN5436">
        <v>1.0000000443386801</v>
      </c>
    </row>
    <row r="5437" spans="1:40" x14ac:dyDescent="0.25">
      <c r="A5437" t="str">
        <f>"20190304164518804"</f>
        <v>20190304164518804</v>
      </c>
      <c r="B5437" t="str">
        <f>"1551689118795589"</f>
        <v>1551689118795589</v>
      </c>
      <c r="C5437" t="s">
        <v>40</v>
      </c>
      <c r="D5437">
        <v>5.3828040000000001</v>
      </c>
      <c r="E5437">
        <v>0.52360580000000001</v>
      </c>
      <c r="F5437" t="s">
        <v>49</v>
      </c>
      <c r="G5437">
        <v>-284.10930000000002</v>
      </c>
      <c r="H5437" s="1">
        <v>-5.191294E-6</v>
      </c>
      <c r="I5437">
        <v>-54.972410000000004</v>
      </c>
      <c r="J5437">
        <v>-290.41430000000003</v>
      </c>
      <c r="K5437">
        <v>1.120994</v>
      </c>
      <c r="L5437">
        <v>-52.393369999999997</v>
      </c>
      <c r="M5437">
        <v>0.7800395</v>
      </c>
      <c r="N5437">
        <v>-9.2481319999999992E-3</v>
      </c>
      <c r="O5437">
        <v>-0.62566199999999905</v>
      </c>
      <c r="P5437">
        <v>0.8694518</v>
      </c>
      <c r="Q5437">
        <v>0.39014409999999999</v>
      </c>
      <c r="R5437">
        <v>-0.30305320000000002</v>
      </c>
      <c r="S5437">
        <v>3.2144469999999998</v>
      </c>
      <c r="T5437">
        <v>-0.5448866</v>
      </c>
      <c r="U5437">
        <v>-1.3691709999999999</v>
      </c>
      <c r="V5437">
        <v>-0.31827440000000001</v>
      </c>
      <c r="W5437">
        <v>0.3896752</v>
      </c>
      <c r="X5437">
        <v>0.86420759999999996</v>
      </c>
      <c r="Y5437">
        <v>-0.26140409999999997</v>
      </c>
      <c r="Z5437">
        <v>0.1080972</v>
      </c>
      <c r="AA5437">
        <v>0.95915740000000005</v>
      </c>
      <c r="AB5437">
        <v>34</v>
      </c>
      <c r="AC5437">
        <v>6.3049999999999997</v>
      </c>
      <c r="AD5437">
        <v>-1.1209991912940001</v>
      </c>
      <c r="AE5437">
        <v>-2.5790399999999898</v>
      </c>
      <c r="AF5437">
        <v>-1.8821593027427299</v>
      </c>
      <c r="AG5437">
        <v>-1.1209991912940001</v>
      </c>
      <c r="AH5437">
        <v>6.3598109147787198</v>
      </c>
      <c r="AI5437">
        <v>99.593281904747997</v>
      </c>
      <c r="AJ5437">
        <v>106.485898181679</v>
      </c>
      <c r="AK5437">
        <v>6.7265412880262199</v>
      </c>
      <c r="AL5437">
        <v>67.065710679622995</v>
      </c>
      <c r="AM5437">
        <v>110.217978234537</v>
      </c>
      <c r="AN5437">
        <v>1.0000000655440699</v>
      </c>
    </row>
    <row r="5438" spans="1:40" x14ac:dyDescent="0.25">
      <c r="A5438" t="str">
        <f>"20190304164518823"</f>
        <v>20190304164518823</v>
      </c>
      <c r="B5438" t="str">
        <f>"1551689118816085"</f>
        <v>1551689118816085</v>
      </c>
      <c r="C5438" t="s">
        <v>40</v>
      </c>
      <c r="D5438">
        <v>5.4015139999999997</v>
      </c>
      <c r="E5438">
        <v>0.52397609999999994</v>
      </c>
      <c r="F5438" t="s">
        <v>49</v>
      </c>
      <c r="G5438">
        <v>-283.80090000000001</v>
      </c>
      <c r="H5438" s="1">
        <v>-5.3094079999999997E-6</v>
      </c>
      <c r="I5438">
        <v>-55.11598</v>
      </c>
      <c r="J5438">
        <v>-290.17849999999999</v>
      </c>
      <c r="K5438">
        <v>1.1210230000000001</v>
      </c>
      <c r="L5438">
        <v>-52.570950000000003</v>
      </c>
      <c r="M5438">
        <v>0.7868233</v>
      </c>
      <c r="N5438">
        <v>-9.2516219999999993E-3</v>
      </c>
      <c r="O5438">
        <v>-0.61710909999999997</v>
      </c>
      <c r="P5438">
        <v>0.87195009999999995</v>
      </c>
      <c r="Q5438">
        <v>0.39004620000000001</v>
      </c>
      <c r="R5438">
        <v>-0.29591830000000002</v>
      </c>
      <c r="S5438">
        <v>3.2324830000000002</v>
      </c>
      <c r="T5438">
        <v>-0.54791820000000002</v>
      </c>
      <c r="U5438">
        <v>-1.3307500000000001</v>
      </c>
      <c r="V5438">
        <v>-0.31596669999999999</v>
      </c>
      <c r="W5438">
        <v>0.38962740000000001</v>
      </c>
      <c r="X5438">
        <v>0.865075499999999</v>
      </c>
      <c r="Y5438">
        <v>-0.2624958</v>
      </c>
      <c r="Z5438">
        <v>0.1076362</v>
      </c>
      <c r="AA5438">
        <v>0.95891110000000002</v>
      </c>
      <c r="AB5438">
        <v>34</v>
      </c>
      <c r="AC5438">
        <v>6.37759999999997</v>
      </c>
      <c r="AD5438">
        <v>-1.12102830940799</v>
      </c>
      <c r="AE5438">
        <v>-2.5450300000000001</v>
      </c>
      <c r="AF5438">
        <v>-1.8830793834388999</v>
      </c>
      <c r="AG5438">
        <v>-1.12102830940799</v>
      </c>
      <c r="AH5438">
        <v>6.4178338212185899</v>
      </c>
      <c r="AI5438">
        <v>99.514794349710002</v>
      </c>
      <c r="AJ5438">
        <v>106.35240322152001</v>
      </c>
      <c r="AK5438">
        <v>6.7816873557842499</v>
      </c>
      <c r="AL5438">
        <v>67.068683923906406</v>
      </c>
      <c r="AM5438">
        <v>110.06459685377</v>
      </c>
      <c r="AN5438">
        <v>1.0000000435199401</v>
      </c>
    </row>
    <row r="5439" spans="1:40" x14ac:dyDescent="0.25">
      <c r="A5439" t="str">
        <f>"20190304164518845"</f>
        <v>20190304164518845</v>
      </c>
      <c r="B5439" t="str">
        <f>"1551689118835605"</f>
        <v>1551689118835605</v>
      </c>
      <c r="C5439" t="s">
        <v>40</v>
      </c>
      <c r="D5439">
        <v>5.3647349999999996</v>
      </c>
      <c r="E5439">
        <v>0.52436349999999998</v>
      </c>
      <c r="F5439" t="s">
        <v>49</v>
      </c>
      <c r="G5439">
        <v>-283.58980000000003</v>
      </c>
      <c r="H5439" s="1">
        <v>-5.3896010000000003E-6</v>
      </c>
      <c r="I5439">
        <v>-55.218020000000003</v>
      </c>
      <c r="J5439">
        <v>-289.91430000000003</v>
      </c>
      <c r="K5439">
        <v>1.121068</v>
      </c>
      <c r="L5439">
        <v>-52.765230000000003</v>
      </c>
      <c r="M5439">
        <v>0.7942439</v>
      </c>
      <c r="N5439">
        <v>-9.2559600000000006E-3</v>
      </c>
      <c r="O5439">
        <v>-0.60752859999999997</v>
      </c>
      <c r="P5439">
        <v>0.87441399999999903</v>
      </c>
      <c r="Q5439">
        <v>0.39047080000000001</v>
      </c>
      <c r="R5439">
        <v>-0.28798089999999998</v>
      </c>
      <c r="S5439">
        <v>3.2450559999999999</v>
      </c>
      <c r="T5439">
        <v>-0.5521201</v>
      </c>
      <c r="U5439">
        <v>-1.3037110000000001</v>
      </c>
      <c r="V5439">
        <v>-0.31326479999999901</v>
      </c>
      <c r="W5439">
        <v>0.39011040000000002</v>
      </c>
      <c r="X5439">
        <v>0.8658401</v>
      </c>
      <c r="Y5439">
        <v>-0.25897680000000001</v>
      </c>
      <c r="Z5439">
        <v>0.10695010000000001</v>
      </c>
      <c r="AA5439">
        <v>0.95994409999999997</v>
      </c>
      <c r="AB5439">
        <v>34</v>
      </c>
      <c r="AC5439">
        <v>6.3244999999999996</v>
      </c>
      <c r="AD5439">
        <v>-1.1210733896009999</v>
      </c>
      <c r="AE5439">
        <v>-2.45278999999999</v>
      </c>
      <c r="AF5439">
        <v>-1.84391986544383</v>
      </c>
      <c r="AG5439">
        <v>-1.1210733896009999</v>
      </c>
      <c r="AH5439">
        <v>6.3404401556683903</v>
      </c>
      <c r="AI5439">
        <v>99.635754338222597</v>
      </c>
      <c r="AJ5439">
        <v>106.215429502715</v>
      </c>
      <c r="AK5439">
        <v>6.6976135587731598</v>
      </c>
      <c r="AL5439">
        <v>67.038631474667795</v>
      </c>
      <c r="AM5439">
        <v>109.890349250463</v>
      </c>
      <c r="AN5439">
        <v>1.0000000189375999</v>
      </c>
    </row>
    <row r="5440" spans="1:40" x14ac:dyDescent="0.25">
      <c r="A5440" t="str">
        <f>"20190304164518858"</f>
        <v>20190304164518858</v>
      </c>
      <c r="B5440" t="str">
        <f>"1551689118845365"</f>
        <v>1551689118845365</v>
      </c>
      <c r="C5440" t="s">
        <v>40</v>
      </c>
      <c r="D5440">
        <v>5.3835750000000004</v>
      </c>
      <c r="E5440">
        <v>0.52458689999999997</v>
      </c>
      <c r="F5440" t="s">
        <v>49</v>
      </c>
      <c r="G5440">
        <v>-283.3211</v>
      </c>
      <c r="H5440" s="1">
        <v>-5.4922560000000004E-6</v>
      </c>
      <c r="I5440">
        <v>-55.344299999999997</v>
      </c>
      <c r="J5440">
        <v>-289.76010000000002</v>
      </c>
      <c r="K5440">
        <v>1.1210880000000001</v>
      </c>
      <c r="L5440">
        <v>-52.876530000000002</v>
      </c>
      <c r="M5440">
        <v>0.79849060000000005</v>
      </c>
      <c r="N5440">
        <v>-9.2585480000000001E-3</v>
      </c>
      <c r="O5440">
        <v>-0.60193599999999903</v>
      </c>
      <c r="P5440">
        <v>0.8758013</v>
      </c>
      <c r="Q5440">
        <v>0.39093640000000002</v>
      </c>
      <c r="R5440">
        <v>-0.28309089999999998</v>
      </c>
      <c r="S5440">
        <v>3.2584840000000002</v>
      </c>
      <c r="T5440">
        <v>-0.5540562</v>
      </c>
      <c r="U5440">
        <v>-1.2746280000000001</v>
      </c>
      <c r="V5440">
        <v>-0.31192340000000002</v>
      </c>
      <c r="W5440">
        <v>0.390602</v>
      </c>
      <c r="X5440">
        <v>0.8661027</v>
      </c>
      <c r="Y5440">
        <v>-0.26095829999999998</v>
      </c>
      <c r="Z5440">
        <v>0.10668859999999999</v>
      </c>
      <c r="AA5440">
        <v>0.95943650000000003</v>
      </c>
      <c r="AB5440">
        <v>34</v>
      </c>
      <c r="AC5440">
        <v>6.4390000000000196</v>
      </c>
      <c r="AD5440">
        <v>-1.1210934922560001</v>
      </c>
      <c r="AE5440">
        <v>-2.46776999999999</v>
      </c>
      <c r="AF5440">
        <v>-1.8563887252159399</v>
      </c>
      <c r="AG5440">
        <v>-1.1210934922560001</v>
      </c>
      <c r="AH5440">
        <v>6.4565464622778101</v>
      </c>
      <c r="AI5440">
        <v>99.473992104666607</v>
      </c>
      <c r="AJ5440">
        <v>106.04102210974899</v>
      </c>
      <c r="AK5440">
        <v>6.8110220919506501</v>
      </c>
      <c r="AL5440">
        <v>67.008037421396097</v>
      </c>
      <c r="AM5440">
        <v>109.80628010235</v>
      </c>
      <c r="AN5440">
        <v>1.00000000840942</v>
      </c>
    </row>
    <row r="5441" spans="1:40" x14ac:dyDescent="0.25">
      <c r="A5441" t="str">
        <f>"20190304164518870"</f>
        <v>20190304164518870</v>
      </c>
      <c r="B5441" t="str">
        <f>"1551689118865861"</f>
        <v>1551689118865861</v>
      </c>
      <c r="C5441" t="s">
        <v>40</v>
      </c>
      <c r="D5441">
        <v>5.4031599999999997</v>
      </c>
      <c r="E5441">
        <v>0.52502700000000002</v>
      </c>
      <c r="F5441" t="s">
        <v>49</v>
      </c>
      <c r="G5441">
        <v>-283.14839999999998</v>
      </c>
      <c r="H5441" s="1">
        <v>-5.5589609999999996E-6</v>
      </c>
      <c r="I5441">
        <v>-55.421419999999998</v>
      </c>
      <c r="J5441">
        <v>-289.59500000000003</v>
      </c>
      <c r="K5441">
        <v>1.1211089999999999</v>
      </c>
      <c r="L5441">
        <v>-52.993839999999999</v>
      </c>
      <c r="M5441">
        <v>0.80296859999999903</v>
      </c>
      <c r="N5441">
        <v>-9.2614120000000001E-3</v>
      </c>
      <c r="O5441">
        <v>-0.59594979999999997</v>
      </c>
      <c r="P5441">
        <v>0.87725059999999999</v>
      </c>
      <c r="Q5441">
        <v>0.3913566</v>
      </c>
      <c r="R5441">
        <v>-0.27797769999999999</v>
      </c>
      <c r="S5441">
        <v>3.266235</v>
      </c>
      <c r="T5441">
        <v>-0.55383009999999999</v>
      </c>
      <c r="U5441">
        <v>-1.2572019999999999</v>
      </c>
      <c r="V5441">
        <v>-0.31041580000000002</v>
      </c>
      <c r="W5441">
        <v>0.3910537</v>
      </c>
      <c r="X5441">
        <v>0.86644049999999995</v>
      </c>
      <c r="Y5441">
        <v>-0.25905990000000001</v>
      </c>
      <c r="Z5441">
        <v>0.105698</v>
      </c>
      <c r="AA5441">
        <v>0.96006040000000004</v>
      </c>
      <c r="AB5441">
        <v>34</v>
      </c>
      <c r="AC5441">
        <v>6.4466000000000401</v>
      </c>
      <c r="AD5441">
        <v>-1.1211145589610001</v>
      </c>
      <c r="AE5441">
        <v>-2.4275799999999901</v>
      </c>
      <c r="AF5441">
        <v>-1.84382122586882</v>
      </c>
      <c r="AG5441">
        <v>-1.1211145589610001</v>
      </c>
      <c r="AH5441">
        <v>6.4525024055980698</v>
      </c>
      <c r="AI5441">
        <v>99.484355614743805</v>
      </c>
      <c r="AJ5441">
        <v>105.947440938873</v>
      </c>
      <c r="AK5441">
        <v>6.8037755593146603</v>
      </c>
      <c r="AL5441">
        <v>66.979921689296702</v>
      </c>
      <c r="AM5441">
        <v>109.71085371347399</v>
      </c>
      <c r="AN5441">
        <v>1.00000005260678</v>
      </c>
    </row>
    <row r="5442" spans="1:40" x14ac:dyDescent="0.25">
      <c r="A5442" t="str">
        <f>"20190304164518884"</f>
        <v>20190304164518884</v>
      </c>
      <c r="B5442" t="str">
        <f>"1551689118875315"</f>
        <v>1551689118875315</v>
      </c>
      <c r="C5442" t="s">
        <v>40</v>
      </c>
      <c r="D5442">
        <v>5.3616849999999996</v>
      </c>
      <c r="E5442">
        <v>0.52523529999999996</v>
      </c>
      <c r="F5442" t="s">
        <v>49</v>
      </c>
      <c r="G5442">
        <v>-282.98439999999999</v>
      </c>
      <c r="H5442" s="1">
        <v>-5.6215399999999997E-6</v>
      </c>
      <c r="I5442">
        <v>-55.499079999999999</v>
      </c>
      <c r="J5442">
        <v>-289.4359</v>
      </c>
      <c r="K5442">
        <v>1.121122</v>
      </c>
      <c r="L5442">
        <v>-53.104799999999997</v>
      </c>
      <c r="M5442">
        <v>0.80721270000000001</v>
      </c>
      <c r="N5442">
        <v>-9.2643970000000006E-3</v>
      </c>
      <c r="O5442">
        <v>-0.59018789999999999</v>
      </c>
      <c r="P5442">
        <v>0.87853150000000002</v>
      </c>
      <c r="Q5442">
        <v>0.39190209999999998</v>
      </c>
      <c r="R5442">
        <v>-0.27312110000000001</v>
      </c>
      <c r="S5442">
        <v>3.274292</v>
      </c>
      <c r="T5442">
        <v>-0.55530000000000002</v>
      </c>
      <c r="U5442">
        <v>-1.240875</v>
      </c>
      <c r="V5442">
        <v>-0.30889309999999998</v>
      </c>
      <c r="W5442">
        <v>0.39163110000000001</v>
      </c>
      <c r="X5442">
        <v>0.86672380000000004</v>
      </c>
      <c r="Y5442">
        <v>-0.257162</v>
      </c>
      <c r="Z5442">
        <v>0.1050407</v>
      </c>
      <c r="AA5442">
        <v>0.96064260000000001</v>
      </c>
      <c r="AB5442">
        <v>34</v>
      </c>
      <c r="AC5442">
        <v>6.4515000000000002</v>
      </c>
      <c r="AD5442">
        <v>-1.1211276215399999</v>
      </c>
      <c r="AE5442">
        <v>-2.3942800000000002</v>
      </c>
      <c r="AF5442">
        <v>-1.8265037138864999</v>
      </c>
      <c r="AG5442">
        <v>-1.1211276215399999</v>
      </c>
      <c r="AH5442">
        <v>6.4498928925300003</v>
      </c>
      <c r="AI5442">
        <v>99.494532637508399</v>
      </c>
      <c r="AJ5442">
        <v>105.811250638755</v>
      </c>
      <c r="AK5442">
        <v>6.7966286705785297</v>
      </c>
      <c r="AL5442">
        <v>66.943970794066502</v>
      </c>
      <c r="AM5442">
        <v>109.615641394619</v>
      </c>
      <c r="AN5442">
        <v>1.00000000560063</v>
      </c>
    </row>
    <row r="5443" spans="1:40" x14ac:dyDescent="0.25">
      <c r="A5443" t="str">
        <f>"20190304164518897"</f>
        <v>20190304164518897</v>
      </c>
      <c r="B5443" t="str">
        <f>"1551689118886036"</f>
        <v>1551689118886036</v>
      </c>
      <c r="C5443" t="s">
        <v>40</v>
      </c>
      <c r="D5443">
        <v>5.4025059999999998</v>
      </c>
      <c r="E5443">
        <v>0.52546899999999996</v>
      </c>
      <c r="F5443" t="s">
        <v>49</v>
      </c>
      <c r="G5443">
        <v>-282.80349999999999</v>
      </c>
      <c r="H5443" s="1">
        <v>-5.6916669999999998E-6</v>
      </c>
      <c r="I5443">
        <v>-55.578659999999999</v>
      </c>
      <c r="J5443">
        <v>-289.26639999999998</v>
      </c>
      <c r="K5443">
        <v>1.121138</v>
      </c>
      <c r="L5443">
        <v>-53.221710000000002</v>
      </c>
      <c r="M5443">
        <v>0.81167140000000004</v>
      </c>
      <c r="N5443">
        <v>-9.2675569999999992E-3</v>
      </c>
      <c r="O5443">
        <v>-0.58404089999999997</v>
      </c>
      <c r="P5443">
        <v>0.88006989999999996</v>
      </c>
      <c r="Q5443">
        <v>0.39228020000000002</v>
      </c>
      <c r="R5443">
        <v>-0.26757019999999998</v>
      </c>
      <c r="S5443">
        <v>3.2817080000000001</v>
      </c>
      <c r="T5443">
        <v>-0.55473219999999901</v>
      </c>
      <c r="U5443">
        <v>-1.2240599999999999</v>
      </c>
      <c r="V5443">
        <v>-0.3077104</v>
      </c>
      <c r="W5443">
        <v>0.39203120000000002</v>
      </c>
      <c r="X5443">
        <v>0.86696359999999995</v>
      </c>
      <c r="Y5443">
        <v>-0.2549691</v>
      </c>
      <c r="Z5443">
        <v>0.103933</v>
      </c>
      <c r="AA5443">
        <v>0.96134730000000002</v>
      </c>
      <c r="AB5443">
        <v>34</v>
      </c>
      <c r="AC5443">
        <v>6.4628999999999897</v>
      </c>
      <c r="AD5443">
        <v>-1.1211436916669999</v>
      </c>
      <c r="AE5443">
        <v>-2.3569499999999999</v>
      </c>
      <c r="AF5443">
        <v>-1.8134426704992599</v>
      </c>
      <c r="AG5443">
        <v>-1.1211436916669999</v>
      </c>
      <c r="AH5443">
        <v>6.4512412290054</v>
      </c>
      <c r="AI5443">
        <v>99.497794592204201</v>
      </c>
      <c r="AJ5443">
        <v>105.700662947119</v>
      </c>
      <c r="AK5443">
        <v>6.7944132117035103</v>
      </c>
      <c r="AL5443">
        <v>66.919054663563799</v>
      </c>
      <c r="AM5443">
        <v>109.541242283382</v>
      </c>
      <c r="AN5443">
        <v>1.00000001788328</v>
      </c>
    </row>
    <row r="5444" spans="1:40" x14ac:dyDescent="0.25">
      <c r="A5444" t="str">
        <f>"20190304164518911"</f>
        <v>20190304164518911</v>
      </c>
      <c r="B5444" t="str">
        <f>"1551689118905559"</f>
        <v>1551689118905559</v>
      </c>
      <c r="C5444" t="s">
        <v>40</v>
      </c>
      <c r="D5444">
        <v>5.3957360000000003</v>
      </c>
      <c r="E5444">
        <v>0.53379189999999999</v>
      </c>
      <c r="F5444" t="s">
        <v>49</v>
      </c>
      <c r="G5444">
        <v>-282.62</v>
      </c>
      <c r="H5444" s="1">
        <v>-5.763472E-6</v>
      </c>
      <c r="I5444">
        <v>-55.65551</v>
      </c>
      <c r="J5444">
        <v>-289.08199999999999</v>
      </c>
      <c r="K5444">
        <v>1.121157</v>
      </c>
      <c r="L5444">
        <v>-53.346620000000001</v>
      </c>
      <c r="M5444">
        <v>0.8164361</v>
      </c>
      <c r="N5444">
        <v>-9.2710759999999996E-3</v>
      </c>
      <c r="O5444">
        <v>-0.57736129999999997</v>
      </c>
      <c r="P5444">
        <v>0.88126979999999999</v>
      </c>
      <c r="Q5444">
        <v>0.39269340000000003</v>
      </c>
      <c r="R5444">
        <v>-0.26297389999999998</v>
      </c>
      <c r="S5444">
        <v>3.289917</v>
      </c>
      <c r="T5444">
        <v>-0.55495699999999903</v>
      </c>
      <c r="U5444">
        <v>-1.204712</v>
      </c>
      <c r="V5444">
        <v>-0.30503760000000002</v>
      </c>
      <c r="W5444">
        <v>0.3925111</v>
      </c>
      <c r="X5444">
        <v>0.86769069999999904</v>
      </c>
      <c r="Y5444">
        <v>-0.25288850000000002</v>
      </c>
      <c r="Z5444">
        <v>0.1029143</v>
      </c>
      <c r="AA5444">
        <v>0.96200629999999998</v>
      </c>
      <c r="AB5444">
        <v>34</v>
      </c>
      <c r="AC5444">
        <v>6.4619999999999802</v>
      </c>
      <c r="AD5444">
        <v>-1.1211627634720001</v>
      </c>
      <c r="AE5444">
        <v>-2.3088899999999999</v>
      </c>
      <c r="AF5444">
        <v>-1.79793191855282</v>
      </c>
      <c r="AG5444">
        <v>-1.1211627634720001</v>
      </c>
      <c r="AH5444">
        <v>6.4373165685277902</v>
      </c>
      <c r="AI5444">
        <v>99.522497015265799</v>
      </c>
      <c r="AJ5444">
        <v>105.604960939224</v>
      </c>
      <c r="AK5444">
        <v>6.7770649789853401</v>
      </c>
      <c r="AL5444">
        <v>66.889162752898002</v>
      </c>
      <c r="AM5444">
        <v>109.369179532186</v>
      </c>
      <c r="AN5444">
        <v>1.0000000259517201</v>
      </c>
    </row>
    <row r="5445" spans="1:40" x14ac:dyDescent="0.25">
      <c r="A5445" t="str">
        <f>"20190304164518933"</f>
        <v>20190304164518933</v>
      </c>
      <c r="B5445" t="str">
        <f>"1551689118926052"</f>
        <v>1551689118926052</v>
      </c>
      <c r="C5445" t="s">
        <v>40</v>
      </c>
      <c r="D5445">
        <v>5.3969170000000002</v>
      </c>
      <c r="E5445">
        <v>0.53354349999999995</v>
      </c>
      <c r="F5445" t="s">
        <v>49</v>
      </c>
      <c r="G5445">
        <v>-282.93169999999998</v>
      </c>
      <c r="H5445" s="1">
        <v>-5.6124169999999997E-6</v>
      </c>
      <c r="I5445">
        <v>-55.688229999999997</v>
      </c>
      <c r="J5445">
        <v>-288.80720000000002</v>
      </c>
      <c r="K5445">
        <v>1.1211880000000001</v>
      </c>
      <c r="L5445">
        <v>-53.528750000000002</v>
      </c>
      <c r="M5445">
        <v>0.82338599999999995</v>
      </c>
      <c r="N5445">
        <v>-9.2765929999999996E-3</v>
      </c>
      <c r="O5445">
        <v>-0.56740619999999997</v>
      </c>
      <c r="P5445">
        <v>0.88327359999999899</v>
      </c>
      <c r="Q5445">
        <v>0.39349099999999998</v>
      </c>
      <c r="R5445">
        <v>-0.25493729999999998</v>
      </c>
      <c r="S5445">
        <v>3.2974239999999999</v>
      </c>
      <c r="T5445">
        <v>-0.60109950000000001</v>
      </c>
      <c r="U5445">
        <v>-1.2554320000000001</v>
      </c>
      <c r="V5445">
        <v>-0.30224699999999999</v>
      </c>
      <c r="W5445">
        <v>0.39337139999999998</v>
      </c>
      <c r="X5445">
        <v>0.86827739999999998</v>
      </c>
      <c r="Y5445">
        <v>-0.22783490000000001</v>
      </c>
      <c r="Z5445">
        <v>0.1075295</v>
      </c>
      <c r="AA5445">
        <v>0.9677441</v>
      </c>
      <c r="AB5445">
        <v>34</v>
      </c>
      <c r="AC5445">
        <v>5.8755000000000397</v>
      </c>
      <c r="AD5445">
        <v>-1.1211936124170001</v>
      </c>
      <c r="AE5445">
        <v>-2.1594799999999998</v>
      </c>
      <c r="AF5445">
        <v>-1.5074172864955799</v>
      </c>
      <c r="AG5445">
        <v>-1.1211936124170001</v>
      </c>
      <c r="AH5445">
        <v>5.8748961849355696</v>
      </c>
      <c r="AI5445">
        <v>100.473277568049</v>
      </c>
      <c r="AJ5445">
        <v>104.390853117397</v>
      </c>
      <c r="AK5445">
        <v>6.1679645893861101</v>
      </c>
      <c r="AL5445">
        <v>66.835558301499404</v>
      </c>
      <c r="AM5445">
        <v>109.192985741706</v>
      </c>
      <c r="AN5445">
        <v>0.99999997534885898</v>
      </c>
    </row>
    <row r="5446" spans="1:40" x14ac:dyDescent="0.25">
      <c r="A5446" t="str">
        <f>"20190304164518945"</f>
        <v>20190304164518945</v>
      </c>
      <c r="B5446" t="str">
        <f>"1551689118935812"</f>
        <v>1551689118935812</v>
      </c>
      <c r="C5446" t="s">
        <v>40</v>
      </c>
      <c r="D5446">
        <v>5.3771630000000004</v>
      </c>
      <c r="E5446">
        <v>0.53371239999999998</v>
      </c>
      <c r="F5446" t="s">
        <v>49</v>
      </c>
      <c r="G5446">
        <v>-282.66140000000001</v>
      </c>
      <c r="H5446" s="1">
        <v>-5.7187040000000001E-6</v>
      </c>
      <c r="I5446">
        <v>-55.798630000000003</v>
      </c>
      <c r="J5446">
        <v>-288.65910000000002</v>
      </c>
      <c r="K5446">
        <v>1.121211</v>
      </c>
      <c r="L5446">
        <v>-53.624360000000003</v>
      </c>
      <c r="M5446">
        <v>0.82704880000000003</v>
      </c>
      <c r="N5446">
        <v>-9.2799800000000002E-3</v>
      </c>
      <c r="O5446">
        <v>-0.56205369999999999</v>
      </c>
      <c r="P5446">
        <v>0.88442809999999905</v>
      </c>
      <c r="Q5446">
        <v>0.39386650000000001</v>
      </c>
      <c r="R5446">
        <v>-0.25031229999999999</v>
      </c>
      <c r="S5446">
        <v>3.3125610000000001</v>
      </c>
      <c r="T5446">
        <v>-0.60431610000000002</v>
      </c>
      <c r="U5446">
        <v>-1.2234499999999999</v>
      </c>
      <c r="V5446">
        <v>-0.30108819999999997</v>
      </c>
      <c r="W5446">
        <v>0.39377069999999997</v>
      </c>
      <c r="X5446">
        <v>0.86849900000000002</v>
      </c>
      <c r="Y5446">
        <v>-0.231126</v>
      </c>
      <c r="Z5446">
        <v>0.10750120000000001</v>
      </c>
      <c r="AA5446">
        <v>0.96696649999999995</v>
      </c>
      <c r="AB5446">
        <v>34</v>
      </c>
      <c r="AC5446">
        <v>5.9977</v>
      </c>
      <c r="AD5446">
        <v>-1.1212167187040001</v>
      </c>
      <c r="AE5446">
        <v>-2.1742699999999999</v>
      </c>
      <c r="AF5446">
        <v>-1.52574289062658</v>
      </c>
      <c r="AG5446">
        <v>-1.1212167187040001</v>
      </c>
      <c r="AH5446">
        <v>5.9974645223962098</v>
      </c>
      <c r="AI5446">
        <v>100.269314515115</v>
      </c>
      <c r="AJ5446">
        <v>104.273160233426</v>
      </c>
      <c r="AK5446">
        <v>6.2892447079120801</v>
      </c>
      <c r="AL5446">
        <v>66.810671970483</v>
      </c>
      <c r="AM5446">
        <v>109.12022967034299</v>
      </c>
      <c r="AN5446">
        <v>0.99999999067936496</v>
      </c>
    </row>
    <row r="5447" spans="1:40" x14ac:dyDescent="0.25">
      <c r="A5447" t="str">
        <f>"20190304164518957"</f>
        <v>20190304164518957</v>
      </c>
      <c r="B5447" t="str">
        <f>"1551689118945573"</f>
        <v>1551689118945573</v>
      </c>
      <c r="C5447" t="s">
        <v>40</v>
      </c>
      <c r="D5447">
        <v>5.3589070000000003</v>
      </c>
      <c r="E5447">
        <v>0.53392569999999995</v>
      </c>
      <c r="F5447" t="s">
        <v>49</v>
      </c>
      <c r="G5447">
        <v>-282.49520000000001</v>
      </c>
      <c r="H5447" s="1">
        <v>-5.7842539999999998E-6</v>
      </c>
      <c r="I5447">
        <v>-55.865119999999997</v>
      </c>
      <c r="J5447">
        <v>-288.51589999999999</v>
      </c>
      <c r="K5447">
        <v>1.121229</v>
      </c>
      <c r="L5447">
        <v>-53.71631</v>
      </c>
      <c r="M5447">
        <v>0.83055279999999998</v>
      </c>
      <c r="N5447">
        <v>-9.283075E-3</v>
      </c>
      <c r="O5447">
        <v>-0.55686279999999999</v>
      </c>
      <c r="P5447">
        <v>0.88547119999999901</v>
      </c>
      <c r="Q5447">
        <v>0.39426119999999998</v>
      </c>
      <c r="R5447">
        <v>-0.24596570000000001</v>
      </c>
      <c r="S5447">
        <v>3.3193969999999999</v>
      </c>
      <c r="T5447">
        <v>-0.60379839999999996</v>
      </c>
      <c r="U5447">
        <v>-1.206696</v>
      </c>
      <c r="V5447">
        <v>-0.29984</v>
      </c>
      <c r="W5447">
        <v>0.39419280000000001</v>
      </c>
      <c r="X5447">
        <v>0.86873940000000005</v>
      </c>
      <c r="Y5447">
        <v>-0.2300828</v>
      </c>
      <c r="Z5447">
        <v>0.10655009999999999</v>
      </c>
      <c r="AA5447">
        <v>0.96732050000000003</v>
      </c>
      <c r="AB5447">
        <v>34</v>
      </c>
      <c r="AC5447">
        <v>6.0206999999999704</v>
      </c>
      <c r="AD5447">
        <v>-1.121234784254</v>
      </c>
      <c r="AE5447">
        <v>-2.1488099999999899</v>
      </c>
      <c r="AF5447">
        <v>-1.5212721237788001</v>
      </c>
      <c r="AG5447">
        <v>-1.121234784254</v>
      </c>
      <c r="AH5447">
        <v>6.01240795531427</v>
      </c>
      <c r="AI5447">
        <v>100.24778272171901</v>
      </c>
      <c r="AJ5447">
        <v>104.199095629048</v>
      </c>
      <c r="AK5447">
        <v>6.3024190385227401</v>
      </c>
      <c r="AL5447">
        <v>66.784361077764103</v>
      </c>
      <c r="AM5447">
        <v>109.041795762161</v>
      </c>
      <c r="AN5447">
        <v>1.0000000671420901</v>
      </c>
    </row>
    <row r="5448" spans="1:40" x14ac:dyDescent="0.25">
      <c r="A5448" t="str">
        <f>"20190304164518969"</f>
        <v>20190304164518969</v>
      </c>
      <c r="B5448" t="str">
        <f>"1551689118966068"</f>
        <v>1551689118966068</v>
      </c>
      <c r="C5448" t="s">
        <v>40</v>
      </c>
      <c r="D5448">
        <v>5.3757590000000004</v>
      </c>
      <c r="E5448">
        <v>0.5343736</v>
      </c>
      <c r="F5448" t="s">
        <v>49</v>
      </c>
      <c r="G5448">
        <v>-282.34280000000001</v>
      </c>
      <c r="H5448" s="1">
        <v>-5.8441739999999996E-6</v>
      </c>
      <c r="I5448">
        <v>-55.927460000000004</v>
      </c>
      <c r="J5448">
        <v>-288.35129999999998</v>
      </c>
      <c r="K5448">
        <v>1.1212530000000001</v>
      </c>
      <c r="L5448">
        <v>-53.820070000000001</v>
      </c>
      <c r="M5448">
        <v>0.83451520000000001</v>
      </c>
      <c r="N5448">
        <v>-9.2865949999999999E-3</v>
      </c>
      <c r="O5448">
        <v>-0.55090709999999998</v>
      </c>
      <c r="P5448">
        <v>0.88644279999999998</v>
      </c>
      <c r="Q5448">
        <v>0.39511309999999999</v>
      </c>
      <c r="R5448">
        <v>-0.2410496</v>
      </c>
      <c r="S5448">
        <v>3.3260800000000001</v>
      </c>
      <c r="T5448">
        <v>-0.60412480000000002</v>
      </c>
      <c r="U5448">
        <v>-1.191376</v>
      </c>
      <c r="V5448">
        <v>-0.29827360000000003</v>
      </c>
      <c r="W5448">
        <v>0.39507829999999999</v>
      </c>
      <c r="X5448">
        <v>0.86887630000000005</v>
      </c>
      <c r="Y5448">
        <v>-0.22778680000000001</v>
      </c>
      <c r="Z5448">
        <v>0.1055276</v>
      </c>
      <c r="AA5448">
        <v>0.96797580000000005</v>
      </c>
      <c r="AB5448">
        <v>34</v>
      </c>
      <c r="AC5448">
        <v>6.0084999999999598</v>
      </c>
      <c r="AD5448">
        <v>-1.1212588441739999</v>
      </c>
      <c r="AE5448">
        <v>-2.1073900000000001</v>
      </c>
      <c r="AF5448">
        <v>-1.50487741869036</v>
      </c>
      <c r="AG5448">
        <v>-1.1212588441739999</v>
      </c>
      <c r="AH5448">
        <v>5.9896884955879601</v>
      </c>
      <c r="AI5448">
        <v>100.290283708963</v>
      </c>
      <c r="AJ5448">
        <v>104.10334414570001</v>
      </c>
      <c r="AK5448">
        <v>6.2768021886229102</v>
      </c>
      <c r="AL5448">
        <v>66.729142827825498</v>
      </c>
      <c r="AM5448">
        <v>108.946659914175</v>
      </c>
      <c r="AN5448">
        <v>1.00000001414477</v>
      </c>
    </row>
    <row r="5449" spans="1:40" x14ac:dyDescent="0.25">
      <c r="A5449" t="str">
        <f>"20190304164518981"</f>
        <v>20190304164518981</v>
      </c>
      <c r="B5449" t="str">
        <f>"1551689118975828"</f>
        <v>1551689118975828</v>
      </c>
      <c r="C5449" t="s">
        <v>40</v>
      </c>
      <c r="D5449">
        <v>5.3625939999999996</v>
      </c>
      <c r="E5449">
        <v>0.534582</v>
      </c>
      <c r="F5449" t="s">
        <v>49</v>
      </c>
      <c r="G5449">
        <v>-282.1653</v>
      </c>
      <c r="H5449" s="1">
        <v>-5.9137860000000001E-6</v>
      </c>
      <c r="I5449">
        <v>-56.000779999999999</v>
      </c>
      <c r="J5449">
        <v>-288.20150000000001</v>
      </c>
      <c r="K5449">
        <v>1.1212740000000001</v>
      </c>
      <c r="L5449">
        <v>-53.912930000000003</v>
      </c>
      <c r="M5449">
        <v>0.83806429999999998</v>
      </c>
      <c r="N5449">
        <v>-9.2900039999999993E-3</v>
      </c>
      <c r="O5449">
        <v>-0.54549239999999999</v>
      </c>
      <c r="P5449">
        <v>0.88709819999999995</v>
      </c>
      <c r="Q5449">
        <v>0.39623249999999999</v>
      </c>
      <c r="R5449">
        <v>-0.236763</v>
      </c>
      <c r="S5449">
        <v>3.334076</v>
      </c>
      <c r="T5449">
        <v>-0.60433199999999998</v>
      </c>
      <c r="U5449">
        <v>-1.175354</v>
      </c>
      <c r="V5449">
        <v>-0.29661789999999999</v>
      </c>
      <c r="W5449">
        <v>0.39623439999999999</v>
      </c>
      <c r="X5449">
        <v>0.86891659999999904</v>
      </c>
      <c r="Y5449">
        <v>-0.22644130000000001</v>
      </c>
      <c r="Z5449">
        <v>0.1046015</v>
      </c>
      <c r="AA5449">
        <v>0.96839189999999997</v>
      </c>
      <c r="AB5449">
        <v>34</v>
      </c>
      <c r="AC5449">
        <v>6.0362</v>
      </c>
      <c r="AD5449">
        <v>-1.1212799137859999</v>
      </c>
      <c r="AE5449">
        <v>-2.08785</v>
      </c>
      <c r="AF5449">
        <v>-1.49688234781361</v>
      </c>
      <c r="AG5449">
        <v>-1.1212799137859999</v>
      </c>
      <c r="AH5449">
        <v>6.0125933812456998</v>
      </c>
      <c r="AI5449">
        <v>100.257507201194</v>
      </c>
      <c r="AJ5449">
        <v>103.98003154478801</v>
      </c>
      <c r="AK5449">
        <v>6.29676143556794</v>
      </c>
      <c r="AL5449">
        <v>66.657016519453506</v>
      </c>
      <c r="AM5449">
        <v>108.84811959404701</v>
      </c>
      <c r="AN5449">
        <v>0.99999996804966396</v>
      </c>
    </row>
    <row r="5450" spans="1:40" x14ac:dyDescent="0.25">
      <c r="A5450" t="str">
        <f>"20190304164518992"</f>
        <v>20190304164518992</v>
      </c>
      <c r="B5450" t="str">
        <f>"1551689118985588"</f>
        <v>1551689118985588</v>
      </c>
      <c r="C5450" t="s">
        <v>40</v>
      </c>
      <c r="D5450">
        <v>5.3495939999999997</v>
      </c>
      <c r="E5450">
        <v>0.53476009999999996</v>
      </c>
      <c r="F5450" t="s">
        <v>49</v>
      </c>
      <c r="G5450">
        <v>-281.97329999999999</v>
      </c>
      <c r="H5450" s="1">
        <v>-5.9717750000000001E-6</v>
      </c>
      <c r="I5450">
        <v>-56.075229999999998</v>
      </c>
      <c r="J5450">
        <v>-288.04689999999999</v>
      </c>
      <c r="K5450">
        <v>1.1212930000000001</v>
      </c>
      <c r="L5450">
        <v>-54.008029999999998</v>
      </c>
      <c r="M5450">
        <v>0.84168430000000005</v>
      </c>
      <c r="N5450">
        <v>-9.2935259999999999E-3</v>
      </c>
      <c r="O5450">
        <v>-0.53988999999999998</v>
      </c>
      <c r="P5450">
        <v>0.88803719999999997</v>
      </c>
      <c r="Q5450">
        <v>0.3969278</v>
      </c>
      <c r="R5450">
        <v>-0.23203119999999999</v>
      </c>
      <c r="S5450">
        <v>3.3408809999999902</v>
      </c>
      <c r="T5450">
        <v>-0.6014678</v>
      </c>
      <c r="U5450">
        <v>-1.1598820000000001</v>
      </c>
      <c r="V5450">
        <v>-0.29531839999999998</v>
      </c>
      <c r="W5450">
        <v>0.39695750000000002</v>
      </c>
      <c r="X5450">
        <v>0.86902919999999995</v>
      </c>
      <c r="Y5450">
        <v>-0.22474849999999999</v>
      </c>
      <c r="Z5450">
        <v>0.1031063</v>
      </c>
      <c r="AA5450">
        <v>0.96894650000000004</v>
      </c>
      <c r="AB5450">
        <v>34</v>
      </c>
      <c r="AC5450">
        <v>6.0735999999999901</v>
      </c>
      <c r="AD5450">
        <v>-1.1212989717749999</v>
      </c>
      <c r="AE5450">
        <v>-2.0672000000000001</v>
      </c>
      <c r="AF5450">
        <v>-1.4935901171346799</v>
      </c>
      <c r="AG5450">
        <v>-1.1212989717749999</v>
      </c>
      <c r="AH5450">
        <v>6.0437732064858203</v>
      </c>
      <c r="AI5450">
        <v>100.21014474118</v>
      </c>
      <c r="AJ5450">
        <v>103.881305746989</v>
      </c>
      <c r="AK5450">
        <v>6.32576615071582</v>
      </c>
      <c r="AL5450">
        <v>66.611885190109902</v>
      </c>
      <c r="AM5450">
        <v>108.76907760106501</v>
      </c>
      <c r="AN5450">
        <v>0.999999982318724</v>
      </c>
    </row>
    <row r="5451" spans="1:40" x14ac:dyDescent="0.25">
      <c r="A5451" t="str">
        <f>"20190304164519006"</f>
        <v>20190304164519006</v>
      </c>
      <c r="B5451" t="str">
        <f>"1551689118995348"</f>
        <v>1551689118995348</v>
      </c>
      <c r="C5451" t="s">
        <v>40</v>
      </c>
      <c r="D5451">
        <v>5.3368149999999996</v>
      </c>
      <c r="E5451">
        <v>0.53503120000000004</v>
      </c>
      <c r="F5451" t="s">
        <v>49</v>
      </c>
      <c r="G5451">
        <v>-281.79539999999997</v>
      </c>
      <c r="H5451" s="1">
        <v>-6.0238760000000002E-6</v>
      </c>
      <c r="I5451">
        <v>-56.141530000000003</v>
      </c>
      <c r="J5451">
        <v>-287.88330000000002</v>
      </c>
      <c r="K5451">
        <v>1.1213139999999999</v>
      </c>
      <c r="L5451">
        <v>-54.106349999999999</v>
      </c>
      <c r="M5451">
        <v>0.8454469</v>
      </c>
      <c r="N5451">
        <v>-9.2973900000000009E-3</v>
      </c>
      <c r="O5451">
        <v>-0.53397839999999996</v>
      </c>
      <c r="P5451">
        <v>0.88902250000000005</v>
      </c>
      <c r="Q5451">
        <v>0.39747929999999998</v>
      </c>
      <c r="R5451">
        <v>-0.2272641</v>
      </c>
      <c r="S5451">
        <v>3.3481139999999998</v>
      </c>
      <c r="T5451">
        <v>-0.60053440000000002</v>
      </c>
      <c r="U5451">
        <v>-1.142639</v>
      </c>
      <c r="V5451">
        <v>-0.29378769999999998</v>
      </c>
      <c r="W5451">
        <v>0.39754390000000001</v>
      </c>
      <c r="X5451">
        <v>0.86927999999999905</v>
      </c>
      <c r="Y5451">
        <v>-0.22316059999999999</v>
      </c>
      <c r="Z5451">
        <v>0.1019201</v>
      </c>
      <c r="AA5451">
        <v>0.96943889999999999</v>
      </c>
      <c r="AB5451">
        <v>34</v>
      </c>
      <c r="AC5451">
        <v>6.0879000000000403</v>
      </c>
      <c r="AD5451">
        <v>-1.1213200238759999</v>
      </c>
      <c r="AE5451">
        <v>-2.03518</v>
      </c>
      <c r="AF5451">
        <v>-1.4849241498013399</v>
      </c>
      <c r="AG5451">
        <v>-1.1213200238759999</v>
      </c>
      <c r="AH5451">
        <v>6.0494100056241402</v>
      </c>
      <c r="AI5451">
        <v>100.204875168454</v>
      </c>
      <c r="AJ5451">
        <v>103.791482981267</v>
      </c>
      <c r="AK5451">
        <v>6.3291168217022102</v>
      </c>
      <c r="AL5451">
        <v>66.575275707701195</v>
      </c>
      <c r="AM5451">
        <v>108.67354133142901</v>
      </c>
      <c r="AN5451">
        <v>1.0000000417492401</v>
      </c>
    </row>
    <row r="5452" spans="1:40" x14ac:dyDescent="0.25">
      <c r="A5452" t="str">
        <f>"20190304164519024"</f>
        <v>20190304164519024</v>
      </c>
      <c r="B5452" t="str">
        <f>"1551689119015845"</f>
        <v>1551689119015845</v>
      </c>
      <c r="C5452" t="s">
        <v>40</v>
      </c>
      <c r="D5452">
        <v>5.3593599999999997</v>
      </c>
      <c r="E5452">
        <v>0.5355337</v>
      </c>
      <c r="F5452" t="s">
        <v>49</v>
      </c>
      <c r="G5452">
        <v>-281.61739999999998</v>
      </c>
      <c r="H5452" s="1">
        <v>-6.0758420000000002E-6</v>
      </c>
      <c r="I5452">
        <v>-56.209389999999999</v>
      </c>
      <c r="J5452">
        <v>-287.63589999999999</v>
      </c>
      <c r="K5452">
        <v>1.121348</v>
      </c>
      <c r="L5452">
        <v>-54.252659999999999</v>
      </c>
      <c r="M5452">
        <v>0.85103150000000005</v>
      </c>
      <c r="N5452">
        <v>-9.3030109999999999E-3</v>
      </c>
      <c r="O5452">
        <v>-0.52503230000000001</v>
      </c>
      <c r="P5452">
        <v>0.89015460000000002</v>
      </c>
      <c r="Q5452">
        <v>0.39888459999999998</v>
      </c>
      <c r="R5452">
        <v>-0.22026319999999999</v>
      </c>
      <c r="S5452">
        <v>3.3550719999999998</v>
      </c>
      <c r="T5452">
        <v>-0.60041089999999997</v>
      </c>
      <c r="U5452">
        <v>-1.1260680000000001</v>
      </c>
      <c r="V5452">
        <v>-0.29118650000000001</v>
      </c>
      <c r="W5452">
        <v>0.39900910000000001</v>
      </c>
      <c r="X5452">
        <v>0.86948380000000003</v>
      </c>
      <c r="Y5452">
        <v>-0.21797530000000001</v>
      </c>
      <c r="Z5452">
        <v>0.10014629999999999</v>
      </c>
      <c r="AA5452">
        <v>0.97080250000000001</v>
      </c>
      <c r="AB5452">
        <v>35</v>
      </c>
      <c r="AC5452">
        <v>6.0185000000000102</v>
      </c>
      <c r="AD5452">
        <v>-1.121354075842</v>
      </c>
      <c r="AE5452">
        <v>-1.9567300000000001</v>
      </c>
      <c r="AF5452">
        <v>-1.4492329183583601</v>
      </c>
      <c r="AG5452">
        <v>-1.121354075842</v>
      </c>
      <c r="AH5452">
        <v>5.9623529401289499</v>
      </c>
      <c r="AI5452">
        <v>100.356595803771</v>
      </c>
      <c r="AJ5452">
        <v>103.66160658637401</v>
      </c>
      <c r="AK5452">
        <v>6.2375767408285503</v>
      </c>
      <c r="AL5452">
        <v>66.483751841053305</v>
      </c>
      <c r="AM5452">
        <v>108.51548310438299</v>
      </c>
      <c r="AN5452">
        <v>0.99999995906374906</v>
      </c>
    </row>
    <row r="5453" spans="1:40" x14ac:dyDescent="0.25">
      <c r="A5453" t="str">
        <f>"20190304164519047"</f>
        <v>20190304164519047</v>
      </c>
      <c r="B5453" t="str">
        <f>"1551689119035364"</f>
        <v>1551689119035364</v>
      </c>
      <c r="C5453" t="s">
        <v>40</v>
      </c>
      <c r="D5453">
        <v>5.3594379999999999</v>
      </c>
      <c r="E5453">
        <v>0.53845140000000002</v>
      </c>
      <c r="F5453" t="s">
        <v>49</v>
      </c>
      <c r="G5453">
        <v>-281.32490000000001</v>
      </c>
      <c r="H5453" s="1">
        <v>-6.161609E-6</v>
      </c>
      <c r="I5453">
        <v>-56.317340000000002</v>
      </c>
      <c r="J5453">
        <v>-287.34949999999998</v>
      </c>
      <c r="K5453">
        <v>1.1213879999999901</v>
      </c>
      <c r="L5453">
        <v>-54.417659999999998</v>
      </c>
      <c r="M5453">
        <v>0.85732980000000003</v>
      </c>
      <c r="N5453">
        <v>-9.3094749999999993E-3</v>
      </c>
      <c r="O5453">
        <v>-0.51468369999999997</v>
      </c>
      <c r="P5453">
        <v>0.89130969999999998</v>
      </c>
      <c r="Q5453">
        <v>0.4005359</v>
      </c>
      <c r="R5453">
        <v>-0.21245749999999999</v>
      </c>
      <c r="S5453">
        <v>3.3657530000000002</v>
      </c>
      <c r="T5453">
        <v>-0.59803700000000004</v>
      </c>
      <c r="U5453">
        <v>-1.101135</v>
      </c>
      <c r="V5453">
        <v>-0.28795359999999998</v>
      </c>
      <c r="W5453">
        <v>0.40073730000000002</v>
      </c>
      <c r="X5453">
        <v>0.86976569999999997</v>
      </c>
      <c r="Y5453">
        <v>-0.21382599999999999</v>
      </c>
      <c r="Z5453">
        <v>9.7837519999999997E-2</v>
      </c>
      <c r="AA5453">
        <v>0.97196000000000005</v>
      </c>
      <c r="AB5453">
        <v>35</v>
      </c>
      <c r="AC5453">
        <v>6.0245999999999604</v>
      </c>
      <c r="AD5453">
        <v>-1.12139416160899</v>
      </c>
      <c r="AE5453">
        <v>-1.89968</v>
      </c>
      <c r="AF5453">
        <v>-1.4271989394007001</v>
      </c>
      <c r="AG5453">
        <v>-1.12139416160899</v>
      </c>
      <c r="AH5453">
        <v>5.9553944639761198</v>
      </c>
      <c r="AI5453">
        <v>100.376702534053</v>
      </c>
      <c r="AJ5453">
        <v>103.47666721622601</v>
      </c>
      <c r="AK5453">
        <v>6.2258449145376797</v>
      </c>
      <c r="AL5453">
        <v>66.375721649603094</v>
      </c>
      <c r="AM5453">
        <v>108.318174192409</v>
      </c>
      <c r="AN5453">
        <v>1.0000000161303699</v>
      </c>
    </row>
    <row r="5454" spans="1:40" x14ac:dyDescent="0.25">
      <c r="A5454" t="str">
        <f>"20190304164519059"</f>
        <v>20190304164519059</v>
      </c>
      <c r="B5454" t="str">
        <f>"1551689119055860"</f>
        <v>1551689119055860</v>
      </c>
      <c r="C5454" t="s">
        <v>40</v>
      </c>
      <c r="D5454">
        <v>5.4641999999999999</v>
      </c>
      <c r="E5454">
        <v>0.53856930000000003</v>
      </c>
      <c r="F5454" t="s">
        <v>49</v>
      </c>
      <c r="G5454">
        <v>-281.31110000000001</v>
      </c>
      <c r="H5454" s="1">
        <v>-6.1605980000000003E-6</v>
      </c>
      <c r="I5454">
        <v>-56.367289999999997</v>
      </c>
      <c r="J5454">
        <v>-287.17520000000002</v>
      </c>
      <c r="K5454">
        <v>1.1214059999999999</v>
      </c>
      <c r="L5454">
        <v>-54.515929999999997</v>
      </c>
      <c r="M5454">
        <v>0.8610776</v>
      </c>
      <c r="N5454">
        <v>-9.3133069999999998E-3</v>
      </c>
      <c r="O5454">
        <v>-0.50838830000000002</v>
      </c>
      <c r="P5454">
        <v>0.89201330000000001</v>
      </c>
      <c r="Q5454">
        <v>0.40143960000000001</v>
      </c>
      <c r="R5454">
        <v>-0.20774690000000001</v>
      </c>
      <c r="S5454">
        <v>3.387848</v>
      </c>
      <c r="T5454">
        <v>-0.62915889999999997</v>
      </c>
      <c r="U5454">
        <v>-1.093842</v>
      </c>
      <c r="V5454">
        <v>-0.28600550000000002</v>
      </c>
      <c r="W5454">
        <v>0.40168809999999999</v>
      </c>
      <c r="X5454">
        <v>0.86996980000000002</v>
      </c>
      <c r="Y5454">
        <v>-0.2097213</v>
      </c>
      <c r="Z5454">
        <v>0.10118249999999999</v>
      </c>
      <c r="AA5454">
        <v>0.97251169999999998</v>
      </c>
      <c r="AB5454">
        <v>35</v>
      </c>
      <c r="AC5454">
        <v>5.8640999999999996</v>
      </c>
      <c r="AD5454">
        <v>-1.1214121605980001</v>
      </c>
      <c r="AE5454">
        <v>-1.8513599999999999</v>
      </c>
      <c r="AF5454">
        <v>-1.3424900983207</v>
      </c>
      <c r="AG5454">
        <v>-1.1214121605980001</v>
      </c>
      <c r="AH5454">
        <v>5.7980957938005302</v>
      </c>
      <c r="AI5454">
        <v>100.67087573384499</v>
      </c>
      <c r="AJ5454">
        <v>103.03652923185101</v>
      </c>
      <c r="AK5454">
        <v>6.0562166186583504</v>
      </c>
      <c r="AL5454">
        <v>66.316246846261393</v>
      </c>
      <c r="AM5454">
        <v>108.198453699464</v>
      </c>
      <c r="AN5454">
        <v>0.99999996431194904</v>
      </c>
    </row>
    <row r="5455" spans="1:40" x14ac:dyDescent="0.25">
      <c r="A5455" t="str">
        <f>"20190304164519071"</f>
        <v>20190304164519071</v>
      </c>
      <c r="B5455" t="str">
        <f>"1551689119065621"</f>
        <v>1551689119065621</v>
      </c>
      <c r="C5455" t="s">
        <v>40</v>
      </c>
      <c r="D5455">
        <v>5.3790079999999998</v>
      </c>
      <c r="E5455">
        <v>0.5249104</v>
      </c>
      <c r="F5455" t="s">
        <v>49</v>
      </c>
      <c r="G5455">
        <v>-281.05439999999999</v>
      </c>
      <c r="H5455" s="1">
        <v>-6.2366529999999997E-6</v>
      </c>
      <c r="I5455">
        <v>-56.455179999999999</v>
      </c>
      <c r="J5455">
        <v>-287.01319999999998</v>
      </c>
      <c r="K5455">
        <v>1.1214249999999999</v>
      </c>
      <c r="L5455">
        <v>-54.605930000000001</v>
      </c>
      <c r="M5455">
        <v>0.86450609999999894</v>
      </c>
      <c r="N5455">
        <v>-9.3167279999999998E-3</v>
      </c>
      <c r="O5455">
        <v>-0.50253610000000004</v>
      </c>
      <c r="P5455">
        <v>0.89269120000000002</v>
      </c>
      <c r="Q5455">
        <v>0.40215719999999999</v>
      </c>
      <c r="R5455">
        <v>-0.20340179999999999</v>
      </c>
      <c r="S5455">
        <v>3.3925779999999999</v>
      </c>
      <c r="T5455">
        <v>-0.62156129999999998</v>
      </c>
      <c r="U5455">
        <v>-1.0748599999999999</v>
      </c>
      <c r="V5455">
        <v>-0.2842073</v>
      </c>
      <c r="W5455">
        <v>0.4024509</v>
      </c>
      <c r="X5455">
        <v>0.87020659999999905</v>
      </c>
      <c r="Y5455">
        <v>-0.20874100000000001</v>
      </c>
      <c r="Z5455">
        <v>9.9002179999999995E-2</v>
      </c>
      <c r="AA5455">
        <v>0.97294689999999995</v>
      </c>
      <c r="AB5455">
        <v>35</v>
      </c>
      <c r="AC5455">
        <v>5.9587999999999903</v>
      </c>
      <c r="AD5455">
        <v>-1.1214312366529999</v>
      </c>
      <c r="AE5455">
        <v>-1.8492499999999901</v>
      </c>
      <c r="AF5455">
        <v>-1.3521994466368099</v>
      </c>
      <c r="AG5455">
        <v>-1.1214312366529999</v>
      </c>
      <c r="AH5455">
        <v>5.8906880103562296</v>
      </c>
      <c r="AI5455">
        <v>100.51156400925299</v>
      </c>
      <c r="AJ5455">
        <v>102.92820061707199</v>
      </c>
      <c r="AK5455">
        <v>6.1470526756634101</v>
      </c>
      <c r="AL5455">
        <v>66.268514791734006</v>
      </c>
      <c r="AM5455">
        <v>108.08690845059</v>
      </c>
      <c r="AN5455">
        <v>1.0000000214838201</v>
      </c>
    </row>
    <row r="5456" spans="1:40" x14ac:dyDescent="0.25">
      <c r="A5456" t="str">
        <f>"20190304164519083"</f>
        <v>20190304164519083</v>
      </c>
      <c r="B5456" t="str">
        <f>"1551689119075380"</f>
        <v>1551689119075380</v>
      </c>
      <c r="C5456" t="s">
        <v>40</v>
      </c>
      <c r="D5456">
        <v>5.3128070000000003</v>
      </c>
      <c r="E5456">
        <v>0.52011149999999995</v>
      </c>
      <c r="F5456" t="s">
        <v>42</v>
      </c>
      <c r="G5456">
        <v>-279.48110000000003</v>
      </c>
      <c r="H5456" s="1">
        <v>-4.0343429999999998E-6</v>
      </c>
      <c r="I5456">
        <v>-56.707819999999998</v>
      </c>
      <c r="J5456">
        <v>-286.85359999999997</v>
      </c>
      <c r="K5456">
        <v>1.1214329999999999</v>
      </c>
      <c r="L5456">
        <v>-54.692779999999999</v>
      </c>
      <c r="M5456">
        <v>0.86782199999999998</v>
      </c>
      <c r="N5456">
        <v>-9.3196890000000008E-3</v>
      </c>
      <c r="O5456">
        <v>-0.4967879</v>
      </c>
      <c r="P5456">
        <v>0.89332630000000002</v>
      </c>
      <c r="Q5456">
        <v>0.40283790000000003</v>
      </c>
      <c r="R5456">
        <v>-0.1992236</v>
      </c>
      <c r="S5456">
        <v>3.3724059999999998</v>
      </c>
      <c r="T5456">
        <v>-0.50210639999999995</v>
      </c>
      <c r="U5456">
        <v>-0.94110110000000002</v>
      </c>
      <c r="V5456">
        <v>-0.28237630000000002</v>
      </c>
      <c r="W5456">
        <v>0.4031788</v>
      </c>
      <c r="X5456">
        <v>0.87046559999999995</v>
      </c>
      <c r="Y5456">
        <v>-0.23879420000000001</v>
      </c>
      <c r="Z5456">
        <v>8.2192970000000004E-2</v>
      </c>
      <c r="AA5456">
        <v>0.96758540000000004</v>
      </c>
      <c r="AB5456">
        <v>35</v>
      </c>
      <c r="AC5456">
        <v>7.3724999999999401</v>
      </c>
      <c r="AD5456">
        <v>-1.12143703434299</v>
      </c>
      <c r="AE5456">
        <v>-2.0150399999999902</v>
      </c>
      <c r="AF5456">
        <v>-1.87361792153601</v>
      </c>
      <c r="AG5456">
        <v>-1.12143703434299</v>
      </c>
      <c r="AH5456">
        <v>7.2434393217630797</v>
      </c>
      <c r="AI5456">
        <v>98.524487537465902</v>
      </c>
      <c r="AJ5456">
        <v>104.502499588844</v>
      </c>
      <c r="AK5456">
        <v>7.56541329644062</v>
      </c>
      <c r="AL5456">
        <v>66.222946867755894</v>
      </c>
      <c r="AM5456">
        <v>107.972899662008</v>
      </c>
      <c r="AN5456">
        <v>0.99999994017724303</v>
      </c>
    </row>
    <row r="5457" spans="1:40" x14ac:dyDescent="0.25">
      <c r="A5457" t="str">
        <f>"20190304164519095"</f>
        <v>20190304164519095</v>
      </c>
      <c r="B5457" t="str">
        <f>"1551689119086117"</f>
        <v>1551689119086117</v>
      </c>
      <c r="C5457" t="s">
        <v>40</v>
      </c>
      <c r="D5457">
        <v>5.3300669999999997</v>
      </c>
      <c r="E5457">
        <v>0.5177484</v>
      </c>
      <c r="F5457" t="s">
        <v>42</v>
      </c>
      <c r="G5457">
        <v>-278.8777</v>
      </c>
      <c r="H5457" s="1">
        <v>-3.7585909999999999E-6</v>
      </c>
      <c r="I5457">
        <v>-56.784219999999998</v>
      </c>
      <c r="J5457">
        <v>-286.68610000000001</v>
      </c>
      <c r="K5457">
        <v>1.1214470000000001</v>
      </c>
      <c r="L5457">
        <v>-54.783079999999998</v>
      </c>
      <c r="M5457">
        <v>0.87125109999999995</v>
      </c>
      <c r="N5457">
        <v>-9.3223409999999996E-3</v>
      </c>
      <c r="O5457">
        <v>-0.4907492</v>
      </c>
      <c r="P5457">
        <v>0.89404119999999998</v>
      </c>
      <c r="Q5457">
        <v>0.40353220000000001</v>
      </c>
      <c r="R5457">
        <v>-0.19455710000000001</v>
      </c>
      <c r="S5457">
        <v>3.3748469999999999</v>
      </c>
      <c r="T5457">
        <v>-0.47451209999999999</v>
      </c>
      <c r="U5457">
        <v>-0.88494869999999903</v>
      </c>
      <c r="V5457">
        <v>-0.28074829999999901</v>
      </c>
      <c r="W5457">
        <v>0.40391480000000002</v>
      </c>
      <c r="X5457">
        <v>0.87065099999999995</v>
      </c>
      <c r="Y5457">
        <v>-0.24786759999999999</v>
      </c>
      <c r="Z5457">
        <v>7.7708529999999998E-2</v>
      </c>
      <c r="AA5457">
        <v>0.96567230000000004</v>
      </c>
      <c r="AB5457">
        <v>35</v>
      </c>
      <c r="AC5457">
        <v>7.8083999999999998</v>
      </c>
      <c r="AD5457">
        <v>-1.1214507585910001</v>
      </c>
      <c r="AE5457">
        <v>-2.0011399999999901</v>
      </c>
      <c r="AF5457">
        <v>-2.0489031889121998</v>
      </c>
      <c r="AG5457">
        <v>-1.1214507585910001</v>
      </c>
      <c r="AH5457">
        <v>7.6376404844203103</v>
      </c>
      <c r="AI5457">
        <v>98.071732092816603</v>
      </c>
      <c r="AJ5457">
        <v>105.01682197608</v>
      </c>
      <c r="AK5457">
        <v>7.9868146498297499</v>
      </c>
      <c r="AL5457">
        <v>66.176858422303496</v>
      </c>
      <c r="AM5457">
        <v>107.872326843903</v>
      </c>
      <c r="AN5457">
        <v>0.99999996870646402</v>
      </c>
    </row>
    <row r="5458" spans="1:40" x14ac:dyDescent="0.25">
      <c r="A5458" t="str">
        <f>"20190304164519112"</f>
        <v>20190304164519112</v>
      </c>
      <c r="B5458" t="str">
        <f>"1551689119105836"</f>
        <v>1551689119105836</v>
      </c>
      <c r="C5458" t="s">
        <v>40</v>
      </c>
      <c r="D5458">
        <v>5.3204459999999996</v>
      </c>
      <c r="E5458">
        <v>0.51537659999999996</v>
      </c>
      <c r="F5458" t="s">
        <v>42</v>
      </c>
      <c r="G5458">
        <v>-278.4015</v>
      </c>
      <c r="H5458" s="1">
        <v>-3.5369719999999998E-6</v>
      </c>
      <c r="I5458">
        <v>-56.862630000000003</v>
      </c>
      <c r="J5458">
        <v>-286.44490000000002</v>
      </c>
      <c r="K5458">
        <v>1.1214550000000001</v>
      </c>
      <c r="L5458">
        <v>-54.910159999999998</v>
      </c>
      <c r="M5458">
        <v>0.87607259999999998</v>
      </c>
      <c r="N5458">
        <v>-9.3240790000000007E-3</v>
      </c>
      <c r="O5458">
        <v>-0.4820893</v>
      </c>
      <c r="P5458">
        <v>0.89495999999999998</v>
      </c>
      <c r="Q5458">
        <v>0.40426889999999999</v>
      </c>
      <c r="R5458">
        <v>-0.18871579999999999</v>
      </c>
      <c r="S5458">
        <v>3.3774109999999999</v>
      </c>
      <c r="T5458">
        <v>-0.4571867</v>
      </c>
      <c r="U5458">
        <v>-0.84777829999999998</v>
      </c>
      <c r="V5458">
        <v>-0.27765919999999999</v>
      </c>
      <c r="W5458">
        <v>0.40474090000000001</v>
      </c>
      <c r="X5458">
        <v>0.87125779999999997</v>
      </c>
      <c r="Y5458">
        <v>-0.2488862</v>
      </c>
      <c r="Z5458">
        <v>7.4021970000000006E-2</v>
      </c>
      <c r="AA5458">
        <v>0.9657</v>
      </c>
      <c r="AB5458">
        <v>35</v>
      </c>
      <c r="AC5458">
        <v>8.0434000000000196</v>
      </c>
      <c r="AD5458">
        <v>-1.12145853697199</v>
      </c>
      <c r="AE5458">
        <v>-1.9524699999999999</v>
      </c>
      <c r="AF5458">
        <v>-2.1281571162118098</v>
      </c>
      <c r="AG5458">
        <v>-1.12145853697199</v>
      </c>
      <c r="AH5458">
        <v>7.8442105105209103</v>
      </c>
      <c r="AI5458">
        <v>97.855986463457498</v>
      </c>
      <c r="AJ5458">
        <v>105.179131071996</v>
      </c>
      <c r="AK5458">
        <v>8.2047766876860795</v>
      </c>
      <c r="AL5458">
        <v>66.125108143169598</v>
      </c>
      <c r="AM5458">
        <v>107.67644393211999</v>
      </c>
      <c r="AN5458">
        <v>0.99999999076914503</v>
      </c>
    </row>
    <row r="5459" spans="1:40" x14ac:dyDescent="0.25">
      <c r="A5459" t="str">
        <f>"20190304164519125"</f>
        <v>20190304164519125</v>
      </c>
      <c r="B5459" t="str">
        <f>"1551689119115597"</f>
        <v>1551689119115597</v>
      </c>
      <c r="C5459" t="s">
        <v>40</v>
      </c>
      <c r="D5459">
        <v>5.3338660000000004</v>
      </c>
      <c r="E5459">
        <v>0.51502530000000002</v>
      </c>
      <c r="F5459" t="s">
        <v>42</v>
      </c>
      <c r="G5459">
        <v>-277.88850000000002</v>
      </c>
      <c r="H5459" s="1">
        <v>-3.2981269999999999E-6</v>
      </c>
      <c r="I5459">
        <v>-56.94746</v>
      </c>
      <c r="J5459">
        <v>-286.28809999999999</v>
      </c>
      <c r="K5459">
        <v>1.1214519999999999</v>
      </c>
      <c r="L5459">
        <v>-54.990630000000003</v>
      </c>
      <c r="M5459">
        <v>0.87912710000000005</v>
      </c>
      <c r="N5459">
        <v>-9.323586E-3</v>
      </c>
      <c r="O5459">
        <v>-0.47649629999999998</v>
      </c>
      <c r="P5459">
        <v>0.89595780000000003</v>
      </c>
      <c r="Q5459">
        <v>0.40386509999999998</v>
      </c>
      <c r="R5459">
        <v>-0.18480530000000001</v>
      </c>
      <c r="S5459">
        <v>3.3825379999999998</v>
      </c>
      <c r="T5459">
        <v>-0.44333620000000001</v>
      </c>
      <c r="U5459">
        <v>-0.80538940000000003</v>
      </c>
      <c r="V5459">
        <v>-0.27597870000000002</v>
      </c>
      <c r="W5459">
        <v>0.40439079999999999</v>
      </c>
      <c r="X5459">
        <v>0.87195409999999995</v>
      </c>
      <c r="Y5459">
        <v>-0.25478919999999999</v>
      </c>
      <c r="Z5459">
        <v>7.1573360000000003E-2</v>
      </c>
      <c r="AA5459">
        <v>0.96434419999999998</v>
      </c>
      <c r="AB5459">
        <v>35</v>
      </c>
      <c r="AC5459">
        <v>8.3995999999999604</v>
      </c>
      <c r="AD5459">
        <v>-1.1214552981270001</v>
      </c>
      <c r="AE5459">
        <v>-1.9568299999999901</v>
      </c>
      <c r="AF5459">
        <v>-2.2442295747843102</v>
      </c>
      <c r="AG5459">
        <v>-1.1214552981270001</v>
      </c>
      <c r="AH5459">
        <v>8.1788115815229006</v>
      </c>
      <c r="AI5459">
        <v>97.532494375466499</v>
      </c>
      <c r="AJ5459">
        <v>105.344049250113</v>
      </c>
      <c r="AK5459">
        <v>8.5549510376206594</v>
      </c>
      <c r="AL5459">
        <v>66.147044281282803</v>
      </c>
      <c r="AM5459">
        <v>107.56289158669099</v>
      </c>
      <c r="AN5459">
        <v>1.00000005724256</v>
      </c>
    </row>
    <row r="5460" spans="1:40" x14ac:dyDescent="0.25">
      <c r="A5460" t="str">
        <f>"20190304164519137"</f>
        <v>20190304164519137</v>
      </c>
      <c r="B5460" t="str">
        <f>"1551689119125357"</f>
        <v>1551689119125357</v>
      </c>
      <c r="C5460" t="s">
        <v>40</v>
      </c>
      <c r="D5460">
        <v>5.2761670000000001</v>
      </c>
      <c r="E5460">
        <v>0.51482950000000005</v>
      </c>
      <c r="F5460" t="s">
        <v>42</v>
      </c>
      <c r="G5460">
        <v>-277.68470000000002</v>
      </c>
      <c r="H5460" s="1">
        <v>-3.2013050000000001E-6</v>
      </c>
      <c r="I5460">
        <v>-56.990070000000003</v>
      </c>
      <c r="J5460">
        <v>-286.12380000000002</v>
      </c>
      <c r="K5460">
        <v>1.121442</v>
      </c>
      <c r="L5460">
        <v>-55.074399999999997</v>
      </c>
      <c r="M5460">
        <v>0.88228019999999996</v>
      </c>
      <c r="N5460">
        <v>-9.3224599999999994E-3</v>
      </c>
      <c r="O5460">
        <v>-0.4706321</v>
      </c>
      <c r="P5460">
        <v>0.89709150000000004</v>
      </c>
      <c r="Q5460">
        <v>0.40331990000000001</v>
      </c>
      <c r="R5460">
        <v>-0.1804441</v>
      </c>
      <c r="S5460">
        <v>3.38504</v>
      </c>
      <c r="T5460">
        <v>-0.4412394</v>
      </c>
      <c r="U5460">
        <v>-0.78668209999999905</v>
      </c>
      <c r="V5460">
        <v>-0.27450429999999998</v>
      </c>
      <c r="W5460">
        <v>0.40389570000000002</v>
      </c>
      <c r="X5460">
        <v>0.87264869999999894</v>
      </c>
      <c r="Y5460">
        <v>-0.25365569999999998</v>
      </c>
      <c r="Z5460">
        <v>7.0560319999999996E-2</v>
      </c>
      <c r="AA5460">
        <v>0.96471759999999995</v>
      </c>
      <c r="AB5460">
        <v>35</v>
      </c>
      <c r="AC5460">
        <v>8.4390999999999892</v>
      </c>
      <c r="AD5460">
        <v>-1.121445201305</v>
      </c>
      <c r="AE5460">
        <v>-1.91566999999999</v>
      </c>
      <c r="AF5460">
        <v>-2.2439687644674899</v>
      </c>
      <c r="AG5460">
        <v>-1.121445201305</v>
      </c>
      <c r="AH5460">
        <v>8.2097196687347296</v>
      </c>
      <c r="AI5460">
        <v>97.506405708335294</v>
      </c>
      <c r="AJ5460">
        <v>105.287296245707</v>
      </c>
      <c r="AK5460">
        <v>8.5844354616157297</v>
      </c>
      <c r="AL5460">
        <v>66.178056759694499</v>
      </c>
      <c r="AM5460">
        <v>107.461724459059</v>
      </c>
      <c r="AN5460">
        <v>1.00000005040433</v>
      </c>
    </row>
    <row r="5461" spans="1:40" x14ac:dyDescent="0.25">
      <c r="A5461" t="str">
        <f>"20190304164519148"</f>
        <v>20190304164519148</v>
      </c>
      <c r="B5461" t="str">
        <f>"1551689119136093"</f>
        <v>1551689119136093</v>
      </c>
      <c r="C5461" t="s">
        <v>40</v>
      </c>
      <c r="D5461">
        <v>5.2872620000000001</v>
      </c>
      <c r="E5461">
        <v>0.51479090000000005</v>
      </c>
      <c r="F5461" t="s">
        <v>42</v>
      </c>
      <c r="G5461">
        <v>-277.53949999999998</v>
      </c>
      <c r="H5461" s="1">
        <v>-3.1320440000000002E-6</v>
      </c>
      <c r="I5461">
        <v>-57.021459999999998</v>
      </c>
      <c r="J5461">
        <v>-285.96010000000001</v>
      </c>
      <c r="K5461">
        <v>1.1214219999999999</v>
      </c>
      <c r="L5461">
        <v>-55.156129999999997</v>
      </c>
      <c r="M5461">
        <v>0.88534939999999995</v>
      </c>
      <c r="N5461">
        <v>-9.3197190000000006E-3</v>
      </c>
      <c r="O5461">
        <v>-0.4648332</v>
      </c>
      <c r="P5461">
        <v>0.89821960000000001</v>
      </c>
      <c r="Q5461">
        <v>0.4027464</v>
      </c>
      <c r="R5461">
        <v>-0.1760591</v>
      </c>
      <c r="S5461">
        <v>3.388611</v>
      </c>
      <c r="T5461">
        <v>-0.44268180000000001</v>
      </c>
      <c r="U5461">
        <v>-0.76858519999999997</v>
      </c>
      <c r="V5461">
        <v>-0.27312540000000002</v>
      </c>
      <c r="W5461">
        <v>0.4033735</v>
      </c>
      <c r="X5461">
        <v>0.87332259999999995</v>
      </c>
      <c r="Y5461">
        <v>-0.25244220000000001</v>
      </c>
      <c r="Z5461">
        <v>7.0109459999999998E-2</v>
      </c>
      <c r="AA5461">
        <v>0.9650687</v>
      </c>
      <c r="AB5461">
        <v>35</v>
      </c>
      <c r="AC5461">
        <v>8.4206000000000305</v>
      </c>
      <c r="AD5461">
        <v>-1.1214251320440001</v>
      </c>
      <c r="AE5461">
        <v>-1.8653299999999899</v>
      </c>
      <c r="AF5461">
        <v>-2.2251838425386699</v>
      </c>
      <c r="AG5461">
        <v>-1.1214251320440001</v>
      </c>
      <c r="AH5461">
        <v>8.1842351206337192</v>
      </c>
      <c r="AI5461">
        <v>97.532106606451194</v>
      </c>
      <c r="AJ5461">
        <v>105.21027666464801</v>
      </c>
      <c r="AK5461">
        <v>8.5551587927804995</v>
      </c>
      <c r="AL5461">
        <v>66.210757988324204</v>
      </c>
      <c r="AM5461">
        <v>107.366700180601</v>
      </c>
      <c r="AN5461">
        <v>1.0000000141490799</v>
      </c>
    </row>
    <row r="5462" spans="1:40" x14ac:dyDescent="0.25">
      <c r="A5462" t="str">
        <f>"20190304164519160"</f>
        <v>20190304164519160</v>
      </c>
      <c r="B5462" t="str">
        <f>"1551689119155615"</f>
        <v>1551689119155615</v>
      </c>
      <c r="C5462" t="s">
        <v>40</v>
      </c>
      <c r="D5462">
        <v>5.2646810000000004</v>
      </c>
      <c r="E5462">
        <v>0.51496299999999995</v>
      </c>
      <c r="F5462" t="s">
        <v>42</v>
      </c>
      <c r="G5462">
        <v>-277.3972</v>
      </c>
      <c r="H5462" s="1">
        <v>-3.0634440000000001E-6</v>
      </c>
      <c r="I5462">
        <v>-57.055700000000002</v>
      </c>
      <c r="J5462">
        <v>-285.79629999999997</v>
      </c>
      <c r="K5462">
        <v>1.1213979999999999</v>
      </c>
      <c r="L5462">
        <v>-55.236719999999998</v>
      </c>
      <c r="M5462">
        <v>0.88835839999999999</v>
      </c>
      <c r="N5462">
        <v>-9.3156839999999994E-3</v>
      </c>
      <c r="O5462">
        <v>-0.45905669999999998</v>
      </c>
      <c r="P5462">
        <v>0.8993061</v>
      </c>
      <c r="Q5462">
        <v>0.40241710000000003</v>
      </c>
      <c r="R5462">
        <v>-0.17119909999999999</v>
      </c>
      <c r="S5462">
        <v>3.3916019999999998</v>
      </c>
      <c r="T5462">
        <v>-0.44417200000000001</v>
      </c>
      <c r="U5462">
        <v>-0.75238039999999995</v>
      </c>
      <c r="V5462">
        <v>-0.2721943</v>
      </c>
      <c r="W5462">
        <v>0.40308329999999998</v>
      </c>
      <c r="X5462">
        <v>0.87374719999999995</v>
      </c>
      <c r="Y5462">
        <v>-0.25073079999999998</v>
      </c>
      <c r="Z5462">
        <v>6.9632169999999993E-2</v>
      </c>
      <c r="AA5462">
        <v>0.96554930000000005</v>
      </c>
      <c r="AB5462">
        <v>35</v>
      </c>
      <c r="AC5462">
        <v>8.3990999999999705</v>
      </c>
      <c r="AD5462">
        <v>-1.1214010634439999</v>
      </c>
      <c r="AE5462">
        <v>-1.81898</v>
      </c>
      <c r="AF5462">
        <v>-2.2023530891596601</v>
      </c>
      <c r="AG5462">
        <v>-1.1214010634439999</v>
      </c>
      <c r="AH5462">
        <v>8.1578759164416503</v>
      </c>
      <c r="AI5462">
        <v>97.559623250402595</v>
      </c>
      <c r="AJ5462">
        <v>105.107785334238</v>
      </c>
      <c r="AK5462">
        <v>8.5240154236417904</v>
      </c>
      <c r="AL5462">
        <v>66.228928170830002</v>
      </c>
      <c r="AM5462">
        <v>107.30312935095699</v>
      </c>
      <c r="AN5462">
        <v>1.0000000265996001</v>
      </c>
    </row>
    <row r="5463" spans="1:40" x14ac:dyDescent="0.25">
      <c r="A5463" t="str">
        <f>"20190304164519173"</f>
        <v>20190304164519173</v>
      </c>
      <c r="B5463" t="str">
        <f>"1551689119165373"</f>
        <v>1551689119165373</v>
      </c>
      <c r="C5463" t="s">
        <v>40</v>
      </c>
      <c r="D5463">
        <v>5.2590379999999897</v>
      </c>
      <c r="E5463">
        <v>0.51505670000000003</v>
      </c>
      <c r="F5463" t="s">
        <v>42</v>
      </c>
      <c r="G5463">
        <v>-277.2715</v>
      </c>
      <c r="H5463" s="1">
        <v>-3.002284E-6</v>
      </c>
      <c r="I5463">
        <v>-57.088500000000003</v>
      </c>
      <c r="J5463">
        <v>-285.61579999999998</v>
      </c>
      <c r="K5463">
        <v>1.1213679999999999</v>
      </c>
      <c r="L5463">
        <v>-55.324460000000002</v>
      </c>
      <c r="M5463">
        <v>0.89160879999999998</v>
      </c>
      <c r="N5463">
        <v>-9.3102719999999996E-3</v>
      </c>
      <c r="O5463">
        <v>-0.45271109999999998</v>
      </c>
      <c r="P5463">
        <v>0.90053559999999999</v>
      </c>
      <c r="Q5463">
        <v>0.40196559999999998</v>
      </c>
      <c r="R5463">
        <v>-0.16570979999999999</v>
      </c>
      <c r="S5463">
        <v>3.3953549999999999</v>
      </c>
      <c r="T5463">
        <v>-0.44664599999999999</v>
      </c>
      <c r="U5463">
        <v>-0.7375488</v>
      </c>
      <c r="V5463">
        <v>-0.27134330000000001</v>
      </c>
      <c r="W5463">
        <v>0.40267219999999998</v>
      </c>
      <c r="X5463">
        <v>0.87420140000000002</v>
      </c>
      <c r="Y5463">
        <v>-0.2480878</v>
      </c>
      <c r="Z5463">
        <v>6.9161210000000001E-2</v>
      </c>
      <c r="AA5463">
        <v>0.96626559999999995</v>
      </c>
      <c r="AB5463">
        <v>35</v>
      </c>
      <c r="AC5463">
        <v>8.3442999999999703</v>
      </c>
      <c r="AD5463">
        <v>-1.121371002284</v>
      </c>
      <c r="AE5463">
        <v>-1.7640400000000001</v>
      </c>
      <c r="AF5463">
        <v>-2.1673509907802702</v>
      </c>
      <c r="AG5463">
        <v>-1.121371002284</v>
      </c>
      <c r="AH5463">
        <v>8.0988003714318797</v>
      </c>
      <c r="AI5463">
        <v>97.618358474051703</v>
      </c>
      <c r="AJ5463">
        <v>104.98207082934201</v>
      </c>
      <c r="AK5463">
        <v>8.4584543918085195</v>
      </c>
      <c r="AL5463">
        <v>66.254664964206</v>
      </c>
      <c r="AM5463">
        <v>107.243815841689</v>
      </c>
      <c r="AN5463">
        <v>1.00000008743484</v>
      </c>
    </row>
    <row r="5464" spans="1:40" x14ac:dyDescent="0.25">
      <c r="A5464" t="str">
        <f>"20190304164519183"</f>
        <v>20190304164519183</v>
      </c>
      <c r="B5464" t="str">
        <f>"1551689119176108"</f>
        <v>1551689119176108</v>
      </c>
      <c r="C5464" t="s">
        <v>40</v>
      </c>
      <c r="D5464">
        <v>5.2376579999999997</v>
      </c>
      <c r="E5464">
        <v>0.5151308</v>
      </c>
      <c r="F5464" t="s">
        <v>42</v>
      </c>
      <c r="G5464">
        <v>-277.15010000000001</v>
      </c>
      <c r="H5464" s="1">
        <v>-2.9438859999999999E-6</v>
      </c>
      <c r="I5464">
        <v>-57.116950000000003</v>
      </c>
      <c r="J5464">
        <v>-285.46929999999998</v>
      </c>
      <c r="K5464">
        <v>1.1213329999999999</v>
      </c>
      <c r="L5464">
        <v>-55.393830000000001</v>
      </c>
      <c r="M5464">
        <v>0.8941694</v>
      </c>
      <c r="N5464">
        <v>-9.3037810000000006E-3</v>
      </c>
      <c r="O5464">
        <v>-0.44763249999999999</v>
      </c>
      <c r="P5464">
        <v>0.90146490000000001</v>
      </c>
      <c r="Q5464">
        <v>0.40165780000000001</v>
      </c>
      <c r="R5464">
        <v>-0.16134479999999901</v>
      </c>
      <c r="S5464">
        <v>3.3999019999999902</v>
      </c>
      <c r="T5464">
        <v>-0.450353</v>
      </c>
      <c r="U5464">
        <v>-0.71987919999999905</v>
      </c>
      <c r="V5464">
        <v>-0.27062320000000001</v>
      </c>
      <c r="W5464">
        <v>0.4024028</v>
      </c>
      <c r="X5464">
        <v>0.87454849999999995</v>
      </c>
      <c r="Y5464">
        <v>-0.24760380000000001</v>
      </c>
      <c r="Z5464">
        <v>6.9149390000000005E-2</v>
      </c>
      <c r="AA5464">
        <v>0.96639059999999999</v>
      </c>
      <c r="AB5464">
        <v>35</v>
      </c>
      <c r="AC5464">
        <v>8.3191999999999595</v>
      </c>
      <c r="AD5464">
        <v>-1.121335943886</v>
      </c>
      <c r="AE5464">
        <v>-1.72312</v>
      </c>
      <c r="AF5464">
        <v>-2.1458942997426198</v>
      </c>
      <c r="AG5464">
        <v>-1.121335943886</v>
      </c>
      <c r="AH5464">
        <v>8.0698699136907699</v>
      </c>
      <c r="AI5464">
        <v>97.648309678228998</v>
      </c>
      <c r="AJ5464">
        <v>104.891167367528</v>
      </c>
      <c r="AK5464">
        <v>8.4252630266722299</v>
      </c>
      <c r="AL5464">
        <v>66.271524814328799</v>
      </c>
      <c r="AM5464">
        <v>107.194333128677</v>
      </c>
      <c r="AN5464">
        <v>1.0000000043391599</v>
      </c>
    </row>
    <row r="5465" spans="1:40" x14ac:dyDescent="0.25">
      <c r="A5465" t="str">
        <f>"20190304164519196"</f>
        <v>20190304164519196</v>
      </c>
      <c r="B5465" t="str">
        <f>"1551689119185869"</f>
        <v>1551689119185869</v>
      </c>
      <c r="C5465" t="s">
        <v>40</v>
      </c>
      <c r="D5465">
        <v>5.2547090000000001</v>
      </c>
      <c r="E5465">
        <v>0.51537440000000001</v>
      </c>
      <c r="F5465" t="s">
        <v>42</v>
      </c>
      <c r="G5465">
        <v>-277.03519999999997</v>
      </c>
      <c r="H5465" s="1">
        <v>-2.888585E-6</v>
      </c>
      <c r="I5465">
        <v>-57.14423</v>
      </c>
      <c r="J5465">
        <v>-285.2937</v>
      </c>
      <c r="K5465">
        <v>1.1212850000000001</v>
      </c>
      <c r="L5465">
        <v>-55.476439999999997</v>
      </c>
      <c r="M5465">
        <v>0.89718500000000001</v>
      </c>
      <c r="N5465">
        <v>-9.2955989999999999E-3</v>
      </c>
      <c r="O5465">
        <v>-0.44155680000000003</v>
      </c>
      <c r="P5465">
        <v>0.90262109999999995</v>
      </c>
      <c r="Q5465">
        <v>0.40119139999999998</v>
      </c>
      <c r="R5465">
        <v>-0.15595139999999999</v>
      </c>
      <c r="S5465">
        <v>3.403076</v>
      </c>
      <c r="T5465">
        <v>-0.45244869999999998</v>
      </c>
      <c r="U5465">
        <v>-0.70626829999999996</v>
      </c>
      <c r="V5465">
        <v>-0.26995269999999999</v>
      </c>
      <c r="W5465">
        <v>0.4019798</v>
      </c>
      <c r="X5465">
        <v>0.87495009999999995</v>
      </c>
      <c r="Y5465">
        <v>-0.24493519999999999</v>
      </c>
      <c r="Z5465">
        <v>6.8627380000000002E-2</v>
      </c>
      <c r="AA5465">
        <v>0.96710759999999996</v>
      </c>
      <c r="AB5465">
        <v>35</v>
      </c>
      <c r="AC5465">
        <v>8.2585000000000193</v>
      </c>
      <c r="AD5465">
        <v>-1.1212878885849999</v>
      </c>
      <c r="AE5465">
        <v>-1.6677900000000001</v>
      </c>
      <c r="AF5465">
        <v>-2.1129489452436898</v>
      </c>
      <c r="AG5465">
        <v>-1.1212878885849999</v>
      </c>
      <c r="AH5465">
        <v>8.0044040184730996</v>
      </c>
      <c r="AI5465">
        <v>97.713448443559201</v>
      </c>
      <c r="AJ5465">
        <v>104.787247494387</v>
      </c>
      <c r="AK5465">
        <v>8.3541799995716008</v>
      </c>
      <c r="AL5465">
        <v>66.297994895883306</v>
      </c>
      <c r="AM5465">
        <v>107.14682368574699</v>
      </c>
      <c r="AN5465">
        <v>0.99999994866766795</v>
      </c>
    </row>
    <row r="5466" spans="1:40" x14ac:dyDescent="0.25">
      <c r="A5466" t="str">
        <f>"20190304164519209"</f>
        <v>20190304164519209</v>
      </c>
      <c r="B5466" t="str">
        <f>"1551689119205388"</f>
        <v>1551689119205388</v>
      </c>
      <c r="C5466" t="s">
        <v>40</v>
      </c>
      <c r="D5466">
        <v>5.3293569999999999</v>
      </c>
      <c r="E5466">
        <v>0.51594390000000001</v>
      </c>
      <c r="F5466" t="s">
        <v>42</v>
      </c>
      <c r="G5466">
        <v>-276.89929999999998</v>
      </c>
      <c r="H5466" s="1">
        <v>-2.8234209999999999E-6</v>
      </c>
      <c r="I5466">
        <v>-57.17521</v>
      </c>
      <c r="J5466">
        <v>-285.1146</v>
      </c>
      <c r="K5466">
        <v>1.1212200000000001</v>
      </c>
      <c r="L5466">
        <v>-55.558900000000001</v>
      </c>
      <c r="M5466">
        <v>0.90016629999999997</v>
      </c>
      <c r="N5466">
        <v>-9.2845380000000002E-3</v>
      </c>
      <c r="O5466">
        <v>-0.43544759999999999</v>
      </c>
      <c r="P5466">
        <v>0.9037676</v>
      </c>
      <c r="Q5466">
        <v>0.40061350000000001</v>
      </c>
      <c r="R5466">
        <v>-0.15070929999999999</v>
      </c>
      <c r="S5466">
        <v>3.4067690000000002</v>
      </c>
      <c r="T5466">
        <v>-0.45505859999999898</v>
      </c>
      <c r="U5466">
        <v>-0.6894226</v>
      </c>
      <c r="V5466">
        <v>-0.26911570000000001</v>
      </c>
      <c r="W5466">
        <v>0.40145839999999999</v>
      </c>
      <c r="X5466">
        <v>0.87544719999999998</v>
      </c>
      <c r="Y5466">
        <v>-0.24314269999999999</v>
      </c>
      <c r="Z5466">
        <v>6.8231399999999998E-2</v>
      </c>
      <c r="AA5466">
        <v>0.9675878</v>
      </c>
      <c r="AB5466">
        <v>35</v>
      </c>
      <c r="AC5466">
        <v>8.2153000000000098</v>
      </c>
      <c r="AD5466">
        <v>-1.121222823421</v>
      </c>
      <c r="AE5466">
        <v>-1.6163099999999899</v>
      </c>
      <c r="AF5466">
        <v>-2.08508515021511</v>
      </c>
      <c r="AG5466">
        <v>-1.121222823421</v>
      </c>
      <c r="AH5466">
        <v>7.95661992436162</v>
      </c>
      <c r="AI5466">
        <v>97.762379199887405</v>
      </c>
      <c r="AJ5466">
        <v>104.684536671893</v>
      </c>
      <c r="AK5466">
        <v>8.3013565954099402</v>
      </c>
      <c r="AL5466">
        <v>66.330617019579606</v>
      </c>
      <c r="AM5466">
        <v>107.08762137758799</v>
      </c>
      <c r="AN5466">
        <v>0.99999995345244397</v>
      </c>
    </row>
    <row r="5467" spans="1:40" x14ac:dyDescent="0.25">
      <c r="A5467" t="str">
        <f>"20190304164519222"</f>
        <v>20190304164519222</v>
      </c>
      <c r="B5467" t="str">
        <f>"1551689119216125"</f>
        <v>1551689119216125</v>
      </c>
      <c r="C5467" t="s">
        <v>40</v>
      </c>
      <c r="D5467">
        <v>5.3546610000000001</v>
      </c>
      <c r="E5467">
        <v>0.51632920000000004</v>
      </c>
      <c r="F5467" t="s">
        <v>42</v>
      </c>
      <c r="G5467">
        <v>-276.80529999999999</v>
      </c>
      <c r="H5467" s="1">
        <v>-2.776293E-6</v>
      </c>
      <c r="I5467">
        <v>-57.206029999999998</v>
      </c>
      <c r="J5467">
        <v>-284.9221</v>
      </c>
      <c r="K5467">
        <v>1.1211439999999999</v>
      </c>
      <c r="L5467">
        <v>-55.646000000000001</v>
      </c>
      <c r="M5467">
        <v>0.90327900000000005</v>
      </c>
      <c r="N5467">
        <v>-9.2708649999999997E-3</v>
      </c>
      <c r="O5467">
        <v>-0.4289538</v>
      </c>
      <c r="P5467">
        <v>0.90496330000000003</v>
      </c>
      <c r="Q5467">
        <v>0.40004060000000002</v>
      </c>
      <c r="R5467">
        <v>-0.14494560000000001</v>
      </c>
      <c r="S5467">
        <v>3.4106749999999999</v>
      </c>
      <c r="T5467">
        <v>-0.4602214</v>
      </c>
      <c r="U5467">
        <v>-0.67608639999999998</v>
      </c>
      <c r="V5467">
        <v>-0.2684086</v>
      </c>
      <c r="W5467">
        <v>0.40094350000000001</v>
      </c>
      <c r="X5467">
        <v>0.87590020000000002</v>
      </c>
      <c r="Y5467">
        <v>-0.2399694</v>
      </c>
      <c r="Z5467">
        <v>6.806015E-2</v>
      </c>
      <c r="AA5467">
        <v>0.96839169999999997</v>
      </c>
      <c r="AB5467">
        <v>35</v>
      </c>
      <c r="AC5467">
        <v>8.1168000000000102</v>
      </c>
      <c r="AD5467">
        <v>-1.1211467762930001</v>
      </c>
      <c r="AE5467">
        <v>-1.56003</v>
      </c>
      <c r="AF5467">
        <v>-2.0352317961067001</v>
      </c>
      <c r="AG5467">
        <v>-1.1211467762930001</v>
      </c>
      <c r="AH5467">
        <v>7.8567006779691999</v>
      </c>
      <c r="AI5467">
        <v>97.865052849741303</v>
      </c>
      <c r="AJ5467">
        <v>104.52290209042501</v>
      </c>
      <c r="AK5467">
        <v>8.1930997858611203</v>
      </c>
      <c r="AL5467">
        <v>66.362825861965803</v>
      </c>
      <c r="AM5467">
        <v>107.037024563578</v>
      </c>
      <c r="AN5467">
        <v>1.00000001355312</v>
      </c>
    </row>
    <row r="5468" spans="1:40" x14ac:dyDescent="0.25">
      <c r="A5468" t="str">
        <f>"20190304164519237"</f>
        <v>20190304164519237</v>
      </c>
      <c r="B5468" t="str">
        <f>"1551689119225884"</f>
        <v>1551689119225884</v>
      </c>
      <c r="C5468" t="s">
        <v>40</v>
      </c>
      <c r="D5468">
        <v>5.3285070000000001</v>
      </c>
      <c r="E5468">
        <v>0.51666520000000005</v>
      </c>
      <c r="F5468" t="s">
        <v>42</v>
      </c>
      <c r="G5468">
        <v>-276.6859</v>
      </c>
      <c r="H5468" s="1">
        <v>-2.718702E-6</v>
      </c>
      <c r="I5468">
        <v>-57.234749999999998</v>
      </c>
      <c r="J5468">
        <v>-284.71949999999998</v>
      </c>
      <c r="K5468">
        <v>1.121046</v>
      </c>
      <c r="L5468">
        <v>-55.7363</v>
      </c>
      <c r="M5468">
        <v>0.90645920000000002</v>
      </c>
      <c r="N5468">
        <v>-9.2552710000000007E-3</v>
      </c>
      <c r="O5468">
        <v>-0.42219200000000001</v>
      </c>
      <c r="P5468">
        <v>0.90594920000000001</v>
      </c>
      <c r="Q5468">
        <v>0.39961039999999998</v>
      </c>
      <c r="R5468">
        <v>-0.13988349999999999</v>
      </c>
      <c r="S5468">
        <v>3.4150390000000002</v>
      </c>
      <c r="T5468">
        <v>-0.46486630000000001</v>
      </c>
      <c r="U5468">
        <v>-0.65875240000000002</v>
      </c>
      <c r="V5468">
        <v>-0.26673609999999998</v>
      </c>
      <c r="W5468">
        <v>0.40060620000000002</v>
      </c>
      <c r="X5468">
        <v>0.87656520000000004</v>
      </c>
      <c r="Y5468">
        <v>-0.23765330000000001</v>
      </c>
      <c r="Z5468">
        <v>6.7818820000000002E-2</v>
      </c>
      <c r="AA5468">
        <v>0.9689797</v>
      </c>
      <c r="AB5468">
        <v>35</v>
      </c>
      <c r="AC5468">
        <v>8.0335999999999697</v>
      </c>
      <c r="AD5468">
        <v>-1.121048718702</v>
      </c>
      <c r="AE5468">
        <v>-1.4984499999999901</v>
      </c>
      <c r="AF5468">
        <v>-1.9959646505731199</v>
      </c>
      <c r="AG5468">
        <v>-1.121048718702</v>
      </c>
      <c r="AH5468">
        <v>7.7689069882561004</v>
      </c>
      <c r="AI5468">
        <v>97.956155363363294</v>
      </c>
      <c r="AJ5468">
        <v>104.408636990373</v>
      </c>
      <c r="AK5468">
        <v>8.0991691492532407</v>
      </c>
      <c r="AL5468">
        <v>66.383919868746503</v>
      </c>
      <c r="AM5468">
        <v>106.924844152178</v>
      </c>
      <c r="AN5468">
        <v>1.0000000121863399</v>
      </c>
    </row>
    <row r="5469" spans="1:40" x14ac:dyDescent="0.25">
      <c r="A5469" t="str">
        <f>"20190304164519252"</f>
        <v>20190304164519252</v>
      </c>
      <c r="B5469" t="str">
        <f>"1551689119245404"</f>
        <v>1551689119245404</v>
      </c>
      <c r="C5469" t="s">
        <v>40</v>
      </c>
      <c r="D5469">
        <v>5.3266169999999997</v>
      </c>
      <c r="E5469">
        <v>0.51729020000000003</v>
      </c>
      <c r="F5469" t="s">
        <v>42</v>
      </c>
      <c r="G5469">
        <v>-276.53440000000001</v>
      </c>
      <c r="H5469" s="1">
        <v>-2.6440399999999998E-6</v>
      </c>
      <c r="I5469">
        <v>-57.278500000000001</v>
      </c>
      <c r="J5469">
        <v>-284.49709999999999</v>
      </c>
      <c r="K5469">
        <v>1.1209290000000001</v>
      </c>
      <c r="L5469">
        <v>-55.83334</v>
      </c>
      <c r="M5469">
        <v>0.90982010000000002</v>
      </c>
      <c r="N5469">
        <v>-9.2360949999999997E-3</v>
      </c>
      <c r="O5469">
        <v>-0.41490009999999999</v>
      </c>
      <c r="P5469">
        <v>0.90700380000000003</v>
      </c>
      <c r="Q5469">
        <v>0.39946910000000002</v>
      </c>
      <c r="R5469">
        <v>-0.13330029999999901</v>
      </c>
      <c r="S5469">
        <v>3.4185490000000001</v>
      </c>
      <c r="T5469">
        <v>-0.4682077</v>
      </c>
      <c r="U5469">
        <v>-0.64410400000000001</v>
      </c>
      <c r="V5469">
        <v>-0.26597179999999998</v>
      </c>
      <c r="W5469">
        <v>0.40054149999999999</v>
      </c>
      <c r="X5469">
        <v>0.87682689999999996</v>
      </c>
      <c r="Y5469">
        <v>-0.2340585</v>
      </c>
      <c r="Z5469">
        <v>6.7219139999999997E-2</v>
      </c>
      <c r="AA5469">
        <v>0.96989599999999998</v>
      </c>
      <c r="AB5469">
        <v>35</v>
      </c>
      <c r="AC5469">
        <v>7.9626999999999803</v>
      </c>
      <c r="AD5469">
        <v>-1.1209316440399999</v>
      </c>
      <c r="AE5469">
        <v>-1.44516</v>
      </c>
      <c r="AF5469">
        <v>-1.95153396523819</v>
      </c>
      <c r="AG5469">
        <v>-1.1209316440399999</v>
      </c>
      <c r="AH5469">
        <v>7.69689087918157</v>
      </c>
      <c r="AI5469">
        <v>98.035202133175304</v>
      </c>
      <c r="AJ5469">
        <v>104.22742934777</v>
      </c>
      <c r="AK5469">
        <v>8.0191708906916901</v>
      </c>
      <c r="AL5469">
        <v>66.387964178921095</v>
      </c>
      <c r="AM5469">
        <v>106.874357801573</v>
      </c>
      <c r="AN5469">
        <v>0.99999995209054804</v>
      </c>
    </row>
    <row r="5470" spans="1:40" x14ac:dyDescent="0.25">
      <c r="A5470" t="str">
        <f>"20190304164519263"</f>
        <v>20190304164519263</v>
      </c>
      <c r="B5470" t="str">
        <f>"1551689119256141"</f>
        <v>1551689119256141</v>
      </c>
      <c r="C5470" t="s">
        <v>40</v>
      </c>
      <c r="D5470">
        <v>5.3030249999999999</v>
      </c>
      <c r="E5470">
        <v>0.51755699999999905</v>
      </c>
      <c r="F5470" t="s">
        <v>42</v>
      </c>
      <c r="G5470">
        <v>-276.33679999999998</v>
      </c>
      <c r="H5470" s="1">
        <v>-2.549311E-6</v>
      </c>
      <c r="I5470">
        <v>-57.323639999999997</v>
      </c>
      <c r="J5470">
        <v>-284.32799999999997</v>
      </c>
      <c r="K5470">
        <v>1.1208309999999999</v>
      </c>
      <c r="L5470">
        <v>-55.905430000000003</v>
      </c>
      <c r="M5470">
        <v>0.91227380000000002</v>
      </c>
      <c r="N5470">
        <v>-9.219695E-3</v>
      </c>
      <c r="O5470">
        <v>-0.40947739999999999</v>
      </c>
      <c r="P5470">
        <v>0.907941</v>
      </c>
      <c r="Q5470">
        <v>0.39884890000000001</v>
      </c>
      <c r="R5470">
        <v>-0.12869739999999999</v>
      </c>
      <c r="S5470">
        <v>3.4227599999999998</v>
      </c>
      <c r="T5470">
        <v>-0.4701649</v>
      </c>
      <c r="U5470">
        <v>-0.62509159999999997</v>
      </c>
      <c r="V5470">
        <v>-0.26519870000000001</v>
      </c>
      <c r="W5470">
        <v>0.3999914</v>
      </c>
      <c r="X5470">
        <v>0.87731209999999904</v>
      </c>
      <c r="Y5470">
        <v>-0.23370109999999999</v>
      </c>
      <c r="Z5470">
        <v>6.6839960000000004E-2</v>
      </c>
      <c r="AA5470">
        <v>0.97000839999999999</v>
      </c>
      <c r="AB5470">
        <v>35</v>
      </c>
      <c r="AC5470">
        <v>7.9911999999999903</v>
      </c>
      <c r="AD5470">
        <v>-1.120833549311</v>
      </c>
      <c r="AE5470">
        <v>-1.41821</v>
      </c>
      <c r="AF5470">
        <v>-1.9414764739635799</v>
      </c>
      <c r="AG5470">
        <v>-1.120833549311</v>
      </c>
      <c r="AH5470">
        <v>7.7239124133858299</v>
      </c>
      <c r="AI5470">
        <v>98.010872103918203</v>
      </c>
      <c r="AJ5470">
        <v>104.109515653546</v>
      </c>
      <c r="AK5470">
        <v>8.0426626010215596</v>
      </c>
      <c r="AL5470">
        <v>66.422359040157602</v>
      </c>
      <c r="AM5470">
        <v>106.81930409079899</v>
      </c>
      <c r="AN5470">
        <v>0.99999999568102904</v>
      </c>
    </row>
    <row r="5471" spans="1:40" x14ac:dyDescent="0.25">
      <c r="A5471" t="str">
        <f>"20190304164519275"</f>
        <v>20190304164519275</v>
      </c>
      <c r="B5471" t="str">
        <f>"1551689119265901"</f>
        <v>1551689119265901</v>
      </c>
      <c r="C5471" t="s">
        <v>40</v>
      </c>
      <c r="D5471">
        <v>5.3434239999999997</v>
      </c>
      <c r="E5471">
        <v>0.51755699999999905</v>
      </c>
      <c r="F5471" t="s">
        <v>42</v>
      </c>
      <c r="G5471">
        <v>-276.221</v>
      </c>
      <c r="H5471" s="1">
        <v>-2.494247E-6</v>
      </c>
      <c r="I5471">
        <v>-57.348030000000001</v>
      </c>
      <c r="J5471">
        <v>-284.16160000000002</v>
      </c>
      <c r="K5471">
        <v>1.1207279999999999</v>
      </c>
      <c r="L5471">
        <v>-55.97589</v>
      </c>
      <c r="M5471">
        <v>0.91463700000000003</v>
      </c>
      <c r="N5471">
        <v>-9.203737E-3</v>
      </c>
      <c r="O5471">
        <v>-0.40417110000000001</v>
      </c>
      <c r="P5471">
        <v>0.90854570000000001</v>
      </c>
      <c r="Q5471">
        <v>0.3988371</v>
      </c>
      <c r="R5471">
        <v>-0.12439359999999999</v>
      </c>
      <c r="S5471">
        <v>3.4258730000000002</v>
      </c>
      <c r="T5471">
        <v>-0.47364400000000001</v>
      </c>
      <c r="U5471">
        <v>-0.60961909999999997</v>
      </c>
      <c r="V5471">
        <v>-0.2641616</v>
      </c>
      <c r="W5471">
        <v>0.40005740000000001</v>
      </c>
      <c r="X5471">
        <v>0.87759489999999996</v>
      </c>
      <c r="Y5471">
        <v>-0.23242779999999999</v>
      </c>
      <c r="Z5471">
        <v>6.6632289999999997E-2</v>
      </c>
      <c r="AA5471">
        <v>0.97032850000000004</v>
      </c>
      <c r="AB5471">
        <v>35</v>
      </c>
      <c r="AC5471">
        <v>7.9406000000000097</v>
      </c>
      <c r="AD5471">
        <v>-1.120730494247</v>
      </c>
      <c r="AE5471">
        <v>-1.3721399999999999</v>
      </c>
      <c r="AF5471">
        <v>-1.91734726106469</v>
      </c>
      <c r="AG5471">
        <v>-1.120730494247</v>
      </c>
      <c r="AH5471">
        <v>7.6693319476267803</v>
      </c>
      <c r="AI5471">
        <v>98.068952152554203</v>
      </c>
      <c r="AJ5471">
        <v>104.036343833892</v>
      </c>
      <c r="AK5471">
        <v>7.9844166902245401</v>
      </c>
      <c r="AL5471">
        <v>66.418234156413305</v>
      </c>
      <c r="AM5471">
        <v>106.75212604145599</v>
      </c>
      <c r="AN5471">
        <v>1.00000004135766</v>
      </c>
    </row>
    <row r="5472" spans="1:40" x14ac:dyDescent="0.25">
      <c r="A5472" t="str">
        <f>"20190304164519286"</f>
        <v>20190304164519286</v>
      </c>
      <c r="B5472" t="str">
        <f>"1551689119275661"</f>
        <v>1551689119275661</v>
      </c>
      <c r="C5472" t="s">
        <v>40</v>
      </c>
      <c r="D5472">
        <v>5.3074349999999999</v>
      </c>
      <c r="E5472">
        <v>0.52547509999999997</v>
      </c>
      <c r="F5472" t="s">
        <v>42</v>
      </c>
      <c r="G5472">
        <v>-276.05020000000002</v>
      </c>
      <c r="H5472" s="1">
        <v>-2.4143790000000002E-6</v>
      </c>
      <c r="I5472">
        <v>-57.377760000000002</v>
      </c>
      <c r="J5472">
        <v>-283.9973</v>
      </c>
      <c r="K5472">
        <v>1.1206069999999999</v>
      </c>
      <c r="L5472">
        <v>-56.043849999999999</v>
      </c>
      <c r="M5472">
        <v>0.91687350000000001</v>
      </c>
      <c r="N5472">
        <v>-9.1857459999999998E-3</v>
      </c>
      <c r="O5472">
        <v>-0.3990726</v>
      </c>
      <c r="P5472">
        <v>0.90913679999999997</v>
      </c>
      <c r="Q5472">
        <v>0.3986499</v>
      </c>
      <c r="R5472">
        <v>-0.12061860000000001</v>
      </c>
      <c r="S5472">
        <v>3.4288020000000001</v>
      </c>
      <c r="T5472">
        <v>-0.47374959999999999</v>
      </c>
      <c r="U5472">
        <v>-0.59259030000000001</v>
      </c>
      <c r="V5472">
        <v>-0.2628336</v>
      </c>
      <c r="W5472">
        <v>0.39996209999999999</v>
      </c>
      <c r="X5472">
        <v>0.87803690000000001</v>
      </c>
      <c r="Y5472">
        <v>-0.231875</v>
      </c>
      <c r="Z5472">
        <v>6.6010860000000005E-2</v>
      </c>
      <c r="AA5472">
        <v>0.97050320000000001</v>
      </c>
      <c r="AB5472">
        <v>35</v>
      </c>
      <c r="AC5472">
        <v>7.9470999999999696</v>
      </c>
      <c r="AD5472">
        <v>-1.120609414379</v>
      </c>
      <c r="AE5472">
        <v>-1.3339099999999899</v>
      </c>
      <c r="AF5472">
        <v>-1.9115581640591901</v>
      </c>
      <c r="AG5472">
        <v>-1.120609414379</v>
      </c>
      <c r="AH5472">
        <v>7.67079844806221</v>
      </c>
      <c r="AI5472">
        <v>98.068070842814905</v>
      </c>
      <c r="AJ5472">
        <v>103.993061181177</v>
      </c>
      <c r="AK5472">
        <v>7.9844203862879004</v>
      </c>
      <c r="AL5472">
        <v>66.424190568177494</v>
      </c>
      <c r="AM5472">
        <v>106.664666911415</v>
      </c>
      <c r="AN5472">
        <v>0.99999999024348996</v>
      </c>
    </row>
    <row r="5473" spans="1:40" x14ac:dyDescent="0.25">
      <c r="A5473" t="str">
        <f>"20190304164519298"</f>
        <v>20190304164519298</v>
      </c>
      <c r="B5473" t="str">
        <f>"1551689119285420"</f>
        <v>1551689119285420</v>
      </c>
      <c r="C5473" t="s">
        <v>40</v>
      </c>
      <c r="D5473">
        <v>5.2998240000000001</v>
      </c>
      <c r="E5473">
        <v>0.52536719999999903</v>
      </c>
      <c r="F5473" t="s">
        <v>42</v>
      </c>
      <c r="G5473">
        <v>-276.26799999999997</v>
      </c>
      <c r="H5473" s="1">
        <v>-2.4841149999999998E-6</v>
      </c>
      <c r="I5473">
        <v>-57.484949999999998</v>
      </c>
      <c r="J5473">
        <v>-283.83569999999997</v>
      </c>
      <c r="K5473">
        <v>1.12049</v>
      </c>
      <c r="L5473">
        <v>-56.110109999999999</v>
      </c>
      <c r="M5473">
        <v>0.91901670000000002</v>
      </c>
      <c r="N5473">
        <v>-9.1678330000000002E-3</v>
      </c>
      <c r="O5473">
        <v>-0.39411249999999998</v>
      </c>
      <c r="P5473">
        <v>0.90972039999999998</v>
      </c>
      <c r="Q5473">
        <v>0.39845809999999998</v>
      </c>
      <c r="R5473">
        <v>-0.11679050000000001</v>
      </c>
      <c r="S5473">
        <v>3.4331969999999998</v>
      </c>
      <c r="T5473">
        <v>-0.49775170000000002</v>
      </c>
      <c r="U5473">
        <v>-0.64010619999999996</v>
      </c>
      <c r="V5473">
        <v>-0.26169750000000003</v>
      </c>
      <c r="W5473">
        <v>0.39985809999999999</v>
      </c>
      <c r="X5473">
        <v>0.87842350000000002</v>
      </c>
      <c r="Y5473">
        <v>-0.2134894</v>
      </c>
      <c r="Z5473">
        <v>6.7253289999999993E-2</v>
      </c>
      <c r="AA5473">
        <v>0.97462769999999999</v>
      </c>
      <c r="AB5473">
        <v>35</v>
      </c>
      <c r="AC5473">
        <v>7.5677000000000003</v>
      </c>
      <c r="AD5473">
        <v>-1.1204924841149999</v>
      </c>
      <c r="AE5473">
        <v>-1.3748399999999901</v>
      </c>
      <c r="AF5473">
        <v>-1.6833715130912399</v>
      </c>
      <c r="AG5473">
        <v>-1.1204924841149999</v>
      </c>
      <c r="AH5473">
        <v>7.3412023341208901</v>
      </c>
      <c r="AI5473">
        <v>98.461805384988907</v>
      </c>
      <c r="AJ5473">
        <v>102.91491746691</v>
      </c>
      <c r="AK5473">
        <v>7.6146237443846996</v>
      </c>
      <c r="AL5473">
        <v>66.430691162787596</v>
      </c>
      <c r="AM5473">
        <v>106.589701148876</v>
      </c>
      <c r="AN5473">
        <v>0.999999963497054</v>
      </c>
    </row>
    <row r="5474" spans="1:40" x14ac:dyDescent="0.25">
      <c r="A5474" t="str">
        <f>"20190304164519313"</f>
        <v>20190304164519313</v>
      </c>
      <c r="B5474" t="str">
        <f>"1551689119305917"</f>
        <v>1551689119305917</v>
      </c>
      <c r="C5474" t="s">
        <v>40</v>
      </c>
      <c r="D5474">
        <v>5.3078599999999998</v>
      </c>
      <c r="E5474">
        <v>0.52572479999999999</v>
      </c>
      <c r="F5474" t="s">
        <v>42</v>
      </c>
      <c r="G5474">
        <v>-276.09050000000002</v>
      </c>
      <c r="H5474" s="1">
        <v>-2.401202E-6</v>
      </c>
      <c r="I5474">
        <v>-57.515619999999998</v>
      </c>
      <c r="J5474">
        <v>-283.60509999999999</v>
      </c>
      <c r="K5474">
        <v>1.1203129999999999</v>
      </c>
      <c r="L5474">
        <v>-56.203130000000002</v>
      </c>
      <c r="M5474">
        <v>0.92196239999999996</v>
      </c>
      <c r="N5474">
        <v>-9.1410610000000007E-3</v>
      </c>
      <c r="O5474">
        <v>-0.38717170000000001</v>
      </c>
      <c r="P5474">
        <v>0.91037190000000001</v>
      </c>
      <c r="Q5474">
        <v>0.39813660000000001</v>
      </c>
      <c r="R5474">
        <v>-0.1127407</v>
      </c>
      <c r="S5474">
        <v>3.4353639999999999</v>
      </c>
      <c r="T5474">
        <v>-0.49699290000000002</v>
      </c>
      <c r="U5474">
        <v>-0.62341309999999905</v>
      </c>
      <c r="V5474">
        <v>-0.25884879999999999</v>
      </c>
      <c r="W5474">
        <v>0.3996999</v>
      </c>
      <c r="X5474">
        <v>0.87933909999999904</v>
      </c>
      <c r="Y5474">
        <v>-0.21091550000000001</v>
      </c>
      <c r="Z5474">
        <v>6.6117739999999994E-2</v>
      </c>
      <c r="AA5474">
        <v>0.97526570000000001</v>
      </c>
      <c r="AB5474">
        <v>35</v>
      </c>
      <c r="AC5474">
        <v>7.5145999999999704</v>
      </c>
      <c r="AD5474">
        <v>-1.12031540120199</v>
      </c>
      <c r="AE5474">
        <v>-1.3124899999999899</v>
      </c>
      <c r="AF5474">
        <v>-1.66356443112853</v>
      </c>
      <c r="AG5474">
        <v>-1.12031540120199</v>
      </c>
      <c r="AH5474">
        <v>7.2796374405510402</v>
      </c>
      <c r="AI5474">
        <v>98.532419610525594</v>
      </c>
      <c r="AJ5474">
        <v>102.872363383437</v>
      </c>
      <c r="AK5474">
        <v>7.55087243174978</v>
      </c>
      <c r="AL5474">
        <v>66.440580431170005</v>
      </c>
      <c r="AM5474">
        <v>106.402712041965</v>
      </c>
      <c r="AN5474">
        <v>0.99999998205512897</v>
      </c>
    </row>
    <row r="5475" spans="1:40" x14ac:dyDescent="0.25">
      <c r="A5475" t="str">
        <f>"20190304164519325"</f>
        <v>20190304164519325</v>
      </c>
      <c r="B5475" t="str">
        <f>"1551689119315677"</f>
        <v>1551689119315677</v>
      </c>
      <c r="C5475" t="s">
        <v>40</v>
      </c>
      <c r="D5475">
        <v>5.2922000000000002</v>
      </c>
      <c r="E5475">
        <v>0.52609740000000005</v>
      </c>
      <c r="F5475" t="s">
        <v>42</v>
      </c>
      <c r="G5475">
        <v>-275.8929</v>
      </c>
      <c r="H5475" s="1">
        <v>-2.3059869999999999E-6</v>
      </c>
      <c r="I5475">
        <v>-57.562759999999997</v>
      </c>
      <c r="J5475">
        <v>-283.43169999999998</v>
      </c>
      <c r="K5475">
        <v>1.1201680000000001</v>
      </c>
      <c r="L5475">
        <v>-56.271360000000001</v>
      </c>
      <c r="M5475">
        <v>0.92406060000000001</v>
      </c>
      <c r="N5475">
        <v>-9.1192310000000002E-3</v>
      </c>
      <c r="O5475">
        <v>-0.38213770000000002</v>
      </c>
      <c r="P5475">
        <v>0.91074350000000004</v>
      </c>
      <c r="Q5475">
        <v>0.39841280000000001</v>
      </c>
      <c r="R5475">
        <v>-0.10869239999999999</v>
      </c>
      <c r="S5475">
        <v>3.4387210000000001</v>
      </c>
      <c r="T5475">
        <v>-0.49952410000000003</v>
      </c>
      <c r="U5475">
        <v>-0.60623169999999904</v>
      </c>
      <c r="V5475">
        <v>-0.25778050000000002</v>
      </c>
      <c r="W5475">
        <v>0.40007140000000002</v>
      </c>
      <c r="X5475">
        <v>0.87948400000000004</v>
      </c>
      <c r="Y5475">
        <v>-0.21046719999999999</v>
      </c>
      <c r="Z5475">
        <v>6.5797049999999996E-2</v>
      </c>
      <c r="AA5475">
        <v>0.97538420000000003</v>
      </c>
      <c r="AB5475">
        <v>36</v>
      </c>
      <c r="AC5475">
        <v>7.5387999999999797</v>
      </c>
      <c r="AD5475">
        <v>-1.1201703059870001</v>
      </c>
      <c r="AE5475">
        <v>-1.2914000000000001</v>
      </c>
      <c r="AF5475">
        <v>-1.6521608073666501</v>
      </c>
      <c r="AG5475">
        <v>-1.1201703059870001</v>
      </c>
      <c r="AH5475">
        <v>7.3034589780816903</v>
      </c>
      <c r="AI5475">
        <v>98.508091811929305</v>
      </c>
      <c r="AJ5475">
        <v>102.74669212121</v>
      </c>
      <c r="AK5475">
        <v>7.5713228627721003</v>
      </c>
      <c r="AL5475">
        <v>66.4173581069942</v>
      </c>
      <c r="AM5475">
        <v>106.33608529859499</v>
      </c>
      <c r="AN5475">
        <v>1.0000000087670999</v>
      </c>
    </row>
    <row r="5476" spans="1:40" x14ac:dyDescent="0.25">
      <c r="A5476" t="str">
        <f>"20190304164519338"</f>
        <v>20190304164519338</v>
      </c>
      <c r="B5476" t="str">
        <f>"1551689119325436"</f>
        <v>1551689119325436</v>
      </c>
      <c r="C5476" t="s">
        <v>40</v>
      </c>
      <c r="D5476">
        <v>5.2899779999999996</v>
      </c>
      <c r="E5476">
        <v>0.52648079999999997</v>
      </c>
      <c r="F5476" t="s">
        <v>42</v>
      </c>
      <c r="G5476">
        <v>-275.68849999999998</v>
      </c>
      <c r="H5476" s="1">
        <v>-2.2089539999999999E-6</v>
      </c>
      <c r="I5476">
        <v>-57.605179999999997</v>
      </c>
      <c r="J5476">
        <v>-283.27269999999999</v>
      </c>
      <c r="K5476">
        <v>1.120039</v>
      </c>
      <c r="L5476">
        <v>-56.333469999999998</v>
      </c>
      <c r="M5476">
        <v>0.92594109999999996</v>
      </c>
      <c r="N5476">
        <v>-9.1001450000000005E-3</v>
      </c>
      <c r="O5476">
        <v>-0.37755840000000002</v>
      </c>
      <c r="P5476">
        <v>0.91117110000000001</v>
      </c>
      <c r="Q5476">
        <v>0.3983737</v>
      </c>
      <c r="R5476">
        <v>-0.10519240000000001</v>
      </c>
      <c r="S5476">
        <v>3.4410400000000001</v>
      </c>
      <c r="T5476">
        <v>-0.49780010000000002</v>
      </c>
      <c r="U5476">
        <v>-0.59274289999999996</v>
      </c>
      <c r="V5476">
        <v>-0.25667869999999998</v>
      </c>
      <c r="W5476">
        <v>0.40012510000000001</v>
      </c>
      <c r="X5476">
        <v>0.87978179999999995</v>
      </c>
      <c r="Y5476">
        <v>-0.20953930000000001</v>
      </c>
      <c r="Z5476">
        <v>6.4925670000000005E-2</v>
      </c>
      <c r="AA5476">
        <v>0.97564229999999996</v>
      </c>
      <c r="AB5476">
        <v>36</v>
      </c>
      <c r="AC5476">
        <v>7.5842000000000098</v>
      </c>
      <c r="AD5476">
        <v>-1.1200412089539999</v>
      </c>
      <c r="AE5476">
        <v>-1.2717099999999999</v>
      </c>
      <c r="AF5476">
        <v>-1.65099668029784</v>
      </c>
      <c r="AG5476">
        <v>-1.1200412089539999</v>
      </c>
      <c r="AH5476">
        <v>7.3471216819410996</v>
      </c>
      <c r="AI5476">
        <v>98.459990451256402</v>
      </c>
      <c r="AJ5476">
        <v>102.66475271981</v>
      </c>
      <c r="AK5476">
        <v>7.6131780064148398</v>
      </c>
      <c r="AL5476">
        <v>66.414001513949501</v>
      </c>
      <c r="AM5476">
        <v>106.26474655544</v>
      </c>
      <c r="AN5476">
        <v>1.0000000331474601</v>
      </c>
    </row>
    <row r="5477" spans="1:40" x14ac:dyDescent="0.25">
      <c r="A5477" t="str">
        <f>"20190304164519348"</f>
        <v>20190304164519348</v>
      </c>
      <c r="B5477" t="str">
        <f>"1551689119335199"</f>
        <v>1551689119335199</v>
      </c>
      <c r="C5477" t="s">
        <v>40</v>
      </c>
      <c r="D5477">
        <v>5.2998969999999996</v>
      </c>
      <c r="E5477">
        <v>0.52670119999999998</v>
      </c>
      <c r="F5477" t="s">
        <v>42</v>
      </c>
      <c r="G5477">
        <v>-275.53089999999997</v>
      </c>
      <c r="H5477" s="1">
        <v>-2.1328550000000002E-6</v>
      </c>
      <c r="I5477">
        <v>-57.643450000000001</v>
      </c>
      <c r="J5477">
        <v>-283.08949999999999</v>
      </c>
      <c r="K5477">
        <v>1.1198840000000001</v>
      </c>
      <c r="L5477">
        <v>-56.403779999999998</v>
      </c>
      <c r="M5477">
        <v>0.9280195</v>
      </c>
      <c r="N5477">
        <v>-9.0777310000000003E-3</v>
      </c>
      <c r="O5477">
        <v>-0.3724211</v>
      </c>
      <c r="P5477">
        <v>0.91160479999999999</v>
      </c>
      <c r="Q5477">
        <v>0.39848670000000003</v>
      </c>
      <c r="R5477">
        <v>-0.1009216</v>
      </c>
      <c r="S5477">
        <v>3.442993</v>
      </c>
      <c r="T5477">
        <v>-0.49810919999999997</v>
      </c>
      <c r="U5477">
        <v>-0.5825806</v>
      </c>
      <c r="V5477">
        <v>-0.2557565</v>
      </c>
      <c r="W5477">
        <v>0.40033489999999999</v>
      </c>
      <c r="X5477">
        <v>0.87995489999999998</v>
      </c>
      <c r="Y5477">
        <v>-0.2070748</v>
      </c>
      <c r="Z5477">
        <v>6.4142240000000003E-2</v>
      </c>
      <c r="AA5477">
        <v>0.97622010000000004</v>
      </c>
      <c r="AB5477">
        <v>36</v>
      </c>
      <c r="AC5477">
        <v>7.55860000000001</v>
      </c>
      <c r="AD5477">
        <v>-1.119886132855</v>
      </c>
      <c r="AE5477">
        <v>-1.2396699999999901</v>
      </c>
      <c r="AF5477">
        <v>-1.62977379181736</v>
      </c>
      <c r="AG5477">
        <v>-1.119886132855</v>
      </c>
      <c r="AH5477">
        <v>7.3200381394606904</v>
      </c>
      <c r="AI5477">
        <v>98.493363783272798</v>
      </c>
      <c r="AJ5477">
        <v>102.551918186354</v>
      </c>
      <c r="AK5477">
        <v>7.5824313993741397</v>
      </c>
      <c r="AL5477">
        <v>66.400884207480203</v>
      </c>
      <c r="AM5477">
        <v>106.206362598518</v>
      </c>
      <c r="AN5477">
        <v>1.00000002274213</v>
      </c>
    </row>
    <row r="5478" spans="1:40" x14ac:dyDescent="0.25">
      <c r="A5478" t="str">
        <f>"20190304164519360"</f>
        <v>20190304164519360</v>
      </c>
      <c r="B5478" t="str">
        <f>"1551689119355692"</f>
        <v>1551689119355692</v>
      </c>
      <c r="C5478" t="s">
        <v>40</v>
      </c>
      <c r="D5478">
        <v>5.2605550000000001</v>
      </c>
      <c r="E5478">
        <v>0.52717449999999999</v>
      </c>
      <c r="F5478" t="s">
        <v>42</v>
      </c>
      <c r="G5478">
        <v>-275.34699999999998</v>
      </c>
      <c r="H5478" s="1">
        <v>-2.0454029999999998E-6</v>
      </c>
      <c r="I5478">
        <v>-57.6821699999999</v>
      </c>
      <c r="J5478">
        <v>-282.92989999999998</v>
      </c>
      <c r="K5478">
        <v>1.11975</v>
      </c>
      <c r="L5478">
        <v>-56.464199999999998</v>
      </c>
      <c r="M5478">
        <v>0.92976619999999999</v>
      </c>
      <c r="N5478">
        <v>-9.0582909999999996E-3</v>
      </c>
      <c r="O5478">
        <v>-0.3680389</v>
      </c>
      <c r="P5478">
        <v>0.91181780000000001</v>
      </c>
      <c r="Q5478">
        <v>0.39883750000000001</v>
      </c>
      <c r="R5478">
        <v>-9.7554310000000005E-2</v>
      </c>
      <c r="S5478">
        <v>3.44577</v>
      </c>
      <c r="T5478">
        <v>-0.49839699999999998</v>
      </c>
      <c r="U5478">
        <v>-0.56893919999999998</v>
      </c>
      <c r="V5478">
        <v>-0.25466810000000001</v>
      </c>
      <c r="W5478">
        <v>0.4007792</v>
      </c>
      <c r="X5478">
        <v>0.88006830000000003</v>
      </c>
      <c r="Y5478">
        <v>-0.20638999999999999</v>
      </c>
      <c r="Z5478">
        <v>6.3572690000000001E-2</v>
      </c>
      <c r="AA5478">
        <v>0.9764024</v>
      </c>
      <c r="AB5478">
        <v>36</v>
      </c>
      <c r="AC5478">
        <v>7.5828999999999898</v>
      </c>
      <c r="AD5478">
        <v>-1.1197520454029899</v>
      </c>
      <c r="AE5478">
        <v>-1.21796999999999</v>
      </c>
      <c r="AF5478">
        <v>-1.6239225599914899</v>
      </c>
      <c r="AG5478">
        <v>-1.1197520454029899</v>
      </c>
      <c r="AH5478">
        <v>7.3428034494764702</v>
      </c>
      <c r="AI5478">
        <v>98.469039109349794</v>
      </c>
      <c r="AJ5478">
        <v>102.470709709638</v>
      </c>
      <c r="AK5478">
        <v>7.6031395897798104</v>
      </c>
      <c r="AL5478">
        <v>66.373101190048203</v>
      </c>
      <c r="AM5478">
        <v>106.13902163402599</v>
      </c>
      <c r="AN5478">
        <v>1.0000000104875699</v>
      </c>
    </row>
    <row r="5479" spans="1:40" x14ac:dyDescent="0.25">
      <c r="A5479" t="str">
        <f>"20190304164519370"</f>
        <v>20190304164519370</v>
      </c>
      <c r="B5479" t="str">
        <f>"1551689119365453"</f>
        <v>1551689119365453</v>
      </c>
      <c r="C5479" t="s">
        <v>40</v>
      </c>
      <c r="D5479">
        <v>5.2727259999999996</v>
      </c>
      <c r="E5479">
        <v>0.52747239999999995</v>
      </c>
      <c r="F5479" t="s">
        <v>42</v>
      </c>
      <c r="G5479">
        <v>-275.17469999999997</v>
      </c>
      <c r="H5479" s="1">
        <v>-1.9621229999999998E-6</v>
      </c>
      <c r="I5479">
        <v>-57.724460000000001</v>
      </c>
      <c r="J5479">
        <v>-282.77109999999999</v>
      </c>
      <c r="K5479">
        <v>1.119615</v>
      </c>
      <c r="L5479">
        <v>-56.523650000000004</v>
      </c>
      <c r="M5479">
        <v>0.93145080000000002</v>
      </c>
      <c r="N5479">
        <v>-9.0392999999999897E-3</v>
      </c>
      <c r="O5479">
        <v>-0.3637553</v>
      </c>
      <c r="P5479">
        <v>0.9120201</v>
      </c>
      <c r="Q5479">
        <v>0.39902749999999998</v>
      </c>
      <c r="R5479">
        <v>-9.484948E-2</v>
      </c>
      <c r="S5479">
        <v>3.447937</v>
      </c>
      <c r="T5479">
        <v>-0.49783430000000001</v>
      </c>
      <c r="U5479">
        <v>-0.56030269999999904</v>
      </c>
      <c r="V5479">
        <v>-0.253057899999999</v>
      </c>
      <c r="W5479">
        <v>0.40107749999999998</v>
      </c>
      <c r="X5479">
        <v>0.88039679999999998</v>
      </c>
      <c r="Y5479">
        <v>-0.20443839999999999</v>
      </c>
      <c r="Z5479">
        <v>6.2806989999999993E-2</v>
      </c>
      <c r="AA5479">
        <v>0.97686240000000002</v>
      </c>
      <c r="AB5479">
        <v>36</v>
      </c>
      <c r="AC5479">
        <v>7.5964000000000098</v>
      </c>
      <c r="AD5479">
        <v>-1.1196169621230001</v>
      </c>
      <c r="AE5479">
        <v>-1.2008099999999899</v>
      </c>
      <c r="AF5479">
        <v>-1.6106665417975701</v>
      </c>
      <c r="AG5479">
        <v>-1.1196169621230001</v>
      </c>
      <c r="AH5479">
        <v>7.3568616792495201</v>
      </c>
      <c r="AI5479">
        <v>98.455974601991798</v>
      </c>
      <c r="AJ5479">
        <v>102.349143324772</v>
      </c>
      <c r="AK5479">
        <v>7.6138822303966398</v>
      </c>
      <c r="AL5479">
        <v>66.354444336753104</v>
      </c>
      <c r="AM5479">
        <v>106.036566215671</v>
      </c>
      <c r="AN5479">
        <v>0.99999999360445002</v>
      </c>
    </row>
    <row r="5480" spans="1:40" x14ac:dyDescent="0.25">
      <c r="A5480" t="str">
        <f>"20190304164519382"</f>
        <v>20190304164519382</v>
      </c>
      <c r="B5480" t="str">
        <f>"1551689119376189"</f>
        <v>1551689119376189</v>
      </c>
      <c r="C5480" t="s">
        <v>40</v>
      </c>
      <c r="D5480">
        <v>5.2535869999999996</v>
      </c>
      <c r="E5480">
        <v>0.52747239999999995</v>
      </c>
      <c r="F5480" t="s">
        <v>42</v>
      </c>
      <c r="G5480">
        <v>-275.0093</v>
      </c>
      <c r="H5480" s="1">
        <v>-1.881965E-6</v>
      </c>
      <c r="I5480">
        <v>-57.766280000000002</v>
      </c>
      <c r="J5480">
        <v>-282.60329999999999</v>
      </c>
      <c r="K5480">
        <v>1.1194740000000001</v>
      </c>
      <c r="L5480">
        <v>-56.5854199999999</v>
      </c>
      <c r="M5480">
        <v>0.93315199999999998</v>
      </c>
      <c r="N5480">
        <v>-9.0182749999999992E-3</v>
      </c>
      <c r="O5480">
        <v>-0.3593692</v>
      </c>
      <c r="P5480">
        <v>0.91220919999999905</v>
      </c>
      <c r="Q5480">
        <v>0.39931119999999998</v>
      </c>
      <c r="R5480">
        <v>-9.1788369999999994E-2</v>
      </c>
      <c r="S5480">
        <v>3.449646</v>
      </c>
      <c r="T5480">
        <v>-0.49760480000000001</v>
      </c>
      <c r="U5480">
        <v>-0.55227660000000001</v>
      </c>
      <c r="V5480">
        <v>-0.2516755</v>
      </c>
      <c r="W5480">
        <v>0.40146929999999997</v>
      </c>
      <c r="X5480">
        <v>0.88061449999999997</v>
      </c>
      <c r="Y5480">
        <v>-0.20219229999999999</v>
      </c>
      <c r="Z5480">
        <v>6.205724E-2</v>
      </c>
      <c r="AA5480">
        <v>0.97737770000000002</v>
      </c>
      <c r="AB5480">
        <v>36</v>
      </c>
      <c r="AC5480">
        <v>7.5939999999999896</v>
      </c>
      <c r="AD5480">
        <v>-1.1194758819649999</v>
      </c>
      <c r="AE5480">
        <v>-1.18086</v>
      </c>
      <c r="AF5480">
        <v>-1.5933848081047599</v>
      </c>
      <c r="AG5480">
        <v>-1.1194758819649999</v>
      </c>
      <c r="AH5480">
        <v>7.3549652897980797</v>
      </c>
      <c r="AI5480">
        <v>98.461048037427204</v>
      </c>
      <c r="AJ5480">
        <v>102.223701444572</v>
      </c>
      <c r="AK5480">
        <v>7.6083911447253403</v>
      </c>
      <c r="AL5480">
        <v>66.329936975710098</v>
      </c>
      <c r="AM5480">
        <v>105.949688152478</v>
      </c>
      <c r="AN5480">
        <v>1.0000000268764899</v>
      </c>
    </row>
    <row r="5481" spans="1:40" x14ac:dyDescent="0.25">
      <c r="A5481" t="str">
        <f>"20190304164519392"</f>
        <v>20190304164519392</v>
      </c>
      <c r="B5481" t="str">
        <f>"1551689119385949"</f>
        <v>1551689119385949</v>
      </c>
      <c r="C5481" t="s">
        <v>40</v>
      </c>
      <c r="D5481">
        <v>5.2395870000000002</v>
      </c>
      <c r="E5481">
        <v>0.5315107</v>
      </c>
      <c r="F5481" t="s">
        <v>42</v>
      </c>
      <c r="G5481">
        <v>-274.82260000000002</v>
      </c>
      <c r="H5481" s="1">
        <v>-1.7940319999999999E-6</v>
      </c>
      <c r="I5481">
        <v>-57.801600000000001</v>
      </c>
      <c r="J5481">
        <v>-282.43869999999998</v>
      </c>
      <c r="K5481">
        <v>1.119324</v>
      </c>
      <c r="L5481">
        <v>-56.645600000000002</v>
      </c>
      <c r="M5481">
        <v>0.93477960000000004</v>
      </c>
      <c r="N5481">
        <v>-8.9983240000000003E-3</v>
      </c>
      <c r="O5481">
        <v>-0.35511470000000001</v>
      </c>
      <c r="P5481">
        <v>0.91218189999999999</v>
      </c>
      <c r="Q5481">
        <v>0.39995039999999998</v>
      </c>
      <c r="R5481">
        <v>-8.9241009999999996E-2</v>
      </c>
      <c r="S5481">
        <v>3.4518740000000001</v>
      </c>
      <c r="T5481">
        <v>-0.4966486</v>
      </c>
      <c r="U5481">
        <v>-0.5395508</v>
      </c>
      <c r="V5481">
        <v>-0.24987909999999999</v>
      </c>
      <c r="W5481">
        <v>0.40222609999999998</v>
      </c>
      <c r="X5481">
        <v>0.88078069999999897</v>
      </c>
      <c r="Y5481">
        <v>-0.20141120000000001</v>
      </c>
      <c r="Z5481">
        <v>6.1341649999999998E-2</v>
      </c>
      <c r="AA5481">
        <v>0.97758409999999996</v>
      </c>
      <c r="AB5481">
        <v>36</v>
      </c>
      <c r="AC5481">
        <v>7.6160999999999497</v>
      </c>
      <c r="AD5481">
        <v>-1.1193257940320001</v>
      </c>
      <c r="AE5481">
        <v>-1.1559999999999899</v>
      </c>
      <c r="AF5481">
        <v>-1.5904693043181399</v>
      </c>
      <c r="AG5481">
        <v>-1.1193257940320001</v>
      </c>
      <c r="AH5481">
        <v>7.3744914077487902</v>
      </c>
      <c r="AI5481">
        <v>98.439517102752006</v>
      </c>
      <c r="AJ5481">
        <v>102.170661796481</v>
      </c>
      <c r="AK5481">
        <v>7.6266379463118898</v>
      </c>
      <c r="AL5481">
        <v>66.282583827752006</v>
      </c>
      <c r="AM5481">
        <v>105.83873660211</v>
      </c>
      <c r="AN5481">
        <v>1.00000002081525</v>
      </c>
    </row>
    <row r="5482" spans="1:40" x14ac:dyDescent="0.25">
      <c r="A5482" t="str">
        <f>"20190304164519404"</f>
        <v>20190304164519404</v>
      </c>
      <c r="B5482" t="str">
        <f>"1551689119395711"</f>
        <v>1551689119395711</v>
      </c>
      <c r="C5482" t="s">
        <v>40</v>
      </c>
      <c r="D5482">
        <v>5.2396760000000002</v>
      </c>
      <c r="E5482">
        <v>0.53174279999999996</v>
      </c>
      <c r="F5482" t="s">
        <v>42</v>
      </c>
      <c r="G5482">
        <v>-274.77229999999997</v>
      </c>
      <c r="H5482" s="1">
        <v>-1.753261E-6</v>
      </c>
      <c r="I5482">
        <v>-57.888500000000001</v>
      </c>
      <c r="J5482">
        <v>-282.27780000000001</v>
      </c>
      <c r="K5482">
        <v>1.1191719999999901</v>
      </c>
      <c r="L5482">
        <v>-56.703189999999999</v>
      </c>
      <c r="M5482">
        <v>0.93628319999999998</v>
      </c>
      <c r="N5482">
        <v>-8.9770590000000008E-3</v>
      </c>
      <c r="O5482">
        <v>-0.35113159999999999</v>
      </c>
      <c r="P5482">
        <v>0.91222879999999995</v>
      </c>
      <c r="Q5482">
        <v>0.40039380000000002</v>
      </c>
      <c r="R5482">
        <v>-8.6738499999999996E-2</v>
      </c>
      <c r="S5482">
        <v>3.4552309999999999</v>
      </c>
      <c r="T5482">
        <v>-0.50448230000000005</v>
      </c>
      <c r="U5482">
        <v>-0.56018069999999998</v>
      </c>
      <c r="V5482">
        <v>-0.2483262</v>
      </c>
      <c r="W5482">
        <v>0.40278039999999998</v>
      </c>
      <c r="X5482">
        <v>0.88096649999999999</v>
      </c>
      <c r="Y5482">
        <v>-0.1916746</v>
      </c>
      <c r="Z5482">
        <v>6.0993180000000001E-2</v>
      </c>
      <c r="AA5482">
        <v>0.97956140000000003</v>
      </c>
      <c r="AB5482">
        <v>36</v>
      </c>
      <c r="AC5482">
        <v>7.5055000000000396</v>
      </c>
      <c r="AD5482">
        <v>-1.11917375326099</v>
      </c>
      <c r="AE5482">
        <v>-1.1853100000000001</v>
      </c>
      <c r="AF5482">
        <v>-1.4932982684610601</v>
      </c>
      <c r="AG5482">
        <v>-1.11917375326099</v>
      </c>
      <c r="AH5482">
        <v>7.2857170495125603</v>
      </c>
      <c r="AI5482">
        <v>98.5578657789262</v>
      </c>
      <c r="AJ5482">
        <v>101.583060404525</v>
      </c>
      <c r="AK5482">
        <v>7.5209150064427099</v>
      </c>
      <c r="AL5482">
        <v>66.2478888997572</v>
      </c>
      <c r="AM5482">
        <v>105.742044317997</v>
      </c>
      <c r="AN5482">
        <v>0.99999996317642403</v>
      </c>
    </row>
    <row r="5483" spans="1:40" x14ac:dyDescent="0.25">
      <c r="A5483" t="str">
        <f>"20190304164519417"</f>
        <v>20190304164519417</v>
      </c>
      <c r="B5483" t="str">
        <f>"1551689119405468"</f>
        <v>1551689119405468</v>
      </c>
      <c r="C5483" t="s">
        <v>40</v>
      </c>
      <c r="D5483">
        <v>5.2677839999999998</v>
      </c>
      <c r="E5483">
        <v>0.53219629999999996</v>
      </c>
      <c r="F5483" t="s">
        <v>42</v>
      </c>
      <c r="G5483">
        <v>-274.50380000000001</v>
      </c>
      <c r="H5483" s="1">
        <v>-1.626423E-6</v>
      </c>
      <c r="I5483">
        <v>-57.9411699999999</v>
      </c>
      <c r="J5483">
        <v>-282.08460000000002</v>
      </c>
      <c r="K5483">
        <v>1.1189880000000001</v>
      </c>
      <c r="L5483">
        <v>-56.771880000000003</v>
      </c>
      <c r="M5483">
        <v>0.93804069999999995</v>
      </c>
      <c r="N5483">
        <v>-8.9525100000000003E-3</v>
      </c>
      <c r="O5483">
        <v>-0.34640949999999998</v>
      </c>
      <c r="P5483">
        <v>0.91236079999999997</v>
      </c>
      <c r="Q5483">
        <v>0.40078770000000002</v>
      </c>
      <c r="R5483">
        <v>-8.3470260000000004E-2</v>
      </c>
      <c r="S5483">
        <v>3.4546199999999998</v>
      </c>
      <c r="T5483">
        <v>-0.49734210000000001</v>
      </c>
      <c r="U5483">
        <v>-0.55014039999999997</v>
      </c>
      <c r="V5483">
        <v>-0.24679670000000001</v>
      </c>
      <c r="W5483">
        <v>0.40330100000000002</v>
      </c>
      <c r="X5483">
        <v>0.88115810000000006</v>
      </c>
      <c r="Y5483">
        <v>-0.18967909999999999</v>
      </c>
      <c r="Z5483">
        <v>5.9406929999999997E-2</v>
      </c>
      <c r="AA5483">
        <v>0.98004729999999995</v>
      </c>
      <c r="AB5483">
        <v>36</v>
      </c>
      <c r="AC5483">
        <v>7.5808000000000098</v>
      </c>
      <c r="AD5483">
        <v>-1.1189896264229999</v>
      </c>
      <c r="AE5483">
        <v>-1.16928999999998</v>
      </c>
      <c r="AF5483">
        <v>-1.49741296424639</v>
      </c>
      <c r="AG5483">
        <v>-1.1189896264229999</v>
      </c>
      <c r="AH5483">
        <v>7.3598220514647004</v>
      </c>
      <c r="AI5483">
        <v>98.474044007725695</v>
      </c>
      <c r="AJ5483">
        <v>101.500300847974</v>
      </c>
      <c r="AK5483">
        <v>7.5935080166390501</v>
      </c>
      <c r="AL5483">
        <v>66.215296005079594</v>
      </c>
      <c r="AM5483">
        <v>105.64661372801601</v>
      </c>
      <c r="AN5483">
        <v>0.99999995246374795</v>
      </c>
    </row>
    <row r="5484" spans="1:40" x14ac:dyDescent="0.25">
      <c r="A5484" t="str">
        <f>"20190304164519430"</f>
        <v>20190304164519430</v>
      </c>
      <c r="B5484" t="str">
        <f>"1551689119425965"</f>
        <v>1551689119425965</v>
      </c>
      <c r="C5484" t="s">
        <v>40</v>
      </c>
      <c r="D5484">
        <v>5.2193680000000002</v>
      </c>
      <c r="E5484">
        <v>0.53249880000000005</v>
      </c>
      <c r="F5484" t="s">
        <v>42</v>
      </c>
      <c r="G5484">
        <v>-274.31189999999998</v>
      </c>
      <c r="H5484" s="1">
        <v>-1.5342629999999999E-6</v>
      </c>
      <c r="I5484">
        <v>-57.985669999999899</v>
      </c>
      <c r="J5484">
        <v>-281.86700000000002</v>
      </c>
      <c r="K5484">
        <v>1.1187640000000001</v>
      </c>
      <c r="L5484">
        <v>-56.847839999999998</v>
      </c>
      <c r="M5484">
        <v>0.93991400000000003</v>
      </c>
      <c r="N5484">
        <v>-8.9244400000000005E-3</v>
      </c>
      <c r="O5484">
        <v>-0.34129470000000001</v>
      </c>
      <c r="P5484">
        <v>0.91247049999999996</v>
      </c>
      <c r="Q5484">
        <v>0.4013504</v>
      </c>
      <c r="R5484">
        <v>-7.9471189999999997E-2</v>
      </c>
      <c r="S5484">
        <v>3.4574280000000002</v>
      </c>
      <c r="T5484">
        <v>-0.49774849999999998</v>
      </c>
      <c r="U5484">
        <v>-0.53991699999999998</v>
      </c>
      <c r="V5484">
        <v>-0.245559</v>
      </c>
      <c r="W5484">
        <v>0.4039973</v>
      </c>
      <c r="X5484">
        <v>0.881185</v>
      </c>
      <c r="Y5484">
        <v>-0.18734529999999999</v>
      </c>
      <c r="Z5484">
        <v>5.8623160000000001E-2</v>
      </c>
      <c r="AA5484">
        <v>0.98054330000000001</v>
      </c>
      <c r="AB5484">
        <v>36</v>
      </c>
      <c r="AC5484">
        <v>7.5551000000000297</v>
      </c>
      <c r="AD5484">
        <v>-1.1187655342630001</v>
      </c>
      <c r="AE5484">
        <v>-1.1378299999999799</v>
      </c>
      <c r="AF5484">
        <v>-1.4774347352975701</v>
      </c>
      <c r="AG5484">
        <v>-1.1187655342630001</v>
      </c>
      <c r="AH5484">
        <v>7.33255595082358</v>
      </c>
      <c r="AI5484">
        <v>98.506624317049102</v>
      </c>
      <c r="AJ5484">
        <v>101.39198138407301</v>
      </c>
      <c r="AK5484">
        <v>7.5631228001187996</v>
      </c>
      <c r="AL5484">
        <v>66.171692520366804</v>
      </c>
      <c r="AM5484">
        <v>105.571508991104</v>
      </c>
      <c r="AN5484">
        <v>1.0000000225566399</v>
      </c>
    </row>
    <row r="5485" spans="1:40" x14ac:dyDescent="0.25">
      <c r="A5485" t="str">
        <f>"20190304164519444"</f>
        <v>20190304164519444</v>
      </c>
      <c r="B5485" t="str">
        <f>"1551689119435725"</f>
        <v>1551689119435725</v>
      </c>
      <c r="C5485" t="s">
        <v>40</v>
      </c>
      <c r="D5485">
        <v>5.2245010000000001</v>
      </c>
      <c r="E5485">
        <v>0.53270839999999997</v>
      </c>
      <c r="F5485" t="s">
        <v>42</v>
      </c>
      <c r="G5485">
        <v>-274.13099999999997</v>
      </c>
      <c r="H5485" s="1">
        <v>-1.4478900000000001E-6</v>
      </c>
      <c r="I5485">
        <v>-58.025350000000003</v>
      </c>
      <c r="J5485">
        <v>-281.67219999999998</v>
      </c>
      <c r="K5485">
        <v>1.118565</v>
      </c>
      <c r="L5485">
        <v>-56.914700000000003</v>
      </c>
      <c r="M5485">
        <v>0.94150500000000004</v>
      </c>
      <c r="N5485">
        <v>-8.8997390000000003E-3</v>
      </c>
      <c r="O5485">
        <v>-0.3368816</v>
      </c>
      <c r="P5485">
        <v>0.91252460000000002</v>
      </c>
      <c r="Q5485">
        <v>0.40182380000000001</v>
      </c>
      <c r="R5485">
        <v>-7.63963E-2</v>
      </c>
      <c r="S5485">
        <v>3.462097</v>
      </c>
      <c r="T5485">
        <v>-0.50068509999999999</v>
      </c>
      <c r="U5485">
        <v>-0.52697749999999999</v>
      </c>
      <c r="V5485">
        <v>-0.24412900000000001</v>
      </c>
      <c r="W5485">
        <v>0.4045974</v>
      </c>
      <c r="X5485">
        <v>0.8813069</v>
      </c>
      <c r="Y5485">
        <v>-0.18651509999999999</v>
      </c>
      <c r="Z5485">
        <v>5.8313329999999997E-2</v>
      </c>
      <c r="AA5485">
        <v>0.98072000000000004</v>
      </c>
      <c r="AB5485">
        <v>36</v>
      </c>
      <c r="AC5485">
        <v>7.5411999999999999</v>
      </c>
      <c r="AD5485">
        <v>-1.1185664478899999</v>
      </c>
      <c r="AE5485">
        <v>-1.1106499999999899</v>
      </c>
      <c r="AF5485">
        <v>-1.4633563266512299</v>
      </c>
      <c r="AG5485">
        <v>-1.1185664478899999</v>
      </c>
      <c r="AH5485">
        <v>7.3169677202824204</v>
      </c>
      <c r="AI5485">
        <v>98.525409050853497</v>
      </c>
      <c r="AJ5485">
        <v>101.309652250444</v>
      </c>
      <c r="AK5485">
        <v>7.5452381842292002</v>
      </c>
      <c r="AL5485">
        <v>66.134097821309098</v>
      </c>
      <c r="AM5485">
        <v>105.48315351266901</v>
      </c>
      <c r="AN5485">
        <v>0.99999993835768297</v>
      </c>
    </row>
    <row r="5486" spans="1:40" x14ac:dyDescent="0.25">
      <c r="A5486" t="str">
        <f>"20190304164519457"</f>
        <v>20190304164519457</v>
      </c>
      <c r="B5486" t="str">
        <f>"1551689119445486"</f>
        <v>1551689119445486</v>
      </c>
      <c r="C5486" t="s">
        <v>40</v>
      </c>
      <c r="D5486">
        <v>5.2265280000000001</v>
      </c>
      <c r="E5486">
        <v>0.53285519999999997</v>
      </c>
      <c r="F5486" t="s">
        <v>42</v>
      </c>
      <c r="G5486">
        <v>-273.95339999999999</v>
      </c>
      <c r="H5486" s="1">
        <v>-1.362712E-6</v>
      </c>
      <c r="I5486">
        <v>-58.065959999999997</v>
      </c>
      <c r="J5486">
        <v>-281.48250000000002</v>
      </c>
      <c r="K5486">
        <v>1.118371</v>
      </c>
      <c r="L5486">
        <v>-56.979190000000003</v>
      </c>
      <c r="M5486">
        <v>0.94300099999999998</v>
      </c>
      <c r="N5486">
        <v>-8.8767859999999994E-3</v>
      </c>
      <c r="O5486">
        <v>-0.33267200000000002</v>
      </c>
      <c r="P5486">
        <v>0.9126959</v>
      </c>
      <c r="Q5486">
        <v>0.40203030000000001</v>
      </c>
      <c r="R5486">
        <v>-7.3201119999999995E-2</v>
      </c>
      <c r="S5486">
        <v>3.4654850000000001</v>
      </c>
      <c r="T5486">
        <v>-0.502200599999999</v>
      </c>
      <c r="U5486">
        <v>-0.51687620000000001</v>
      </c>
      <c r="V5486">
        <v>-0.2430524</v>
      </c>
      <c r="W5486">
        <v>0.40492099999999998</v>
      </c>
      <c r="X5486">
        <v>0.88145589999999996</v>
      </c>
      <c r="Y5486">
        <v>-0.18509100000000001</v>
      </c>
      <c r="Z5486">
        <v>5.7823180000000002E-2</v>
      </c>
      <c r="AA5486">
        <v>0.98101870000000002</v>
      </c>
      <c r="AB5486">
        <v>36</v>
      </c>
      <c r="AC5486">
        <v>7.5291000000000201</v>
      </c>
      <c r="AD5486">
        <v>-1.1183723627119999</v>
      </c>
      <c r="AE5486">
        <v>-1.08676999999999</v>
      </c>
      <c r="AF5486">
        <v>-1.44864292614329</v>
      </c>
      <c r="AG5486">
        <v>-1.1183723627119999</v>
      </c>
      <c r="AH5486">
        <v>7.3039141030403201</v>
      </c>
      <c r="AI5486">
        <v>98.541632198746001</v>
      </c>
      <c r="AJ5486">
        <v>101.21833425791399</v>
      </c>
      <c r="AK5486">
        <v>7.5297067867038701</v>
      </c>
      <c r="AL5486">
        <v>66.113823171066102</v>
      </c>
      <c r="AM5486">
        <v>105.41564659075701</v>
      </c>
      <c r="AN5486">
        <v>0.99999999451578503</v>
      </c>
    </row>
    <row r="5487" spans="1:40" x14ac:dyDescent="0.25">
      <c r="A5487" t="str">
        <f>"20190304164519470"</f>
        <v>20190304164519470</v>
      </c>
      <c r="B5487" t="str">
        <f>"1551689119465981"</f>
        <v>1551689119465981</v>
      </c>
      <c r="C5487" t="s">
        <v>40</v>
      </c>
      <c r="D5487">
        <v>5.2183010000000003</v>
      </c>
      <c r="E5487">
        <v>0.53302950000000004</v>
      </c>
      <c r="F5487" t="s">
        <v>42</v>
      </c>
      <c r="G5487">
        <v>-273.79770000000002</v>
      </c>
      <c r="H5487" s="1">
        <v>-1.288767E-6</v>
      </c>
      <c r="I5487">
        <v>-58.098239999999997</v>
      </c>
      <c r="J5487">
        <v>-281.26190000000003</v>
      </c>
      <c r="K5487">
        <v>1.1181399999999999</v>
      </c>
      <c r="L5487">
        <v>-57.05301</v>
      </c>
      <c r="M5487">
        <v>0.94464570000000003</v>
      </c>
      <c r="N5487">
        <v>-8.8504240000000008E-3</v>
      </c>
      <c r="O5487">
        <v>-0.32797300000000001</v>
      </c>
      <c r="P5487">
        <v>0.91276480000000004</v>
      </c>
      <c r="Q5487">
        <v>0.40222229999999998</v>
      </c>
      <c r="R5487">
        <v>-7.1257139999999997E-2</v>
      </c>
      <c r="S5487">
        <v>3.4688110000000001</v>
      </c>
      <c r="T5487">
        <v>-0.50481719999999997</v>
      </c>
      <c r="U5487">
        <v>-0.50512699999999999</v>
      </c>
      <c r="V5487">
        <v>-0.2402746</v>
      </c>
      <c r="W5487">
        <v>0.40528589999999998</v>
      </c>
      <c r="X5487">
        <v>0.88204959999999899</v>
      </c>
      <c r="Y5487">
        <v>-0.1835986</v>
      </c>
      <c r="Z5487">
        <v>5.739433E-2</v>
      </c>
      <c r="AA5487">
        <v>0.98132430000000004</v>
      </c>
      <c r="AB5487">
        <v>36</v>
      </c>
      <c r="AC5487">
        <v>7.4641999999999999</v>
      </c>
      <c r="AD5487">
        <v>-1.1181412887669999</v>
      </c>
      <c r="AE5487">
        <v>-1.0452300000000001</v>
      </c>
      <c r="AF5487">
        <v>-1.4292845624222601</v>
      </c>
      <c r="AG5487">
        <v>-1.1181412887669999</v>
      </c>
      <c r="AH5487">
        <v>7.2348907344122404</v>
      </c>
      <c r="AI5487">
        <v>98.621415917650197</v>
      </c>
      <c r="AJ5487">
        <v>101.175136587857</v>
      </c>
      <c r="AK5487">
        <v>7.4590038370353602</v>
      </c>
      <c r="AL5487">
        <v>66.090956176322393</v>
      </c>
      <c r="AM5487">
        <v>105.237923432966</v>
      </c>
      <c r="AN5487">
        <v>1.00000002050206</v>
      </c>
    </row>
    <row r="5488" spans="1:40" x14ac:dyDescent="0.25">
      <c r="A5488" t="str">
        <f>"20190304164519482"</f>
        <v>20190304164519482</v>
      </c>
      <c r="B5488" t="str">
        <f>"1551689119475741"</f>
        <v>1551689119475741</v>
      </c>
      <c r="C5488" t="s">
        <v>40</v>
      </c>
      <c r="D5488">
        <v>5.2234920000000002</v>
      </c>
      <c r="E5488">
        <v>0.53322700000000001</v>
      </c>
      <c r="F5488" t="s">
        <v>42</v>
      </c>
      <c r="G5488">
        <v>-273.61270000000002</v>
      </c>
      <c r="H5488" s="1">
        <v>-1.198491E-6</v>
      </c>
      <c r="I5488">
        <v>-58.147590000000001</v>
      </c>
      <c r="J5488">
        <v>-281.08780000000002</v>
      </c>
      <c r="K5488">
        <v>1.117958</v>
      </c>
      <c r="L5488">
        <v>-57.110349999999997</v>
      </c>
      <c r="M5488">
        <v>0.9458761</v>
      </c>
      <c r="N5488">
        <v>-8.8297649999999998E-3</v>
      </c>
      <c r="O5488">
        <v>-0.32440799999999997</v>
      </c>
      <c r="P5488">
        <v>0.91278579999999998</v>
      </c>
      <c r="Q5488">
        <v>0.4025898</v>
      </c>
      <c r="R5488">
        <v>-6.8875140000000001E-2</v>
      </c>
      <c r="S5488">
        <v>3.471527</v>
      </c>
      <c r="T5488">
        <v>-0.50745699999999905</v>
      </c>
      <c r="U5488">
        <v>-0.49676510000000001</v>
      </c>
      <c r="V5488">
        <v>-0.2390176</v>
      </c>
      <c r="W5488">
        <v>0.40576489999999998</v>
      </c>
      <c r="X5488">
        <v>0.88217089999999998</v>
      </c>
      <c r="Y5488">
        <v>-0.18231459999999999</v>
      </c>
      <c r="Z5488">
        <v>5.7122989999999998E-2</v>
      </c>
      <c r="AA5488">
        <v>0.98157950000000005</v>
      </c>
      <c r="AB5488">
        <v>36</v>
      </c>
      <c r="AC5488">
        <v>7.4750999999999896</v>
      </c>
      <c r="AD5488">
        <v>-1.117959198491</v>
      </c>
      <c r="AE5488">
        <v>-1.0372399999999999</v>
      </c>
      <c r="AF5488">
        <v>-1.4129311620771501</v>
      </c>
      <c r="AG5488">
        <v>-1.117959198491</v>
      </c>
      <c r="AH5488">
        <v>7.2482333214428198</v>
      </c>
      <c r="AI5488">
        <v>98.608599884351605</v>
      </c>
      <c r="AJ5488">
        <v>101.030596787205</v>
      </c>
      <c r="AK5488">
        <v>7.4688080387926199</v>
      </c>
      <c r="AL5488">
        <v>66.0609322204037</v>
      </c>
      <c r="AM5488">
        <v>105.159895900078</v>
      </c>
      <c r="AN5488">
        <v>1.0000000319942799</v>
      </c>
    </row>
    <row r="5489" spans="1:40" x14ac:dyDescent="0.25">
      <c r="A5489" t="str">
        <f>"20190304164519495"</f>
        <v>20190304164519495</v>
      </c>
      <c r="B5489" t="str">
        <f>"1551689119485501"</f>
        <v>1551689119485501</v>
      </c>
      <c r="C5489" t="s">
        <v>40</v>
      </c>
      <c r="D5489">
        <v>5.2140060000000004</v>
      </c>
      <c r="E5489">
        <v>0.53343799999999997</v>
      </c>
      <c r="F5489" t="s">
        <v>42</v>
      </c>
      <c r="G5489">
        <v>-273.44529999999997</v>
      </c>
      <c r="H5489" s="1">
        <v>-1.1180759999999999E-6</v>
      </c>
      <c r="I5489">
        <v>-58.186590000000002</v>
      </c>
      <c r="J5489">
        <v>-280.89960000000002</v>
      </c>
      <c r="K5489">
        <v>1.1177619999999999</v>
      </c>
      <c r="L5489">
        <v>-57.171970000000002</v>
      </c>
      <c r="M5489">
        <v>0.94716889999999998</v>
      </c>
      <c r="N5489">
        <v>-8.8084249999999999E-3</v>
      </c>
      <c r="O5489">
        <v>-0.32061469999999997</v>
      </c>
      <c r="P5489">
        <v>0.91289580000000004</v>
      </c>
      <c r="Q5489">
        <v>0.4027464</v>
      </c>
      <c r="R5489">
        <v>-6.6457859999999994E-2</v>
      </c>
      <c r="S5489">
        <v>3.473846</v>
      </c>
      <c r="T5489">
        <v>-0.50816039999999996</v>
      </c>
      <c r="U5489">
        <v>-0.48919679999999999</v>
      </c>
      <c r="V5489">
        <v>-0.23759559999999999</v>
      </c>
      <c r="W5489">
        <v>0.40604499999999999</v>
      </c>
      <c r="X5489">
        <v>0.88242609999999999</v>
      </c>
      <c r="Y5489">
        <v>-0.18060470000000001</v>
      </c>
      <c r="Z5489">
        <v>5.6566989999999998E-2</v>
      </c>
      <c r="AA5489">
        <v>0.98192780000000002</v>
      </c>
      <c r="AB5489">
        <v>36</v>
      </c>
      <c r="AC5489">
        <v>7.4543000000000399</v>
      </c>
      <c r="AD5489">
        <v>-1.1177631180759999</v>
      </c>
      <c r="AE5489">
        <v>-1.0146200000000001</v>
      </c>
      <c r="AF5489">
        <v>-1.3981321965960301</v>
      </c>
      <c r="AG5489">
        <v>-1.1177631180759999</v>
      </c>
      <c r="AH5489">
        <v>7.2265381322104503</v>
      </c>
      <c r="AI5489">
        <v>98.634891463167406</v>
      </c>
      <c r="AJ5489">
        <v>100.949839458043</v>
      </c>
      <c r="AK5489">
        <v>7.4449325989951696</v>
      </c>
      <c r="AL5489">
        <v>66.043371614515394</v>
      </c>
      <c r="AM5489">
        <v>105.06965916482901</v>
      </c>
      <c r="AN5489">
        <v>1.00000001656278</v>
      </c>
    </row>
    <row r="5490" spans="1:40" x14ac:dyDescent="0.25">
      <c r="A5490" t="str">
        <f>"20190304164519507"</f>
        <v>20190304164519507</v>
      </c>
      <c r="B5490" t="str">
        <f>"1551689119495261"</f>
        <v>1551689119495261</v>
      </c>
      <c r="C5490" t="s">
        <v>40</v>
      </c>
      <c r="D5490">
        <v>5.3107340000000001</v>
      </c>
      <c r="E5490">
        <v>0.53343890000000005</v>
      </c>
      <c r="F5490" t="s">
        <v>42</v>
      </c>
      <c r="G5490">
        <v>-273.27800000000002</v>
      </c>
      <c r="H5490" s="1">
        <v>-1.037324E-6</v>
      </c>
      <c r="I5490">
        <v>-58.227170000000001</v>
      </c>
      <c r="J5490">
        <v>-280.69560000000001</v>
      </c>
      <c r="K5490">
        <v>1.117537</v>
      </c>
      <c r="L5490">
        <v>-57.237520000000004</v>
      </c>
      <c r="M5490">
        <v>0.94847870000000001</v>
      </c>
      <c r="N5490">
        <v>-8.7847540000000005E-3</v>
      </c>
      <c r="O5490">
        <v>-0.31671890000000003</v>
      </c>
      <c r="P5490">
        <v>0.91332329999999995</v>
      </c>
      <c r="Q5490">
        <v>0.40221630000000003</v>
      </c>
      <c r="R5490">
        <v>-6.3739009999999999E-2</v>
      </c>
      <c r="S5490">
        <v>3.476105</v>
      </c>
      <c r="T5490">
        <v>-0.50979609999999997</v>
      </c>
      <c r="U5490">
        <v>-0.48126219999999997</v>
      </c>
      <c r="V5490">
        <v>-0.2364349</v>
      </c>
      <c r="W5490">
        <v>0.40564499999999998</v>
      </c>
      <c r="X5490">
        <v>0.88292169999999903</v>
      </c>
      <c r="Y5490">
        <v>-0.17887439999999999</v>
      </c>
      <c r="Z5490">
        <v>5.610134E-2</v>
      </c>
      <c r="AA5490">
        <v>0.98227109999999995</v>
      </c>
      <c r="AB5490">
        <v>36</v>
      </c>
      <c r="AC5490">
        <v>7.4175999999999904</v>
      </c>
      <c r="AD5490">
        <v>-1.117538037324</v>
      </c>
      <c r="AE5490">
        <v>-0.98964999999999703</v>
      </c>
      <c r="AF5490">
        <v>-1.37991249767938</v>
      </c>
      <c r="AG5490">
        <v>-1.117538037324</v>
      </c>
      <c r="AH5490">
        <v>7.18883824796717</v>
      </c>
      <c r="AI5490">
        <v>98.680179416020593</v>
      </c>
      <c r="AJ5490">
        <v>100.86587765077699</v>
      </c>
      <c r="AK5490">
        <v>7.4048933227665996</v>
      </c>
      <c r="AL5490">
        <v>66.068448241718301</v>
      </c>
      <c r="AM5490">
        <v>104.99132598972599</v>
      </c>
      <c r="AN5490">
        <v>1.0000000281469399</v>
      </c>
    </row>
    <row r="5491" spans="1:40" x14ac:dyDescent="0.25">
      <c r="A5491" t="str">
        <f>"20190304164519526"</f>
        <v>20190304164519526</v>
      </c>
      <c r="B5491" t="str">
        <f>"1551689119515757"</f>
        <v>1551689119515757</v>
      </c>
      <c r="C5491" t="s">
        <v>40</v>
      </c>
      <c r="D5491">
        <v>5.2223309999999996</v>
      </c>
      <c r="E5491">
        <v>0.53386199999999995</v>
      </c>
      <c r="F5491" t="s">
        <v>42</v>
      </c>
      <c r="G5491">
        <v>-273.15589999999997</v>
      </c>
      <c r="H5491" s="1">
        <v>-9.7857299999999993E-7</v>
      </c>
      <c r="I5491">
        <v>-58.256100000000004</v>
      </c>
      <c r="J5491">
        <v>-280.42149999999998</v>
      </c>
      <c r="K5491">
        <v>1.1172409999999999</v>
      </c>
      <c r="L5491">
        <v>-57.324489999999997</v>
      </c>
      <c r="M5491">
        <v>0.95014710000000002</v>
      </c>
      <c r="N5491">
        <v>-8.7537840000000006E-3</v>
      </c>
      <c r="O5491">
        <v>-0.3116795</v>
      </c>
      <c r="P5491">
        <v>0.9136531</v>
      </c>
      <c r="Q5491">
        <v>0.40173049999999999</v>
      </c>
      <c r="R5491">
        <v>-6.205368E-2</v>
      </c>
      <c r="S5491">
        <v>3.4790040000000002</v>
      </c>
      <c r="T5491">
        <v>-0.51566449999999997</v>
      </c>
      <c r="U5491">
        <v>-0.47000120000000001</v>
      </c>
      <c r="V5491">
        <v>-0.23312479999999999</v>
      </c>
      <c r="W5491">
        <v>0.40536699999999998</v>
      </c>
      <c r="X5491">
        <v>0.88392899999999996</v>
      </c>
      <c r="Y5491">
        <v>-0.17684369999999999</v>
      </c>
      <c r="Z5491">
        <v>5.5926749999999997E-2</v>
      </c>
      <c r="AA5491">
        <v>0.98264870000000004</v>
      </c>
      <c r="AB5491">
        <v>36</v>
      </c>
      <c r="AC5491">
        <v>7.2656000000000001</v>
      </c>
      <c r="AD5491">
        <v>-1.1172419785729999</v>
      </c>
      <c r="AE5491">
        <v>-0.93160999999999905</v>
      </c>
      <c r="AF5491">
        <v>-1.3480644269829301</v>
      </c>
      <c r="AG5491">
        <v>-1.1172419785729999</v>
      </c>
      <c r="AH5491">
        <v>7.0304759012876303</v>
      </c>
      <c r="AI5491">
        <v>98.8706441014684</v>
      </c>
      <c r="AJ5491">
        <v>100.854479491368</v>
      </c>
      <c r="AK5491">
        <v>7.2452121250222001</v>
      </c>
      <c r="AL5491">
        <v>66.085873396058602</v>
      </c>
      <c r="AM5491">
        <v>104.77459076651201</v>
      </c>
      <c r="AN5491">
        <v>1.00000002705251</v>
      </c>
    </row>
    <row r="5492" spans="1:40" x14ac:dyDescent="0.25">
      <c r="A5492" t="str">
        <f>"20190304164519540"</f>
        <v>20190304164519540</v>
      </c>
      <c r="B5492" t="str">
        <f>"1551689119535277"</f>
        <v>1551689119535277</v>
      </c>
      <c r="C5492" t="s">
        <v>40</v>
      </c>
      <c r="D5492">
        <v>5.3115500000000004</v>
      </c>
      <c r="E5492">
        <v>0.53410179999999996</v>
      </c>
      <c r="F5492" t="s">
        <v>42</v>
      </c>
      <c r="G5492">
        <v>-272.95589999999999</v>
      </c>
      <c r="H5492" s="1">
        <v>-8.7936530000000002E-7</v>
      </c>
      <c r="I5492">
        <v>-58.316719999999997</v>
      </c>
      <c r="J5492">
        <v>-280.21519999999998</v>
      </c>
      <c r="K5492">
        <v>1.1170230000000001</v>
      </c>
      <c r="L5492">
        <v>-57.389069999999997</v>
      </c>
      <c r="M5492">
        <v>0.95133129999999999</v>
      </c>
      <c r="N5492">
        <v>-8.7311330000000003E-3</v>
      </c>
      <c r="O5492">
        <v>-0.3080464</v>
      </c>
      <c r="P5492">
        <v>0.91409110000000005</v>
      </c>
      <c r="Q5492">
        <v>0.40096409999999899</v>
      </c>
      <c r="R5492">
        <v>-6.0541400000000002E-2</v>
      </c>
      <c r="S5492">
        <v>3.481201</v>
      </c>
      <c r="T5492">
        <v>-0.52097119999999997</v>
      </c>
      <c r="U5492">
        <v>-0.462677</v>
      </c>
      <c r="V5492">
        <v>-0.2310692</v>
      </c>
      <c r="W5492">
        <v>0.40474739999999998</v>
      </c>
      <c r="X5492">
        <v>0.88475230000000005</v>
      </c>
      <c r="Y5492">
        <v>-0.1751509</v>
      </c>
      <c r="Z5492">
        <v>5.5885150000000001E-2</v>
      </c>
      <c r="AA5492">
        <v>0.9829542</v>
      </c>
      <c r="AB5492">
        <v>36</v>
      </c>
      <c r="AC5492">
        <v>7.2592999999999899</v>
      </c>
      <c r="AD5492">
        <v>-1.11702387936529</v>
      </c>
      <c r="AE5492">
        <v>-0.92764999999999997</v>
      </c>
      <c r="AF5492">
        <v>-1.32292995582345</v>
      </c>
      <c r="AG5492">
        <v>-1.11702387936529</v>
      </c>
      <c r="AH5492">
        <v>7.0282940070915201</v>
      </c>
      <c r="AI5492">
        <v>98.877281048485401</v>
      </c>
      <c r="AJ5492">
        <v>100.660009481156</v>
      </c>
      <c r="AK5492">
        <v>7.23842542720487</v>
      </c>
      <c r="AL5492">
        <v>66.124701933002797</v>
      </c>
      <c r="AM5492">
        <v>104.636895188301</v>
      </c>
      <c r="AN5492">
        <v>1.00000003267534</v>
      </c>
    </row>
    <row r="5493" spans="1:40" x14ac:dyDescent="0.25">
      <c r="A5493" t="str">
        <f>"20190304164519550"</f>
        <v>20190304164519550</v>
      </c>
      <c r="B5493" t="str">
        <f>"1551689119546013"</f>
        <v>1551689119546013</v>
      </c>
      <c r="C5493" t="s">
        <v>40</v>
      </c>
      <c r="D5493">
        <v>5.2298819999999999</v>
      </c>
      <c r="E5493">
        <v>0.53430599999999995</v>
      </c>
      <c r="F5493" t="s">
        <v>42</v>
      </c>
      <c r="G5493">
        <v>-272.84379999999999</v>
      </c>
      <c r="H5493" s="1">
        <v>-8.2286159999999897E-7</v>
      </c>
      <c r="I5493">
        <v>-58.354770000000002</v>
      </c>
      <c r="J5493">
        <v>-280.03359999999998</v>
      </c>
      <c r="K5493">
        <v>1.1168260000000001</v>
      </c>
      <c r="L5493">
        <v>-57.445399999999999</v>
      </c>
      <c r="M5493">
        <v>0.95232629999999996</v>
      </c>
      <c r="N5493">
        <v>-8.7117419999999997E-3</v>
      </c>
      <c r="O5493">
        <v>-0.30495719999999998</v>
      </c>
      <c r="P5493">
        <v>0.91431980000000002</v>
      </c>
      <c r="Q5493">
        <v>0.40063189999999999</v>
      </c>
      <c r="R5493">
        <v>-5.9275519999999998E-2</v>
      </c>
      <c r="S5493">
        <v>3.4832459999999998</v>
      </c>
      <c r="T5493">
        <v>-0.52783559999999996</v>
      </c>
      <c r="U5493">
        <v>-0.45632929999999999</v>
      </c>
      <c r="V5493">
        <v>-0.2292574</v>
      </c>
      <c r="W5493">
        <v>0.40454289999999998</v>
      </c>
      <c r="X5493">
        <v>0.88531689999999996</v>
      </c>
      <c r="Y5493">
        <v>-0.17370969999999999</v>
      </c>
      <c r="Z5493">
        <v>5.6091809999999999E-2</v>
      </c>
      <c r="AA5493">
        <v>0.98319820000000002</v>
      </c>
      <c r="AB5493">
        <v>36</v>
      </c>
      <c r="AC5493">
        <v>7.1897999999999902</v>
      </c>
      <c r="AD5493">
        <v>-1.1168268228616001</v>
      </c>
      <c r="AE5493">
        <v>-0.90936999999999502</v>
      </c>
      <c r="AF5493">
        <v>-1.2958396321903201</v>
      </c>
      <c r="AG5493">
        <v>-1.1168268228616001</v>
      </c>
      <c r="AH5493">
        <v>6.9593467350238898</v>
      </c>
      <c r="AI5493">
        <v>98.965487112506906</v>
      </c>
      <c r="AJ5493">
        <v>100.547757278905</v>
      </c>
      <c r="AK5493">
        <v>7.1665200399430899</v>
      </c>
      <c r="AL5493">
        <v>66.137512995828502</v>
      </c>
      <c r="AM5493">
        <v>104.51812888814101</v>
      </c>
      <c r="AN5493">
        <v>0.99999996341038899</v>
      </c>
    </row>
    <row r="5494" spans="1:40" x14ac:dyDescent="0.25">
      <c r="A5494" t="str">
        <f>"20190304164519562"</f>
        <v>20190304164519562</v>
      </c>
      <c r="B5494" t="str">
        <f>"1551689119555774"</f>
        <v>1551689119555774</v>
      </c>
      <c r="C5494" t="s">
        <v>40</v>
      </c>
      <c r="D5494">
        <v>5.2450460000000003</v>
      </c>
      <c r="E5494">
        <v>0.53448269999999998</v>
      </c>
      <c r="F5494" t="s">
        <v>42</v>
      </c>
      <c r="G5494">
        <v>-272.69349999999997</v>
      </c>
      <c r="H5494" s="1">
        <v>-7.4965760000000003E-7</v>
      </c>
      <c r="I5494">
        <v>-58.39414</v>
      </c>
      <c r="J5494">
        <v>-279.86939999999998</v>
      </c>
      <c r="K5494">
        <v>1.1166469999999999</v>
      </c>
      <c r="L5494">
        <v>-57.495640000000002</v>
      </c>
      <c r="M5494">
        <v>0.95317549999999995</v>
      </c>
      <c r="N5494">
        <v>-8.6942579999999998E-3</v>
      </c>
      <c r="O5494">
        <v>-0.30229309999999998</v>
      </c>
      <c r="P5494">
        <v>0.91450070000000006</v>
      </c>
      <c r="Q5494">
        <v>0.40037149999999999</v>
      </c>
      <c r="R5494">
        <v>-5.82371E-2</v>
      </c>
      <c r="S5494">
        <v>3.4842219999999999</v>
      </c>
      <c r="T5494">
        <v>-0.53013849999999996</v>
      </c>
      <c r="U5494">
        <v>-0.45034790000000002</v>
      </c>
      <c r="V5494">
        <v>-0.22763269999999999</v>
      </c>
      <c r="W5494">
        <v>0.40439639999999999</v>
      </c>
      <c r="X5494">
        <v>0.88580300000000001</v>
      </c>
      <c r="Y5494">
        <v>-0.1726463</v>
      </c>
      <c r="Z5494">
        <v>5.5895889999999997E-2</v>
      </c>
      <c r="AA5494">
        <v>0.98339659999999995</v>
      </c>
      <c r="AB5494">
        <v>36</v>
      </c>
      <c r="AC5494">
        <v>7.1759000000000102</v>
      </c>
      <c r="AD5494">
        <v>-1.1166477496575999</v>
      </c>
      <c r="AE5494">
        <v>-0.89849999999999797</v>
      </c>
      <c r="AF5494">
        <v>-1.2822756507844899</v>
      </c>
      <c r="AG5494">
        <v>-1.1166477496575999</v>
      </c>
      <c r="AH5494">
        <v>6.9461670775327597</v>
      </c>
      <c r="AI5494">
        <v>98.983337410919404</v>
      </c>
      <c r="AJ5494">
        <v>100.45916202865099</v>
      </c>
      <c r="AK5494">
        <v>7.1512495488837597</v>
      </c>
      <c r="AL5494">
        <v>66.146692633193794</v>
      </c>
      <c r="AM5494">
        <v>104.411962539184</v>
      </c>
      <c r="AN5494">
        <v>1.00000002462562</v>
      </c>
    </row>
    <row r="5495" spans="1:40" x14ac:dyDescent="0.25">
      <c r="A5495" t="str">
        <f>"20190304164519572"</f>
        <v>20190304164519572</v>
      </c>
      <c r="B5495" t="str">
        <f>"1551689119565533"</f>
        <v>1551689119565533</v>
      </c>
      <c r="C5495" t="s">
        <v>40</v>
      </c>
      <c r="D5495">
        <v>5.2194589999999996</v>
      </c>
      <c r="E5495">
        <v>0.53463729999999998</v>
      </c>
      <c r="F5495" t="s">
        <v>42</v>
      </c>
      <c r="G5495">
        <v>-272.57369999999997</v>
      </c>
      <c r="H5495" s="1">
        <v>-6.9085189999999897E-7</v>
      </c>
      <c r="I5495">
        <v>-58.42774</v>
      </c>
      <c r="J5495">
        <v>-279.69639999999998</v>
      </c>
      <c r="K5495">
        <v>1.1164620000000001</v>
      </c>
      <c r="L5495">
        <v>-57.548310000000001</v>
      </c>
      <c r="M5495">
        <v>0.95404770000000005</v>
      </c>
      <c r="N5495">
        <v>-8.6767249999999997E-3</v>
      </c>
      <c r="O5495">
        <v>-0.2995294</v>
      </c>
      <c r="P5495">
        <v>0.91472969999999998</v>
      </c>
      <c r="Q5495">
        <v>0.3999952</v>
      </c>
      <c r="R5495">
        <v>-5.7217230000000001E-2</v>
      </c>
      <c r="S5495">
        <v>3.4857179999999999</v>
      </c>
      <c r="T5495">
        <v>-0.5335143</v>
      </c>
      <c r="U5495">
        <v>-0.44534299999999999</v>
      </c>
      <c r="V5495">
        <v>-0.2259023</v>
      </c>
      <c r="W5495">
        <v>0.40413949999999998</v>
      </c>
      <c r="X5495">
        <v>0.88636299999999901</v>
      </c>
      <c r="Y5495">
        <v>-0.17121649999999999</v>
      </c>
      <c r="Z5495">
        <v>5.5757500000000002E-2</v>
      </c>
      <c r="AA5495">
        <v>0.98365440000000004</v>
      </c>
      <c r="AB5495">
        <v>36</v>
      </c>
      <c r="AC5495">
        <v>7.1227</v>
      </c>
      <c r="AD5495">
        <v>-1.11646269085189</v>
      </c>
      <c r="AE5495">
        <v>-0.87942999999999905</v>
      </c>
      <c r="AF5495">
        <v>-1.2639011814612799</v>
      </c>
      <c r="AG5495">
        <v>-1.11646269085189</v>
      </c>
      <c r="AH5495">
        <v>6.8922776974197602</v>
      </c>
      <c r="AI5495">
        <v>99.052879208898204</v>
      </c>
      <c r="AJ5495">
        <v>100.391406828209</v>
      </c>
      <c r="AK5495">
        <v>7.0955920820544103</v>
      </c>
      <c r="AL5495">
        <v>66.162784378824597</v>
      </c>
      <c r="AM5495">
        <v>104.298252153989</v>
      </c>
      <c r="AN5495">
        <v>0.99999997618726899</v>
      </c>
    </row>
    <row r="5496" spans="1:40" x14ac:dyDescent="0.25">
      <c r="A5496" t="str">
        <f>"20190304164519583"</f>
        <v>20190304164519583</v>
      </c>
      <c r="B5496" t="str">
        <f>"1551689119575293"</f>
        <v>1551689119575293</v>
      </c>
      <c r="C5496" t="s">
        <v>40</v>
      </c>
      <c r="D5496">
        <v>5.3181659999999997</v>
      </c>
      <c r="E5496">
        <v>0.53463729999999998</v>
      </c>
      <c r="F5496" t="s">
        <v>42</v>
      </c>
      <c r="G5496">
        <v>-272.435</v>
      </c>
      <c r="H5496" s="1">
        <v>-6.2288040000000005E-7</v>
      </c>
      <c r="I5496">
        <v>-58.465919999999997</v>
      </c>
      <c r="J5496">
        <v>-279.54829999999998</v>
      </c>
      <c r="K5496">
        <v>1.116304</v>
      </c>
      <c r="L5496">
        <v>-57.592799999999997</v>
      </c>
      <c r="M5496">
        <v>0.95474250000000005</v>
      </c>
      <c r="N5496">
        <v>-8.6613560000000003E-3</v>
      </c>
      <c r="O5496">
        <v>-0.29730780000000001</v>
      </c>
      <c r="P5496">
        <v>0.91474690000000003</v>
      </c>
      <c r="Q5496">
        <v>0.4000611</v>
      </c>
      <c r="R5496">
        <v>-5.6473339999999997E-2</v>
      </c>
      <c r="S5496">
        <v>3.4865110000000001</v>
      </c>
      <c r="T5496">
        <v>-0.5360587</v>
      </c>
      <c r="U5496">
        <v>-0.44058229999999998</v>
      </c>
      <c r="V5496">
        <v>-0.224383</v>
      </c>
      <c r="W5496">
        <v>0.40430739999999998</v>
      </c>
      <c r="X5496">
        <v>0.88667229999999997</v>
      </c>
      <c r="Y5496">
        <v>-0.17025879999999999</v>
      </c>
      <c r="Z5496">
        <v>5.5646689999999999E-2</v>
      </c>
      <c r="AA5496">
        <v>0.98382689999999995</v>
      </c>
      <c r="AB5496">
        <v>36</v>
      </c>
      <c r="AC5496">
        <v>7.1132999999999802</v>
      </c>
      <c r="AD5496">
        <v>-1.1163046228803899</v>
      </c>
      <c r="AE5496">
        <v>-0.87312000000000001</v>
      </c>
      <c r="AF5496">
        <v>-1.2509324653004901</v>
      </c>
      <c r="AG5496">
        <v>-1.1163046228803899</v>
      </c>
      <c r="AH5496">
        <v>6.8841938814184997</v>
      </c>
      <c r="AI5496">
        <v>99.064698523432497</v>
      </c>
      <c r="AJ5496">
        <v>100.298891419054</v>
      </c>
      <c r="AK5496">
        <v>7.0854141333281904</v>
      </c>
      <c r="AL5496">
        <v>66.152267102580396</v>
      </c>
      <c r="AM5496">
        <v>104.201239846622</v>
      </c>
      <c r="AN5496">
        <v>0.99999998598552498</v>
      </c>
    </row>
    <row r="5497" spans="1:40" x14ac:dyDescent="0.25">
      <c r="A5497" t="str">
        <f>"20190304164519593"</f>
        <v>20190304164519593</v>
      </c>
      <c r="B5497" t="str">
        <f>"1551689119586030"</f>
        <v>1551689119586030</v>
      </c>
      <c r="C5497" t="s">
        <v>40</v>
      </c>
      <c r="D5497">
        <v>5.2048019999999999</v>
      </c>
      <c r="E5497">
        <v>0.52236949999999904</v>
      </c>
      <c r="F5497" t="s">
        <v>42</v>
      </c>
      <c r="G5497">
        <v>-272.28579999999999</v>
      </c>
      <c r="H5497" s="1">
        <v>-5.511122E-7</v>
      </c>
      <c r="I5497">
        <v>-58.501119999999901</v>
      </c>
      <c r="J5497">
        <v>-279.37209999999999</v>
      </c>
      <c r="K5497">
        <v>1.1161099999999999</v>
      </c>
      <c r="L5497">
        <v>-57.645659999999999</v>
      </c>
      <c r="M5497">
        <v>0.9555572</v>
      </c>
      <c r="N5497">
        <v>-8.6441260000000002E-3</v>
      </c>
      <c r="O5497">
        <v>-0.29467949999999998</v>
      </c>
      <c r="P5497">
        <v>0.91488179999999997</v>
      </c>
      <c r="Q5497">
        <v>0.39997369999999999</v>
      </c>
      <c r="R5497">
        <v>-5.488767E-2</v>
      </c>
      <c r="S5497">
        <v>3.4870909999999999</v>
      </c>
      <c r="T5497">
        <v>-0.53599410000000003</v>
      </c>
      <c r="U5497">
        <v>-0.43612669999999998</v>
      </c>
      <c r="V5497">
        <v>-0.2232914</v>
      </c>
      <c r="W5497">
        <v>0.40432839999999998</v>
      </c>
      <c r="X5497">
        <v>0.88693829999999996</v>
      </c>
      <c r="Y5497">
        <v>-0.16884979999999999</v>
      </c>
      <c r="Z5497">
        <v>5.5168490000000001E-2</v>
      </c>
      <c r="AA5497">
        <v>0.98409659999999999</v>
      </c>
      <c r="AB5497">
        <v>36</v>
      </c>
      <c r="AC5497">
        <v>7.0862999999999898</v>
      </c>
      <c r="AD5497">
        <v>-1.1161105511122</v>
      </c>
      <c r="AE5497">
        <v>-0.855459999999993</v>
      </c>
      <c r="AF5497">
        <v>-1.2404634309329301</v>
      </c>
      <c r="AG5497">
        <v>-1.1161105511122</v>
      </c>
      <c r="AH5497">
        <v>6.8560767954996198</v>
      </c>
      <c r="AI5497">
        <v>99.1009245315893</v>
      </c>
      <c r="AJ5497">
        <v>100.255525208216</v>
      </c>
      <c r="AK5497">
        <v>7.05622004415779</v>
      </c>
      <c r="AL5497">
        <v>66.150952587166103</v>
      </c>
      <c r="AM5497">
        <v>104.130858547111</v>
      </c>
      <c r="AN5497">
        <v>1.0000000261837001</v>
      </c>
    </row>
    <row r="5498" spans="1:40" x14ac:dyDescent="0.25">
      <c r="A5498" t="str">
        <f>"20190304164519604"</f>
        <v>20190304164519604</v>
      </c>
      <c r="B5498" t="str">
        <f>"1551689119595789"</f>
        <v>1551689119595789</v>
      </c>
      <c r="C5498" t="s">
        <v>40</v>
      </c>
      <c r="D5498">
        <v>5.1779989999999998</v>
      </c>
      <c r="E5498">
        <v>0.51860280000000003</v>
      </c>
      <c r="F5498" t="s">
        <v>42</v>
      </c>
      <c r="G5498">
        <v>-271.13709999999998</v>
      </c>
      <c r="H5498" s="1">
        <v>-1.401827E-7</v>
      </c>
      <c r="I5498">
        <v>-58.438180000000003</v>
      </c>
      <c r="J5498">
        <v>-279.1986</v>
      </c>
      <c r="K5498">
        <v>1.1159159999999999</v>
      </c>
      <c r="L5498">
        <v>-57.696899999999999</v>
      </c>
      <c r="M5498">
        <v>0.95629500000000001</v>
      </c>
      <c r="N5498">
        <v>-8.6266569999999994E-3</v>
      </c>
      <c r="O5498">
        <v>-0.29227710000000001</v>
      </c>
      <c r="P5498">
        <v>0.91500970000000004</v>
      </c>
      <c r="Q5498">
        <v>0.39989540000000001</v>
      </c>
      <c r="R5498">
        <v>-5.3305070000000003E-2</v>
      </c>
      <c r="S5498">
        <v>3.4643860000000002</v>
      </c>
      <c r="T5498">
        <v>-0.46953790000000001</v>
      </c>
      <c r="U5498">
        <v>-0.33340449999999999</v>
      </c>
      <c r="V5498">
        <v>-0.22240760000000001</v>
      </c>
      <c r="W5498">
        <v>0.40435359999999998</v>
      </c>
      <c r="X5498">
        <v>0.88714879999999996</v>
      </c>
      <c r="Y5498">
        <v>-0.1952199</v>
      </c>
      <c r="Z5498">
        <v>5.0211220000000001E-2</v>
      </c>
      <c r="AA5498">
        <v>0.97947340000000005</v>
      </c>
      <c r="AB5498">
        <v>37</v>
      </c>
      <c r="AC5498">
        <v>8.0615000000000201</v>
      </c>
      <c r="AD5498">
        <v>-1.11591614018269</v>
      </c>
      <c r="AE5498">
        <v>-0.74128000000000305</v>
      </c>
      <c r="AF5498">
        <v>-1.61665252159782</v>
      </c>
      <c r="AG5498">
        <v>-1.11591614018269</v>
      </c>
      <c r="AH5498">
        <v>7.77832902624273</v>
      </c>
      <c r="AI5498">
        <v>97.995626663847901</v>
      </c>
      <c r="AJ5498">
        <v>101.741228733746</v>
      </c>
      <c r="AK5498">
        <v>8.0225455217155996</v>
      </c>
      <c r="AL5498">
        <v>66.149372857101199</v>
      </c>
      <c r="AM5498">
        <v>104.073948342055</v>
      </c>
      <c r="AN5498">
        <v>0.99999998385607902</v>
      </c>
    </row>
    <row r="5499" spans="1:40" x14ac:dyDescent="0.25">
      <c r="A5499" t="str">
        <f>"20190304164519618"</f>
        <v>20190304164519618</v>
      </c>
      <c r="B5499" t="str">
        <f>"1551689119605551"</f>
        <v>1551689119605551</v>
      </c>
      <c r="C5499" t="s">
        <v>40</v>
      </c>
      <c r="D5499">
        <v>5.2055189999999998</v>
      </c>
      <c r="E5499">
        <v>0.51628459999999998</v>
      </c>
      <c r="F5499" t="s">
        <v>42</v>
      </c>
      <c r="G5499">
        <v>-270.70830000000001</v>
      </c>
      <c r="H5499" s="1">
        <v>3.300102E-9</v>
      </c>
      <c r="I5499">
        <v>-58.430259999999997</v>
      </c>
      <c r="J5499">
        <v>-279.01029999999997</v>
      </c>
      <c r="K5499">
        <v>1.1157109999999999</v>
      </c>
      <c r="L5499">
        <v>-57.75235</v>
      </c>
      <c r="M5499">
        <v>0.95707439999999999</v>
      </c>
      <c r="N5499">
        <v>-8.6087249999999994E-3</v>
      </c>
      <c r="O5499">
        <v>-0.28971469999999999</v>
      </c>
      <c r="P5499">
        <v>0.91500590000000004</v>
      </c>
      <c r="Q5499">
        <v>0.4000667</v>
      </c>
      <c r="R5499">
        <v>-5.2067259999999997E-2</v>
      </c>
      <c r="S5499">
        <v>3.459991</v>
      </c>
      <c r="T5499">
        <v>-0.45475670000000001</v>
      </c>
      <c r="U5499">
        <v>-0.29885859999999997</v>
      </c>
      <c r="V5499">
        <v>-0.22099820000000001</v>
      </c>
      <c r="W5499">
        <v>0.40464280000000002</v>
      </c>
      <c r="X5499">
        <v>0.88736919999999897</v>
      </c>
      <c r="Y5499">
        <v>-0.20236699999999999</v>
      </c>
      <c r="Z5499">
        <v>4.8891820000000002E-2</v>
      </c>
      <c r="AA5499">
        <v>0.97808859999999997</v>
      </c>
      <c r="AB5499">
        <v>37</v>
      </c>
      <c r="AC5499">
        <v>8.3019999999999605</v>
      </c>
      <c r="AD5499">
        <v>-1.1157109966998899</v>
      </c>
      <c r="AE5499">
        <v>-0.67790999999999701</v>
      </c>
      <c r="AF5499">
        <v>-1.7255083957908499</v>
      </c>
      <c r="AG5499">
        <v>-1.1157109966998899</v>
      </c>
      <c r="AH5499">
        <v>7.9988247500005496</v>
      </c>
      <c r="AI5499">
        <v>97.764283563776601</v>
      </c>
      <c r="AJ5499">
        <v>102.17331777337201</v>
      </c>
      <c r="AK5499">
        <v>8.2585342303173395</v>
      </c>
      <c r="AL5499">
        <v>66.131256140854902</v>
      </c>
      <c r="AM5499">
        <v>103.984936028349</v>
      </c>
      <c r="AN5499">
        <v>1.0000000485518501</v>
      </c>
    </row>
    <row r="5500" spans="1:40" x14ac:dyDescent="0.25">
      <c r="A5500" t="str">
        <f>"20190304164519631"</f>
        <v>20190304164519631</v>
      </c>
      <c r="B5500" t="str">
        <f>"1551689119626045"</f>
        <v>1551689119626045</v>
      </c>
      <c r="C5500" t="s">
        <v>40</v>
      </c>
      <c r="D5500">
        <v>5.1887359999999996</v>
      </c>
      <c r="E5500">
        <v>0.51387919999999998</v>
      </c>
      <c r="F5500" t="s">
        <v>42</v>
      </c>
      <c r="G5500">
        <v>-270.35809999999998</v>
      </c>
      <c r="H5500" s="1">
        <v>1.260898E-7</v>
      </c>
      <c r="I5500">
        <v>-58.4420199999999</v>
      </c>
      <c r="J5500">
        <v>-278.79410000000001</v>
      </c>
      <c r="K5500">
        <v>1.1154790000000001</v>
      </c>
      <c r="L5500">
        <v>-57.815339999999999</v>
      </c>
      <c r="M5500">
        <v>0.95791530000000003</v>
      </c>
      <c r="N5500">
        <v>-8.5887930000000008E-3</v>
      </c>
      <c r="O5500">
        <v>-0.28692250000000002</v>
      </c>
      <c r="P5500">
        <v>0.91528480000000001</v>
      </c>
      <c r="Q5500">
        <v>0.39964470000000002</v>
      </c>
      <c r="R5500">
        <v>-5.0377930000000001E-2</v>
      </c>
      <c r="S5500">
        <v>3.4579469999999999</v>
      </c>
      <c r="T5500">
        <v>-0.44590999999999997</v>
      </c>
      <c r="U5500">
        <v>-0.27563480000000001</v>
      </c>
      <c r="V5500">
        <v>-0.219857</v>
      </c>
      <c r="W5500">
        <v>0.40434710000000001</v>
      </c>
      <c r="X5500">
        <v>0.88778729999999995</v>
      </c>
      <c r="Y5500">
        <v>-0.20611760000000001</v>
      </c>
      <c r="Z5500">
        <v>4.7908729999999997E-2</v>
      </c>
      <c r="AA5500">
        <v>0.97735380000000005</v>
      </c>
      <c r="AB5500">
        <v>37</v>
      </c>
      <c r="AC5500">
        <v>8.4360000000000301</v>
      </c>
      <c r="AD5500">
        <v>-1.1154788739102</v>
      </c>
      <c r="AE5500">
        <v>-0.62667999999999302</v>
      </c>
      <c r="AF5500">
        <v>-1.78912889815334</v>
      </c>
      <c r="AG5500">
        <v>-1.1154788739102</v>
      </c>
      <c r="AH5500">
        <v>8.1198947847124305</v>
      </c>
      <c r="AI5500">
        <v>97.641062190883204</v>
      </c>
      <c r="AJ5500">
        <v>102.42593976184401</v>
      </c>
      <c r="AK5500">
        <v>8.3891576840078201</v>
      </c>
      <c r="AL5500">
        <v>66.149780053175405</v>
      </c>
      <c r="AM5500">
        <v>103.90923444174599</v>
      </c>
      <c r="AN5500">
        <v>0.99999998388434896</v>
      </c>
    </row>
    <row r="5501" spans="1:40" x14ac:dyDescent="0.25">
      <c r="A5501" t="str">
        <f>"20190304164519646"</f>
        <v>20190304164519646</v>
      </c>
      <c r="B5501" t="str">
        <f>"1551689119635805"</f>
        <v>1551689119635805</v>
      </c>
      <c r="C5501" t="s">
        <v>40</v>
      </c>
      <c r="D5501">
        <v>5.2136139999999997</v>
      </c>
      <c r="E5501">
        <v>0.51341819999999905</v>
      </c>
      <c r="F5501" t="s">
        <v>42</v>
      </c>
      <c r="G5501">
        <v>-270.05430000000001</v>
      </c>
      <c r="H5501" s="1">
        <v>2.3113969999999999E-7</v>
      </c>
      <c r="I5501">
        <v>-58.447380000000003</v>
      </c>
      <c r="J5501">
        <v>-278.56270000000001</v>
      </c>
      <c r="K5501">
        <v>1.115235</v>
      </c>
      <c r="L5501">
        <v>-57.882080000000002</v>
      </c>
      <c r="M5501">
        <v>0.95875379999999999</v>
      </c>
      <c r="N5501">
        <v>-8.5685999999999991E-3</v>
      </c>
      <c r="O5501">
        <v>-0.28410920000000001</v>
      </c>
      <c r="P5501">
        <v>0.91544510000000001</v>
      </c>
      <c r="Q5501">
        <v>0.39943469999999998</v>
      </c>
      <c r="R5501">
        <v>-4.9115520000000003E-2</v>
      </c>
      <c r="S5501">
        <v>3.4565429999999999</v>
      </c>
      <c r="T5501">
        <v>-0.44116519999999998</v>
      </c>
      <c r="U5501">
        <v>-0.24996950000000001</v>
      </c>
      <c r="V5501">
        <v>-0.21824730000000001</v>
      </c>
      <c r="W5501">
        <v>0.4042734</v>
      </c>
      <c r="X5501">
        <v>0.88821799999999995</v>
      </c>
      <c r="Y5501">
        <v>-0.21048439999999999</v>
      </c>
      <c r="Z5501">
        <v>4.7409529999999998E-2</v>
      </c>
      <c r="AA5501">
        <v>0.97644690000000001</v>
      </c>
      <c r="AB5501">
        <v>37</v>
      </c>
      <c r="AC5501">
        <v>8.5083999999999893</v>
      </c>
      <c r="AD5501">
        <v>-1.1152347688602999</v>
      </c>
      <c r="AE5501">
        <v>-0.56530000000000002</v>
      </c>
      <c r="AF5501">
        <v>-1.8438604599759101</v>
      </c>
      <c r="AG5501">
        <v>-1.1152347688602999</v>
      </c>
      <c r="AH5501">
        <v>8.1784787129504899</v>
      </c>
      <c r="AI5501">
        <v>97.5771900860871</v>
      </c>
      <c r="AJ5501">
        <v>102.705071416275</v>
      </c>
      <c r="AK5501">
        <v>8.4576051009562807</v>
      </c>
      <c r="AL5501">
        <v>66.154398371815503</v>
      </c>
      <c r="AM5501">
        <v>103.804868866745</v>
      </c>
      <c r="AN5501">
        <v>1.0000000407144201</v>
      </c>
    </row>
    <row r="5502" spans="1:40" x14ac:dyDescent="0.25">
      <c r="A5502" t="str">
        <f>"20190304164519662"</f>
        <v>20190304164519662</v>
      </c>
      <c r="B5502" t="str">
        <f>"1551689119655324"</f>
        <v>1551689119655324</v>
      </c>
      <c r="C5502" t="s">
        <v>40</v>
      </c>
      <c r="D5502">
        <v>5.2046590000000004</v>
      </c>
      <c r="E5502">
        <v>0.51325730000000003</v>
      </c>
      <c r="F5502" t="s">
        <v>42</v>
      </c>
      <c r="G5502">
        <v>-269.77969999999999</v>
      </c>
      <c r="H5502" s="1">
        <v>-3.5361060000000001E-6</v>
      </c>
      <c r="I5502">
        <v>-58.492910000000002</v>
      </c>
      <c r="J5502">
        <v>-278.30180000000001</v>
      </c>
      <c r="K5502">
        <v>1.1149560000000001</v>
      </c>
      <c r="L5502">
        <v>-57.956670000000003</v>
      </c>
      <c r="M5502">
        <v>0.95963569999999998</v>
      </c>
      <c r="N5502">
        <v>-8.5470809999999998E-3</v>
      </c>
      <c r="O5502">
        <v>-0.28111649999999999</v>
      </c>
      <c r="P5502">
        <v>0.9154717</v>
      </c>
      <c r="Q5502">
        <v>0.39934310000000001</v>
      </c>
      <c r="R5502">
        <v>-4.9362589999999998E-2</v>
      </c>
      <c r="S5502">
        <v>3.4556580000000001</v>
      </c>
      <c r="T5502">
        <v>-0.4387856</v>
      </c>
      <c r="U5502">
        <v>-0.2403564</v>
      </c>
      <c r="V5502">
        <v>-0.2149575</v>
      </c>
      <c r="W5502">
        <v>0.40435490000000002</v>
      </c>
      <c r="X5502">
        <v>0.88898279999999996</v>
      </c>
      <c r="Y5502">
        <v>-0.21018039999999999</v>
      </c>
      <c r="Z5502">
        <v>4.6813630000000002E-2</v>
      </c>
      <c r="AA5502">
        <v>0.9765412</v>
      </c>
      <c r="AB5502">
        <v>37</v>
      </c>
      <c r="AC5502">
        <v>8.5221000000000195</v>
      </c>
      <c r="AD5502">
        <v>-1.1149595361059901</v>
      </c>
      <c r="AE5502">
        <v>-0.53623999999999905</v>
      </c>
      <c r="AF5502">
        <v>-1.8496411357248099</v>
      </c>
      <c r="AG5502">
        <v>-1.1149595361059901</v>
      </c>
      <c r="AH5502">
        <v>8.1895340959463994</v>
      </c>
      <c r="AI5502">
        <v>97.564589424859605</v>
      </c>
      <c r="AJ5502">
        <v>102.72696180320099</v>
      </c>
      <c r="AK5502">
        <v>8.4695204000455497</v>
      </c>
      <c r="AL5502">
        <v>66.149292215093993</v>
      </c>
      <c r="AM5502">
        <v>103.593297717666</v>
      </c>
      <c r="AN5502">
        <v>1.0000000153280499</v>
      </c>
    </row>
    <row r="5503" spans="1:40" x14ac:dyDescent="0.25">
      <c r="A5503" t="str">
        <f>"20190304164519673"</f>
        <v>20190304164519673</v>
      </c>
      <c r="B5503" t="str">
        <f>"1551689119666061"</f>
        <v>1551689119666061</v>
      </c>
      <c r="C5503" t="s">
        <v>40</v>
      </c>
      <c r="D5503">
        <v>5.1782329999999996</v>
      </c>
      <c r="E5503">
        <v>0.51320219999999905</v>
      </c>
      <c r="F5503" t="s">
        <v>42</v>
      </c>
      <c r="G5503">
        <v>-269.49169999999998</v>
      </c>
      <c r="H5503" s="1">
        <v>-3.4012390000000002E-6</v>
      </c>
      <c r="I5503">
        <v>-58.556719999999999</v>
      </c>
      <c r="J5503">
        <v>-278.12209999999999</v>
      </c>
      <c r="K5503">
        <v>1.114765</v>
      </c>
      <c r="L5503">
        <v>-58.007750000000001</v>
      </c>
      <c r="M5503">
        <v>0.96021219999999996</v>
      </c>
      <c r="N5503">
        <v>-8.5330359999999904E-3</v>
      </c>
      <c r="O5503">
        <v>-0.27914159999999999</v>
      </c>
      <c r="P5503">
        <v>0.91541300000000003</v>
      </c>
      <c r="Q5503">
        <v>0.3996149</v>
      </c>
      <c r="R5503">
        <v>-4.8241680000000002E-2</v>
      </c>
      <c r="S5503">
        <v>3.4550480000000001</v>
      </c>
      <c r="T5503">
        <v>-0.4372509</v>
      </c>
      <c r="U5503">
        <v>-0.23535159999999999</v>
      </c>
      <c r="V5503">
        <v>-0.21399409999999999</v>
      </c>
      <c r="W5503">
        <v>0.40472520000000001</v>
      </c>
      <c r="X5503">
        <v>0.88904669999999897</v>
      </c>
      <c r="Y5503">
        <v>-0.20960770000000001</v>
      </c>
      <c r="Z5503">
        <v>4.6400080000000003E-2</v>
      </c>
      <c r="AA5503">
        <v>0.976684</v>
      </c>
      <c r="AB5503">
        <v>37</v>
      </c>
      <c r="AC5503">
        <v>8.6303999999999998</v>
      </c>
      <c r="AD5503">
        <v>-1.114768401239</v>
      </c>
      <c r="AE5503">
        <v>-0.54896999999999696</v>
      </c>
      <c r="AF5503">
        <v>-1.8512813705314899</v>
      </c>
      <c r="AG5503">
        <v>-1.114768401239</v>
      </c>
      <c r="AH5503">
        <v>8.3025970720381697</v>
      </c>
      <c r="AI5503">
        <v>97.466018391077199</v>
      </c>
      <c r="AJ5503">
        <v>102.5699667969</v>
      </c>
      <c r="AK5503">
        <v>8.5792231257786202</v>
      </c>
      <c r="AL5503">
        <v>66.126092056348995</v>
      </c>
      <c r="AM5503">
        <v>103.53368402190701</v>
      </c>
      <c r="AN5503">
        <v>0.99999999856536903</v>
      </c>
    </row>
    <row r="5504" spans="1:40" x14ac:dyDescent="0.25">
      <c r="A5504" t="str">
        <f>"20190304164519684"</f>
        <v>20190304164519684</v>
      </c>
      <c r="B5504" t="str">
        <f>"1551689119675821"</f>
        <v>1551689119675821</v>
      </c>
      <c r="C5504" t="s">
        <v>40</v>
      </c>
      <c r="D5504">
        <v>5.1785969999999999</v>
      </c>
      <c r="E5504">
        <v>0.51318160000000002</v>
      </c>
      <c r="F5504" t="s">
        <v>42</v>
      </c>
      <c r="G5504">
        <v>-269.2894</v>
      </c>
      <c r="H5504" s="1">
        <v>-3.3074069999999999E-6</v>
      </c>
      <c r="I5504">
        <v>-58.596490000000003</v>
      </c>
      <c r="J5504">
        <v>-277.95400000000001</v>
      </c>
      <c r="K5504">
        <v>1.114592</v>
      </c>
      <c r="L5504">
        <v>-58.054989999999997</v>
      </c>
      <c r="M5504">
        <v>0.96070299999999997</v>
      </c>
      <c r="N5504">
        <v>-8.5197069999999996E-3</v>
      </c>
      <c r="O5504">
        <v>-0.27744829999999998</v>
      </c>
      <c r="P5504">
        <v>0.91562299999999996</v>
      </c>
      <c r="Q5504">
        <v>0.39927079999999998</v>
      </c>
      <c r="R5504">
        <v>-4.7089829999999999E-2</v>
      </c>
      <c r="S5504">
        <v>3.4554140000000002</v>
      </c>
      <c r="T5504">
        <v>-0.43610539999999998</v>
      </c>
      <c r="U5504">
        <v>-0.23034669999999999</v>
      </c>
      <c r="V5504">
        <v>-0.2134076</v>
      </c>
      <c r="W5504">
        <v>0.40446789999999999</v>
      </c>
      <c r="X5504">
        <v>0.88930480000000001</v>
      </c>
      <c r="Y5504">
        <v>-0.20933280000000001</v>
      </c>
      <c r="Z5504">
        <v>4.6068270000000001E-2</v>
      </c>
      <c r="AA5504">
        <v>0.97675869999999998</v>
      </c>
      <c r="AB5504">
        <v>37</v>
      </c>
      <c r="AC5504">
        <v>8.6646000000000001</v>
      </c>
      <c r="AD5504">
        <v>-1.1145953074070001</v>
      </c>
      <c r="AE5504">
        <v>-0.54149999999999898</v>
      </c>
      <c r="AF5504">
        <v>-1.8532777071042399</v>
      </c>
      <c r="AG5504">
        <v>-1.1145953074070001</v>
      </c>
      <c r="AH5504">
        <v>8.3372262564850903</v>
      </c>
      <c r="AI5504">
        <v>97.435284764056405</v>
      </c>
      <c r="AJ5504">
        <v>102.53248001566099</v>
      </c>
      <c r="AK5504">
        <v>8.6131470793646407</v>
      </c>
      <c r="AL5504">
        <v>66.142214117183798</v>
      </c>
      <c r="AM5504">
        <v>103.494176676286</v>
      </c>
      <c r="AN5504">
        <v>1.0000000565856</v>
      </c>
    </row>
    <row r="5505" spans="1:40" x14ac:dyDescent="0.25">
      <c r="A5505" t="str">
        <f>"20190304164519695"</f>
        <v>20190304164519695</v>
      </c>
      <c r="B5505" t="str">
        <f>"1551689119685580"</f>
        <v>1551689119685580</v>
      </c>
      <c r="C5505" t="s">
        <v>40</v>
      </c>
      <c r="D5505">
        <v>5.2007399999999997</v>
      </c>
      <c r="E5505">
        <v>0.51317939999999995</v>
      </c>
      <c r="F5505" t="s">
        <v>42</v>
      </c>
      <c r="G5505">
        <v>-269.14729999999997</v>
      </c>
      <c r="H5505" s="1">
        <v>-3.2403990000000001E-6</v>
      </c>
      <c r="I5505">
        <v>-58.630540000000003</v>
      </c>
      <c r="J5505">
        <v>-277.78879999999998</v>
      </c>
      <c r="K5505">
        <v>1.114422</v>
      </c>
      <c r="L5505">
        <v>-58.101410000000001</v>
      </c>
      <c r="M5505">
        <v>0.96117790000000003</v>
      </c>
      <c r="N5505">
        <v>-8.5072740000000004E-3</v>
      </c>
      <c r="O5505">
        <v>-0.27579900000000002</v>
      </c>
      <c r="P5505">
        <v>0.915744</v>
      </c>
      <c r="Q5505">
        <v>0.39915220000000001</v>
      </c>
      <c r="R5505">
        <v>-4.5727329999999997E-2</v>
      </c>
      <c r="S5505">
        <v>3.4555660000000001</v>
      </c>
      <c r="T5505">
        <v>-0.43734279999999998</v>
      </c>
      <c r="U5505">
        <v>-0.22586059999999999</v>
      </c>
      <c r="V5505">
        <v>-0.21304580000000001</v>
      </c>
      <c r="W5505">
        <v>0.40443089999999998</v>
      </c>
      <c r="X5505">
        <v>0.88940830000000004</v>
      </c>
      <c r="Y5505">
        <v>-0.20891370000000001</v>
      </c>
      <c r="Z5505">
        <v>4.5991709999999998E-2</v>
      </c>
      <c r="AA5505">
        <v>0.97685200000000005</v>
      </c>
      <c r="AB5505">
        <v>37</v>
      </c>
      <c r="AC5505">
        <v>8.6415000000000006</v>
      </c>
      <c r="AD5505">
        <v>-1.114425240399</v>
      </c>
      <c r="AE5505">
        <v>-0.52913000000000898</v>
      </c>
      <c r="AF5505">
        <v>-1.8442391055678999</v>
      </c>
      <c r="AG5505">
        <v>-1.114425240399</v>
      </c>
      <c r="AH5505">
        <v>8.3144929582088292</v>
      </c>
      <c r="AI5505">
        <v>97.455008617644395</v>
      </c>
      <c r="AJ5505">
        <v>102.50630795800301</v>
      </c>
      <c r="AK5505">
        <v>8.5891765988975095</v>
      </c>
      <c r="AL5505">
        <v>66.144530547369996</v>
      </c>
      <c r="AM5505">
        <v>103.47062336711301</v>
      </c>
      <c r="AN5505">
        <v>0.99999999494066905</v>
      </c>
    </row>
    <row r="5506" spans="1:40" x14ac:dyDescent="0.25">
      <c r="A5506" t="str">
        <f>"20190304164519706"</f>
        <v>20190304164519706</v>
      </c>
      <c r="B5506" t="str">
        <f>"1551689119695341"</f>
        <v>1551689119695341</v>
      </c>
      <c r="C5506" t="s">
        <v>40</v>
      </c>
      <c r="D5506">
        <v>5.2015260000000003</v>
      </c>
      <c r="E5506">
        <v>0.51316349999999999</v>
      </c>
      <c r="F5506" t="s">
        <v>42</v>
      </c>
      <c r="G5506">
        <v>-268.9803</v>
      </c>
      <c r="H5506" s="1">
        <v>-3.1619650000000001E-6</v>
      </c>
      <c r="I5506">
        <v>-58.668999999999997</v>
      </c>
      <c r="J5506">
        <v>-277.60419999999999</v>
      </c>
      <c r="K5506">
        <v>1.114231</v>
      </c>
      <c r="L5506">
        <v>-58.152769999999997</v>
      </c>
      <c r="M5506">
        <v>0.96166160000000001</v>
      </c>
      <c r="N5506">
        <v>-8.4936390000000007E-3</v>
      </c>
      <c r="O5506">
        <v>-0.27410830000000003</v>
      </c>
      <c r="P5506">
        <v>0.91579500000000003</v>
      </c>
      <c r="Q5506">
        <v>0.39927269999999998</v>
      </c>
      <c r="R5506">
        <v>-4.3600800000000002E-2</v>
      </c>
      <c r="S5506">
        <v>3.4554749999999999</v>
      </c>
      <c r="T5506">
        <v>-0.43717810000000001</v>
      </c>
      <c r="U5506">
        <v>-0.22268679999999999</v>
      </c>
      <c r="V5506">
        <v>-0.21334649999999999</v>
      </c>
      <c r="W5506">
        <v>0.40463280000000001</v>
      </c>
      <c r="X5506">
        <v>0.88924439999999905</v>
      </c>
      <c r="Y5506">
        <v>-0.2081064</v>
      </c>
      <c r="Z5506">
        <v>4.5735100000000001E-2</v>
      </c>
      <c r="AA5506">
        <v>0.97703640000000003</v>
      </c>
      <c r="AB5506">
        <v>37</v>
      </c>
      <c r="AC5506">
        <v>8.6238999999999901</v>
      </c>
      <c r="AD5506">
        <v>-1.114234161965</v>
      </c>
      <c r="AE5506">
        <v>-0.51622999999999997</v>
      </c>
      <c r="AF5506">
        <v>-1.8369552742989499</v>
      </c>
      <c r="AG5506">
        <v>-1.114234161965</v>
      </c>
      <c r="AH5506">
        <v>8.2970664664770908</v>
      </c>
      <c r="AI5506">
        <v>97.469866150380795</v>
      </c>
      <c r="AJ5506">
        <v>102.483806639888</v>
      </c>
      <c r="AK5506">
        <v>8.5707195961951399</v>
      </c>
      <c r="AL5506">
        <v>66.131881892913299</v>
      </c>
      <c r="AM5506">
        <v>103.49133725231501</v>
      </c>
      <c r="AN5506">
        <v>1.0000000174147201</v>
      </c>
    </row>
    <row r="5507" spans="1:40" x14ac:dyDescent="0.25">
      <c r="A5507" t="str">
        <f>"20190304164519716"</f>
        <v>20190304164519716</v>
      </c>
      <c r="B5507" t="str">
        <f>"1551689119706077"</f>
        <v>1551689119706077</v>
      </c>
      <c r="C5507" t="s">
        <v>40</v>
      </c>
      <c r="D5507">
        <v>5.2621140000000004</v>
      </c>
      <c r="E5507">
        <v>0.51332060000000002</v>
      </c>
      <c r="F5507" t="s">
        <v>42</v>
      </c>
      <c r="G5507">
        <v>-268.7946</v>
      </c>
      <c r="H5507" s="1">
        <v>-3.0759769999999999E-6</v>
      </c>
      <c r="I5507">
        <v>-58.704459999999997</v>
      </c>
      <c r="J5507">
        <v>-277.43970000000002</v>
      </c>
      <c r="K5507">
        <v>1.114066</v>
      </c>
      <c r="L5507">
        <v>-58.198430000000002</v>
      </c>
      <c r="M5507">
        <v>0.96207880000000001</v>
      </c>
      <c r="N5507">
        <v>-8.4821189999999998E-3</v>
      </c>
      <c r="O5507">
        <v>-0.2726401</v>
      </c>
      <c r="P5507">
        <v>0.91596060000000001</v>
      </c>
      <c r="Q5507">
        <v>0.39909460000000002</v>
      </c>
      <c r="R5507">
        <v>-4.1708759999999998E-2</v>
      </c>
      <c r="S5507">
        <v>3.4561160000000002</v>
      </c>
      <c r="T5507">
        <v>-0.4371274</v>
      </c>
      <c r="U5507">
        <v>-0.21646119999999999</v>
      </c>
      <c r="V5507">
        <v>-0.21368100000000001</v>
      </c>
      <c r="W5507">
        <v>0.40452630000000001</v>
      </c>
      <c r="X5507">
        <v>0.88921249999999996</v>
      </c>
      <c r="Y5507">
        <v>-0.2083873</v>
      </c>
      <c r="Z5507">
        <v>4.5580969999999998E-2</v>
      </c>
      <c r="AA5507">
        <v>0.97698370000000001</v>
      </c>
      <c r="AB5507">
        <v>37</v>
      </c>
      <c r="AC5507">
        <v>8.64510000000001</v>
      </c>
      <c r="AD5507">
        <v>-1.114069075977</v>
      </c>
      <c r="AE5507">
        <v>-0.50602999999999498</v>
      </c>
      <c r="AF5507">
        <v>-1.8397789025760201</v>
      </c>
      <c r="AG5507">
        <v>-1.114069075977</v>
      </c>
      <c r="AH5507">
        <v>8.3178738335995206</v>
      </c>
      <c r="AI5507">
        <v>97.450631884480998</v>
      </c>
      <c r="AJ5507">
        <v>102.472097653406</v>
      </c>
      <c r="AK5507">
        <v>8.5914469926835704</v>
      </c>
      <c r="AL5507">
        <v>66.138553515868495</v>
      </c>
      <c r="AM5507">
        <v>103.512181900492</v>
      </c>
      <c r="AN5507">
        <v>0.99999998365446896</v>
      </c>
    </row>
    <row r="5508" spans="1:40" x14ac:dyDescent="0.25">
      <c r="A5508" t="str">
        <f>"20190304164519727"</f>
        <v>20190304164519727</v>
      </c>
      <c r="B5508" t="str">
        <f>"1551689119715837"</f>
        <v>1551689119715837</v>
      </c>
      <c r="C5508" t="s">
        <v>40</v>
      </c>
      <c r="D5508">
        <v>5.2419370000000001</v>
      </c>
      <c r="E5508">
        <v>0.51344339999999999</v>
      </c>
      <c r="F5508" t="s">
        <v>42</v>
      </c>
      <c r="G5508">
        <v>-268.65030000000002</v>
      </c>
      <c r="H5508" s="1">
        <v>-3.008351E-6</v>
      </c>
      <c r="I5508">
        <v>-58.736829999999998</v>
      </c>
      <c r="J5508">
        <v>-277.2731</v>
      </c>
      <c r="K5508">
        <v>1.1139030000000001</v>
      </c>
      <c r="L5508">
        <v>-58.244419999999998</v>
      </c>
      <c r="M5508">
        <v>0.96247249999999995</v>
      </c>
      <c r="N5508">
        <v>-8.4708979999999993E-3</v>
      </c>
      <c r="O5508">
        <v>-0.27124700000000002</v>
      </c>
      <c r="P5508">
        <v>0.91607620000000001</v>
      </c>
      <c r="Q5508">
        <v>0.39899770000000001</v>
      </c>
      <c r="R5508">
        <v>-4.0063359999999999E-2</v>
      </c>
      <c r="S5508">
        <v>3.456512</v>
      </c>
      <c r="T5508">
        <v>-0.43811939999999999</v>
      </c>
      <c r="U5508">
        <v>-0.21176149999999999</v>
      </c>
      <c r="V5508">
        <v>-0.2138409</v>
      </c>
      <c r="W5508">
        <v>0.40450150000000001</v>
      </c>
      <c r="X5508">
        <v>0.88918539999999902</v>
      </c>
      <c r="Y5508">
        <v>-0.20829590000000001</v>
      </c>
      <c r="Z5508">
        <v>4.552316E-2</v>
      </c>
      <c r="AA5508">
        <v>0.97700580000000004</v>
      </c>
      <c r="AB5508">
        <v>37</v>
      </c>
      <c r="AC5508">
        <v>8.6227999999999803</v>
      </c>
      <c r="AD5508">
        <v>-1.113906008351</v>
      </c>
      <c r="AE5508">
        <v>-0.49241000000000601</v>
      </c>
      <c r="AF5508">
        <v>-1.8345296089930601</v>
      </c>
      <c r="AG5508">
        <v>-1.113906008351</v>
      </c>
      <c r="AH5508">
        <v>8.2950977363798106</v>
      </c>
      <c r="AI5508">
        <v>97.469817082567204</v>
      </c>
      <c r="AJ5508">
        <v>102.47070431948499</v>
      </c>
      <c r="AK5508">
        <v>8.5682513932427398</v>
      </c>
      <c r="AL5508">
        <v>66.140108541619199</v>
      </c>
      <c r="AM5508">
        <v>103.522319047648</v>
      </c>
      <c r="AN5508">
        <v>1.0000000347941</v>
      </c>
    </row>
    <row r="5509" spans="1:40" x14ac:dyDescent="0.25">
      <c r="A5509" t="str">
        <f>"20190304164519739"</f>
        <v>20190304164519739</v>
      </c>
      <c r="B5509" t="str">
        <f>"1551689119735357"</f>
        <v>1551689119735357</v>
      </c>
      <c r="C5509" t="s">
        <v>40</v>
      </c>
      <c r="D5509">
        <v>5.3109109999999999</v>
      </c>
      <c r="E5509">
        <v>0.51371259999999996</v>
      </c>
      <c r="F5509" t="s">
        <v>42</v>
      </c>
      <c r="G5509">
        <v>-268.48899999999998</v>
      </c>
      <c r="H5509" s="1">
        <v>-2.933603E-6</v>
      </c>
      <c r="I5509">
        <v>-58.768189999999997</v>
      </c>
      <c r="J5509">
        <v>-277.09989999999999</v>
      </c>
      <c r="K5509">
        <v>1.113745</v>
      </c>
      <c r="L5509">
        <v>-58.292050000000003</v>
      </c>
      <c r="M5509">
        <v>0.96286519999999998</v>
      </c>
      <c r="N5509">
        <v>-8.4598569999999994E-3</v>
      </c>
      <c r="O5509">
        <v>-0.26985019999999998</v>
      </c>
      <c r="P5509">
        <v>0.91641859999999997</v>
      </c>
      <c r="Q5509">
        <v>0.39837729999999999</v>
      </c>
      <c r="R5509">
        <v>-3.8374440000000003E-2</v>
      </c>
      <c r="S5509">
        <v>3.4567570000000001</v>
      </c>
      <c r="T5509">
        <v>-0.4383531</v>
      </c>
      <c r="U5509">
        <v>-0.2061462</v>
      </c>
      <c r="V5509">
        <v>-0.2140949</v>
      </c>
      <c r="W5509">
        <v>0.40395550000000002</v>
      </c>
      <c r="X5509">
        <v>0.88937250000000001</v>
      </c>
      <c r="Y5509">
        <v>-0.2084665</v>
      </c>
      <c r="Z5509">
        <v>4.5403939999999997E-2</v>
      </c>
      <c r="AA5509">
        <v>0.97697500000000004</v>
      </c>
      <c r="AB5509">
        <v>37</v>
      </c>
      <c r="AC5509">
        <v>8.6108999999999494</v>
      </c>
      <c r="AD5509">
        <v>-1.1137479336030001</v>
      </c>
      <c r="AE5509">
        <v>-0.47614000000000001</v>
      </c>
      <c r="AF5509">
        <v>-1.83466213073829</v>
      </c>
      <c r="AG5509">
        <v>-1.1137479336030001</v>
      </c>
      <c r="AH5509">
        <v>8.2817973273711694</v>
      </c>
      <c r="AI5509">
        <v>97.480048737845493</v>
      </c>
      <c r="AJ5509">
        <v>102.49097795893699</v>
      </c>
      <c r="AK5509">
        <v>8.55538348440456</v>
      </c>
      <c r="AL5509">
        <v>66.174311522665704</v>
      </c>
      <c r="AM5509">
        <v>103.535046820475</v>
      </c>
      <c r="AN5509">
        <v>1.00000005797125</v>
      </c>
    </row>
    <row r="5510" spans="1:40" x14ac:dyDescent="0.25">
      <c r="A5510" t="str">
        <f>"20190304164519749"</f>
        <v>20190304164519749</v>
      </c>
      <c r="B5510" t="str">
        <f>"1551689119746094"</f>
        <v>1551689119746094</v>
      </c>
      <c r="C5510" t="s">
        <v>40</v>
      </c>
      <c r="D5510">
        <v>5.2332830000000001</v>
      </c>
      <c r="E5510">
        <v>0.5137931</v>
      </c>
      <c r="F5510" t="s">
        <v>42</v>
      </c>
      <c r="G5510">
        <v>-268.37560000000002</v>
      </c>
      <c r="H5510" s="1">
        <v>-2.8788279999999998E-6</v>
      </c>
      <c r="I5510">
        <v>-58.8026699999999</v>
      </c>
      <c r="J5510">
        <v>-276.91449999999998</v>
      </c>
      <c r="K5510">
        <v>1.1135809999999999</v>
      </c>
      <c r="L5510">
        <v>-58.342709999999997</v>
      </c>
      <c r="M5510">
        <v>0.96326069999999997</v>
      </c>
      <c r="N5510">
        <v>-8.4486860000000004E-3</v>
      </c>
      <c r="O5510">
        <v>-0.26843630000000002</v>
      </c>
      <c r="P5510">
        <v>0.91670079999999998</v>
      </c>
      <c r="Q5510">
        <v>0.39789219999999997</v>
      </c>
      <c r="R5510">
        <v>-3.6632020000000001E-2</v>
      </c>
      <c r="S5510">
        <v>3.457001</v>
      </c>
      <c r="T5510">
        <v>-0.44132579999999999</v>
      </c>
      <c r="U5510">
        <v>-0.20236209999999999</v>
      </c>
      <c r="V5510">
        <v>-0.21436540000000001</v>
      </c>
      <c r="W5510">
        <v>0.40354620000000002</v>
      </c>
      <c r="X5510">
        <v>0.88949310000000004</v>
      </c>
      <c r="Y5510">
        <v>-0.2080642</v>
      </c>
      <c r="Z5510">
        <v>4.5531639999999998E-2</v>
      </c>
      <c r="AA5510">
        <v>0.9770548</v>
      </c>
      <c r="AB5510">
        <v>37</v>
      </c>
      <c r="AC5510">
        <v>8.5388999999999502</v>
      </c>
      <c r="AD5510">
        <v>-1.1135838788279999</v>
      </c>
      <c r="AE5510">
        <v>-0.45995999999999498</v>
      </c>
      <c r="AF5510">
        <v>-1.8183190718167701</v>
      </c>
      <c r="AG5510">
        <v>-1.1135838788279999</v>
      </c>
      <c r="AH5510">
        <v>8.2097287272331894</v>
      </c>
      <c r="AI5510">
        <v>97.543932523052007</v>
      </c>
      <c r="AJ5510">
        <v>102.488465002705</v>
      </c>
      <c r="AK5510">
        <v>8.4820987424620409</v>
      </c>
      <c r="AL5510">
        <v>66.199943857332698</v>
      </c>
      <c r="AM5510">
        <v>103.549747890589</v>
      </c>
      <c r="AN5510">
        <v>1.0000000175996</v>
      </c>
    </row>
    <row r="5511" spans="1:40" x14ac:dyDescent="0.25">
      <c r="A5511" t="str">
        <f>"20190304164519761"</f>
        <v>20190304164519761</v>
      </c>
      <c r="B5511" t="str">
        <f>"1551689119755853"</f>
        <v>1551689119755853</v>
      </c>
      <c r="C5511" t="s">
        <v>40</v>
      </c>
      <c r="D5511">
        <v>5.2622879999999999</v>
      </c>
      <c r="E5511">
        <v>0.51395970000000002</v>
      </c>
      <c r="F5511" t="s">
        <v>53</v>
      </c>
      <c r="G5511">
        <v>-268.22789999999998</v>
      </c>
      <c r="H5511" s="1">
        <v>-2.809633E-6</v>
      </c>
      <c r="I5511">
        <v>-58.835540000000002</v>
      </c>
      <c r="J5511">
        <v>-276.73099999999999</v>
      </c>
      <c r="K5511">
        <v>1.113424</v>
      </c>
      <c r="L5511">
        <v>-58.392670000000003</v>
      </c>
      <c r="M5511">
        <v>0.96362749999999997</v>
      </c>
      <c r="N5511">
        <v>-8.4382750000000003E-3</v>
      </c>
      <c r="O5511">
        <v>-0.26711600000000002</v>
      </c>
      <c r="P5511">
        <v>0.91676219999999997</v>
      </c>
      <c r="Q5511">
        <v>0.3979297</v>
      </c>
      <c r="R5511">
        <v>-3.4626730000000001E-2</v>
      </c>
      <c r="S5511">
        <v>3.4571230000000002</v>
      </c>
      <c r="T5511">
        <v>-0.4431911</v>
      </c>
      <c r="U5511">
        <v>-0.19616700000000001</v>
      </c>
      <c r="V5511">
        <v>-0.2149335</v>
      </c>
      <c r="W5511">
        <v>0.40365050000000002</v>
      </c>
      <c r="X5511">
        <v>0.88930859999999901</v>
      </c>
      <c r="Y5511">
        <v>-0.20844550000000001</v>
      </c>
      <c r="Z5511">
        <v>4.5607420000000003E-2</v>
      </c>
      <c r="AA5511">
        <v>0.97697000000000001</v>
      </c>
      <c r="AB5511">
        <v>37</v>
      </c>
      <c r="AC5511">
        <v>8.5031000000000105</v>
      </c>
      <c r="AD5511">
        <v>-1.113426809633</v>
      </c>
      <c r="AE5511">
        <v>-0.44287000000000598</v>
      </c>
      <c r="AF5511">
        <v>-1.8136055307137999</v>
      </c>
      <c r="AG5511">
        <v>-1.113426809633</v>
      </c>
      <c r="AH5511">
        <v>8.1726628041949194</v>
      </c>
      <c r="AI5511">
        <v>97.576016934620895</v>
      </c>
      <c r="AJ5511">
        <v>102.511825737005</v>
      </c>
      <c r="AK5511">
        <v>8.4451939937763694</v>
      </c>
      <c r="AL5511">
        <v>66.193410874117802</v>
      </c>
      <c r="AM5511">
        <v>103.58704155346</v>
      </c>
      <c r="AN5511">
        <v>0.99999996080322895</v>
      </c>
    </row>
    <row r="5512" spans="1:40" x14ac:dyDescent="0.25">
      <c r="A5512" t="str">
        <f>"20190304164519772"</f>
        <v>20190304164519772</v>
      </c>
      <c r="B5512" t="str">
        <f>"1551689119765613"</f>
        <v>1551689119765613</v>
      </c>
      <c r="C5512" t="s">
        <v>40</v>
      </c>
      <c r="D5512">
        <v>5.2262659999999999</v>
      </c>
      <c r="E5512">
        <v>0.51405249999999902</v>
      </c>
      <c r="F5512" t="s">
        <v>42</v>
      </c>
      <c r="G5512">
        <v>-268.05410000000001</v>
      </c>
      <c r="H5512" s="1">
        <v>-2.7289740000000002E-6</v>
      </c>
      <c r="I5512">
        <v>-58.869840000000003</v>
      </c>
      <c r="J5512">
        <v>-276.55239999999998</v>
      </c>
      <c r="K5512">
        <v>1.1132799999999901</v>
      </c>
      <c r="L5512">
        <v>-58.441130000000001</v>
      </c>
      <c r="M5512">
        <v>0.96397140000000003</v>
      </c>
      <c r="N5512">
        <v>-8.4286769999999903E-3</v>
      </c>
      <c r="O5512">
        <v>-0.2658722</v>
      </c>
      <c r="P5512">
        <v>0.91681579999999996</v>
      </c>
      <c r="Q5512">
        <v>0.39796340000000002</v>
      </c>
      <c r="R5512">
        <v>-3.2772780000000001E-2</v>
      </c>
      <c r="S5512">
        <v>3.4577939999999998</v>
      </c>
      <c r="T5512">
        <v>-0.44370870000000001</v>
      </c>
      <c r="U5512">
        <v>-0.19018550000000001</v>
      </c>
      <c r="V5512">
        <v>-0.21543390000000001</v>
      </c>
      <c r="W5512">
        <v>0.4037482</v>
      </c>
      <c r="X5512">
        <v>0.88914319999999902</v>
      </c>
      <c r="Y5512">
        <v>-0.20887600000000001</v>
      </c>
      <c r="Z5512">
        <v>4.5544910000000001E-2</v>
      </c>
      <c r="AA5512">
        <v>0.976881</v>
      </c>
      <c r="AB5512">
        <v>37</v>
      </c>
      <c r="AC5512">
        <v>8.4982999999999702</v>
      </c>
      <c r="AD5512">
        <v>-1.1132827289739999</v>
      </c>
      <c r="AE5512">
        <v>-0.42871000000000198</v>
      </c>
      <c r="AF5512">
        <v>-1.81519145510657</v>
      </c>
      <c r="AG5512">
        <v>-1.1132827289739999</v>
      </c>
      <c r="AH5512">
        <v>8.1666028853049095</v>
      </c>
      <c r="AI5512">
        <v>97.580034522784104</v>
      </c>
      <c r="AJ5512">
        <v>102.53142054977</v>
      </c>
      <c r="AK5512">
        <v>8.4396517190932805</v>
      </c>
      <c r="AL5512">
        <v>66.187293384502397</v>
      </c>
      <c r="AM5512">
        <v>103.619936632676</v>
      </c>
      <c r="AN5512">
        <v>1.00000000218934</v>
      </c>
    </row>
    <row r="5513" spans="1:40" x14ac:dyDescent="0.25">
      <c r="A5513" t="str">
        <f>"20190304164519784"</f>
        <v>20190304164519784</v>
      </c>
      <c r="B5513" t="str">
        <f>"1551689119775373"</f>
        <v>1551689119775373</v>
      </c>
      <c r="C5513" t="s">
        <v>40</v>
      </c>
      <c r="D5513">
        <v>5.2441570000000004</v>
      </c>
      <c r="E5513">
        <v>0.51417060000000003</v>
      </c>
      <c r="F5513" t="s">
        <v>42</v>
      </c>
      <c r="G5513">
        <v>-267.875</v>
      </c>
      <c r="H5513" s="1">
        <v>-2.6460889999999999E-6</v>
      </c>
      <c r="I5513">
        <v>-58.903959999999998</v>
      </c>
      <c r="J5513">
        <v>-276.3716</v>
      </c>
      <c r="K5513">
        <v>1.1131439999999999</v>
      </c>
      <c r="L5513">
        <v>-58.489899999999999</v>
      </c>
      <c r="M5513">
        <v>0.96429260000000006</v>
      </c>
      <c r="N5513">
        <v>-8.4195329999999999E-3</v>
      </c>
      <c r="O5513">
        <v>-0.264706</v>
      </c>
      <c r="P5513">
        <v>0.91682669999999999</v>
      </c>
      <c r="Q5513">
        <v>0.39810060000000003</v>
      </c>
      <c r="R5513">
        <v>-3.0741310000000001E-2</v>
      </c>
      <c r="S5513">
        <v>3.4581909999999998</v>
      </c>
      <c r="T5513">
        <v>-0.44367410000000002</v>
      </c>
      <c r="U5513">
        <v>-0.1844788</v>
      </c>
      <c r="V5513">
        <v>-0.21617890000000001</v>
      </c>
      <c r="W5513">
        <v>0.40394190000000002</v>
      </c>
      <c r="X5513">
        <v>0.88887439999999995</v>
      </c>
      <c r="Y5513">
        <v>-0.209312</v>
      </c>
      <c r="Z5513">
        <v>4.5436900000000002E-2</v>
      </c>
      <c r="AA5513">
        <v>0.97679269999999996</v>
      </c>
      <c r="AB5513">
        <v>37</v>
      </c>
      <c r="AC5513">
        <v>8.4966000000000008</v>
      </c>
      <c r="AD5513">
        <v>-1.113146646089</v>
      </c>
      <c r="AE5513">
        <v>-0.41405999999999898</v>
      </c>
      <c r="AF5513">
        <v>-1.8187484836925201</v>
      </c>
      <c r="AG5513">
        <v>-1.113146646089</v>
      </c>
      <c r="AH5513">
        <v>8.1633234210332599</v>
      </c>
      <c r="AI5513">
        <v>97.581293901426207</v>
      </c>
      <c r="AJ5513">
        <v>102.560082928773</v>
      </c>
      <c r="AK5513">
        <v>8.4372264861756108</v>
      </c>
      <c r="AL5513">
        <v>66.175162809218804</v>
      </c>
      <c r="AM5513">
        <v>103.66925060726599</v>
      </c>
      <c r="AN5513">
        <v>1.0000000371780799</v>
      </c>
    </row>
    <row r="5514" spans="1:40" x14ac:dyDescent="0.25">
      <c r="A5514" t="str">
        <f>"20190304164519793"</f>
        <v>20190304164519793</v>
      </c>
      <c r="B5514" t="str">
        <f>"1551689119786110"</f>
        <v>1551689119786110</v>
      </c>
      <c r="C5514" t="s">
        <v>40</v>
      </c>
      <c r="D5514">
        <v>5.2931629999999998</v>
      </c>
      <c r="E5514">
        <v>0.51435319999999995</v>
      </c>
      <c r="F5514" t="s">
        <v>42</v>
      </c>
      <c r="G5514">
        <v>-267.68729999999999</v>
      </c>
      <c r="H5514" s="1">
        <v>-2.5594579999999999E-6</v>
      </c>
      <c r="I5514">
        <v>-58.938549999999999</v>
      </c>
      <c r="J5514">
        <v>-276.20420000000001</v>
      </c>
      <c r="K5514">
        <v>1.11302099999999</v>
      </c>
      <c r="L5514">
        <v>-58.534999999999997</v>
      </c>
      <c r="M5514">
        <v>0.96458440000000001</v>
      </c>
      <c r="N5514">
        <v>-8.4114589999999996E-3</v>
      </c>
      <c r="O5514">
        <v>-0.26364090000000001</v>
      </c>
      <c r="P5514">
        <v>0.9168984</v>
      </c>
      <c r="Q5514">
        <v>0.39808300000000002</v>
      </c>
      <c r="R5514">
        <v>-2.8767439999999998E-2</v>
      </c>
      <c r="S5514">
        <v>3.4586489999999999</v>
      </c>
      <c r="T5514">
        <v>-0.44333220000000001</v>
      </c>
      <c r="U5514">
        <v>-0.17871090000000001</v>
      </c>
      <c r="V5514">
        <v>-0.2169903</v>
      </c>
      <c r="W5514">
        <v>0.40397549999999999</v>
      </c>
      <c r="X5514">
        <v>0.88866139999999905</v>
      </c>
      <c r="Y5514">
        <v>-0.20987249999999999</v>
      </c>
      <c r="Z5514">
        <v>4.5315830000000001E-2</v>
      </c>
      <c r="AA5514">
        <v>0.97667809999999999</v>
      </c>
      <c r="AB5514">
        <v>37</v>
      </c>
      <c r="AC5514">
        <v>8.5169000000000192</v>
      </c>
      <c r="AD5514">
        <v>-1.11302355945799</v>
      </c>
      <c r="AE5514">
        <v>-0.40355000000000202</v>
      </c>
      <c r="AF5514">
        <v>-1.8251104643180001</v>
      </c>
      <c r="AG5514">
        <v>-1.11302355945799</v>
      </c>
      <c r="AH5514">
        <v>8.1825232764609801</v>
      </c>
      <c r="AI5514">
        <v>97.562479929617595</v>
      </c>
      <c r="AJ5514">
        <v>102.57398701591499</v>
      </c>
      <c r="AK5514">
        <v>8.4571589095095892</v>
      </c>
      <c r="AL5514">
        <v>66.173058376278803</v>
      </c>
      <c r="AM5514">
        <v>103.721785175024</v>
      </c>
      <c r="AN5514">
        <v>1.00000003937214</v>
      </c>
    </row>
    <row r="5515" spans="1:40" x14ac:dyDescent="0.25">
      <c r="A5515" t="str">
        <f>"20190304164519805"</f>
        <v>20190304164519805</v>
      </c>
      <c r="B5515" t="str">
        <f>"1551689119795870"</f>
        <v>1551689119795870</v>
      </c>
      <c r="C5515" t="s">
        <v>40</v>
      </c>
      <c r="D5515">
        <v>5.2932379999999997</v>
      </c>
      <c r="E5515">
        <v>0.51452200000000003</v>
      </c>
      <c r="F5515" t="s">
        <v>42</v>
      </c>
      <c r="G5515">
        <v>-267.53280000000001</v>
      </c>
      <c r="H5515" s="1">
        <v>-2.4874530000000001E-6</v>
      </c>
      <c r="I5515">
        <v>-58.970599999999997</v>
      </c>
      <c r="J5515">
        <v>-276.02550000000002</v>
      </c>
      <c r="K5515">
        <v>1.1128990000000001</v>
      </c>
      <c r="L5515">
        <v>-58.58276</v>
      </c>
      <c r="M5515">
        <v>0.96487239999999996</v>
      </c>
      <c r="N5515">
        <v>-8.4034660000000001E-3</v>
      </c>
      <c r="O5515">
        <v>-0.2625847</v>
      </c>
      <c r="P5515">
        <v>0.9168482</v>
      </c>
      <c r="Q5515">
        <v>0.39831100000000003</v>
      </c>
      <c r="R5515">
        <v>-2.7162889999999999E-2</v>
      </c>
      <c r="S5515">
        <v>3.4592290000000001</v>
      </c>
      <c r="T5515">
        <v>-0.44401160000000001</v>
      </c>
      <c r="U5515">
        <v>-0.1737976</v>
      </c>
      <c r="V5515">
        <v>-0.21743090000000001</v>
      </c>
      <c r="W5515">
        <v>0.40425460000000002</v>
      </c>
      <c r="X5515">
        <v>0.88842670000000001</v>
      </c>
      <c r="Y5515">
        <v>-0.2101884</v>
      </c>
      <c r="Z5515">
        <v>4.5283400000000001E-2</v>
      </c>
      <c r="AA5515">
        <v>0.97661160000000002</v>
      </c>
      <c r="AB5515">
        <v>37</v>
      </c>
      <c r="AC5515">
        <v>8.4927000000000099</v>
      </c>
      <c r="AD5515">
        <v>-1.1129014874529899</v>
      </c>
      <c r="AE5515">
        <v>-0.38783999999999702</v>
      </c>
      <c r="AF5515">
        <v>-1.8246349227441201</v>
      </c>
      <c r="AG5515">
        <v>-1.1129014874529899</v>
      </c>
      <c r="AH5515">
        <v>8.1567290819866507</v>
      </c>
      <c r="AI5515">
        <v>97.584262496955901</v>
      </c>
      <c r="AJ5515">
        <v>102.609298618124</v>
      </c>
      <c r="AK5515">
        <v>8.4320858415340698</v>
      </c>
      <c r="AL5515">
        <v>66.155574762059402</v>
      </c>
      <c r="AM5515">
        <v>103.752085213027</v>
      </c>
      <c r="AN5515">
        <v>0.99999998958443004</v>
      </c>
    </row>
    <row r="5516" spans="1:40" x14ac:dyDescent="0.25">
      <c r="A5516" t="str">
        <f>"20190304164519819"</f>
        <v>20190304164519819</v>
      </c>
      <c r="B5516" t="str">
        <f>"1551689119815389"</f>
        <v>1551689119815389</v>
      </c>
      <c r="C5516" t="s">
        <v>40</v>
      </c>
      <c r="D5516">
        <v>5.2963829999999996</v>
      </c>
      <c r="E5516">
        <v>0.5147545</v>
      </c>
      <c r="F5516" t="s">
        <v>53</v>
      </c>
      <c r="G5516">
        <v>-267.33199999999999</v>
      </c>
      <c r="H5516" s="1">
        <v>-2.3948739999999998E-6</v>
      </c>
      <c r="I5516">
        <v>-59.00694</v>
      </c>
      <c r="J5516">
        <v>-275.81279999999998</v>
      </c>
      <c r="K5516">
        <v>1.1127640000000001</v>
      </c>
      <c r="L5516">
        <v>-58.639589999999998</v>
      </c>
      <c r="M5516">
        <v>0.96520660000000003</v>
      </c>
      <c r="N5516">
        <v>-8.3945589999999994E-3</v>
      </c>
      <c r="O5516">
        <v>-0.26135439999999999</v>
      </c>
      <c r="P5516">
        <v>0.91673859999999996</v>
      </c>
      <c r="Q5516">
        <v>0.39867279999999999</v>
      </c>
      <c r="R5516">
        <v>-2.550591E-2</v>
      </c>
      <c r="S5516">
        <v>3.4595030000000002</v>
      </c>
      <c r="T5516">
        <v>-0.44286779999999998</v>
      </c>
      <c r="U5516">
        <v>-0.16882320000000001</v>
      </c>
      <c r="V5516">
        <v>-0.2177318</v>
      </c>
      <c r="W5516">
        <v>0.40467550000000002</v>
      </c>
      <c r="X5516">
        <v>0.88816139999999999</v>
      </c>
      <c r="Y5516">
        <v>-0.21037320000000001</v>
      </c>
      <c r="Z5516">
        <v>4.5036340000000001E-2</v>
      </c>
      <c r="AA5516">
        <v>0.97658319999999998</v>
      </c>
      <c r="AB5516">
        <v>37</v>
      </c>
      <c r="AC5516">
        <v>8.4807999999999808</v>
      </c>
      <c r="AD5516">
        <v>-1.1127663948740001</v>
      </c>
      <c r="AE5516">
        <v>-0.36734999999999401</v>
      </c>
      <c r="AF5516">
        <v>-1.8305353801692199</v>
      </c>
      <c r="AG5516">
        <v>-1.1127663948740001</v>
      </c>
      <c r="AH5516">
        <v>8.1421102088498891</v>
      </c>
      <c r="AI5516">
        <v>97.595003900995707</v>
      </c>
      <c r="AJ5516">
        <v>102.67074207324799</v>
      </c>
      <c r="AK5516">
        <v>8.4192082454747297</v>
      </c>
      <c r="AL5516">
        <v>66.129206978989501</v>
      </c>
      <c r="AM5516">
        <v>103.77434924845799</v>
      </c>
      <c r="AN5516">
        <v>1.0000000347407201</v>
      </c>
    </row>
    <row r="5517" spans="1:40" x14ac:dyDescent="0.25">
      <c r="A5517" t="str">
        <f>"20190304164519832"</f>
        <v>20190304164519832</v>
      </c>
      <c r="B5517" t="str">
        <f>"1551689119826126"</f>
        <v>1551689119826126</v>
      </c>
      <c r="C5517" t="s">
        <v>40</v>
      </c>
      <c r="D5517">
        <v>5.2943280000000001</v>
      </c>
      <c r="E5517">
        <v>0.51490829999999999</v>
      </c>
      <c r="F5517" t="s">
        <v>42</v>
      </c>
      <c r="G5517">
        <v>-267.10079999999999</v>
      </c>
      <c r="H5517" s="1">
        <v>-2.2874669999999998E-6</v>
      </c>
      <c r="I5517">
        <v>-59.053289999999997</v>
      </c>
      <c r="J5517">
        <v>-275.58109999999999</v>
      </c>
      <c r="K5517">
        <v>1.112633</v>
      </c>
      <c r="L5517">
        <v>-58.701169999999998</v>
      </c>
      <c r="M5517">
        <v>0.96555429999999998</v>
      </c>
      <c r="N5517">
        <v>-8.3856580000000007E-3</v>
      </c>
      <c r="O5517">
        <v>-0.26006689999999999</v>
      </c>
      <c r="P5517">
        <v>0.91639780000000004</v>
      </c>
      <c r="Q5517">
        <v>0.3995475</v>
      </c>
      <c r="R5517">
        <v>-2.4024319999999998E-2</v>
      </c>
      <c r="S5517">
        <v>3.4601440000000001</v>
      </c>
      <c r="T5517">
        <v>-0.44195760000000001</v>
      </c>
      <c r="U5517">
        <v>-0.16433719999999999</v>
      </c>
      <c r="V5517">
        <v>-0.2177577</v>
      </c>
      <c r="W5517">
        <v>0.40560930000000001</v>
      </c>
      <c r="X5517">
        <v>0.88772899999999999</v>
      </c>
      <c r="Y5517">
        <v>-0.21036679999999999</v>
      </c>
      <c r="Z5517">
        <v>4.4789410000000002E-2</v>
      </c>
      <c r="AA5517">
        <v>0.97659600000000002</v>
      </c>
      <c r="AB5517">
        <v>37</v>
      </c>
      <c r="AC5517">
        <v>8.4802999999999997</v>
      </c>
      <c r="AD5517">
        <v>-1.112635287467</v>
      </c>
      <c r="AE5517">
        <v>-0.35212000000000598</v>
      </c>
      <c r="AF5517">
        <v>-1.8340034385666499</v>
      </c>
      <c r="AG5517">
        <v>-1.112635287467</v>
      </c>
      <c r="AH5517">
        <v>8.1401709227524108</v>
      </c>
      <c r="AI5517">
        <v>97.595136336837299</v>
      </c>
      <c r="AJ5517">
        <v>102.696896521784</v>
      </c>
      <c r="AK5517">
        <v>8.4180703577016391</v>
      </c>
      <c r="AL5517">
        <v>66.070686592619694</v>
      </c>
      <c r="AM5517">
        <v>103.78237958878699</v>
      </c>
      <c r="AN5517">
        <v>1.00000004879838</v>
      </c>
    </row>
    <row r="5518" spans="1:40" x14ac:dyDescent="0.25">
      <c r="A5518" t="str">
        <f>"20190304164519846"</f>
        <v>20190304164519846</v>
      </c>
      <c r="B5518" t="str">
        <f>"1551689119835887"</f>
        <v>1551689119835887</v>
      </c>
      <c r="C5518" t="s">
        <v>40</v>
      </c>
      <c r="D5518">
        <v>5.2961660000000004</v>
      </c>
      <c r="E5518">
        <v>0.51506579999999902</v>
      </c>
      <c r="F5518" t="s">
        <v>42</v>
      </c>
      <c r="G5518">
        <v>-266.81950000000001</v>
      </c>
      <c r="H5518" s="1">
        <v>-2.1583219999999999E-6</v>
      </c>
      <c r="I5518">
        <v>-59.101179999999999</v>
      </c>
      <c r="J5518">
        <v>-275.38290000000001</v>
      </c>
      <c r="K5518">
        <v>1.1125419999999999</v>
      </c>
      <c r="L5518">
        <v>-58.753509999999999</v>
      </c>
      <c r="M5518">
        <v>0.96583779999999997</v>
      </c>
      <c r="N5518">
        <v>-8.3790310000000003E-3</v>
      </c>
      <c r="O5518">
        <v>-0.25901170000000001</v>
      </c>
      <c r="P5518">
        <v>0.91611770000000003</v>
      </c>
      <c r="Q5518">
        <v>0.40026020000000001</v>
      </c>
      <c r="R5518">
        <v>-2.281296E-2</v>
      </c>
      <c r="S5518">
        <v>3.461182</v>
      </c>
      <c r="T5518">
        <v>-0.43953989999999998</v>
      </c>
      <c r="U5518">
        <v>-0.15805050000000001</v>
      </c>
      <c r="V5518">
        <v>-0.21779090000000001</v>
      </c>
      <c r="W5518">
        <v>0.40636359999999999</v>
      </c>
      <c r="X5518">
        <v>0.88737579999999905</v>
      </c>
      <c r="Y5518">
        <v>-0.21112520000000001</v>
      </c>
      <c r="Z5518">
        <v>4.4461170000000001E-2</v>
      </c>
      <c r="AA5518">
        <v>0.97644730000000002</v>
      </c>
      <c r="AB5518">
        <v>37</v>
      </c>
      <c r="AC5518">
        <v>8.5633999999999997</v>
      </c>
      <c r="AD5518">
        <v>-1.1125441583219999</v>
      </c>
      <c r="AE5518">
        <v>-0.34767000000000697</v>
      </c>
      <c r="AF5518">
        <v>-1.85110112731112</v>
      </c>
      <c r="AG5518">
        <v>-1.1125441583219999</v>
      </c>
      <c r="AH5518">
        <v>8.2226397894159309</v>
      </c>
      <c r="AI5518">
        <v>97.519515561935407</v>
      </c>
      <c r="AJ5518">
        <v>102.68706319318601</v>
      </c>
      <c r="AK5518">
        <v>8.5015372136005496</v>
      </c>
      <c r="AL5518">
        <v>66.023395193667</v>
      </c>
      <c r="AM5518">
        <v>103.78967792834</v>
      </c>
      <c r="AN5518">
        <v>1.0000000309767001</v>
      </c>
    </row>
    <row r="5519" spans="1:40" x14ac:dyDescent="0.25">
      <c r="A5519" t="str">
        <f>"20190304164519860"</f>
        <v>20190304164519860</v>
      </c>
      <c r="B5519" t="str">
        <f>"1551689119855405"</f>
        <v>1551689119855405</v>
      </c>
      <c r="C5519" t="s">
        <v>40</v>
      </c>
      <c r="D5519">
        <v>5.290095</v>
      </c>
      <c r="E5519">
        <v>0.51532609999999901</v>
      </c>
      <c r="F5519" t="s">
        <v>42</v>
      </c>
      <c r="G5519">
        <v>-266.57589999999999</v>
      </c>
      <c r="H5519" s="1">
        <v>-2.0465030000000001E-6</v>
      </c>
      <c r="I5519">
        <v>-59.142319999999998</v>
      </c>
      <c r="J5519">
        <v>-275.14640000000003</v>
      </c>
      <c r="K5519">
        <v>1.112441</v>
      </c>
      <c r="L5519">
        <v>-58.815800000000003</v>
      </c>
      <c r="M5519">
        <v>0.96616950000000001</v>
      </c>
      <c r="N5519">
        <v>-8.3717389999999996E-3</v>
      </c>
      <c r="O5519">
        <v>-0.25777250000000002</v>
      </c>
      <c r="P5519">
        <v>0.91587879999999999</v>
      </c>
      <c r="Q5519">
        <v>0.40087400000000001</v>
      </c>
      <c r="R5519">
        <v>-2.1598079999999999E-2</v>
      </c>
      <c r="S5519">
        <v>3.4619140000000002</v>
      </c>
      <c r="T5519">
        <v>-0.4373244</v>
      </c>
      <c r="U5519">
        <v>-0.15286250000000001</v>
      </c>
      <c r="V5519">
        <v>-0.21766079999999999</v>
      </c>
      <c r="W5519">
        <v>0.40702310000000003</v>
      </c>
      <c r="X5519">
        <v>0.88710529999999999</v>
      </c>
      <c r="Y5519">
        <v>-0.2113852</v>
      </c>
      <c r="Z5519">
        <v>4.4103719999999999E-2</v>
      </c>
      <c r="AA5519">
        <v>0.97640729999999998</v>
      </c>
      <c r="AB5519">
        <v>37</v>
      </c>
      <c r="AC5519">
        <v>8.5705000000000293</v>
      </c>
      <c r="AD5519">
        <v>-1.112443046503</v>
      </c>
      <c r="AE5519">
        <v>-0.32651999999999498</v>
      </c>
      <c r="AF5519">
        <v>-1.86249815483985</v>
      </c>
      <c r="AG5519">
        <v>-1.112443046503</v>
      </c>
      <c r="AH5519">
        <v>8.2266161504971098</v>
      </c>
      <c r="AI5519">
        <v>97.513210249345406</v>
      </c>
      <c r="AJ5519">
        <v>102.756658200263</v>
      </c>
      <c r="AK5519">
        <v>8.5078576737105003</v>
      </c>
      <c r="AL5519">
        <v>65.982030700185902</v>
      </c>
      <c r="AM5519">
        <v>103.785796758397</v>
      </c>
      <c r="AN5519">
        <v>0.99999992053916598</v>
      </c>
    </row>
    <row r="5520" spans="1:40" x14ac:dyDescent="0.25">
      <c r="A5520" t="str">
        <f>"20190304164519872"</f>
        <v>20190304164519872</v>
      </c>
      <c r="B5520" t="str">
        <f>"1551689119866141"</f>
        <v>1551689119866141</v>
      </c>
      <c r="C5520" t="s">
        <v>40</v>
      </c>
      <c r="D5520">
        <v>5.3266939999999998</v>
      </c>
      <c r="E5520">
        <v>0.51547189999999998</v>
      </c>
      <c r="F5520" t="s">
        <v>42</v>
      </c>
      <c r="G5520">
        <v>-266.31169999999997</v>
      </c>
      <c r="H5520" s="1">
        <v>-1.9240320000000002E-6</v>
      </c>
      <c r="I5520">
        <v>-59.193809999999999</v>
      </c>
      <c r="J5520">
        <v>-274.93380000000002</v>
      </c>
      <c r="K5520">
        <v>1.112366</v>
      </c>
      <c r="L5520">
        <v>-58.871549999999999</v>
      </c>
      <c r="M5520">
        <v>0.9664606</v>
      </c>
      <c r="N5520">
        <v>-8.36574E-3</v>
      </c>
      <c r="O5520">
        <v>-0.25667909999999999</v>
      </c>
      <c r="P5520">
        <v>0.91545299999999996</v>
      </c>
      <c r="Q5520">
        <v>0.40188629999999997</v>
      </c>
      <c r="R5520">
        <v>-2.0828650000000001E-2</v>
      </c>
      <c r="S5520">
        <v>3.4628909999999999</v>
      </c>
      <c r="T5520">
        <v>-0.43604039999999999</v>
      </c>
      <c r="U5520">
        <v>-0.1481934</v>
      </c>
      <c r="V5520">
        <v>-0.21721219999999999</v>
      </c>
      <c r="W5520">
        <v>0.40807300000000002</v>
      </c>
      <c r="X5520">
        <v>0.88673289999999905</v>
      </c>
      <c r="Y5520">
        <v>-0.21163360000000001</v>
      </c>
      <c r="Z5520">
        <v>4.3855329999999998E-2</v>
      </c>
      <c r="AA5520">
        <v>0.97636469999999997</v>
      </c>
      <c r="AB5520">
        <v>37</v>
      </c>
      <c r="AC5520">
        <v>8.6221000000000405</v>
      </c>
      <c r="AD5520">
        <v>-1.1123679240319999</v>
      </c>
      <c r="AE5520">
        <v>-0.32225999999999999</v>
      </c>
      <c r="AF5520">
        <v>-1.87063524063808</v>
      </c>
      <c r="AG5520">
        <v>-1.1123679240319999</v>
      </c>
      <c r="AH5520">
        <v>8.2783343162053402</v>
      </c>
      <c r="AI5520">
        <v>97.466990263024798</v>
      </c>
      <c r="AJ5520">
        <v>102.733139922714</v>
      </c>
      <c r="AK5520">
        <v>8.5596412105178405</v>
      </c>
      <c r="AL5520">
        <v>65.916158321420497</v>
      </c>
      <c r="AM5520">
        <v>103.764023331115</v>
      </c>
      <c r="AN5520">
        <v>0.99999997455012402</v>
      </c>
    </row>
    <row r="5521" spans="1:40" x14ac:dyDescent="0.25">
      <c r="A5521" t="str">
        <f>"20190304164519883"</f>
        <v>20190304164519883</v>
      </c>
      <c r="B5521" t="str">
        <f>"1551689119875901"</f>
        <v>1551689119875901</v>
      </c>
      <c r="C5521" t="s">
        <v>40</v>
      </c>
      <c r="D5521">
        <v>5.3281530000000004</v>
      </c>
      <c r="E5521">
        <v>0.51564030000000005</v>
      </c>
      <c r="F5521" t="s">
        <v>42</v>
      </c>
      <c r="G5521">
        <v>-266.03399999999999</v>
      </c>
      <c r="H5521" s="1">
        <v>-1.7974280000000001E-6</v>
      </c>
      <c r="I5521">
        <v>-59.235999999999997</v>
      </c>
      <c r="J5521">
        <v>-274.7611</v>
      </c>
      <c r="K5521">
        <v>1.1123160000000001</v>
      </c>
      <c r="L5521">
        <v>-58.916559999999997</v>
      </c>
      <c r="M5521">
        <v>0.966692</v>
      </c>
      <c r="N5521">
        <v>-8.3616760000000002E-3</v>
      </c>
      <c r="O5521">
        <v>-0.25580589999999997</v>
      </c>
      <c r="P5521">
        <v>0.91521850000000005</v>
      </c>
      <c r="Q5521">
        <v>0.40244770000000002</v>
      </c>
      <c r="R5521">
        <v>-2.0276200000000001E-2</v>
      </c>
      <c r="S5521">
        <v>3.4639280000000001</v>
      </c>
      <c r="T5521">
        <v>-0.43295230000000001</v>
      </c>
      <c r="U5521">
        <v>-0.14187620000000001</v>
      </c>
      <c r="V5521">
        <v>-0.21683240000000001</v>
      </c>
      <c r="W5521">
        <v>0.4086593</v>
      </c>
      <c r="X5521">
        <v>0.88655589999999995</v>
      </c>
      <c r="Y5521">
        <v>-0.21259049999999999</v>
      </c>
      <c r="Z5521">
        <v>4.3494440000000002E-2</v>
      </c>
      <c r="AA5521">
        <v>0.97617290000000001</v>
      </c>
      <c r="AB5521">
        <v>37</v>
      </c>
      <c r="AC5521">
        <v>8.7271000000000001</v>
      </c>
      <c r="AD5521">
        <v>-1.1123177974280001</v>
      </c>
      <c r="AE5521">
        <v>-0.319440000000007</v>
      </c>
      <c r="AF5521">
        <v>-1.8930003167752401</v>
      </c>
      <c r="AG5521">
        <v>-1.1123177974280001</v>
      </c>
      <c r="AH5521">
        <v>8.38244023049071</v>
      </c>
      <c r="AI5521">
        <v>97.375169273974606</v>
      </c>
      <c r="AJ5521">
        <v>102.72559937985</v>
      </c>
      <c r="AK5521">
        <v>8.6652181334075795</v>
      </c>
      <c r="AL5521">
        <v>65.879359077510003</v>
      </c>
      <c r="AM5521">
        <v>103.74350898285</v>
      </c>
      <c r="AN5521">
        <v>1.0000000384955201</v>
      </c>
    </row>
    <row r="5522" spans="1:40" x14ac:dyDescent="0.25">
      <c r="A5522" t="str">
        <f>"20190304164519895"</f>
        <v>20190304164519895</v>
      </c>
      <c r="B5522" t="str">
        <f>"1551689119885661"</f>
        <v>1551689119885661</v>
      </c>
      <c r="C5522" t="s">
        <v>40</v>
      </c>
      <c r="D5522">
        <v>5.24573</v>
      </c>
      <c r="E5522">
        <v>0.51573979999999997</v>
      </c>
      <c r="F5522" t="s">
        <v>42</v>
      </c>
      <c r="G5522">
        <v>-265.82810000000001</v>
      </c>
      <c r="H5522" s="1">
        <v>-1.7013910000000001E-6</v>
      </c>
      <c r="I5522">
        <v>-59.279330000000002</v>
      </c>
      <c r="J5522">
        <v>-274.57619999999997</v>
      </c>
      <c r="K5522">
        <v>1.1122639999999999</v>
      </c>
      <c r="L5522">
        <v>-58.9647199999999</v>
      </c>
      <c r="M5522">
        <v>0.96693879999999999</v>
      </c>
      <c r="N5522">
        <v>-8.3575650000000008E-3</v>
      </c>
      <c r="O5522">
        <v>-0.25487199999999999</v>
      </c>
      <c r="P5522">
        <v>0.91505440000000005</v>
      </c>
      <c r="Q5522">
        <v>0.40287780000000001</v>
      </c>
      <c r="R5522">
        <v>-1.9108969999999999E-2</v>
      </c>
      <c r="S5522">
        <v>3.4644780000000002</v>
      </c>
      <c r="T5522">
        <v>-0.43138799999999999</v>
      </c>
      <c r="U5522">
        <v>-0.1407166</v>
      </c>
      <c r="V5522">
        <v>-0.2170078</v>
      </c>
      <c r="W5522">
        <v>0.409111</v>
      </c>
      <c r="X5522">
        <v>0.8863046</v>
      </c>
      <c r="Y5522">
        <v>-0.2120166</v>
      </c>
      <c r="Z5522">
        <v>4.3185660000000001E-2</v>
      </c>
      <c r="AA5522">
        <v>0.97631140000000005</v>
      </c>
      <c r="AB5522">
        <v>37</v>
      </c>
      <c r="AC5522">
        <v>8.74809999999996</v>
      </c>
      <c r="AD5522">
        <v>-1.112265701391</v>
      </c>
      <c r="AE5522">
        <v>-0.31461000000000799</v>
      </c>
      <c r="AF5522">
        <v>-1.89491149806235</v>
      </c>
      <c r="AG5522">
        <v>-1.112265701391</v>
      </c>
      <c r="AH5522">
        <v>8.4036854107174292</v>
      </c>
      <c r="AI5522">
        <v>97.356924639298001</v>
      </c>
      <c r="AJ5522">
        <v>102.706872321115</v>
      </c>
      <c r="AK5522">
        <v>8.6861817306734199</v>
      </c>
      <c r="AL5522">
        <v>65.8509990700244</v>
      </c>
      <c r="AM5522">
        <v>103.757955983709</v>
      </c>
      <c r="AN5522">
        <v>1.00000001978149</v>
      </c>
    </row>
    <row r="5523" spans="1:40" x14ac:dyDescent="0.25">
      <c r="A5523" t="str">
        <f>"20190304164519906"</f>
        <v>20190304164519906</v>
      </c>
      <c r="B5523" t="str">
        <f>"1551689119895421"</f>
        <v>1551689119895421</v>
      </c>
      <c r="C5523" t="s">
        <v>40</v>
      </c>
      <c r="D5523">
        <v>5.3730760000000002</v>
      </c>
      <c r="E5523">
        <v>0.51573979999999997</v>
      </c>
      <c r="F5523" t="s">
        <v>42</v>
      </c>
      <c r="G5523">
        <v>-265.61360000000002</v>
      </c>
      <c r="H5523" s="1">
        <v>-1.601669E-6</v>
      </c>
      <c r="I5523">
        <v>-59.322719999999997</v>
      </c>
      <c r="J5523">
        <v>-274.40390000000002</v>
      </c>
      <c r="K5523">
        <v>1.112233</v>
      </c>
      <c r="L5523">
        <v>-59.009309999999999</v>
      </c>
      <c r="M5523">
        <v>0.96716760000000002</v>
      </c>
      <c r="N5523">
        <v>-8.3542849999999995E-3</v>
      </c>
      <c r="O5523">
        <v>-0.2540019</v>
      </c>
      <c r="P5523">
        <v>0.91502680000000003</v>
      </c>
      <c r="Q5523">
        <v>0.40298240000000002</v>
      </c>
      <c r="R5523">
        <v>-1.8196339999999998E-2</v>
      </c>
      <c r="S5523">
        <v>3.4649350000000001</v>
      </c>
      <c r="T5523">
        <v>-0.4299984</v>
      </c>
      <c r="U5523">
        <v>-0.13842769999999999</v>
      </c>
      <c r="V5523">
        <v>-0.21704609999999999</v>
      </c>
      <c r="W5523">
        <v>0.40923150000000003</v>
      </c>
      <c r="X5523">
        <v>0.88623960000000002</v>
      </c>
      <c r="Y5523">
        <v>-0.21181710000000001</v>
      </c>
      <c r="Z5523">
        <v>4.292928E-2</v>
      </c>
      <c r="AA5523">
        <v>0.97636599999999996</v>
      </c>
      <c r="AB5523">
        <v>38</v>
      </c>
      <c r="AC5523">
        <v>8.7903000000000002</v>
      </c>
      <c r="AD5523">
        <v>-1.1122346016689999</v>
      </c>
      <c r="AE5523">
        <v>-0.31340999999999702</v>
      </c>
      <c r="AF5523">
        <v>-1.89933104808317</v>
      </c>
      <c r="AG5523">
        <v>-1.1122346016689999</v>
      </c>
      <c r="AH5523">
        <v>8.4465442412159497</v>
      </c>
      <c r="AI5523">
        <v>97.320761629374005</v>
      </c>
      <c r="AJ5523">
        <v>102.673013811826</v>
      </c>
      <c r="AK5523">
        <v>8.7286100759617504</v>
      </c>
      <c r="AL5523">
        <v>65.843432782510902</v>
      </c>
      <c r="AM5523">
        <v>103.761262718794</v>
      </c>
      <c r="AN5523">
        <v>1.0000000293628</v>
      </c>
    </row>
    <row r="5524" spans="1:40" x14ac:dyDescent="0.25">
      <c r="A5524" t="str">
        <f>"20190304164519917"</f>
        <v>20190304164519917</v>
      </c>
      <c r="B5524" t="str">
        <f>"1551689119906157"</f>
        <v>1551689119906157</v>
      </c>
      <c r="C5524" t="s">
        <v>40</v>
      </c>
      <c r="D5524">
        <v>5.3031370000000004</v>
      </c>
      <c r="E5524">
        <v>0.52128200000000002</v>
      </c>
      <c r="F5524" t="s">
        <v>42</v>
      </c>
      <c r="G5524">
        <v>-265.4314</v>
      </c>
      <c r="H5524" s="1">
        <v>-1.5164180000000001E-6</v>
      </c>
      <c r="I5524">
        <v>-59.36271</v>
      </c>
      <c r="J5524">
        <v>-274.2208</v>
      </c>
      <c r="K5524">
        <v>1.1122019999999999</v>
      </c>
      <c r="L5524">
        <v>-59.056609999999999</v>
      </c>
      <c r="M5524">
        <v>0.96741060000000001</v>
      </c>
      <c r="N5524">
        <v>-8.3511260000000004E-3</v>
      </c>
      <c r="O5524">
        <v>-0.25307479999999999</v>
      </c>
      <c r="P5524">
        <v>0.91501690000000002</v>
      </c>
      <c r="Q5524">
        <v>0.403055</v>
      </c>
      <c r="R5524">
        <v>-1.7042290000000002E-2</v>
      </c>
      <c r="S5524">
        <v>3.4650569999999998</v>
      </c>
      <c r="T5524">
        <v>-0.4295291</v>
      </c>
      <c r="U5524">
        <v>-0.13650509999999999</v>
      </c>
      <c r="V5524">
        <v>-0.21727179999999999</v>
      </c>
      <c r="W5524">
        <v>0.40931849999999997</v>
      </c>
      <c r="X5524">
        <v>0.88614409999999899</v>
      </c>
      <c r="Y5524">
        <v>-0.21143970000000001</v>
      </c>
      <c r="Z5524">
        <v>4.2753190000000003E-2</v>
      </c>
      <c r="AA5524">
        <v>0.97645550000000003</v>
      </c>
      <c r="AB5524">
        <v>38</v>
      </c>
      <c r="AC5524">
        <v>8.7894000000000005</v>
      </c>
      <c r="AD5524">
        <v>-1.112203516418</v>
      </c>
      <c r="AE5524">
        <v>-0.30609999999999998</v>
      </c>
      <c r="AF5524">
        <v>-1.89796492207064</v>
      </c>
      <c r="AG5524">
        <v>-1.112203516418</v>
      </c>
      <c r="AH5524">
        <v>8.4456553142791702</v>
      </c>
      <c r="AI5524">
        <v>97.3215353813344</v>
      </c>
      <c r="AJ5524">
        <v>102.665482570875</v>
      </c>
      <c r="AK5524">
        <v>8.7274487219894397</v>
      </c>
      <c r="AL5524">
        <v>65.837969230689495</v>
      </c>
      <c r="AM5524">
        <v>103.776455823021</v>
      </c>
      <c r="AN5524">
        <v>1.0000000177411399</v>
      </c>
    </row>
    <row r="5525" spans="1:40" x14ac:dyDescent="0.25">
      <c r="A5525" t="str">
        <f>"20190304164519927"</f>
        <v>20190304164519927</v>
      </c>
      <c r="B5525" t="str">
        <f>"1551689119915917"</f>
        <v>1551689119915917</v>
      </c>
      <c r="C5525" t="s">
        <v>40</v>
      </c>
      <c r="D5525">
        <v>5.2939189999999998</v>
      </c>
      <c r="E5525">
        <v>0.52082810000000002</v>
      </c>
      <c r="F5525" t="s">
        <v>42</v>
      </c>
      <c r="G5525">
        <v>-265.74590000000001</v>
      </c>
      <c r="H5525" s="1">
        <v>-1.628631E-6</v>
      </c>
      <c r="I5525">
        <v>-59.490879999999997</v>
      </c>
      <c r="J5525">
        <v>-274.04340000000002</v>
      </c>
      <c r="K5525">
        <v>1.1121810000000001</v>
      </c>
      <c r="L5525">
        <v>-59.102200000000003</v>
      </c>
      <c r="M5525">
        <v>0.96764680000000003</v>
      </c>
      <c r="N5525">
        <v>-8.3486500000000009E-3</v>
      </c>
      <c r="O5525">
        <v>-0.25217050000000002</v>
      </c>
      <c r="P5525">
        <v>0.9148811</v>
      </c>
      <c r="Q5525">
        <v>0.4034006</v>
      </c>
      <c r="R5525">
        <v>-1.615227E-2</v>
      </c>
      <c r="S5525">
        <v>3.4762879999999998</v>
      </c>
      <c r="T5525">
        <v>-0.4562138</v>
      </c>
      <c r="U5525">
        <v>-0.1781616</v>
      </c>
      <c r="V5525">
        <v>-0.2172444</v>
      </c>
      <c r="W5525">
        <v>0.40967350000000002</v>
      </c>
      <c r="X5525">
        <v>0.88598670000000002</v>
      </c>
      <c r="Y5525">
        <v>-0.19867009999999999</v>
      </c>
      <c r="Z5525">
        <v>4.4296599999999998E-2</v>
      </c>
      <c r="AA5525">
        <v>0.97906490000000002</v>
      </c>
      <c r="AB5525">
        <v>38</v>
      </c>
      <c r="AC5525">
        <v>8.2975000000000101</v>
      </c>
      <c r="AD5525">
        <v>-1.1121826286309999</v>
      </c>
      <c r="AE5525">
        <v>-0.38868000000000003</v>
      </c>
      <c r="AF5525">
        <v>-1.68611277346904</v>
      </c>
      <c r="AG5525">
        <v>-1.1121826286309999</v>
      </c>
      <c r="AH5525">
        <v>7.9842138391344903</v>
      </c>
      <c r="AI5525">
        <v>97.761121017403397</v>
      </c>
      <c r="AJ5525">
        <v>101.92456174254301</v>
      </c>
      <c r="AK5525">
        <v>8.2357511565922596</v>
      </c>
      <c r="AL5525">
        <v>65.815672974984693</v>
      </c>
      <c r="AM5525">
        <v>103.77713858649</v>
      </c>
      <c r="AN5525">
        <v>0.99999996925524903</v>
      </c>
    </row>
    <row r="5526" spans="1:40" x14ac:dyDescent="0.25">
      <c r="A5526" t="str">
        <f>"20190304164519940"</f>
        <v>20190304164519940</v>
      </c>
      <c r="B5526" t="str">
        <f>"1551689119935438"</f>
        <v>1551689119935438</v>
      </c>
      <c r="C5526" t="s">
        <v>40</v>
      </c>
      <c r="D5526">
        <v>5.3359819999999996</v>
      </c>
      <c r="E5526">
        <v>0.52067479999999999</v>
      </c>
      <c r="F5526" t="s">
        <v>53</v>
      </c>
      <c r="G5526">
        <v>-265.52640000000002</v>
      </c>
      <c r="H5526" s="1">
        <v>-1.528114E-6</v>
      </c>
      <c r="I5526">
        <v>-59.52646</v>
      </c>
      <c r="J5526">
        <v>-273.86</v>
      </c>
      <c r="K5526">
        <v>1.112161</v>
      </c>
      <c r="L5526">
        <v>-59.149169999999998</v>
      </c>
      <c r="M5526">
        <v>0.96789270000000005</v>
      </c>
      <c r="N5526">
        <v>-8.34645E-3</v>
      </c>
      <c r="O5526">
        <v>-0.25122489999999997</v>
      </c>
      <c r="P5526">
        <v>0.91478570000000003</v>
      </c>
      <c r="Q5526">
        <v>0.40365200000000001</v>
      </c>
      <c r="R5526">
        <v>-1.5245939999999999E-2</v>
      </c>
      <c r="S5526">
        <v>3.4761660000000001</v>
      </c>
      <c r="T5526">
        <v>-0.45392870000000002</v>
      </c>
      <c r="U5526">
        <v>-0.17318729999999999</v>
      </c>
      <c r="V5526">
        <v>-0.21720990000000001</v>
      </c>
      <c r="W5526">
        <v>0.40993269999999998</v>
      </c>
      <c r="X5526">
        <v>0.88587530000000003</v>
      </c>
      <c r="Y5526">
        <v>-0.1991474</v>
      </c>
      <c r="Z5526">
        <v>4.3996769999999998E-2</v>
      </c>
      <c r="AA5526">
        <v>0.9789814</v>
      </c>
      <c r="AB5526">
        <v>38</v>
      </c>
      <c r="AC5526">
        <v>8.3335999999999899</v>
      </c>
      <c r="AD5526">
        <v>-1.112162528114</v>
      </c>
      <c r="AE5526">
        <v>-0.37729000000000201</v>
      </c>
      <c r="AF5526">
        <v>-1.69830641525866</v>
      </c>
      <c r="AG5526">
        <v>-1.112162528114</v>
      </c>
      <c r="AH5526">
        <v>8.0185787910048401</v>
      </c>
      <c r="AI5526">
        <v>97.727172864985107</v>
      </c>
      <c r="AJ5526">
        <v>101.958324243763</v>
      </c>
      <c r="AK5526">
        <v>8.2715630927051702</v>
      </c>
      <c r="AL5526">
        <v>65.799392890293404</v>
      </c>
      <c r="AM5526">
        <v>103.77670025687</v>
      </c>
      <c r="AN5526">
        <v>1.00000000316869</v>
      </c>
    </row>
    <row r="5527" spans="1:40" x14ac:dyDescent="0.25">
      <c r="A5527" t="str">
        <f>"20190304164519951"</f>
        <v>20190304164519951</v>
      </c>
      <c r="B5527" t="str">
        <f>"1551689119946173"</f>
        <v>1551689119946173</v>
      </c>
      <c r="C5527" t="s">
        <v>40</v>
      </c>
      <c r="D5527">
        <v>5.3382829999999997</v>
      </c>
      <c r="E5527">
        <v>0.52088380000000001</v>
      </c>
      <c r="F5527" t="s">
        <v>42</v>
      </c>
      <c r="G5527">
        <v>-265.36169999999998</v>
      </c>
      <c r="H5527" s="1">
        <v>-1.4506999999999999E-6</v>
      </c>
      <c r="I5527">
        <v>-59.564590000000003</v>
      </c>
      <c r="J5527">
        <v>-273.6662</v>
      </c>
      <c r="K5527">
        <v>1.11215</v>
      </c>
      <c r="L5527">
        <v>-59.198610000000002</v>
      </c>
      <c r="M5527">
        <v>0.96815430000000002</v>
      </c>
      <c r="N5527">
        <v>-8.3444829999999998E-3</v>
      </c>
      <c r="O5527">
        <v>-0.25021520000000003</v>
      </c>
      <c r="P5527">
        <v>0.91465620000000003</v>
      </c>
      <c r="Q5527">
        <v>0.40397159999999999</v>
      </c>
      <c r="R5527">
        <v>-1.453776E-2</v>
      </c>
      <c r="S5527">
        <v>3.4774479999999999</v>
      </c>
      <c r="T5527">
        <v>-0.45508999999999999</v>
      </c>
      <c r="U5527">
        <v>-0.17001340000000001</v>
      </c>
      <c r="V5527">
        <v>-0.2169238</v>
      </c>
      <c r="W5527">
        <v>0.41025800000000001</v>
      </c>
      <c r="X5527">
        <v>0.88579479999999999</v>
      </c>
      <c r="Y5527">
        <v>-0.19902690000000001</v>
      </c>
      <c r="Z5527">
        <v>4.396978E-2</v>
      </c>
      <c r="AA5527">
        <v>0.97900710000000002</v>
      </c>
      <c r="AB5527">
        <v>38</v>
      </c>
      <c r="AC5527">
        <v>8.3045000000000098</v>
      </c>
      <c r="AD5527">
        <v>-1.1121514507000001</v>
      </c>
      <c r="AE5527">
        <v>-0.36598000000000702</v>
      </c>
      <c r="AF5527">
        <v>-1.6933359300284601</v>
      </c>
      <c r="AG5527">
        <v>-1.1121514507000001</v>
      </c>
      <c r="AH5527">
        <v>7.9888912927440501</v>
      </c>
      <c r="AI5527">
        <v>97.755206518284893</v>
      </c>
      <c r="AJ5527">
        <v>101.967365382346</v>
      </c>
      <c r="AK5527">
        <v>8.2417626457270199</v>
      </c>
      <c r="AL5527">
        <v>65.778956874949301</v>
      </c>
      <c r="AM5527">
        <v>103.760447118352</v>
      </c>
      <c r="AN5527">
        <v>0.99999999463874001</v>
      </c>
    </row>
    <row r="5528" spans="1:40" x14ac:dyDescent="0.25">
      <c r="A5528" t="str">
        <f>"20190304164519962"</f>
        <v>20190304164519962</v>
      </c>
      <c r="B5528" t="str">
        <f>"1551689119955933"</f>
        <v>1551689119955933</v>
      </c>
      <c r="C5528" t="s">
        <v>40</v>
      </c>
      <c r="D5528">
        <v>5.2855689999999997</v>
      </c>
      <c r="E5528">
        <v>0.52096359999999997</v>
      </c>
      <c r="F5528" t="s">
        <v>42</v>
      </c>
      <c r="G5528">
        <v>-265.17200000000003</v>
      </c>
      <c r="H5528" s="1">
        <v>-1.3606449999999999E-6</v>
      </c>
      <c r="I5528">
        <v>-59.613639999999997</v>
      </c>
      <c r="J5528">
        <v>-273.48079999999999</v>
      </c>
      <c r="K5528">
        <v>1.112147</v>
      </c>
      <c r="L5528">
        <v>-59.245640000000002</v>
      </c>
      <c r="M5528">
        <v>0.96841010000000005</v>
      </c>
      <c r="N5528">
        <v>-8.3431689999999992E-3</v>
      </c>
      <c r="O5528">
        <v>-0.2492239</v>
      </c>
      <c r="P5528">
        <v>0.91444950000000003</v>
      </c>
      <c r="Q5528">
        <v>0.40446910000000003</v>
      </c>
      <c r="R5528">
        <v>-1.36732E-2</v>
      </c>
      <c r="S5528">
        <v>3.4783629999999999</v>
      </c>
      <c r="T5528">
        <v>-0.4554261</v>
      </c>
      <c r="U5528">
        <v>-0.16998289999999999</v>
      </c>
      <c r="V5528">
        <v>-0.21679960000000001</v>
      </c>
      <c r="W5528">
        <v>0.41075459999999903</v>
      </c>
      <c r="X5528">
        <v>0.88559509999999897</v>
      </c>
      <c r="Y5528">
        <v>-0.19805739999999999</v>
      </c>
      <c r="Z5528">
        <v>4.380701E-2</v>
      </c>
      <c r="AA5528">
        <v>0.97921100000000005</v>
      </c>
      <c r="AB5528">
        <v>38</v>
      </c>
      <c r="AC5528">
        <v>8.3087999999999607</v>
      </c>
      <c r="AD5528">
        <v>-1.112148360645</v>
      </c>
      <c r="AE5528">
        <v>-0.36800000000000199</v>
      </c>
      <c r="AF5528">
        <v>-1.68431834344749</v>
      </c>
      <c r="AG5528">
        <v>-1.112148360645</v>
      </c>
      <c r="AH5528">
        <v>7.9953554300286003</v>
      </c>
      <c r="AI5528">
        <v>97.751003468530399</v>
      </c>
      <c r="AJ5528">
        <v>101.896107369212</v>
      </c>
      <c r="AK5528">
        <v>8.2461815836571795</v>
      </c>
      <c r="AL5528">
        <v>65.747754739079298</v>
      </c>
      <c r="AM5528">
        <v>103.755851240775</v>
      </c>
      <c r="AN5528">
        <v>1.00000004456266</v>
      </c>
    </row>
    <row r="5529" spans="1:40" x14ac:dyDescent="0.25">
      <c r="A5529" t="str">
        <f>"20190304164519973"</f>
        <v>20190304164519973</v>
      </c>
      <c r="B5529" t="str">
        <f>"1551689119965693"</f>
        <v>1551689119965693</v>
      </c>
      <c r="C5529" t="s">
        <v>40</v>
      </c>
      <c r="D5529">
        <v>5.3404319999999998</v>
      </c>
      <c r="E5529">
        <v>0.52115310000000004</v>
      </c>
      <c r="F5529" t="s">
        <v>42</v>
      </c>
      <c r="G5529">
        <v>-264.94529999999997</v>
      </c>
      <c r="H5529" s="1">
        <v>-1.25558E-6</v>
      </c>
      <c r="I5529">
        <v>-59.657490000000003</v>
      </c>
      <c r="J5529">
        <v>-273.30239999999998</v>
      </c>
      <c r="K5529">
        <v>1.112152</v>
      </c>
      <c r="L5529">
        <v>-59.29083</v>
      </c>
      <c r="M5529">
        <v>0.96865699999999999</v>
      </c>
      <c r="N5529">
        <v>-8.3420500000000002E-3</v>
      </c>
      <c r="O5529">
        <v>-0.24826229999999999</v>
      </c>
      <c r="P5529">
        <v>0.91427630000000004</v>
      </c>
      <c r="Q5529">
        <v>0.40488740000000001</v>
      </c>
      <c r="R5529">
        <v>-1.2843449999999999E-2</v>
      </c>
      <c r="S5529">
        <v>3.4786069999999998</v>
      </c>
      <c r="T5529">
        <v>-0.45325019999999999</v>
      </c>
      <c r="U5529">
        <v>-0.1678772</v>
      </c>
      <c r="V5529">
        <v>-0.2166816</v>
      </c>
      <c r="W5529">
        <v>0.4111706</v>
      </c>
      <c r="X5529">
        <v>0.88543090000000002</v>
      </c>
      <c r="Y5529">
        <v>-0.1977246</v>
      </c>
      <c r="Z5529">
        <v>4.3455679999999997E-2</v>
      </c>
      <c r="AA5529">
        <v>0.97929390000000005</v>
      </c>
      <c r="AB5529">
        <v>38</v>
      </c>
      <c r="AC5529">
        <v>8.3571000000000009</v>
      </c>
      <c r="AD5529">
        <v>-1.11215325558</v>
      </c>
      <c r="AE5529">
        <v>-0.36665999999999599</v>
      </c>
      <c r="AF5529">
        <v>-1.68977639278056</v>
      </c>
      <c r="AG5529">
        <v>-1.11215325558</v>
      </c>
      <c r="AH5529">
        <v>8.0442851132368798</v>
      </c>
      <c r="AI5529">
        <v>97.705383621009901</v>
      </c>
      <c r="AJ5529">
        <v>101.863029755366</v>
      </c>
      <c r="AK5529">
        <v>8.2947424375046293</v>
      </c>
      <c r="AL5529">
        <v>65.721609434405593</v>
      </c>
      <c r="AM5529">
        <v>103.75110123252</v>
      </c>
      <c r="AN5529">
        <v>1.0000000283788599</v>
      </c>
    </row>
    <row r="5530" spans="1:40" x14ac:dyDescent="0.25">
      <c r="A5530" t="str">
        <f>"20190304164519984"</f>
        <v>20190304164519984</v>
      </c>
      <c r="B5530" t="str">
        <f>"1551689119975453"</f>
        <v>1551689119975453</v>
      </c>
      <c r="C5530" t="s">
        <v>40</v>
      </c>
      <c r="D5530">
        <v>5.3452219999999997</v>
      </c>
      <c r="E5530">
        <v>0.52134999999999998</v>
      </c>
      <c r="F5530" t="s">
        <v>42</v>
      </c>
      <c r="G5530">
        <v>-264.77969999999999</v>
      </c>
      <c r="H5530" s="1">
        <v>-1.1774440000000001E-6</v>
      </c>
      <c r="I5530">
        <v>-59.697490000000002</v>
      </c>
      <c r="J5530">
        <v>-273.12599999999998</v>
      </c>
      <c r="K5530">
        <v>1.1121669999999999</v>
      </c>
      <c r="L5530">
        <v>-59.33511</v>
      </c>
      <c r="M5530">
        <v>0.96891020000000005</v>
      </c>
      <c r="N5530">
        <v>-8.3418150000000007E-3</v>
      </c>
      <c r="O5530">
        <v>-0.24727199999999999</v>
      </c>
      <c r="P5530">
        <v>0.91412890000000002</v>
      </c>
      <c r="Q5530">
        <v>0.40524300000000002</v>
      </c>
      <c r="R5530">
        <v>-1.2111500000000001E-2</v>
      </c>
      <c r="S5530">
        <v>3.4800420000000001</v>
      </c>
      <c r="T5530">
        <v>-0.45412049999999998</v>
      </c>
      <c r="U5530">
        <v>-0.16607669999999999</v>
      </c>
      <c r="V5530">
        <v>-0.21646280000000001</v>
      </c>
      <c r="W5530">
        <v>0.4115183</v>
      </c>
      <c r="X5530">
        <v>0.88532289999999902</v>
      </c>
      <c r="Y5530">
        <v>-0.19724829999999999</v>
      </c>
      <c r="Z5530">
        <v>4.3374080000000002E-2</v>
      </c>
      <c r="AA5530">
        <v>0.97939359999999998</v>
      </c>
      <c r="AB5530">
        <v>38</v>
      </c>
      <c r="AC5530">
        <v>8.3462999999999798</v>
      </c>
      <c r="AD5530">
        <v>-1.112168177444</v>
      </c>
      <c r="AE5530">
        <v>-0.36238000000000098</v>
      </c>
      <c r="AF5530">
        <v>-1.6829258624182</v>
      </c>
      <c r="AG5530">
        <v>-1.112168177444</v>
      </c>
      <c r="AH5530">
        <v>8.0343146805242593</v>
      </c>
      <c r="AI5530">
        <v>97.715839660706493</v>
      </c>
      <c r="AJ5530">
        <v>101.83054134454601</v>
      </c>
      <c r="AK5530">
        <v>8.2836809389910009</v>
      </c>
      <c r="AL5530">
        <v>65.699753415882</v>
      </c>
      <c r="AM5530">
        <v>103.739354388395</v>
      </c>
      <c r="AN5530">
        <v>1.0000000461415599</v>
      </c>
    </row>
    <row r="5531" spans="1:40" x14ac:dyDescent="0.25">
      <c r="A5531" t="str">
        <f>"20190304164519994"</f>
        <v>20190304164519994</v>
      </c>
      <c r="B5531" t="str">
        <f>"1551689119986190"</f>
        <v>1551689119986190</v>
      </c>
      <c r="C5531" t="s">
        <v>40</v>
      </c>
      <c r="D5531">
        <v>5.3187350000000002</v>
      </c>
      <c r="E5531">
        <v>0.52137719999999999</v>
      </c>
      <c r="F5531" t="s">
        <v>42</v>
      </c>
      <c r="G5531">
        <v>-264.58999999999997</v>
      </c>
      <c r="H5531" s="1">
        <v>-1.0889080000000001E-6</v>
      </c>
      <c r="I5531">
        <v>-59.737839999999998</v>
      </c>
      <c r="J5531">
        <v>-272.95069999999998</v>
      </c>
      <c r="K5531">
        <v>1.112185</v>
      </c>
      <c r="L5531">
        <v>-59.379060000000003</v>
      </c>
      <c r="M5531">
        <v>0.96916290000000005</v>
      </c>
      <c r="N5531">
        <v>-8.3416659999999993E-3</v>
      </c>
      <c r="O5531">
        <v>-0.24628030000000001</v>
      </c>
      <c r="P5531">
        <v>0.91400809999999999</v>
      </c>
      <c r="Q5531">
        <v>0.4055454</v>
      </c>
      <c r="R5531">
        <v>-1.1065699999999999E-2</v>
      </c>
      <c r="S5531">
        <v>3.4806819999999998</v>
      </c>
      <c r="T5531">
        <v>-0.45349929999999999</v>
      </c>
      <c r="U5531">
        <v>-0.16424559999999999</v>
      </c>
      <c r="V5531">
        <v>-0.21655559999999999</v>
      </c>
      <c r="W5531">
        <v>0.41180990000000001</v>
      </c>
      <c r="X5531">
        <v>0.88516459999999997</v>
      </c>
      <c r="Y5531">
        <v>-0.1967903</v>
      </c>
      <c r="Z5531">
        <v>4.3158200000000001E-2</v>
      </c>
      <c r="AA5531">
        <v>0.97949520000000001</v>
      </c>
      <c r="AB5531">
        <v>38</v>
      </c>
      <c r="AC5531">
        <v>8.3606999999999996</v>
      </c>
      <c r="AD5531">
        <v>-1.112186088908</v>
      </c>
      <c r="AE5531">
        <v>-0.35878000000000998</v>
      </c>
      <c r="AF5531">
        <v>-1.68171419112331</v>
      </c>
      <c r="AG5531">
        <v>-1.112186088908</v>
      </c>
      <c r="AH5531">
        <v>8.0493468650859903</v>
      </c>
      <c r="AI5531">
        <v>97.702552151454199</v>
      </c>
      <c r="AJ5531">
        <v>101.800804935168</v>
      </c>
      <c r="AK5531">
        <v>8.2980181652883704</v>
      </c>
      <c r="AL5531">
        <v>65.681420470290405</v>
      </c>
      <c r="AM5531">
        <v>103.747386107222</v>
      </c>
      <c r="AN5531">
        <v>1.0000000453612601</v>
      </c>
    </row>
    <row r="5532" spans="1:40" x14ac:dyDescent="0.25">
      <c r="A5532" t="str">
        <f>"20190304164520006"</f>
        <v>20190304164520006</v>
      </c>
      <c r="B5532" t="str">
        <f>"1551689119995950"</f>
        <v>1551689119995950</v>
      </c>
      <c r="C5532" t="s">
        <v>40</v>
      </c>
      <c r="D5532">
        <v>5.3207820000000003</v>
      </c>
      <c r="E5532">
        <v>0.52143649999999997</v>
      </c>
      <c r="F5532" t="s">
        <v>53</v>
      </c>
      <c r="G5532">
        <v>-264.41120000000001</v>
      </c>
      <c r="H5532" s="1">
        <v>-1.0063669999999999E-6</v>
      </c>
      <c r="I5532">
        <v>-59.770710000000001</v>
      </c>
      <c r="J5532">
        <v>-272.76159999999999</v>
      </c>
      <c r="K5532">
        <v>1.1122160000000001</v>
      </c>
      <c r="L5532">
        <v>-59.42615</v>
      </c>
      <c r="M5532">
        <v>0.96944649999999999</v>
      </c>
      <c r="N5532">
        <v>-8.3422889999999993E-3</v>
      </c>
      <c r="O5532">
        <v>-0.24516099999999999</v>
      </c>
      <c r="P5532">
        <v>0.91385930000000004</v>
      </c>
      <c r="Q5532">
        <v>0.40590559999999998</v>
      </c>
      <c r="R5532">
        <v>-1.0081400000000001E-2</v>
      </c>
      <c r="S5532">
        <v>3.4815059999999902</v>
      </c>
      <c r="T5532">
        <v>-0.45342650000000001</v>
      </c>
      <c r="U5532">
        <v>-0.15969849999999999</v>
      </c>
      <c r="V5532">
        <v>-0.2164798</v>
      </c>
      <c r="W5532">
        <v>0.41215360000000001</v>
      </c>
      <c r="X5532">
        <v>0.88502309999999995</v>
      </c>
      <c r="Y5532">
        <v>-0.19695509999999999</v>
      </c>
      <c r="Z5532">
        <v>4.3022949999999997E-2</v>
      </c>
      <c r="AA5532">
        <v>0.97946800000000001</v>
      </c>
      <c r="AB5532">
        <v>38</v>
      </c>
      <c r="AC5532">
        <v>8.3503999999999792</v>
      </c>
      <c r="AD5532">
        <v>-1.112217006367</v>
      </c>
      <c r="AE5532">
        <v>-0.34456000000000098</v>
      </c>
      <c r="AF5532">
        <v>-1.6834059131061301</v>
      </c>
      <c r="AG5532">
        <v>-1.112217006367</v>
      </c>
      <c r="AH5532">
        <v>8.0376737244585499</v>
      </c>
      <c r="AI5532">
        <v>97.713031004720406</v>
      </c>
      <c r="AJ5532">
        <v>101.82901470055801</v>
      </c>
      <c r="AK5532">
        <v>8.2870429610557697</v>
      </c>
      <c r="AL5532">
        <v>65.659807189967793</v>
      </c>
      <c r="AM5532">
        <v>103.744870549159</v>
      </c>
      <c r="AN5532">
        <v>0.99999999066730405</v>
      </c>
    </row>
    <row r="5533" spans="1:40" x14ac:dyDescent="0.25">
      <c r="A5533" t="str">
        <f>"20190304164520020"</f>
        <v>20190304164520020</v>
      </c>
      <c r="B5533" t="str">
        <f>"1551689120015470"</f>
        <v>1551689120015470</v>
      </c>
      <c r="C5533" t="s">
        <v>40</v>
      </c>
      <c r="D5533">
        <v>5.2977349999999896</v>
      </c>
      <c r="E5533">
        <v>0.52140520000000001</v>
      </c>
      <c r="F5533" t="s">
        <v>53</v>
      </c>
      <c r="G5533">
        <v>-264.21640000000002</v>
      </c>
      <c r="H5533" s="1">
        <v>-9.158052E-7</v>
      </c>
      <c r="I5533">
        <v>-59.810319999999997</v>
      </c>
      <c r="J5533">
        <v>-272.54349999999999</v>
      </c>
      <c r="K5533">
        <v>1.112258</v>
      </c>
      <c r="L5533">
        <v>-59.48019</v>
      </c>
      <c r="M5533">
        <v>0.96977930000000001</v>
      </c>
      <c r="N5533">
        <v>-8.3433659999999996E-3</v>
      </c>
      <c r="O5533">
        <v>-0.24384130000000001</v>
      </c>
      <c r="P5533">
        <v>0.91381730000000005</v>
      </c>
      <c r="Q5533">
        <v>0.40602890000000003</v>
      </c>
      <c r="R5533">
        <v>-8.8569040000000005E-3</v>
      </c>
      <c r="S5533">
        <v>3.4823300000000001</v>
      </c>
      <c r="T5533">
        <v>-0.45325219999999999</v>
      </c>
      <c r="U5533">
        <v>-0.15658569999999999</v>
      </c>
      <c r="V5533">
        <v>-0.21648999999999999</v>
      </c>
      <c r="W5533">
        <v>0.41225519999999999</v>
      </c>
      <c r="X5533">
        <v>0.88497329999999996</v>
      </c>
      <c r="Y5533">
        <v>-0.19652320000000001</v>
      </c>
      <c r="Z5533">
        <v>4.2812309999999999E-2</v>
      </c>
      <c r="AA5533">
        <v>0.97956410000000005</v>
      </c>
      <c r="AB5533">
        <v>38</v>
      </c>
      <c r="AC5533">
        <v>8.3270999999999695</v>
      </c>
      <c r="AD5533">
        <v>-1.1122589158052001</v>
      </c>
      <c r="AE5533">
        <v>-0.33012999999999598</v>
      </c>
      <c r="AF5533">
        <v>-1.6804626785494401</v>
      </c>
      <c r="AG5533">
        <v>-1.1122589158052001</v>
      </c>
      <c r="AH5533">
        <v>8.0134861873124592</v>
      </c>
      <c r="AI5533">
        <v>97.735911749424204</v>
      </c>
      <c r="AJ5533">
        <v>101.84355253872801</v>
      </c>
      <c r="AK5533">
        <v>8.2629919269011403</v>
      </c>
      <c r="AL5533">
        <v>65.653418267639594</v>
      </c>
      <c r="AM5533">
        <v>103.746237767357</v>
      </c>
      <c r="AN5533">
        <v>1.0000000058699601</v>
      </c>
    </row>
    <row r="5534" spans="1:40" x14ac:dyDescent="0.25">
      <c r="A5534" t="str">
        <f>"20190304164520034"</f>
        <v>20190304164520034</v>
      </c>
      <c r="B5534" t="str">
        <f>"1551689120026205"</f>
        <v>1551689120026205</v>
      </c>
      <c r="C5534" t="s">
        <v>40</v>
      </c>
      <c r="D5534">
        <v>5.2796479999999999</v>
      </c>
      <c r="E5534">
        <v>0.52140520000000001</v>
      </c>
      <c r="F5534" t="s">
        <v>53</v>
      </c>
      <c r="G5534">
        <v>-263.98860000000002</v>
      </c>
      <c r="H5534" s="1">
        <v>-8.1084900000000001E-7</v>
      </c>
      <c r="I5534">
        <v>-59.85098</v>
      </c>
      <c r="J5534">
        <v>-272.31650000000002</v>
      </c>
      <c r="K5534">
        <v>1.112309</v>
      </c>
      <c r="L5534">
        <v>-59.536160000000002</v>
      </c>
      <c r="M5534">
        <v>0.97013280000000002</v>
      </c>
      <c r="N5534">
        <v>-8.3449119999999995E-3</v>
      </c>
      <c r="O5534">
        <v>-0.2424309</v>
      </c>
      <c r="P5534">
        <v>0.91388049999999998</v>
      </c>
      <c r="Q5534">
        <v>0.40592080000000003</v>
      </c>
      <c r="R5534">
        <v>-7.1276990000000004E-3</v>
      </c>
      <c r="S5534">
        <v>3.482666</v>
      </c>
      <c r="T5534">
        <v>-0.45279550000000002</v>
      </c>
      <c r="U5534">
        <v>-0.15097049999999901</v>
      </c>
      <c r="V5534">
        <v>-0.21694040000000001</v>
      </c>
      <c r="W5534">
        <v>0.41212009999999999</v>
      </c>
      <c r="X5534">
        <v>0.88492590000000004</v>
      </c>
      <c r="Y5534">
        <v>-0.1966946</v>
      </c>
      <c r="Z5534">
        <v>4.261301E-2</v>
      </c>
      <c r="AA5534">
        <v>0.97953829999999997</v>
      </c>
      <c r="AB5534">
        <v>38</v>
      </c>
      <c r="AC5534">
        <v>8.3278999999999996</v>
      </c>
      <c r="AD5534">
        <v>-1.1123098108489999</v>
      </c>
      <c r="AE5534">
        <v>-0.31482000000001098</v>
      </c>
      <c r="AF5534">
        <v>-1.6835913066280199</v>
      </c>
      <c r="AG5534">
        <v>-1.1123098108489999</v>
      </c>
      <c r="AH5534">
        <v>8.0130311322353105</v>
      </c>
      <c r="AI5534">
        <v>97.736077230962806</v>
      </c>
      <c r="AJ5534">
        <v>101.865632721442</v>
      </c>
      <c r="AK5534">
        <v>8.2631943417322997</v>
      </c>
      <c r="AL5534">
        <v>65.661913588423602</v>
      </c>
      <c r="AM5534">
        <v>103.77445792080999</v>
      </c>
      <c r="AN5534">
        <v>0.99999998123348899</v>
      </c>
    </row>
    <row r="5535" spans="1:40" x14ac:dyDescent="0.25">
      <c r="A5535" t="str">
        <f>"20190304164520045"</f>
        <v>20190304164520045</v>
      </c>
      <c r="B5535" t="str">
        <f>"1551689120035965"</f>
        <v>1551689120035965</v>
      </c>
      <c r="C5535" t="s">
        <v>40</v>
      </c>
      <c r="D5535">
        <v>5.2608879999999996</v>
      </c>
      <c r="E5535">
        <v>0.51349129999999998</v>
      </c>
      <c r="F5535" t="s">
        <v>42</v>
      </c>
      <c r="G5535">
        <v>-263.76850000000002</v>
      </c>
      <c r="H5535" s="1">
        <v>-7.095365E-7</v>
      </c>
      <c r="I5535">
        <v>-59.889919999999996</v>
      </c>
      <c r="J5535">
        <v>-272.11939999999998</v>
      </c>
      <c r="K5535">
        <v>1.112358</v>
      </c>
      <c r="L5535">
        <v>-59.58426</v>
      </c>
      <c r="M5535">
        <v>0.97045369999999997</v>
      </c>
      <c r="N5535">
        <v>-8.3468650000000002E-3</v>
      </c>
      <c r="O5535">
        <v>-0.2411433</v>
      </c>
      <c r="P5535">
        <v>0.91406359999999998</v>
      </c>
      <c r="Q5535">
        <v>0.40553070000000002</v>
      </c>
      <c r="R5535">
        <v>-5.7467369999999896E-3</v>
      </c>
      <c r="S5535">
        <v>3.4828800000000002</v>
      </c>
      <c r="T5535">
        <v>-0.45321299999999998</v>
      </c>
      <c r="U5535">
        <v>-0.14416499999999999</v>
      </c>
      <c r="V5535">
        <v>-0.21719579999999999</v>
      </c>
      <c r="W5535">
        <v>0.41170380000000001</v>
      </c>
      <c r="X5535">
        <v>0.88505699999999998</v>
      </c>
      <c r="Y5535">
        <v>-0.19730449999999999</v>
      </c>
      <c r="Z5535">
        <v>4.2544319999999997E-2</v>
      </c>
      <c r="AA5535">
        <v>0.97941869999999998</v>
      </c>
      <c r="AB5535">
        <v>38</v>
      </c>
      <c r="AC5535">
        <v>8.3508999999999602</v>
      </c>
      <c r="AD5535">
        <v>-1.1123587095365</v>
      </c>
      <c r="AE5535">
        <v>-0.30565999999999599</v>
      </c>
      <c r="AF5535">
        <v>-1.6872970127904601</v>
      </c>
      <c r="AG5535">
        <v>-1.1123587095365</v>
      </c>
      <c r="AH5535">
        <v>8.0357673788234099</v>
      </c>
      <c r="AI5535">
        <v>97.714992338763494</v>
      </c>
      <c r="AJ5535">
        <v>101.8583167864</v>
      </c>
      <c r="AK5535">
        <v>8.2860044940016699</v>
      </c>
      <c r="AL5535">
        <v>65.688089186527293</v>
      </c>
      <c r="AM5535">
        <v>103.78809093680999</v>
      </c>
      <c r="AN5535">
        <v>0.99999996386053902</v>
      </c>
    </row>
    <row r="5536" spans="1:40" x14ac:dyDescent="0.25">
      <c r="A5536" t="str">
        <f>"20190304164520059"</f>
        <v>20190304164520059</v>
      </c>
      <c r="B5536" t="str">
        <f>"1551689120055485"</f>
        <v>1551689120055485</v>
      </c>
      <c r="C5536" t="s">
        <v>40</v>
      </c>
      <c r="D5536">
        <v>5.3123620000000003</v>
      </c>
      <c r="E5536">
        <v>0.51366219999999996</v>
      </c>
      <c r="F5536" t="s">
        <v>42</v>
      </c>
      <c r="G5536">
        <v>-262.91030000000001</v>
      </c>
      <c r="H5536" s="1">
        <v>-3.5958009999999898E-7</v>
      </c>
      <c r="I5536">
        <v>-59.787149999999997</v>
      </c>
      <c r="J5536">
        <v>-271.89960000000002</v>
      </c>
      <c r="K5536">
        <v>1.1124210000000001</v>
      </c>
      <c r="L5536">
        <v>-59.637700000000002</v>
      </c>
      <c r="M5536">
        <v>0.97081790000000001</v>
      </c>
      <c r="N5536">
        <v>-8.3492299999999992E-3</v>
      </c>
      <c r="O5536">
        <v>-0.23967289999999999</v>
      </c>
      <c r="P5536">
        <v>0.91425630000000002</v>
      </c>
      <c r="Q5536">
        <v>0.4051131</v>
      </c>
      <c r="R5536">
        <v>-4.3912869999999998E-3</v>
      </c>
      <c r="S5536">
        <v>3.4673769999999902</v>
      </c>
      <c r="T5536">
        <v>-0.41881760000000001</v>
      </c>
      <c r="U5536">
        <v>-7.6416020000000001E-2</v>
      </c>
      <c r="V5536">
        <v>-0.2172722</v>
      </c>
      <c r="W5536">
        <v>0.41125709999999999</v>
      </c>
      <c r="X5536">
        <v>0.88524599999999898</v>
      </c>
      <c r="Y5536">
        <v>-0.21508369999999999</v>
      </c>
      <c r="Z5536">
        <v>4.0440789999999997E-2</v>
      </c>
      <c r="AA5536">
        <v>0.97575800000000001</v>
      </c>
      <c r="AB5536">
        <v>38</v>
      </c>
      <c r="AC5536">
        <v>8.9893000000000107</v>
      </c>
      <c r="AD5536">
        <v>-1.11242135958009</v>
      </c>
      <c r="AE5536">
        <v>-0.149449999999994</v>
      </c>
      <c r="AF5536">
        <v>-1.97917215634226</v>
      </c>
      <c r="AG5536">
        <v>-1.11242135958009</v>
      </c>
      <c r="AH5536">
        <v>8.6309595547005102</v>
      </c>
      <c r="AI5536">
        <v>97.160368784262005</v>
      </c>
      <c r="AJ5536">
        <v>102.915254067234</v>
      </c>
      <c r="AK5536">
        <v>8.9245765468489697</v>
      </c>
      <c r="AL5536">
        <v>65.716172833777506</v>
      </c>
      <c r="AM5536">
        <v>103.789923468373</v>
      </c>
      <c r="AN5536">
        <v>1.0000000458546201</v>
      </c>
    </row>
    <row r="5537" spans="1:40" x14ac:dyDescent="0.25">
      <c r="A5537" t="str">
        <f>"20190304164520074"</f>
        <v>20190304164520074</v>
      </c>
      <c r="B5537" t="str">
        <f>"1551689120065245"</f>
        <v>1551689120065245</v>
      </c>
      <c r="C5537" t="s">
        <v>40</v>
      </c>
      <c r="D5537">
        <v>5.3334849999999996</v>
      </c>
      <c r="E5537">
        <v>0.51383210000000001</v>
      </c>
      <c r="F5537" t="s">
        <v>42</v>
      </c>
      <c r="G5537">
        <v>-262.70699999999999</v>
      </c>
      <c r="H5537" s="1">
        <v>-2.6452720000000001E-7</v>
      </c>
      <c r="I5537">
        <v>-59.83135</v>
      </c>
      <c r="J5537">
        <v>-271.65120000000002</v>
      </c>
      <c r="K5537">
        <v>1.1124940000000001</v>
      </c>
      <c r="L5537">
        <v>-59.697659999999999</v>
      </c>
      <c r="M5537">
        <v>0.97124129999999997</v>
      </c>
      <c r="N5537">
        <v>-8.3523279999999991E-3</v>
      </c>
      <c r="O5537">
        <v>-0.23795160000000001</v>
      </c>
      <c r="P5537">
        <v>0.91496650000000002</v>
      </c>
      <c r="Q5537">
        <v>0.40352490000000002</v>
      </c>
      <c r="R5537">
        <v>-2.0490740000000001E-3</v>
      </c>
      <c r="S5537">
        <v>3.4669189999999999</v>
      </c>
      <c r="T5537">
        <v>-0.41954000000000002</v>
      </c>
      <c r="U5537">
        <v>-7.3059079999999998E-2</v>
      </c>
      <c r="V5537">
        <v>-0.21820980000000001</v>
      </c>
      <c r="W5537">
        <v>0.40962870000000001</v>
      </c>
      <c r="X5537">
        <v>0.88577019999999995</v>
      </c>
      <c r="Y5537">
        <v>-0.2142995</v>
      </c>
      <c r="Z5537">
        <v>4.0279820000000001E-2</v>
      </c>
      <c r="AA5537">
        <v>0.9759371</v>
      </c>
      <c r="AB5537">
        <v>38</v>
      </c>
      <c r="AC5537">
        <v>8.9442000000000199</v>
      </c>
      <c r="AD5537">
        <v>-1.1124942645272</v>
      </c>
      <c r="AE5537">
        <v>-0.133690000000001</v>
      </c>
      <c r="AF5537">
        <v>-1.96806997314723</v>
      </c>
      <c r="AG5537">
        <v>-1.1124942645272</v>
      </c>
      <c r="AH5537">
        <v>8.58628368496964</v>
      </c>
      <c r="AI5537">
        <v>97.197857361621502</v>
      </c>
      <c r="AJ5537">
        <v>102.90981760093599</v>
      </c>
      <c r="AK5537">
        <v>8.8789194402576594</v>
      </c>
      <c r="AL5537">
        <v>65.818488009745707</v>
      </c>
      <c r="AM5537">
        <v>103.83926618412499</v>
      </c>
      <c r="AN5537">
        <v>1.0000000179438799</v>
      </c>
    </row>
    <row r="5538" spans="1:40" x14ac:dyDescent="0.25">
      <c r="A5538" t="str">
        <f>"20190304164520084"</f>
        <v>20190304164520084</v>
      </c>
      <c r="B5538" t="str">
        <f>"1551689120075981"</f>
        <v>1551689120075981</v>
      </c>
      <c r="C5538" t="s">
        <v>40</v>
      </c>
      <c r="D5538">
        <v>5.3050100000000002</v>
      </c>
      <c r="E5538">
        <v>0.51374759999999997</v>
      </c>
      <c r="F5538" t="s">
        <v>42</v>
      </c>
      <c r="G5538">
        <v>-262.5838</v>
      </c>
      <c r="H5538" s="1">
        <v>-2.049286E-7</v>
      </c>
      <c r="I5538">
        <v>-59.86956</v>
      </c>
      <c r="J5538">
        <v>-271.47280000000001</v>
      </c>
      <c r="K5538">
        <v>1.112555</v>
      </c>
      <c r="L5538">
        <v>-59.740229999999997</v>
      </c>
      <c r="M5538">
        <v>0.97155919999999896</v>
      </c>
      <c r="N5538">
        <v>-8.3576259999999999E-3</v>
      </c>
      <c r="O5538">
        <v>-0.23664959999999999</v>
      </c>
      <c r="P5538">
        <v>0.91525849999999997</v>
      </c>
      <c r="Q5538">
        <v>0.40286729999999998</v>
      </c>
      <c r="R5538">
        <v>-2.0886590000000001E-4</v>
      </c>
      <c r="S5538">
        <v>3.4661870000000001</v>
      </c>
      <c r="T5538">
        <v>-0.42527510000000002</v>
      </c>
      <c r="U5538">
        <v>-6.5734860000000006E-2</v>
      </c>
      <c r="V5538">
        <v>-0.2189326</v>
      </c>
      <c r="W5538">
        <v>0.40894039999999998</v>
      </c>
      <c r="X5538">
        <v>0.88590990000000003</v>
      </c>
      <c r="Y5538">
        <v>-0.21496129999999999</v>
      </c>
      <c r="Z5538">
        <v>4.0751290000000003E-2</v>
      </c>
      <c r="AA5538">
        <v>0.97577199999999997</v>
      </c>
      <c r="AB5538">
        <v>38</v>
      </c>
      <c r="AC5538">
        <v>8.88900000000001</v>
      </c>
      <c r="AD5538">
        <v>-1.1125552049286</v>
      </c>
      <c r="AE5538">
        <v>-0.129329999999995</v>
      </c>
      <c r="AF5538">
        <v>-1.9474939427231299</v>
      </c>
      <c r="AG5538">
        <v>-1.1125552049286</v>
      </c>
      <c r="AH5538">
        <v>8.5334473289774095</v>
      </c>
      <c r="AI5538">
        <v>97.243890057709294</v>
      </c>
      <c r="AJ5538">
        <v>102.855804432498</v>
      </c>
      <c r="AK5538">
        <v>8.8232780222199008</v>
      </c>
      <c r="AL5538">
        <v>65.861711341027004</v>
      </c>
      <c r="AM5538">
        <v>103.881232232649</v>
      </c>
      <c r="AN5538">
        <v>1.0000000425064599</v>
      </c>
    </row>
    <row r="5539" spans="1:40" x14ac:dyDescent="0.25">
      <c r="A5539" t="str">
        <f>"20190304164520095"</f>
        <v>20190304164520095</v>
      </c>
      <c r="B5539" t="str">
        <f>"1551689120085742"</f>
        <v>1551689120085742</v>
      </c>
      <c r="C5539" t="s">
        <v>40</v>
      </c>
      <c r="D5539">
        <v>5.3260639999999997</v>
      </c>
      <c r="E5539">
        <v>0.51384649999999998</v>
      </c>
      <c r="F5539" t="s">
        <v>42</v>
      </c>
      <c r="G5539">
        <v>-262.42590000000001</v>
      </c>
      <c r="H5539" s="1">
        <v>-1.327371E-7</v>
      </c>
      <c r="I5539">
        <v>-59.894500000000001</v>
      </c>
      <c r="J5539">
        <v>-271.29539999999997</v>
      </c>
      <c r="K5539">
        <v>1.112614</v>
      </c>
      <c r="L5539">
        <v>-59.782499999999999</v>
      </c>
      <c r="M5539">
        <v>0.97187639999999997</v>
      </c>
      <c r="N5539">
        <v>-8.3630359999999904E-3</v>
      </c>
      <c r="O5539">
        <v>-0.23534359999999999</v>
      </c>
      <c r="P5539">
        <v>0.91539289999999995</v>
      </c>
      <c r="Q5539">
        <v>0.40255999999999997</v>
      </c>
      <c r="R5539">
        <v>1.224972E-3</v>
      </c>
      <c r="S5539">
        <v>3.4653019999999999</v>
      </c>
      <c r="T5539">
        <v>-0.4261472</v>
      </c>
      <c r="U5539">
        <v>-5.911255E-2</v>
      </c>
      <c r="V5539">
        <v>-0.21922259999999999</v>
      </c>
      <c r="W5539">
        <v>0.40860350000000001</v>
      </c>
      <c r="X5539">
        <v>0.88599349999999999</v>
      </c>
      <c r="Y5539">
        <v>-0.21549750000000001</v>
      </c>
      <c r="Z5539">
        <v>4.0738719999999999E-2</v>
      </c>
      <c r="AA5539">
        <v>0.97565420000000003</v>
      </c>
      <c r="AB5539">
        <v>38</v>
      </c>
      <c r="AC5539">
        <v>8.8694999999999595</v>
      </c>
      <c r="AD5539">
        <v>-1.1126141327371</v>
      </c>
      <c r="AE5539">
        <v>-0.112000000000001</v>
      </c>
      <c r="AF5539">
        <v>-1.94795098805734</v>
      </c>
      <c r="AG5539">
        <v>-1.1126141327371</v>
      </c>
      <c r="AH5539">
        <v>8.5127826353925293</v>
      </c>
      <c r="AI5539">
        <v>97.260719473125206</v>
      </c>
      <c r="AJ5539">
        <v>102.88889436619699</v>
      </c>
      <c r="AK5539">
        <v>8.8034022660378604</v>
      </c>
      <c r="AL5539">
        <v>65.882859084242597</v>
      </c>
      <c r="AM5539">
        <v>103.89764635259699</v>
      </c>
      <c r="AN5539">
        <v>0.99999992530262705</v>
      </c>
    </row>
    <row r="5540" spans="1:40" x14ac:dyDescent="0.25">
      <c r="A5540" t="str">
        <f>"20190304164520117"</f>
        <v>20190304164520117</v>
      </c>
      <c r="B5540" t="str">
        <f>"1551689120106241"</f>
        <v>1551689120106241</v>
      </c>
      <c r="C5540" t="s">
        <v>40</v>
      </c>
      <c r="D5540">
        <v>5.3032959999999996</v>
      </c>
      <c r="E5540">
        <v>0.51388370000000005</v>
      </c>
      <c r="F5540" t="s">
        <v>42</v>
      </c>
      <c r="G5540">
        <v>-262.28410000000002</v>
      </c>
      <c r="H5540" s="1">
        <v>-6.6191429999999998E-8</v>
      </c>
      <c r="I5540">
        <v>-59.926859999999998</v>
      </c>
      <c r="J5540">
        <v>-270.9196</v>
      </c>
      <c r="K5540">
        <v>1.112744</v>
      </c>
      <c r="L5540">
        <v>-59.87088</v>
      </c>
      <c r="M5540">
        <v>0.97257510000000003</v>
      </c>
      <c r="N5540">
        <v>-8.3787649999999998E-3</v>
      </c>
      <c r="O5540">
        <v>-0.23243839999999999</v>
      </c>
      <c r="P5540">
        <v>0.91592589999999996</v>
      </c>
      <c r="Q5540">
        <v>0.40131220000000001</v>
      </c>
      <c r="R5540">
        <v>5.3427409999999998E-3</v>
      </c>
      <c r="S5540">
        <v>3.4655149999999999</v>
      </c>
      <c r="T5540">
        <v>-0.42788569999999998</v>
      </c>
      <c r="U5540">
        <v>-5.5541989999999999E-2</v>
      </c>
      <c r="V5540">
        <v>-0.22082160000000001</v>
      </c>
      <c r="W5540">
        <v>0.40728839999999999</v>
      </c>
      <c r="X5540">
        <v>0.88620200000000005</v>
      </c>
      <c r="Y5540">
        <v>-0.21359429999999999</v>
      </c>
      <c r="Z5540">
        <v>4.0455240000000003E-2</v>
      </c>
      <c r="AA5540">
        <v>0.97608439999999996</v>
      </c>
      <c r="AB5540">
        <v>38</v>
      </c>
      <c r="AC5540">
        <v>8.6354999999999702</v>
      </c>
      <c r="AD5540">
        <v>-1.1127440661914201</v>
      </c>
      <c r="AE5540">
        <v>-5.5979999999991002E-2</v>
      </c>
      <c r="AF5540">
        <v>-1.9209511203748699</v>
      </c>
      <c r="AG5540">
        <v>-1.1127440661914201</v>
      </c>
      <c r="AH5540">
        <v>8.2745924081749997</v>
      </c>
      <c r="AI5540">
        <v>97.462890672689298</v>
      </c>
      <c r="AJ5540">
        <v>103.069735742848</v>
      </c>
      <c r="AK5540">
        <v>8.5672126205167203</v>
      </c>
      <c r="AL5540">
        <v>65.965390290498902</v>
      </c>
      <c r="AM5540">
        <v>103.99188128706599</v>
      </c>
      <c r="AN5540">
        <v>1.0000000023025599</v>
      </c>
    </row>
    <row r="5541" spans="1:40" x14ac:dyDescent="0.25">
      <c r="A5541" t="str">
        <f>"20190304164520129"</f>
        <v>20190304164520129</v>
      </c>
      <c r="B5541" t="str">
        <f>"1551689120125758"</f>
        <v>1551689120125758</v>
      </c>
      <c r="C5541" t="s">
        <v>40</v>
      </c>
      <c r="D5541">
        <v>5.3308280000000003</v>
      </c>
      <c r="E5541">
        <v>0.51384940000000001</v>
      </c>
      <c r="F5541" t="s">
        <v>42</v>
      </c>
      <c r="G5541">
        <v>-261.9932</v>
      </c>
      <c r="H5541" s="1">
        <v>6.7798339999999999E-8</v>
      </c>
      <c r="I5541">
        <v>-59.978610000000003</v>
      </c>
      <c r="J5541">
        <v>-270.72739999999999</v>
      </c>
      <c r="K5541">
        <v>1.1128150000000001</v>
      </c>
      <c r="L5541">
        <v>-59.915619999999997</v>
      </c>
      <c r="M5541">
        <v>0.97294259999999999</v>
      </c>
      <c r="N5541">
        <v>-8.3889299999999993E-3</v>
      </c>
      <c r="O5541">
        <v>-0.23089489999999999</v>
      </c>
      <c r="P5541">
        <v>0.91614810000000002</v>
      </c>
      <c r="Q5541">
        <v>0.40076479999999998</v>
      </c>
      <c r="R5541">
        <v>7.77613E-3</v>
      </c>
      <c r="S5541">
        <v>3.464874</v>
      </c>
      <c r="T5541">
        <v>-0.43192239999999998</v>
      </c>
      <c r="U5541">
        <v>-4.1839599999999998E-2</v>
      </c>
      <c r="V5541">
        <v>-0.22189719999999999</v>
      </c>
      <c r="W5541">
        <v>0.40670339999999999</v>
      </c>
      <c r="X5541">
        <v>0.88620200000000005</v>
      </c>
      <c r="Y5541">
        <v>-0.21582860000000001</v>
      </c>
      <c r="Z5541">
        <v>4.0828910000000003E-2</v>
      </c>
      <c r="AA5541">
        <v>0.97557729999999998</v>
      </c>
      <c r="AB5541">
        <v>38</v>
      </c>
      <c r="AC5541">
        <v>8.73419999999998</v>
      </c>
      <c r="AD5541">
        <v>-1.1128149322016501</v>
      </c>
      <c r="AE5541">
        <v>-6.2989999999999199E-2</v>
      </c>
      <c r="AF5541">
        <v>-1.92423078663773</v>
      </c>
      <c r="AG5541">
        <v>-1.1128149322016501</v>
      </c>
      <c r="AH5541">
        <v>8.3767454104108499</v>
      </c>
      <c r="AI5541">
        <v>97.377254924169193</v>
      </c>
      <c r="AJ5541">
        <v>102.937038415065</v>
      </c>
      <c r="AK5541">
        <v>8.6666536139628096</v>
      </c>
      <c r="AL5541">
        <v>66.002085022387305</v>
      </c>
      <c r="AM5541">
        <v>104.057338238878</v>
      </c>
      <c r="AN5541">
        <v>1.0000000038717001</v>
      </c>
    </row>
    <row r="5542" spans="1:40" x14ac:dyDescent="0.25">
      <c r="A5542" t="str">
        <f>"20190304164520141"</f>
        <v>20190304164520141</v>
      </c>
      <c r="B5542" t="str">
        <f>"1551689120135518"</f>
        <v>1551689120135518</v>
      </c>
      <c r="C5542" t="s">
        <v>40</v>
      </c>
      <c r="D5542">
        <v>5.3158379999999896</v>
      </c>
      <c r="E5542">
        <v>0.51400849999999998</v>
      </c>
      <c r="F5542" t="s">
        <v>42</v>
      </c>
      <c r="G5542">
        <v>-261.83800000000002</v>
      </c>
      <c r="H5542" s="1">
        <v>1.3854579999999999E-7</v>
      </c>
      <c r="I5542">
        <v>-60.002000000000002</v>
      </c>
      <c r="J5542">
        <v>-270.53590000000003</v>
      </c>
      <c r="K5542">
        <v>1.1128800000000001</v>
      </c>
      <c r="L5542">
        <v>-59.959780000000002</v>
      </c>
      <c r="M5542">
        <v>0.97331610000000002</v>
      </c>
      <c r="N5542">
        <v>-8.4001100000000006E-3</v>
      </c>
      <c r="O5542">
        <v>-0.2293143</v>
      </c>
      <c r="P5542">
        <v>0.91643180000000002</v>
      </c>
      <c r="Q5542">
        <v>0.4000629</v>
      </c>
      <c r="R5542">
        <v>1.0118790000000001E-2</v>
      </c>
      <c r="S5542">
        <v>3.4646300000000001</v>
      </c>
      <c r="T5542">
        <v>-0.43371670000000001</v>
      </c>
      <c r="U5542">
        <v>-3.3691409999999998E-2</v>
      </c>
      <c r="V5542">
        <v>-0.22286439999999999</v>
      </c>
      <c r="W5542">
        <v>0.40596670000000001</v>
      </c>
      <c r="X5542">
        <v>0.88629709999999995</v>
      </c>
      <c r="Y5542">
        <v>-0.21651300000000001</v>
      </c>
      <c r="Z5542">
        <v>4.0871869999999998E-2</v>
      </c>
      <c r="AA5542">
        <v>0.97542379999999995</v>
      </c>
      <c r="AB5542">
        <v>38</v>
      </c>
      <c r="AC5542">
        <v>8.6979000000000593</v>
      </c>
      <c r="AD5542">
        <v>-1.1128798614541999</v>
      </c>
      <c r="AE5542">
        <v>-4.22199999999932E-2</v>
      </c>
      <c r="AF5542">
        <v>-1.9220637006459</v>
      </c>
      <c r="AG5542">
        <v>-1.1128798614541999</v>
      </c>
      <c r="AH5542">
        <v>8.3392708300587302</v>
      </c>
      <c r="AI5542">
        <v>97.409229564151303</v>
      </c>
      <c r="AJ5542">
        <v>102.979068312425</v>
      </c>
      <c r="AK5542">
        <v>8.6299634085226202</v>
      </c>
      <c r="AL5542">
        <v>66.048280927519102</v>
      </c>
      <c r="AM5542">
        <v>104.114712295464</v>
      </c>
      <c r="AN5542">
        <v>1.0000000258823201</v>
      </c>
    </row>
    <row r="5543" spans="1:40" x14ac:dyDescent="0.25">
      <c r="A5543" t="str">
        <f>"20190304164520152"</f>
        <v>20190304164520152</v>
      </c>
      <c r="B5543" t="str">
        <f>"1551689120145277"</f>
        <v>1551689120145277</v>
      </c>
      <c r="C5543" t="s">
        <v>40</v>
      </c>
      <c r="D5543">
        <v>5.3488089999999904</v>
      </c>
      <c r="E5543">
        <v>0.51420189999999999</v>
      </c>
      <c r="F5543" t="s">
        <v>53</v>
      </c>
      <c r="G5543">
        <v>-261.70260000000002</v>
      </c>
      <c r="H5543" s="1">
        <v>2.015653E-7</v>
      </c>
      <c r="I5543">
        <v>-60.029980000000002</v>
      </c>
      <c r="J5543">
        <v>-270.34820000000002</v>
      </c>
      <c r="K5543">
        <v>1.112948</v>
      </c>
      <c r="L5543">
        <v>-60.002899999999997</v>
      </c>
      <c r="M5543">
        <v>0.97368509999999997</v>
      </c>
      <c r="N5543">
        <v>-8.4115059999999992E-3</v>
      </c>
      <c r="O5543">
        <v>-0.22774240000000001</v>
      </c>
      <c r="P5543">
        <v>0.91654279999999999</v>
      </c>
      <c r="Q5543">
        <v>0.399733</v>
      </c>
      <c r="R5543">
        <v>1.277706E-2</v>
      </c>
      <c r="S5543">
        <v>3.4644170000000001</v>
      </c>
      <c r="T5543">
        <v>-0.43647409999999998</v>
      </c>
      <c r="U5543">
        <v>-2.7557370000000001E-2</v>
      </c>
      <c r="V5543">
        <v>-0.22410959999999999</v>
      </c>
      <c r="W5543">
        <v>0.40559879999999998</v>
      </c>
      <c r="X5543">
        <v>0.88615159999999904</v>
      </c>
      <c r="Y5543">
        <v>-0.21662980000000001</v>
      </c>
      <c r="Z5543">
        <v>4.0967459999999997E-2</v>
      </c>
      <c r="AA5543">
        <v>0.97539390000000004</v>
      </c>
      <c r="AB5543">
        <v>38</v>
      </c>
      <c r="AC5543">
        <v>8.6456</v>
      </c>
      <c r="AD5543">
        <v>-1.11294779843469</v>
      </c>
      <c r="AE5543">
        <v>-2.70800000000051E-2</v>
      </c>
      <c r="AF5543">
        <v>-1.9110033025090101</v>
      </c>
      <c r="AG5543">
        <v>-1.11294779843469</v>
      </c>
      <c r="AH5543">
        <v>8.2872274357490703</v>
      </c>
      <c r="AI5543">
        <v>97.455505341979801</v>
      </c>
      <c r="AJ5543">
        <v>102.985204735511</v>
      </c>
      <c r="AK5543">
        <v>8.5772212864116497</v>
      </c>
      <c r="AL5543">
        <v>66.071345531503795</v>
      </c>
      <c r="AM5543">
        <v>104.192633273098</v>
      </c>
      <c r="AN5543">
        <v>1.0000000787780701</v>
      </c>
    </row>
    <row r="5544" spans="1:40" x14ac:dyDescent="0.25">
      <c r="A5544" t="str">
        <f>"20190304164520163"</f>
        <v>20190304164520163</v>
      </c>
      <c r="B5544" t="str">
        <f>"1551689120156014"</f>
        <v>1551689120156014</v>
      </c>
      <c r="C5544" t="s">
        <v>40</v>
      </c>
      <c r="D5544">
        <v>5.3058820000000004</v>
      </c>
      <c r="E5544">
        <v>0.51426819999999995</v>
      </c>
      <c r="F5544" t="s">
        <v>42</v>
      </c>
      <c r="G5544">
        <v>-261.52640000000002</v>
      </c>
      <c r="H5544" s="1">
        <v>2.8159039999999999E-7</v>
      </c>
      <c r="I5544">
        <v>-60.0548199999999</v>
      </c>
      <c r="J5544">
        <v>-270.16840000000002</v>
      </c>
      <c r="K5544">
        <v>1.1130139999999999</v>
      </c>
      <c r="L5544">
        <v>-60.043640000000003</v>
      </c>
      <c r="M5544">
        <v>0.97404930000000001</v>
      </c>
      <c r="N5544">
        <v>-8.4228229999999994E-3</v>
      </c>
      <c r="O5544">
        <v>-0.22617889999999999</v>
      </c>
      <c r="P5544">
        <v>0.91671219999999998</v>
      </c>
      <c r="Q5544">
        <v>0.39926279999999997</v>
      </c>
      <c r="R5544">
        <v>1.510825E-2</v>
      </c>
      <c r="S5544">
        <v>3.4640499999999999</v>
      </c>
      <c r="T5544">
        <v>-0.43701820000000002</v>
      </c>
      <c r="U5544">
        <v>-2.0416259999999999E-2</v>
      </c>
      <c r="V5544">
        <v>-0.22505649999999999</v>
      </c>
      <c r="W5544">
        <v>0.40509400000000001</v>
      </c>
      <c r="X5544">
        <v>0.8861424</v>
      </c>
      <c r="Y5544">
        <v>-0.21707080000000001</v>
      </c>
      <c r="Z5544">
        <v>4.0875050000000003E-2</v>
      </c>
      <c r="AA5544">
        <v>0.97529969999999999</v>
      </c>
      <c r="AB5544">
        <v>38</v>
      </c>
      <c r="AC5544">
        <v>8.6419999999999906</v>
      </c>
      <c r="AD5544">
        <v>-1.1130137184095901</v>
      </c>
      <c r="AE5544">
        <v>-1.11799999999888E-2</v>
      </c>
      <c r="AF5544">
        <v>-1.9121009477795801</v>
      </c>
      <c r="AG5544">
        <v>-1.1130137184095901</v>
      </c>
      <c r="AH5544">
        <v>8.2831677950055607</v>
      </c>
      <c r="AI5544">
        <v>97.459158341800006</v>
      </c>
      <c r="AJ5544">
        <v>102.99856167823199</v>
      </c>
      <c r="AK5544">
        <v>8.5735522563337003</v>
      </c>
      <c r="AL5544">
        <v>66.102981315073094</v>
      </c>
      <c r="AM5544">
        <v>104.25030371277001</v>
      </c>
      <c r="AN5544">
        <v>0.99999996505300404</v>
      </c>
    </row>
    <row r="5545" spans="1:40" x14ac:dyDescent="0.25">
      <c r="A5545" t="str">
        <f>"20190304164520174"</f>
        <v>20190304164520174</v>
      </c>
      <c r="B5545" t="str">
        <f>"1551689120165773"</f>
        <v>1551689120165773</v>
      </c>
      <c r="C5545" t="s">
        <v>40</v>
      </c>
      <c r="D5545">
        <v>5.3093649999999997</v>
      </c>
      <c r="E5545">
        <v>0.51438989999999996</v>
      </c>
      <c r="F5545" t="s">
        <v>42</v>
      </c>
      <c r="G5545">
        <v>-261.36410000000001</v>
      </c>
      <c r="H5545" s="1">
        <v>3.55139799999999E-7</v>
      </c>
      <c r="I5545">
        <v>-60.076929999999997</v>
      </c>
      <c r="J5545">
        <v>-269.98790000000002</v>
      </c>
      <c r="K5545">
        <v>1.1130899999999999</v>
      </c>
      <c r="L5545">
        <v>-60.084499999999998</v>
      </c>
      <c r="M5545">
        <v>0.97441520000000004</v>
      </c>
      <c r="N5545">
        <v>-8.4340769999999999E-3</v>
      </c>
      <c r="O5545">
        <v>-0.22459789999999999</v>
      </c>
      <c r="P5545">
        <v>0.91682929999999996</v>
      </c>
      <c r="Q5545">
        <v>0.39889790000000003</v>
      </c>
      <c r="R5545">
        <v>1.7456389999999999E-2</v>
      </c>
      <c r="S5545">
        <v>3.4634399999999999</v>
      </c>
      <c r="T5545">
        <v>-0.43783460000000002</v>
      </c>
      <c r="U5545">
        <v>-1.312256E-2</v>
      </c>
      <c r="V5545">
        <v>-0.2259949</v>
      </c>
      <c r="W5545">
        <v>0.40469250000000001</v>
      </c>
      <c r="X5545">
        <v>0.88608709999999902</v>
      </c>
      <c r="Y5545">
        <v>-0.217533</v>
      </c>
      <c r="Z5545">
        <v>4.0810249999999999E-2</v>
      </c>
      <c r="AA5545">
        <v>0.97519940000000005</v>
      </c>
      <c r="AB5545">
        <v>38</v>
      </c>
      <c r="AC5545">
        <v>8.6238000000000099</v>
      </c>
      <c r="AD5545">
        <v>-1.1130896448601999</v>
      </c>
      <c r="AE5545">
        <v>7.5699999999940797E-3</v>
      </c>
      <c r="AF5545">
        <v>-1.91247165676546</v>
      </c>
      <c r="AG5545">
        <v>-1.1130896448601999</v>
      </c>
      <c r="AH5545">
        <v>8.2640833310070008</v>
      </c>
      <c r="AI5545">
        <v>97.475756252949495</v>
      </c>
      <c r="AJ5545">
        <v>103.02999630462099</v>
      </c>
      <c r="AK5545">
        <v>8.5552083374546708</v>
      </c>
      <c r="AL5545">
        <v>66.128141754672697</v>
      </c>
      <c r="AM5545">
        <v>104.30814365252201</v>
      </c>
      <c r="AN5545">
        <v>1.00000003158433</v>
      </c>
    </row>
    <row r="5546" spans="1:40" x14ac:dyDescent="0.25">
      <c r="A5546" t="str">
        <f>"20190304164520185"</f>
        <v>20190304164520185</v>
      </c>
      <c r="B5546" t="str">
        <f>"1551689120175534"</f>
        <v>1551689120175534</v>
      </c>
      <c r="C5546" t="s">
        <v>40</v>
      </c>
      <c r="D5546">
        <v>5.3267790000000002</v>
      </c>
      <c r="E5546">
        <v>0.51456679999999999</v>
      </c>
      <c r="F5546" t="s">
        <v>42</v>
      </c>
      <c r="G5546">
        <v>-261.20960000000002</v>
      </c>
      <c r="H5546" s="1">
        <v>4.2563739999999998E-7</v>
      </c>
      <c r="I5546">
        <v>-60.100760000000001</v>
      </c>
      <c r="J5546">
        <v>-269.7946</v>
      </c>
      <c r="K5546">
        <v>1.1131709999999999</v>
      </c>
      <c r="L5546">
        <v>-60.127589999999998</v>
      </c>
      <c r="M5546">
        <v>0.97481910000000005</v>
      </c>
      <c r="N5546">
        <v>-8.4487899999999994E-3</v>
      </c>
      <c r="O5546">
        <v>-0.2228369</v>
      </c>
      <c r="P5546">
        <v>0.91678649999999995</v>
      </c>
      <c r="Q5546">
        <v>0.39888050000000003</v>
      </c>
      <c r="R5546">
        <v>1.9923300000000001E-2</v>
      </c>
      <c r="S5546">
        <v>3.4633479999999999</v>
      </c>
      <c r="T5546">
        <v>-0.4391543</v>
      </c>
      <c r="U5546">
        <v>-6.4392090000000004E-3</v>
      </c>
      <c r="V5546">
        <v>-0.22686110000000001</v>
      </c>
      <c r="W5546">
        <v>0.40463670000000002</v>
      </c>
      <c r="X5546">
        <v>0.88589119999999999</v>
      </c>
      <c r="Y5546">
        <v>-0.21764249999999999</v>
      </c>
      <c r="Z5546">
        <v>4.0740899999999997E-2</v>
      </c>
      <c r="AA5546">
        <v>0.97517790000000004</v>
      </c>
      <c r="AB5546">
        <v>38</v>
      </c>
      <c r="AC5546">
        <v>8.5849999999999795</v>
      </c>
      <c r="AD5546">
        <v>-1.1131705743625999</v>
      </c>
      <c r="AE5546">
        <v>2.6830000000003899E-2</v>
      </c>
      <c r="AF5546">
        <v>-1.90721297053373</v>
      </c>
      <c r="AG5546">
        <v>-1.1131705743625999</v>
      </c>
      <c r="AH5546">
        <v>8.2248595330594707</v>
      </c>
      <c r="AI5546">
        <v>97.510783492659499</v>
      </c>
      <c r="AJ5546">
        <v>103.055241708918</v>
      </c>
      <c r="AK5546">
        <v>8.5161566672506694</v>
      </c>
      <c r="AL5546">
        <v>66.131637555894898</v>
      </c>
      <c r="AM5546">
        <v>104.363764542992</v>
      </c>
      <c r="AN5546">
        <v>1.00000001795876</v>
      </c>
    </row>
    <row r="5547" spans="1:40" x14ac:dyDescent="0.25">
      <c r="A5547" t="str">
        <f>"20190304164520196"</f>
        <v>20190304164520196</v>
      </c>
      <c r="B5547" t="str">
        <f>"1551689120185294"</f>
        <v>1551689120185294</v>
      </c>
      <c r="C5547" t="s">
        <v>40</v>
      </c>
      <c r="D5547">
        <v>5.311788</v>
      </c>
      <c r="E5547">
        <v>0.51465609999999995</v>
      </c>
      <c r="F5547" t="s">
        <v>53</v>
      </c>
      <c r="G5547">
        <v>-260.988</v>
      </c>
      <c r="H5547" s="1">
        <v>5.2470999999999999E-7</v>
      </c>
      <c r="I5547">
        <v>-60.123420000000003</v>
      </c>
      <c r="J5547">
        <v>-269.61849999999998</v>
      </c>
      <c r="K5547">
        <v>1.113246</v>
      </c>
      <c r="L5547">
        <v>-60.166690000000003</v>
      </c>
      <c r="M5547">
        <v>0.97518720000000003</v>
      </c>
      <c r="N5547">
        <v>-8.462308E-3</v>
      </c>
      <c r="O5547">
        <v>-0.22122030000000001</v>
      </c>
      <c r="P5547">
        <v>0.91680510000000004</v>
      </c>
      <c r="Q5547">
        <v>0.3987366</v>
      </c>
      <c r="R5547">
        <v>2.185405E-2</v>
      </c>
      <c r="S5547">
        <v>3.4626769999999998</v>
      </c>
      <c r="T5547">
        <v>-0.437691</v>
      </c>
      <c r="U5547">
        <v>1.617432E-3</v>
      </c>
      <c r="V5547">
        <v>-0.22734380000000001</v>
      </c>
      <c r="W5547">
        <v>0.40446140000000003</v>
      </c>
      <c r="X5547">
        <v>0.88584750000000001</v>
      </c>
      <c r="Y5547">
        <v>-0.2183204</v>
      </c>
      <c r="Z5547">
        <v>4.0471229999999997E-2</v>
      </c>
      <c r="AA5547">
        <v>0.97503759999999995</v>
      </c>
      <c r="AB5547">
        <v>38</v>
      </c>
      <c r="AC5547">
        <v>8.6304999999999801</v>
      </c>
      <c r="AD5547">
        <v>-1.1132454752900001</v>
      </c>
      <c r="AE5547">
        <v>4.3270000000006803E-2</v>
      </c>
      <c r="AF5547">
        <v>-1.9195702630821001</v>
      </c>
      <c r="AG5547">
        <v>-1.1132454752900001</v>
      </c>
      <c r="AH5547">
        <v>8.2694943121685096</v>
      </c>
      <c r="AI5547">
        <v>97.470805290384504</v>
      </c>
      <c r="AJ5547">
        <v>103.068438427429</v>
      </c>
      <c r="AK5547">
        <v>8.5620442455146204</v>
      </c>
      <c r="AL5547">
        <v>66.142620164010197</v>
      </c>
      <c r="AM5547">
        <v>104.39373898195601</v>
      </c>
      <c r="AN5547">
        <v>1.0000000103723199</v>
      </c>
    </row>
    <row r="5548" spans="1:40" x14ac:dyDescent="0.25">
      <c r="A5548" t="str">
        <f>"20190304164520207"</f>
        <v>20190304164520207</v>
      </c>
      <c r="B5548" t="str">
        <f>"1551689120196030"</f>
        <v>1551689120196030</v>
      </c>
      <c r="C5548" t="s">
        <v>40</v>
      </c>
      <c r="D5548">
        <v>5.2774150000000004</v>
      </c>
      <c r="E5548">
        <v>0.51470159999999998</v>
      </c>
      <c r="F5548" t="s">
        <v>42</v>
      </c>
      <c r="G5548">
        <v>-260.81099999999998</v>
      </c>
      <c r="H5548" s="1">
        <v>6.0454619999999998E-7</v>
      </c>
      <c r="I5548">
        <v>-60.145350000000001</v>
      </c>
      <c r="J5548">
        <v>-269.42829999999998</v>
      </c>
      <c r="K5548">
        <v>1.1133249999999999</v>
      </c>
      <c r="L5548">
        <v>-60.208440000000003</v>
      </c>
      <c r="M5548">
        <v>0.97559269999999998</v>
      </c>
      <c r="N5548">
        <v>-8.4781809999999996E-3</v>
      </c>
      <c r="O5548">
        <v>-0.21942429999999999</v>
      </c>
      <c r="P5548">
        <v>0.91684310000000002</v>
      </c>
      <c r="Q5548">
        <v>0.39853300000000003</v>
      </c>
      <c r="R5548">
        <v>2.388382E-2</v>
      </c>
      <c r="S5548">
        <v>3.4623719999999998</v>
      </c>
      <c r="T5548">
        <v>-0.43763220000000003</v>
      </c>
      <c r="U5548">
        <v>8.3618159999999993E-3</v>
      </c>
      <c r="V5548">
        <v>-0.22776979999999999</v>
      </c>
      <c r="W5548">
        <v>0.40422540000000001</v>
      </c>
      <c r="X5548">
        <v>0.88584580000000002</v>
      </c>
      <c r="Y5548">
        <v>-0.2184354</v>
      </c>
      <c r="Z5548">
        <v>4.0270439999999998E-2</v>
      </c>
      <c r="AA5548">
        <v>0.97502009999999995</v>
      </c>
      <c r="AB5548">
        <v>38</v>
      </c>
      <c r="AC5548">
        <v>8.6173000000000002</v>
      </c>
      <c r="AD5548">
        <v>-1.1133243954537999</v>
      </c>
      <c r="AE5548">
        <v>6.3090000000002505E-2</v>
      </c>
      <c r="AF5548">
        <v>-1.92041205996044</v>
      </c>
      <c r="AG5548">
        <v>-1.1133243954537999</v>
      </c>
      <c r="AH5548">
        <v>8.2556396582461993</v>
      </c>
      <c r="AI5548">
        <v>97.482923603824801</v>
      </c>
      <c r="AJ5548">
        <v>103.09515781952101</v>
      </c>
      <c r="AK5548">
        <v>8.5488630739041298</v>
      </c>
      <c r="AL5548">
        <v>66.157404645727993</v>
      </c>
      <c r="AM5548">
        <v>104.41961315536</v>
      </c>
      <c r="AN5548">
        <v>1.00000001858742</v>
      </c>
    </row>
    <row r="5549" spans="1:40" x14ac:dyDescent="0.25">
      <c r="A5549" t="str">
        <f>"20190304164520219"</f>
        <v>20190304164520219</v>
      </c>
      <c r="B5549" t="str">
        <f>"1551689120215549"</f>
        <v>1551689120215549</v>
      </c>
      <c r="C5549" t="s">
        <v>40</v>
      </c>
      <c r="D5549">
        <v>5.3756750000000002</v>
      </c>
      <c r="E5549">
        <v>0.5149475</v>
      </c>
      <c r="F5549" t="s">
        <v>42</v>
      </c>
      <c r="G5549">
        <v>-260.62639999999999</v>
      </c>
      <c r="H5549" s="1">
        <v>6.8718169999999996E-7</v>
      </c>
      <c r="I5549">
        <v>-60.164920000000002</v>
      </c>
      <c r="J5549">
        <v>-269.23649999999998</v>
      </c>
      <c r="K5549">
        <v>1.113405</v>
      </c>
      <c r="L5549">
        <v>-60.25018</v>
      </c>
      <c r="M5549">
        <v>0.97600390000000004</v>
      </c>
      <c r="N5549">
        <v>-8.4950100000000008E-3</v>
      </c>
      <c r="O5549">
        <v>-0.21758720000000001</v>
      </c>
      <c r="P5549">
        <v>0.91691920000000005</v>
      </c>
      <c r="Q5549">
        <v>0.39821590000000001</v>
      </c>
      <c r="R5549">
        <v>2.613853E-2</v>
      </c>
      <c r="S5549">
        <v>3.4620060000000001</v>
      </c>
      <c r="T5549">
        <v>-0.43790099999999998</v>
      </c>
      <c r="U5549">
        <v>1.7089839999999999E-2</v>
      </c>
      <c r="V5549">
        <v>-0.22838700000000001</v>
      </c>
      <c r="W5549">
        <v>0.4038756</v>
      </c>
      <c r="X5549">
        <v>0.88584640000000003</v>
      </c>
      <c r="Y5549">
        <v>-0.2190599</v>
      </c>
      <c r="Z5549">
        <v>4.0130560000000003E-2</v>
      </c>
      <c r="AA5549">
        <v>0.97488580000000002</v>
      </c>
      <c r="AB5549">
        <v>38</v>
      </c>
      <c r="AC5549">
        <v>8.6100999999999797</v>
      </c>
      <c r="AD5549">
        <v>-1.1134043128183</v>
      </c>
      <c r="AE5549">
        <v>8.5260000000012298E-2</v>
      </c>
      <c r="AF5549">
        <v>-1.92455297268123</v>
      </c>
      <c r="AG5549">
        <v>-1.1134043128183</v>
      </c>
      <c r="AH5549">
        <v>8.2473434643254695</v>
      </c>
      <c r="AI5549">
        <v>97.489692396940796</v>
      </c>
      <c r="AJ5549">
        <v>103.13516099373101</v>
      </c>
      <c r="AK5549">
        <v>8.5417941632312004</v>
      </c>
      <c r="AL5549">
        <v>66.179313950872</v>
      </c>
      <c r="AM5549">
        <v>104.457041961608</v>
      </c>
      <c r="AN5549">
        <v>0.99999998321865902</v>
      </c>
    </row>
    <row r="5550" spans="1:40" x14ac:dyDescent="0.25">
      <c r="A5550" t="str">
        <f>"20190304164520231"</f>
        <v>20190304164520231</v>
      </c>
      <c r="B5550" t="str">
        <f>"1551689120225309"</f>
        <v>1551689120225309</v>
      </c>
      <c r="C5550" t="s">
        <v>40</v>
      </c>
      <c r="D5550">
        <v>5.3654719999999996</v>
      </c>
      <c r="E5550">
        <v>0.5150766</v>
      </c>
      <c r="F5550" t="s">
        <v>42</v>
      </c>
      <c r="G5550">
        <v>-260.46050000000002</v>
      </c>
      <c r="H5550" s="1">
        <v>7.622667E-7</v>
      </c>
      <c r="I5550">
        <v>-60.186909999999997</v>
      </c>
      <c r="J5550">
        <v>-269.02960000000002</v>
      </c>
      <c r="K5550">
        <v>1.113489</v>
      </c>
      <c r="L5550">
        <v>-60.294829999999997</v>
      </c>
      <c r="M5550">
        <v>0.97645130000000002</v>
      </c>
      <c r="N5550">
        <v>-8.5143259999999991E-3</v>
      </c>
      <c r="O5550">
        <v>-0.21557009999999999</v>
      </c>
      <c r="P5550">
        <v>0.91704669999999999</v>
      </c>
      <c r="Q5550">
        <v>0.39777420000000002</v>
      </c>
      <c r="R5550">
        <v>2.830299E-2</v>
      </c>
      <c r="S5550">
        <v>3.4618839999999902</v>
      </c>
      <c r="T5550">
        <v>-0.43920920000000002</v>
      </c>
      <c r="U5550">
        <v>2.4932860000000001E-2</v>
      </c>
      <c r="V5550">
        <v>-0.228769</v>
      </c>
      <c r="W5550">
        <v>0.4034027</v>
      </c>
      <c r="X5550">
        <v>0.88596330000000001</v>
      </c>
      <c r="Y5550">
        <v>-0.21924560000000001</v>
      </c>
      <c r="Z5550">
        <v>4.0032810000000002E-2</v>
      </c>
      <c r="AA5550">
        <v>0.97484800000000005</v>
      </c>
      <c r="AB5550">
        <v>39</v>
      </c>
      <c r="AC5550">
        <v>8.5690999999999899</v>
      </c>
      <c r="AD5550">
        <v>-1.1134882377333</v>
      </c>
      <c r="AE5550">
        <v>0.107920000000007</v>
      </c>
      <c r="AF5550">
        <v>-1.92027240659089</v>
      </c>
      <c r="AG5550">
        <v>-1.1134882377333</v>
      </c>
      <c r="AH5550">
        <v>8.2058134249338401</v>
      </c>
      <c r="AI5550">
        <v>97.526638262156197</v>
      </c>
      <c r="AJ5550">
        <v>103.17098375166501</v>
      </c>
      <c r="AK5550">
        <v>8.5007456223503794</v>
      </c>
      <c r="AL5550">
        <v>66.208928761982705</v>
      </c>
      <c r="AM5550">
        <v>104.47837672239901</v>
      </c>
      <c r="AN5550">
        <v>0.99999998133758905</v>
      </c>
    </row>
    <row r="5551" spans="1:40" x14ac:dyDescent="0.25">
      <c r="A5551" t="str">
        <f>"20190304164520242"</f>
        <v>20190304164520242</v>
      </c>
      <c r="B5551" t="str">
        <f>"1551689120236046"</f>
        <v>1551689120236046</v>
      </c>
      <c r="C5551" t="s">
        <v>40</v>
      </c>
      <c r="D5551">
        <v>5.34558</v>
      </c>
      <c r="E5551">
        <v>0.51521209999999995</v>
      </c>
      <c r="F5551" t="s">
        <v>42</v>
      </c>
      <c r="G5551">
        <v>-260.27929999999998</v>
      </c>
      <c r="H5551" s="1">
        <v>8.4473479999999996E-7</v>
      </c>
      <c r="I5551">
        <v>-60.213529999999999</v>
      </c>
      <c r="J5551">
        <v>-268.83859999999999</v>
      </c>
      <c r="K5551">
        <v>1.1135619999999999</v>
      </c>
      <c r="L5551">
        <v>-60.335479999999997</v>
      </c>
      <c r="M5551">
        <v>0.97686989999999996</v>
      </c>
      <c r="N5551">
        <v>-8.5365839999999998E-3</v>
      </c>
      <c r="O5551">
        <v>-0.2136642</v>
      </c>
      <c r="P5551">
        <v>0.91715170000000001</v>
      </c>
      <c r="Q5551">
        <v>0.39737709999999998</v>
      </c>
      <c r="R5551">
        <v>3.0398749999999999E-2</v>
      </c>
      <c r="S5551">
        <v>3.4614259999999999</v>
      </c>
      <c r="T5551">
        <v>-0.44047180000000002</v>
      </c>
      <c r="U5551">
        <v>3.2135009999999999E-2</v>
      </c>
      <c r="V5551">
        <v>-0.22917380000000001</v>
      </c>
      <c r="W5551">
        <v>0.40298119999999998</v>
      </c>
      <c r="X5551">
        <v>0.88605049999999996</v>
      </c>
      <c r="Y5551">
        <v>-0.2193638</v>
      </c>
      <c r="Z5551">
        <v>3.9941110000000002E-2</v>
      </c>
      <c r="AA5551">
        <v>0.97482519999999995</v>
      </c>
      <c r="AB5551">
        <v>39</v>
      </c>
      <c r="AC5551">
        <v>8.5593000000000004</v>
      </c>
      <c r="AD5551">
        <v>-1.1135611552652001</v>
      </c>
      <c r="AE5551">
        <v>0.121949999999998</v>
      </c>
      <c r="AF5551">
        <v>-1.91559953177786</v>
      </c>
      <c r="AG5551">
        <v>-1.1135611552652001</v>
      </c>
      <c r="AH5551">
        <v>8.1968586272071793</v>
      </c>
      <c r="AI5551">
        <v>97.535773519666293</v>
      </c>
      <c r="AJ5551">
        <v>103.15390245482401</v>
      </c>
      <c r="AK5551">
        <v>8.4910559630168496</v>
      </c>
      <c r="AL5551">
        <v>66.235319114181294</v>
      </c>
      <c r="AM5551">
        <v>104.50154919607201</v>
      </c>
      <c r="AN5551">
        <v>0.99999998335506401</v>
      </c>
    </row>
    <row r="5552" spans="1:40" x14ac:dyDescent="0.25">
      <c r="A5552" t="str">
        <f>"20190304164520257"</f>
        <v>20190304164520257</v>
      </c>
      <c r="B5552" t="str">
        <f>"1551689120245805"</f>
        <v>1551689120245805</v>
      </c>
      <c r="C5552" t="s">
        <v>40</v>
      </c>
      <c r="D5552">
        <v>5.3738929999999998</v>
      </c>
      <c r="E5552">
        <v>0.51539520000000005</v>
      </c>
      <c r="F5552" t="s">
        <v>42</v>
      </c>
      <c r="G5552">
        <v>-260.11180000000002</v>
      </c>
      <c r="H5552" s="1">
        <v>9.2129610000000001E-7</v>
      </c>
      <c r="I5552">
        <v>-60.240079999999999</v>
      </c>
      <c r="J5552">
        <v>-268.59809999999999</v>
      </c>
      <c r="K5552">
        <v>1.113659</v>
      </c>
      <c r="L5552">
        <v>-60.38626</v>
      </c>
      <c r="M5552">
        <v>0.97739889999999996</v>
      </c>
      <c r="N5552">
        <v>-8.5680200000000008E-3</v>
      </c>
      <c r="O5552">
        <v>-0.21123049999999999</v>
      </c>
      <c r="P5552">
        <v>0.91720679999999999</v>
      </c>
      <c r="Q5552">
        <v>0.39706039999999998</v>
      </c>
      <c r="R5552">
        <v>3.2793669999999997E-2</v>
      </c>
      <c r="S5552">
        <v>3.46109</v>
      </c>
      <c r="T5552">
        <v>-0.44164179999999997</v>
      </c>
      <c r="U5552">
        <v>3.7811280000000003E-2</v>
      </c>
      <c r="V5552">
        <v>-0.2294013</v>
      </c>
      <c r="W5552">
        <v>0.40263860000000001</v>
      </c>
      <c r="X5552">
        <v>0.88614740000000003</v>
      </c>
      <c r="Y5552">
        <v>-0.21854019999999999</v>
      </c>
      <c r="Z5552">
        <v>3.9711620000000003E-2</v>
      </c>
      <c r="AA5552">
        <v>0.97501959999999999</v>
      </c>
      <c r="AB5552">
        <v>39</v>
      </c>
      <c r="AC5552">
        <v>8.4862999999999698</v>
      </c>
      <c r="AD5552">
        <v>-1.1136580787039001</v>
      </c>
      <c r="AE5552">
        <v>0.14617999999999301</v>
      </c>
      <c r="AF5552">
        <v>-1.90275401769469</v>
      </c>
      <c r="AG5552">
        <v>-1.1136580787039001</v>
      </c>
      <c r="AH5552">
        <v>8.1240588301524497</v>
      </c>
      <c r="AI5552">
        <v>97.602314248827597</v>
      </c>
      <c r="AJ5552">
        <v>103.18177052820501</v>
      </c>
      <c r="AK5552">
        <v>8.41789991885706</v>
      </c>
      <c r="AL5552">
        <v>66.256766094361595</v>
      </c>
      <c r="AM5552">
        <v>104.513816805849</v>
      </c>
      <c r="AN5552">
        <v>1.0000000065892001</v>
      </c>
    </row>
    <row r="5553" spans="1:40" x14ac:dyDescent="0.25">
      <c r="A5553" t="str">
        <f>"20190304164520271"</f>
        <v>20190304164520271</v>
      </c>
      <c r="B5553" t="str">
        <f>"1551689120265325"</f>
        <v>1551689120265325</v>
      </c>
      <c r="C5553" t="s">
        <v>40</v>
      </c>
      <c r="D5553">
        <v>5.4821839999999904</v>
      </c>
      <c r="E5553">
        <v>0.51553230000000005</v>
      </c>
      <c r="F5553" t="s">
        <v>54</v>
      </c>
      <c r="G5553">
        <v>-259.8886</v>
      </c>
      <c r="H5553" s="1">
        <v>-3.4029690000000001E-6</v>
      </c>
      <c r="I5553">
        <v>-60.272210000000001</v>
      </c>
      <c r="J5553">
        <v>-268.34539999999998</v>
      </c>
      <c r="K5553">
        <v>1.113758</v>
      </c>
      <c r="L5553">
        <v>-60.438899999999997</v>
      </c>
      <c r="M5553">
        <v>0.97796079999999996</v>
      </c>
      <c r="N5553">
        <v>-8.608671E-3</v>
      </c>
      <c r="O5553">
        <v>-0.20861189999999999</v>
      </c>
      <c r="P5553">
        <v>0.91715250000000004</v>
      </c>
      <c r="Q5553">
        <v>0.39698230000000001</v>
      </c>
      <c r="R5553">
        <v>3.5164689999999998E-2</v>
      </c>
      <c r="S5553">
        <v>3.4607540000000001</v>
      </c>
      <c r="T5553">
        <v>-0.44251449999999998</v>
      </c>
      <c r="U5553">
        <v>4.5318600000000001E-2</v>
      </c>
      <c r="V5553">
        <v>-0.2294233</v>
      </c>
      <c r="W5553">
        <v>0.40254210000000001</v>
      </c>
      <c r="X5553">
        <v>0.88618549999999996</v>
      </c>
      <c r="Y5553">
        <v>-0.21805269999999999</v>
      </c>
      <c r="Z5553">
        <v>3.9453870000000002E-2</v>
      </c>
      <c r="AA5553">
        <v>0.97513919999999998</v>
      </c>
      <c r="AB5553">
        <v>39</v>
      </c>
      <c r="AC5553">
        <v>8.4567999999999799</v>
      </c>
      <c r="AD5553">
        <v>-1.1137614029689999</v>
      </c>
      <c r="AE5553">
        <v>0.16668999999999501</v>
      </c>
      <c r="AF5553">
        <v>-1.8944304930626299</v>
      </c>
      <c r="AG5553">
        <v>-1.1137614029689999</v>
      </c>
      <c r="AH5553">
        <v>8.0955863430462394</v>
      </c>
      <c r="AI5553">
        <v>97.629779069930095</v>
      </c>
      <c r="AJ5553">
        <v>103.170666564797</v>
      </c>
      <c r="AK5553">
        <v>8.3885546784595597</v>
      </c>
      <c r="AL5553">
        <v>66.262805247079697</v>
      </c>
      <c r="AM5553">
        <v>104.51455222025599</v>
      </c>
      <c r="AN5553">
        <v>0.99999996663277402</v>
      </c>
    </row>
    <row r="5554" spans="1:40" x14ac:dyDescent="0.25">
      <c r="A5554" t="str">
        <f>"20190304164520286"</f>
        <v>20190304164520286</v>
      </c>
      <c r="B5554" t="str">
        <f>"1551689120276062"</f>
        <v>1551689120276062</v>
      </c>
      <c r="C5554" t="s">
        <v>40</v>
      </c>
      <c r="D5554">
        <v>5.3036190000000003</v>
      </c>
      <c r="E5554">
        <v>0.51559979999999905</v>
      </c>
      <c r="F5554" t="s">
        <v>54</v>
      </c>
      <c r="G5554">
        <v>-259.64170000000001</v>
      </c>
      <c r="H5554" s="1">
        <v>-3.2900569999999999E-6</v>
      </c>
      <c r="I5554">
        <v>-60.303890000000003</v>
      </c>
      <c r="J5554">
        <v>-268.1078</v>
      </c>
      <c r="K5554">
        <v>1.1138520000000001</v>
      </c>
      <c r="L5554">
        <v>-60.487580000000001</v>
      </c>
      <c r="M5554">
        <v>0.97849459999999999</v>
      </c>
      <c r="N5554">
        <v>-8.6494480000000006E-3</v>
      </c>
      <c r="O5554">
        <v>-0.20609130000000001</v>
      </c>
      <c r="P5554">
        <v>0.91742829999999997</v>
      </c>
      <c r="Q5554">
        <v>0.39616230000000002</v>
      </c>
      <c r="R5554">
        <v>3.7160039999999998E-2</v>
      </c>
      <c r="S5554">
        <v>3.4606020000000002</v>
      </c>
      <c r="T5554">
        <v>-0.44283499999999998</v>
      </c>
      <c r="U5554">
        <v>5.368042E-2</v>
      </c>
      <c r="V5554">
        <v>-0.22922290000000001</v>
      </c>
      <c r="W5554">
        <v>0.40171299999999999</v>
      </c>
      <c r="X5554">
        <v>0.88661350000000005</v>
      </c>
      <c r="Y5554">
        <v>-0.21790989999999999</v>
      </c>
      <c r="Z5554">
        <v>3.9177950000000003E-2</v>
      </c>
      <c r="AA5554">
        <v>0.9751822</v>
      </c>
      <c r="AB5554">
        <v>39</v>
      </c>
      <c r="AC5554">
        <v>8.4660999999999795</v>
      </c>
      <c r="AD5554">
        <v>-1.113855290057</v>
      </c>
      <c r="AE5554">
        <v>0.18368999999999799</v>
      </c>
      <c r="AF5554">
        <v>-1.8918687445250399</v>
      </c>
      <c r="AG5554">
        <v>-1.113855290057</v>
      </c>
      <c r="AH5554">
        <v>8.1062333736213805</v>
      </c>
      <c r="AI5554">
        <v>97.621550810344502</v>
      </c>
      <c r="AJ5554">
        <v>103.136799333243</v>
      </c>
      <c r="AK5554">
        <v>8.3982653245364691</v>
      </c>
      <c r="AL5554">
        <v>66.314689490367201</v>
      </c>
      <c r="AM5554">
        <v>104.495702844749</v>
      </c>
      <c r="AN5554">
        <v>0.99999998531782996</v>
      </c>
    </row>
    <row r="5555" spans="1:40" x14ac:dyDescent="0.25">
      <c r="A5555" t="str">
        <f>"20190304164520296"</f>
        <v>20190304164520296</v>
      </c>
      <c r="B5555" t="str">
        <f>"1551689120285822"</f>
        <v>1551689120285822</v>
      </c>
      <c r="C5555" t="s">
        <v>40</v>
      </c>
      <c r="D5555">
        <v>5.3817300000000001</v>
      </c>
      <c r="E5555">
        <v>0.51575930000000003</v>
      </c>
      <c r="F5555" t="s">
        <v>54</v>
      </c>
      <c r="G5555">
        <v>-259.45890000000003</v>
      </c>
      <c r="H5555" s="1">
        <v>-3.2049839999999998E-6</v>
      </c>
      <c r="I5555">
        <v>-60.334009999999999</v>
      </c>
      <c r="J5555">
        <v>-267.92849999999999</v>
      </c>
      <c r="K5555">
        <v>1.1139220000000001</v>
      </c>
      <c r="L5555">
        <v>-60.523989999999998</v>
      </c>
      <c r="M5555">
        <v>0.97889760000000003</v>
      </c>
      <c r="N5555">
        <v>-8.682482E-3</v>
      </c>
      <c r="O5555">
        <v>-0.2041675</v>
      </c>
      <c r="P5555">
        <v>0.91734459999999995</v>
      </c>
      <c r="Q5555">
        <v>0.39622279999999999</v>
      </c>
      <c r="R5555">
        <v>3.8559719999999999E-2</v>
      </c>
      <c r="S5555">
        <v>3.4599299999999999</v>
      </c>
      <c r="T5555">
        <v>-0.44559159999999998</v>
      </c>
      <c r="U5555">
        <v>6.1431880000000001E-2</v>
      </c>
      <c r="V5555">
        <v>-0.22889509999999999</v>
      </c>
      <c r="W5555">
        <v>0.40176810000000002</v>
      </c>
      <c r="X5555">
        <v>0.8866733</v>
      </c>
      <c r="Y5555">
        <v>-0.21814810000000001</v>
      </c>
      <c r="Z5555">
        <v>3.9220940000000003E-2</v>
      </c>
      <c r="AA5555">
        <v>0.97512719999999997</v>
      </c>
      <c r="AB5555">
        <v>39</v>
      </c>
      <c r="AC5555">
        <v>8.4695999999999501</v>
      </c>
      <c r="AD5555">
        <v>-1.1139252049839901</v>
      </c>
      <c r="AE5555">
        <v>0.18998000000000501</v>
      </c>
      <c r="AF5555">
        <v>-1.88270994601814</v>
      </c>
      <c r="AG5555">
        <v>-1.1139252049839901</v>
      </c>
      <c r="AH5555">
        <v>8.1121431647730802</v>
      </c>
      <c r="AI5555">
        <v>97.618695122844301</v>
      </c>
      <c r="AJ5555">
        <v>103.066193839692</v>
      </c>
      <c r="AK5555">
        <v>8.4019219723173393</v>
      </c>
      <c r="AL5555">
        <v>66.311243859785506</v>
      </c>
      <c r="AM5555">
        <v>104.474909533909</v>
      </c>
      <c r="AN5555">
        <v>1.00000005695725</v>
      </c>
    </row>
    <row r="5556" spans="1:40" x14ac:dyDescent="0.25">
      <c r="A5556" t="str">
        <f>"20190304164520307"</f>
        <v>20190304164520307</v>
      </c>
      <c r="B5556" t="str">
        <f>"1551689120295582"</f>
        <v>1551689120295582</v>
      </c>
      <c r="C5556" t="s">
        <v>40</v>
      </c>
      <c r="D5556">
        <v>5.2907400000000004</v>
      </c>
      <c r="E5556">
        <v>0.51579739999999996</v>
      </c>
      <c r="F5556" t="s">
        <v>54</v>
      </c>
      <c r="G5556">
        <v>-259.26769999999999</v>
      </c>
      <c r="H5556" s="1">
        <v>-3.1174130000000001E-6</v>
      </c>
      <c r="I5556">
        <v>-60.359050000000003</v>
      </c>
      <c r="J5556">
        <v>-267.74040000000002</v>
      </c>
      <c r="K5556">
        <v>1.1140000000000001</v>
      </c>
      <c r="L5556">
        <v>-60.561680000000003</v>
      </c>
      <c r="M5556">
        <v>0.97932490000000005</v>
      </c>
      <c r="N5556">
        <v>-8.723537E-3</v>
      </c>
      <c r="O5556">
        <v>-0.20210620000000001</v>
      </c>
      <c r="P5556">
        <v>0.91740600000000005</v>
      </c>
      <c r="Q5556">
        <v>0.3959394</v>
      </c>
      <c r="R5556">
        <v>3.998413E-2</v>
      </c>
      <c r="S5556">
        <v>3.4597470000000001</v>
      </c>
      <c r="T5556">
        <v>-0.44498179999999998</v>
      </c>
      <c r="U5556">
        <v>6.588745E-2</v>
      </c>
      <c r="V5556">
        <v>-0.22849939999999999</v>
      </c>
      <c r="W5556">
        <v>0.40148590000000001</v>
      </c>
      <c r="X5556">
        <v>0.88690309999999895</v>
      </c>
      <c r="Y5556">
        <v>-0.21738170000000001</v>
      </c>
      <c r="Z5556">
        <v>3.8870979999999999E-2</v>
      </c>
      <c r="AA5556">
        <v>0.97531239999999997</v>
      </c>
      <c r="AB5556">
        <v>39</v>
      </c>
      <c r="AC5556">
        <v>8.4727000000000299</v>
      </c>
      <c r="AD5556">
        <v>-1.1140031174130001</v>
      </c>
      <c r="AE5556">
        <v>0.20262999999999901</v>
      </c>
      <c r="AF5556">
        <v>-1.87844345158654</v>
      </c>
      <c r="AG5556">
        <v>-1.1140031174130001</v>
      </c>
      <c r="AH5556">
        <v>8.1166509303146501</v>
      </c>
      <c r="AI5556">
        <v>97.616123399725197</v>
      </c>
      <c r="AJ5556">
        <v>103.030603049183</v>
      </c>
      <c r="AK5556">
        <v>8.4053301583573692</v>
      </c>
      <c r="AL5556">
        <v>66.328897979211206</v>
      </c>
      <c r="AM5556">
        <v>104.44734725398401</v>
      </c>
      <c r="AN5556">
        <v>1.0000000062443899</v>
      </c>
    </row>
    <row r="5557" spans="1:40" x14ac:dyDescent="0.25">
      <c r="A5557" t="str">
        <f>"20190304164520319"</f>
        <v>20190304164520319</v>
      </c>
      <c r="B5557" t="str">
        <f>"1551689120316079"</f>
        <v>1551689120316079</v>
      </c>
      <c r="C5557" t="s">
        <v>40</v>
      </c>
      <c r="D5557">
        <v>5.3979460000000001</v>
      </c>
      <c r="E5557">
        <v>0.51596679999999995</v>
      </c>
      <c r="F5557" t="s">
        <v>54</v>
      </c>
      <c r="G5557">
        <v>-259.09050000000002</v>
      </c>
      <c r="H5557" s="1">
        <v>-3.0360759999999998E-6</v>
      </c>
      <c r="I5557">
        <v>-60.383040000000001</v>
      </c>
      <c r="J5557">
        <v>-267.54300000000001</v>
      </c>
      <c r="K5557">
        <v>1.1140859999999999</v>
      </c>
      <c r="L5557">
        <v>-60.600769999999997</v>
      </c>
      <c r="M5557">
        <v>0.97977440000000005</v>
      </c>
      <c r="N5557">
        <v>-8.7699539999999999E-3</v>
      </c>
      <c r="O5557">
        <v>-0.19991349999999999</v>
      </c>
      <c r="P5557">
        <v>0.91733330000000002</v>
      </c>
      <c r="Q5557">
        <v>0.39596609999999999</v>
      </c>
      <c r="R5557">
        <v>4.1360309999999997E-2</v>
      </c>
      <c r="S5557">
        <v>3.4592900000000002</v>
      </c>
      <c r="T5557">
        <v>-0.44551499999999999</v>
      </c>
      <c r="U5557">
        <v>7.1441649999999995E-2</v>
      </c>
      <c r="V5557">
        <v>-0.22791729999999999</v>
      </c>
      <c r="W5557">
        <v>0.40151779999999998</v>
      </c>
      <c r="X5557">
        <v>0.8870384</v>
      </c>
      <c r="Y5557">
        <v>-0.21677830000000001</v>
      </c>
      <c r="Z5557">
        <v>3.8620639999999998E-2</v>
      </c>
      <c r="AA5557">
        <v>0.97545669999999995</v>
      </c>
      <c r="AB5557">
        <v>39</v>
      </c>
      <c r="AC5557">
        <v>8.4524999999999793</v>
      </c>
      <c r="AD5557">
        <v>-1.1140890360760001</v>
      </c>
      <c r="AE5557">
        <v>0.21772999999999601</v>
      </c>
      <c r="AF5557">
        <v>-1.87069058849164</v>
      </c>
      <c r="AG5557">
        <v>-1.1140890360760001</v>
      </c>
      <c r="AH5557">
        <v>8.0977448736799502</v>
      </c>
      <c r="AI5557">
        <v>97.634968032222503</v>
      </c>
      <c r="AJ5557">
        <v>103.00791883248699</v>
      </c>
      <c r="AK5557">
        <v>8.3853532839938207</v>
      </c>
      <c r="AL5557">
        <v>66.326901697326505</v>
      </c>
      <c r="AM5557">
        <v>104.409970791609</v>
      </c>
      <c r="AN5557">
        <v>0.99999998121534395</v>
      </c>
    </row>
    <row r="5558" spans="1:40" x14ac:dyDescent="0.25">
      <c r="A5558" t="str">
        <f>"20190304164520330"</f>
        <v>20190304164520330</v>
      </c>
      <c r="B5558" t="str">
        <f>"1551689120325838"</f>
        <v>1551689120325838</v>
      </c>
      <c r="C5558" t="s">
        <v>40</v>
      </c>
      <c r="D5558">
        <v>5.4105809999999996</v>
      </c>
      <c r="E5558">
        <v>0.52134939999999996</v>
      </c>
      <c r="F5558" t="s">
        <v>54</v>
      </c>
      <c r="G5558">
        <v>-258.88560000000001</v>
      </c>
      <c r="H5558" s="1">
        <v>-2.9535830000000001E-6</v>
      </c>
      <c r="I5558">
        <v>-60.408520000000003</v>
      </c>
      <c r="J5558">
        <v>-267.35230000000001</v>
      </c>
      <c r="K5558">
        <v>1.114169</v>
      </c>
      <c r="L5558">
        <v>-60.638150000000003</v>
      </c>
      <c r="M5558">
        <v>0.98021009999999997</v>
      </c>
      <c r="N5558">
        <v>-8.81838699999999E-3</v>
      </c>
      <c r="O5558">
        <v>-0.1977641</v>
      </c>
      <c r="P5558">
        <v>0.91722930000000003</v>
      </c>
      <c r="Q5558">
        <v>0.39606000000000002</v>
      </c>
      <c r="R5558">
        <v>4.274534E-2</v>
      </c>
      <c r="S5558">
        <v>3.459076</v>
      </c>
      <c r="T5558">
        <v>-0.44513740000000002</v>
      </c>
      <c r="U5558">
        <v>7.6812740000000004E-2</v>
      </c>
      <c r="V5558">
        <v>-0.22737750000000001</v>
      </c>
      <c r="W5558">
        <v>0.4016187</v>
      </c>
      <c r="X5558">
        <v>0.88713129999999996</v>
      </c>
      <c r="Y5558">
        <v>-0.21617980000000001</v>
      </c>
      <c r="Z5558">
        <v>3.829258E-2</v>
      </c>
      <c r="AA5558">
        <v>0.97560239999999998</v>
      </c>
      <c r="AB5558">
        <v>39</v>
      </c>
      <c r="AC5558">
        <v>8.4666999999999994</v>
      </c>
      <c r="AD5558">
        <v>-1.1141719535829999</v>
      </c>
      <c r="AE5558">
        <v>0.229630000000007</v>
      </c>
      <c r="AF5558">
        <v>-1.86725680536198</v>
      </c>
      <c r="AG5558">
        <v>-1.1141719535829999</v>
      </c>
      <c r="AH5558">
        <v>8.1136502994350899</v>
      </c>
      <c r="AI5558">
        <v>97.622182141475804</v>
      </c>
      <c r="AJ5558">
        <v>102.96025743634701</v>
      </c>
      <c r="AK5558">
        <v>8.3999612082940391</v>
      </c>
      <c r="AL5558">
        <v>66.320590341130796</v>
      </c>
      <c r="AM5558">
        <v>104.37581526049701</v>
      </c>
      <c r="AN5558">
        <v>1.0000000255678101</v>
      </c>
    </row>
    <row r="5559" spans="1:40" x14ac:dyDescent="0.25">
      <c r="A5559" t="str">
        <f>"20190304164520342"</f>
        <v>20190304164520342</v>
      </c>
      <c r="B5559" t="str">
        <f>"1551689120335597"</f>
        <v>1551689120335597</v>
      </c>
      <c r="C5559" t="s">
        <v>40</v>
      </c>
      <c r="D5559">
        <v>5.4280150000000003</v>
      </c>
      <c r="E5559">
        <v>0.52156000000000002</v>
      </c>
      <c r="F5559" t="s">
        <v>54</v>
      </c>
      <c r="G5559">
        <v>-258.54020000000003</v>
      </c>
      <c r="H5559" s="1">
        <v>-2.8339789999999999E-6</v>
      </c>
      <c r="I5559">
        <v>-60.536969999999997</v>
      </c>
      <c r="J5559">
        <v>-267.15620000000001</v>
      </c>
      <c r="K5559">
        <v>1.114255</v>
      </c>
      <c r="L5559">
        <v>-60.675960000000003</v>
      </c>
      <c r="M5559">
        <v>0.98066229999999999</v>
      </c>
      <c r="N5559">
        <v>-8.8739249999999995E-3</v>
      </c>
      <c r="O5559">
        <v>-0.19550719999999999</v>
      </c>
      <c r="P5559">
        <v>0.91725020000000002</v>
      </c>
      <c r="Q5559">
        <v>0.3958932</v>
      </c>
      <c r="R5559">
        <v>4.3832620000000003E-2</v>
      </c>
      <c r="S5559">
        <v>3.4576419999999999</v>
      </c>
      <c r="T5559">
        <v>-0.4371736</v>
      </c>
      <c r="U5559">
        <v>3.9703370000000002E-2</v>
      </c>
      <c r="V5559">
        <v>-0.22647610000000001</v>
      </c>
      <c r="W5559">
        <v>0.40146929999999997</v>
      </c>
      <c r="X5559">
        <v>0.88742940000000003</v>
      </c>
      <c r="Y5559">
        <v>-0.20369519999999999</v>
      </c>
      <c r="Z5559">
        <v>3.6504019999999998E-2</v>
      </c>
      <c r="AA5559">
        <v>0.97835360000000005</v>
      </c>
      <c r="AB5559">
        <v>39</v>
      </c>
      <c r="AC5559">
        <v>8.6159999999999801</v>
      </c>
      <c r="AD5559">
        <v>-1.1142578339789999</v>
      </c>
      <c r="AE5559">
        <v>0.138989999999999</v>
      </c>
      <c r="AF5559">
        <v>-1.7909187547885701</v>
      </c>
      <c r="AG5559">
        <v>-1.1142578339789999</v>
      </c>
      <c r="AH5559">
        <v>8.2840305361031508</v>
      </c>
      <c r="AI5559">
        <v>97.489694034920902</v>
      </c>
      <c r="AJ5559">
        <v>102.198995357201</v>
      </c>
      <c r="AK5559">
        <v>8.5483403318963802</v>
      </c>
      <c r="AL5559">
        <v>66.329935832269996</v>
      </c>
      <c r="AM5559">
        <v>104.31656041266299</v>
      </c>
      <c r="AN5559">
        <v>0.99999998134902901</v>
      </c>
    </row>
    <row r="5560" spans="1:40" x14ac:dyDescent="0.25">
      <c r="A5560" t="str">
        <f>"20190304164520353"</f>
        <v>20190304164520353</v>
      </c>
      <c r="B5560" t="str">
        <f>"1551689120345359"</f>
        <v>1551689120345359</v>
      </c>
      <c r="C5560" t="s">
        <v>40</v>
      </c>
      <c r="D5560">
        <v>5.426202</v>
      </c>
      <c r="E5560">
        <v>0.52176800000000001</v>
      </c>
      <c r="F5560" t="s">
        <v>54</v>
      </c>
      <c r="G5560">
        <v>-258.39249999999998</v>
      </c>
      <c r="H5560" s="1">
        <v>-2.7778229999999999E-6</v>
      </c>
      <c r="I5560">
        <v>-60.569400000000002</v>
      </c>
      <c r="J5560">
        <v>-266.96640000000002</v>
      </c>
      <c r="K5560">
        <v>1.114341</v>
      </c>
      <c r="L5560">
        <v>-60.712310000000002</v>
      </c>
      <c r="M5560">
        <v>0.98109789999999997</v>
      </c>
      <c r="N5560">
        <v>-8.9295250000000007E-3</v>
      </c>
      <c r="O5560">
        <v>-0.19330629999999999</v>
      </c>
      <c r="P5560">
        <v>0.91722610000000004</v>
      </c>
      <c r="Q5560">
        <v>0.3958256</v>
      </c>
      <c r="R5560">
        <v>4.4928349999999999E-2</v>
      </c>
      <c r="S5560">
        <v>3.4584350000000001</v>
      </c>
      <c r="T5560">
        <v>-0.43972430000000001</v>
      </c>
      <c r="U5560">
        <v>4.2053220000000002E-2</v>
      </c>
      <c r="V5560">
        <v>-0.22562450000000001</v>
      </c>
      <c r="W5560">
        <v>0.40141909999999997</v>
      </c>
      <c r="X5560">
        <v>0.88766900000000004</v>
      </c>
      <c r="Y5560">
        <v>-0.20215569999999999</v>
      </c>
      <c r="Z5560">
        <v>3.6347480000000001E-2</v>
      </c>
      <c r="AA5560">
        <v>0.97867870000000001</v>
      </c>
      <c r="AB5560">
        <v>39</v>
      </c>
      <c r="AC5560">
        <v>8.5739000000000303</v>
      </c>
      <c r="AD5560">
        <v>-1.1143437778229901</v>
      </c>
      <c r="AE5560">
        <v>0.14290999999999299</v>
      </c>
      <c r="AF5560">
        <v>-1.7678154438892799</v>
      </c>
      <c r="AG5560">
        <v>-1.1143437778229901</v>
      </c>
      <c r="AH5560">
        <v>8.2453024108031094</v>
      </c>
      <c r="AI5560">
        <v>97.527779614250903</v>
      </c>
      <c r="AJ5560">
        <v>102.101167732349</v>
      </c>
      <c r="AK5560">
        <v>8.5059946710788594</v>
      </c>
      <c r="AL5560">
        <v>66.333076237017806</v>
      </c>
      <c r="AM5560">
        <v>104.261234764893</v>
      </c>
      <c r="AN5560">
        <v>0.99999998120302902</v>
      </c>
    </row>
    <row r="5561" spans="1:40" x14ac:dyDescent="0.25">
      <c r="A5561" t="str">
        <f>"20190304164520363"</f>
        <v>20190304164520363</v>
      </c>
      <c r="B5561" t="str">
        <f>"1551689120356093"</f>
        <v>1551689120356093</v>
      </c>
      <c r="C5561" t="s">
        <v>40</v>
      </c>
      <c r="D5561">
        <v>5.4047879999999999</v>
      </c>
      <c r="E5561">
        <v>0.52174399999999999</v>
      </c>
      <c r="F5561" t="s">
        <v>54</v>
      </c>
      <c r="G5561">
        <v>-258.23610000000002</v>
      </c>
      <c r="H5561" s="1">
        <v>-2.716848E-6</v>
      </c>
      <c r="I5561">
        <v>-60.59693</v>
      </c>
      <c r="J5561">
        <v>-266.79020000000003</v>
      </c>
      <c r="K5561">
        <v>1.1144240000000001</v>
      </c>
      <c r="L5561">
        <v>-60.745359999999998</v>
      </c>
      <c r="M5561">
        <v>0.98150910000000002</v>
      </c>
      <c r="N5561">
        <v>-8.9875790000000007E-3</v>
      </c>
      <c r="O5561">
        <v>-0.1912044</v>
      </c>
      <c r="P5561">
        <v>0.91718379999999999</v>
      </c>
      <c r="Q5561">
        <v>0.39576280000000003</v>
      </c>
      <c r="R5561">
        <v>4.6324120000000003E-2</v>
      </c>
      <c r="S5561">
        <v>3.459015</v>
      </c>
      <c r="T5561">
        <v>-0.44151079999999998</v>
      </c>
      <c r="U5561">
        <v>4.5715329999999998E-2</v>
      </c>
      <c r="V5561">
        <v>-0.22515099999999999</v>
      </c>
      <c r="W5561">
        <v>0.40137410000000001</v>
      </c>
      <c r="X5561">
        <v>0.88780959999999998</v>
      </c>
      <c r="Y5561">
        <v>-0.2010931</v>
      </c>
      <c r="Z5561">
        <v>3.6169470000000002E-2</v>
      </c>
      <c r="AA5561">
        <v>0.9789042</v>
      </c>
      <c r="AB5561">
        <v>39</v>
      </c>
      <c r="AC5561">
        <v>8.5541</v>
      </c>
      <c r="AD5561">
        <v>-1.114426716848</v>
      </c>
      <c r="AE5561">
        <v>0.14842999999998999</v>
      </c>
      <c r="AF5561">
        <v>-1.75161791638154</v>
      </c>
      <c r="AG5561">
        <v>-1.114426716848</v>
      </c>
      <c r="AH5561">
        <v>8.2282694210119001</v>
      </c>
      <c r="AI5561">
        <v>97.546061551442406</v>
      </c>
      <c r="AJ5561">
        <v>102.017622309926</v>
      </c>
      <c r="AK5561">
        <v>8.48613751343761</v>
      </c>
      <c r="AL5561">
        <v>66.335892088501197</v>
      </c>
      <c r="AM5561">
        <v>104.230360715629</v>
      </c>
      <c r="AN5561">
        <v>1.00000001340198</v>
      </c>
    </row>
    <row r="5562" spans="1:40" x14ac:dyDescent="0.25">
      <c r="A5562" t="str">
        <f>"20190304164520374"</f>
        <v>20190304164520374</v>
      </c>
      <c r="B5562" t="str">
        <f>"1551689120365854"</f>
        <v>1551689120365854</v>
      </c>
      <c r="C5562" t="s">
        <v>40</v>
      </c>
      <c r="D5562">
        <v>5.3977349999999999</v>
      </c>
      <c r="E5562">
        <v>0.52177839999999998</v>
      </c>
      <c r="F5562" t="s">
        <v>54</v>
      </c>
      <c r="G5562">
        <v>-258.0557</v>
      </c>
      <c r="H5562" s="1">
        <v>-2.6434010000000002E-6</v>
      </c>
      <c r="I5562">
        <v>-60.614730000000002</v>
      </c>
      <c r="J5562">
        <v>-266.5992</v>
      </c>
      <c r="K5562">
        <v>1.1145240000000001</v>
      </c>
      <c r="L5562">
        <v>-60.781039999999997</v>
      </c>
      <c r="M5562">
        <v>0.98195129999999997</v>
      </c>
      <c r="N5562">
        <v>-9.0512200000000004E-3</v>
      </c>
      <c r="O5562">
        <v>-0.18891740000000001</v>
      </c>
      <c r="P5562">
        <v>0.91716120000000001</v>
      </c>
      <c r="Q5562">
        <v>0.39569840000000001</v>
      </c>
      <c r="R5562">
        <v>4.730856E-2</v>
      </c>
      <c r="S5562">
        <v>3.4586790000000001</v>
      </c>
      <c r="T5562">
        <v>-0.44129040000000003</v>
      </c>
      <c r="U5562">
        <v>5.1727290000000002E-2</v>
      </c>
      <c r="V5562">
        <v>-0.22411739999999999</v>
      </c>
      <c r="W5562">
        <v>0.40133530000000001</v>
      </c>
      <c r="X5562">
        <v>0.88808860000000001</v>
      </c>
      <c r="Y5562">
        <v>-0.20053850000000001</v>
      </c>
      <c r="Z5562">
        <v>3.5846019999999999E-2</v>
      </c>
      <c r="AA5562">
        <v>0.97902979999999995</v>
      </c>
      <c r="AB5562">
        <v>39</v>
      </c>
      <c r="AC5562">
        <v>8.5434999999999892</v>
      </c>
      <c r="AD5562">
        <v>-1.1145266434009999</v>
      </c>
      <c r="AE5562">
        <v>0.16631000000000201</v>
      </c>
      <c r="AF5562">
        <v>-1.74766630814465</v>
      </c>
      <c r="AG5562">
        <v>-1.1145266434009999</v>
      </c>
      <c r="AH5562">
        <v>8.21841592629894</v>
      </c>
      <c r="AI5562">
        <v>97.5560170353111</v>
      </c>
      <c r="AJ5562">
        <v>102.00525657902099</v>
      </c>
      <c r="AK5562">
        <v>8.4757812324952599</v>
      </c>
      <c r="AL5562">
        <v>66.338318813828593</v>
      </c>
      <c r="AM5562">
        <v>104.163397903385</v>
      </c>
      <c r="AN5562">
        <v>0.99999999672940498</v>
      </c>
    </row>
    <row r="5563" spans="1:40" x14ac:dyDescent="0.25">
      <c r="A5563" t="str">
        <f>"20190304164520385"</f>
        <v>20190304164520385</v>
      </c>
      <c r="B5563" t="str">
        <f>"1551689120375614"</f>
        <v>1551689120375614</v>
      </c>
      <c r="C5563" t="s">
        <v>40</v>
      </c>
      <c r="D5563">
        <v>5.402355</v>
      </c>
      <c r="E5563">
        <v>0.52193489999999998</v>
      </c>
      <c r="F5563" t="s">
        <v>54</v>
      </c>
      <c r="G5563">
        <v>-257.85199999999998</v>
      </c>
      <c r="H5563" s="1">
        <v>-2.561564E-6</v>
      </c>
      <c r="I5563">
        <v>-60.639620000000001</v>
      </c>
      <c r="J5563">
        <v>-266.40949999999998</v>
      </c>
      <c r="K5563">
        <v>1.1146180000000001</v>
      </c>
      <c r="L5563">
        <v>-60.8157</v>
      </c>
      <c r="M5563">
        <v>0.98239679999999996</v>
      </c>
      <c r="N5563">
        <v>-9.1218970000000003E-3</v>
      </c>
      <c r="O5563">
        <v>-0.18658330000000001</v>
      </c>
      <c r="P5563">
        <v>0.91716019999999998</v>
      </c>
      <c r="Q5563">
        <v>0.39558929999999998</v>
      </c>
      <c r="R5563">
        <v>4.8234150000000003E-2</v>
      </c>
      <c r="S5563">
        <v>3.4581599999999999</v>
      </c>
      <c r="T5563">
        <v>-0.44062040000000002</v>
      </c>
      <c r="U5563">
        <v>5.5908199999999998E-2</v>
      </c>
      <c r="V5563">
        <v>-0.22298870000000001</v>
      </c>
      <c r="W5563">
        <v>0.4012597</v>
      </c>
      <c r="X5563">
        <v>0.88840680000000005</v>
      </c>
      <c r="Y5563">
        <v>-0.19943169999999999</v>
      </c>
      <c r="Z5563">
        <v>3.5444259999999998E-2</v>
      </c>
      <c r="AA5563">
        <v>0.97927050000000004</v>
      </c>
      <c r="AB5563">
        <v>39</v>
      </c>
      <c r="AC5563">
        <v>8.5574999999999406</v>
      </c>
      <c r="AD5563">
        <v>-1.1146205615639999</v>
      </c>
      <c r="AE5563">
        <v>0.17608000000000601</v>
      </c>
      <c r="AF5563">
        <v>-1.74022970144597</v>
      </c>
      <c r="AG5563">
        <v>-1.1146205615639999</v>
      </c>
      <c r="AH5563">
        <v>8.23471059839496</v>
      </c>
      <c r="AI5563">
        <v>97.543868287288504</v>
      </c>
      <c r="AJ5563">
        <v>101.932666466643</v>
      </c>
      <c r="AK5563">
        <v>8.4900669637744492</v>
      </c>
      <c r="AL5563">
        <v>66.3430473096047</v>
      </c>
      <c r="AM5563">
        <v>104.090070855007</v>
      </c>
      <c r="AN5563">
        <v>0.99999997472900903</v>
      </c>
    </row>
    <row r="5564" spans="1:40" x14ac:dyDescent="0.25">
      <c r="A5564" t="str">
        <f>"20190304164520398"</f>
        <v>20190304164520398</v>
      </c>
      <c r="B5564" t="str">
        <f>"1551689120385374"</f>
        <v>1551689120385374</v>
      </c>
      <c r="C5564" t="s">
        <v>40</v>
      </c>
      <c r="D5564">
        <v>5.4015309999999896</v>
      </c>
      <c r="E5564">
        <v>0.52201989999999998</v>
      </c>
      <c r="F5564" t="s">
        <v>54</v>
      </c>
      <c r="G5564">
        <v>-257.66849999999999</v>
      </c>
      <c r="H5564" s="1">
        <v>-2.4895360000000002E-6</v>
      </c>
      <c r="I5564">
        <v>-60.669840000000001</v>
      </c>
      <c r="J5564">
        <v>-266.21620000000001</v>
      </c>
      <c r="K5564">
        <v>1.114714</v>
      </c>
      <c r="L5564">
        <v>-60.850709999999999</v>
      </c>
      <c r="M5564">
        <v>0.98284859999999996</v>
      </c>
      <c r="N5564">
        <v>-9.194776E-3</v>
      </c>
      <c r="O5564">
        <v>-0.1841853</v>
      </c>
      <c r="P5564">
        <v>0.91713429999999996</v>
      </c>
      <c r="Q5564">
        <v>0.39558070000000001</v>
      </c>
      <c r="R5564">
        <v>4.879315E-2</v>
      </c>
      <c r="S5564">
        <v>3.4581300000000001</v>
      </c>
      <c r="T5564">
        <v>-0.44096780000000002</v>
      </c>
      <c r="U5564">
        <v>5.7708740000000001E-2</v>
      </c>
      <c r="V5564">
        <v>-0.22144</v>
      </c>
      <c r="W5564">
        <v>0.40129160000000003</v>
      </c>
      <c r="X5564">
        <v>0.88877969999999895</v>
      </c>
      <c r="Y5564">
        <v>-0.19757959999999999</v>
      </c>
      <c r="Z5564">
        <v>3.5062179999999998E-2</v>
      </c>
      <c r="AA5564">
        <v>0.97965959999999996</v>
      </c>
      <c r="AB5564">
        <v>39</v>
      </c>
      <c r="AC5564">
        <v>8.5477000000000096</v>
      </c>
      <c r="AD5564">
        <v>-1.114716489536</v>
      </c>
      <c r="AE5564">
        <v>0.180869999999998</v>
      </c>
      <c r="AF5564">
        <v>-1.7229138073871999</v>
      </c>
      <c r="AG5564">
        <v>-1.114716489536</v>
      </c>
      <c r="AH5564">
        <v>8.2282583485189402</v>
      </c>
      <c r="AI5564">
        <v>97.553273213219796</v>
      </c>
      <c r="AJ5564">
        <v>101.82629274485799</v>
      </c>
      <c r="AK5564">
        <v>8.4802865688431002</v>
      </c>
      <c r="AL5564">
        <v>66.341052217543606</v>
      </c>
      <c r="AM5564">
        <v>103.990430324881</v>
      </c>
      <c r="AN5564">
        <v>0.99999998848132399</v>
      </c>
    </row>
    <row r="5565" spans="1:40" x14ac:dyDescent="0.25">
      <c r="A5565" t="str">
        <f>"20190304164520408"</f>
        <v>20190304164520408</v>
      </c>
      <c r="B5565" t="str">
        <f>"1551689120396109"</f>
        <v>1551689120396109</v>
      </c>
      <c r="C5565" t="s">
        <v>40</v>
      </c>
      <c r="D5565">
        <v>5.3893810000000002</v>
      </c>
      <c r="E5565">
        <v>0.52201319999999996</v>
      </c>
      <c r="F5565" t="s">
        <v>54</v>
      </c>
      <c r="G5565">
        <v>-257.46199999999999</v>
      </c>
      <c r="H5565" s="1">
        <v>-2.4073409999999999E-6</v>
      </c>
      <c r="I5565">
        <v>-60.698430000000002</v>
      </c>
      <c r="J5565">
        <v>-266.03109999999998</v>
      </c>
      <c r="K5565">
        <v>1.1148100000000001</v>
      </c>
      <c r="L5565">
        <v>-60.88364</v>
      </c>
      <c r="M5565">
        <v>0.98328320000000002</v>
      </c>
      <c r="N5565">
        <v>-9.2670349999999999E-3</v>
      </c>
      <c r="O5565">
        <v>-0.1818467</v>
      </c>
      <c r="P5565">
        <v>0.91699759999999997</v>
      </c>
      <c r="Q5565">
        <v>0.3958507</v>
      </c>
      <c r="R5565">
        <v>4.9168679999999999E-2</v>
      </c>
      <c r="S5565">
        <v>3.4577640000000001</v>
      </c>
      <c r="T5565">
        <v>-0.44029829999999998</v>
      </c>
      <c r="U5565">
        <v>6.0150149999999999E-2</v>
      </c>
      <c r="V5565">
        <v>-0.21974399999999999</v>
      </c>
      <c r="W5565">
        <v>0.40160560000000001</v>
      </c>
      <c r="X5565">
        <v>0.88905879999999904</v>
      </c>
      <c r="Y5565">
        <v>-0.19598090000000001</v>
      </c>
      <c r="Z5565">
        <v>3.4626070000000002E-2</v>
      </c>
      <c r="AA5565">
        <v>0.97999619999999998</v>
      </c>
      <c r="AB5565">
        <v>39</v>
      </c>
      <c r="AC5565">
        <v>8.5690999999999899</v>
      </c>
      <c r="AD5565">
        <v>-1.114812407341</v>
      </c>
      <c r="AE5565">
        <v>0.18520999999999699</v>
      </c>
      <c r="AF5565">
        <v>-1.71149734920922</v>
      </c>
      <c r="AG5565">
        <v>-1.114812407341</v>
      </c>
      <c r="AH5565">
        <v>8.2529159949029403</v>
      </c>
      <c r="AI5565">
        <v>97.534593543356806</v>
      </c>
      <c r="AJ5565">
        <v>101.71597992052401</v>
      </c>
      <c r="AK5565">
        <v>8.5019205064994807</v>
      </c>
      <c r="AL5565">
        <v>66.321409692444206</v>
      </c>
      <c r="AM5565">
        <v>103.883249904658</v>
      </c>
      <c r="AN5565">
        <v>1.0000000166723899</v>
      </c>
    </row>
    <row r="5566" spans="1:40" x14ac:dyDescent="0.25">
      <c r="A5566" t="str">
        <f>"20190304164520421"</f>
        <v>20190304164520421</v>
      </c>
      <c r="B5566" t="str">
        <f>"1551689120415630"</f>
        <v>1551689120415630</v>
      </c>
      <c r="C5566" t="s">
        <v>40</v>
      </c>
      <c r="D5566">
        <v>5.3989159999999998</v>
      </c>
      <c r="E5566">
        <v>0.52219369999999998</v>
      </c>
      <c r="F5566" t="s">
        <v>54</v>
      </c>
      <c r="G5566">
        <v>-257.24799999999999</v>
      </c>
      <c r="H5566" s="1">
        <v>-2.3213300000000001E-6</v>
      </c>
      <c r="I5566">
        <v>-60.724490000000003</v>
      </c>
      <c r="J5566">
        <v>-265.8143</v>
      </c>
      <c r="K5566">
        <v>1.1149150000000001</v>
      </c>
      <c r="L5566">
        <v>-60.92163</v>
      </c>
      <c r="M5566">
        <v>0.98379179999999999</v>
      </c>
      <c r="N5566">
        <v>-9.3531759999999995E-3</v>
      </c>
      <c r="O5566">
        <v>-0.179069799999999</v>
      </c>
      <c r="P5566">
        <v>0.91677869999999995</v>
      </c>
      <c r="Q5566">
        <v>0.3962581</v>
      </c>
      <c r="R5566">
        <v>4.9963550000000002E-2</v>
      </c>
      <c r="S5566">
        <v>3.4576419999999999</v>
      </c>
      <c r="T5566">
        <v>-0.43887090000000001</v>
      </c>
      <c r="U5566">
        <v>6.2652589999999994E-2</v>
      </c>
      <c r="V5566">
        <v>-0.21806110000000001</v>
      </c>
      <c r="W5566">
        <v>0.40206360000000002</v>
      </c>
      <c r="X5566">
        <v>0.88926609999999995</v>
      </c>
      <c r="Y5566">
        <v>-0.19397900000000001</v>
      </c>
      <c r="Z5566">
        <v>3.4049759999999998E-2</v>
      </c>
      <c r="AA5566">
        <v>0.98041460000000002</v>
      </c>
      <c r="AB5566">
        <v>39</v>
      </c>
      <c r="AC5566">
        <v>8.5663000000000107</v>
      </c>
      <c r="AD5566">
        <v>-1.1149173213300001</v>
      </c>
      <c r="AE5566">
        <v>0.19714000000000401</v>
      </c>
      <c r="AF5566">
        <v>-1.6992175787681201</v>
      </c>
      <c r="AG5566">
        <v>-1.1149173213300001</v>
      </c>
      <c r="AH5566">
        <v>8.2527982114100595</v>
      </c>
      <c r="AI5566">
        <v>97.537593200918195</v>
      </c>
      <c r="AJ5566">
        <v>101.634380378408</v>
      </c>
      <c r="AK5566">
        <v>8.4993564069080794</v>
      </c>
      <c r="AL5566">
        <v>66.292752109726294</v>
      </c>
      <c r="AM5566">
        <v>103.777903722389</v>
      </c>
      <c r="AN5566">
        <v>0.99999998919369004</v>
      </c>
    </row>
    <row r="5567" spans="1:40" x14ac:dyDescent="0.25">
      <c r="A5567" t="str">
        <f>"20190304164520433"</f>
        <v>20190304164520433</v>
      </c>
      <c r="B5567" t="str">
        <f>"1551689120425390"</f>
        <v>1551689120425390</v>
      </c>
      <c r="C5567" t="s">
        <v>40</v>
      </c>
      <c r="D5567">
        <v>5.4161650000000003</v>
      </c>
      <c r="E5567">
        <v>0.52234349999999996</v>
      </c>
      <c r="F5567" t="s">
        <v>54</v>
      </c>
      <c r="G5567">
        <v>-257.04629999999997</v>
      </c>
      <c r="H5567" s="1">
        <v>-2.2414240000000001E-6</v>
      </c>
      <c r="I5567">
        <v>-60.754300000000001</v>
      </c>
      <c r="J5567">
        <v>-265.60160000000002</v>
      </c>
      <c r="K5567">
        <v>1.1150150000000001</v>
      </c>
      <c r="L5567">
        <v>-60.958440000000003</v>
      </c>
      <c r="M5567">
        <v>0.98428839999999995</v>
      </c>
      <c r="N5567">
        <v>-9.4387180000000005E-3</v>
      </c>
      <c r="O5567">
        <v>-0.17631559999999999</v>
      </c>
      <c r="P5567">
        <v>0.91655209999999998</v>
      </c>
      <c r="Q5567">
        <v>0.3966886</v>
      </c>
      <c r="R5567">
        <v>5.0698449999999999E-2</v>
      </c>
      <c r="S5567">
        <v>3.4588009999999998</v>
      </c>
      <c r="T5567">
        <v>-0.4398147</v>
      </c>
      <c r="U5567">
        <v>6.6009520000000002E-2</v>
      </c>
      <c r="V5567">
        <v>-0.2163368</v>
      </c>
      <c r="W5567">
        <v>0.40254689999999999</v>
      </c>
      <c r="X5567">
        <v>0.88946859999999905</v>
      </c>
      <c r="Y5567">
        <v>-0.19220390000000001</v>
      </c>
      <c r="Z5567">
        <v>3.366628E-2</v>
      </c>
      <c r="AA5567">
        <v>0.98077740000000002</v>
      </c>
      <c r="AB5567">
        <v>39</v>
      </c>
      <c r="AC5567">
        <v>8.5553000000000399</v>
      </c>
      <c r="AD5567">
        <v>-1.1150172414239901</v>
      </c>
      <c r="AE5567">
        <v>0.20414000000000199</v>
      </c>
      <c r="AF5567">
        <v>-1.68090596659678</v>
      </c>
      <c r="AG5567">
        <v>-1.1150172414239901</v>
      </c>
      <c r="AH5567">
        <v>8.2452880144509297</v>
      </c>
      <c r="AI5567">
        <v>97.548030446098494</v>
      </c>
      <c r="AJ5567">
        <v>101.52257303738899</v>
      </c>
      <c r="AK5567">
        <v>8.4884322909746697</v>
      </c>
      <c r="AL5567">
        <v>66.262505753527094</v>
      </c>
      <c r="AM5567">
        <v>103.670064808093</v>
      </c>
      <c r="AN5567">
        <v>1.0000000040599</v>
      </c>
    </row>
    <row r="5568" spans="1:40" x14ac:dyDescent="0.25">
      <c r="A5568" t="str">
        <f>"20190304164520446"</f>
        <v>20190304164520446</v>
      </c>
      <c r="B5568" t="str">
        <f>"1551689120436125"</f>
        <v>1551689120436125</v>
      </c>
      <c r="C5568" t="s">
        <v>40</v>
      </c>
      <c r="D5568">
        <v>5.4159280000000001</v>
      </c>
      <c r="E5568">
        <v>0.52238830000000003</v>
      </c>
      <c r="F5568" t="s">
        <v>54</v>
      </c>
      <c r="G5568">
        <v>-256.81439999999998</v>
      </c>
      <c r="H5568" s="1">
        <v>-2.1482539999999998E-6</v>
      </c>
      <c r="I5568">
        <v>-60.782699999999998</v>
      </c>
      <c r="J5568">
        <v>-265.37810000000002</v>
      </c>
      <c r="K5568">
        <v>1.115116</v>
      </c>
      <c r="L5568">
        <v>-60.99606</v>
      </c>
      <c r="M5568">
        <v>0.98481099999999999</v>
      </c>
      <c r="N5568">
        <v>-9.5345320000000001E-3</v>
      </c>
      <c r="O5568">
        <v>-0.17336750000000001</v>
      </c>
      <c r="P5568">
        <v>0.91634000000000004</v>
      </c>
      <c r="Q5568">
        <v>0.39708759999999999</v>
      </c>
      <c r="R5568">
        <v>5.1406170000000001E-2</v>
      </c>
      <c r="S5568">
        <v>3.4592900000000002</v>
      </c>
      <c r="T5568">
        <v>-0.43895519999999999</v>
      </c>
      <c r="U5568">
        <v>6.9183350000000005E-2</v>
      </c>
      <c r="V5568">
        <v>-0.21441060000000001</v>
      </c>
      <c r="W5568">
        <v>0.40301389999999998</v>
      </c>
      <c r="X5568">
        <v>0.8897235</v>
      </c>
      <c r="Y5568">
        <v>-0.19021350000000001</v>
      </c>
      <c r="Z5568">
        <v>3.311178E-2</v>
      </c>
      <c r="AA5568">
        <v>0.98118419999999895</v>
      </c>
      <c r="AB5568">
        <v>39</v>
      </c>
      <c r="AC5568">
        <v>8.5637000000000398</v>
      </c>
      <c r="AD5568">
        <v>-1.115118148254</v>
      </c>
      <c r="AE5568">
        <v>0.21336000000000099</v>
      </c>
      <c r="AF5568">
        <v>-1.66662223479024</v>
      </c>
      <c r="AG5568">
        <v>-1.115118148254</v>
      </c>
      <c r="AH5568">
        <v>8.2570992983034994</v>
      </c>
      <c r="AI5568">
        <v>97.540967249435496</v>
      </c>
      <c r="AJ5568">
        <v>101.411328057058</v>
      </c>
      <c r="AK5568">
        <v>8.49710580021849</v>
      </c>
      <c r="AL5568">
        <v>66.233272559029999</v>
      </c>
      <c r="AM5568">
        <v>103.549119437683</v>
      </c>
      <c r="AN5568">
        <v>1.00000000771891</v>
      </c>
    </row>
    <row r="5569" spans="1:40" x14ac:dyDescent="0.25">
      <c r="A5569" t="str">
        <f>"20190304164520460"</f>
        <v>20190304164520460</v>
      </c>
      <c r="B5569" t="str">
        <f>"1551689120455647"</f>
        <v>1551689120455647</v>
      </c>
      <c r="C5569" t="s">
        <v>40</v>
      </c>
      <c r="D5569">
        <v>5.3889509999999996</v>
      </c>
      <c r="E5569">
        <v>0.52241130000000002</v>
      </c>
      <c r="F5569" t="s">
        <v>54</v>
      </c>
      <c r="G5569">
        <v>-256.5779</v>
      </c>
      <c r="H5569" s="1">
        <v>-2.052589E-6</v>
      </c>
      <c r="I5569">
        <v>-60.808750000000003</v>
      </c>
      <c r="J5569">
        <v>-265.14879999999999</v>
      </c>
      <c r="K5569">
        <v>1.1152089999999999</v>
      </c>
      <c r="L5569">
        <v>-61.034149999999997</v>
      </c>
      <c r="M5569">
        <v>0.98534180000000005</v>
      </c>
      <c r="N5569">
        <v>-9.6351130000000007E-3</v>
      </c>
      <c r="O5569">
        <v>-0.1703192</v>
      </c>
      <c r="P5569">
        <v>0.91618449999999996</v>
      </c>
      <c r="Q5569">
        <v>0.39722000000000002</v>
      </c>
      <c r="R5569">
        <v>5.3123999999999998E-2</v>
      </c>
      <c r="S5569">
        <v>3.4597470000000001</v>
      </c>
      <c r="T5569">
        <v>-0.43840170000000001</v>
      </c>
      <c r="U5569">
        <v>7.3638919999999997E-2</v>
      </c>
      <c r="V5569">
        <v>-0.2133929</v>
      </c>
      <c r="W5569">
        <v>0.4032094</v>
      </c>
      <c r="X5569">
        <v>0.88987959999999999</v>
      </c>
      <c r="Y5569">
        <v>-0.18848139999999999</v>
      </c>
      <c r="Z5569">
        <v>3.2588640000000002E-2</v>
      </c>
      <c r="AA5569">
        <v>0.98153590000000002</v>
      </c>
      <c r="AB5569">
        <v>39</v>
      </c>
      <c r="AC5569">
        <v>8.5708999999999893</v>
      </c>
      <c r="AD5569">
        <v>-1.115211052589</v>
      </c>
      <c r="AE5569">
        <v>0.22539999999999299</v>
      </c>
      <c r="AF5569">
        <v>-1.653980198016</v>
      </c>
      <c r="AG5569">
        <v>-1.115211052589</v>
      </c>
      <c r="AH5569">
        <v>8.2673949903104607</v>
      </c>
      <c r="AI5569">
        <v>97.534865455659698</v>
      </c>
      <c r="AJ5569">
        <v>101.313272320962</v>
      </c>
      <c r="AK5569">
        <v>8.5046555552271599</v>
      </c>
      <c r="AL5569">
        <v>66.221033159303801</v>
      </c>
      <c r="AM5569">
        <v>103.484883845884</v>
      </c>
      <c r="AN5569">
        <v>1.00000002625746</v>
      </c>
    </row>
    <row r="5570" spans="1:40" x14ac:dyDescent="0.25">
      <c r="A5570" t="str">
        <f>"20190304164520471"</f>
        <v>20190304164520471</v>
      </c>
      <c r="B5570" t="str">
        <f>"1551689120465406"</f>
        <v>1551689120465406</v>
      </c>
      <c r="C5570" t="s">
        <v>40</v>
      </c>
      <c r="D5570">
        <v>5.4133930000000001</v>
      </c>
      <c r="E5570">
        <v>0.52250180000000002</v>
      </c>
      <c r="F5570" t="s">
        <v>54</v>
      </c>
      <c r="G5570">
        <v>-256.32760000000002</v>
      </c>
      <c r="H5570" s="1">
        <v>-1.9496590000000001E-6</v>
      </c>
      <c r="I5570">
        <v>-60.828710000000001</v>
      </c>
      <c r="J5570">
        <v>-264.95030000000003</v>
      </c>
      <c r="K5570">
        <v>1.1152789999999999</v>
      </c>
      <c r="L5570">
        <v>-61.066560000000003</v>
      </c>
      <c r="M5570">
        <v>0.98579760000000005</v>
      </c>
      <c r="N5570">
        <v>-9.7245850000000009E-3</v>
      </c>
      <c r="O5570">
        <v>-0.16765679999999999</v>
      </c>
      <c r="P5570">
        <v>0.91593579999999997</v>
      </c>
      <c r="Q5570">
        <v>0.39753749999999999</v>
      </c>
      <c r="R5570">
        <v>5.5007649999999998E-2</v>
      </c>
      <c r="S5570">
        <v>3.4594420000000001</v>
      </c>
      <c r="T5570">
        <v>-0.43735600000000002</v>
      </c>
      <c r="U5570">
        <v>8.0566410000000005E-2</v>
      </c>
      <c r="V5570">
        <v>-0.21286179999999999</v>
      </c>
      <c r="W5570">
        <v>0.4035803</v>
      </c>
      <c r="X5570">
        <v>0.88983860000000004</v>
      </c>
      <c r="Y5570">
        <v>-0.1878331</v>
      </c>
      <c r="Z5570">
        <v>3.215643E-2</v>
      </c>
      <c r="AA5570">
        <v>0.98167439999999995</v>
      </c>
      <c r="AB5570">
        <v>39</v>
      </c>
      <c r="AC5570">
        <v>8.6227</v>
      </c>
      <c r="AD5570">
        <v>-1.1152809496589999</v>
      </c>
      <c r="AE5570">
        <v>0.23784999999999401</v>
      </c>
      <c r="AF5570">
        <v>-1.6525797110531499</v>
      </c>
      <c r="AG5570">
        <v>-1.1152809496589999</v>
      </c>
      <c r="AH5570">
        <v>8.3216478278347097</v>
      </c>
      <c r="AI5570">
        <v>97.488854774452193</v>
      </c>
      <c r="AJ5570">
        <v>101.232123422138</v>
      </c>
      <c r="AK5570">
        <v>8.5571428566176699</v>
      </c>
      <c r="AL5570">
        <v>66.197807237459102</v>
      </c>
      <c r="AM5570">
        <v>103.45314082195</v>
      </c>
      <c r="AN5570">
        <v>0.99999996924864398</v>
      </c>
    </row>
    <row r="5571" spans="1:40" x14ac:dyDescent="0.25">
      <c r="A5571" t="str">
        <f>"20190304164520487"</f>
        <v>20190304164520487</v>
      </c>
      <c r="B5571" t="str">
        <f>"1551689120476142"</f>
        <v>1551689120476142</v>
      </c>
      <c r="C5571" t="s">
        <v>40</v>
      </c>
      <c r="D5571">
        <v>5.4349339999999904</v>
      </c>
      <c r="E5571">
        <v>0.52260509999999905</v>
      </c>
      <c r="F5571" t="s">
        <v>54</v>
      </c>
      <c r="G5571">
        <v>-256.11009999999999</v>
      </c>
      <c r="H5571" s="1">
        <v>-1.8599509999999999E-6</v>
      </c>
      <c r="I5571">
        <v>-60.845010000000002</v>
      </c>
      <c r="J5571">
        <v>-264.68459999999999</v>
      </c>
      <c r="K5571">
        <v>1.115359</v>
      </c>
      <c r="L5571">
        <v>-61.108829999999998</v>
      </c>
      <c r="M5571">
        <v>0.98640159999999999</v>
      </c>
      <c r="N5571">
        <v>-9.8440999999999997E-3</v>
      </c>
      <c r="O5571">
        <v>-0.1640577</v>
      </c>
      <c r="P5571">
        <v>0.91534409999999999</v>
      </c>
      <c r="Q5571">
        <v>0.39831299999999997</v>
      </c>
      <c r="R5571">
        <v>5.9092359999999997E-2</v>
      </c>
      <c r="S5571">
        <v>3.4595639999999999</v>
      </c>
      <c r="T5571">
        <v>-0.43645659999999997</v>
      </c>
      <c r="U5571">
        <v>8.6700440000000004E-2</v>
      </c>
      <c r="V5571">
        <v>-0.21361369999999999</v>
      </c>
      <c r="W5571">
        <v>0.4044103</v>
      </c>
      <c r="X5571">
        <v>0.88928149999999995</v>
      </c>
      <c r="Y5571">
        <v>-0.18604029999999999</v>
      </c>
      <c r="Z5571">
        <v>3.1545900000000002E-2</v>
      </c>
      <c r="AA5571">
        <v>0.98203560000000001</v>
      </c>
      <c r="AB5571">
        <v>39</v>
      </c>
      <c r="AC5571">
        <v>8.5745000000000005</v>
      </c>
      <c r="AD5571">
        <v>-1.1153608599510001</v>
      </c>
      <c r="AE5571">
        <v>0.26382000000000899</v>
      </c>
      <c r="AF5571">
        <v>-1.6393142507918299</v>
      </c>
      <c r="AG5571">
        <v>-1.1153608599510001</v>
      </c>
      <c r="AH5571">
        <v>8.2751396903030692</v>
      </c>
      <c r="AI5571">
        <v>97.531687301602801</v>
      </c>
      <c r="AJ5571">
        <v>101.205279830292</v>
      </c>
      <c r="AK5571">
        <v>8.5093664837512399</v>
      </c>
      <c r="AL5571">
        <v>66.145822353171596</v>
      </c>
      <c r="AM5571">
        <v>103.50707244405299</v>
      </c>
      <c r="AN5571">
        <v>1.00000004490801</v>
      </c>
    </row>
    <row r="5572" spans="1:40" x14ac:dyDescent="0.25">
      <c r="A5572" t="str">
        <f>"20190304164520501"</f>
        <v>20190304164520501</v>
      </c>
      <c r="B5572" t="str">
        <f>"1551689120496212"</f>
        <v>1551689120496212</v>
      </c>
      <c r="C5572" t="s">
        <v>40</v>
      </c>
      <c r="D5572">
        <v>5.4331909999999999</v>
      </c>
      <c r="E5572">
        <v>0.52420159999999905</v>
      </c>
      <c r="F5572" t="s">
        <v>54</v>
      </c>
      <c r="G5572">
        <v>-255.79140000000001</v>
      </c>
      <c r="H5572" s="1">
        <v>-1.7261160000000001E-6</v>
      </c>
      <c r="I5572">
        <v>-60.857900000000001</v>
      </c>
      <c r="J5572">
        <v>-264.4563</v>
      </c>
      <c r="K5572">
        <v>1.1154250000000001</v>
      </c>
      <c r="L5572">
        <v>-61.144469999999998</v>
      </c>
      <c r="M5572">
        <v>0.98691209999999996</v>
      </c>
      <c r="N5572">
        <v>-9.9466150000000007E-3</v>
      </c>
      <c r="O5572">
        <v>-0.1609526</v>
      </c>
      <c r="P5572">
        <v>0.91494489999999995</v>
      </c>
      <c r="Q5572">
        <v>0.39871109999999998</v>
      </c>
      <c r="R5572">
        <v>6.2493159999999999E-2</v>
      </c>
      <c r="S5572">
        <v>3.459991</v>
      </c>
      <c r="T5572">
        <v>-0.43394349999999998</v>
      </c>
      <c r="U5572">
        <v>9.7625729999999994E-2</v>
      </c>
      <c r="V5572">
        <v>-0.21415319999999999</v>
      </c>
      <c r="W5572">
        <v>0.40486250000000001</v>
      </c>
      <c r="X5572">
        <v>0.88894589999999996</v>
      </c>
      <c r="Y5572">
        <v>-0.18609790000000001</v>
      </c>
      <c r="Z5572">
        <v>3.1001239999999999E-2</v>
      </c>
      <c r="AA5572">
        <v>0.98204199999999997</v>
      </c>
      <c r="AB5572">
        <v>39</v>
      </c>
      <c r="AC5572">
        <v>8.6648999999999798</v>
      </c>
      <c r="AD5572">
        <v>-1.115426726116</v>
      </c>
      <c r="AE5572">
        <v>0.28656999999999699</v>
      </c>
      <c r="AF5572">
        <v>-1.6502240506327399</v>
      </c>
      <c r="AG5572">
        <v>-1.115426726116</v>
      </c>
      <c r="AH5572">
        <v>8.3672857298431698</v>
      </c>
      <c r="AI5572">
        <v>97.451345266205294</v>
      </c>
      <c r="AJ5572">
        <v>101.156879173886</v>
      </c>
      <c r="AK5572">
        <v>8.6010979928993798</v>
      </c>
      <c r="AL5572">
        <v>66.117489664009696</v>
      </c>
      <c r="AM5572">
        <v>103.544854660656</v>
      </c>
      <c r="AN5572">
        <v>1.0000000250516401</v>
      </c>
    </row>
    <row r="5573" spans="1:40" x14ac:dyDescent="0.25">
      <c r="A5573" t="str">
        <f>"20190304164520512"</f>
        <v>20190304164520512</v>
      </c>
      <c r="B5573" t="str">
        <f>"1551689120505973"</f>
        <v>1551689120505973</v>
      </c>
      <c r="C5573" t="s">
        <v>40</v>
      </c>
      <c r="D5573">
        <v>5.3657919999999999</v>
      </c>
      <c r="E5573">
        <v>0.5238794</v>
      </c>
      <c r="F5573" t="s">
        <v>54</v>
      </c>
      <c r="G5573">
        <v>-255.96119999999999</v>
      </c>
      <c r="H5573" s="1">
        <v>-1.8096129999999999E-6</v>
      </c>
      <c r="I5573">
        <v>-60.905819999999999</v>
      </c>
      <c r="J5573">
        <v>-264.24029999999999</v>
      </c>
      <c r="K5573">
        <v>1.1154790000000001</v>
      </c>
      <c r="L5573">
        <v>-61.177610000000001</v>
      </c>
      <c r="M5573">
        <v>0.98738740000000003</v>
      </c>
      <c r="N5573">
        <v>-1.004358E-2</v>
      </c>
      <c r="O5573">
        <v>-0.1580049</v>
      </c>
      <c r="P5573">
        <v>0.914547</v>
      </c>
      <c r="Q5573">
        <v>0.39917049999999998</v>
      </c>
      <c r="R5573">
        <v>6.5319150000000006E-2</v>
      </c>
      <c r="S5573">
        <v>3.470825</v>
      </c>
      <c r="T5573">
        <v>-0.45572829999999898</v>
      </c>
      <c r="U5573">
        <v>9.7503660000000006E-2</v>
      </c>
      <c r="V5573">
        <v>-0.21426410000000001</v>
      </c>
      <c r="W5573">
        <v>0.40538259999999998</v>
      </c>
      <c r="X5573">
        <v>0.88868210000000003</v>
      </c>
      <c r="Y5573">
        <v>-0.18284020000000001</v>
      </c>
      <c r="Z5573">
        <v>3.1887779999999998E-2</v>
      </c>
      <c r="AA5573">
        <v>0.98262539999999998</v>
      </c>
      <c r="AB5573">
        <v>39</v>
      </c>
      <c r="AC5573">
        <v>8.2790999999999997</v>
      </c>
      <c r="AD5573">
        <v>-1.115480809613</v>
      </c>
      <c r="AE5573">
        <v>0.27178999999999498</v>
      </c>
      <c r="AF5573">
        <v>-1.54849940733727</v>
      </c>
      <c r="AG5573">
        <v>-1.115480809613</v>
      </c>
      <c r="AH5573">
        <v>7.9873032171899503</v>
      </c>
      <c r="AI5573">
        <v>97.806804244365907</v>
      </c>
      <c r="AJ5573">
        <v>100.971829716522</v>
      </c>
      <c r="AK5573">
        <v>8.2121349559339105</v>
      </c>
      <c r="AL5573">
        <v>66.084895358864699</v>
      </c>
      <c r="AM5573">
        <v>103.555484589179</v>
      </c>
      <c r="AN5573">
        <v>1.0000000158959801</v>
      </c>
    </row>
    <row r="5574" spans="1:40" x14ac:dyDescent="0.25">
      <c r="A5574" t="str">
        <f>"20190304164520524"</f>
        <v>20190304164520524</v>
      </c>
      <c r="B5574" t="str">
        <f>"1551689120515733"</f>
        <v>1551689120515733</v>
      </c>
      <c r="C5574" t="s">
        <v>40</v>
      </c>
      <c r="D5574">
        <v>5.3894780000000004</v>
      </c>
      <c r="E5574">
        <v>0.52375919999999998</v>
      </c>
      <c r="F5574" t="s">
        <v>54</v>
      </c>
      <c r="G5574">
        <v>-255.6808</v>
      </c>
      <c r="H5574" s="1">
        <v>-1.6892559999999999E-6</v>
      </c>
      <c r="I5574">
        <v>-60.9056199999999</v>
      </c>
      <c r="J5574">
        <v>-264.05259999999998</v>
      </c>
      <c r="K5574">
        <v>1.1155189999999999</v>
      </c>
      <c r="L5574">
        <v>-61.205599999999997</v>
      </c>
      <c r="M5574">
        <v>0.98779249999999996</v>
      </c>
      <c r="N5574">
        <v>-1.0128679999999999E-2</v>
      </c>
      <c r="O5574">
        <v>-0.15544630000000001</v>
      </c>
      <c r="P5574">
        <v>0.91434139999999997</v>
      </c>
      <c r="Q5574">
        <v>0.39925129999999998</v>
      </c>
      <c r="R5574">
        <v>6.7664920000000003E-2</v>
      </c>
      <c r="S5574">
        <v>3.469849</v>
      </c>
      <c r="T5574">
        <v>-0.45219330000000002</v>
      </c>
      <c r="U5574">
        <v>0.11026</v>
      </c>
      <c r="V5574">
        <v>-0.2142646</v>
      </c>
      <c r="W5574">
        <v>0.40552470000000002</v>
      </c>
      <c r="X5574">
        <v>0.88861710000000005</v>
      </c>
      <c r="Y5574">
        <v>-0.18396280000000001</v>
      </c>
      <c r="Z5574">
        <v>3.1415980000000003E-2</v>
      </c>
      <c r="AA5574">
        <v>0.9824311</v>
      </c>
      <c r="AB5574">
        <v>39</v>
      </c>
      <c r="AC5574">
        <v>8.3717999999999702</v>
      </c>
      <c r="AD5574">
        <v>-1.1155206892559999</v>
      </c>
      <c r="AE5574">
        <v>0.29998000000000402</v>
      </c>
      <c r="AF5574">
        <v>-1.56992704334681</v>
      </c>
      <c r="AG5574">
        <v>-1.1155206892559999</v>
      </c>
      <c r="AH5574">
        <v>8.0801141803019103</v>
      </c>
      <c r="AI5574">
        <v>97.717886070808206</v>
      </c>
      <c r="AJ5574">
        <v>100.99529862914299</v>
      </c>
      <c r="AK5574">
        <v>8.3064614906894008</v>
      </c>
      <c r="AL5574">
        <v>66.075987664373599</v>
      </c>
      <c r="AM5574">
        <v>103.556470012243</v>
      </c>
      <c r="AN5574">
        <v>0.99999997576782895</v>
      </c>
    </row>
    <row r="5575" spans="1:40" x14ac:dyDescent="0.25">
      <c r="A5575" t="str">
        <f>"20190304164520535"</f>
        <v>20190304164520535</v>
      </c>
      <c r="B5575" t="str">
        <f>"1551689120525492"</f>
        <v>1551689120525492</v>
      </c>
      <c r="C5575" t="s">
        <v>40</v>
      </c>
      <c r="D5575">
        <v>5.4530629999999896</v>
      </c>
      <c r="E5575">
        <v>0.52403080000000002</v>
      </c>
      <c r="F5575" t="s">
        <v>54</v>
      </c>
      <c r="G5575">
        <v>-255.47890000000001</v>
      </c>
      <c r="H5575" s="1">
        <v>-1.60293299999999E-6</v>
      </c>
      <c r="I5575">
        <v>-60.906930000000003</v>
      </c>
      <c r="J5575">
        <v>-263.85399999999998</v>
      </c>
      <c r="K5575">
        <v>1.1155539999999999</v>
      </c>
      <c r="L5575">
        <v>-61.235019999999999</v>
      </c>
      <c r="M5575">
        <v>0.98821349999999997</v>
      </c>
      <c r="N5575">
        <v>-1.0219509999999999E-2</v>
      </c>
      <c r="O5575">
        <v>-0.15273989999999901</v>
      </c>
      <c r="P5575">
        <v>0.91416949999999997</v>
      </c>
      <c r="Q5575">
        <v>0.39924019999999999</v>
      </c>
      <c r="R5575">
        <v>7.0009489999999994E-2</v>
      </c>
      <c r="S5575">
        <v>3.4692080000000001</v>
      </c>
      <c r="T5575">
        <v>-0.45137450000000001</v>
      </c>
      <c r="U5575">
        <v>0.1208496</v>
      </c>
      <c r="V5575">
        <v>-0.2141352</v>
      </c>
      <c r="W5575">
        <v>0.40558349999999999</v>
      </c>
      <c r="X5575">
        <v>0.88862149999999995</v>
      </c>
      <c r="Y5575">
        <v>-0.18429889999999999</v>
      </c>
      <c r="Z5575">
        <v>3.1061800000000001E-2</v>
      </c>
      <c r="AA5575">
        <v>0.98237929999999996</v>
      </c>
      <c r="AB5575">
        <v>39</v>
      </c>
      <c r="AC5575">
        <v>8.37510000000003</v>
      </c>
      <c r="AD5575">
        <v>-1.115555602933</v>
      </c>
      <c r="AE5575">
        <v>0.328089999999996</v>
      </c>
      <c r="AF5575">
        <v>-1.5756071910320699</v>
      </c>
      <c r="AG5575">
        <v>-1.115555602933</v>
      </c>
      <c r="AH5575">
        <v>8.0835069443524201</v>
      </c>
      <c r="AI5575">
        <v>97.714036675297706</v>
      </c>
      <c r="AJ5575">
        <v>101.029588446202</v>
      </c>
      <c r="AK5575">
        <v>8.3108415243620808</v>
      </c>
      <c r="AL5575">
        <v>66.072302956548597</v>
      </c>
      <c r="AM5575">
        <v>103.54852018141101</v>
      </c>
      <c r="AN5575">
        <v>1.00000001480677</v>
      </c>
    </row>
    <row r="5576" spans="1:40" x14ac:dyDescent="0.25">
      <c r="A5576" t="str">
        <f>"20190304164520545"</f>
        <v>20190304164520545</v>
      </c>
      <c r="B5576" t="str">
        <f>"1551689120536229"</f>
        <v>1551689120536229</v>
      </c>
      <c r="C5576" t="s">
        <v>40</v>
      </c>
      <c r="D5576">
        <v>5.4656719999999996</v>
      </c>
      <c r="E5576">
        <v>0.52421949999999995</v>
      </c>
      <c r="F5576" t="s">
        <v>54</v>
      </c>
      <c r="G5576">
        <v>-255.31960000000001</v>
      </c>
      <c r="H5576" s="1">
        <v>-1.536898E-6</v>
      </c>
      <c r="I5576">
        <v>-60.917140000000003</v>
      </c>
      <c r="J5576">
        <v>-263.66449999999998</v>
      </c>
      <c r="K5576">
        <v>1.115577</v>
      </c>
      <c r="L5576">
        <v>-61.262270000000001</v>
      </c>
      <c r="M5576">
        <v>0.98860530000000002</v>
      </c>
      <c r="N5576">
        <v>-1.031163E-2</v>
      </c>
      <c r="O5576">
        <v>-0.1501779</v>
      </c>
      <c r="P5576">
        <v>0.91424139999999998</v>
      </c>
      <c r="Q5576">
        <v>0.39872269999999999</v>
      </c>
      <c r="R5576">
        <v>7.19939E-2</v>
      </c>
      <c r="S5576">
        <v>3.4698790000000002</v>
      </c>
      <c r="T5576">
        <v>-0.45355980000000001</v>
      </c>
      <c r="U5576">
        <v>0.12924189999999999</v>
      </c>
      <c r="V5576">
        <v>-0.2137974</v>
      </c>
      <c r="W5576">
        <v>0.40515069999999997</v>
      </c>
      <c r="X5576">
        <v>0.88890020000000003</v>
      </c>
      <c r="Y5576">
        <v>-0.18411369999999999</v>
      </c>
      <c r="Z5576">
        <v>3.088465E-2</v>
      </c>
      <c r="AA5576">
        <v>0.98241959999999995</v>
      </c>
      <c r="AB5576">
        <v>39</v>
      </c>
      <c r="AC5576">
        <v>8.34489999999996</v>
      </c>
      <c r="AD5576">
        <v>-1.115578536898</v>
      </c>
      <c r="AE5576">
        <v>0.34512999999999</v>
      </c>
      <c r="AF5576">
        <v>-1.5665528908319899</v>
      </c>
      <c r="AG5576">
        <v>-1.115578536898</v>
      </c>
      <c r="AH5576">
        <v>8.0547136262331307</v>
      </c>
      <c r="AI5576">
        <v>97.742048679138406</v>
      </c>
      <c r="AJ5576">
        <v>101.00599856476499</v>
      </c>
      <c r="AK5576">
        <v>8.2811240198651301</v>
      </c>
      <c r="AL5576">
        <v>66.099428669120996</v>
      </c>
      <c r="AM5576">
        <v>103.52384771910199</v>
      </c>
      <c r="AN5576">
        <v>0.99999999175864496</v>
      </c>
    </row>
    <row r="5577" spans="1:40" x14ac:dyDescent="0.25">
      <c r="A5577" t="str">
        <f>"20190304164520557"</f>
        <v>20190304164520557</v>
      </c>
      <c r="B5577" t="str">
        <f>"1551689120545988"</f>
        <v>1551689120545988</v>
      </c>
      <c r="C5577" t="s">
        <v>40</v>
      </c>
      <c r="D5577">
        <v>5.3809069999999997</v>
      </c>
      <c r="E5577">
        <v>0.52433039999999997</v>
      </c>
      <c r="F5577" t="s">
        <v>54</v>
      </c>
      <c r="G5577">
        <v>-255.18530000000001</v>
      </c>
      <c r="H5577" s="1">
        <v>-1.4817520000000001E-6</v>
      </c>
      <c r="I5577">
        <v>-60.928310000000003</v>
      </c>
      <c r="J5577">
        <v>-263.47660000000002</v>
      </c>
      <c r="K5577">
        <v>1.115594</v>
      </c>
      <c r="L5577">
        <v>-61.289029999999997</v>
      </c>
      <c r="M5577">
        <v>0.98898540000000001</v>
      </c>
      <c r="N5577">
        <v>-1.040395E-2</v>
      </c>
      <c r="O5577">
        <v>-0.14764739999999901</v>
      </c>
      <c r="P5577">
        <v>0.91442380000000001</v>
      </c>
      <c r="Q5577">
        <v>0.39797870000000002</v>
      </c>
      <c r="R5577">
        <v>7.3771420000000004E-2</v>
      </c>
      <c r="S5577">
        <v>3.469757</v>
      </c>
      <c r="T5577">
        <v>-0.45650629999999998</v>
      </c>
      <c r="U5577">
        <v>0.13665769999999999</v>
      </c>
      <c r="V5577">
        <v>-0.21329300000000001</v>
      </c>
      <c r="W5577">
        <v>0.4044971</v>
      </c>
      <c r="X5577">
        <v>0.88931890000000002</v>
      </c>
      <c r="Y5577">
        <v>-0.18368390000000001</v>
      </c>
      <c r="Z5577">
        <v>3.0749970000000001E-2</v>
      </c>
      <c r="AA5577">
        <v>0.9825043</v>
      </c>
      <c r="AB5577">
        <v>39</v>
      </c>
      <c r="AC5577">
        <v>8.2912999999999997</v>
      </c>
      <c r="AD5577">
        <v>-1.115595481752</v>
      </c>
      <c r="AE5577">
        <v>0.36072000000000698</v>
      </c>
      <c r="AF5577">
        <v>-1.5529599116677599</v>
      </c>
      <c r="AG5577">
        <v>-1.115595481752</v>
      </c>
      <c r="AH5577">
        <v>8.0025533156837199</v>
      </c>
      <c r="AI5577">
        <v>97.792630895597398</v>
      </c>
      <c r="AJ5577">
        <v>100.98220721937599</v>
      </c>
      <c r="AK5577">
        <v>8.2278245810489405</v>
      </c>
      <c r="AL5577">
        <v>66.140382225577994</v>
      </c>
      <c r="AM5577">
        <v>103.48698907417899</v>
      </c>
      <c r="AN5577">
        <v>0.99999995682730902</v>
      </c>
    </row>
    <row r="5578" spans="1:40" x14ac:dyDescent="0.25">
      <c r="A5578" t="str">
        <f>"20190304164520569"</f>
        <v>20190304164520569</v>
      </c>
      <c r="B5578" t="str">
        <f>"1551689120565509"</f>
        <v>1551689120565509</v>
      </c>
      <c r="C5578" t="s">
        <v>40</v>
      </c>
      <c r="D5578">
        <v>5.3952200000000001</v>
      </c>
      <c r="E5578">
        <v>0.52464119999999903</v>
      </c>
      <c r="F5578" t="s">
        <v>54</v>
      </c>
      <c r="G5578">
        <v>-255.07650000000001</v>
      </c>
      <c r="H5578" s="1">
        <v>-1.4374519999999999E-6</v>
      </c>
      <c r="I5578">
        <v>-60.938969999999998</v>
      </c>
      <c r="J5578">
        <v>-263.26569999999998</v>
      </c>
      <c r="K5578">
        <v>1.1155999999999999</v>
      </c>
      <c r="L5578">
        <v>-61.318390000000001</v>
      </c>
      <c r="M5578">
        <v>0.98940070000000002</v>
      </c>
      <c r="N5578">
        <v>-1.051027E-2</v>
      </c>
      <c r="O5578">
        <v>-0.1448306</v>
      </c>
      <c r="P5578">
        <v>0.91481100000000004</v>
      </c>
      <c r="Q5578">
        <v>0.3967098</v>
      </c>
      <c r="R5578">
        <v>7.5777010000000006E-2</v>
      </c>
      <c r="S5578">
        <v>3.4696349999999998</v>
      </c>
      <c r="T5578">
        <v>-0.46079239999999999</v>
      </c>
      <c r="U5578">
        <v>0.14459229999999901</v>
      </c>
      <c r="V5578">
        <v>-0.2127694</v>
      </c>
      <c r="W5578">
        <v>0.403339</v>
      </c>
      <c r="X5578">
        <v>0.88997009999999899</v>
      </c>
      <c r="Y5578">
        <v>-0.18310480000000001</v>
      </c>
      <c r="Z5578">
        <v>3.0655060000000001E-2</v>
      </c>
      <c r="AA5578">
        <v>0.98261540000000003</v>
      </c>
      <c r="AB5578">
        <v>39</v>
      </c>
      <c r="AC5578">
        <v>8.1891999999999694</v>
      </c>
      <c r="AD5578">
        <v>-1.115601437452</v>
      </c>
      <c r="AE5578">
        <v>0.37942000000000298</v>
      </c>
      <c r="AF5578">
        <v>-1.5331399959823799</v>
      </c>
      <c r="AG5578">
        <v>-1.115601437452</v>
      </c>
      <c r="AH5578">
        <v>7.9015681014958998</v>
      </c>
      <c r="AI5578">
        <v>97.8910597083797</v>
      </c>
      <c r="AJ5578">
        <v>100.980649427279</v>
      </c>
      <c r="AK5578">
        <v>8.1258761544281093</v>
      </c>
      <c r="AL5578">
        <v>66.212917172476097</v>
      </c>
      <c r="AM5578">
        <v>103.445598354739</v>
      </c>
      <c r="AN5578">
        <v>0.99999997269568397</v>
      </c>
    </row>
    <row r="5579" spans="1:40" x14ac:dyDescent="0.25">
      <c r="A5579" t="str">
        <f>"20190304164520582"</f>
        <v>20190304164520582</v>
      </c>
      <c r="B5579" t="str">
        <f>"1551689120575268"</f>
        <v>1551689120575268</v>
      </c>
      <c r="C5579" t="s">
        <v>40</v>
      </c>
      <c r="D5579">
        <v>5.4312389999999997</v>
      </c>
      <c r="E5579">
        <v>0.52491309999999902</v>
      </c>
      <c r="F5579" t="s">
        <v>54</v>
      </c>
      <c r="G5579">
        <v>-254.9665</v>
      </c>
      <c r="H5579" s="1">
        <v>-1.394196E-6</v>
      </c>
      <c r="I5579">
        <v>-60.956710000000001</v>
      </c>
      <c r="J5579">
        <v>-263.0591</v>
      </c>
      <c r="K5579">
        <v>1.1155930000000001</v>
      </c>
      <c r="L5579">
        <v>-61.346559999999997</v>
      </c>
      <c r="M5579">
        <v>0.98979470000000003</v>
      </c>
      <c r="N5579">
        <v>-1.0616540000000001E-2</v>
      </c>
      <c r="O5579">
        <v>-0.14210490000000001</v>
      </c>
      <c r="P5579">
        <v>0.91511989999999999</v>
      </c>
      <c r="Q5579">
        <v>0.39564290000000002</v>
      </c>
      <c r="R5579">
        <v>7.7604439999999997E-2</v>
      </c>
      <c r="S5579">
        <v>3.469055</v>
      </c>
      <c r="T5579">
        <v>-0.46631990000000001</v>
      </c>
      <c r="U5579">
        <v>0.15118409999999999</v>
      </c>
      <c r="V5579">
        <v>-0.21213170000000001</v>
      </c>
      <c r="W5579">
        <v>0.40238889999999999</v>
      </c>
      <c r="X5579">
        <v>0.89055229999999996</v>
      </c>
      <c r="Y5579">
        <v>-0.18222969999999999</v>
      </c>
      <c r="Z5579">
        <v>3.062906E-2</v>
      </c>
      <c r="AA5579">
        <v>0.98277879999999995</v>
      </c>
      <c r="AB5579">
        <v>39</v>
      </c>
      <c r="AC5579">
        <v>8.0925999999999991</v>
      </c>
      <c r="AD5579">
        <v>-1.115594394196</v>
      </c>
      <c r="AE5579">
        <v>0.38984999999999498</v>
      </c>
      <c r="AF5579">
        <v>-1.5073767898550201</v>
      </c>
      <c r="AG5579">
        <v>-1.115594394196</v>
      </c>
      <c r="AH5579">
        <v>7.8070424564378502</v>
      </c>
      <c r="AI5579">
        <v>97.986725865308799</v>
      </c>
      <c r="AJ5579">
        <v>100.92814350801</v>
      </c>
      <c r="AK5579">
        <v>8.0291125011160709</v>
      </c>
      <c r="AL5579">
        <v>66.272395715130997</v>
      </c>
      <c r="AM5579">
        <v>103.39830843630899</v>
      </c>
      <c r="AN5579">
        <v>1.0000000420116899</v>
      </c>
    </row>
    <row r="5580" spans="1:40" x14ac:dyDescent="0.25">
      <c r="A5580" t="str">
        <f>"20190304164520591"</f>
        <v>20190304164520591</v>
      </c>
      <c r="B5580" t="str">
        <f>"1551689120585643"</f>
        <v>1551689120585643</v>
      </c>
      <c r="C5580" t="s">
        <v>40</v>
      </c>
      <c r="D5580">
        <v>5.3988610000000001</v>
      </c>
      <c r="E5580">
        <v>0.52491309999999902</v>
      </c>
      <c r="F5580" t="s">
        <v>54</v>
      </c>
      <c r="G5580">
        <v>-254.82810000000001</v>
      </c>
      <c r="H5580" s="1">
        <v>-1.338546E-6</v>
      </c>
      <c r="I5580">
        <v>-60.973480000000002</v>
      </c>
      <c r="J5580">
        <v>-262.88659999999999</v>
      </c>
      <c r="K5580">
        <v>1.1155820000000001</v>
      </c>
      <c r="L5580">
        <v>-61.369779999999999</v>
      </c>
      <c r="M5580">
        <v>0.99011550000000004</v>
      </c>
      <c r="N5580">
        <v>-1.070633E-2</v>
      </c>
      <c r="O5580">
        <v>-0.13984579999999999</v>
      </c>
      <c r="P5580">
        <v>0.91543070000000004</v>
      </c>
      <c r="Q5580">
        <v>0.39464389999999999</v>
      </c>
      <c r="R5580">
        <v>7.9013959999999994E-2</v>
      </c>
      <c r="S5580">
        <v>3.46814</v>
      </c>
      <c r="T5580">
        <v>-0.47005609999999998</v>
      </c>
      <c r="U5580">
        <v>0.157196</v>
      </c>
      <c r="V5580">
        <v>-0.2115002</v>
      </c>
      <c r="W5580">
        <v>0.40149249999999997</v>
      </c>
      <c r="X5580">
        <v>0.89110689999999904</v>
      </c>
      <c r="Y5580">
        <v>-0.18167459999999999</v>
      </c>
      <c r="Z5580">
        <v>3.056089E-2</v>
      </c>
      <c r="AA5580">
        <v>0.98288370000000003</v>
      </c>
      <c r="AB5580">
        <v>39</v>
      </c>
      <c r="AC5580">
        <v>8.0584999999999791</v>
      </c>
      <c r="AD5580">
        <v>-1.1155833385459999</v>
      </c>
      <c r="AE5580">
        <v>0.39630000000000298</v>
      </c>
      <c r="AF5580">
        <v>-1.4909135477267299</v>
      </c>
      <c r="AG5580">
        <v>-1.1155833385459999</v>
      </c>
      <c r="AH5580">
        <v>7.77523006587188</v>
      </c>
      <c r="AI5580">
        <v>98.020850504407704</v>
      </c>
      <c r="AJ5580">
        <v>100.85480371800401</v>
      </c>
      <c r="AK5580">
        <v>7.9950954946939001</v>
      </c>
      <c r="AL5580">
        <v>66.328485802470695</v>
      </c>
      <c r="AM5580">
        <v>103.35183783912601</v>
      </c>
      <c r="AN5580">
        <v>1.00000003469194</v>
      </c>
    </row>
    <row r="5581" spans="1:40" x14ac:dyDescent="0.25">
      <c r="A5581" t="str">
        <f>"20190304164520602"</f>
        <v>20190304164520602</v>
      </c>
      <c r="B5581" t="str">
        <f>"1551689120595404"</f>
        <v>1551689120595404</v>
      </c>
      <c r="C5581" t="s">
        <v>40</v>
      </c>
      <c r="D5581">
        <v>5.3945019999999904</v>
      </c>
      <c r="E5581">
        <v>0.52826019999999996</v>
      </c>
      <c r="F5581" t="s">
        <v>54</v>
      </c>
      <c r="G5581">
        <v>-254.72409999999999</v>
      </c>
      <c r="H5581" s="1">
        <v>-1.296646E-6</v>
      </c>
      <c r="I5581">
        <v>-60.985570000000003</v>
      </c>
      <c r="J5581">
        <v>-262.71420000000001</v>
      </c>
      <c r="K5581">
        <v>1.115558</v>
      </c>
      <c r="L5581">
        <v>-61.392429999999997</v>
      </c>
      <c r="M5581">
        <v>0.99042459999999999</v>
      </c>
      <c r="N5581">
        <v>-1.07969E-2</v>
      </c>
      <c r="O5581">
        <v>-0.1376328</v>
      </c>
      <c r="P5581">
        <v>0.91560030000000003</v>
      </c>
      <c r="Q5581">
        <v>0.39400800000000002</v>
      </c>
      <c r="R5581">
        <v>8.0214149999999998E-2</v>
      </c>
      <c r="S5581">
        <v>3.467346</v>
      </c>
      <c r="T5581">
        <v>-0.473889</v>
      </c>
      <c r="U5581">
        <v>0.16320799999999999</v>
      </c>
      <c r="V5581">
        <v>-0.21067640000000001</v>
      </c>
      <c r="W5581">
        <v>0.40096700000000002</v>
      </c>
      <c r="X5581">
        <v>0.89153850000000001</v>
      </c>
      <c r="Y5581">
        <v>-0.1811634</v>
      </c>
      <c r="Z5581">
        <v>3.0501609999999998E-2</v>
      </c>
      <c r="AA5581">
        <v>0.98297990000000002</v>
      </c>
      <c r="AB5581">
        <v>39</v>
      </c>
      <c r="AC5581">
        <v>7.9901000000000098</v>
      </c>
      <c r="AD5581">
        <v>-1.115559296646</v>
      </c>
      <c r="AE5581">
        <v>0.40686000000000799</v>
      </c>
      <c r="AF5581">
        <v>-1.47409110298212</v>
      </c>
      <c r="AG5581">
        <v>-1.115559296646</v>
      </c>
      <c r="AH5581">
        <v>7.7081835749518</v>
      </c>
      <c r="AI5581">
        <v>98.090283693593307</v>
      </c>
      <c r="AJ5581">
        <v>100.8263655948</v>
      </c>
      <c r="AK5581">
        <v>7.9267591832590103</v>
      </c>
      <c r="AL5581">
        <v>66.361355473279303</v>
      </c>
      <c r="AM5581">
        <v>103.295473330767</v>
      </c>
      <c r="AN5581">
        <v>0.99999998879410401</v>
      </c>
    </row>
    <row r="5582" spans="1:40" x14ac:dyDescent="0.25">
      <c r="A5582" t="str">
        <f>"20190304164520622"</f>
        <v>20190304164520622</v>
      </c>
      <c r="B5582" t="str">
        <f>"1551689120615899"</f>
        <v>1551689120615899</v>
      </c>
      <c r="C5582" t="s">
        <v>40</v>
      </c>
      <c r="D5582">
        <v>5.4153029999999998</v>
      </c>
      <c r="E5582">
        <v>0.52181390000000005</v>
      </c>
      <c r="F5582" t="s">
        <v>54</v>
      </c>
      <c r="G5582">
        <v>-254.71809999999999</v>
      </c>
      <c r="H5582" s="1">
        <v>-1.31202E-6</v>
      </c>
      <c r="I5582">
        <v>-61.0663699999999</v>
      </c>
      <c r="J5582">
        <v>-262.35829999999999</v>
      </c>
      <c r="K5582">
        <v>1.1154900000000001</v>
      </c>
      <c r="L5582">
        <v>-61.4381699999999</v>
      </c>
      <c r="M5582">
        <v>0.99103399999999997</v>
      </c>
      <c r="N5582">
        <v>-1.098622E-2</v>
      </c>
      <c r="O5582">
        <v>-0.13315750000000001</v>
      </c>
      <c r="P5582">
        <v>0.91588789999999998</v>
      </c>
      <c r="Q5582">
        <v>0.39288450000000003</v>
      </c>
      <c r="R5582">
        <v>8.2407569999999999E-2</v>
      </c>
      <c r="S5582">
        <v>3.472626</v>
      </c>
      <c r="T5582">
        <v>-0.48447370000000001</v>
      </c>
      <c r="U5582">
        <v>0.14160159999999999</v>
      </c>
      <c r="V5582">
        <v>-0.20875279999999999</v>
      </c>
      <c r="W5582">
        <v>0.40008579999999999</v>
      </c>
      <c r="X5582">
        <v>0.89238649999999997</v>
      </c>
      <c r="Y5582">
        <v>-0.1705641</v>
      </c>
      <c r="Z5582">
        <v>2.9770749999999999E-2</v>
      </c>
      <c r="AA5582">
        <v>0.98489680000000002</v>
      </c>
      <c r="AB5582">
        <v>39</v>
      </c>
      <c r="AC5582">
        <v>7.6401999999999903</v>
      </c>
      <c r="AD5582">
        <v>-1.1154913120199901</v>
      </c>
      <c r="AE5582">
        <v>0.37180000000000002</v>
      </c>
      <c r="AF5582">
        <v>-1.35704052891482</v>
      </c>
      <c r="AG5582">
        <v>-1.1154913120199901</v>
      </c>
      <c r="AH5582">
        <v>7.3659951697446102</v>
      </c>
      <c r="AI5582">
        <v>98.470889596030801</v>
      </c>
      <c r="AJ5582">
        <v>100.438578853933</v>
      </c>
      <c r="AK5582">
        <v>7.5725665863701996</v>
      </c>
      <c r="AL5582">
        <v>66.416458194021203</v>
      </c>
      <c r="AM5582">
        <v>103.166246133201</v>
      </c>
      <c r="AN5582">
        <v>1.00000002212586</v>
      </c>
    </row>
    <row r="5583" spans="1:40" x14ac:dyDescent="0.25">
      <c r="A5583" t="str">
        <f>"20190304164520633"</f>
        <v>20190304164520633</v>
      </c>
      <c r="B5583" t="str">
        <f>"1551689120625660"</f>
        <v>1551689120625660</v>
      </c>
      <c r="C5583" t="s">
        <v>40</v>
      </c>
      <c r="D5583">
        <v>5.3753169999999999</v>
      </c>
      <c r="E5583">
        <v>0.52106759999999996</v>
      </c>
      <c r="F5583" t="s">
        <v>54</v>
      </c>
      <c r="G5583">
        <v>-254.2578</v>
      </c>
      <c r="H5583" s="1">
        <v>-1.093668E-6</v>
      </c>
      <c r="I5583">
        <v>-60.972470000000001</v>
      </c>
      <c r="J5583">
        <v>-262.15570000000002</v>
      </c>
      <c r="K5583">
        <v>1.115448</v>
      </c>
      <c r="L5583">
        <v>-61.463709999999999</v>
      </c>
      <c r="M5583">
        <v>0.99136500000000005</v>
      </c>
      <c r="N5583">
        <v>-1.109567E-2</v>
      </c>
      <c r="O5583">
        <v>-0.13066179999999999</v>
      </c>
      <c r="P5583">
        <v>0.91590740000000004</v>
      </c>
      <c r="Q5583">
        <v>0.39259519999999998</v>
      </c>
      <c r="R5583">
        <v>8.3563979999999996E-2</v>
      </c>
      <c r="S5583">
        <v>3.462097</v>
      </c>
      <c r="T5583">
        <v>-0.4767499</v>
      </c>
      <c r="U5583">
        <v>0.19903560000000001</v>
      </c>
      <c r="V5583">
        <v>-0.20758750000000001</v>
      </c>
      <c r="W5583">
        <v>0.39994030000000003</v>
      </c>
      <c r="X5583">
        <v>0.8927235</v>
      </c>
      <c r="Y5583">
        <v>-0.18444260000000001</v>
      </c>
      <c r="Z5583">
        <v>3.0086439999999999E-2</v>
      </c>
      <c r="AA5583">
        <v>0.98238270000000005</v>
      </c>
      <c r="AB5583">
        <v>39</v>
      </c>
      <c r="AC5583">
        <v>7.8979000000000203</v>
      </c>
      <c r="AD5583">
        <v>-1.1154490936679999</v>
      </c>
      <c r="AE5583">
        <v>0.49124000000000401</v>
      </c>
      <c r="AF5583">
        <v>-1.4894498751157299</v>
      </c>
      <c r="AG5583">
        <v>-1.1154490936679999</v>
      </c>
      <c r="AH5583">
        <v>7.6146883158505698</v>
      </c>
      <c r="AI5583">
        <v>98.180911110801205</v>
      </c>
      <c r="AJ5583">
        <v>101.06744546225799</v>
      </c>
      <c r="AK5583">
        <v>7.8387604733528002</v>
      </c>
      <c r="AL5583">
        <v>66.425554368246694</v>
      </c>
      <c r="AM5583">
        <v>103.090515999731</v>
      </c>
      <c r="AN5583">
        <v>1.0000000305862899</v>
      </c>
    </row>
    <row r="5584" spans="1:40" x14ac:dyDescent="0.25">
      <c r="A5584" t="str">
        <f>"20190304164520645"</f>
        <v>20190304164520645</v>
      </c>
      <c r="B5584" t="str">
        <f>"1551689120635420"</f>
        <v>1551689120635420</v>
      </c>
      <c r="C5584" t="s">
        <v>40</v>
      </c>
      <c r="D5584">
        <v>5.3704330000000002</v>
      </c>
      <c r="E5584">
        <v>0.52051179999999997</v>
      </c>
      <c r="F5584" t="s">
        <v>54</v>
      </c>
      <c r="G5584">
        <v>-253.9905</v>
      </c>
      <c r="H5584" s="1">
        <v>-9.7869639999999991E-7</v>
      </c>
      <c r="I5584">
        <v>-60.971040000000002</v>
      </c>
      <c r="J5584">
        <v>-261.96370000000002</v>
      </c>
      <c r="K5584">
        <v>1.115394</v>
      </c>
      <c r="L5584">
        <v>-61.487119999999997</v>
      </c>
      <c r="M5584">
        <v>0.99166129999999997</v>
      </c>
      <c r="N5584">
        <v>-1.1200130000000001E-2</v>
      </c>
      <c r="O5584">
        <v>-0.12838459999999999</v>
      </c>
      <c r="P5584">
        <v>0.91583899999999996</v>
      </c>
      <c r="Q5584">
        <v>0.39264830000000001</v>
      </c>
      <c r="R5584">
        <v>8.4061819999999995E-2</v>
      </c>
      <c r="S5584">
        <v>3.4589840000000001</v>
      </c>
      <c r="T5584">
        <v>-0.47253319999999999</v>
      </c>
      <c r="U5584">
        <v>0.2087097</v>
      </c>
      <c r="V5584">
        <v>-0.20595189999999999</v>
      </c>
      <c r="W5584">
        <v>0.40014169999999999</v>
      </c>
      <c r="X5584">
        <v>0.89301200000000003</v>
      </c>
      <c r="Y5584">
        <v>-0.18503410000000001</v>
      </c>
      <c r="Z5584">
        <v>2.960163E-2</v>
      </c>
      <c r="AA5584">
        <v>0.9822862</v>
      </c>
      <c r="AB5584">
        <v>39</v>
      </c>
      <c r="AC5584">
        <v>7.9732000000000101</v>
      </c>
      <c r="AD5584">
        <v>-1.1153949786963999</v>
      </c>
      <c r="AE5584">
        <v>0.51607999999999499</v>
      </c>
      <c r="AF5584">
        <v>-1.5061562422792101</v>
      </c>
      <c r="AG5584">
        <v>-1.1153949786963999</v>
      </c>
      <c r="AH5584">
        <v>7.6910617048733299</v>
      </c>
      <c r="AI5584">
        <v>98.100022994956007</v>
      </c>
      <c r="AJ5584">
        <v>101.080127419981</v>
      </c>
      <c r="AK5584">
        <v>7.9161254874355604</v>
      </c>
      <c r="AL5584">
        <v>66.412962839480699</v>
      </c>
      <c r="AM5584">
        <v>102.986831939799</v>
      </c>
      <c r="AN5584">
        <v>0.99999999866824996</v>
      </c>
    </row>
    <row r="5585" spans="1:40" x14ac:dyDescent="0.25">
      <c r="A5585" t="str">
        <f>"20190304164520657"</f>
        <v>20190304164520657</v>
      </c>
      <c r="B5585" t="str">
        <f>"1551689120646155"</f>
        <v>1551689120646155</v>
      </c>
      <c r="C5585" t="s">
        <v>40</v>
      </c>
      <c r="D5585">
        <v>5.362063</v>
      </c>
      <c r="E5585">
        <v>0.52022780000000002</v>
      </c>
      <c r="F5585" t="s">
        <v>54</v>
      </c>
      <c r="G5585">
        <v>-253.7508</v>
      </c>
      <c r="H5585" s="1">
        <v>-8.771708E-7</v>
      </c>
      <c r="I5585">
        <v>-60.976889999999997</v>
      </c>
      <c r="J5585">
        <v>-261.74250000000001</v>
      </c>
      <c r="K5585">
        <v>1.1153299999999999</v>
      </c>
      <c r="L5585">
        <v>-61.513849999999998</v>
      </c>
      <c r="M5585">
        <v>0.99199130000000002</v>
      </c>
      <c r="N5585">
        <v>-1.1323410000000001E-2</v>
      </c>
      <c r="O5585">
        <v>-0.1257983</v>
      </c>
      <c r="P5585">
        <v>0.91580839999999997</v>
      </c>
      <c r="Q5585">
        <v>0.3926211</v>
      </c>
      <c r="R5585">
        <v>8.4522550000000002E-2</v>
      </c>
      <c r="S5585">
        <v>3.4572449999999999</v>
      </c>
      <c r="T5585">
        <v>-0.4695278</v>
      </c>
      <c r="U5585">
        <v>0.21478269999999999</v>
      </c>
      <c r="V5585">
        <v>-0.20398820000000001</v>
      </c>
      <c r="W5585">
        <v>0.4002925</v>
      </c>
      <c r="X5585">
        <v>0.893395099999999</v>
      </c>
      <c r="Y5585">
        <v>-0.184283</v>
      </c>
      <c r="Z5585">
        <v>2.9048529999999999E-2</v>
      </c>
      <c r="AA5585">
        <v>0.98244390000000004</v>
      </c>
      <c r="AB5585">
        <v>39</v>
      </c>
      <c r="AC5585">
        <v>7.9916999999999998</v>
      </c>
      <c r="AD5585">
        <v>-1.1153308771707999</v>
      </c>
      <c r="AE5585">
        <v>0.536959999999993</v>
      </c>
      <c r="AF5585">
        <v>-1.50884424128483</v>
      </c>
      <c r="AG5585">
        <v>-1.1153308771707999</v>
      </c>
      <c r="AH5585">
        <v>7.7111342963759402</v>
      </c>
      <c r="AI5585">
        <v>98.079000906280996</v>
      </c>
      <c r="AJ5585">
        <v>101.07123346322</v>
      </c>
      <c r="AK5585">
        <v>7.9361304202220797</v>
      </c>
      <c r="AL5585">
        <v>66.403535613863696</v>
      </c>
      <c r="AM5585">
        <v>102.861811982568</v>
      </c>
      <c r="AN5585">
        <v>1.00000003799974</v>
      </c>
    </row>
    <row r="5586" spans="1:40" x14ac:dyDescent="0.25">
      <c r="A5586" t="str">
        <f>"20190304164520669"</f>
        <v>20190304164520669</v>
      </c>
      <c r="B5586" t="str">
        <f>"1551689120665676"</f>
        <v>1551689120665676</v>
      </c>
      <c r="C5586" t="s">
        <v>40</v>
      </c>
      <c r="D5586">
        <v>5.3746809999999998</v>
      </c>
      <c r="E5586">
        <v>0.52018050000000005</v>
      </c>
      <c r="F5586" t="s">
        <v>54</v>
      </c>
      <c r="G5586">
        <v>-253.45490000000001</v>
      </c>
      <c r="H5586" s="1">
        <v>-7.5282129999999999E-7</v>
      </c>
      <c r="I5586">
        <v>-60.988610000000001</v>
      </c>
      <c r="J5586">
        <v>-261.53769999999997</v>
      </c>
      <c r="K5586">
        <v>1.1152599999999999</v>
      </c>
      <c r="L5586">
        <v>-61.5381199999999</v>
      </c>
      <c r="M5586">
        <v>0.9922803</v>
      </c>
      <c r="N5586">
        <v>-1.144302E-2</v>
      </c>
      <c r="O5586">
        <v>-0.1234869</v>
      </c>
      <c r="P5586">
        <v>0.91582269999999999</v>
      </c>
      <c r="Q5586">
        <v>0.39247609999999999</v>
      </c>
      <c r="R5586">
        <v>8.5038139999999998E-2</v>
      </c>
      <c r="S5586">
        <v>3.4549259999999999</v>
      </c>
      <c r="T5586">
        <v>-0.46495940000000002</v>
      </c>
      <c r="U5586">
        <v>0.21896360000000001</v>
      </c>
      <c r="V5586">
        <v>-0.20232449999999999</v>
      </c>
      <c r="W5586">
        <v>0.40032089999999998</v>
      </c>
      <c r="X5586">
        <v>0.89376060000000002</v>
      </c>
      <c r="Y5586">
        <v>-0.1832975</v>
      </c>
      <c r="Z5586">
        <v>2.8426130000000001E-2</v>
      </c>
      <c r="AA5586">
        <v>0.98264640000000003</v>
      </c>
      <c r="AB5586">
        <v>39</v>
      </c>
      <c r="AC5586">
        <v>8.0827999999999598</v>
      </c>
      <c r="AD5586">
        <v>-1.1152607528213001</v>
      </c>
      <c r="AE5586">
        <v>0.54950999999999794</v>
      </c>
      <c r="AF5586">
        <v>-1.5147825325892199</v>
      </c>
      <c r="AG5586">
        <v>-1.1152607528213001</v>
      </c>
      <c r="AH5586">
        <v>7.8051525102006902</v>
      </c>
      <c r="AI5586">
        <v>97.984812217283903</v>
      </c>
      <c r="AJ5586">
        <v>100.983125727988</v>
      </c>
      <c r="AK5586">
        <v>8.0286224456822595</v>
      </c>
      <c r="AL5586">
        <v>66.401759437869501</v>
      </c>
      <c r="AM5586">
        <v>102.755313032953</v>
      </c>
      <c r="AN5586">
        <v>1.0000000181947</v>
      </c>
    </row>
    <row r="5587" spans="1:40" x14ac:dyDescent="0.25">
      <c r="A5587" t="str">
        <f>"20190304164520681"</f>
        <v>20190304164520681</v>
      </c>
      <c r="B5587" t="str">
        <f>"1551689120675436"</f>
        <v>1551689120675436</v>
      </c>
      <c r="C5587" t="s">
        <v>40</v>
      </c>
      <c r="D5587">
        <v>5.3622209999999999</v>
      </c>
      <c r="E5587">
        <v>0.52008920000000003</v>
      </c>
      <c r="F5587" t="s">
        <v>54</v>
      </c>
      <c r="G5587">
        <v>-253.17750000000001</v>
      </c>
      <c r="H5587" s="1">
        <v>-6.3682299999999998E-7</v>
      </c>
      <c r="I5587">
        <v>-61.002139999999997</v>
      </c>
      <c r="J5587">
        <v>-261.34949999999998</v>
      </c>
      <c r="K5587">
        <v>1.1151949999999999</v>
      </c>
      <c r="L5587">
        <v>-61.559910000000002</v>
      </c>
      <c r="M5587">
        <v>0.99253250000000004</v>
      </c>
      <c r="N5587">
        <v>-1.1554999999999999E-2</v>
      </c>
      <c r="O5587">
        <v>-0.1214321</v>
      </c>
      <c r="P5587">
        <v>0.91575640000000003</v>
      </c>
      <c r="Q5587">
        <v>0.39249529999999999</v>
      </c>
      <c r="R5587">
        <v>8.5660139999999996E-2</v>
      </c>
      <c r="S5587">
        <v>3.4525760000000001</v>
      </c>
      <c r="T5587">
        <v>-0.46057920000000002</v>
      </c>
      <c r="U5587">
        <v>0.22134400000000001</v>
      </c>
      <c r="V5587">
        <v>-0.20098969999999999</v>
      </c>
      <c r="W5587">
        <v>0.40050140000000001</v>
      </c>
      <c r="X5587">
        <v>0.89398089999999997</v>
      </c>
      <c r="Y5587">
        <v>-0.18205489999999999</v>
      </c>
      <c r="Z5587">
        <v>2.783505E-2</v>
      </c>
      <c r="AA5587">
        <v>0.9828943</v>
      </c>
      <c r="AB5587">
        <v>39</v>
      </c>
      <c r="AC5587">
        <v>8.1719999999999597</v>
      </c>
      <c r="AD5587">
        <v>-1.115195636823</v>
      </c>
      <c r="AE5587">
        <v>0.55776999999999</v>
      </c>
      <c r="AF5587">
        <v>-1.5179143951345899</v>
      </c>
      <c r="AG5587">
        <v>-1.115195636823</v>
      </c>
      <c r="AH5587">
        <v>7.8973915535063597</v>
      </c>
      <c r="AI5587">
        <v>97.894993273025506</v>
      </c>
      <c r="AJ5587">
        <v>100.879826722091</v>
      </c>
      <c r="AK5587">
        <v>8.1188988643004691</v>
      </c>
      <c r="AL5587">
        <v>66.390473853942694</v>
      </c>
      <c r="AM5587">
        <v>102.67086661504401</v>
      </c>
      <c r="AN5587">
        <v>1.00000004023642</v>
      </c>
    </row>
    <row r="5588" spans="1:40" x14ac:dyDescent="0.25">
      <c r="A5588" t="str">
        <f>"20190304164520691"</f>
        <v>20190304164520691</v>
      </c>
      <c r="B5588" t="str">
        <f>"1551689120685814"</f>
        <v>1551689120685814</v>
      </c>
      <c r="C5588" t="s">
        <v>40</v>
      </c>
      <c r="D5588">
        <v>5.3958539999999999</v>
      </c>
      <c r="E5588">
        <v>0.52008149999999997</v>
      </c>
      <c r="F5588" t="s">
        <v>54</v>
      </c>
      <c r="G5588">
        <v>-252.96950000000001</v>
      </c>
      <c r="H5588" s="1">
        <v>-5.5051330000000003E-7</v>
      </c>
      <c r="I5588">
        <v>-61.015149999999998</v>
      </c>
      <c r="J5588">
        <v>-261.15480000000002</v>
      </c>
      <c r="K5588">
        <v>1.115113</v>
      </c>
      <c r="L5588">
        <v>-61.582210000000003</v>
      </c>
      <c r="M5588">
        <v>0.99278370000000005</v>
      </c>
      <c r="N5588">
        <v>-1.1672409999999999E-2</v>
      </c>
      <c r="O5588">
        <v>-0.1193504</v>
      </c>
      <c r="P5588">
        <v>0.91580209999999995</v>
      </c>
      <c r="Q5588">
        <v>0.3922735</v>
      </c>
      <c r="R5588">
        <v>8.6189230000000006E-2</v>
      </c>
      <c r="S5588">
        <v>3.4518740000000001</v>
      </c>
      <c r="T5588">
        <v>-0.45937250000000002</v>
      </c>
      <c r="U5588">
        <v>0.22439580000000001</v>
      </c>
      <c r="V5588">
        <v>-0.19954140000000001</v>
      </c>
      <c r="W5588">
        <v>0.40045150000000002</v>
      </c>
      <c r="X5588">
        <v>0.8943276</v>
      </c>
      <c r="Y5588">
        <v>-0.1809113</v>
      </c>
      <c r="Z5588">
        <v>2.7430880000000001E-2</v>
      </c>
      <c r="AA5588">
        <v>0.98311680000000001</v>
      </c>
      <c r="AB5588">
        <v>39</v>
      </c>
      <c r="AC5588">
        <v>8.1853000000000105</v>
      </c>
      <c r="AD5588">
        <v>-1.1151135505133001</v>
      </c>
      <c r="AE5588">
        <v>0.56705999999999701</v>
      </c>
      <c r="AF5588">
        <v>-1.5120622324320101</v>
      </c>
      <c r="AG5588">
        <v>-1.1151135505133001</v>
      </c>
      <c r="AH5588">
        <v>7.9129419660661897</v>
      </c>
      <c r="AI5588">
        <v>97.880707548543796</v>
      </c>
      <c r="AJ5588">
        <v>100.818078818811</v>
      </c>
      <c r="AK5588">
        <v>8.1329245037450804</v>
      </c>
      <c r="AL5588">
        <v>66.393593423455201</v>
      </c>
      <c r="AM5588">
        <v>102.577757156503</v>
      </c>
      <c r="AN5588">
        <v>1.0000000151439801</v>
      </c>
    </row>
    <row r="5589" spans="1:40" x14ac:dyDescent="0.25">
      <c r="A5589" t="str">
        <f>"20190304164520701"</f>
        <v>20190304164520701</v>
      </c>
      <c r="B5589" t="str">
        <f>"1551689120695574"</f>
        <v>1551689120695574</v>
      </c>
      <c r="C5589" t="s">
        <v>40</v>
      </c>
      <c r="D5589">
        <v>5.4104229999999998</v>
      </c>
      <c r="E5589">
        <v>0.52014579999999999</v>
      </c>
      <c r="F5589" t="s">
        <v>54</v>
      </c>
      <c r="G5589">
        <v>-252.76140000000001</v>
      </c>
      <c r="H5589" s="1">
        <v>-4.6558379999999998E-7</v>
      </c>
      <c r="I5589">
        <v>-61.034739999999999</v>
      </c>
      <c r="J5589">
        <v>-260.98750000000001</v>
      </c>
      <c r="K5589">
        <v>1.115035</v>
      </c>
      <c r="L5589">
        <v>-61.60098</v>
      </c>
      <c r="M5589">
        <v>0.99298549999999997</v>
      </c>
      <c r="N5589">
        <v>-1.177249E-2</v>
      </c>
      <c r="O5589">
        <v>-0.1176479</v>
      </c>
      <c r="P5589">
        <v>0.91585309999999998</v>
      </c>
      <c r="Q5589">
        <v>0.39194319999999999</v>
      </c>
      <c r="R5589">
        <v>8.7141930000000006E-2</v>
      </c>
      <c r="S5589">
        <v>3.4510190000000001</v>
      </c>
      <c r="T5589">
        <v>-0.45848909999999998</v>
      </c>
      <c r="U5589">
        <v>0.22509770000000001</v>
      </c>
      <c r="V5589">
        <v>-0.19885920000000001</v>
      </c>
      <c r="W5589">
        <v>0.40026590000000001</v>
      </c>
      <c r="X5589">
        <v>0.89456259999999999</v>
      </c>
      <c r="Y5589">
        <v>-0.17947550000000001</v>
      </c>
      <c r="Z5589">
        <v>2.7074279999999999E-2</v>
      </c>
      <c r="AA5589">
        <v>0.98338979999999998</v>
      </c>
      <c r="AB5589">
        <v>39</v>
      </c>
      <c r="AC5589">
        <v>8.2261000000000006</v>
      </c>
      <c r="AD5589">
        <v>-1.1150354655838</v>
      </c>
      <c r="AE5589">
        <v>0.56624000000000696</v>
      </c>
      <c r="AF5589">
        <v>-1.50267856790537</v>
      </c>
      <c r="AG5589">
        <v>-1.1150354655838</v>
      </c>
      <c r="AH5589">
        <v>7.9568385672320998</v>
      </c>
      <c r="AI5589">
        <v>97.840401026085999</v>
      </c>
      <c r="AJ5589">
        <v>100.69456514696</v>
      </c>
      <c r="AK5589">
        <v>8.1738991278914099</v>
      </c>
      <c r="AL5589">
        <v>66.405197996555103</v>
      </c>
      <c r="AM5589">
        <v>102.53292817484601</v>
      </c>
      <c r="AN5589">
        <v>1.0000000087231</v>
      </c>
    </row>
    <row r="5590" spans="1:40" x14ac:dyDescent="0.25">
      <c r="A5590" t="str">
        <f>"20190304164520711"</f>
        <v>20190304164520711</v>
      </c>
      <c r="B5590" t="str">
        <f>"1551689120705334"</f>
        <v>1551689120705334</v>
      </c>
      <c r="C5590" t="s">
        <v>40</v>
      </c>
      <c r="D5590">
        <v>5.3393480000000002</v>
      </c>
      <c r="E5590">
        <v>0.52004430000000001</v>
      </c>
      <c r="F5590" t="s">
        <v>54</v>
      </c>
      <c r="G5590">
        <v>-252.59790000000001</v>
      </c>
      <c r="H5590" s="1">
        <v>-3.9907020000000002E-7</v>
      </c>
      <c r="I5590">
        <v>-61.05106</v>
      </c>
      <c r="J5590">
        <v>-260.81079999999997</v>
      </c>
      <c r="K5590">
        <v>1.114941</v>
      </c>
      <c r="L5590">
        <v>-61.620609999999999</v>
      </c>
      <c r="M5590">
        <v>0.99319299999999999</v>
      </c>
      <c r="N5590">
        <v>-1.187825E-2</v>
      </c>
      <c r="O5590">
        <v>-0.11587450000000001</v>
      </c>
      <c r="P5590">
        <v>0.91587510000000005</v>
      </c>
      <c r="Q5590">
        <v>0.3915805</v>
      </c>
      <c r="R5590">
        <v>8.8532420000000001E-2</v>
      </c>
      <c r="S5590">
        <v>3.4503780000000002</v>
      </c>
      <c r="T5590">
        <v>-0.4585805</v>
      </c>
      <c r="U5590">
        <v>0.2261658</v>
      </c>
      <c r="V5590">
        <v>-0.19853699999999999</v>
      </c>
      <c r="W5590">
        <v>0.40005039999999997</v>
      </c>
      <c r="X5590">
        <v>0.89473060000000004</v>
      </c>
      <c r="Y5590">
        <v>-0.1780592</v>
      </c>
      <c r="Z5590">
        <v>2.6767030000000001E-2</v>
      </c>
      <c r="AA5590">
        <v>0.98365559999999996</v>
      </c>
      <c r="AB5590">
        <v>39</v>
      </c>
      <c r="AC5590">
        <v>8.2128999999999603</v>
      </c>
      <c r="AD5590">
        <v>-1.1149413990702</v>
      </c>
      <c r="AE5590">
        <v>0.569549999999999</v>
      </c>
      <c r="AF5590">
        <v>-1.4901150813244599</v>
      </c>
      <c r="AG5590">
        <v>-1.1149413990702</v>
      </c>
      <c r="AH5590">
        <v>7.9458320082464997</v>
      </c>
      <c r="AI5590">
        <v>97.852331676475004</v>
      </c>
      <c r="AJ5590">
        <v>100.621547062495</v>
      </c>
      <c r="AK5590">
        <v>8.1608690457711504</v>
      </c>
      <c r="AL5590">
        <v>66.418672106125996</v>
      </c>
      <c r="AM5590">
        <v>102.510986287725</v>
      </c>
      <c r="AN5590">
        <v>1.0000000547427501</v>
      </c>
    </row>
    <row r="5591" spans="1:40" x14ac:dyDescent="0.25">
      <c r="A5591" t="str">
        <f>"20190304164520722"</f>
        <v>20190304164520722</v>
      </c>
      <c r="B5591" t="str">
        <f>"1551689120716070"</f>
        <v>1551689120716070</v>
      </c>
      <c r="C5591" t="s">
        <v>40</v>
      </c>
      <c r="D5591">
        <v>5.3879580000000002</v>
      </c>
      <c r="E5591">
        <v>0.51998919999999904</v>
      </c>
      <c r="F5591" t="s">
        <v>54</v>
      </c>
      <c r="G5591">
        <v>-252.4383</v>
      </c>
      <c r="H5591" s="1">
        <v>-3.3314259999999999E-7</v>
      </c>
      <c r="I5591">
        <v>-61.062449999999998</v>
      </c>
      <c r="J5591">
        <v>-260.6241</v>
      </c>
      <c r="K5591">
        <v>1.114841</v>
      </c>
      <c r="L5591">
        <v>-61.64096</v>
      </c>
      <c r="M5591">
        <v>0.99339599999999995</v>
      </c>
      <c r="N5591">
        <v>-1.198863E-2</v>
      </c>
      <c r="O5591">
        <v>-0.1141083</v>
      </c>
      <c r="P5591">
        <v>0.9157556</v>
      </c>
      <c r="Q5591">
        <v>0.39153389999999999</v>
      </c>
      <c r="R5591">
        <v>8.9959819999999996E-2</v>
      </c>
      <c r="S5591">
        <v>3.4497680000000002</v>
      </c>
      <c r="T5591">
        <v>-0.45939649999999999</v>
      </c>
      <c r="U5591">
        <v>0.2299805</v>
      </c>
      <c r="V5591">
        <v>-0.19822899999999999</v>
      </c>
      <c r="W5591">
        <v>0.40016230000000003</v>
      </c>
      <c r="X5591">
        <v>0.89474880000000001</v>
      </c>
      <c r="Y5591">
        <v>-0.17741419999999999</v>
      </c>
      <c r="Z5591">
        <v>2.655747E-2</v>
      </c>
      <c r="AA5591">
        <v>0.98377789999999998</v>
      </c>
      <c r="AB5591">
        <v>39</v>
      </c>
      <c r="AC5591">
        <v>8.1858000000000004</v>
      </c>
      <c r="AD5591">
        <v>-1.1148413331425999</v>
      </c>
      <c r="AE5591">
        <v>0.57851000000000097</v>
      </c>
      <c r="AF5591">
        <v>-1.4815225046048801</v>
      </c>
      <c r="AG5591">
        <v>-1.1148413331425999</v>
      </c>
      <c r="AH5591">
        <v>7.9201328665948703</v>
      </c>
      <c r="AI5591">
        <v>97.877463825529304</v>
      </c>
      <c r="AJ5591">
        <v>100.59517672326901</v>
      </c>
      <c r="AK5591">
        <v>8.1342660857787408</v>
      </c>
      <c r="AL5591">
        <v>66.4116751979588</v>
      </c>
      <c r="AM5591">
        <v>102.491940988617</v>
      </c>
      <c r="AN5591">
        <v>1.0000000089418599</v>
      </c>
    </row>
    <row r="5592" spans="1:40" x14ac:dyDescent="0.25">
      <c r="A5592" t="str">
        <f>"20190304164520732"</f>
        <v>20190304164520732</v>
      </c>
      <c r="B5592" t="str">
        <f>"1551689120725830"</f>
        <v>1551689120725830</v>
      </c>
      <c r="C5592" t="s">
        <v>40</v>
      </c>
      <c r="D5592">
        <v>5.3876049999999998</v>
      </c>
      <c r="E5592">
        <v>0.52005630000000003</v>
      </c>
      <c r="F5592" t="s">
        <v>54</v>
      </c>
      <c r="G5592">
        <v>-252.2261</v>
      </c>
      <c r="H5592" s="1">
        <v>-2.4428779999999999E-7</v>
      </c>
      <c r="I5592">
        <v>-61.072400000000002</v>
      </c>
      <c r="J5592">
        <v>-260.43869999999998</v>
      </c>
      <c r="K5592">
        <v>1.1147400000000001</v>
      </c>
      <c r="L5592">
        <v>-61.661009999999997</v>
      </c>
      <c r="M5592">
        <v>0.99359160000000002</v>
      </c>
      <c r="N5592">
        <v>-1.209823E-2</v>
      </c>
      <c r="O5592">
        <v>-0.1123808</v>
      </c>
      <c r="P5592">
        <v>0.91557109999999997</v>
      </c>
      <c r="Q5592">
        <v>0.39159119999999997</v>
      </c>
      <c r="R5592">
        <v>9.1574180000000005E-2</v>
      </c>
      <c r="S5592">
        <v>3.4487920000000001</v>
      </c>
      <c r="T5592">
        <v>-0.45782859999999997</v>
      </c>
      <c r="U5592">
        <v>0.23349</v>
      </c>
      <c r="V5592">
        <v>-0.19813430000000001</v>
      </c>
      <c r="W5592">
        <v>0.40037420000000001</v>
      </c>
      <c r="X5592">
        <v>0.894675</v>
      </c>
      <c r="Y5592">
        <v>-0.17675379999999999</v>
      </c>
      <c r="Z5592">
        <v>2.6216650000000001E-2</v>
      </c>
      <c r="AA5592">
        <v>0.9839059</v>
      </c>
      <c r="AB5592">
        <v>39</v>
      </c>
      <c r="AC5592">
        <v>8.2125999999999806</v>
      </c>
      <c r="AD5592">
        <v>-1.1147402442878001</v>
      </c>
      <c r="AE5592">
        <v>0.58860999999999497</v>
      </c>
      <c r="AF5592">
        <v>-1.48074485523945</v>
      </c>
      <c r="AG5592">
        <v>-1.1147402442878001</v>
      </c>
      <c r="AH5592">
        <v>7.9487145986748704</v>
      </c>
      <c r="AI5592">
        <v>97.849866423025006</v>
      </c>
      <c r="AJ5592">
        <v>100.55251966391199</v>
      </c>
      <c r="AK5592">
        <v>8.1619430842012104</v>
      </c>
      <c r="AL5592">
        <v>66.398427097733304</v>
      </c>
      <c r="AM5592">
        <v>102.48715806451</v>
      </c>
      <c r="AN5592">
        <v>1.0000000282435599</v>
      </c>
    </row>
    <row r="5593" spans="1:40" x14ac:dyDescent="0.25">
      <c r="A5593" t="str">
        <f>"20190304164520744"</f>
        <v>20190304164520744</v>
      </c>
      <c r="B5593" t="str">
        <f>"1551689120735590"</f>
        <v>1551689120735590</v>
      </c>
      <c r="C5593" t="s">
        <v>40</v>
      </c>
      <c r="D5593">
        <v>5.4008719999999997</v>
      </c>
      <c r="E5593">
        <v>0.52008120000000002</v>
      </c>
      <c r="F5593" t="s">
        <v>54</v>
      </c>
      <c r="G5593">
        <v>-252.01509999999999</v>
      </c>
      <c r="H5593" s="1">
        <v>-1.5573910000000001E-7</v>
      </c>
      <c r="I5593">
        <v>-61.081130000000002</v>
      </c>
      <c r="J5593">
        <v>-260.25529999999998</v>
      </c>
      <c r="K5593">
        <v>1.114627</v>
      </c>
      <c r="L5593">
        <v>-61.680419999999998</v>
      </c>
      <c r="M5593">
        <v>0.99376730000000002</v>
      </c>
      <c r="N5593">
        <v>-1.220506E-2</v>
      </c>
      <c r="O5593">
        <v>-0.1108036</v>
      </c>
      <c r="P5593">
        <v>0.91526350000000001</v>
      </c>
      <c r="Q5593">
        <v>0.39187519999999998</v>
      </c>
      <c r="R5593">
        <v>9.3415860000000003E-2</v>
      </c>
      <c r="S5593">
        <v>3.4480590000000002</v>
      </c>
      <c r="T5593">
        <v>-0.45630199999999999</v>
      </c>
      <c r="U5593">
        <v>0.23736570000000001</v>
      </c>
      <c r="V5593">
        <v>-0.19838149999999999</v>
      </c>
      <c r="W5593">
        <v>0.40080929999999998</v>
      </c>
      <c r="X5593">
        <v>0.89442529999999998</v>
      </c>
      <c r="Y5593">
        <v>-0.17633840000000001</v>
      </c>
      <c r="Z5593">
        <v>2.5913800000000001E-2</v>
      </c>
      <c r="AA5593">
        <v>0.98398839999999999</v>
      </c>
      <c r="AB5593">
        <v>39</v>
      </c>
      <c r="AC5593">
        <v>8.2401999999999802</v>
      </c>
      <c r="AD5593">
        <v>-1.1146271557391001</v>
      </c>
      <c r="AE5593">
        <v>0.59928999999999599</v>
      </c>
      <c r="AF5593">
        <v>-1.4817420926226501</v>
      </c>
      <c r="AG5593">
        <v>-1.1146271557391001</v>
      </c>
      <c r="AH5593">
        <v>7.9778396770806896</v>
      </c>
      <c r="AI5593">
        <v>97.8215511083244</v>
      </c>
      <c r="AJ5593">
        <v>100.52177912840099</v>
      </c>
      <c r="AK5593">
        <v>8.1904749092200806</v>
      </c>
      <c r="AL5593">
        <v>66.371217663394404</v>
      </c>
      <c r="AM5593">
        <v>102.505628487564</v>
      </c>
      <c r="AN5593">
        <v>0.99999996589441398</v>
      </c>
    </row>
    <row r="5594" spans="1:40" x14ac:dyDescent="0.25">
      <c r="A5594" t="str">
        <f>"20190304164520755"</f>
        <v>20190304164520755</v>
      </c>
      <c r="B5594" t="str">
        <f>"1551689120745350"</f>
        <v>1551689120745350</v>
      </c>
      <c r="C5594" t="s">
        <v>40</v>
      </c>
      <c r="D5594">
        <v>5.3711570000000002</v>
      </c>
      <c r="E5594">
        <v>0.52010730000000005</v>
      </c>
      <c r="F5594" t="s">
        <v>54</v>
      </c>
      <c r="G5594">
        <v>-251.8023</v>
      </c>
      <c r="H5594" s="1">
        <v>-6.498715E-8</v>
      </c>
      <c r="I5594">
        <v>-61.083530000000003</v>
      </c>
      <c r="J5594">
        <v>-260.06240000000003</v>
      </c>
      <c r="K5594">
        <v>1.114509</v>
      </c>
      <c r="L5594">
        <v>-61.700679999999998</v>
      </c>
      <c r="M5594">
        <v>0.99394700000000002</v>
      </c>
      <c r="N5594">
        <v>-1.2317299999999899E-2</v>
      </c>
      <c r="O5594">
        <v>-0.1091686</v>
      </c>
      <c r="P5594">
        <v>0.91500179999999998</v>
      </c>
      <c r="Q5594">
        <v>0.3920632</v>
      </c>
      <c r="R5594">
        <v>9.5175469999999998E-2</v>
      </c>
      <c r="S5594">
        <v>3.44754</v>
      </c>
      <c r="T5594">
        <v>-0.4545999</v>
      </c>
      <c r="U5594">
        <v>0.24343870000000001</v>
      </c>
      <c r="V5594">
        <v>-0.19849159999999999</v>
      </c>
      <c r="W5594">
        <v>0.40115970000000001</v>
      </c>
      <c r="X5594">
        <v>0.89424380000000003</v>
      </c>
      <c r="Y5594">
        <v>-0.17648339999999901</v>
      </c>
      <c r="Z5594">
        <v>2.5633989999999999E-2</v>
      </c>
      <c r="AA5594">
        <v>0.98396969999999995</v>
      </c>
      <c r="AB5594">
        <v>39</v>
      </c>
      <c r="AC5594">
        <v>8.2601000000000209</v>
      </c>
      <c r="AD5594">
        <v>-1.1145090649871401</v>
      </c>
      <c r="AE5594">
        <v>0.61715000000000197</v>
      </c>
      <c r="AF5594">
        <v>-1.4883278260828501</v>
      </c>
      <c r="AG5594">
        <v>-1.1145090649871401</v>
      </c>
      <c r="AH5594">
        <v>7.9985383891239996</v>
      </c>
      <c r="AI5594">
        <v>97.800269120276397</v>
      </c>
      <c r="AJ5594">
        <v>100.540759959089</v>
      </c>
      <c r="AK5594">
        <v>8.2118126218345608</v>
      </c>
      <c r="AL5594">
        <v>66.349302960575997</v>
      </c>
      <c r="AM5594">
        <v>102.51481005767</v>
      </c>
      <c r="AN5594">
        <v>0.99999999700654496</v>
      </c>
    </row>
    <row r="5595" spans="1:40" x14ac:dyDescent="0.25">
      <c r="A5595" t="str">
        <f>"20190304164520764"</f>
        <v>20190304164520764</v>
      </c>
      <c r="B5595" t="str">
        <f>"1551689120756086"</f>
        <v>1551689120756086</v>
      </c>
      <c r="C5595" t="s">
        <v>40</v>
      </c>
      <c r="D5595">
        <v>5.3899970000000001</v>
      </c>
      <c r="E5595">
        <v>0.52011759999999996</v>
      </c>
      <c r="F5595" t="s">
        <v>54</v>
      </c>
      <c r="G5595">
        <v>-251.57839999999999</v>
      </c>
      <c r="H5595" s="1">
        <v>3.023575E-8</v>
      </c>
      <c r="I5595">
        <v>-61.087429999999998</v>
      </c>
      <c r="J5595">
        <v>-259.88679999999999</v>
      </c>
      <c r="K5595">
        <v>1.11439</v>
      </c>
      <c r="L5595">
        <v>-61.718809999999998</v>
      </c>
      <c r="M5595">
        <v>0.99409510000000001</v>
      </c>
      <c r="N5595">
        <v>-1.2416160000000001E-2</v>
      </c>
      <c r="O5595">
        <v>-0.1077994</v>
      </c>
      <c r="P5595">
        <v>0.91484889999999996</v>
      </c>
      <c r="Q5595">
        <v>0.39198309999999997</v>
      </c>
      <c r="R5595">
        <v>9.6957260000000003E-2</v>
      </c>
      <c r="S5595">
        <v>3.4468079999999999</v>
      </c>
      <c r="T5595">
        <v>-0.45278849999999998</v>
      </c>
      <c r="U5595">
        <v>0.24914549999999999</v>
      </c>
      <c r="V5595">
        <v>-0.19887750000000001</v>
      </c>
      <c r="W5595">
        <v>0.4012269</v>
      </c>
      <c r="X5595">
        <v>0.89412789999999998</v>
      </c>
      <c r="Y5595">
        <v>-0.17678920000000001</v>
      </c>
      <c r="Z5595">
        <v>2.539454E-2</v>
      </c>
      <c r="AA5595">
        <v>0.98392109999999999</v>
      </c>
      <c r="AB5595">
        <v>39</v>
      </c>
      <c r="AC5595">
        <v>8.3084000000000007</v>
      </c>
      <c r="AD5595">
        <v>-1.1143899697642501</v>
      </c>
      <c r="AE5595">
        <v>0.63137999999999295</v>
      </c>
      <c r="AF5595">
        <v>-1.4966393087314001</v>
      </c>
      <c r="AG5595">
        <v>-1.1143899697642501</v>
      </c>
      <c r="AH5595">
        <v>8.0479548591619494</v>
      </c>
      <c r="AI5595">
        <v>97.752290565057194</v>
      </c>
      <c r="AJ5595">
        <v>100.53467915485299</v>
      </c>
      <c r="AK5595">
        <v>8.2614388359570707</v>
      </c>
      <c r="AL5595">
        <v>66.345099481935307</v>
      </c>
      <c r="AM5595">
        <v>102.539946078119</v>
      </c>
      <c r="AN5595">
        <v>0.99999999342413504</v>
      </c>
    </row>
    <row r="5596" spans="1:40" x14ac:dyDescent="0.25">
      <c r="A5596" t="str">
        <f>"20190304164520779"</f>
        <v>20190304164520779</v>
      </c>
      <c r="B5596" t="str">
        <f>"1551689120775606"</f>
        <v>1551689120775606</v>
      </c>
      <c r="C5596" t="s">
        <v>40</v>
      </c>
      <c r="D5596">
        <v>5.3875419999999998</v>
      </c>
      <c r="E5596">
        <v>0.52020159999999904</v>
      </c>
      <c r="F5596" t="s">
        <v>54</v>
      </c>
      <c r="G5596">
        <v>-251.3964</v>
      </c>
      <c r="H5596" s="1">
        <v>1.0757470000000001E-7</v>
      </c>
      <c r="I5596">
        <v>-61.090580000000003</v>
      </c>
      <c r="J5596">
        <v>-259.65859999999998</v>
      </c>
      <c r="K5596">
        <v>1.1142350000000001</v>
      </c>
      <c r="L5596">
        <v>-61.742159999999998</v>
      </c>
      <c r="M5596">
        <v>0.99427900000000002</v>
      </c>
      <c r="N5596">
        <v>-1.2542090000000001E-2</v>
      </c>
      <c r="O5596">
        <v>-0.10607569999999999</v>
      </c>
      <c r="P5596">
        <v>0.91465680000000005</v>
      </c>
      <c r="Q5596">
        <v>0.39183750000000001</v>
      </c>
      <c r="R5596">
        <v>9.9331020000000006E-2</v>
      </c>
      <c r="S5596">
        <v>3.4459529999999998</v>
      </c>
      <c r="T5596">
        <v>-0.4522911</v>
      </c>
      <c r="U5596">
        <v>0.25497439999999999</v>
      </c>
      <c r="V5596">
        <v>-0.19948859999999999</v>
      </c>
      <c r="W5596">
        <v>0.4012693</v>
      </c>
      <c r="X5596">
        <v>0.89397280000000001</v>
      </c>
      <c r="Y5596">
        <v>-0.17677329999999999</v>
      </c>
      <c r="Z5596">
        <v>2.5165509999999999E-2</v>
      </c>
      <c r="AA5596">
        <v>0.98392979999999997</v>
      </c>
      <c r="AB5596">
        <v>39</v>
      </c>
      <c r="AC5596">
        <v>8.2621999999999698</v>
      </c>
      <c r="AD5596">
        <v>-1.1142348924253</v>
      </c>
      <c r="AE5596">
        <v>0.65157999999999505</v>
      </c>
      <c r="AF5596">
        <v>-1.4973271573817</v>
      </c>
      <c r="AG5596">
        <v>-1.1142348924253</v>
      </c>
      <c r="AH5596">
        <v>8.00182550681191</v>
      </c>
      <c r="AI5596">
        <v>97.793754528671798</v>
      </c>
      <c r="AJ5596">
        <v>100.59879775883699</v>
      </c>
      <c r="AK5596">
        <v>8.2166124073852096</v>
      </c>
      <c r="AL5596">
        <v>66.342448942773999</v>
      </c>
      <c r="AM5596">
        <v>102.5793666326</v>
      </c>
      <c r="AN5596">
        <v>1.00000005989614</v>
      </c>
    </row>
    <row r="5597" spans="1:40" x14ac:dyDescent="0.25">
      <c r="A5597" t="str">
        <f>"20190304164520788"</f>
        <v>20190304164520788</v>
      </c>
      <c r="B5597" t="str">
        <f>"1551689120785919"</f>
        <v>1551689120785919</v>
      </c>
      <c r="C5597" t="s">
        <v>40</v>
      </c>
      <c r="D5597">
        <v>5.381767</v>
      </c>
      <c r="E5597">
        <v>0.52023900000000001</v>
      </c>
      <c r="F5597" t="s">
        <v>54</v>
      </c>
      <c r="G5597">
        <v>-251.1651</v>
      </c>
      <c r="H5597" s="1">
        <v>2.060746E-7</v>
      </c>
      <c r="I5597">
        <v>-61.093809999999998</v>
      </c>
      <c r="J5597">
        <v>-259.47710000000001</v>
      </c>
      <c r="K5597">
        <v>1.1141099999999999</v>
      </c>
      <c r="L5597">
        <v>-61.760469999999998</v>
      </c>
      <c r="M5597">
        <v>0.99441440000000003</v>
      </c>
      <c r="N5597">
        <v>-1.263805E-2</v>
      </c>
      <c r="O5597">
        <v>-0.1047863</v>
      </c>
      <c r="P5597">
        <v>0.91455750000000002</v>
      </c>
      <c r="Q5597">
        <v>0.3916</v>
      </c>
      <c r="R5597">
        <v>0.1011633</v>
      </c>
      <c r="S5597">
        <v>3.4449770000000002</v>
      </c>
      <c r="T5597">
        <v>-0.45193820000000001</v>
      </c>
      <c r="U5597">
        <v>0.26296999999999998</v>
      </c>
      <c r="V5597">
        <v>-0.19999729999999999</v>
      </c>
      <c r="W5597">
        <v>0.4011789</v>
      </c>
      <c r="X5597">
        <v>0.89389969999999996</v>
      </c>
      <c r="Y5597">
        <v>-0.17779120000000001</v>
      </c>
      <c r="Z5597">
        <v>2.5071159999999999E-2</v>
      </c>
      <c r="AA5597">
        <v>0.98374879999999998</v>
      </c>
      <c r="AB5597">
        <v>39</v>
      </c>
      <c r="AC5597">
        <v>8.31200000000001</v>
      </c>
      <c r="AD5597">
        <v>-1.1141097939254001</v>
      </c>
      <c r="AE5597">
        <v>0.66666000000000003</v>
      </c>
      <c r="AF5597">
        <v>-1.50713884260348</v>
      </c>
      <c r="AG5597">
        <v>-1.1141097939254001</v>
      </c>
      <c r="AH5597">
        <v>8.0526241091999893</v>
      </c>
      <c r="AI5597">
        <v>97.744275978593194</v>
      </c>
      <c r="AJ5597">
        <v>100.60090193668699</v>
      </c>
      <c r="AK5597">
        <v>8.2678572295289197</v>
      </c>
      <c r="AL5597">
        <v>66.348103379522598</v>
      </c>
      <c r="AM5597">
        <v>102.61141783641899</v>
      </c>
      <c r="AN5597">
        <v>1.0000000517362899</v>
      </c>
    </row>
    <row r="5598" spans="1:40" x14ac:dyDescent="0.25">
      <c r="A5598" t="str">
        <f>"20190304164520800"</f>
        <v>20190304164520800</v>
      </c>
      <c r="B5598" t="str">
        <f>"1551689120795680"</f>
        <v>1551689120795680</v>
      </c>
      <c r="C5598" t="s">
        <v>40</v>
      </c>
      <c r="D5598">
        <v>5.3255160000000004</v>
      </c>
      <c r="E5598">
        <v>0.52025909999999997</v>
      </c>
      <c r="F5598" t="s">
        <v>54</v>
      </c>
      <c r="G5598">
        <v>-250.99420000000001</v>
      </c>
      <c r="H5598" s="1">
        <v>2.7926340000000003E-7</v>
      </c>
      <c r="I5598">
        <v>-61.094560000000001</v>
      </c>
      <c r="J5598">
        <v>-259.28649999999999</v>
      </c>
      <c r="K5598">
        <v>1.1139760000000001</v>
      </c>
      <c r="L5598">
        <v>-61.77948</v>
      </c>
      <c r="M5598">
        <v>0.99454750000000003</v>
      </c>
      <c r="N5598">
        <v>-1.2733970000000001E-2</v>
      </c>
      <c r="O5598">
        <v>-0.10350479999999999</v>
      </c>
      <c r="P5598">
        <v>0.91446970000000005</v>
      </c>
      <c r="Q5598">
        <v>0.39135150000000002</v>
      </c>
      <c r="R5598">
        <v>0.1029046</v>
      </c>
      <c r="S5598">
        <v>3.4440309999999998</v>
      </c>
      <c r="T5598">
        <v>-0.4523221</v>
      </c>
      <c r="U5598">
        <v>0.27035520000000002</v>
      </c>
      <c r="V5598">
        <v>-0.2004196</v>
      </c>
      <c r="W5598">
        <v>0.40108110000000002</v>
      </c>
      <c r="X5598">
        <v>0.893849</v>
      </c>
      <c r="Y5598">
        <v>-0.17863709999999999</v>
      </c>
      <c r="Z5598">
        <v>2.5006400000000002E-2</v>
      </c>
      <c r="AA5598">
        <v>0.98359719999999995</v>
      </c>
      <c r="AB5598">
        <v>39</v>
      </c>
      <c r="AC5598">
        <v>8.2922999999999796</v>
      </c>
      <c r="AD5598">
        <v>-1.1139757207365999</v>
      </c>
      <c r="AE5598">
        <v>0.68492000000001196</v>
      </c>
      <c r="AF5598">
        <v>-1.51249229393681</v>
      </c>
      <c r="AG5598">
        <v>-1.1139757207365999</v>
      </c>
      <c r="AH5598">
        <v>8.0328704798692794</v>
      </c>
      <c r="AI5598">
        <v>97.760598776030307</v>
      </c>
      <c r="AJ5598">
        <v>100.663259083694</v>
      </c>
      <c r="AK5598">
        <v>8.2495807767403697</v>
      </c>
      <c r="AL5598">
        <v>66.354220577763101</v>
      </c>
      <c r="AM5598">
        <v>102.637886568677</v>
      </c>
      <c r="AN5598">
        <v>1.0000000498211801</v>
      </c>
    </row>
    <row r="5599" spans="1:40" x14ac:dyDescent="0.25">
      <c r="A5599" t="str">
        <f>"20190304164520811"</f>
        <v>20190304164520811</v>
      </c>
      <c r="B5599" t="str">
        <f>"1551689120805439"</f>
        <v>1551689120805439</v>
      </c>
      <c r="C5599" t="s">
        <v>40</v>
      </c>
      <c r="D5599">
        <v>5.3922369999999997</v>
      </c>
      <c r="E5599">
        <v>0.52039120000000005</v>
      </c>
      <c r="F5599" t="s">
        <v>54</v>
      </c>
      <c r="G5599">
        <v>-250.82390000000001</v>
      </c>
      <c r="H5599" s="1">
        <v>3.51541099999999E-7</v>
      </c>
      <c r="I5599">
        <v>-61.098010000000002</v>
      </c>
      <c r="J5599">
        <v>-259.0976</v>
      </c>
      <c r="K5599">
        <v>1.1138539999999999</v>
      </c>
      <c r="L5599">
        <v>-61.798160000000003</v>
      </c>
      <c r="M5599">
        <v>0.99467209999999995</v>
      </c>
      <c r="N5599">
        <v>-1.282548E-2</v>
      </c>
      <c r="O5599">
        <v>-0.1022892</v>
      </c>
      <c r="P5599">
        <v>0.91422239999999999</v>
      </c>
      <c r="Q5599">
        <v>0.39144190000000001</v>
      </c>
      <c r="R5599">
        <v>0.104740899999999</v>
      </c>
      <c r="S5599">
        <v>3.4433750000000001</v>
      </c>
      <c r="T5599">
        <v>-0.45326850000000002</v>
      </c>
      <c r="U5599">
        <v>0.27728269999999999</v>
      </c>
      <c r="V5599">
        <v>-0.20098489999999999</v>
      </c>
      <c r="W5599">
        <v>0.40131480000000003</v>
      </c>
      <c r="X5599">
        <v>0.89361710000000005</v>
      </c>
      <c r="Y5599">
        <v>-0.17940699999999901</v>
      </c>
      <c r="Z5599">
        <v>2.4972939999999999E-2</v>
      </c>
      <c r="AA5599">
        <v>0.9834579</v>
      </c>
      <c r="AB5599">
        <v>39</v>
      </c>
      <c r="AC5599">
        <v>8.2736999999999892</v>
      </c>
      <c r="AD5599">
        <v>-1.1138536484588999</v>
      </c>
      <c r="AE5599">
        <v>0.70015000000000005</v>
      </c>
      <c r="AF5599">
        <v>-1.5155833084992401</v>
      </c>
      <c r="AG5599">
        <v>-1.1138536484588999</v>
      </c>
      <c r="AH5599">
        <v>8.0144491920282697</v>
      </c>
      <c r="AI5599">
        <v>97.776230978323099</v>
      </c>
      <c r="AJ5599">
        <v>100.708541145018</v>
      </c>
      <c r="AK5599">
        <v>8.2321964606530909</v>
      </c>
      <c r="AL5599">
        <v>66.339601513288201</v>
      </c>
      <c r="AM5599">
        <v>102.675565455952</v>
      </c>
      <c r="AN5599">
        <v>1.0000000100697299</v>
      </c>
    </row>
    <row r="5600" spans="1:40" x14ac:dyDescent="0.25">
      <c r="A5600" t="str">
        <f>"20190304164520823"</f>
        <v>20190304164520823</v>
      </c>
      <c r="B5600" t="str">
        <f>"1551689120816176"</f>
        <v>1551689120816176</v>
      </c>
      <c r="C5600" t="s">
        <v>40</v>
      </c>
      <c r="D5600">
        <v>5.3862059999999996</v>
      </c>
      <c r="E5600">
        <v>0.52045540000000001</v>
      </c>
      <c r="F5600" t="s">
        <v>54</v>
      </c>
      <c r="G5600">
        <v>-250.62690000000001</v>
      </c>
      <c r="H5600" s="1">
        <v>4.3579429999999999E-7</v>
      </c>
      <c r="I5600">
        <v>-61.099110000000003</v>
      </c>
      <c r="J5600">
        <v>-258.89569999999998</v>
      </c>
      <c r="K5600">
        <v>1.1137140000000001</v>
      </c>
      <c r="L5600">
        <v>-61.8178699999999</v>
      </c>
      <c r="M5600">
        <v>0.99479359999999994</v>
      </c>
      <c r="N5600">
        <v>-1.2916E-2</v>
      </c>
      <c r="O5600">
        <v>-0.1010897</v>
      </c>
      <c r="P5600">
        <v>0.91410550000000002</v>
      </c>
      <c r="Q5600">
        <v>0.39128829999999998</v>
      </c>
      <c r="R5600">
        <v>0.1063248</v>
      </c>
      <c r="S5600">
        <v>3.4427639999999999</v>
      </c>
      <c r="T5600">
        <v>-0.45270739999999998</v>
      </c>
      <c r="U5600">
        <v>0.2841187</v>
      </c>
      <c r="V5600">
        <v>-0.20131940000000001</v>
      </c>
      <c r="W5600">
        <v>0.40131040000000001</v>
      </c>
      <c r="X5600">
        <v>0.8935438</v>
      </c>
      <c r="Y5600">
        <v>-0.1801816</v>
      </c>
      <c r="Z5600">
        <v>2.485861E-2</v>
      </c>
      <c r="AA5600">
        <v>0.98331919999999995</v>
      </c>
      <c r="AB5600">
        <v>39</v>
      </c>
      <c r="AC5600">
        <v>8.2687999999999704</v>
      </c>
      <c r="AD5600">
        <v>-1.1137135642056999</v>
      </c>
      <c r="AE5600">
        <v>0.71875999999999596</v>
      </c>
      <c r="AF5600">
        <v>-1.52360504401916</v>
      </c>
      <c r="AG5600">
        <v>-1.1137135642056999</v>
      </c>
      <c r="AH5600">
        <v>8.0095571774430407</v>
      </c>
      <c r="AI5600">
        <v>97.778384349800305</v>
      </c>
      <c r="AJ5600">
        <v>100.770319414959</v>
      </c>
      <c r="AK5600">
        <v>8.2288964273458802</v>
      </c>
      <c r="AL5600">
        <v>66.339877257250805</v>
      </c>
      <c r="AM5600">
        <v>102.69698591487401</v>
      </c>
      <c r="AN5600">
        <v>1.00000003024147</v>
      </c>
    </row>
    <row r="5601" spans="1:40" x14ac:dyDescent="0.25">
      <c r="A5601" t="str">
        <f>"20190304164520834"</f>
        <v>20190304164520834</v>
      </c>
      <c r="B5601" t="str">
        <f>"1551689120825936"</f>
        <v>1551689120825936</v>
      </c>
      <c r="C5601" t="s">
        <v>40</v>
      </c>
      <c r="D5601">
        <v>5.350314</v>
      </c>
      <c r="E5601">
        <v>0.52054040000000001</v>
      </c>
      <c r="F5601" t="s">
        <v>54</v>
      </c>
      <c r="G5601">
        <v>-250.43879999999999</v>
      </c>
      <c r="H5601" s="1">
        <v>5.1524789999999996E-7</v>
      </c>
      <c r="I5601">
        <v>-61.104770000000002</v>
      </c>
      <c r="J5601">
        <v>-258.69819999999999</v>
      </c>
      <c r="K5601">
        <v>1.1135790000000001</v>
      </c>
      <c r="L5601">
        <v>-61.837009999999999</v>
      </c>
      <c r="M5601">
        <v>0.9949076</v>
      </c>
      <c r="N5601">
        <v>-1.30023E-2</v>
      </c>
      <c r="O5601">
        <v>-9.9950129999999998E-2</v>
      </c>
      <c r="P5601">
        <v>0.91398400000000002</v>
      </c>
      <c r="Q5601">
        <v>0.39111050000000003</v>
      </c>
      <c r="R5601">
        <v>0.10800999999999999</v>
      </c>
      <c r="S5601">
        <v>3.4421840000000001</v>
      </c>
      <c r="T5601">
        <v>-0.45331070000000001</v>
      </c>
      <c r="U5601">
        <v>0.29025269999999997</v>
      </c>
      <c r="V5601">
        <v>-0.2018123</v>
      </c>
      <c r="W5601">
        <v>0.40127550000000001</v>
      </c>
      <c r="X5601">
        <v>0.89344829999999997</v>
      </c>
      <c r="Y5601">
        <v>-0.1808044</v>
      </c>
      <c r="Z5601">
        <v>2.4804340000000001E-2</v>
      </c>
      <c r="AA5601">
        <v>0.98320620000000003</v>
      </c>
      <c r="AB5601">
        <v>39</v>
      </c>
      <c r="AC5601">
        <v>8.2593999999999994</v>
      </c>
      <c r="AD5601">
        <v>-1.1135784847521</v>
      </c>
      <c r="AE5601">
        <v>0.732240000000004</v>
      </c>
      <c r="AF5601">
        <v>-1.52663577538662</v>
      </c>
      <c r="AG5601">
        <v>-1.1135784847521</v>
      </c>
      <c r="AH5601">
        <v>8.0005407695271806</v>
      </c>
      <c r="AI5601">
        <v>97.785271351264299</v>
      </c>
      <c r="AJ5601">
        <v>100.80311639616301</v>
      </c>
      <c r="AK5601">
        <v>8.2206645982706092</v>
      </c>
      <c r="AL5601">
        <v>66.3420608181885</v>
      </c>
      <c r="AM5601">
        <v>102.728377272914</v>
      </c>
      <c r="AN5601">
        <v>1.00000004805221</v>
      </c>
    </row>
    <row r="5602" spans="1:40" x14ac:dyDescent="0.25">
      <c r="A5602" t="str">
        <f>"20190304164520849"</f>
        <v>20190304164520849</v>
      </c>
      <c r="B5602" t="str">
        <f>"1551689120845455"</f>
        <v>1551689120845455</v>
      </c>
      <c r="C5602" t="s">
        <v>40</v>
      </c>
      <c r="D5602">
        <v>5.3723650000000003</v>
      </c>
      <c r="E5602">
        <v>0.52080979999999999</v>
      </c>
      <c r="F5602" t="s">
        <v>54</v>
      </c>
      <c r="G5602">
        <v>-250.25980000000001</v>
      </c>
      <c r="H5602" s="1">
        <v>5.9106940000000001E-7</v>
      </c>
      <c r="I5602">
        <v>-61.109169999999999</v>
      </c>
      <c r="J5602">
        <v>-258.43729999999999</v>
      </c>
      <c r="K5602">
        <v>1.1134120000000001</v>
      </c>
      <c r="L5602">
        <v>-61.861910000000002</v>
      </c>
      <c r="M5602">
        <v>0.99504230000000005</v>
      </c>
      <c r="N5602">
        <v>-1.3104879999999999E-2</v>
      </c>
      <c r="O5602">
        <v>-9.8586460000000001E-2</v>
      </c>
      <c r="P5602">
        <v>0.91380890000000004</v>
      </c>
      <c r="Q5602">
        <v>0.39112540000000001</v>
      </c>
      <c r="R5602">
        <v>0.10942780000000001</v>
      </c>
      <c r="S5602">
        <v>3.441605</v>
      </c>
      <c r="T5602">
        <v>-0.45416899999999899</v>
      </c>
      <c r="U5602">
        <v>0.29684450000000001</v>
      </c>
      <c r="V5602">
        <v>-0.20179739999999999</v>
      </c>
      <c r="W5602">
        <v>0.40146929999999997</v>
      </c>
      <c r="X5602">
        <v>0.89336450000000001</v>
      </c>
      <c r="Y5602">
        <v>-0.18133550000000001</v>
      </c>
      <c r="Z5602">
        <v>2.473055E-2</v>
      </c>
      <c r="AA5602">
        <v>0.98311029999999999</v>
      </c>
      <c r="AB5602">
        <v>39</v>
      </c>
      <c r="AC5602">
        <v>8.1774999999999807</v>
      </c>
      <c r="AD5602">
        <v>-1.1134114089306</v>
      </c>
      <c r="AE5602">
        <v>0.75273999999999497</v>
      </c>
      <c r="AF5602">
        <v>-1.5272574248178601</v>
      </c>
      <c r="AG5602">
        <v>-1.1134114089306</v>
      </c>
      <c r="AH5602">
        <v>7.9178890075596096</v>
      </c>
      <c r="AI5602">
        <v>97.861386786260894</v>
      </c>
      <c r="AJ5602">
        <v>100.917528750153</v>
      </c>
      <c r="AK5602">
        <v>8.1403419180788408</v>
      </c>
      <c r="AL5602">
        <v>66.329935287911894</v>
      </c>
      <c r="AM5602">
        <v>102.728623113419</v>
      </c>
      <c r="AN5602">
        <v>0.99999995967474897</v>
      </c>
    </row>
    <row r="5603" spans="1:40" x14ac:dyDescent="0.25">
      <c r="A5603" t="str">
        <f>"20190304164520863"</f>
        <v>20190304164520863</v>
      </c>
      <c r="B5603" t="str">
        <f>"1551689120856192"</f>
        <v>1551689120856192</v>
      </c>
      <c r="C5603" t="s">
        <v>40</v>
      </c>
      <c r="D5603">
        <v>5.3986210000000003</v>
      </c>
      <c r="E5603">
        <v>0.52095720000000001</v>
      </c>
      <c r="F5603" t="s">
        <v>54</v>
      </c>
      <c r="G5603">
        <v>-250.00040000000001</v>
      </c>
      <c r="H5603" s="1">
        <v>6.9905030000000003E-7</v>
      </c>
      <c r="I5603">
        <v>-61.1239699999999</v>
      </c>
      <c r="J5603">
        <v>-258.22129999999999</v>
      </c>
      <c r="K5603">
        <v>1.113278</v>
      </c>
      <c r="L5603">
        <v>-61.882319999999901</v>
      </c>
      <c r="M5603">
        <v>0.99514619999999998</v>
      </c>
      <c r="N5603">
        <v>-1.3184090000000001E-2</v>
      </c>
      <c r="O5603">
        <v>-9.7520750000000003E-2</v>
      </c>
      <c r="P5603">
        <v>0.91355839999999999</v>
      </c>
      <c r="Q5603">
        <v>0.39135019999999998</v>
      </c>
      <c r="R5603">
        <v>0.1107083</v>
      </c>
      <c r="S5603">
        <v>3.4412989999999999</v>
      </c>
      <c r="T5603">
        <v>-0.45414719999999997</v>
      </c>
      <c r="U5603">
        <v>0.30099490000000001</v>
      </c>
      <c r="V5603">
        <v>-0.20194770000000001</v>
      </c>
      <c r="W5603">
        <v>0.40183099999999999</v>
      </c>
      <c r="X5603">
        <v>0.89316799999999996</v>
      </c>
      <c r="Y5603">
        <v>-0.1814733</v>
      </c>
      <c r="Z5603">
        <v>2.461445E-2</v>
      </c>
      <c r="AA5603">
        <v>0.98308779999999996</v>
      </c>
      <c r="AB5603">
        <v>39</v>
      </c>
      <c r="AC5603">
        <v>8.2208999999999701</v>
      </c>
      <c r="AD5603">
        <v>-1.1132773009496999</v>
      </c>
      <c r="AE5603">
        <v>0.75834999999999997</v>
      </c>
      <c r="AF5603">
        <v>-1.5287146212359699</v>
      </c>
      <c r="AG5603">
        <v>-1.1132773009496999</v>
      </c>
      <c r="AH5603">
        <v>7.9629491050272696</v>
      </c>
      <c r="AI5603">
        <v>97.817824559793294</v>
      </c>
      <c r="AJ5603">
        <v>100.86733447265</v>
      </c>
      <c r="AK5603">
        <v>8.1844311464661494</v>
      </c>
      <c r="AL5603">
        <v>66.307308150545296</v>
      </c>
      <c r="AM5603">
        <v>102.740505181381</v>
      </c>
      <c r="AN5603">
        <v>1.0000000511601399</v>
      </c>
    </row>
    <row r="5604" spans="1:40" x14ac:dyDescent="0.25">
      <c r="A5604" t="str">
        <f>"20190304164520874"</f>
        <v>20190304164520874</v>
      </c>
      <c r="B5604" t="str">
        <f>"1551689120865952"</f>
        <v>1551689120865952</v>
      </c>
      <c r="C5604" t="s">
        <v>40</v>
      </c>
      <c r="D5604">
        <v>5.338139</v>
      </c>
      <c r="E5604">
        <v>0.52104090000000003</v>
      </c>
      <c r="F5604" t="s">
        <v>55</v>
      </c>
      <c r="G5604">
        <v>-249.7773</v>
      </c>
      <c r="H5604" s="1">
        <v>-3.333964E-6</v>
      </c>
      <c r="I5604">
        <v>-61.131459999999997</v>
      </c>
      <c r="J5604">
        <v>-258.0034</v>
      </c>
      <c r="K5604">
        <v>1.1131500000000001</v>
      </c>
      <c r="L5604">
        <v>-61.902799999999999</v>
      </c>
      <c r="M5604">
        <v>0.99524610000000002</v>
      </c>
      <c r="N5604">
        <v>-1.326041E-2</v>
      </c>
      <c r="O5604">
        <v>-9.6485000000000001E-2</v>
      </c>
      <c r="P5604">
        <v>0.91349009999999997</v>
      </c>
      <c r="Q5604">
        <v>0.3912889</v>
      </c>
      <c r="R5604">
        <v>0.1114851</v>
      </c>
      <c r="S5604">
        <v>3.4411320000000001</v>
      </c>
      <c r="T5604">
        <v>-0.45368839999999999</v>
      </c>
      <c r="U5604">
        <v>0.3059692</v>
      </c>
      <c r="V5604">
        <v>-0.20164389999999999</v>
      </c>
      <c r="W5604">
        <v>0.40190779999999998</v>
      </c>
      <c r="X5604">
        <v>0.8932021</v>
      </c>
      <c r="Y5604">
        <v>-0.1818729</v>
      </c>
      <c r="Z5604">
        <v>2.449633E-2</v>
      </c>
      <c r="AA5604">
        <v>0.98301680000000002</v>
      </c>
      <c r="AB5604">
        <v>39</v>
      </c>
      <c r="AC5604">
        <v>8.2261000000000006</v>
      </c>
      <c r="AD5604">
        <v>-1.1131533339640001</v>
      </c>
      <c r="AE5604">
        <v>0.77134000000000202</v>
      </c>
      <c r="AF5604">
        <v>-1.5336668343023701</v>
      </c>
      <c r="AG5604">
        <v>-1.1131533339640001</v>
      </c>
      <c r="AH5604">
        <v>7.9686392479694304</v>
      </c>
      <c r="AI5604">
        <v>97.810759182296295</v>
      </c>
      <c r="AJ5604">
        <v>100.89409835654</v>
      </c>
      <c r="AK5604">
        <v>8.1908763736143104</v>
      </c>
      <c r="AL5604">
        <v>66.302503115670504</v>
      </c>
      <c r="AM5604">
        <v>102.721493335136</v>
      </c>
      <c r="AN5604">
        <v>1.0000000667762201</v>
      </c>
    </row>
    <row r="5605" spans="1:40" x14ac:dyDescent="0.25">
      <c r="A5605" t="str">
        <f>"20190304164520888"</f>
        <v>20190304164520888</v>
      </c>
      <c r="B5605" t="str">
        <f>"1551689120886062"</f>
        <v>1551689120886062</v>
      </c>
      <c r="C5605" t="s">
        <v>40</v>
      </c>
      <c r="D5605">
        <v>5.3349859999999998</v>
      </c>
      <c r="E5605">
        <v>0.52126309999999998</v>
      </c>
      <c r="F5605" t="s">
        <v>55</v>
      </c>
      <c r="G5605">
        <v>-249.5669</v>
      </c>
      <c r="H5605" s="1">
        <v>-3.2649869999999999E-6</v>
      </c>
      <c r="I5605">
        <v>-61.146129999999999</v>
      </c>
      <c r="J5605">
        <v>-257.75869999999998</v>
      </c>
      <c r="K5605">
        <v>1.113024</v>
      </c>
      <c r="L5605">
        <v>-61.92548</v>
      </c>
      <c r="M5605">
        <v>0.9953495</v>
      </c>
      <c r="N5605">
        <v>-1.333722E-2</v>
      </c>
      <c r="O5605">
        <v>-9.5401559999999996E-2</v>
      </c>
      <c r="P5605">
        <v>0.91321260000000004</v>
      </c>
      <c r="Q5605">
        <v>0.39183810000000002</v>
      </c>
      <c r="R5605">
        <v>0.1118281</v>
      </c>
      <c r="S5605">
        <v>3.4409179999999999</v>
      </c>
      <c r="T5605">
        <v>-0.45401589999999997</v>
      </c>
      <c r="U5605">
        <v>0.30859379999999997</v>
      </c>
      <c r="V5605">
        <v>-0.20084959999999999</v>
      </c>
      <c r="W5605">
        <v>0.4025958</v>
      </c>
      <c r="X5605">
        <v>0.89307109999999901</v>
      </c>
      <c r="Y5605">
        <v>-0.1815592</v>
      </c>
      <c r="Z5605">
        <v>2.4364319999999998E-2</v>
      </c>
      <c r="AA5605">
        <v>0.98307809999999995</v>
      </c>
      <c r="AB5605">
        <v>39</v>
      </c>
      <c r="AC5605">
        <v>8.1917999999999704</v>
      </c>
      <c r="AD5605">
        <v>-1.1130272649869899</v>
      </c>
      <c r="AE5605">
        <v>0.77934999999999999</v>
      </c>
      <c r="AF5605">
        <v>-1.52939394558569</v>
      </c>
      <c r="AG5605">
        <v>-1.1130272649869899</v>
      </c>
      <c r="AH5605">
        <v>7.9349002027986701</v>
      </c>
      <c r="AI5605">
        <v>97.842278079717701</v>
      </c>
      <c r="AJ5605">
        <v>100.909559341809</v>
      </c>
      <c r="AK5605">
        <v>8.1572370789240303</v>
      </c>
      <c r="AL5605">
        <v>66.259444028067307</v>
      </c>
      <c r="AM5605">
        <v>102.67480222609601</v>
      </c>
      <c r="AN5605">
        <v>0.999999964826504</v>
      </c>
    </row>
    <row r="5606" spans="1:40" x14ac:dyDescent="0.25">
      <c r="A5606" t="str">
        <f>"20190304164520901"</f>
        <v>20190304164520901</v>
      </c>
      <c r="B5606" t="str">
        <f>"1551689120895820"</f>
        <v>1551689120895820</v>
      </c>
      <c r="C5606" t="s">
        <v>40</v>
      </c>
      <c r="D5606">
        <v>5.260859</v>
      </c>
      <c r="E5606">
        <v>0.52131519999999998</v>
      </c>
      <c r="F5606" t="s">
        <v>55</v>
      </c>
      <c r="G5606">
        <v>-249.29339999999999</v>
      </c>
      <c r="H5606" s="1">
        <v>-3.174704E-6</v>
      </c>
      <c r="I5606">
        <v>-61.161859999999997</v>
      </c>
      <c r="J5606">
        <v>-257.54919999999998</v>
      </c>
      <c r="K5606">
        <v>1.1129279999999999</v>
      </c>
      <c r="L5606">
        <v>-61.94473</v>
      </c>
      <c r="M5606">
        <v>0.99543429999999999</v>
      </c>
      <c r="N5606">
        <v>-1.3398729999999999E-2</v>
      </c>
      <c r="O5606">
        <v>-9.4504199999999997E-2</v>
      </c>
      <c r="P5606">
        <v>0.91311509999999996</v>
      </c>
      <c r="Q5606">
        <v>0.39202789999999998</v>
      </c>
      <c r="R5606">
        <v>0.1119612</v>
      </c>
      <c r="S5606">
        <v>3.4412379999999998</v>
      </c>
      <c r="T5606">
        <v>-0.45246009999999998</v>
      </c>
      <c r="U5606">
        <v>0.31039430000000001</v>
      </c>
      <c r="V5606">
        <v>-0.2000595</v>
      </c>
      <c r="W5606">
        <v>0.40289740000000002</v>
      </c>
      <c r="X5606">
        <v>0.89311249999999998</v>
      </c>
      <c r="Y5606">
        <v>-0.18120149999999999</v>
      </c>
      <c r="Z5606">
        <v>2.414753E-2</v>
      </c>
      <c r="AA5606">
        <v>0.98314950000000001</v>
      </c>
      <c r="AB5606">
        <v>39</v>
      </c>
      <c r="AC5606">
        <v>8.25579999999999</v>
      </c>
      <c r="AD5606">
        <v>-1.112931174704</v>
      </c>
      <c r="AE5606">
        <v>0.78287000000000895</v>
      </c>
      <c r="AF5606">
        <v>-1.53205012644575</v>
      </c>
      <c r="AG5606">
        <v>-1.112931174704</v>
      </c>
      <c r="AH5606">
        <v>8.0007539114693706</v>
      </c>
      <c r="AI5606">
        <v>97.779644718984997</v>
      </c>
      <c r="AJ5606">
        <v>100.840242362244</v>
      </c>
      <c r="AK5606">
        <v>8.2217915651920297</v>
      </c>
      <c r="AL5606">
        <v>66.240566358823301</v>
      </c>
      <c r="AM5606">
        <v>102.625977380734</v>
      </c>
      <c r="AN5606">
        <v>1.0000000280616199</v>
      </c>
    </row>
    <row r="5607" spans="1:40" x14ac:dyDescent="0.25">
      <c r="A5607" t="str">
        <f>"20190304164520912"</f>
        <v>20190304164520912</v>
      </c>
      <c r="B5607" t="str">
        <f>"1551689120905581"</f>
        <v>1551689120905581</v>
      </c>
      <c r="C5607" t="s">
        <v>40</v>
      </c>
      <c r="D5607">
        <v>5.3910679999999997</v>
      </c>
      <c r="E5607">
        <v>0.52131519999999998</v>
      </c>
      <c r="F5607" t="s">
        <v>55</v>
      </c>
      <c r="G5607">
        <v>-249.07</v>
      </c>
      <c r="H5607" s="1">
        <v>-3.089453E-6</v>
      </c>
      <c r="I5607">
        <v>-61.177900000000001</v>
      </c>
      <c r="J5607">
        <v>-257.3526</v>
      </c>
      <c r="K5607">
        <v>1.1128389999999999</v>
      </c>
      <c r="L5607">
        <v>-61.962679999999999</v>
      </c>
      <c r="M5607">
        <v>0.99551129999999999</v>
      </c>
      <c r="N5607">
        <v>-1.3453629999999999E-2</v>
      </c>
      <c r="O5607">
        <v>-9.3682100000000004E-2</v>
      </c>
      <c r="P5607">
        <v>0.91297890000000004</v>
      </c>
      <c r="Q5607">
        <v>0.39235809999999999</v>
      </c>
      <c r="R5607">
        <v>0.11191520000000001</v>
      </c>
      <c r="S5607">
        <v>3.4412229999999999</v>
      </c>
      <c r="T5607">
        <v>-0.4516734</v>
      </c>
      <c r="U5607">
        <v>0.31118770000000001</v>
      </c>
      <c r="V5607">
        <v>-0.19916900000000001</v>
      </c>
      <c r="W5607">
        <v>0.4033272</v>
      </c>
      <c r="X5607">
        <v>0.89311749999999901</v>
      </c>
      <c r="Y5607">
        <v>-0.18063409999999999</v>
      </c>
      <c r="Z5607">
        <v>2.3968639999999999E-2</v>
      </c>
      <c r="AA5607">
        <v>0.98325819999999997</v>
      </c>
      <c r="AB5607">
        <v>39</v>
      </c>
      <c r="AC5607">
        <v>8.2826000000000004</v>
      </c>
      <c r="AD5607">
        <v>-1.112842089453</v>
      </c>
      <c r="AE5607">
        <v>0.78478000000000403</v>
      </c>
      <c r="AF5607">
        <v>-1.5299560487408601</v>
      </c>
      <c r="AG5607">
        <v>-1.112842089453</v>
      </c>
      <c r="AH5607">
        <v>8.0289889223572093</v>
      </c>
      <c r="AI5607">
        <v>97.753325374570196</v>
      </c>
      <c r="AJ5607">
        <v>100.788600523808</v>
      </c>
      <c r="AK5607">
        <v>8.2488693857080602</v>
      </c>
      <c r="AL5607">
        <v>66.213656584478002</v>
      </c>
      <c r="AM5607">
        <v>102.571499069859</v>
      </c>
      <c r="AN5607">
        <v>0.99999999481354396</v>
      </c>
    </row>
    <row r="5608" spans="1:40" x14ac:dyDescent="0.25">
      <c r="A5608" t="str">
        <f>"20190304164520923"</f>
        <v>20190304164520923</v>
      </c>
      <c r="B5608" t="str">
        <f>"1551689120915341"</f>
        <v>1551689120915341</v>
      </c>
      <c r="C5608" t="s">
        <v>40</v>
      </c>
      <c r="D5608">
        <v>5.349189</v>
      </c>
      <c r="E5608">
        <v>0.52615789999999996</v>
      </c>
      <c r="F5608" t="s">
        <v>55</v>
      </c>
      <c r="G5608">
        <v>-248.85130000000001</v>
      </c>
      <c r="H5608" s="1">
        <v>-2.9993240000000001E-6</v>
      </c>
      <c r="I5608">
        <v>-61.191679999999998</v>
      </c>
      <c r="J5608">
        <v>-257.1737</v>
      </c>
      <c r="K5608">
        <v>1.112776</v>
      </c>
      <c r="L5608">
        <v>-61.978789999999996</v>
      </c>
      <c r="M5608">
        <v>0.99557839999999997</v>
      </c>
      <c r="N5608">
        <v>-1.349856E-2</v>
      </c>
      <c r="O5608">
        <v>-9.2960059999999997E-2</v>
      </c>
      <c r="P5608">
        <v>0.91287949999999995</v>
      </c>
      <c r="Q5608">
        <v>0.39265559999999999</v>
      </c>
      <c r="R5608">
        <v>0.11168260000000001</v>
      </c>
      <c r="S5608">
        <v>3.4413149999999999</v>
      </c>
      <c r="T5608">
        <v>-0.45047900000000002</v>
      </c>
      <c r="U5608">
        <v>0.31207279999999998</v>
      </c>
      <c r="V5608">
        <v>-0.19820740000000001</v>
      </c>
      <c r="W5608">
        <v>0.40370549999999999</v>
      </c>
      <c r="X5608">
        <v>0.89316049999999902</v>
      </c>
      <c r="Y5608">
        <v>-0.18019109999999999</v>
      </c>
      <c r="Z5608">
        <v>2.3788790000000001E-2</v>
      </c>
      <c r="AA5608">
        <v>0.98334390000000005</v>
      </c>
      <c r="AB5608">
        <v>39</v>
      </c>
      <c r="AC5608">
        <v>8.3223999999999805</v>
      </c>
      <c r="AD5608">
        <v>-1.112778999324</v>
      </c>
      <c r="AE5608">
        <v>0.78710999999999798</v>
      </c>
      <c r="AF5608">
        <v>-1.53030594243927</v>
      </c>
      <c r="AG5608">
        <v>-1.112778999324</v>
      </c>
      <c r="AH5608">
        <v>8.0701795017351703</v>
      </c>
      <c r="AI5608">
        <v>97.715096983362699</v>
      </c>
      <c r="AJ5608">
        <v>100.737215714157</v>
      </c>
      <c r="AK5608">
        <v>8.2890234991238891</v>
      </c>
      <c r="AL5608">
        <v>66.189967268050196</v>
      </c>
      <c r="AM5608">
        <v>102.51213561631999</v>
      </c>
      <c r="AN5608">
        <v>0.99999999145262897</v>
      </c>
    </row>
    <row r="5609" spans="1:40" x14ac:dyDescent="0.25">
      <c r="A5609" t="str">
        <f>"20190304164520932"</f>
        <v>20190304164520932</v>
      </c>
      <c r="B5609" t="str">
        <f>"1551689120926078"</f>
        <v>1551689120926078</v>
      </c>
      <c r="C5609" t="s">
        <v>40</v>
      </c>
      <c r="D5609">
        <v>5.3530280000000001</v>
      </c>
      <c r="E5609">
        <v>0.52612930000000002</v>
      </c>
      <c r="F5609" t="s">
        <v>55</v>
      </c>
      <c r="G5609">
        <v>-248.80430000000001</v>
      </c>
      <c r="H5609" s="1">
        <v>-3.0115260000000002E-6</v>
      </c>
      <c r="I5609">
        <v>-61.313400000000001</v>
      </c>
      <c r="J5609">
        <v>-256.98950000000002</v>
      </c>
      <c r="K5609">
        <v>1.1127119999999999</v>
      </c>
      <c r="L5609">
        <v>-61.995359999999998</v>
      </c>
      <c r="M5609">
        <v>0.9956467</v>
      </c>
      <c r="N5609">
        <v>-1.354411E-2</v>
      </c>
      <c r="O5609">
        <v>-9.2220640000000006E-2</v>
      </c>
      <c r="P5609">
        <v>0.91277160000000002</v>
      </c>
      <c r="Q5609">
        <v>0.39302989999999999</v>
      </c>
      <c r="R5609">
        <v>0.1112461</v>
      </c>
      <c r="S5609">
        <v>3.4500579999999998</v>
      </c>
      <c r="T5609">
        <v>-0.45871089999999998</v>
      </c>
      <c r="U5609">
        <v>0.27426149999999999</v>
      </c>
      <c r="V5609">
        <v>-0.19702620000000001</v>
      </c>
      <c r="W5609">
        <v>0.40416259999999998</v>
      </c>
      <c r="X5609">
        <v>0.89321509999999904</v>
      </c>
      <c r="Y5609">
        <v>-0.16856699999999999</v>
      </c>
      <c r="Z5609">
        <v>2.3232900000000001E-2</v>
      </c>
      <c r="AA5609">
        <v>0.98541639999999997</v>
      </c>
      <c r="AB5609">
        <v>39</v>
      </c>
      <c r="AC5609">
        <v>8.1852</v>
      </c>
      <c r="AD5609">
        <v>-1.1127150115260001</v>
      </c>
      <c r="AE5609">
        <v>0.68195999999999601</v>
      </c>
      <c r="AF5609">
        <v>-1.40812364988734</v>
      </c>
      <c r="AG5609">
        <v>-1.1127150115260001</v>
      </c>
      <c r="AH5609">
        <v>7.9416639500589596</v>
      </c>
      <c r="AI5609">
        <v>97.854899686084806</v>
      </c>
      <c r="AJ5609">
        <v>100.054525889282</v>
      </c>
      <c r="AK5609">
        <v>8.1419268730389192</v>
      </c>
      <c r="AL5609">
        <v>66.161337322671201</v>
      </c>
      <c r="AM5609">
        <v>102.43916181028</v>
      </c>
      <c r="AN5609">
        <v>0.99999997279660402</v>
      </c>
    </row>
    <row r="5610" spans="1:40" x14ac:dyDescent="0.25">
      <c r="A5610" t="str">
        <f>"20190304164520946"</f>
        <v>20190304164520946</v>
      </c>
      <c r="B5610" t="str">
        <f>"1551689120935837"</f>
        <v>1551689120935837</v>
      </c>
      <c r="C5610" t="s">
        <v>40</v>
      </c>
      <c r="D5610">
        <v>5.3466180000000003</v>
      </c>
      <c r="E5610">
        <v>0.52610709999999905</v>
      </c>
      <c r="F5610" t="s">
        <v>55</v>
      </c>
      <c r="G5610">
        <v>-248.63640000000001</v>
      </c>
      <c r="H5610" s="1">
        <v>-2.945072E-6</v>
      </c>
      <c r="I5610">
        <v>-61.334330000000001</v>
      </c>
      <c r="J5610">
        <v>-256.76639999999998</v>
      </c>
      <c r="K5610">
        <v>1.1126510000000001</v>
      </c>
      <c r="L5610">
        <v>-62.015140000000002</v>
      </c>
      <c r="M5610">
        <v>0.99572640000000001</v>
      </c>
      <c r="N5610">
        <v>-1.359278E-2</v>
      </c>
      <c r="O5610">
        <v>-9.1347629999999999E-2</v>
      </c>
      <c r="P5610">
        <v>0.91255339999999996</v>
      </c>
      <c r="Q5610">
        <v>0.39347100000000002</v>
      </c>
      <c r="R5610">
        <v>0.1114759</v>
      </c>
      <c r="S5610">
        <v>3.4513699999999998</v>
      </c>
      <c r="T5610">
        <v>-0.45975690000000002</v>
      </c>
      <c r="U5610">
        <v>0.27310180000000001</v>
      </c>
      <c r="V5610">
        <v>-0.19637869999999999</v>
      </c>
      <c r="W5610">
        <v>0.40468330000000002</v>
      </c>
      <c r="X5610">
        <v>0.89312199999999997</v>
      </c>
      <c r="Y5610">
        <v>-0.16735359999999999</v>
      </c>
      <c r="Z5610">
        <v>2.3084489999999999E-2</v>
      </c>
      <c r="AA5610">
        <v>0.98562660000000002</v>
      </c>
      <c r="AB5610">
        <v>39</v>
      </c>
      <c r="AC5610">
        <v>8.1299999999999599</v>
      </c>
      <c r="AD5610">
        <v>-1.1126539450720001</v>
      </c>
      <c r="AE5610">
        <v>0.68081000000000103</v>
      </c>
      <c r="AF5610">
        <v>-1.3947460604981601</v>
      </c>
      <c r="AG5610">
        <v>-1.1126539450720001</v>
      </c>
      <c r="AH5610">
        <v>7.8871092848478304</v>
      </c>
      <c r="AI5610">
        <v>97.908747556474495</v>
      </c>
      <c r="AJ5610">
        <v>100.028432129066</v>
      </c>
      <c r="AK5610">
        <v>8.0863964932404997</v>
      </c>
      <c r="AL5610">
        <v>66.1287183240605</v>
      </c>
      <c r="AM5610">
        <v>102.400801205967</v>
      </c>
      <c r="AN5610">
        <v>1.00000003699828</v>
      </c>
    </row>
    <row r="5611" spans="1:40" x14ac:dyDescent="0.25">
      <c r="A5611" t="str">
        <f>"20190304164520957"</f>
        <v>20190304164520957</v>
      </c>
      <c r="B5611" t="str">
        <f>"1551689120945598"</f>
        <v>1551689120945598</v>
      </c>
      <c r="C5611" t="s">
        <v>40</v>
      </c>
      <c r="D5611">
        <v>5.3605049999999999</v>
      </c>
      <c r="E5611">
        <v>0.52633660000000004</v>
      </c>
      <c r="F5611" t="s">
        <v>55</v>
      </c>
      <c r="G5611">
        <v>-248.38759999999999</v>
      </c>
      <c r="H5611" s="1">
        <v>-2.8425119999999998E-6</v>
      </c>
      <c r="I5611">
        <v>-61.350050000000003</v>
      </c>
      <c r="J5611">
        <v>-256.58769999999998</v>
      </c>
      <c r="K5611">
        <v>1.1126049999999901</v>
      </c>
      <c r="L5611">
        <v>-62.030909999999999</v>
      </c>
      <c r="M5611">
        <v>0.99578949999999999</v>
      </c>
      <c r="N5611">
        <v>-1.36303E-2</v>
      </c>
      <c r="O5611">
        <v>-9.0651689999999993E-2</v>
      </c>
      <c r="P5611">
        <v>0.91236470000000003</v>
      </c>
      <c r="Q5611">
        <v>0.39396249999999999</v>
      </c>
      <c r="R5611">
        <v>0.111285</v>
      </c>
      <c r="S5611">
        <v>3.4516450000000001</v>
      </c>
      <c r="T5611">
        <v>-0.45835759999999998</v>
      </c>
      <c r="U5611">
        <v>0.27395629999999999</v>
      </c>
      <c r="V5611">
        <v>-0.1954922</v>
      </c>
      <c r="W5611">
        <v>0.40523789999999998</v>
      </c>
      <c r="X5611">
        <v>0.893065</v>
      </c>
      <c r="Y5611">
        <v>-0.1669244</v>
      </c>
      <c r="Z5611">
        <v>2.2898700000000001E-2</v>
      </c>
      <c r="AA5611">
        <v>0.98570380000000002</v>
      </c>
      <c r="AB5611">
        <v>39</v>
      </c>
      <c r="AC5611">
        <v>8.2000999999999902</v>
      </c>
      <c r="AD5611">
        <v>-1.1126078425119901</v>
      </c>
      <c r="AE5611">
        <v>0.68085999999999502</v>
      </c>
      <c r="AF5611">
        <v>-1.39595493382516</v>
      </c>
      <c r="AG5611">
        <v>-1.1126078425119901</v>
      </c>
      <c r="AH5611">
        <v>7.9590834374124997</v>
      </c>
      <c r="AI5611">
        <v>97.839714585767197</v>
      </c>
      <c r="AJ5611">
        <v>99.948004279198599</v>
      </c>
      <c r="AK5611">
        <v>8.1568128305229592</v>
      </c>
      <c r="AL5611">
        <v>66.093964599908205</v>
      </c>
      <c r="AM5611">
        <v>102.347305536916</v>
      </c>
      <c r="AN5611">
        <v>1.0000000250411201</v>
      </c>
    </row>
    <row r="5612" spans="1:40" x14ac:dyDescent="0.25">
      <c r="A5612" t="str">
        <f>"20190304164520967"</f>
        <v>20190304164520967</v>
      </c>
      <c r="B5612" t="str">
        <f>"1551689120955357"</f>
        <v>1551689120955357</v>
      </c>
      <c r="C5612" t="s">
        <v>40</v>
      </c>
      <c r="D5612">
        <v>5.3228900000000001</v>
      </c>
      <c r="E5612">
        <v>0.52630779999999999</v>
      </c>
      <c r="F5612" t="s">
        <v>55</v>
      </c>
      <c r="G5612">
        <v>-248.20089999999999</v>
      </c>
      <c r="H5612" s="1">
        <v>-2.7693790000000002E-6</v>
      </c>
      <c r="I5612">
        <v>-61.376139999999999</v>
      </c>
      <c r="J5612">
        <v>-256.41030000000001</v>
      </c>
      <c r="K5612">
        <v>1.1125659999999999</v>
      </c>
      <c r="L5612">
        <v>-62.046390000000002</v>
      </c>
      <c r="M5612">
        <v>0.99585100000000004</v>
      </c>
      <c r="N5612">
        <v>-1.3664219999999999E-2</v>
      </c>
      <c r="O5612">
        <v>-8.9967229999999995E-2</v>
      </c>
      <c r="P5612">
        <v>0.91211390000000003</v>
      </c>
      <c r="Q5612">
        <v>0.3944877</v>
      </c>
      <c r="R5612">
        <v>0.1114807</v>
      </c>
      <c r="S5612">
        <v>3.4530789999999998</v>
      </c>
      <c r="T5612">
        <v>-0.45809129999999998</v>
      </c>
      <c r="U5612">
        <v>0.26956180000000002</v>
      </c>
      <c r="V5612">
        <v>-0.19500310000000001</v>
      </c>
      <c r="W5612">
        <v>0.40581590000000001</v>
      </c>
      <c r="X5612">
        <v>0.89290949999999902</v>
      </c>
      <c r="Y5612">
        <v>-0.16499520000000001</v>
      </c>
      <c r="Z5612">
        <v>2.2655310000000001E-2</v>
      </c>
      <c r="AA5612">
        <v>0.98603419999999997</v>
      </c>
      <c r="AB5612">
        <v>39</v>
      </c>
      <c r="AC5612">
        <v>8.2094000000000094</v>
      </c>
      <c r="AD5612">
        <v>-1.1125687693789901</v>
      </c>
      <c r="AE5612">
        <v>0.67025000000000201</v>
      </c>
      <c r="AF5612">
        <v>-1.3809812685507299</v>
      </c>
      <c r="AG5612">
        <v>-1.1125687693789901</v>
      </c>
      <c r="AH5612">
        <v>7.97037615087405</v>
      </c>
      <c r="AI5612">
        <v>97.831256217482903</v>
      </c>
      <c r="AJ5612">
        <v>99.829721346204707</v>
      </c>
      <c r="AK5612">
        <v>8.1652810433632492</v>
      </c>
      <c r="AL5612">
        <v>66.057735898498507</v>
      </c>
      <c r="AM5612">
        <v>102.319437653636</v>
      </c>
      <c r="AN5612">
        <v>1.0000000644463301</v>
      </c>
    </row>
    <row r="5613" spans="1:40" x14ac:dyDescent="0.25">
      <c r="A5613" t="str">
        <f>"20190304164520978"</f>
        <v>20190304164520978</v>
      </c>
      <c r="B5613" t="str">
        <f>"1551689120975853"</f>
        <v>1551689120975853</v>
      </c>
      <c r="C5613" t="s">
        <v>40</v>
      </c>
      <c r="D5613">
        <v>5.4781779999999998</v>
      </c>
      <c r="E5613">
        <v>0.53004039999999997</v>
      </c>
      <c r="F5613" t="s">
        <v>55</v>
      </c>
      <c r="G5613">
        <v>-248.0172</v>
      </c>
      <c r="H5613" s="1">
        <v>-2.6951700000000001E-6</v>
      </c>
      <c r="I5613">
        <v>-61.39349</v>
      </c>
      <c r="J5613">
        <v>-256.22140000000002</v>
      </c>
      <c r="K5613">
        <v>1.1125210000000001</v>
      </c>
      <c r="L5613">
        <v>-62.062769999999901</v>
      </c>
      <c r="M5613">
        <v>0.99591589999999997</v>
      </c>
      <c r="N5613">
        <v>-1.369859E-2</v>
      </c>
      <c r="O5613">
        <v>-8.9240219999999995E-2</v>
      </c>
      <c r="P5613">
        <v>0.91181650000000003</v>
      </c>
      <c r="Q5613">
        <v>0.39506839999999999</v>
      </c>
      <c r="R5613">
        <v>0.1118555</v>
      </c>
      <c r="S5613">
        <v>3.454269</v>
      </c>
      <c r="T5613">
        <v>-0.45788820000000002</v>
      </c>
      <c r="U5613">
        <v>0.26867679999999999</v>
      </c>
      <c r="V5613">
        <v>-0.19465070000000001</v>
      </c>
      <c r="W5613">
        <v>0.40644809999999998</v>
      </c>
      <c r="X5613">
        <v>0.89269880000000001</v>
      </c>
      <c r="Y5613">
        <v>-0.16401589999999999</v>
      </c>
      <c r="Z5613">
        <v>2.2480449999999999E-2</v>
      </c>
      <c r="AA5613">
        <v>0.98620149999999995</v>
      </c>
      <c r="AB5613">
        <v>39</v>
      </c>
      <c r="AC5613">
        <v>8.2042000000000108</v>
      </c>
      <c r="AD5613">
        <v>-1.1125236951699999</v>
      </c>
      <c r="AE5613">
        <v>0.66927999999999299</v>
      </c>
      <c r="AF5613">
        <v>-1.37372869577658</v>
      </c>
      <c r="AG5613">
        <v>-1.1125236951699999</v>
      </c>
      <c r="AH5613">
        <v>7.9662097140295201</v>
      </c>
      <c r="AI5613">
        <v>97.836052448733696</v>
      </c>
      <c r="AJ5613">
        <v>99.784113126981694</v>
      </c>
      <c r="AK5613">
        <v>8.1599838670069094</v>
      </c>
      <c r="AL5613">
        <v>66.0180968649818</v>
      </c>
      <c r="AM5613">
        <v>102.30066690029901</v>
      </c>
      <c r="AN5613">
        <v>1.00000005026276</v>
      </c>
    </row>
    <row r="5614" spans="1:40" x14ac:dyDescent="0.25">
      <c r="A5614" t="str">
        <f>"20190304164520990"</f>
        <v>20190304164520990</v>
      </c>
      <c r="B5614" t="str">
        <f>"1551689120986165"</f>
        <v>1551689120986165</v>
      </c>
      <c r="C5614" t="s">
        <v>40</v>
      </c>
      <c r="D5614">
        <v>5.384341</v>
      </c>
      <c r="E5614">
        <v>0.53004039999999997</v>
      </c>
      <c r="F5614" t="s">
        <v>55</v>
      </c>
      <c r="G5614">
        <v>-247.83519999999999</v>
      </c>
      <c r="H5614" s="1">
        <v>-2.6409680000000002E-6</v>
      </c>
      <c r="I5614">
        <v>-61.4831199999999</v>
      </c>
      <c r="J5614">
        <v>-256.02429999999998</v>
      </c>
      <c r="K5614">
        <v>1.1124849999999999</v>
      </c>
      <c r="L5614">
        <v>-62.079740000000001</v>
      </c>
      <c r="M5614">
        <v>0.99598310000000001</v>
      </c>
      <c r="N5614">
        <v>-1.3731699999999999E-2</v>
      </c>
      <c r="O5614">
        <v>-8.8483870000000006E-2</v>
      </c>
      <c r="P5614">
        <v>0.91156579999999998</v>
      </c>
      <c r="Q5614">
        <v>0.3954936</v>
      </c>
      <c r="R5614">
        <v>0.11239639999999999</v>
      </c>
      <c r="S5614">
        <v>3.4596559999999998</v>
      </c>
      <c r="T5614">
        <v>-0.45896150000000002</v>
      </c>
      <c r="U5614">
        <v>0.23910519999999999</v>
      </c>
      <c r="V5614">
        <v>-0.19444449999999999</v>
      </c>
      <c r="W5614">
        <v>0.40692210000000001</v>
      </c>
      <c r="X5614">
        <v>0.89252779999999998</v>
      </c>
      <c r="Y5614">
        <v>-0.15484589999999901</v>
      </c>
      <c r="Z5614">
        <v>2.174535E-2</v>
      </c>
      <c r="AA5614">
        <v>0.98769929999999995</v>
      </c>
      <c r="AB5614">
        <v>39</v>
      </c>
      <c r="AC5614">
        <v>8.1890999999999892</v>
      </c>
      <c r="AD5614">
        <v>-1.112487640968</v>
      </c>
      <c r="AE5614">
        <v>0.59662000000000803</v>
      </c>
      <c r="AF5614">
        <v>-1.29517440170336</v>
      </c>
      <c r="AG5614">
        <v>-1.112487640968</v>
      </c>
      <c r="AH5614">
        <v>7.9580845222243797</v>
      </c>
      <c r="AI5614">
        <v>97.855953785049607</v>
      </c>
      <c r="AJ5614">
        <v>99.2438140916652</v>
      </c>
      <c r="AK5614">
        <v>8.1391777683622006</v>
      </c>
      <c r="AL5614">
        <v>65.988369674683199</v>
      </c>
      <c r="AM5614">
        <v>102.290315221794</v>
      </c>
      <c r="AN5614">
        <v>1.00000006641074</v>
      </c>
    </row>
    <row r="5615" spans="1:40" x14ac:dyDescent="0.25">
      <c r="A5615" t="str">
        <f>"20190304164521001"</f>
        <v>20190304164521001</v>
      </c>
      <c r="B5615" t="str">
        <f>"1551689120995925"</f>
        <v>1551689120995925</v>
      </c>
      <c r="C5615" t="s">
        <v>40</v>
      </c>
      <c r="D5615">
        <v>5.3761729999999996</v>
      </c>
      <c r="E5615">
        <v>0.55472429999999995</v>
      </c>
      <c r="F5615" t="s">
        <v>55</v>
      </c>
      <c r="G5615">
        <v>-247.6062</v>
      </c>
      <c r="H5615" s="1">
        <v>-2.546165E-6</v>
      </c>
      <c r="I5615">
        <v>-61.49606</v>
      </c>
      <c r="J5615">
        <v>-255.82159999999999</v>
      </c>
      <c r="K5615">
        <v>1.1124510000000001</v>
      </c>
      <c r="L5615">
        <v>-62.097019999999901</v>
      </c>
      <c r="M5615">
        <v>0.99605140000000003</v>
      </c>
      <c r="N5615">
        <v>-1.3762959999999999E-2</v>
      </c>
      <c r="O5615">
        <v>-8.7705900000000003E-2</v>
      </c>
      <c r="P5615">
        <v>0.91126560000000001</v>
      </c>
      <c r="Q5615">
        <v>0.39605479999999998</v>
      </c>
      <c r="R5615">
        <v>0.1128536</v>
      </c>
      <c r="S5615">
        <v>3.4598390000000001</v>
      </c>
      <c r="T5615">
        <v>-0.45723510000000001</v>
      </c>
      <c r="U5615">
        <v>0.2398682</v>
      </c>
      <c r="V5615">
        <v>-0.19413549999999999</v>
      </c>
      <c r="W5615">
        <v>0.40752830000000001</v>
      </c>
      <c r="X5615">
        <v>0.89231839999999996</v>
      </c>
      <c r="Y5615">
        <v>-0.15431420000000001</v>
      </c>
      <c r="Z5615">
        <v>2.1532039999999999E-2</v>
      </c>
      <c r="AA5615">
        <v>0.98778719999999998</v>
      </c>
      <c r="AB5615">
        <v>39</v>
      </c>
      <c r="AC5615">
        <v>8.2153999999999794</v>
      </c>
      <c r="AD5615">
        <v>-1.112453546165</v>
      </c>
      <c r="AE5615">
        <v>0.60095999999999306</v>
      </c>
      <c r="AF5615">
        <v>-1.2956208085999501</v>
      </c>
      <c r="AG5615">
        <v>-1.112453546165</v>
      </c>
      <c r="AH5615">
        <v>7.9853812904676102</v>
      </c>
      <c r="AI5615">
        <v>97.829808702758001</v>
      </c>
      <c r="AJ5615">
        <v>99.215879182407505</v>
      </c>
      <c r="AK5615">
        <v>8.1659353736239204</v>
      </c>
      <c r="AL5615">
        <v>65.950339684879495</v>
      </c>
      <c r="AM5615">
        <v>102.274168859859</v>
      </c>
      <c r="AN5615">
        <v>1.00000001731985</v>
      </c>
    </row>
    <row r="5616" spans="1:40" x14ac:dyDescent="0.25">
      <c r="A5616" t="str">
        <f>"20190304164521011"</f>
        <v>20190304164521011</v>
      </c>
      <c r="B5616" t="str">
        <f>"1551689121005685"</f>
        <v>1551689121005685</v>
      </c>
      <c r="C5616" t="s">
        <v>40</v>
      </c>
      <c r="D5616">
        <v>5.6354850000000001</v>
      </c>
      <c r="E5616">
        <v>0.55566569999999904</v>
      </c>
      <c r="F5616" t="s">
        <v>55</v>
      </c>
      <c r="G5616">
        <v>-248.14230000000001</v>
      </c>
      <c r="H5616" s="1">
        <v>-2.9073990000000001E-6</v>
      </c>
      <c r="I5616">
        <v>-61.989359999999998</v>
      </c>
      <c r="J5616">
        <v>-255.63720000000001</v>
      </c>
      <c r="K5616">
        <v>1.112417</v>
      </c>
      <c r="L5616">
        <v>-62.112609999999997</v>
      </c>
      <c r="M5616">
        <v>0.99611309999999997</v>
      </c>
      <c r="N5616">
        <v>-1.379007E-2</v>
      </c>
      <c r="O5616">
        <v>-8.6997950000000004E-2</v>
      </c>
      <c r="P5616">
        <v>0.91096639999999995</v>
      </c>
      <c r="Q5616">
        <v>0.396588</v>
      </c>
      <c r="R5616">
        <v>0.11339539999999999</v>
      </c>
      <c r="S5616">
        <v>3.5068510000000002</v>
      </c>
      <c r="T5616">
        <v>-0.50801439999999998</v>
      </c>
      <c r="U5616">
        <v>4.9133299999999998E-2</v>
      </c>
      <c r="V5616">
        <v>-0.19398000000000001</v>
      </c>
      <c r="W5616">
        <v>0.40809909999999999</v>
      </c>
      <c r="X5616">
        <v>0.89209130000000003</v>
      </c>
      <c r="Y5616">
        <v>-9.9078410000000006E-2</v>
      </c>
      <c r="Z5616">
        <v>1.91576E-2</v>
      </c>
      <c r="AA5616">
        <v>0.99489519999999998</v>
      </c>
      <c r="AB5616">
        <v>39</v>
      </c>
      <c r="AC5616">
        <v>7.4949000000000003</v>
      </c>
      <c r="AD5616">
        <v>-1.112419907399</v>
      </c>
      <c r="AE5616">
        <v>0.123249999999998</v>
      </c>
      <c r="AF5616">
        <v>-0.75818749037791</v>
      </c>
      <c r="AG5616">
        <v>-1.112419907399</v>
      </c>
      <c r="AH5616">
        <v>7.2950899153290596</v>
      </c>
      <c r="AI5616">
        <v>98.624427359665106</v>
      </c>
      <c r="AJ5616">
        <v>95.933516623608597</v>
      </c>
      <c r="AK5616">
        <v>7.4182655111339102</v>
      </c>
      <c r="AL5616">
        <v>65.914520995978293</v>
      </c>
      <c r="AM5616">
        <v>102.267662781193</v>
      </c>
      <c r="AN5616">
        <v>1.00000000167825</v>
      </c>
    </row>
    <row r="5617" spans="1:40" x14ac:dyDescent="0.25">
      <c r="A5617" t="str">
        <f>"20190304164521024"</f>
        <v>20190304164521024</v>
      </c>
      <c r="B5617" t="str">
        <f>"1551689121015445"</f>
        <v>1551689121015445</v>
      </c>
      <c r="C5617" t="s">
        <v>40</v>
      </c>
      <c r="D5617">
        <v>5.4890410000000003</v>
      </c>
      <c r="E5617">
        <v>0.55647100000000005</v>
      </c>
      <c r="F5617" t="s">
        <v>55</v>
      </c>
      <c r="G5617">
        <v>-247.7859</v>
      </c>
      <c r="H5617" s="1">
        <v>-2.7619659999999999E-6</v>
      </c>
      <c r="I5617">
        <v>-62.017299999999999</v>
      </c>
      <c r="J5617">
        <v>-255.44030000000001</v>
      </c>
      <c r="K5617">
        <v>1.112392</v>
      </c>
      <c r="L5617">
        <v>-62.129089999999998</v>
      </c>
      <c r="M5617">
        <v>0.99617849999999997</v>
      </c>
      <c r="N5617">
        <v>-1.3815799999999901E-2</v>
      </c>
      <c r="O5617">
        <v>-8.6240849999999994E-2</v>
      </c>
      <c r="P5617">
        <v>0.91081699999999999</v>
      </c>
      <c r="Q5617">
        <v>0.39673750000000002</v>
      </c>
      <c r="R5617">
        <v>0.1140698</v>
      </c>
      <c r="S5617">
        <v>3.5040589999999998</v>
      </c>
      <c r="T5617">
        <v>-0.49647770000000002</v>
      </c>
      <c r="U5617">
        <v>4.2510989999999999E-2</v>
      </c>
      <c r="V5617">
        <v>-0.1939266</v>
      </c>
      <c r="W5617">
        <v>0.40828579999999998</v>
      </c>
      <c r="X5617">
        <v>0.89201749999999902</v>
      </c>
      <c r="Y5617">
        <v>-9.656911E-2</v>
      </c>
      <c r="Z5617">
        <v>1.8438880000000001E-2</v>
      </c>
      <c r="AA5617">
        <v>0.99515549999999997</v>
      </c>
      <c r="AB5617">
        <v>39</v>
      </c>
      <c r="AC5617">
        <v>7.6544000000000096</v>
      </c>
      <c r="AD5617">
        <v>-1.112394761966</v>
      </c>
      <c r="AE5617">
        <v>0.111790000000006</v>
      </c>
      <c r="AF5617">
        <v>-0.75560340867376197</v>
      </c>
      <c r="AG5617">
        <v>-1.112394761966</v>
      </c>
      <c r="AH5617">
        <v>7.4587393161928102</v>
      </c>
      <c r="AI5617">
        <v>98.439986652309997</v>
      </c>
      <c r="AJ5617">
        <v>95.784582451383002</v>
      </c>
      <c r="AK5617">
        <v>7.5789940496459796</v>
      </c>
      <c r="AL5617">
        <v>65.9028036884351</v>
      </c>
      <c r="AM5617">
        <v>102.26537185793499</v>
      </c>
      <c r="AN5617">
        <v>1.00000002048772</v>
      </c>
    </row>
    <row r="5618" spans="1:40" x14ac:dyDescent="0.25">
      <c r="A5618" t="str">
        <f>"20190304164521033"</f>
        <v>20190304164521033</v>
      </c>
      <c r="B5618" t="str">
        <f>"1551689121026181"</f>
        <v>1551689121026181</v>
      </c>
      <c r="C5618" t="s">
        <v>40</v>
      </c>
      <c r="D5618">
        <v>5.3375199999999996</v>
      </c>
      <c r="E5618">
        <v>0.55720479999999994</v>
      </c>
      <c r="F5618" t="s">
        <v>55</v>
      </c>
      <c r="G5618">
        <v>-247.51240000000001</v>
      </c>
      <c r="H5618" s="1">
        <v>-2.651419E-6</v>
      </c>
      <c r="I5618">
        <v>-62.042839999999998</v>
      </c>
      <c r="J5618">
        <v>-255.2619</v>
      </c>
      <c r="K5618">
        <v>1.1123689999999999</v>
      </c>
      <c r="L5618">
        <v>-62.143979999999999</v>
      </c>
      <c r="M5618">
        <v>0.99623740000000005</v>
      </c>
      <c r="N5618">
        <v>-1.383859E-2</v>
      </c>
      <c r="O5618">
        <v>-8.5554759999999994E-2</v>
      </c>
      <c r="P5618">
        <v>0.91053580000000001</v>
      </c>
      <c r="Q5618">
        <v>0.39711210000000002</v>
      </c>
      <c r="R5618">
        <v>0.11500829999999999</v>
      </c>
      <c r="S5618">
        <v>3.503098</v>
      </c>
      <c r="T5618">
        <v>-0.49153479999999999</v>
      </c>
      <c r="U5618">
        <v>3.8085939999999999E-2</v>
      </c>
      <c r="V5618">
        <v>-0.19419400000000001</v>
      </c>
      <c r="W5618">
        <v>0.40868890000000002</v>
      </c>
      <c r="X5618">
        <v>0.89177469999999903</v>
      </c>
      <c r="Y5618">
        <v>-9.4690060000000006E-2</v>
      </c>
      <c r="Z5618">
        <v>1.8025699999999999E-2</v>
      </c>
      <c r="AA5618">
        <v>0.9953436</v>
      </c>
      <c r="AB5618">
        <v>39</v>
      </c>
      <c r="AC5618">
        <v>7.7494999999999798</v>
      </c>
      <c r="AD5618">
        <v>-1.1123716514190001</v>
      </c>
      <c r="AE5618">
        <v>0.10113999999999999</v>
      </c>
      <c r="AF5618">
        <v>-0.74842129720318495</v>
      </c>
      <c r="AG5618">
        <v>-1.1123716514190001</v>
      </c>
      <c r="AH5618">
        <v>7.5567537695972398</v>
      </c>
      <c r="AI5618">
        <v>98.333737375275803</v>
      </c>
      <c r="AJ5618">
        <v>95.656131654657798</v>
      </c>
      <c r="AK5618">
        <v>7.6747659679830003</v>
      </c>
      <c r="AL5618">
        <v>65.877500417446598</v>
      </c>
      <c r="AM5618">
        <v>102.285013616803</v>
      </c>
      <c r="AN5618">
        <v>1.00000002108964</v>
      </c>
    </row>
    <row r="5619" spans="1:40" x14ac:dyDescent="0.25">
      <c r="A5619" t="str">
        <f>"20190304164521045"</f>
        <v>20190304164521045</v>
      </c>
      <c r="B5619" t="str">
        <f>"1551689121035941"</f>
        <v>1551689121035941</v>
      </c>
      <c r="C5619" t="s">
        <v>40</v>
      </c>
      <c r="D5619">
        <v>5.4074770000000001</v>
      </c>
      <c r="E5619">
        <v>0.55707399999999996</v>
      </c>
      <c r="F5619" t="s">
        <v>55</v>
      </c>
      <c r="G5619">
        <v>-247.2705</v>
      </c>
      <c r="H5619" s="1">
        <v>-2.5524820000000001E-6</v>
      </c>
      <c r="I5619">
        <v>-62.061</v>
      </c>
      <c r="J5619">
        <v>-255.0607</v>
      </c>
      <c r="K5619">
        <v>1.112355</v>
      </c>
      <c r="L5619">
        <v>-62.160490000000003</v>
      </c>
      <c r="M5619">
        <v>0.9963031</v>
      </c>
      <c r="N5619">
        <v>-1.386098E-2</v>
      </c>
      <c r="O5619">
        <v>-8.4782239999999995E-2</v>
      </c>
      <c r="P5619">
        <v>0.91040030000000005</v>
      </c>
      <c r="Q5619">
        <v>0.3972118</v>
      </c>
      <c r="R5619">
        <v>0.1157333</v>
      </c>
      <c r="S5619">
        <v>3.5028380000000001</v>
      </c>
      <c r="T5619">
        <v>-0.48758580000000001</v>
      </c>
      <c r="U5619">
        <v>3.6346440000000001E-2</v>
      </c>
      <c r="V5619">
        <v>-0.1941831</v>
      </c>
      <c r="W5619">
        <v>0.40882069999999998</v>
      </c>
      <c r="X5619">
        <v>0.89171659999999997</v>
      </c>
      <c r="Y5619">
        <v>-9.3471100000000001E-2</v>
      </c>
      <c r="Z5619">
        <v>1.7689489999999999E-2</v>
      </c>
      <c r="AA5619">
        <v>0.99546489999999999</v>
      </c>
      <c r="AB5619">
        <v>39</v>
      </c>
      <c r="AC5619">
        <v>7.7901999999999898</v>
      </c>
      <c r="AD5619">
        <v>-1.112357552482</v>
      </c>
      <c r="AE5619">
        <v>9.9489999999995804E-2</v>
      </c>
      <c r="AF5619">
        <v>-0.74448901272888801</v>
      </c>
      <c r="AG5619">
        <v>-1.112357552482</v>
      </c>
      <c r="AH5619">
        <v>7.5988049959218298</v>
      </c>
      <c r="AI5619">
        <v>98.289007613354002</v>
      </c>
      <c r="AJ5619">
        <v>95.595665876289402</v>
      </c>
      <c r="AK5619">
        <v>7.7157916366815096</v>
      </c>
      <c r="AL5619">
        <v>65.869224652075204</v>
      </c>
      <c r="AM5619">
        <v>102.285121087877</v>
      </c>
      <c r="AN5619">
        <v>0.99999996789482903</v>
      </c>
    </row>
    <row r="5620" spans="1:40" x14ac:dyDescent="0.25">
      <c r="A5620" t="str">
        <f>"20190304164521058"</f>
        <v>20190304164521058</v>
      </c>
      <c r="B5620" t="str">
        <f>"1551689121045701"</f>
        <v>1551689121045701</v>
      </c>
      <c r="C5620" t="s">
        <v>40</v>
      </c>
      <c r="D5620">
        <v>5.2911479999999997</v>
      </c>
      <c r="E5620">
        <v>0.55764559999999996</v>
      </c>
      <c r="F5620" t="s">
        <v>55</v>
      </c>
      <c r="G5620">
        <v>-247.15860000000001</v>
      </c>
      <c r="H5620" s="1">
        <v>-2.5062389999999998E-6</v>
      </c>
      <c r="I5620">
        <v>-62.067619999999998</v>
      </c>
      <c r="J5620">
        <v>-254.8526</v>
      </c>
      <c r="K5620">
        <v>1.1123350000000001</v>
      </c>
      <c r="L5620">
        <v>-62.177489999999999</v>
      </c>
      <c r="M5620">
        <v>0.99637039999999999</v>
      </c>
      <c r="N5620">
        <v>-1.3883110000000001E-2</v>
      </c>
      <c r="O5620">
        <v>-8.3984080000000003E-2</v>
      </c>
      <c r="P5620">
        <v>0.91021490000000005</v>
      </c>
      <c r="Q5620">
        <v>0.39723520000000001</v>
      </c>
      <c r="R5620">
        <v>0.1171026</v>
      </c>
      <c r="S5620">
        <v>3.5052949999999998</v>
      </c>
      <c r="T5620">
        <v>-0.49343160000000003</v>
      </c>
      <c r="U5620">
        <v>4.1168209999999997E-2</v>
      </c>
      <c r="V5620">
        <v>-0.1947875</v>
      </c>
      <c r="W5620">
        <v>0.4088717</v>
      </c>
      <c r="X5620">
        <v>0.89156139999999995</v>
      </c>
      <c r="Y5620">
        <v>-9.3998280000000003E-2</v>
      </c>
      <c r="Z5620">
        <v>1.783245E-2</v>
      </c>
      <c r="AA5620">
        <v>0.99541259999999998</v>
      </c>
      <c r="AB5620">
        <v>39</v>
      </c>
      <c r="AC5620">
        <v>7.6939999999999804</v>
      </c>
      <c r="AD5620">
        <v>-1.112337506239</v>
      </c>
      <c r="AE5620">
        <v>0.10987</v>
      </c>
      <c r="AF5620">
        <v>-0.74024869894100598</v>
      </c>
      <c r="AG5620">
        <v>-1.112337506239</v>
      </c>
      <c r="AH5620">
        <v>7.5008406386230497</v>
      </c>
      <c r="AI5620">
        <v>98.395007643239595</v>
      </c>
      <c r="AJ5620">
        <v>95.636199132398602</v>
      </c>
      <c r="AK5620">
        <v>7.6189154838526099</v>
      </c>
      <c r="AL5620">
        <v>65.866023132758897</v>
      </c>
      <c r="AM5620">
        <v>102.324271842096</v>
      </c>
      <c r="AN5620">
        <v>0.99999998359354902</v>
      </c>
    </row>
    <row r="5621" spans="1:40" x14ac:dyDescent="0.25">
      <c r="A5621" t="str">
        <f>"20190304164521071"</f>
        <v>20190304164521071</v>
      </c>
      <c r="B5621" t="str">
        <f>"1551689121066198"</f>
        <v>1551689121066198</v>
      </c>
      <c r="C5621" t="s">
        <v>40</v>
      </c>
      <c r="D5621">
        <v>5.3985269999999996</v>
      </c>
      <c r="E5621">
        <v>0.55728900000000003</v>
      </c>
      <c r="F5621" t="s">
        <v>55</v>
      </c>
      <c r="G5621">
        <v>-246.91370000000001</v>
      </c>
      <c r="H5621" s="1">
        <v>-2.404905E-6</v>
      </c>
      <c r="I5621">
        <v>-62.081620000000001</v>
      </c>
      <c r="J5621">
        <v>-254.63130000000001</v>
      </c>
      <c r="K5621">
        <v>1.1123149999999999</v>
      </c>
      <c r="L5621">
        <v>-62.195369999999997</v>
      </c>
      <c r="M5621">
        <v>0.99644109999999997</v>
      </c>
      <c r="N5621">
        <v>-1.390455E-2</v>
      </c>
      <c r="O5621">
        <v>-8.3137399999999903E-2</v>
      </c>
      <c r="P5621">
        <v>0.91013929999999998</v>
      </c>
      <c r="Q5621">
        <v>0.39713969999999998</v>
      </c>
      <c r="R5621">
        <v>0.11801209999999999</v>
      </c>
      <c r="S5621">
        <v>3.504791</v>
      </c>
      <c r="T5621">
        <v>-0.49106539999999999</v>
      </c>
      <c r="U5621">
        <v>4.2297359999999999E-2</v>
      </c>
      <c r="V5621">
        <v>-0.19489970000000001</v>
      </c>
      <c r="W5621">
        <v>0.40880640000000001</v>
      </c>
      <c r="X5621">
        <v>0.89156689999999905</v>
      </c>
      <c r="Y5621">
        <v>-9.3502769999999999E-2</v>
      </c>
      <c r="Z5621">
        <v>1.7603089999999998E-2</v>
      </c>
      <c r="AA5621">
        <v>0.9954634</v>
      </c>
      <c r="AB5621">
        <v>38</v>
      </c>
      <c r="AC5621">
        <v>7.7176</v>
      </c>
      <c r="AD5621">
        <v>-1.112317404905</v>
      </c>
      <c r="AE5621">
        <v>0.113750000000003</v>
      </c>
      <c r="AF5621">
        <v>-0.73967759106012398</v>
      </c>
      <c r="AG5621">
        <v>-1.112317404905</v>
      </c>
      <c r="AH5621">
        <v>7.5251359895739398</v>
      </c>
      <c r="AI5621">
        <v>98.368456669024795</v>
      </c>
      <c r="AJ5621">
        <v>95.613812200803807</v>
      </c>
      <c r="AK5621">
        <v>7.6427772837857804</v>
      </c>
      <c r="AL5621">
        <v>65.870124576287793</v>
      </c>
      <c r="AM5621">
        <v>102.3310799015</v>
      </c>
      <c r="AN5621">
        <v>1.00000005145832</v>
      </c>
    </row>
    <row r="5622" spans="1:40" x14ac:dyDescent="0.25">
      <c r="A5622" t="str">
        <f>"20190304164521082"</f>
        <v>20190304164521082</v>
      </c>
      <c r="B5622" t="str">
        <f>"1551689121075958"</f>
        <v>1551689121075958</v>
      </c>
      <c r="C5622" t="s">
        <v>40</v>
      </c>
      <c r="D5622">
        <v>5.3202099999999897</v>
      </c>
      <c r="E5622">
        <v>0.55705179999999999</v>
      </c>
      <c r="F5622" t="s">
        <v>55</v>
      </c>
      <c r="G5622">
        <v>-246.8109</v>
      </c>
      <c r="H5622" s="1">
        <v>-2.3614660000000001E-6</v>
      </c>
      <c r="I5622">
        <v>-62.084200000000003</v>
      </c>
      <c r="J5622">
        <v>-254.43879999999999</v>
      </c>
      <c r="K5622">
        <v>1.1123069999999999</v>
      </c>
      <c r="L5622">
        <v>-62.21078</v>
      </c>
      <c r="M5622">
        <v>0.99650190000000005</v>
      </c>
      <c r="N5622">
        <v>-1.3921309999999999E-2</v>
      </c>
      <c r="O5622">
        <v>-8.2404489999999997E-2</v>
      </c>
      <c r="P5622">
        <v>0.91000289999999995</v>
      </c>
      <c r="Q5622">
        <v>0.39710210000000001</v>
      </c>
      <c r="R5622">
        <v>0.11918430000000001</v>
      </c>
      <c r="S5622">
        <v>3.5074459999999998</v>
      </c>
      <c r="T5622">
        <v>-0.49887320000000002</v>
      </c>
      <c r="U5622">
        <v>4.9835209999999998E-2</v>
      </c>
      <c r="V5622">
        <v>-0.19537689999999999</v>
      </c>
      <c r="W5622">
        <v>0.40879070000000001</v>
      </c>
      <c r="X5622">
        <v>0.89146959999999997</v>
      </c>
      <c r="Y5622">
        <v>-9.4840359999999999E-2</v>
      </c>
      <c r="Z5622">
        <v>1.7884690000000002E-2</v>
      </c>
      <c r="AA5622">
        <v>0.99533179999999999</v>
      </c>
      <c r="AB5622">
        <v>38</v>
      </c>
      <c r="AC5622">
        <v>7.6278999999999799</v>
      </c>
      <c r="AD5622">
        <v>-1.112309361466</v>
      </c>
      <c r="AE5622">
        <v>0.12658000000000399</v>
      </c>
      <c r="AF5622">
        <v>-0.73907226463216902</v>
      </c>
      <c r="AG5622">
        <v>-1.112309361466</v>
      </c>
      <c r="AH5622">
        <v>7.4334994104646599</v>
      </c>
      <c r="AI5622">
        <v>98.469147386576495</v>
      </c>
      <c r="AJ5622">
        <v>95.677946340810607</v>
      </c>
      <c r="AK5622">
        <v>7.5525077565886596</v>
      </c>
      <c r="AL5622">
        <v>65.871109142811093</v>
      </c>
      <c r="AM5622">
        <v>102.36165242643899</v>
      </c>
      <c r="AN5622">
        <v>1.0000000085921299</v>
      </c>
    </row>
    <row r="5623" spans="1:40" x14ac:dyDescent="0.25">
      <c r="A5623" t="str">
        <f>"20190304164521093"</f>
        <v>20190304164521093</v>
      </c>
      <c r="B5623" t="str">
        <f>"1551689121085717"</f>
        <v>1551689121085717</v>
      </c>
      <c r="C5623" t="s">
        <v>40</v>
      </c>
      <c r="D5623">
        <v>5.4131519999999904</v>
      </c>
      <c r="E5623">
        <v>0.55697659999999904</v>
      </c>
      <c r="F5623" t="s">
        <v>55</v>
      </c>
      <c r="G5623">
        <v>-246.708</v>
      </c>
      <c r="H5623" s="1">
        <v>-2.3172110000000001E-6</v>
      </c>
      <c r="I5623">
        <v>-62.08381</v>
      </c>
      <c r="J5623">
        <v>-254.2388</v>
      </c>
      <c r="K5623">
        <v>1.1122920000000001</v>
      </c>
      <c r="L5623">
        <v>-62.226680000000002</v>
      </c>
      <c r="M5623">
        <v>0.99656409999999995</v>
      </c>
      <c r="N5623">
        <v>-1.393805E-2</v>
      </c>
      <c r="O5623">
        <v>-8.1644869999999994E-2</v>
      </c>
      <c r="P5623">
        <v>0.90985939999999998</v>
      </c>
      <c r="Q5623">
        <v>0.39711370000000001</v>
      </c>
      <c r="R5623">
        <v>0.1202361</v>
      </c>
      <c r="S5623">
        <v>3.5095209999999999</v>
      </c>
      <c r="T5623">
        <v>-0.50495249999999903</v>
      </c>
      <c r="U5623">
        <v>5.7617189999999999E-2</v>
      </c>
      <c r="V5623">
        <v>-0.19570899999999999</v>
      </c>
      <c r="W5623">
        <v>0.40882420000000003</v>
      </c>
      <c r="X5623">
        <v>0.89138139999999999</v>
      </c>
      <c r="Y5623">
        <v>-9.6229880000000004E-2</v>
      </c>
      <c r="Z5623">
        <v>1.8106230000000001E-2</v>
      </c>
      <c r="AA5623">
        <v>0.99519440000000003</v>
      </c>
      <c r="AB5623">
        <v>38</v>
      </c>
      <c r="AC5623">
        <v>7.5307999999999904</v>
      </c>
      <c r="AD5623">
        <v>-1.112294317211</v>
      </c>
      <c r="AE5623">
        <v>0.142870000000002</v>
      </c>
      <c r="AF5623">
        <v>-0.74114154369248197</v>
      </c>
      <c r="AG5623">
        <v>-1.112294317211</v>
      </c>
      <c r="AH5623">
        <v>7.33405216667638</v>
      </c>
      <c r="AI5623">
        <v>98.580805126780703</v>
      </c>
      <c r="AJ5623">
        <v>95.770426935380797</v>
      </c>
      <c r="AK5623">
        <v>7.4548514820496097</v>
      </c>
      <c r="AL5623">
        <v>65.869006245221101</v>
      </c>
      <c r="AM5623">
        <v>102.38320442720099</v>
      </c>
      <c r="AN5623">
        <v>1.0000000197262999</v>
      </c>
    </row>
    <row r="5624" spans="1:40" x14ac:dyDescent="0.25">
      <c r="A5624" t="str">
        <f>"20190304164521104"</f>
        <v>20190304164521104</v>
      </c>
      <c r="B5624" t="str">
        <f>"1551689121095477"</f>
        <v>1551689121095477</v>
      </c>
      <c r="C5624" t="s">
        <v>40</v>
      </c>
      <c r="D5624">
        <v>5.4610450000000004</v>
      </c>
      <c r="E5624">
        <v>0.55686009999999997</v>
      </c>
      <c r="F5624" t="s">
        <v>55</v>
      </c>
      <c r="G5624">
        <v>-246.52010000000001</v>
      </c>
      <c r="H5624" s="1">
        <v>-2.2384500000000001E-6</v>
      </c>
      <c r="I5624">
        <v>-62.090649999999997</v>
      </c>
      <c r="J5624">
        <v>-254.0615</v>
      </c>
      <c r="K5624">
        <v>1.1122799999999999</v>
      </c>
      <c r="L5624">
        <v>-62.240569999999998</v>
      </c>
      <c r="M5624">
        <v>0.99661840000000002</v>
      </c>
      <c r="N5624">
        <v>-1.3950880000000001E-2</v>
      </c>
      <c r="O5624">
        <v>-8.0977939999999998E-2</v>
      </c>
      <c r="P5624">
        <v>0.9097037</v>
      </c>
      <c r="Q5624">
        <v>0.39706560000000002</v>
      </c>
      <c r="R5624">
        <v>0.1215662</v>
      </c>
      <c r="S5624">
        <v>3.509811</v>
      </c>
      <c r="T5624">
        <v>-0.50577780000000006</v>
      </c>
      <c r="U5624">
        <v>6.1828609999999999E-2</v>
      </c>
      <c r="V5624">
        <v>-0.19640540000000001</v>
      </c>
      <c r="W5624">
        <v>0.40879070000000001</v>
      </c>
      <c r="X5624">
        <v>0.89124360000000002</v>
      </c>
      <c r="Y5624">
        <v>-9.6750509999999998E-2</v>
      </c>
      <c r="Z5624">
        <v>1.808918E-2</v>
      </c>
      <c r="AA5624">
        <v>0.99514420000000003</v>
      </c>
      <c r="AB5624">
        <v>38</v>
      </c>
      <c r="AC5624">
        <v>7.5413999999999799</v>
      </c>
      <c r="AD5624">
        <v>-1.11228223845</v>
      </c>
      <c r="AE5624">
        <v>0.149920000000001</v>
      </c>
      <c r="AF5624">
        <v>-0.74399592943853599</v>
      </c>
      <c r="AG5624">
        <v>-1.11228223845</v>
      </c>
      <c r="AH5624">
        <v>7.3447766828219496</v>
      </c>
      <c r="AI5624">
        <v>98.568166460710003</v>
      </c>
      <c r="AJ5624">
        <v>95.784099396562695</v>
      </c>
      <c r="AK5624">
        <v>7.4656845795625104</v>
      </c>
      <c r="AL5624">
        <v>65.871109847455202</v>
      </c>
      <c r="AM5624">
        <v>102.427763265469</v>
      </c>
      <c r="AN5624">
        <v>1.0000000360482999</v>
      </c>
    </row>
    <row r="5625" spans="1:40" x14ac:dyDescent="0.25">
      <c r="A5625" t="str">
        <f>"20190304164521113"</f>
        <v>20190304164521113</v>
      </c>
      <c r="B5625" t="str">
        <f>"1551689121106213"</f>
        <v>1551689121106213</v>
      </c>
      <c r="C5625" t="s">
        <v>40</v>
      </c>
      <c r="D5625">
        <v>5.3431240000000004</v>
      </c>
      <c r="E5625">
        <v>0.5569364</v>
      </c>
      <c r="F5625" t="s">
        <v>55</v>
      </c>
      <c r="G5625">
        <v>-246.35220000000001</v>
      </c>
      <c r="H5625" s="1">
        <v>-2.1671110000000001E-6</v>
      </c>
      <c r="I5625">
        <v>-62.093310000000002</v>
      </c>
      <c r="J5625">
        <v>-253.90379999999999</v>
      </c>
      <c r="K5625">
        <v>1.1122719999999999</v>
      </c>
      <c r="L5625">
        <v>-62.252929999999999</v>
      </c>
      <c r="M5625">
        <v>0.99666619999999995</v>
      </c>
      <c r="N5625">
        <v>-1.396231E-2</v>
      </c>
      <c r="O5625">
        <v>-8.0384410000000003E-2</v>
      </c>
      <c r="P5625">
        <v>0.90963680000000002</v>
      </c>
      <c r="Q5625">
        <v>0.39692090000000002</v>
      </c>
      <c r="R5625">
        <v>0.122535199999999</v>
      </c>
      <c r="S5625">
        <v>3.5098720000000001</v>
      </c>
      <c r="T5625">
        <v>-0.50639650000000003</v>
      </c>
      <c r="U5625">
        <v>6.7016599999999996E-2</v>
      </c>
      <c r="V5625">
        <v>-0.19681650000000001</v>
      </c>
      <c r="W5625">
        <v>0.408661</v>
      </c>
      <c r="X5625">
        <v>0.89121229999999996</v>
      </c>
      <c r="Y5625">
        <v>-9.7618860000000002E-2</v>
      </c>
      <c r="Z5625">
        <v>1.8102590000000002E-2</v>
      </c>
      <c r="AA5625">
        <v>0.99505929999999998</v>
      </c>
      <c r="AB5625">
        <v>38</v>
      </c>
      <c r="AC5625">
        <v>7.5515999999999703</v>
      </c>
      <c r="AD5625">
        <v>-1.1122741671109999</v>
      </c>
      <c r="AE5625">
        <v>0.15962000000001</v>
      </c>
      <c r="AF5625">
        <v>-0.74993143678579199</v>
      </c>
      <c r="AG5625">
        <v>-1.1122741671109999</v>
      </c>
      <c r="AH5625">
        <v>7.3548387093921903</v>
      </c>
      <c r="AI5625">
        <v>98.555990156724803</v>
      </c>
      <c r="AJ5625">
        <v>95.822006628447198</v>
      </c>
      <c r="AK5625">
        <v>7.47617572184308</v>
      </c>
      <c r="AL5625">
        <v>65.879250230700606</v>
      </c>
      <c r="AM5625">
        <v>102.45338907213799</v>
      </c>
      <c r="AN5625">
        <v>0.99999995563226896</v>
      </c>
    </row>
    <row r="5626" spans="1:40" x14ac:dyDescent="0.25">
      <c r="A5626" t="str">
        <f>"20190304164521124"</f>
        <v>20190304164521124</v>
      </c>
      <c r="B5626" t="str">
        <f>"1551689121115973"</f>
        <v>1551689121115973</v>
      </c>
      <c r="C5626" t="s">
        <v>40</v>
      </c>
      <c r="D5626">
        <v>5.3444609999999999</v>
      </c>
      <c r="E5626">
        <v>0.55703719999999901</v>
      </c>
      <c r="F5626" t="s">
        <v>55</v>
      </c>
      <c r="G5626">
        <v>-246.20189999999999</v>
      </c>
      <c r="H5626" s="1">
        <v>-2.1048780000000002E-6</v>
      </c>
      <c r="I5626">
        <v>-62.101730000000003</v>
      </c>
      <c r="J5626">
        <v>-253.72790000000001</v>
      </c>
      <c r="K5626">
        <v>1.1122650000000001</v>
      </c>
      <c r="L5626">
        <v>-62.266509999999997</v>
      </c>
      <c r="M5626">
        <v>0.99671860000000001</v>
      </c>
      <c r="N5626">
        <v>-1.3973309999999999E-2</v>
      </c>
      <c r="O5626">
        <v>-7.9729729999999999E-2</v>
      </c>
      <c r="P5626">
        <v>0.90928399999999998</v>
      </c>
      <c r="Q5626">
        <v>0.39737820000000001</v>
      </c>
      <c r="R5626">
        <v>0.1236656</v>
      </c>
      <c r="S5626">
        <v>3.5099179999999999</v>
      </c>
      <c r="T5626">
        <v>-0.50688889999999998</v>
      </c>
      <c r="U5626">
        <v>6.8878170000000002E-2</v>
      </c>
      <c r="V5626">
        <v>-0.19731299999999999</v>
      </c>
      <c r="W5626">
        <v>0.40912920000000003</v>
      </c>
      <c r="X5626">
        <v>0.89088769999999995</v>
      </c>
      <c r="Y5626">
        <v>-9.7496070000000004E-2</v>
      </c>
      <c r="Z5626">
        <v>1.8025429999999999E-2</v>
      </c>
      <c r="AA5626">
        <v>0.99507270000000003</v>
      </c>
      <c r="AB5626">
        <v>38</v>
      </c>
      <c r="AC5626">
        <v>7.5260000000000096</v>
      </c>
      <c r="AD5626">
        <v>-1.112267104878</v>
      </c>
      <c r="AE5626">
        <v>0.16477999999999299</v>
      </c>
      <c r="AF5626">
        <v>-0.74802931671601203</v>
      </c>
      <c r="AG5626">
        <v>-1.112267104878</v>
      </c>
      <c r="AH5626">
        <v>7.3288971836951502</v>
      </c>
      <c r="AI5626">
        <v>98.585684292226603</v>
      </c>
      <c r="AJ5626">
        <v>95.827755349124502</v>
      </c>
      <c r="AK5626">
        <v>7.4504644083731399</v>
      </c>
      <c r="AL5626">
        <v>65.849855970430994</v>
      </c>
      <c r="AM5626">
        <v>102.488226854876</v>
      </c>
      <c r="AN5626">
        <v>1.00000000813646</v>
      </c>
    </row>
    <row r="5627" spans="1:40" x14ac:dyDescent="0.25">
      <c r="A5627" t="str">
        <f>"20190304164521134"</f>
        <v>20190304164521134</v>
      </c>
      <c r="B5627" t="str">
        <f>"1551689121125733"</f>
        <v>1551689121125733</v>
      </c>
      <c r="C5627" t="s">
        <v>40</v>
      </c>
      <c r="D5627">
        <v>5.3581440000000002</v>
      </c>
      <c r="E5627">
        <v>0.55712469999999903</v>
      </c>
      <c r="F5627" t="s">
        <v>55</v>
      </c>
      <c r="G5627">
        <v>-245.99889999999999</v>
      </c>
      <c r="H5627" s="1">
        <v>-2.0195969999999998E-6</v>
      </c>
      <c r="I5627">
        <v>-62.108539999999998</v>
      </c>
      <c r="J5627">
        <v>-253.5454</v>
      </c>
      <c r="K5627">
        <v>1.1122570000000001</v>
      </c>
      <c r="L5627">
        <v>-62.280549999999998</v>
      </c>
      <c r="M5627">
        <v>0.9967724</v>
      </c>
      <c r="N5627">
        <v>-1.398457E-2</v>
      </c>
      <c r="O5627">
        <v>-7.9052170000000005E-2</v>
      </c>
      <c r="P5627">
        <v>0.90895530000000002</v>
      </c>
      <c r="Q5627">
        <v>0.39792529999999998</v>
      </c>
      <c r="R5627">
        <v>0.124322699999999</v>
      </c>
      <c r="S5627">
        <v>3.5103300000000002</v>
      </c>
      <c r="T5627">
        <v>-0.50516720000000004</v>
      </c>
      <c r="U5627">
        <v>7.1716310000000005E-2</v>
      </c>
      <c r="V5627">
        <v>-0.1973193</v>
      </c>
      <c r="W5627">
        <v>0.40969</v>
      </c>
      <c r="X5627">
        <v>0.89062859999999999</v>
      </c>
      <c r="Y5627">
        <v>-9.7638320000000001E-2</v>
      </c>
      <c r="Z5627">
        <v>1.788466E-2</v>
      </c>
      <c r="AA5627">
        <v>0.99506130000000004</v>
      </c>
      <c r="AB5627">
        <v>38</v>
      </c>
      <c r="AC5627">
        <v>7.5465</v>
      </c>
      <c r="AD5627">
        <v>-1.1122590195969999</v>
      </c>
      <c r="AE5627">
        <v>0.172009999999993</v>
      </c>
      <c r="AF5627">
        <v>-0.75177476319164205</v>
      </c>
      <c r="AG5627">
        <v>-1.1122590195969999</v>
      </c>
      <c r="AH5627">
        <v>7.3497043010382601</v>
      </c>
      <c r="AI5627">
        <v>98.5614892983928</v>
      </c>
      <c r="AJ5627">
        <v>95.840267352981996</v>
      </c>
      <c r="AK5627">
        <v>7.47130769905423</v>
      </c>
      <c r="AL5627">
        <v>65.8146387804331</v>
      </c>
      <c r="AM5627">
        <v>102.492132212013</v>
      </c>
      <c r="AN5627">
        <v>1.00000005269522</v>
      </c>
    </row>
    <row r="5628" spans="1:40" x14ac:dyDescent="0.25">
      <c r="A5628" t="str">
        <f>"20190304164521145"</f>
        <v>20190304164521145</v>
      </c>
      <c r="B5628" t="str">
        <f>"1551689121135493"</f>
        <v>1551689121135493</v>
      </c>
      <c r="C5628" t="s">
        <v>40</v>
      </c>
      <c r="D5628">
        <v>5.3601000000000001</v>
      </c>
      <c r="E5628">
        <v>0.55719839999999998</v>
      </c>
      <c r="F5628" t="s">
        <v>55</v>
      </c>
      <c r="G5628">
        <v>-245.79390000000001</v>
      </c>
      <c r="H5628" s="1">
        <v>-1.9344710000000001E-6</v>
      </c>
      <c r="I5628">
        <v>-62.119190000000003</v>
      </c>
      <c r="J5628">
        <v>-253.3563</v>
      </c>
      <c r="K5628">
        <v>1.112247</v>
      </c>
      <c r="L5628">
        <v>-62.294919999999998</v>
      </c>
      <c r="M5628">
        <v>0.99682720000000002</v>
      </c>
      <c r="N5628">
        <v>-1.399476E-2</v>
      </c>
      <c r="O5628">
        <v>-7.8357799999999894E-2</v>
      </c>
      <c r="P5628">
        <v>0.90874310000000003</v>
      </c>
      <c r="Q5628">
        <v>0.39819369999999998</v>
      </c>
      <c r="R5628">
        <v>0.1250117</v>
      </c>
      <c r="S5628">
        <v>3.5110320000000002</v>
      </c>
      <c r="T5628">
        <v>-0.50379059999999998</v>
      </c>
      <c r="U5628">
        <v>7.3059079999999998E-2</v>
      </c>
      <c r="V5628">
        <v>-0.19735169999999999</v>
      </c>
      <c r="W5628">
        <v>0.40997270000000002</v>
      </c>
      <c r="X5628">
        <v>0.89049120000000004</v>
      </c>
      <c r="Y5628">
        <v>-9.7341029999999995E-2</v>
      </c>
      <c r="Z5628">
        <v>1.771878E-2</v>
      </c>
      <c r="AA5628">
        <v>0.99509329999999996</v>
      </c>
      <c r="AB5628">
        <v>38</v>
      </c>
      <c r="AC5628">
        <v>7.5623999999999896</v>
      </c>
      <c r="AD5628">
        <v>-1.112248934471</v>
      </c>
      <c r="AE5628">
        <v>0.175729999999994</v>
      </c>
      <c r="AF5628">
        <v>-0.75157178377128298</v>
      </c>
      <c r="AG5628">
        <v>-1.112248934471</v>
      </c>
      <c r="AH5628">
        <v>7.3661186794594</v>
      </c>
      <c r="AI5628">
        <v>98.5428340869165</v>
      </c>
      <c r="AJ5628">
        <v>95.825780223729893</v>
      </c>
      <c r="AK5628">
        <v>7.4874336216272201</v>
      </c>
      <c r="AL5628">
        <v>65.796878655926804</v>
      </c>
      <c r="AM5628">
        <v>102.495986280577</v>
      </c>
      <c r="AN5628">
        <v>0.99999994275780801</v>
      </c>
    </row>
    <row r="5629" spans="1:40" x14ac:dyDescent="0.25">
      <c r="A5629" t="str">
        <f>"20190304164521156"</f>
        <v>20190304164521156</v>
      </c>
      <c r="B5629" t="str">
        <f>"1551689121146229"</f>
        <v>1551689121146229</v>
      </c>
      <c r="C5629" t="s">
        <v>40</v>
      </c>
      <c r="D5629">
        <v>5.3679319999999997</v>
      </c>
      <c r="E5629">
        <v>0.55730959999999996</v>
      </c>
      <c r="F5629" t="s">
        <v>55</v>
      </c>
      <c r="G5629">
        <v>-245.59360000000001</v>
      </c>
      <c r="H5629" s="1">
        <v>-1.851523E-6</v>
      </c>
      <c r="I5629">
        <v>-62.130249999999997</v>
      </c>
      <c r="J5629">
        <v>-253.16810000000001</v>
      </c>
      <c r="K5629">
        <v>1.112239</v>
      </c>
      <c r="L5629">
        <v>-62.309109999999997</v>
      </c>
      <c r="M5629">
        <v>0.99688080000000001</v>
      </c>
      <c r="N5629">
        <v>-1.40045E-2</v>
      </c>
      <c r="O5629">
        <v>-7.7669489999999994E-2</v>
      </c>
      <c r="P5629">
        <v>0.90845549999999997</v>
      </c>
      <c r="Q5629">
        <v>0.39865030000000001</v>
      </c>
      <c r="R5629">
        <v>0.1256448</v>
      </c>
      <c r="S5629">
        <v>3.5115050000000001</v>
      </c>
      <c r="T5629">
        <v>-0.50313770000000002</v>
      </c>
      <c r="U5629">
        <v>7.4462890000000004E-2</v>
      </c>
      <c r="V5629">
        <v>-0.19732849999999999</v>
      </c>
      <c r="W5629">
        <v>0.41044199999999997</v>
      </c>
      <c r="X5629">
        <v>0.89028019999999997</v>
      </c>
      <c r="Y5629">
        <v>-9.7062709999999996E-2</v>
      </c>
      <c r="Z5629">
        <v>1.7582670000000002E-2</v>
      </c>
      <c r="AA5629">
        <v>0.99512299999999998</v>
      </c>
      <c r="AB5629">
        <v>38</v>
      </c>
      <c r="AC5629">
        <v>7.5744999999999996</v>
      </c>
      <c r="AD5629">
        <v>-1.112240851523</v>
      </c>
      <c r="AE5629">
        <v>0.17885999999999999</v>
      </c>
      <c r="AF5629">
        <v>-0.750511304380997</v>
      </c>
      <c r="AG5629">
        <v>-1.112240851523</v>
      </c>
      <c r="AH5629">
        <v>7.3787095149865998</v>
      </c>
      <c r="AI5629">
        <v>98.528679575561796</v>
      </c>
      <c r="AJ5629">
        <v>95.807757268721105</v>
      </c>
      <c r="AK5629">
        <v>7.49971339694752</v>
      </c>
      <c r="AL5629">
        <v>65.767396514536202</v>
      </c>
      <c r="AM5629">
        <v>102.497431665034</v>
      </c>
      <c r="AN5629">
        <v>1.0000000033941401</v>
      </c>
    </row>
    <row r="5630" spans="1:40" x14ac:dyDescent="0.25">
      <c r="A5630" t="str">
        <f>"20190304164521167"</f>
        <v>20190304164521167</v>
      </c>
      <c r="B5630" t="str">
        <f>"1551689121155990"</f>
        <v>1551689121155990</v>
      </c>
      <c r="C5630" t="s">
        <v>40</v>
      </c>
      <c r="D5630">
        <v>5.3540070000000002</v>
      </c>
      <c r="E5630">
        <v>0.55736149999999995</v>
      </c>
      <c r="F5630" t="s">
        <v>55</v>
      </c>
      <c r="G5630">
        <v>-245.37739999999999</v>
      </c>
      <c r="H5630" s="1">
        <v>-1.7614270000000001E-6</v>
      </c>
      <c r="I5630">
        <v>-62.140210000000003</v>
      </c>
      <c r="J5630">
        <v>-252.97929999999999</v>
      </c>
      <c r="K5630">
        <v>1.112231</v>
      </c>
      <c r="L5630">
        <v>-62.323239999999998</v>
      </c>
      <c r="M5630">
        <v>0.99693379999999998</v>
      </c>
      <c r="N5630">
        <v>-1.401314E-2</v>
      </c>
      <c r="O5630">
        <v>-7.6985349999999994E-2</v>
      </c>
      <c r="P5630">
        <v>0.90825529999999999</v>
      </c>
      <c r="Q5630">
        <v>0.3989164</v>
      </c>
      <c r="R5630">
        <v>0.12624630000000001</v>
      </c>
      <c r="S5630">
        <v>3.5117950000000002</v>
      </c>
      <c r="T5630">
        <v>-0.50136320000000001</v>
      </c>
      <c r="U5630">
        <v>7.6110839999999999E-2</v>
      </c>
      <c r="V5630">
        <v>-0.19728519999999999</v>
      </c>
      <c r="W5630">
        <v>0.41072059999999999</v>
      </c>
      <c r="X5630">
        <v>0.89016130000000004</v>
      </c>
      <c r="Y5630">
        <v>-9.6865270000000003E-2</v>
      </c>
      <c r="Z5630">
        <v>1.741525E-2</v>
      </c>
      <c r="AA5630">
        <v>0.9951451</v>
      </c>
      <c r="AB5630">
        <v>38</v>
      </c>
      <c r="AC5630">
        <v>7.6018999999999997</v>
      </c>
      <c r="AD5630">
        <v>-1.112232761427</v>
      </c>
      <c r="AE5630">
        <v>0.18303000000000899</v>
      </c>
      <c r="AF5630">
        <v>-0.75169713539946004</v>
      </c>
      <c r="AG5630">
        <v>-1.112232761427</v>
      </c>
      <c r="AH5630">
        <v>7.4067809119593102</v>
      </c>
      <c r="AI5630">
        <v>98.496957805774002</v>
      </c>
      <c r="AJ5630">
        <v>95.794975446642098</v>
      </c>
      <c r="AK5630">
        <v>7.5274506824504703</v>
      </c>
      <c r="AL5630">
        <v>65.749890211271705</v>
      </c>
      <c r="AM5630">
        <v>102.496391991479</v>
      </c>
      <c r="AN5630">
        <v>1.0000000007105401</v>
      </c>
    </row>
    <row r="5631" spans="1:40" x14ac:dyDescent="0.25">
      <c r="A5631" t="str">
        <f>"20190304164521180"</f>
        <v>20190304164521180</v>
      </c>
      <c r="B5631" t="str">
        <f>"1551689121175509"</f>
        <v>1551689121175509</v>
      </c>
      <c r="C5631" t="s">
        <v>40</v>
      </c>
      <c r="D5631">
        <v>5.3496560000000004</v>
      </c>
      <c r="E5631">
        <v>0.55753439999999999</v>
      </c>
      <c r="F5631" t="s">
        <v>55</v>
      </c>
      <c r="G5631">
        <v>-245.18870000000001</v>
      </c>
      <c r="H5631" s="1">
        <v>-1.6835099999999999E-6</v>
      </c>
      <c r="I5631">
        <v>-62.15166</v>
      </c>
      <c r="J5631">
        <v>-252.7801</v>
      </c>
      <c r="K5631">
        <v>1.1122240000000001</v>
      </c>
      <c r="L5631">
        <v>-62.338009999999997</v>
      </c>
      <c r="M5631">
        <v>0.99698880000000001</v>
      </c>
      <c r="N5631">
        <v>-1.402163E-2</v>
      </c>
      <c r="O5631">
        <v>-7.6268550000000004E-2</v>
      </c>
      <c r="P5631">
        <v>0.90822670000000005</v>
      </c>
      <c r="Q5631">
        <v>0.39871990000000002</v>
      </c>
      <c r="R5631">
        <v>0.12707080000000001</v>
      </c>
      <c r="S5631">
        <v>3.5125579999999998</v>
      </c>
      <c r="T5631">
        <v>-0.50147339999999996</v>
      </c>
      <c r="U5631">
        <v>7.7331540000000004E-2</v>
      </c>
      <c r="V5631">
        <v>-0.19744639999999999</v>
      </c>
      <c r="W5631">
        <v>0.41053889999999998</v>
      </c>
      <c r="X5631">
        <v>0.89020940000000004</v>
      </c>
      <c r="Y5631">
        <v>-9.6500710000000003E-2</v>
      </c>
      <c r="Z5631">
        <v>1.7294980000000001E-2</v>
      </c>
      <c r="AA5631">
        <v>0.99518260000000003</v>
      </c>
      <c r="AB5631">
        <v>38</v>
      </c>
      <c r="AC5631">
        <v>7.5913999999999904</v>
      </c>
      <c r="AD5631">
        <v>-1.11222568351</v>
      </c>
      <c r="AE5631">
        <v>0.18634999999999699</v>
      </c>
      <c r="AF5631">
        <v>-0.74878564224237998</v>
      </c>
      <c r="AG5631">
        <v>-1.11222568351</v>
      </c>
      <c r="AH5631">
        <v>7.3963980666443101</v>
      </c>
      <c r="AI5631">
        <v>98.508869038251603</v>
      </c>
      <c r="AJ5631">
        <v>95.780730751575504</v>
      </c>
      <c r="AK5631">
        <v>7.5169428805430796</v>
      </c>
      <c r="AL5631">
        <v>65.7613084306209</v>
      </c>
      <c r="AM5631">
        <v>102.50562707936</v>
      </c>
      <c r="AN5631">
        <v>1.0000000225672601</v>
      </c>
    </row>
    <row r="5632" spans="1:40" x14ac:dyDescent="0.25">
      <c r="A5632" t="str">
        <f>"20190304164521191"</f>
        <v>20190304164521191</v>
      </c>
      <c r="B5632" t="str">
        <f>"1551689121185271"</f>
        <v>1551689121185271</v>
      </c>
      <c r="C5632" t="s">
        <v>40</v>
      </c>
      <c r="D5632">
        <v>5.3518379999999999</v>
      </c>
      <c r="E5632">
        <v>0.5575812</v>
      </c>
      <c r="F5632" t="s">
        <v>55</v>
      </c>
      <c r="G5632">
        <v>-245.01349999999999</v>
      </c>
      <c r="H5632" s="1">
        <v>-1.6118989999999999E-6</v>
      </c>
      <c r="I5632">
        <v>-62.164960000000001</v>
      </c>
      <c r="J5632">
        <v>-252.578</v>
      </c>
      <c r="K5632">
        <v>1.112212</v>
      </c>
      <c r="L5632">
        <v>-62.352870000000003</v>
      </c>
      <c r="M5632">
        <v>0.99704369999999998</v>
      </c>
      <c r="N5632">
        <v>-1.402957E-2</v>
      </c>
      <c r="O5632">
        <v>-7.5546260000000004E-2</v>
      </c>
      <c r="P5632">
        <v>0.90814240000000002</v>
      </c>
      <c r="Q5632">
        <v>0.39867599999999997</v>
      </c>
      <c r="R5632">
        <v>0.12780819999999901</v>
      </c>
      <c r="S5632">
        <v>3.5130460000000001</v>
      </c>
      <c r="T5632">
        <v>-0.50309119999999996</v>
      </c>
      <c r="U5632">
        <v>7.8247070000000002E-2</v>
      </c>
      <c r="V5632">
        <v>-0.1975123</v>
      </c>
      <c r="W5632">
        <v>0.41050809999999999</v>
      </c>
      <c r="X5632">
        <v>0.89020900000000003</v>
      </c>
      <c r="Y5632">
        <v>-9.6036549999999998E-2</v>
      </c>
      <c r="Z5632">
        <v>1.7219870000000002E-2</v>
      </c>
      <c r="AA5632">
        <v>0.99522880000000002</v>
      </c>
      <c r="AB5632">
        <v>38</v>
      </c>
      <c r="AC5632">
        <v>7.5644999999999998</v>
      </c>
      <c r="AD5632">
        <v>-1.112213611899</v>
      </c>
      <c r="AE5632">
        <v>0.187909999999995</v>
      </c>
      <c r="AF5632">
        <v>-0.74284973892533002</v>
      </c>
      <c r="AG5632">
        <v>-1.112213611899</v>
      </c>
      <c r="AH5632">
        <v>7.3694663245900998</v>
      </c>
      <c r="AI5632">
        <v>98.539782184097703</v>
      </c>
      <c r="AJ5632">
        <v>95.7560303105152</v>
      </c>
      <c r="AK5632">
        <v>7.4898517183174196</v>
      </c>
      <c r="AL5632">
        <v>65.763244090786202</v>
      </c>
      <c r="AM5632">
        <v>102.50967505279699</v>
      </c>
      <c r="AN5632">
        <v>1.0000000362489401</v>
      </c>
    </row>
    <row r="5633" spans="1:40" x14ac:dyDescent="0.25">
      <c r="A5633" t="str">
        <f>"20190304164521202"</f>
        <v>20190304164521202</v>
      </c>
      <c r="B5633" t="str">
        <f>"1551689121196005"</f>
        <v>1551689121196005</v>
      </c>
      <c r="C5633" t="s">
        <v>40</v>
      </c>
      <c r="D5633">
        <v>5.355575</v>
      </c>
      <c r="E5633">
        <v>0.55763009999999902</v>
      </c>
      <c r="F5633" t="s">
        <v>55</v>
      </c>
      <c r="G5633">
        <v>-244.8254</v>
      </c>
      <c r="H5633" s="1">
        <v>-1.5346859999999999E-6</v>
      </c>
      <c r="I5633">
        <v>-62.178139999999999</v>
      </c>
      <c r="J5633">
        <v>-252.387</v>
      </c>
      <c r="K5633">
        <v>1.112201</v>
      </c>
      <c r="L5633">
        <v>-62.366700000000002</v>
      </c>
      <c r="M5633">
        <v>0.99709440000000005</v>
      </c>
      <c r="N5633">
        <v>-1.403623E-2</v>
      </c>
      <c r="O5633">
        <v>-7.4871880000000002E-2</v>
      </c>
      <c r="P5633">
        <v>0.90809600000000001</v>
      </c>
      <c r="Q5633">
        <v>0.3985187</v>
      </c>
      <c r="R5633">
        <v>0.1286255</v>
      </c>
      <c r="S5633">
        <v>3.5135960000000002</v>
      </c>
      <c r="T5633">
        <v>-0.50407270000000004</v>
      </c>
      <c r="U5633">
        <v>7.91626E-2</v>
      </c>
      <c r="V5633">
        <v>-0.1977043</v>
      </c>
      <c r="W5633">
        <v>0.41036280000000003</v>
      </c>
      <c r="X5633">
        <v>0.89023330000000001</v>
      </c>
      <c r="Y5633">
        <v>-9.5623260000000002E-2</v>
      </c>
      <c r="Z5633">
        <v>1.7131899999999999E-2</v>
      </c>
      <c r="AA5633">
        <v>0.99527010000000005</v>
      </c>
      <c r="AB5633">
        <v>38</v>
      </c>
      <c r="AC5633">
        <v>7.5615999999999897</v>
      </c>
      <c r="AD5633">
        <v>-1.1122025346860001</v>
      </c>
      <c r="AE5633">
        <v>0.188560000000002</v>
      </c>
      <c r="AF5633">
        <v>-0.73827555088858998</v>
      </c>
      <c r="AG5633">
        <v>-1.1122025346860001</v>
      </c>
      <c r="AH5633">
        <v>7.3669730440195798</v>
      </c>
      <c r="AI5633">
        <v>98.543037357494896</v>
      </c>
      <c r="AJ5633">
        <v>95.722745977796095</v>
      </c>
      <c r="AK5633">
        <v>7.4869444433969896</v>
      </c>
      <c r="AL5633">
        <v>65.772371941662001</v>
      </c>
      <c r="AM5633">
        <v>102.52112125711101</v>
      </c>
      <c r="AN5633">
        <v>0.99999997314560896</v>
      </c>
    </row>
    <row r="5634" spans="1:40" x14ac:dyDescent="0.25">
      <c r="A5634" t="str">
        <f>"20190304164521213"</f>
        <v>20190304164521213</v>
      </c>
      <c r="B5634" t="str">
        <f>"1551689121205766"</f>
        <v>1551689121205766</v>
      </c>
      <c r="C5634" t="s">
        <v>40</v>
      </c>
      <c r="D5634">
        <v>5.3741110000000001</v>
      </c>
      <c r="E5634">
        <v>0.55766479999999996</v>
      </c>
      <c r="F5634" t="s">
        <v>55</v>
      </c>
      <c r="G5634">
        <v>-244.65620000000001</v>
      </c>
      <c r="H5634" s="1">
        <v>-1.464742E-6</v>
      </c>
      <c r="I5634">
        <v>-62.188049999999997</v>
      </c>
      <c r="J5634">
        <v>-252.19739999999999</v>
      </c>
      <c r="K5634">
        <v>1.112195</v>
      </c>
      <c r="L5634">
        <v>-62.380400000000002</v>
      </c>
      <c r="M5634">
        <v>0.99714420000000004</v>
      </c>
      <c r="N5634">
        <v>-1.404262E-2</v>
      </c>
      <c r="O5634">
        <v>-7.4204770000000003E-2</v>
      </c>
      <c r="P5634">
        <v>0.90796710000000003</v>
      </c>
      <c r="Q5634">
        <v>0.3984896</v>
      </c>
      <c r="R5634">
        <v>0.1296224</v>
      </c>
      <c r="S5634">
        <v>3.5139770000000001</v>
      </c>
      <c r="T5634">
        <v>-0.50554350000000003</v>
      </c>
      <c r="U5634">
        <v>8.1176760000000001E-2</v>
      </c>
      <c r="V5634">
        <v>-0.19807630000000001</v>
      </c>
      <c r="W5634">
        <v>0.41034369999999998</v>
      </c>
      <c r="X5634">
        <v>0.89015940000000005</v>
      </c>
      <c r="Y5634">
        <v>-9.5522289999999996E-2</v>
      </c>
      <c r="Z5634">
        <v>1.7086500000000001E-2</v>
      </c>
      <c r="AA5634">
        <v>0.99528059999999996</v>
      </c>
      <c r="AB5634">
        <v>38</v>
      </c>
      <c r="AC5634">
        <v>7.5411999999999697</v>
      </c>
      <c r="AD5634">
        <v>-1.112196464742</v>
      </c>
      <c r="AE5634">
        <v>0.19235000000000399</v>
      </c>
      <c r="AF5634">
        <v>-0.73548061414302501</v>
      </c>
      <c r="AG5634">
        <v>-1.112196464742</v>
      </c>
      <c r="AH5634">
        <v>7.3464407081031098</v>
      </c>
      <c r="AI5634">
        <v>98.566598194401195</v>
      </c>
      <c r="AJ5634">
        <v>95.717052770206607</v>
      </c>
      <c r="AK5634">
        <v>7.4664652806826401</v>
      </c>
      <c r="AL5634">
        <v>65.773571774778802</v>
      </c>
      <c r="AM5634">
        <v>102.544944404435</v>
      </c>
      <c r="AN5634">
        <v>0.99999996507986899</v>
      </c>
    </row>
    <row r="5635" spans="1:40" x14ac:dyDescent="0.25">
      <c r="A5635" t="str">
        <f>"20190304164521225"</f>
        <v>20190304164521225</v>
      </c>
      <c r="B5635" t="str">
        <f>"1551689121215526"</f>
        <v>1551689121215526</v>
      </c>
      <c r="C5635" t="s">
        <v>40</v>
      </c>
      <c r="D5635">
        <v>5.4499510000000004</v>
      </c>
      <c r="E5635">
        <v>0.55776110000000001</v>
      </c>
      <c r="F5635" t="s">
        <v>55</v>
      </c>
      <c r="G5635">
        <v>-244.48070000000001</v>
      </c>
      <c r="H5635" s="1">
        <v>-1.3920340000000001E-6</v>
      </c>
      <c r="I5635">
        <v>-62.197809999999997</v>
      </c>
      <c r="J5635">
        <v>-252.00559999999999</v>
      </c>
      <c r="K5635">
        <v>1.112182</v>
      </c>
      <c r="L5635">
        <v>-62.3940699999999</v>
      </c>
      <c r="M5635">
        <v>0.9971932</v>
      </c>
      <c r="N5635">
        <v>-1.4048E-2</v>
      </c>
      <c r="O5635">
        <v>-7.3541599999999999E-2</v>
      </c>
      <c r="P5635">
        <v>0.90771539999999995</v>
      </c>
      <c r="Q5635">
        <v>0.39876869999999998</v>
      </c>
      <c r="R5635">
        <v>0.13052329999999901</v>
      </c>
      <c r="S5635">
        <v>3.514526</v>
      </c>
      <c r="T5635">
        <v>-0.50654100000000002</v>
      </c>
      <c r="U5635">
        <v>8.3129880000000003E-2</v>
      </c>
      <c r="V5635">
        <v>-0.19834789999999999</v>
      </c>
      <c r="W5635">
        <v>0.41063070000000002</v>
      </c>
      <c r="X5635">
        <v>0.88996659999999905</v>
      </c>
      <c r="Y5635">
        <v>-9.5410220000000004E-2</v>
      </c>
      <c r="Z5635">
        <v>1.702327E-2</v>
      </c>
      <c r="AA5635">
        <v>0.99529250000000002</v>
      </c>
      <c r="AB5635">
        <v>38</v>
      </c>
      <c r="AC5635">
        <v>7.5248999999999704</v>
      </c>
      <c r="AD5635">
        <v>-1.1121833920340001</v>
      </c>
      <c r="AE5635">
        <v>0.19625999999999499</v>
      </c>
      <c r="AF5635">
        <v>-0.73317104557855595</v>
      </c>
      <c r="AG5635">
        <v>-1.1121833920340001</v>
      </c>
      <c r="AH5635">
        <v>7.3300687327855698</v>
      </c>
      <c r="AI5635">
        <v>98.585424424394603</v>
      </c>
      <c r="AJ5635">
        <v>95.711863688583705</v>
      </c>
      <c r="AK5635">
        <v>7.4501274691747099</v>
      </c>
      <c r="AL5635">
        <v>65.755539586022905</v>
      </c>
      <c r="AM5635">
        <v>102.564235224428</v>
      </c>
      <c r="AN5635">
        <v>1.0000000051662199</v>
      </c>
    </row>
    <row r="5636" spans="1:40" x14ac:dyDescent="0.25">
      <c r="A5636" t="str">
        <f>"20190304164521236"</f>
        <v>20190304164521236</v>
      </c>
      <c r="B5636" t="str">
        <f>"1551689121226263"</f>
        <v>1551689121226263</v>
      </c>
      <c r="C5636" t="s">
        <v>40</v>
      </c>
      <c r="D5636">
        <v>5.3960710000000001</v>
      </c>
      <c r="E5636">
        <v>0.55787249999999999</v>
      </c>
      <c r="F5636" t="s">
        <v>55</v>
      </c>
      <c r="G5636">
        <v>-244.26900000000001</v>
      </c>
      <c r="H5636" s="1">
        <v>-1.3036779999999999E-6</v>
      </c>
      <c r="I5636">
        <v>-62.20693</v>
      </c>
      <c r="J5636">
        <v>-251.8203</v>
      </c>
      <c r="K5636">
        <v>1.112177</v>
      </c>
      <c r="L5636">
        <v>-62.407229999999998</v>
      </c>
      <c r="M5636">
        <v>0.99724009999999996</v>
      </c>
      <c r="N5636">
        <v>-1.4053070000000001E-2</v>
      </c>
      <c r="O5636">
        <v>-7.2904049999999998E-2</v>
      </c>
      <c r="P5636">
        <v>0.90750280000000005</v>
      </c>
      <c r="Q5636">
        <v>0.39893109999999998</v>
      </c>
      <c r="R5636">
        <v>0.13150239999999999</v>
      </c>
      <c r="S5636">
        <v>3.514786</v>
      </c>
      <c r="T5636">
        <v>-0.50527559999999905</v>
      </c>
      <c r="U5636">
        <v>8.4991460000000005E-2</v>
      </c>
      <c r="V5636">
        <v>-0.19872329999999999</v>
      </c>
      <c r="W5636">
        <v>0.4108002</v>
      </c>
      <c r="X5636">
        <v>0.88980459999999995</v>
      </c>
      <c r="Y5636">
        <v>-9.531423E-2</v>
      </c>
      <c r="Z5636">
        <v>1.688918E-2</v>
      </c>
      <c r="AA5636">
        <v>0.99530390000000002</v>
      </c>
      <c r="AB5636">
        <v>38</v>
      </c>
      <c r="AC5636">
        <v>7.5512999999999897</v>
      </c>
      <c r="AD5636">
        <v>-1.112178303678</v>
      </c>
      <c r="AE5636">
        <v>0.20029999999999801</v>
      </c>
      <c r="AF5636">
        <v>-0.73442144424632405</v>
      </c>
      <c r="AG5636">
        <v>-1.112178303678</v>
      </c>
      <c r="AH5636">
        <v>7.3571170890005897</v>
      </c>
      <c r="AI5636">
        <v>98.554454374720393</v>
      </c>
      <c r="AJ5636">
        <v>95.700644126119897</v>
      </c>
      <c r="AK5636">
        <v>7.4768634666018503</v>
      </c>
      <c r="AL5636">
        <v>65.744887717091004</v>
      </c>
      <c r="AM5636">
        <v>102.58947625822999</v>
      </c>
      <c r="AN5636">
        <v>0.999999990232045</v>
      </c>
    </row>
    <row r="5637" spans="1:40" x14ac:dyDescent="0.25">
      <c r="A5637" t="str">
        <f>"20190304164521249"</f>
        <v>20190304164521249</v>
      </c>
      <c r="B5637" t="str">
        <f>"1551689121245781"</f>
        <v>1551689121245781</v>
      </c>
      <c r="C5637" t="s">
        <v>40</v>
      </c>
      <c r="D5637">
        <v>5.3933519999999904</v>
      </c>
      <c r="E5637">
        <v>0.55801350000000005</v>
      </c>
      <c r="F5637" t="s">
        <v>55</v>
      </c>
      <c r="G5637">
        <v>-244.065</v>
      </c>
      <c r="H5637" s="1">
        <v>-1.218268E-6</v>
      </c>
      <c r="I5637">
        <v>-62.214849999999998</v>
      </c>
      <c r="J5637">
        <v>-251.59950000000001</v>
      </c>
      <c r="K5637">
        <v>1.11216</v>
      </c>
      <c r="L5637">
        <v>-62.422669999999997</v>
      </c>
      <c r="M5637">
        <v>0.99729429999999997</v>
      </c>
      <c r="N5637">
        <v>-1.4058360000000001E-2</v>
      </c>
      <c r="O5637">
        <v>-7.2157730000000003E-2</v>
      </c>
      <c r="P5637">
        <v>0.90735339999999998</v>
      </c>
      <c r="Q5637">
        <v>0.39894810000000003</v>
      </c>
      <c r="R5637">
        <v>0.1324776</v>
      </c>
      <c r="S5637">
        <v>3.5147249999999999</v>
      </c>
      <c r="T5637">
        <v>-0.50404669999999996</v>
      </c>
      <c r="U5637">
        <v>8.7158200000000005E-2</v>
      </c>
      <c r="V5637">
        <v>-0.1989967</v>
      </c>
      <c r="W5637">
        <v>0.41082849999999999</v>
      </c>
      <c r="X5637">
        <v>0.88973049999999998</v>
      </c>
      <c r="Y5637">
        <v>-9.5198720000000001E-2</v>
      </c>
      <c r="Z5637">
        <v>1.6742859999999998E-2</v>
      </c>
      <c r="AA5637">
        <v>0.99531749999999997</v>
      </c>
      <c r="AB5637">
        <v>38</v>
      </c>
      <c r="AC5637">
        <v>7.5345000000000004</v>
      </c>
      <c r="AD5637">
        <v>-1.1121612182680001</v>
      </c>
      <c r="AE5637">
        <v>0.20781999999999801</v>
      </c>
      <c r="AF5637">
        <v>-0.73500183706767896</v>
      </c>
      <c r="AG5637">
        <v>-1.1121612182680001</v>
      </c>
      <c r="AH5637">
        <v>7.34005127124259</v>
      </c>
      <c r="AI5637">
        <v>98.573658514890198</v>
      </c>
      <c r="AJ5637">
        <v>95.718296230026795</v>
      </c>
      <c r="AK5637">
        <v>7.4601262013710103</v>
      </c>
      <c r="AL5637">
        <v>65.743110856966197</v>
      </c>
      <c r="AM5637">
        <v>102.60725974367</v>
      </c>
      <c r="AN5637">
        <v>1.0000000528266899</v>
      </c>
    </row>
    <row r="5638" spans="1:40" x14ac:dyDescent="0.25">
      <c r="A5638" t="str">
        <f>"20190304164521262"</f>
        <v>20190304164521262</v>
      </c>
      <c r="B5638" t="str">
        <f>"1551689121255541"</f>
        <v>1551689121255541</v>
      </c>
      <c r="C5638" t="s">
        <v>40</v>
      </c>
      <c r="D5638">
        <v>5.3790610000000001</v>
      </c>
      <c r="E5638">
        <v>0.55804200000000004</v>
      </c>
      <c r="F5638" t="s">
        <v>55</v>
      </c>
      <c r="G5638">
        <v>-243.8569</v>
      </c>
      <c r="H5638" s="1">
        <v>-1.1317520000000001E-6</v>
      </c>
      <c r="I5638">
        <v>-62.225250000000003</v>
      </c>
      <c r="J5638">
        <v>-251.38239999999999</v>
      </c>
      <c r="K5638">
        <v>1.1121479999999999</v>
      </c>
      <c r="L5638">
        <v>-62.437739999999998</v>
      </c>
      <c r="M5638">
        <v>0.99734630000000002</v>
      </c>
      <c r="N5638">
        <v>-1.4063000000000001E-2</v>
      </c>
      <c r="O5638">
        <v>-7.1433339999999998E-2</v>
      </c>
      <c r="P5638">
        <v>0.9069159</v>
      </c>
      <c r="Q5638">
        <v>0.3995435</v>
      </c>
      <c r="R5638">
        <v>0.13367419999999999</v>
      </c>
      <c r="S5638">
        <v>3.5152589999999901</v>
      </c>
      <c r="T5638">
        <v>-0.50493869999999996</v>
      </c>
      <c r="U5638">
        <v>8.9599609999999996E-2</v>
      </c>
      <c r="V5638">
        <v>-0.1994927</v>
      </c>
      <c r="W5638">
        <v>0.41142970000000001</v>
      </c>
      <c r="X5638">
        <v>0.88934150000000001</v>
      </c>
      <c r="Y5638">
        <v>-9.5163929999999994E-2</v>
      </c>
      <c r="Z5638">
        <v>1.667414E-2</v>
      </c>
      <c r="AA5638">
        <v>0.99532189999999998</v>
      </c>
      <c r="AB5638">
        <v>38</v>
      </c>
      <c r="AC5638">
        <v>7.5254999999999903</v>
      </c>
      <c r="AD5638">
        <v>-1.11214913175199</v>
      </c>
      <c r="AE5638">
        <v>0.21249000000000201</v>
      </c>
      <c r="AF5638">
        <v>-0.733563428363179</v>
      </c>
      <c r="AG5638">
        <v>-1.11214913175199</v>
      </c>
      <c r="AH5638">
        <v>7.3311061972898104</v>
      </c>
      <c r="AI5638">
        <v>98.583934087957104</v>
      </c>
      <c r="AJ5638">
        <v>95.714096973665093</v>
      </c>
      <c r="AK5638">
        <v>7.4511817230980002</v>
      </c>
      <c r="AL5638">
        <v>65.705322494504003</v>
      </c>
      <c r="AM5638">
        <v>102.64302534482501</v>
      </c>
      <c r="AN5638">
        <v>1.0000000195088099</v>
      </c>
    </row>
    <row r="5639" spans="1:40" x14ac:dyDescent="0.25">
      <c r="A5639" t="str">
        <f>"20190304164521275"</f>
        <v>20190304164521275</v>
      </c>
      <c r="B5639" t="str">
        <f>"1551689121265301"</f>
        <v>1551689121265301</v>
      </c>
      <c r="C5639" t="s">
        <v>40</v>
      </c>
      <c r="D5639">
        <v>5.3977579999999996</v>
      </c>
      <c r="E5639">
        <v>0.55806739999999999</v>
      </c>
      <c r="F5639" t="s">
        <v>55</v>
      </c>
      <c r="G5639">
        <v>-243.6217</v>
      </c>
      <c r="H5639" s="1">
        <v>-1.0325090000000001E-6</v>
      </c>
      <c r="I5639">
        <v>-62.231430000000003</v>
      </c>
      <c r="J5639">
        <v>-251.15950000000001</v>
      </c>
      <c r="K5639">
        <v>1.1121350000000001</v>
      </c>
      <c r="L5639">
        <v>-62.453090000000003</v>
      </c>
      <c r="M5639">
        <v>0.99739869999999997</v>
      </c>
      <c r="N5639">
        <v>-1.4067329999999999E-2</v>
      </c>
      <c r="O5639">
        <v>-7.0697640000000006E-2</v>
      </c>
      <c r="P5639">
        <v>0.90657209999999999</v>
      </c>
      <c r="Q5639">
        <v>0.39998650000000002</v>
      </c>
      <c r="R5639">
        <v>0.13467789999999999</v>
      </c>
      <c r="S5639">
        <v>3.5161129999999998</v>
      </c>
      <c r="T5639">
        <v>-0.50388299999999997</v>
      </c>
      <c r="U5639">
        <v>9.3444819999999998E-2</v>
      </c>
      <c r="V5639">
        <v>-0.1997911</v>
      </c>
      <c r="W5639">
        <v>0.4118811</v>
      </c>
      <c r="X5639">
        <v>0.88906549999999995</v>
      </c>
      <c r="Y5639">
        <v>-9.5521259999999997E-2</v>
      </c>
      <c r="Z5639">
        <v>1.656821E-2</v>
      </c>
      <c r="AA5639">
        <v>0.99528950000000005</v>
      </c>
      <c r="AB5639">
        <v>38</v>
      </c>
      <c r="AC5639">
        <v>7.5377999999999998</v>
      </c>
      <c r="AD5639">
        <v>-1.1121360325089999</v>
      </c>
      <c r="AE5639">
        <v>0.22166</v>
      </c>
      <c r="AF5639">
        <v>-0.73801115550889895</v>
      </c>
      <c r="AG5639">
        <v>-1.1121360325089999</v>
      </c>
      <c r="AH5639">
        <v>7.3435436155621598</v>
      </c>
      <c r="AI5639">
        <v>98.569146875804805</v>
      </c>
      <c r="AJ5639">
        <v>95.738840286669301</v>
      </c>
      <c r="AK5639">
        <v>7.4638555622495897</v>
      </c>
      <c r="AL5639">
        <v>65.676942378486999</v>
      </c>
      <c r="AM5639">
        <v>102.66513124673</v>
      </c>
      <c r="AN5639">
        <v>0.99999999373333504</v>
      </c>
    </row>
    <row r="5640" spans="1:40" x14ac:dyDescent="0.25">
      <c r="A5640" t="str">
        <f>"20190304164521287"</f>
        <v>20190304164521287</v>
      </c>
      <c r="B5640" t="str">
        <f>"1551689121276037"</f>
        <v>1551689121276037</v>
      </c>
      <c r="C5640" t="s">
        <v>40</v>
      </c>
      <c r="D5640">
        <v>5.4610760000000003</v>
      </c>
      <c r="E5640">
        <v>0.55804019999999899</v>
      </c>
      <c r="F5640" t="s">
        <v>55</v>
      </c>
      <c r="G5640">
        <v>-243.38740000000001</v>
      </c>
      <c r="H5640" s="1">
        <v>-9.3388049999999996E-7</v>
      </c>
      <c r="I5640">
        <v>-62.238619999999997</v>
      </c>
      <c r="J5640">
        <v>-250.94659999999999</v>
      </c>
      <c r="K5640">
        <v>1.1121209999999999</v>
      </c>
      <c r="L5640">
        <v>-62.467529999999996</v>
      </c>
      <c r="M5640">
        <v>0.99744730000000004</v>
      </c>
      <c r="N5640">
        <v>-1.407072E-2</v>
      </c>
      <c r="O5640">
        <v>-7.0009150000000006E-2</v>
      </c>
      <c r="P5640">
        <v>0.90620120000000004</v>
      </c>
      <c r="Q5640">
        <v>0.4005126</v>
      </c>
      <c r="R5640">
        <v>0.1356068</v>
      </c>
      <c r="S5640">
        <v>3.516785</v>
      </c>
      <c r="T5640">
        <v>-0.50322500000000003</v>
      </c>
      <c r="U5640">
        <v>9.7015379999999998E-2</v>
      </c>
      <c r="V5640">
        <v>-0.20005680000000001</v>
      </c>
      <c r="W5640">
        <v>0.41241460000000002</v>
      </c>
      <c r="X5640">
        <v>0.88875839999999995</v>
      </c>
      <c r="Y5640">
        <v>-9.5846029999999999E-2</v>
      </c>
      <c r="Z5640">
        <v>1.6480189999999999E-2</v>
      </c>
      <c r="AA5640">
        <v>0.99525980000000003</v>
      </c>
      <c r="AB5640">
        <v>38</v>
      </c>
      <c r="AC5640">
        <v>7.5591999999999704</v>
      </c>
      <c r="AD5640">
        <v>-1.1121219338805</v>
      </c>
      <c r="AE5640">
        <v>0.228910000000006</v>
      </c>
      <c r="AF5640">
        <v>-0.74157711859841802</v>
      </c>
      <c r="AG5640">
        <v>-1.1121219338805</v>
      </c>
      <c r="AH5640">
        <v>7.3653460903915597</v>
      </c>
      <c r="AI5640">
        <v>98.543892713234001</v>
      </c>
      <c r="AJ5640">
        <v>95.749428317820204</v>
      </c>
      <c r="AK5640">
        <v>7.4856579436875901</v>
      </c>
      <c r="AL5640">
        <v>65.643393529841006</v>
      </c>
      <c r="AM5640">
        <v>102.685670230642</v>
      </c>
      <c r="AN5640">
        <v>1.0000000095449799</v>
      </c>
    </row>
    <row r="5641" spans="1:40" x14ac:dyDescent="0.25">
      <c r="A5641" t="str">
        <f>"20190304164521298"</f>
        <v>20190304164521298</v>
      </c>
      <c r="B5641" t="str">
        <f>"1551689121285797"</f>
        <v>1551689121285797</v>
      </c>
      <c r="C5641" t="s">
        <v>40</v>
      </c>
      <c r="D5641">
        <v>5.3752190000000004</v>
      </c>
      <c r="E5641">
        <v>0.55805569999999904</v>
      </c>
      <c r="F5641" t="s">
        <v>55</v>
      </c>
      <c r="G5641">
        <v>-243.1652</v>
      </c>
      <c r="H5641" s="1">
        <v>-8.3980649999999996E-7</v>
      </c>
      <c r="I5641">
        <v>-62.243200000000002</v>
      </c>
      <c r="J5641">
        <v>-250.76949999999999</v>
      </c>
      <c r="K5641">
        <v>1.112109</v>
      </c>
      <c r="L5641">
        <v>-62.479489999999998</v>
      </c>
      <c r="M5641">
        <v>0.99748680000000001</v>
      </c>
      <c r="N5641">
        <v>-1.407336E-2</v>
      </c>
      <c r="O5641">
        <v>-6.9440639999999998E-2</v>
      </c>
      <c r="P5641">
        <v>0.906026</v>
      </c>
      <c r="Q5641">
        <v>0.40073619999999999</v>
      </c>
      <c r="R5641">
        <v>0.13611570000000001</v>
      </c>
      <c r="S5641">
        <v>3.5175480000000001</v>
      </c>
      <c r="T5641">
        <v>-0.50273109999999999</v>
      </c>
      <c r="U5641">
        <v>0.10137939999999999</v>
      </c>
      <c r="V5641">
        <v>-0.20002739999999999</v>
      </c>
      <c r="W5641">
        <v>0.41264659999999898</v>
      </c>
      <c r="X5641">
        <v>0.88865729999999998</v>
      </c>
      <c r="Y5641">
        <v>-9.6507919999999997E-2</v>
      </c>
      <c r="Z5641">
        <v>1.643907E-2</v>
      </c>
      <c r="AA5641">
        <v>0.99519650000000004</v>
      </c>
      <c r="AB5641">
        <v>38</v>
      </c>
      <c r="AC5641">
        <v>7.6042999999999896</v>
      </c>
      <c r="AD5641">
        <v>-1.1121098398064999</v>
      </c>
      <c r="AE5641">
        <v>0.236290000000003</v>
      </c>
      <c r="AF5641">
        <v>-0.74783965510034101</v>
      </c>
      <c r="AG5641">
        <v>-1.1121098398064999</v>
      </c>
      <c r="AH5641">
        <v>7.4111708069447104</v>
      </c>
      <c r="AI5641">
        <v>98.491559991929904</v>
      </c>
      <c r="AJ5641">
        <v>95.762046165080704</v>
      </c>
      <c r="AK5641">
        <v>7.5313680812482202</v>
      </c>
      <c r="AL5641">
        <v>65.628800803459598</v>
      </c>
      <c r="AM5641">
        <v>102.685262599067</v>
      </c>
      <c r="AN5641">
        <v>0.99999998704280402</v>
      </c>
    </row>
    <row r="5642" spans="1:40" x14ac:dyDescent="0.25">
      <c r="A5642" t="str">
        <f>"20190304164521308"</f>
        <v>20190304164521308</v>
      </c>
      <c r="B5642" t="str">
        <f>"1551689121295557"</f>
        <v>1551689121295557</v>
      </c>
      <c r="C5642" t="s">
        <v>40</v>
      </c>
      <c r="D5642">
        <v>5.3832209999999998</v>
      </c>
      <c r="E5642">
        <v>0.55807969999999996</v>
      </c>
      <c r="F5642" t="s">
        <v>55</v>
      </c>
      <c r="G5642">
        <v>-242.9948</v>
      </c>
      <c r="H5642" s="1">
        <v>-7.6868129999999998E-7</v>
      </c>
      <c r="I5642">
        <v>-62.250610000000002</v>
      </c>
      <c r="J5642">
        <v>-250.5856</v>
      </c>
      <c r="K5642">
        <v>1.1120950000000001</v>
      </c>
      <c r="L5642">
        <v>-62.491759999999999</v>
      </c>
      <c r="M5642">
        <v>0.9975271</v>
      </c>
      <c r="N5642">
        <v>-1.407576E-2</v>
      </c>
      <c r="O5642">
        <v>-6.8858669999999997E-2</v>
      </c>
      <c r="P5642">
        <v>0.90589160000000002</v>
      </c>
      <c r="Q5642">
        <v>0.40076489999999998</v>
      </c>
      <c r="R5642">
        <v>0.1369225</v>
      </c>
      <c r="S5642">
        <v>3.5182190000000002</v>
      </c>
      <c r="T5642">
        <v>-0.50325719999999996</v>
      </c>
      <c r="U5642">
        <v>0.1035461</v>
      </c>
      <c r="V5642">
        <v>-0.2002852</v>
      </c>
      <c r="W5642">
        <v>0.41268349999999998</v>
      </c>
      <c r="X5642">
        <v>0.88858210000000004</v>
      </c>
      <c r="Y5642">
        <v>-9.6535919999999997E-2</v>
      </c>
      <c r="Z5642">
        <v>1.6380769999999999E-2</v>
      </c>
      <c r="AA5642">
        <v>0.99519469999999999</v>
      </c>
      <c r="AB5642">
        <v>38</v>
      </c>
      <c r="AC5642">
        <v>7.5907999999999998</v>
      </c>
      <c r="AD5642">
        <v>-1.1120957686813</v>
      </c>
      <c r="AE5642">
        <v>0.241150000000004</v>
      </c>
      <c r="AF5642">
        <v>-0.74729790992554501</v>
      </c>
      <c r="AG5642">
        <v>-1.1120957686813</v>
      </c>
      <c r="AH5642">
        <v>7.39755171920448</v>
      </c>
      <c r="AI5642">
        <v>98.506764298425296</v>
      </c>
      <c r="AJ5642">
        <v>95.768429141976995</v>
      </c>
      <c r="AK5642">
        <v>7.5179107871271702</v>
      </c>
      <c r="AL5642">
        <v>65.6264798319595</v>
      </c>
      <c r="AM5642">
        <v>102.702121638713</v>
      </c>
      <c r="AN5642">
        <v>0.99999999047584998</v>
      </c>
    </row>
    <row r="5643" spans="1:40" x14ac:dyDescent="0.25">
      <c r="A5643" t="str">
        <f>"20190304164521325"</f>
        <v>20190304164521325</v>
      </c>
      <c r="B5643" t="str">
        <f>"1551689121316053"</f>
        <v>1551689121316053</v>
      </c>
      <c r="C5643" t="s">
        <v>40</v>
      </c>
      <c r="D5643">
        <v>5.6069570000000004</v>
      </c>
      <c r="E5643">
        <v>0.55808789999999997</v>
      </c>
      <c r="F5643" t="s">
        <v>55</v>
      </c>
      <c r="G5643">
        <v>-242.83009999999999</v>
      </c>
      <c r="H5643" s="1">
        <v>-6.9884469999999897E-7</v>
      </c>
      <c r="I5643">
        <v>-62.253779999999999</v>
      </c>
      <c r="J5643">
        <v>-250.31059999999999</v>
      </c>
      <c r="K5643">
        <v>1.11207099999999</v>
      </c>
      <c r="L5643">
        <v>-62.509950000000003</v>
      </c>
      <c r="M5643">
        <v>0.99758619999999998</v>
      </c>
      <c r="N5643">
        <v>-1.4079009999999999E-2</v>
      </c>
      <c r="O5643">
        <v>-6.8000229999999995E-2</v>
      </c>
      <c r="P5643">
        <v>0.90606960000000003</v>
      </c>
      <c r="Q5643">
        <v>0.4001826</v>
      </c>
      <c r="R5643">
        <v>0.13744799999999999</v>
      </c>
      <c r="S5643">
        <v>3.5185550000000001</v>
      </c>
      <c r="T5643">
        <v>-0.50454309999999902</v>
      </c>
      <c r="U5643">
        <v>0.1079407</v>
      </c>
      <c r="V5643">
        <v>-0.20002710000000001</v>
      </c>
      <c r="W5643">
        <v>0.4121205</v>
      </c>
      <c r="X5643">
        <v>0.88890149999999901</v>
      </c>
      <c r="Y5643">
        <v>-9.6913340000000001E-2</v>
      </c>
      <c r="Z5643">
        <v>1.6340489999999999E-2</v>
      </c>
      <c r="AA5643">
        <v>0.99515869999999995</v>
      </c>
      <c r="AB5643">
        <v>38</v>
      </c>
      <c r="AC5643">
        <v>7.4805000000000001</v>
      </c>
      <c r="AD5643">
        <v>-1.1120716988446999</v>
      </c>
      <c r="AE5643">
        <v>0.25616999999999701</v>
      </c>
      <c r="AF5643">
        <v>-0.747795566667393</v>
      </c>
      <c r="AG5643">
        <v>-1.1120716988446999</v>
      </c>
      <c r="AH5643">
        <v>7.2849469523645602</v>
      </c>
      <c r="AI5643">
        <v>98.634705818824102</v>
      </c>
      <c r="AJ5643">
        <v>95.860850886532901</v>
      </c>
      <c r="AK5643">
        <v>7.4071825798791</v>
      </c>
      <c r="AL5643">
        <v>65.661889231468905</v>
      </c>
      <c r="AM5643">
        <v>102.681872010441</v>
      </c>
      <c r="AN5643">
        <v>1.00000001197845</v>
      </c>
    </row>
    <row r="5644" spans="1:40" x14ac:dyDescent="0.25">
      <c r="A5644" t="str">
        <f>"20190304164521336"</f>
        <v>20190304164521336</v>
      </c>
      <c r="B5644" t="str">
        <f>"1551689121325814"</f>
        <v>1551689121325814</v>
      </c>
      <c r="C5644" t="s">
        <v>40</v>
      </c>
      <c r="D5644">
        <v>5.6967759999999998</v>
      </c>
      <c r="E5644">
        <v>0.54584350000000004</v>
      </c>
      <c r="F5644" t="s">
        <v>55</v>
      </c>
      <c r="G5644">
        <v>-242.61340000000001</v>
      </c>
      <c r="H5644" s="1">
        <v>-6.0942939999999997E-7</v>
      </c>
      <c r="I5644">
        <v>-62.267090000000003</v>
      </c>
      <c r="J5644">
        <v>-250.11</v>
      </c>
      <c r="K5644">
        <v>1.1120540000000001</v>
      </c>
      <c r="L5644">
        <v>-62.523099999999999</v>
      </c>
      <c r="M5644">
        <v>0.99762810000000002</v>
      </c>
      <c r="N5644">
        <v>-1.408117E-2</v>
      </c>
      <c r="O5644">
        <v>-6.7380120000000002E-2</v>
      </c>
      <c r="P5644">
        <v>0.90604779999999996</v>
      </c>
      <c r="Q5644">
        <v>0.39994350000000001</v>
      </c>
      <c r="R5644">
        <v>0.13828579999999999</v>
      </c>
      <c r="S5644">
        <v>3.518723</v>
      </c>
      <c r="T5644">
        <v>-0.50837949999999998</v>
      </c>
      <c r="U5644">
        <v>0.1109924</v>
      </c>
      <c r="V5644">
        <v>-0.20028950000000001</v>
      </c>
      <c r="W5644">
        <v>0.41189019999999998</v>
      </c>
      <c r="X5644">
        <v>0.88894910000000005</v>
      </c>
      <c r="Y5644">
        <v>-9.7133189999999994E-2</v>
      </c>
      <c r="Z5644">
        <v>1.640171E-2</v>
      </c>
      <c r="AA5644">
        <v>0.99513629999999997</v>
      </c>
      <c r="AB5644">
        <v>38</v>
      </c>
      <c r="AC5644">
        <v>7.4965999999999999</v>
      </c>
      <c r="AD5644">
        <v>-1.1120546094293999</v>
      </c>
      <c r="AE5644">
        <v>0.25600999999999602</v>
      </c>
      <c r="AF5644">
        <v>-0.74424186895081701</v>
      </c>
      <c r="AG5644">
        <v>-1.1120546094293999</v>
      </c>
      <c r="AH5644">
        <v>7.3018178449282098</v>
      </c>
      <c r="AI5644">
        <v>98.615546369446605</v>
      </c>
      <c r="AJ5644">
        <v>95.819806273391194</v>
      </c>
      <c r="AK5644">
        <v>7.4234160097871804</v>
      </c>
      <c r="AL5644">
        <v>65.676369363503696</v>
      </c>
      <c r="AM5644">
        <v>102.6973114063</v>
      </c>
      <c r="AN5644">
        <v>0.99999996152854898</v>
      </c>
    </row>
    <row r="5645" spans="1:40" x14ac:dyDescent="0.25">
      <c r="A5645" t="str">
        <f>"20190304164521347"</f>
        <v>20190304164521347</v>
      </c>
      <c r="B5645" t="str">
        <f>"1551689121335574"</f>
        <v>1551689121335574</v>
      </c>
      <c r="C5645" t="s">
        <v>40</v>
      </c>
      <c r="D5645">
        <v>5.3751540000000002</v>
      </c>
      <c r="E5645">
        <v>0.53763289999999997</v>
      </c>
      <c r="F5645" t="s">
        <v>55</v>
      </c>
      <c r="G5645">
        <v>-240.9229</v>
      </c>
      <c r="H5645" s="1">
        <v>1.9124969999999999E-7</v>
      </c>
      <c r="I5645">
        <v>-61.983449999999998</v>
      </c>
      <c r="J5645">
        <v>-249.9333</v>
      </c>
      <c r="K5645">
        <v>1.112045</v>
      </c>
      <c r="L5645">
        <v>-62.534579999999998</v>
      </c>
      <c r="M5645">
        <v>0.99766440000000001</v>
      </c>
      <c r="N5645">
        <v>-1.4082819999999999E-2</v>
      </c>
      <c r="O5645">
        <v>-6.684089E-2</v>
      </c>
      <c r="P5645">
        <v>0.9060916</v>
      </c>
      <c r="Q5645">
        <v>0.39968510000000002</v>
      </c>
      <c r="R5645">
        <v>0.13874489999999901</v>
      </c>
      <c r="S5645">
        <v>3.4651640000000001</v>
      </c>
      <c r="T5645">
        <v>-0.41944219999999999</v>
      </c>
      <c r="U5645">
        <v>0.2035217</v>
      </c>
      <c r="V5645">
        <v>-0.2002536</v>
      </c>
      <c r="W5645">
        <v>0.41164129999999899</v>
      </c>
      <c r="X5645">
        <v>0.88907250000000004</v>
      </c>
      <c r="Y5645">
        <v>-0.12384680000000001</v>
      </c>
      <c r="Z5645">
        <v>1.5454620000000001E-2</v>
      </c>
      <c r="AA5645">
        <v>0.99218099999999998</v>
      </c>
      <c r="AB5645">
        <v>38</v>
      </c>
      <c r="AC5645">
        <v>9.0104000000000006</v>
      </c>
      <c r="AD5645">
        <v>-1.1120448087503001</v>
      </c>
      <c r="AE5645">
        <v>0.551130000000007</v>
      </c>
      <c r="AF5645">
        <v>-1.1349962310461099</v>
      </c>
      <c r="AG5645">
        <v>-1.1120448087503001</v>
      </c>
      <c r="AH5645">
        <v>8.8195651674342397</v>
      </c>
      <c r="AI5645">
        <v>97.128237150638697</v>
      </c>
      <c r="AJ5645">
        <v>97.333130559240303</v>
      </c>
      <c r="AK5645">
        <v>8.9615617971298196</v>
      </c>
      <c r="AL5645">
        <v>65.692019189973493</v>
      </c>
      <c r="AM5645">
        <v>102.6934043597</v>
      </c>
      <c r="AN5645">
        <v>0.99999998721744898</v>
      </c>
    </row>
    <row r="5646" spans="1:40" x14ac:dyDescent="0.25">
      <c r="A5646" t="str">
        <f>"20190304164521358"</f>
        <v>20190304164521358</v>
      </c>
      <c r="B5646" t="str">
        <f>"1551689121345333"</f>
        <v>1551689121345333</v>
      </c>
      <c r="C5646" t="s">
        <v>40</v>
      </c>
      <c r="D5646">
        <v>5.3578510000000001</v>
      </c>
      <c r="E5646">
        <v>0.53308429999999996</v>
      </c>
      <c r="F5646" t="s">
        <v>55</v>
      </c>
      <c r="G5646">
        <v>-240.48740000000001</v>
      </c>
      <c r="H5646" s="1">
        <v>4.274166E-7</v>
      </c>
      <c r="I5646">
        <v>-61.79815</v>
      </c>
      <c r="J5646">
        <v>-249.75470000000001</v>
      </c>
      <c r="K5646">
        <v>1.112033</v>
      </c>
      <c r="L5646">
        <v>-62.546050000000001</v>
      </c>
      <c r="M5646">
        <v>0.99770060000000005</v>
      </c>
      <c r="N5646">
        <v>-1.4084360000000001E-2</v>
      </c>
      <c r="O5646">
        <v>-6.6297839999999997E-2</v>
      </c>
      <c r="P5646">
        <v>0.90600780000000003</v>
      </c>
      <c r="Q5646">
        <v>0.39970450000000002</v>
      </c>
      <c r="R5646">
        <v>0.13923579999999999</v>
      </c>
      <c r="S5646">
        <v>3.4488530000000002</v>
      </c>
      <c r="T5646">
        <v>-0.4060241</v>
      </c>
      <c r="U5646">
        <v>0.26885989999999999</v>
      </c>
      <c r="V5646">
        <v>-0.20023949999999999</v>
      </c>
      <c r="W5646">
        <v>0.41166779999999997</v>
      </c>
      <c r="X5646">
        <v>0.88906339999999995</v>
      </c>
      <c r="Y5646">
        <v>-0.1422051</v>
      </c>
      <c r="Z5646">
        <v>1.6174000000000001E-2</v>
      </c>
      <c r="AA5646">
        <v>0.9897051</v>
      </c>
      <c r="AB5646">
        <v>38</v>
      </c>
      <c r="AC5646">
        <v>9.2673000000000005</v>
      </c>
      <c r="AD5646">
        <v>-1.1120325725833999</v>
      </c>
      <c r="AE5646">
        <v>0.74790000000000101</v>
      </c>
      <c r="AF5646">
        <v>-1.3415255776114801</v>
      </c>
      <c r="AG5646">
        <v>-1.1120325725833999</v>
      </c>
      <c r="AH5646">
        <v>9.0675993199451597</v>
      </c>
      <c r="AI5646">
        <v>96.917177510042094</v>
      </c>
      <c r="AJ5646">
        <v>98.415700302396203</v>
      </c>
      <c r="AK5646">
        <v>9.2335077161901093</v>
      </c>
      <c r="AL5646">
        <v>65.690353006450806</v>
      </c>
      <c r="AM5646">
        <v>102.69266526883899</v>
      </c>
      <c r="AN5646">
        <v>0.99999998206832397</v>
      </c>
    </row>
    <row r="5647" spans="1:40" x14ac:dyDescent="0.25">
      <c r="A5647" t="str">
        <f>"20190304164521369"</f>
        <v>20190304164521369</v>
      </c>
      <c r="B5647" t="str">
        <f>"1551689121365831"</f>
        <v>1551689121365831</v>
      </c>
      <c r="C5647" t="s">
        <v>40</v>
      </c>
      <c r="D5647">
        <v>5.3282579999999999</v>
      </c>
      <c r="E5647">
        <v>0.52816490000000005</v>
      </c>
      <c r="F5647" t="s">
        <v>55</v>
      </c>
      <c r="G5647">
        <v>-240.5779</v>
      </c>
      <c r="H5647" s="1">
        <v>4.0749639999999998E-7</v>
      </c>
      <c r="I5647">
        <v>-61.727089999999997</v>
      </c>
      <c r="J5647">
        <v>-249.5498</v>
      </c>
      <c r="K5647">
        <v>1.112023</v>
      </c>
      <c r="L5647">
        <v>-62.559139999999999</v>
      </c>
      <c r="M5647">
        <v>0.9977414</v>
      </c>
      <c r="N5647">
        <v>-1.408586E-2</v>
      </c>
      <c r="O5647">
        <v>-6.5680050000000004E-2</v>
      </c>
      <c r="P5647">
        <v>0.90582850000000004</v>
      </c>
      <c r="Q5647">
        <v>0.39981480000000003</v>
      </c>
      <c r="R5647">
        <v>0.1400825</v>
      </c>
      <c r="S5647">
        <v>3.4482729999999999</v>
      </c>
      <c r="T5647">
        <v>-0.41785719999999998</v>
      </c>
      <c r="U5647">
        <v>0.3077087</v>
      </c>
      <c r="V5647">
        <v>-0.20050709999999999</v>
      </c>
      <c r="W5647">
        <v>0.4117825</v>
      </c>
      <c r="X5647">
        <v>0.88895000000000002</v>
      </c>
      <c r="Y5647">
        <v>-0.1525058</v>
      </c>
      <c r="Z5647">
        <v>1.7264809999999998E-2</v>
      </c>
      <c r="AA5647">
        <v>0.98815180000000002</v>
      </c>
      <c r="AB5647">
        <v>38</v>
      </c>
      <c r="AC5647">
        <v>8.9718999999999998</v>
      </c>
      <c r="AD5647">
        <v>-1.1120225925036</v>
      </c>
      <c r="AE5647">
        <v>0.83204999999999496</v>
      </c>
      <c r="AF5647">
        <v>-1.39828842477139</v>
      </c>
      <c r="AG5647">
        <v>-1.1120225925036</v>
      </c>
      <c r="AH5647">
        <v>8.7643754380454002</v>
      </c>
      <c r="AI5647">
        <v>97.141671973471603</v>
      </c>
      <c r="AJ5647">
        <v>99.064704186909495</v>
      </c>
      <c r="AK5647">
        <v>8.9446118744248295</v>
      </c>
      <c r="AL5647">
        <v>65.683142398780404</v>
      </c>
      <c r="AM5647">
        <v>102.71064573</v>
      </c>
      <c r="AN5647">
        <v>1.00000001347833</v>
      </c>
    </row>
    <row r="5648" spans="1:40" x14ac:dyDescent="0.25">
      <c r="A5648" t="str">
        <f>"20190304164521382"</f>
        <v>20190304164521382</v>
      </c>
      <c r="B5648" t="str">
        <f>"1551689121375592"</f>
        <v>1551689121375592</v>
      </c>
      <c r="C5648" t="s">
        <v>40</v>
      </c>
      <c r="D5648">
        <v>5.3387510000000002</v>
      </c>
      <c r="E5648">
        <v>0.52705819999999903</v>
      </c>
      <c r="F5648" t="s">
        <v>55</v>
      </c>
      <c r="G5648">
        <v>-240.65719999999999</v>
      </c>
      <c r="H5648" s="1">
        <v>3.9242620000000001E-7</v>
      </c>
      <c r="I5648">
        <v>-61.655769999999997</v>
      </c>
      <c r="J5648">
        <v>-249.3484</v>
      </c>
      <c r="K5648">
        <v>1.112018</v>
      </c>
      <c r="L5648">
        <v>-62.571869999999997</v>
      </c>
      <c r="M5648">
        <v>0.99778100000000003</v>
      </c>
      <c r="N5648">
        <v>-1.40871E-2</v>
      </c>
      <c r="O5648">
        <v>-6.50757E-2</v>
      </c>
      <c r="P5648">
        <v>0.90559509999999999</v>
      </c>
      <c r="Q5648">
        <v>0.40000960000000002</v>
      </c>
      <c r="R5648">
        <v>0.14103189999999999</v>
      </c>
      <c r="S5648">
        <v>3.448029</v>
      </c>
      <c r="T5648">
        <v>-0.4311779</v>
      </c>
      <c r="U5648">
        <v>0.35025020000000001</v>
      </c>
      <c r="V5648">
        <v>-0.2008875</v>
      </c>
      <c r="W5648">
        <v>0.41198020000000002</v>
      </c>
      <c r="X5648">
        <v>0.88877249999999997</v>
      </c>
      <c r="Y5648">
        <v>-0.16379009999999999</v>
      </c>
      <c r="Z5648">
        <v>1.8513970000000001E-2</v>
      </c>
      <c r="AA5648">
        <v>0.98632140000000001</v>
      </c>
      <c r="AB5648">
        <v>38</v>
      </c>
      <c r="AC5648">
        <v>8.6912000000000091</v>
      </c>
      <c r="AD5648">
        <v>-1.1120176075738</v>
      </c>
      <c r="AE5648">
        <v>0.91610000000000003</v>
      </c>
      <c r="AF5648">
        <v>-1.4562225306110099</v>
      </c>
      <c r="AG5648">
        <v>-1.1120176075738</v>
      </c>
      <c r="AH5648">
        <v>8.4759211172367994</v>
      </c>
      <c r="AI5648">
        <v>97.367624742171699</v>
      </c>
      <c r="AJ5648">
        <v>99.7486402580804</v>
      </c>
      <c r="AK5648">
        <v>8.67170144803395</v>
      </c>
      <c r="AL5648">
        <v>65.670711671994994</v>
      </c>
      <c r="AM5648">
        <v>102.73643486202501</v>
      </c>
      <c r="AN5648">
        <v>1.0000000148022701</v>
      </c>
    </row>
    <row r="5649" spans="1:40" x14ac:dyDescent="0.25">
      <c r="A5649" t="str">
        <f>"20190304164521393"</f>
        <v>20190304164521393</v>
      </c>
      <c r="B5649" t="str">
        <f>"1551689121385350"</f>
        <v>1551689121385350</v>
      </c>
      <c r="C5649" t="s">
        <v>40</v>
      </c>
      <c r="D5649">
        <v>5.3051329999999997</v>
      </c>
      <c r="E5649">
        <v>0.52615299999999998</v>
      </c>
      <c r="F5649" t="s">
        <v>55</v>
      </c>
      <c r="G5649">
        <v>-240.554</v>
      </c>
      <c r="H5649" s="1">
        <v>4.388533E-7</v>
      </c>
      <c r="I5649">
        <v>-61.647730000000003</v>
      </c>
      <c r="J5649">
        <v>-249.14750000000001</v>
      </c>
      <c r="K5649">
        <v>1.1120110000000001</v>
      </c>
      <c r="L5649">
        <v>-62.584470000000003</v>
      </c>
      <c r="M5649">
        <v>0.99781980000000003</v>
      </c>
      <c r="N5649">
        <v>-1.408822E-2</v>
      </c>
      <c r="O5649">
        <v>-6.4474690000000001E-2</v>
      </c>
      <c r="P5649">
        <v>0.90522769999999997</v>
      </c>
      <c r="Q5649">
        <v>0.40050019999999997</v>
      </c>
      <c r="R5649">
        <v>0.14199410000000001</v>
      </c>
      <c r="S5649">
        <v>3.4489290000000001</v>
      </c>
      <c r="T5649">
        <v>-0.43610130000000003</v>
      </c>
      <c r="U5649">
        <v>0.3623962</v>
      </c>
      <c r="V5649">
        <v>-0.20127709999999999</v>
      </c>
      <c r="W5649">
        <v>0.41247030000000001</v>
      </c>
      <c r="X5649">
        <v>0.88845699999999905</v>
      </c>
      <c r="Y5649">
        <v>-0.16654669999999999</v>
      </c>
      <c r="Z5649">
        <v>1.883924E-2</v>
      </c>
      <c r="AA5649">
        <v>0.9858536</v>
      </c>
      <c r="AB5649">
        <v>38</v>
      </c>
      <c r="AC5649">
        <v>8.5935000000000006</v>
      </c>
      <c r="AD5649">
        <v>-1.1120105611466999</v>
      </c>
      <c r="AE5649">
        <v>0.93673999999999302</v>
      </c>
      <c r="AF5649">
        <v>-1.46467136602518</v>
      </c>
      <c r="AG5649">
        <v>-1.1120105611466999</v>
      </c>
      <c r="AH5649">
        <v>8.3765976592715798</v>
      </c>
      <c r="AI5649">
        <v>97.450184656771796</v>
      </c>
      <c r="AJ5649">
        <v>99.918060722184194</v>
      </c>
      <c r="AK5649">
        <v>8.5760840739739699</v>
      </c>
      <c r="AL5649">
        <v>65.639890844703203</v>
      </c>
      <c r="AM5649">
        <v>102.76471074986</v>
      </c>
      <c r="AN5649">
        <v>1.0000000301077401</v>
      </c>
    </row>
    <row r="5650" spans="1:40" x14ac:dyDescent="0.25">
      <c r="A5650" t="str">
        <f>"20190304164521403"</f>
        <v>20190304164521403</v>
      </c>
      <c r="B5650" t="str">
        <f>"1551689121396085"</f>
        <v>1551689121396085</v>
      </c>
      <c r="C5650" t="s">
        <v>40</v>
      </c>
      <c r="D5650">
        <v>5.2745480000000002</v>
      </c>
      <c r="E5650">
        <v>0.52552969999999999</v>
      </c>
      <c r="F5650" t="s">
        <v>55</v>
      </c>
      <c r="G5650">
        <v>-240.41079999999999</v>
      </c>
      <c r="H5650" s="1">
        <v>5.0250909999999898E-7</v>
      </c>
      <c r="I5650">
        <v>-61.639420000000001</v>
      </c>
      <c r="J5650">
        <v>-248.97389999999999</v>
      </c>
      <c r="K5650">
        <v>1.1120080000000001</v>
      </c>
      <c r="L5650">
        <v>-62.595179999999999</v>
      </c>
      <c r="M5650">
        <v>0.99785330000000005</v>
      </c>
      <c r="N5650">
        <v>-1.4088989999999999E-2</v>
      </c>
      <c r="O5650">
        <v>-6.3957559999999997E-2</v>
      </c>
      <c r="P5650">
        <v>0.90484039999999999</v>
      </c>
      <c r="Q5650">
        <v>0.40116360000000001</v>
      </c>
      <c r="R5650">
        <v>0.142590299999999</v>
      </c>
      <c r="S5650">
        <v>3.4498139999999999</v>
      </c>
      <c r="T5650">
        <v>-0.43909100000000001</v>
      </c>
      <c r="U5650">
        <v>0.37313839999999998</v>
      </c>
      <c r="V5650">
        <v>-0.20137930000000001</v>
      </c>
      <c r="W5650">
        <v>0.41313299999999997</v>
      </c>
      <c r="X5650">
        <v>0.88812579999999997</v>
      </c>
      <c r="Y5650">
        <v>-0.16900209999999999</v>
      </c>
      <c r="Z5650">
        <v>1.9072849999999999E-2</v>
      </c>
      <c r="AA5650">
        <v>0.9854311</v>
      </c>
      <c r="AB5650">
        <v>38</v>
      </c>
      <c r="AC5650">
        <v>8.5630999999999897</v>
      </c>
      <c r="AD5650">
        <v>-1.11200749749089</v>
      </c>
      <c r="AE5650">
        <v>0.95576000000001204</v>
      </c>
      <c r="AF5650">
        <v>-1.4769319690029099</v>
      </c>
      <c r="AG5650">
        <v>-1.11200749749089</v>
      </c>
      <c r="AH5650">
        <v>8.3454271589576194</v>
      </c>
      <c r="AI5650">
        <v>97.474999972800106</v>
      </c>
      <c r="AJ5650">
        <v>100.03600518993601</v>
      </c>
      <c r="AK5650">
        <v>8.5477507673660096</v>
      </c>
      <c r="AL5650">
        <v>65.598201643369194</v>
      </c>
      <c r="AM5650">
        <v>102.775585918335</v>
      </c>
      <c r="AN5650">
        <v>0.99999996739156405</v>
      </c>
    </row>
    <row r="5651" spans="1:40" x14ac:dyDescent="0.25">
      <c r="A5651" t="str">
        <f>"20190304164521414"</f>
        <v>20190304164521414</v>
      </c>
      <c r="B5651" t="str">
        <f>"1551689121405846"</f>
        <v>1551689121405846</v>
      </c>
      <c r="C5651" t="s">
        <v>40</v>
      </c>
      <c r="D5651">
        <v>5.2997759999999996</v>
      </c>
      <c r="E5651">
        <v>0.5251536</v>
      </c>
      <c r="F5651" t="s">
        <v>55</v>
      </c>
      <c r="G5651">
        <v>-240.22049999999999</v>
      </c>
      <c r="H5651" s="1">
        <v>5.8678050000000003E-7</v>
      </c>
      <c r="I5651">
        <v>-61.629449999999999</v>
      </c>
      <c r="J5651">
        <v>-248.79490000000001</v>
      </c>
      <c r="K5651">
        <v>1.112004</v>
      </c>
      <c r="L5651">
        <v>-62.606259999999999</v>
      </c>
      <c r="M5651">
        <v>0.99788730000000003</v>
      </c>
      <c r="N5651">
        <v>-1.408977E-2</v>
      </c>
      <c r="O5651">
        <v>-6.3424809999999998E-2</v>
      </c>
      <c r="P5651">
        <v>0.90462739999999997</v>
      </c>
      <c r="Q5651">
        <v>0.40138230000000003</v>
      </c>
      <c r="R5651">
        <v>0.14332400000000001</v>
      </c>
      <c r="S5651">
        <v>3.4498139999999999</v>
      </c>
      <c r="T5651">
        <v>-0.43825700000000001</v>
      </c>
      <c r="U5651">
        <v>0.3805847</v>
      </c>
      <c r="V5651">
        <v>-0.20161470000000001</v>
      </c>
      <c r="W5651">
        <v>0.41335280000000002</v>
      </c>
      <c r="X5651">
        <v>0.88797009999999899</v>
      </c>
      <c r="Y5651">
        <v>-0.170574799999999</v>
      </c>
      <c r="Z5651">
        <v>1.9086289999999999E-2</v>
      </c>
      <c r="AA5651">
        <v>0.98515989999999998</v>
      </c>
      <c r="AB5651">
        <v>38</v>
      </c>
      <c r="AC5651">
        <v>8.5744000000000202</v>
      </c>
      <c r="AD5651">
        <v>-1.1120034132195</v>
      </c>
      <c r="AE5651">
        <v>0.97680999999999996</v>
      </c>
      <c r="AF5651">
        <v>-1.49392190038654</v>
      </c>
      <c r="AG5651">
        <v>-1.1120034132195</v>
      </c>
      <c r="AH5651">
        <v>8.3564253985519805</v>
      </c>
      <c r="AI5651">
        <v>97.462955041897601</v>
      </c>
      <c r="AJ5651">
        <v>100.135987556928</v>
      </c>
      <c r="AK5651">
        <v>8.5614367764430099</v>
      </c>
      <c r="AL5651">
        <v>65.584371790458505</v>
      </c>
      <c r="AM5651">
        <v>102.792197742886</v>
      </c>
      <c r="AN5651">
        <v>0.99999996150896897</v>
      </c>
    </row>
    <row r="5652" spans="1:40" x14ac:dyDescent="0.25">
      <c r="A5652" t="str">
        <f>"20190304164521424"</f>
        <v>20190304164521424</v>
      </c>
      <c r="B5652" t="str">
        <f>"1551689121415606"</f>
        <v>1551689121415606</v>
      </c>
      <c r="C5652" t="s">
        <v>40</v>
      </c>
      <c r="D5652">
        <v>5.2839419999999997</v>
      </c>
      <c r="E5652">
        <v>0.52485740000000003</v>
      </c>
      <c r="F5652" t="s">
        <v>55</v>
      </c>
      <c r="G5652">
        <v>-240.0676</v>
      </c>
      <c r="H5652" s="1">
        <v>6.5234179999999999E-7</v>
      </c>
      <c r="I5652">
        <v>-61.62961</v>
      </c>
      <c r="J5652">
        <v>-248.61320000000001</v>
      </c>
      <c r="K5652">
        <v>1.1120000000000001</v>
      </c>
      <c r="L5652">
        <v>-62.617280000000001</v>
      </c>
      <c r="M5652">
        <v>0.99792159999999996</v>
      </c>
      <c r="N5652">
        <v>-1.409035E-2</v>
      </c>
      <c r="O5652">
        <v>-6.2882740000000006E-2</v>
      </c>
      <c r="P5652">
        <v>0.90422650000000004</v>
      </c>
      <c r="Q5652">
        <v>0.4020627</v>
      </c>
      <c r="R5652">
        <v>0.14394560000000001</v>
      </c>
      <c r="S5652">
        <v>3.45018</v>
      </c>
      <c r="T5652">
        <v>-0.43961050000000002</v>
      </c>
      <c r="U5652">
        <v>0.38607789999999997</v>
      </c>
      <c r="V5652">
        <v>-0.2017217</v>
      </c>
      <c r="W5652">
        <v>0.41403089999999998</v>
      </c>
      <c r="X5652">
        <v>0.88762989999999997</v>
      </c>
      <c r="Y5652">
        <v>-0.1715614</v>
      </c>
      <c r="Z5652">
        <v>1.914894E-2</v>
      </c>
      <c r="AA5652">
        <v>0.98498730000000001</v>
      </c>
      <c r="AB5652">
        <v>38</v>
      </c>
      <c r="AC5652">
        <v>8.5456000000000092</v>
      </c>
      <c r="AD5652">
        <v>-1.1119993476582</v>
      </c>
      <c r="AE5652">
        <v>0.98767000000000804</v>
      </c>
      <c r="AF5652">
        <v>-1.4981064782316</v>
      </c>
      <c r="AG5652">
        <v>-1.1119993476582</v>
      </c>
      <c r="AH5652">
        <v>8.3274243460816795</v>
      </c>
      <c r="AI5652">
        <v>97.487176769485103</v>
      </c>
      <c r="AJ5652">
        <v>100.19844277626601</v>
      </c>
      <c r="AK5652">
        <v>8.5338655841901794</v>
      </c>
      <c r="AL5652">
        <v>65.541698453168806</v>
      </c>
      <c r="AM5652">
        <v>102.803506919025</v>
      </c>
      <c r="AN5652">
        <v>1.0000000348898499</v>
      </c>
    </row>
    <row r="5653" spans="1:40" x14ac:dyDescent="0.25">
      <c r="A5653" t="str">
        <f>"20190304164521436"</f>
        <v>20190304164521436</v>
      </c>
      <c r="B5653" t="str">
        <f>"1551689121425366"</f>
        <v>1551689121425366</v>
      </c>
      <c r="C5653" t="s">
        <v>40</v>
      </c>
      <c r="D5653">
        <v>5.3171220000000003</v>
      </c>
      <c r="E5653">
        <v>0.52466550000000001</v>
      </c>
      <c r="F5653" t="s">
        <v>56</v>
      </c>
      <c r="G5653">
        <v>-239.87139999999999</v>
      </c>
      <c r="H5653" s="1">
        <v>-3.453484E-6</v>
      </c>
      <c r="I5653">
        <v>-61.624720000000003</v>
      </c>
      <c r="J5653">
        <v>-248.42570000000001</v>
      </c>
      <c r="K5653">
        <v>1.1120000000000001</v>
      </c>
      <c r="L5653">
        <v>-62.628630000000001</v>
      </c>
      <c r="M5653">
        <v>0.99795679999999998</v>
      </c>
      <c r="N5653">
        <v>-1.409092E-2</v>
      </c>
      <c r="O5653">
        <v>-6.2322179999999998E-2</v>
      </c>
      <c r="P5653">
        <v>0.90392859999999997</v>
      </c>
      <c r="Q5653">
        <v>0.4024721</v>
      </c>
      <c r="R5653">
        <v>0.14467160000000001</v>
      </c>
      <c r="S5653">
        <v>3.4505460000000001</v>
      </c>
      <c r="T5653">
        <v>-0.43892569999999997</v>
      </c>
      <c r="U5653">
        <v>0.3917542</v>
      </c>
      <c r="V5653">
        <v>-0.20192299999999999</v>
      </c>
      <c r="W5653">
        <v>0.4144388</v>
      </c>
      <c r="X5653">
        <v>0.88739369999999995</v>
      </c>
      <c r="Y5653">
        <v>-0.17259759999999999</v>
      </c>
      <c r="Z5653">
        <v>1.9126310000000001E-2</v>
      </c>
      <c r="AA5653">
        <v>0.98480670000000003</v>
      </c>
      <c r="AB5653">
        <v>38</v>
      </c>
      <c r="AC5653">
        <v>8.5543000000000102</v>
      </c>
      <c r="AD5653">
        <v>-1.112003453484</v>
      </c>
      <c r="AE5653">
        <v>1.0039100000000001</v>
      </c>
      <c r="AF5653">
        <v>-1.50996435329802</v>
      </c>
      <c r="AG5653">
        <v>-1.112003453484</v>
      </c>
      <c r="AH5653">
        <v>8.3361428202486394</v>
      </c>
      <c r="AI5653">
        <v>97.477866699388201</v>
      </c>
      <c r="AJ5653">
        <v>100.266931930563</v>
      </c>
      <c r="AK5653">
        <v>8.5444614311478908</v>
      </c>
      <c r="AL5653">
        <v>65.516019924017201</v>
      </c>
      <c r="AM5653">
        <v>102.819160478858</v>
      </c>
      <c r="AN5653">
        <v>0.99999999783706495</v>
      </c>
    </row>
    <row r="5654" spans="1:40" x14ac:dyDescent="0.25">
      <c r="A5654" t="str">
        <f>"20190304164521447"</f>
        <v>20190304164521447</v>
      </c>
      <c r="B5654" t="str">
        <f>"1551689121436102"</f>
        <v>1551689121436102</v>
      </c>
      <c r="C5654" t="s">
        <v>40</v>
      </c>
      <c r="D5654">
        <v>5.3364669999999998</v>
      </c>
      <c r="E5654">
        <v>0.52455540000000001</v>
      </c>
      <c r="F5654" t="s">
        <v>56</v>
      </c>
      <c r="G5654">
        <v>-239.6986</v>
      </c>
      <c r="H5654" s="1">
        <v>-3.3948020000000001E-6</v>
      </c>
      <c r="I5654">
        <v>-61.625329999999998</v>
      </c>
      <c r="J5654">
        <v>-248.23310000000001</v>
      </c>
      <c r="K5654">
        <v>1.1120000000000001</v>
      </c>
      <c r="L5654">
        <v>-62.640140000000002</v>
      </c>
      <c r="M5654">
        <v>0.99799280000000001</v>
      </c>
      <c r="N5654">
        <v>-1.40912999999999E-2</v>
      </c>
      <c r="O5654">
        <v>-6.1741919999999999E-2</v>
      </c>
      <c r="P5654">
        <v>0.90366009999999997</v>
      </c>
      <c r="Q5654">
        <v>0.40278160000000002</v>
      </c>
      <c r="R5654">
        <v>0.14548510000000001</v>
      </c>
      <c r="S5654">
        <v>3.451111</v>
      </c>
      <c r="T5654">
        <v>-0.43973980000000001</v>
      </c>
      <c r="U5654">
        <v>0.39672849999999998</v>
      </c>
      <c r="V5654">
        <v>-0.2021983</v>
      </c>
      <c r="W5654">
        <v>0.41474549999999999</v>
      </c>
      <c r="X5654">
        <v>0.88718770000000002</v>
      </c>
      <c r="Y5654">
        <v>-0.17339869999999999</v>
      </c>
      <c r="Z5654">
        <v>1.9147649999999999E-2</v>
      </c>
      <c r="AA5654">
        <v>0.98466560000000003</v>
      </c>
      <c r="AB5654">
        <v>38</v>
      </c>
      <c r="AC5654">
        <v>8.5344999999999995</v>
      </c>
      <c r="AD5654">
        <v>-1.1120033948019901</v>
      </c>
      <c r="AE5654">
        <v>1.01480999999999</v>
      </c>
      <c r="AF5654">
        <v>-1.51450911030705</v>
      </c>
      <c r="AG5654">
        <v>-1.1120033948019901</v>
      </c>
      <c r="AH5654">
        <v>8.3163351943946502</v>
      </c>
      <c r="AI5654">
        <v>97.494200608785803</v>
      </c>
      <c r="AJ5654">
        <v>100.3211726394</v>
      </c>
      <c r="AK5654">
        <v>8.5259439630331393</v>
      </c>
      <c r="AL5654">
        <v>65.496709534443099</v>
      </c>
      <c r="AM5654">
        <v>102.838941120824</v>
      </c>
      <c r="AN5654">
        <v>0.99999999866221501</v>
      </c>
    </row>
    <row r="5655" spans="1:40" x14ac:dyDescent="0.25">
      <c r="A5655" t="str">
        <f>"20190304164521459"</f>
        <v>20190304164521459</v>
      </c>
      <c r="B5655" t="str">
        <f>"1551689121455622"</f>
        <v>1551689121455622</v>
      </c>
      <c r="C5655" t="s">
        <v>40</v>
      </c>
      <c r="D5655">
        <v>5.3235000000000001</v>
      </c>
      <c r="E5655">
        <v>0.52437029999999996</v>
      </c>
      <c r="F5655" t="s">
        <v>56</v>
      </c>
      <c r="G5655">
        <v>-239.5341</v>
      </c>
      <c r="H5655" s="1">
        <v>-3.339401E-6</v>
      </c>
      <c r="I5655">
        <v>-61.628529999999998</v>
      </c>
      <c r="J5655">
        <v>-248.0386</v>
      </c>
      <c r="K5655">
        <v>1.1120049999999999</v>
      </c>
      <c r="L5655">
        <v>-62.65164</v>
      </c>
      <c r="M5655">
        <v>0.9980291</v>
      </c>
      <c r="N5655">
        <v>-1.4091619999999999E-2</v>
      </c>
      <c r="O5655">
        <v>-6.1151150000000001E-2</v>
      </c>
      <c r="P5655">
        <v>0.90348039999999996</v>
      </c>
      <c r="Q5655">
        <v>0.40284449999999999</v>
      </c>
      <c r="R5655">
        <v>0.14642289999999999</v>
      </c>
      <c r="S5655">
        <v>3.4519039999999999</v>
      </c>
      <c r="T5655">
        <v>-0.4412624</v>
      </c>
      <c r="U5655">
        <v>0.40139770000000002</v>
      </c>
      <c r="V5655">
        <v>-0.20259450000000001</v>
      </c>
      <c r="W5655">
        <v>0.41480630000000002</v>
      </c>
      <c r="X5655">
        <v>0.88706890000000005</v>
      </c>
      <c r="Y5655">
        <v>-0.1740901</v>
      </c>
      <c r="Z5655">
        <v>1.9188799999999999E-2</v>
      </c>
      <c r="AA5655">
        <v>0.98454269999999999</v>
      </c>
      <c r="AB5655">
        <v>38</v>
      </c>
      <c r="AC5655">
        <v>8.5045000000000002</v>
      </c>
      <c r="AD5655">
        <v>-1.1120083394010001</v>
      </c>
      <c r="AE5655">
        <v>1.02310999999999</v>
      </c>
      <c r="AF5655">
        <v>-1.5157612716331501</v>
      </c>
      <c r="AG5655">
        <v>-1.1120083394010001</v>
      </c>
      <c r="AH5655">
        <v>8.2863599156023398</v>
      </c>
      <c r="AI5655">
        <v>97.519970056774397</v>
      </c>
      <c r="AJ5655">
        <v>100.366079909547</v>
      </c>
      <c r="AK5655">
        <v>8.4969321187344793</v>
      </c>
      <c r="AL5655">
        <v>65.492881543063703</v>
      </c>
      <c r="AM5655">
        <v>102.864927845946</v>
      </c>
      <c r="AN5655">
        <v>1.00000001564857</v>
      </c>
    </row>
    <row r="5656" spans="1:40" x14ac:dyDescent="0.25">
      <c r="A5656" t="str">
        <f>"20190304164521471"</f>
        <v>20190304164521471</v>
      </c>
      <c r="B5656" t="str">
        <f>"1551689121465381"</f>
        <v>1551689121465381</v>
      </c>
      <c r="C5656" t="s">
        <v>40</v>
      </c>
      <c r="D5656">
        <v>5.3228470000000003</v>
      </c>
      <c r="E5656">
        <v>0.52422429999999998</v>
      </c>
      <c r="F5656" t="s">
        <v>56</v>
      </c>
      <c r="G5656">
        <v>-239.42250000000001</v>
      </c>
      <c r="H5656" s="1">
        <v>-3.303085E-6</v>
      </c>
      <c r="I5656">
        <v>-61.637990000000002</v>
      </c>
      <c r="J5656">
        <v>-247.8289</v>
      </c>
      <c r="K5656">
        <v>1.112009</v>
      </c>
      <c r="L5656">
        <v>-62.663939999999997</v>
      </c>
      <c r="M5656">
        <v>0.99806830000000002</v>
      </c>
      <c r="N5656">
        <v>-1.4091879999999999E-2</v>
      </c>
      <c r="O5656">
        <v>-6.0507770000000002E-2</v>
      </c>
      <c r="P5656">
        <v>0.90319380000000005</v>
      </c>
      <c r="Q5656">
        <v>0.40315649999999997</v>
      </c>
      <c r="R5656">
        <v>0.14732999999999999</v>
      </c>
      <c r="S5656">
        <v>3.453354</v>
      </c>
      <c r="T5656">
        <v>-0.44569560000000003</v>
      </c>
      <c r="U5656">
        <v>0.40625</v>
      </c>
      <c r="V5656">
        <v>-0.20291049999999999</v>
      </c>
      <c r="W5656">
        <v>0.41511300000000001</v>
      </c>
      <c r="X5656">
        <v>0.88685319999999901</v>
      </c>
      <c r="Y5656">
        <v>-0.17473449999999999</v>
      </c>
      <c r="Z5656">
        <v>1.933967E-2</v>
      </c>
      <c r="AA5656">
        <v>0.98442560000000001</v>
      </c>
      <c r="AB5656">
        <v>38</v>
      </c>
      <c r="AC5656">
        <v>8.4063999999999908</v>
      </c>
      <c r="AD5656">
        <v>-1.112012303085</v>
      </c>
      <c r="AE5656">
        <v>1.0259499999999999</v>
      </c>
      <c r="AF5656">
        <v>-1.50679325084271</v>
      </c>
      <c r="AG5656">
        <v>-1.112012303085</v>
      </c>
      <c r="AH5656">
        <v>8.1877400953356396</v>
      </c>
      <c r="AI5656">
        <v>97.608039510320296</v>
      </c>
      <c r="AJ5656">
        <v>100.42749439306699</v>
      </c>
      <c r="AK5656">
        <v>8.3991716931947806</v>
      </c>
      <c r="AL5656">
        <v>65.473568110665099</v>
      </c>
      <c r="AM5656">
        <v>102.887354048362</v>
      </c>
      <c r="AN5656">
        <v>1.0000000360647401</v>
      </c>
    </row>
    <row r="5657" spans="1:40" x14ac:dyDescent="0.25">
      <c r="A5657" t="str">
        <f>"20190304164521484"</f>
        <v>20190304164521484</v>
      </c>
      <c r="B5657" t="str">
        <f>"1551689121476117"</f>
        <v>1551689121476117</v>
      </c>
      <c r="C5657" t="s">
        <v>40</v>
      </c>
      <c r="D5657">
        <v>5.3340769999999997</v>
      </c>
      <c r="E5657">
        <v>0.524173</v>
      </c>
      <c r="F5657" t="s">
        <v>56</v>
      </c>
      <c r="G5657">
        <v>-239.21899999999999</v>
      </c>
      <c r="H5657" s="1">
        <v>-3.2342240000000001E-6</v>
      </c>
      <c r="I5657">
        <v>-61.640149999999998</v>
      </c>
      <c r="J5657">
        <v>-247.6164</v>
      </c>
      <c r="K5657">
        <v>1.112012</v>
      </c>
      <c r="L5657">
        <v>-62.676209999999998</v>
      </c>
      <c r="M5657">
        <v>0.99810860000000001</v>
      </c>
      <c r="N5657">
        <v>-1.409207E-2</v>
      </c>
      <c r="O5657">
        <v>-5.9840119999999997E-2</v>
      </c>
      <c r="P5657">
        <v>0.90304130000000005</v>
      </c>
      <c r="Q5657">
        <v>0.4032269</v>
      </c>
      <c r="R5657">
        <v>0.14806949999999999</v>
      </c>
      <c r="S5657">
        <v>3.453659</v>
      </c>
      <c r="T5657">
        <v>-0.44605739999999999</v>
      </c>
      <c r="U5657">
        <v>0.41064450000000002</v>
      </c>
      <c r="V5657">
        <v>-0.20305100000000001</v>
      </c>
      <c r="W5657">
        <v>0.41517900000000002</v>
      </c>
      <c r="X5657">
        <v>0.88679010000000003</v>
      </c>
      <c r="Y5657">
        <v>-0.17529810000000001</v>
      </c>
      <c r="Z5657">
        <v>1.9315969999999998E-2</v>
      </c>
      <c r="AA5657">
        <v>0.98432589999999998</v>
      </c>
      <c r="AB5657">
        <v>38</v>
      </c>
      <c r="AC5657">
        <v>8.3973999999999691</v>
      </c>
      <c r="AD5657">
        <v>-1.1120152342239999</v>
      </c>
      <c r="AE5657">
        <v>1.03605999999999</v>
      </c>
      <c r="AF5657">
        <v>-1.5106604495009699</v>
      </c>
      <c r="AG5657">
        <v>-1.1120152342239999</v>
      </c>
      <c r="AH5657">
        <v>8.1790665979474593</v>
      </c>
      <c r="AI5657">
        <v>97.615136265333604</v>
      </c>
      <c r="AJ5657">
        <v>100.464508248557</v>
      </c>
      <c r="AK5657">
        <v>8.3914124727898205</v>
      </c>
      <c r="AL5657">
        <v>65.469410426457202</v>
      </c>
      <c r="AM5657">
        <v>102.896866254844</v>
      </c>
      <c r="AN5657">
        <v>0.999999996050005</v>
      </c>
    </row>
    <row r="5658" spans="1:40" x14ac:dyDescent="0.25">
      <c r="A5658" t="str">
        <f>"20190304164521499"</f>
        <v>20190304164521499</v>
      </c>
      <c r="B5658" t="str">
        <f>"1551689121486221"</f>
        <v>1551689121486221</v>
      </c>
      <c r="C5658" t="s">
        <v>40</v>
      </c>
      <c r="D5658">
        <v>5.3178839999999896</v>
      </c>
      <c r="E5658">
        <v>0.52411830000000004</v>
      </c>
      <c r="F5658" t="s">
        <v>56</v>
      </c>
      <c r="G5658">
        <v>-239.04349999999999</v>
      </c>
      <c r="H5658" s="1">
        <v>-3.1760550000000002E-6</v>
      </c>
      <c r="I5658">
        <v>-61.648980000000002</v>
      </c>
      <c r="J5658">
        <v>-247.38059999999999</v>
      </c>
      <c r="K5658">
        <v>1.1120300000000001</v>
      </c>
      <c r="L5658">
        <v>-62.689700000000002</v>
      </c>
      <c r="M5658">
        <v>0.99815339999999997</v>
      </c>
      <c r="N5658">
        <v>-1.4092250000000001E-2</v>
      </c>
      <c r="O5658">
        <v>-5.9085989999999998E-2</v>
      </c>
      <c r="P5658">
        <v>0.90282150000000005</v>
      </c>
      <c r="Q5658">
        <v>0.4034432</v>
      </c>
      <c r="R5658">
        <v>0.14881849999999999</v>
      </c>
      <c r="S5658">
        <v>3.4543149999999998</v>
      </c>
      <c r="T5658">
        <v>-0.44807049999999998</v>
      </c>
      <c r="U5658">
        <v>0.41387940000000001</v>
      </c>
      <c r="V5658">
        <v>-0.20312440000000001</v>
      </c>
      <c r="W5658">
        <v>0.41538720000000001</v>
      </c>
      <c r="X5658">
        <v>0.88667580000000001</v>
      </c>
      <c r="Y5658">
        <v>-0.17542859999999999</v>
      </c>
      <c r="Z5658">
        <v>1.9319019999999999E-2</v>
      </c>
      <c r="AA5658">
        <v>0.98430260000000003</v>
      </c>
      <c r="AB5658">
        <v>38</v>
      </c>
      <c r="AC5658">
        <v>8.3370999999999906</v>
      </c>
      <c r="AD5658">
        <v>-1.112033176055</v>
      </c>
      <c r="AE5658">
        <v>1.0407200000000001</v>
      </c>
      <c r="AF5658">
        <v>-1.5051879028731501</v>
      </c>
      <c r="AG5658">
        <v>-1.112033176055</v>
      </c>
      <c r="AH5658">
        <v>8.1188061281050707</v>
      </c>
      <c r="AI5658">
        <v>97.670165067120493</v>
      </c>
      <c r="AJ5658">
        <v>100.503112046806</v>
      </c>
      <c r="AK5658">
        <v>8.3316997877599501</v>
      </c>
      <c r="AL5658">
        <v>65.456297613164907</v>
      </c>
      <c r="AM5658">
        <v>102.90297975684599</v>
      </c>
      <c r="AN5658">
        <v>1.0000000110524101</v>
      </c>
    </row>
    <row r="5659" spans="1:40" x14ac:dyDescent="0.25">
      <c r="A5659" t="str">
        <f>"20190304164521511"</f>
        <v>20190304164521511</v>
      </c>
      <c r="B5659" t="str">
        <f>"1551689121506130"</f>
        <v>1551689121506130</v>
      </c>
      <c r="C5659" t="s">
        <v>40</v>
      </c>
      <c r="D5659">
        <v>5.3586140000000002</v>
      </c>
      <c r="E5659">
        <v>0.52407190000000003</v>
      </c>
      <c r="F5659" t="s">
        <v>56</v>
      </c>
      <c r="G5659">
        <v>-238.80709999999999</v>
      </c>
      <c r="H5659" s="1">
        <v>-3.0968959999999998E-6</v>
      </c>
      <c r="I5659">
        <v>-61.656170000000003</v>
      </c>
      <c r="J5659">
        <v>-247.13460000000001</v>
      </c>
      <c r="K5659">
        <v>1.112053</v>
      </c>
      <c r="L5659">
        <v>-62.70355</v>
      </c>
      <c r="M5659">
        <v>0.99820109999999995</v>
      </c>
      <c r="N5659">
        <v>-1.4092449999999999E-2</v>
      </c>
      <c r="O5659">
        <v>-5.8276210000000002E-2</v>
      </c>
      <c r="P5659">
        <v>0.90255949999999996</v>
      </c>
      <c r="Q5659">
        <v>0.40386490000000003</v>
      </c>
      <c r="R5659">
        <v>0.1492637</v>
      </c>
      <c r="S5659">
        <v>3.4545140000000001</v>
      </c>
      <c r="T5659">
        <v>-0.44807209999999997</v>
      </c>
      <c r="U5659">
        <v>0.41641240000000002</v>
      </c>
      <c r="V5659">
        <v>-0.20285130000000001</v>
      </c>
      <c r="W5659">
        <v>0.4157979</v>
      </c>
      <c r="X5659">
        <v>0.88654580000000005</v>
      </c>
      <c r="Y5659">
        <v>-0.17534149999999901</v>
      </c>
      <c r="Z5659">
        <v>1.921817E-2</v>
      </c>
      <c r="AA5659">
        <v>0.98432010000000003</v>
      </c>
      <c r="AB5659">
        <v>38</v>
      </c>
      <c r="AC5659">
        <v>8.3275000000000095</v>
      </c>
      <c r="AD5659">
        <v>-1.112056096896</v>
      </c>
      <c r="AE5659">
        <v>1.04738</v>
      </c>
      <c r="AF5659">
        <v>-1.5045304658488401</v>
      </c>
      <c r="AG5659">
        <v>-1.112056096896</v>
      </c>
      <c r="AH5659">
        <v>8.1099291073027793</v>
      </c>
      <c r="AI5659">
        <v>97.678451228084199</v>
      </c>
      <c r="AJ5659">
        <v>100.50986225682099</v>
      </c>
      <c r="AK5659">
        <v>8.3229340265790697</v>
      </c>
      <c r="AL5659">
        <v>65.430425887495105</v>
      </c>
      <c r="AM5659">
        <v>102.888037734951</v>
      </c>
      <c r="AN5659">
        <v>0.99999999952687002</v>
      </c>
    </row>
    <row r="5660" spans="1:40" x14ac:dyDescent="0.25">
      <c r="A5660" t="str">
        <f>"20190304164521526"</f>
        <v>20190304164521526</v>
      </c>
      <c r="B5660" t="str">
        <f>"1551689121515760"</f>
        <v>1551689121515760</v>
      </c>
      <c r="C5660" t="s">
        <v>40</v>
      </c>
      <c r="D5660">
        <v>5.3598019999999904</v>
      </c>
      <c r="E5660">
        <v>0.52404770000000001</v>
      </c>
      <c r="F5660" t="s">
        <v>56</v>
      </c>
      <c r="G5660">
        <v>-238.5883</v>
      </c>
      <c r="H5660" s="1">
        <v>-3.0127310000000002E-6</v>
      </c>
      <c r="I5660">
        <v>-61.666110000000003</v>
      </c>
      <c r="J5660">
        <v>-246.91220000000001</v>
      </c>
      <c r="K5660">
        <v>1.11209</v>
      </c>
      <c r="L5660">
        <v>-62.715850000000003</v>
      </c>
      <c r="M5660">
        <v>0.9982453</v>
      </c>
      <c r="N5660">
        <v>-1.409265E-2</v>
      </c>
      <c r="O5660">
        <v>-5.7514179999999998E-2</v>
      </c>
      <c r="P5660">
        <v>0.90223149999999996</v>
      </c>
      <c r="Q5660">
        <v>0.40454289999999998</v>
      </c>
      <c r="R5660">
        <v>0.1494104</v>
      </c>
      <c r="S5660">
        <v>3.4557039999999999</v>
      </c>
      <c r="T5660">
        <v>-0.4496617</v>
      </c>
      <c r="U5660">
        <v>0.41946410000000001</v>
      </c>
      <c r="V5660">
        <v>-0.202324</v>
      </c>
      <c r="W5660">
        <v>0.41646349999999999</v>
      </c>
      <c r="X5660">
        <v>0.88635390000000003</v>
      </c>
      <c r="Y5660">
        <v>-0.1753989</v>
      </c>
      <c r="Z5660">
        <v>1.9193450000000001E-2</v>
      </c>
      <c r="AA5660">
        <v>0.98431029999999997</v>
      </c>
      <c r="AB5660">
        <v>38</v>
      </c>
      <c r="AC5660">
        <v>8.3239000000000001</v>
      </c>
      <c r="AD5660">
        <v>-1.112093012731</v>
      </c>
      <c r="AE5660">
        <v>1.0497399999999999</v>
      </c>
      <c r="AF5660">
        <v>-1.5004290175138799</v>
      </c>
      <c r="AG5660">
        <v>-1.112093012731</v>
      </c>
      <c r="AH5660">
        <v>8.1072912678727604</v>
      </c>
      <c r="AI5660">
        <v>97.681777424598707</v>
      </c>
      <c r="AJ5660">
        <v>100.485182328124</v>
      </c>
      <c r="AK5660">
        <v>8.3196279849335006</v>
      </c>
      <c r="AL5660">
        <v>65.388487188980804</v>
      </c>
      <c r="AM5660">
        <v>102.85834134560599</v>
      </c>
      <c r="AN5660">
        <v>1.0000000419267201</v>
      </c>
    </row>
    <row r="5661" spans="1:40" x14ac:dyDescent="0.25">
      <c r="A5661" t="str">
        <f>"20190304164521538"</f>
        <v>20190304164521538</v>
      </c>
      <c r="B5661" t="str">
        <f>"1551689121525520"</f>
        <v>1551689121525520</v>
      </c>
      <c r="C5661" t="s">
        <v>40</v>
      </c>
      <c r="D5661">
        <v>5.3841299999999999</v>
      </c>
      <c r="E5661">
        <v>0.52405709999999905</v>
      </c>
      <c r="F5661" t="s">
        <v>56</v>
      </c>
      <c r="G5661">
        <v>-238.34739999999999</v>
      </c>
      <c r="H5661" s="1">
        <v>-2.9110300000000001E-6</v>
      </c>
      <c r="I5661">
        <v>-61.672280000000001</v>
      </c>
      <c r="J5661">
        <v>-246.7039</v>
      </c>
      <c r="K5661">
        <v>1.1121179999999999</v>
      </c>
      <c r="L5661">
        <v>-62.727229999999999</v>
      </c>
      <c r="M5661">
        <v>0.99828700000000004</v>
      </c>
      <c r="N5661">
        <v>-1.4092830000000001E-2</v>
      </c>
      <c r="O5661">
        <v>-5.6784550000000003E-2</v>
      </c>
      <c r="P5661">
        <v>0.90207059999999994</v>
      </c>
      <c r="Q5661">
        <v>0.40488109999999999</v>
      </c>
      <c r="R5661">
        <v>0.1494655</v>
      </c>
      <c r="S5661">
        <v>3.4565730000000001</v>
      </c>
      <c r="T5661">
        <v>-0.44882080000000002</v>
      </c>
      <c r="U5661">
        <v>0.42114259999999898</v>
      </c>
      <c r="V5661">
        <v>-0.20174500000000001</v>
      </c>
      <c r="W5661">
        <v>0.41679070000000001</v>
      </c>
      <c r="X5661">
        <v>0.88633200000000001</v>
      </c>
      <c r="Y5661">
        <v>-0.1751366</v>
      </c>
      <c r="Z5661">
        <v>1.9050939999999999E-2</v>
      </c>
      <c r="AA5661">
        <v>0.98435980000000001</v>
      </c>
      <c r="AB5661">
        <v>38</v>
      </c>
      <c r="AC5661">
        <v>8.3565000000000094</v>
      </c>
      <c r="AD5661">
        <v>-1.1121209110300001</v>
      </c>
      <c r="AE5661">
        <v>1.0549499999999901</v>
      </c>
      <c r="AF5661">
        <v>-1.50163567966902</v>
      </c>
      <c r="AG5661">
        <v>-1.1121209110300001</v>
      </c>
      <c r="AH5661">
        <v>8.1411725903756302</v>
      </c>
      <c r="AI5661">
        <v>97.651217151702696</v>
      </c>
      <c r="AJ5661">
        <v>100.45072076694299</v>
      </c>
      <c r="AK5661">
        <v>8.3528685959668199</v>
      </c>
      <c r="AL5661">
        <v>65.367863188655903</v>
      </c>
      <c r="AM5661">
        <v>102.82306848565899</v>
      </c>
      <c r="AN5661">
        <v>0.99999997342774405</v>
      </c>
    </row>
    <row r="5662" spans="1:40" x14ac:dyDescent="0.25">
      <c r="A5662" t="str">
        <f>"20190304164521549"</f>
        <v>20190304164521549</v>
      </c>
      <c r="B5662" t="str">
        <f>"1551689121546015"</f>
        <v>1551689121546015</v>
      </c>
      <c r="C5662" t="s">
        <v>40</v>
      </c>
      <c r="D5662">
        <v>5.3992709999999997</v>
      </c>
      <c r="E5662">
        <v>0.52390899999999996</v>
      </c>
      <c r="F5662" t="s">
        <v>56</v>
      </c>
      <c r="G5662">
        <v>-238.1378</v>
      </c>
      <c r="H5662" s="1">
        <v>-2.823802E-6</v>
      </c>
      <c r="I5662">
        <v>-61.682490000000001</v>
      </c>
      <c r="J5662">
        <v>-246.49870000000001</v>
      </c>
      <c r="K5662">
        <v>1.11215</v>
      </c>
      <c r="L5662">
        <v>-62.738250000000001</v>
      </c>
      <c r="M5662">
        <v>0.99832909999999997</v>
      </c>
      <c r="N5662">
        <v>-1.4093E-2</v>
      </c>
      <c r="O5662">
        <v>-5.6041050000000002E-2</v>
      </c>
      <c r="P5662">
        <v>0.90182530000000005</v>
      </c>
      <c r="Q5662">
        <v>0.4051883</v>
      </c>
      <c r="R5662">
        <v>0.15011240000000001</v>
      </c>
      <c r="S5662">
        <v>3.4572910000000001</v>
      </c>
      <c r="T5662">
        <v>-0.44885039999999998</v>
      </c>
      <c r="U5662">
        <v>0.42163089999999998</v>
      </c>
      <c r="V5662">
        <v>-0.2017437</v>
      </c>
      <c r="W5662">
        <v>0.41708200000000001</v>
      </c>
      <c r="X5662">
        <v>0.88619530000000002</v>
      </c>
      <c r="Y5662">
        <v>-0.17452719999999999</v>
      </c>
      <c r="Z5662">
        <v>1.891922E-2</v>
      </c>
      <c r="AA5662">
        <v>0.98447059999999997</v>
      </c>
      <c r="AB5662">
        <v>38</v>
      </c>
      <c r="AC5662">
        <v>8.3609000000000098</v>
      </c>
      <c r="AD5662">
        <v>-1.112152823802</v>
      </c>
      <c r="AE5662">
        <v>1.05575999999999</v>
      </c>
      <c r="AF5662">
        <v>-1.4966349609664999</v>
      </c>
      <c r="AG5662">
        <v>-1.112152823802</v>
      </c>
      <c r="AH5662">
        <v>8.1467018246417098</v>
      </c>
      <c r="AI5662">
        <v>97.647296736284702</v>
      </c>
      <c r="AJ5662">
        <v>100.40976576502599</v>
      </c>
      <c r="AK5662">
        <v>8.3573650590062503</v>
      </c>
      <c r="AL5662">
        <v>65.349501792746906</v>
      </c>
      <c r="AM5662">
        <v>102.82490119195</v>
      </c>
      <c r="AN5662">
        <v>1.0000000124778901</v>
      </c>
    </row>
    <row r="5663" spans="1:40" x14ac:dyDescent="0.25">
      <c r="A5663" t="str">
        <f>"20190304164521562"</f>
        <v>20190304164521562</v>
      </c>
      <c r="B5663" t="str">
        <f>"1551689121555776"</f>
        <v>1551689121555776</v>
      </c>
      <c r="C5663" t="s">
        <v>40</v>
      </c>
      <c r="D5663">
        <v>5.3725069999999997</v>
      </c>
      <c r="E5663">
        <v>0.52390029999999999</v>
      </c>
      <c r="F5663" t="s">
        <v>56</v>
      </c>
      <c r="G5663">
        <v>-237.9425</v>
      </c>
      <c r="H5663" s="1">
        <v>-2.7408059999999998E-6</v>
      </c>
      <c r="I5663">
        <v>-61.685400000000001</v>
      </c>
      <c r="J5663">
        <v>-246.29300000000001</v>
      </c>
      <c r="K5663">
        <v>1.1121799999999999</v>
      </c>
      <c r="L5663">
        <v>-62.749110000000002</v>
      </c>
      <c r="M5663">
        <v>0.99837229999999999</v>
      </c>
      <c r="N5663">
        <v>-1.409319E-2</v>
      </c>
      <c r="O5663">
        <v>-5.5266160000000002E-2</v>
      </c>
      <c r="P5663">
        <v>0.90145209999999998</v>
      </c>
      <c r="Q5663">
        <v>0.40579850000000001</v>
      </c>
      <c r="R5663">
        <v>0.1507047</v>
      </c>
      <c r="S5663">
        <v>3.457687</v>
      </c>
      <c r="T5663">
        <v>-0.44943509999999998</v>
      </c>
      <c r="U5663">
        <v>0.42544559999999998</v>
      </c>
      <c r="V5663">
        <v>-0.2016569</v>
      </c>
      <c r="W5663">
        <v>0.4176726</v>
      </c>
      <c r="X5663">
        <v>0.88593690000000003</v>
      </c>
      <c r="Y5663">
        <v>-0.1748178</v>
      </c>
      <c r="Z5663">
        <v>1.8871639999999999E-2</v>
      </c>
      <c r="AA5663">
        <v>0.98441990000000001</v>
      </c>
      <c r="AB5663">
        <v>38</v>
      </c>
      <c r="AC5663">
        <v>8.3505000000000091</v>
      </c>
      <c r="AD5663">
        <v>-1.1121827408060001</v>
      </c>
      <c r="AE5663">
        <v>1.0637099999999899</v>
      </c>
      <c r="AF5663">
        <v>-1.4974901069487001</v>
      </c>
      <c r="AG5663">
        <v>-1.1121827408060001</v>
      </c>
      <c r="AH5663">
        <v>8.1369067688938497</v>
      </c>
      <c r="AI5663">
        <v>97.656157793873604</v>
      </c>
      <c r="AJ5663">
        <v>100.42784674657101</v>
      </c>
      <c r="AK5663">
        <v>8.3479745348812902</v>
      </c>
      <c r="AL5663">
        <v>65.3122653148707</v>
      </c>
      <c r="AM5663">
        <v>102.82318111851301</v>
      </c>
      <c r="AN5663">
        <v>1.00000004844498</v>
      </c>
    </row>
    <row r="5664" spans="1:40" x14ac:dyDescent="0.25">
      <c r="A5664" t="str">
        <f>"20190304164521574"</f>
        <v>20190304164521574</v>
      </c>
      <c r="B5664" t="str">
        <f>"1551689121565535"</f>
        <v>1551689121565535</v>
      </c>
      <c r="C5664" t="s">
        <v>40</v>
      </c>
      <c r="D5664">
        <v>5.3877930000000003</v>
      </c>
      <c r="E5664">
        <v>0.52388199999999996</v>
      </c>
      <c r="F5664" t="s">
        <v>56</v>
      </c>
      <c r="G5664">
        <v>-237.7124</v>
      </c>
      <c r="H5664" s="1">
        <v>-2.6434150000000002E-6</v>
      </c>
      <c r="I5664">
        <v>-61.690249999999999</v>
      </c>
      <c r="J5664">
        <v>-246.09289999999999</v>
      </c>
      <c r="K5664">
        <v>1.112212</v>
      </c>
      <c r="L5664">
        <v>-62.759549999999997</v>
      </c>
      <c r="M5664">
        <v>0.99841429999999998</v>
      </c>
      <c r="N5664">
        <v>-1.4093349999999999E-2</v>
      </c>
      <c r="O5664">
        <v>-5.4499619999999999E-2</v>
      </c>
      <c r="P5664">
        <v>0.90127500000000005</v>
      </c>
      <c r="Q5664">
        <v>0.40593620000000002</v>
      </c>
      <c r="R5664">
        <v>0.1513911</v>
      </c>
      <c r="S5664">
        <v>3.4584350000000001</v>
      </c>
      <c r="T5664">
        <v>-0.4482737</v>
      </c>
      <c r="U5664">
        <v>0.42675780000000002</v>
      </c>
      <c r="V5664">
        <v>-0.2016812</v>
      </c>
      <c r="W5664">
        <v>0.4177939</v>
      </c>
      <c r="X5664">
        <v>0.8858741</v>
      </c>
      <c r="Y5664">
        <v>-0.17442379999999999</v>
      </c>
      <c r="Z5664">
        <v>1.8704129999999999E-2</v>
      </c>
      <c r="AA5664">
        <v>0.98449299999999995</v>
      </c>
      <c r="AB5664">
        <v>38</v>
      </c>
      <c r="AC5664">
        <v>8.3804999999999801</v>
      </c>
      <c r="AD5664">
        <v>-1.112214643415</v>
      </c>
      <c r="AE5664">
        <v>1.0692999999999899</v>
      </c>
      <c r="AF5664">
        <v>-1.4985190737934</v>
      </c>
      <c r="AG5664">
        <v>-1.112214643415</v>
      </c>
      <c r="AH5664">
        <v>8.1681970047999002</v>
      </c>
      <c r="AI5664">
        <v>97.628166967458299</v>
      </c>
      <c r="AJ5664">
        <v>100.395754607749</v>
      </c>
      <c r="AK5664">
        <v>8.3786647585860194</v>
      </c>
      <c r="AL5664">
        <v>65.304614287133603</v>
      </c>
      <c r="AM5664">
        <v>102.825554320325</v>
      </c>
      <c r="AN5664">
        <v>0.99999998518072997</v>
      </c>
    </row>
    <row r="5665" spans="1:40" x14ac:dyDescent="0.25">
      <c r="A5665" t="str">
        <f>"20190304164521584"</f>
        <v>20190304164521584</v>
      </c>
      <c r="B5665" t="str">
        <f>"1551689121575297"</f>
        <v>1551689121575297</v>
      </c>
      <c r="C5665" t="s">
        <v>40</v>
      </c>
      <c r="D5665">
        <v>5.3838470000000003</v>
      </c>
      <c r="E5665">
        <v>0.52386769999999905</v>
      </c>
      <c r="F5665" t="s">
        <v>56</v>
      </c>
      <c r="G5665">
        <v>-237.5162</v>
      </c>
      <c r="H5665" s="1">
        <v>-2.5613540000000002E-6</v>
      </c>
      <c r="I5665">
        <v>-61.6982199999999</v>
      </c>
      <c r="J5665">
        <v>-245.9221</v>
      </c>
      <c r="K5665">
        <v>1.1122399999999999</v>
      </c>
      <c r="L5665">
        <v>-62.768250000000002</v>
      </c>
      <c r="M5665">
        <v>0.99845170000000005</v>
      </c>
      <c r="N5665">
        <v>-1.409349E-2</v>
      </c>
      <c r="O5665">
        <v>-5.3811190000000002E-2</v>
      </c>
      <c r="P5665">
        <v>0.90123249999999999</v>
      </c>
      <c r="Q5665">
        <v>0.40577350000000001</v>
      </c>
      <c r="R5665">
        <v>0.1520782</v>
      </c>
      <c r="S5665">
        <v>3.4587249999999998</v>
      </c>
      <c r="T5665">
        <v>-0.44852300000000001</v>
      </c>
      <c r="U5665">
        <v>0.42797849999999998</v>
      </c>
      <c r="V5665">
        <v>-0.2017804</v>
      </c>
      <c r="W5665">
        <v>0.41761720000000002</v>
      </c>
      <c r="X5665">
        <v>0.88593489999999997</v>
      </c>
      <c r="Y5665">
        <v>-0.17408319999999999</v>
      </c>
      <c r="Z5665">
        <v>1.860904E-2</v>
      </c>
      <c r="AA5665">
        <v>0.98455510000000002</v>
      </c>
      <c r="AB5665">
        <v>38</v>
      </c>
      <c r="AC5665">
        <v>8.4059000000000008</v>
      </c>
      <c r="AD5665">
        <v>-1.1122425613539999</v>
      </c>
      <c r="AE5665">
        <v>1.07003</v>
      </c>
      <c r="AF5665">
        <v>-1.49509733693553</v>
      </c>
      <c r="AG5665">
        <v>-1.1122425613539999</v>
      </c>
      <c r="AH5665">
        <v>8.1949458656828593</v>
      </c>
      <c r="AI5665">
        <v>97.605100692076206</v>
      </c>
      <c r="AJ5665">
        <v>100.339407392396</v>
      </c>
      <c r="AK5665">
        <v>8.40413810593755</v>
      </c>
      <c r="AL5665">
        <v>65.315758841383399</v>
      </c>
      <c r="AM5665">
        <v>102.830802521392</v>
      </c>
      <c r="AN5665">
        <v>1.0000000512989999</v>
      </c>
    </row>
    <row r="5666" spans="1:40" x14ac:dyDescent="0.25">
      <c r="A5666" t="str">
        <f>"20190304164521594"</f>
        <v>20190304164521594</v>
      </c>
      <c r="B5666" t="str">
        <f>"1551689121586031"</f>
        <v>1551689121586031</v>
      </c>
      <c r="C5666" t="s">
        <v>40</v>
      </c>
      <c r="D5666">
        <v>5.3648490000000004</v>
      </c>
      <c r="E5666">
        <v>0.52384010000000003</v>
      </c>
      <c r="F5666" t="s">
        <v>56</v>
      </c>
      <c r="G5666">
        <v>-237.38069999999999</v>
      </c>
      <c r="H5666" s="1">
        <v>-2.5056300000000002E-6</v>
      </c>
      <c r="I5666">
        <v>-61.707250000000002</v>
      </c>
      <c r="J5666">
        <v>-245.7578</v>
      </c>
      <c r="K5666">
        <v>1.112269</v>
      </c>
      <c r="L5666">
        <v>-62.776580000000003</v>
      </c>
      <c r="M5666">
        <v>0.99848720000000002</v>
      </c>
      <c r="N5666">
        <v>-1.409358E-2</v>
      </c>
      <c r="O5666">
        <v>-5.3147449999999999E-2</v>
      </c>
      <c r="P5666">
        <v>0.90099960000000001</v>
      </c>
      <c r="Q5666">
        <v>0.40595690000000001</v>
      </c>
      <c r="R5666">
        <v>0.152967299999999</v>
      </c>
      <c r="S5666">
        <v>3.459076</v>
      </c>
      <c r="T5666">
        <v>-0.4504358</v>
      </c>
      <c r="U5666">
        <v>0.42965700000000001</v>
      </c>
      <c r="V5666">
        <v>-0.20209379999999999</v>
      </c>
      <c r="W5666">
        <v>0.41778310000000002</v>
      </c>
      <c r="X5666">
        <v>0.88578519999999905</v>
      </c>
      <c r="Y5666">
        <v>-0.1738777</v>
      </c>
      <c r="Z5666">
        <v>1.8592250000000001E-2</v>
      </c>
      <c r="AA5666">
        <v>0.98459169999999996</v>
      </c>
      <c r="AB5666">
        <v>38</v>
      </c>
      <c r="AC5666">
        <v>8.3771000000000093</v>
      </c>
      <c r="AD5666">
        <v>-1.1122715056300001</v>
      </c>
      <c r="AE5666">
        <v>1.0693299999999999</v>
      </c>
      <c r="AF5666">
        <v>-1.48728476754787</v>
      </c>
      <c r="AG5666">
        <v>-1.1122715056300001</v>
      </c>
      <c r="AH5666">
        <v>8.1667547306514692</v>
      </c>
      <c r="AI5666">
        <v>97.631675306009797</v>
      </c>
      <c r="AJ5666">
        <v>100.32128222995</v>
      </c>
      <c r="AK5666">
        <v>8.3752639786835701</v>
      </c>
      <c r="AL5666">
        <v>65.305296329816201</v>
      </c>
      <c r="AM5666">
        <v>102.852169480947</v>
      </c>
      <c r="AN5666">
        <v>1.0000000215915399</v>
      </c>
    </row>
    <row r="5667" spans="1:40" x14ac:dyDescent="0.25">
      <c r="A5667" t="str">
        <f>"20190304164521603"</f>
        <v>20190304164521603</v>
      </c>
      <c r="B5667" t="str">
        <f>"1551689121595791"</f>
        <v>1551689121595791</v>
      </c>
      <c r="C5667" t="s">
        <v>40</v>
      </c>
      <c r="D5667">
        <v>5.2638569999999998</v>
      </c>
      <c r="E5667">
        <v>0.52371029999999996</v>
      </c>
      <c r="F5667" t="s">
        <v>56</v>
      </c>
      <c r="G5667">
        <v>-237.22030000000001</v>
      </c>
      <c r="H5667" s="1">
        <v>-2.4372020000000002E-6</v>
      </c>
      <c r="I5667">
        <v>-61.708799999999997</v>
      </c>
      <c r="J5667">
        <v>-245.59299999999999</v>
      </c>
      <c r="K5667">
        <v>1.112301</v>
      </c>
      <c r="L5667">
        <v>-62.784730000000003</v>
      </c>
      <c r="M5667">
        <v>0.99852410000000003</v>
      </c>
      <c r="N5667">
        <v>-1.4093700000000001E-2</v>
      </c>
      <c r="O5667">
        <v>-5.2451409999999997E-2</v>
      </c>
      <c r="P5667">
        <v>0.90072280000000005</v>
      </c>
      <c r="Q5667">
        <v>0.40626479999999998</v>
      </c>
      <c r="R5667">
        <v>0.15377769999999999</v>
      </c>
      <c r="S5667">
        <v>3.459244</v>
      </c>
      <c r="T5667">
        <v>-0.45066879999999998</v>
      </c>
      <c r="U5667">
        <v>0.43261719999999998</v>
      </c>
      <c r="V5667">
        <v>-0.20229759999999999</v>
      </c>
      <c r="W5667">
        <v>0.41807329999999998</v>
      </c>
      <c r="X5667">
        <v>0.88560169999999905</v>
      </c>
      <c r="Y5667">
        <v>-0.17401710000000001</v>
      </c>
      <c r="Z5667">
        <v>1.8529609999999998E-2</v>
      </c>
      <c r="AA5667">
        <v>0.98456829999999995</v>
      </c>
      <c r="AB5667">
        <v>38</v>
      </c>
      <c r="AC5667">
        <v>8.3726999999999805</v>
      </c>
      <c r="AD5667">
        <v>-1.112303437202</v>
      </c>
      <c r="AE5667">
        <v>1.0759300000000001</v>
      </c>
      <c r="AF5667">
        <v>-1.48782047559911</v>
      </c>
      <c r="AG5667">
        <v>-1.112303437202</v>
      </c>
      <c r="AH5667">
        <v>8.1630058864803008</v>
      </c>
      <c r="AI5667">
        <v>97.635156817743507</v>
      </c>
      <c r="AJ5667">
        <v>100.329559567258</v>
      </c>
      <c r="AK5667">
        <v>8.3717079384517099</v>
      </c>
      <c r="AL5667">
        <v>65.286993163779101</v>
      </c>
      <c r="AM5667">
        <v>102.86727602711299</v>
      </c>
      <c r="AN5667">
        <v>0.99999998709076898</v>
      </c>
    </row>
    <row r="5668" spans="1:40" x14ac:dyDescent="0.25">
      <c r="A5668" t="str">
        <f>"20190304164521615"</f>
        <v>20190304164521615</v>
      </c>
      <c r="B5668" t="str">
        <f>"1551689121605552"</f>
        <v>1551689121605552</v>
      </c>
      <c r="C5668" t="s">
        <v>40</v>
      </c>
      <c r="D5668">
        <v>5.3276370000000002</v>
      </c>
      <c r="E5668">
        <v>0.52362659999999905</v>
      </c>
      <c r="F5668" t="s">
        <v>56</v>
      </c>
      <c r="G5668">
        <v>-237.04750000000001</v>
      </c>
      <c r="H5668" s="1">
        <v>-2.3631680000000001E-6</v>
      </c>
      <c r="I5668">
        <v>-61.70908</v>
      </c>
      <c r="J5668">
        <v>-245.41550000000001</v>
      </c>
      <c r="K5668">
        <v>1.1123369999999999</v>
      </c>
      <c r="L5668">
        <v>-62.793460000000003</v>
      </c>
      <c r="M5668">
        <v>0.99856330000000004</v>
      </c>
      <c r="N5668">
        <v>-1.409377E-2</v>
      </c>
      <c r="O5668">
        <v>-5.1698710000000002E-2</v>
      </c>
      <c r="P5668">
        <v>0.90054129999999999</v>
      </c>
      <c r="Q5668">
        <v>0.4064239</v>
      </c>
      <c r="R5668">
        <v>0.1544181</v>
      </c>
      <c r="S5668">
        <v>3.4594269999999998</v>
      </c>
      <c r="T5668">
        <v>-0.45028659999999998</v>
      </c>
      <c r="U5668">
        <v>0.4354248</v>
      </c>
      <c r="V5668">
        <v>-0.20228750000000001</v>
      </c>
      <c r="W5668">
        <v>0.4182167</v>
      </c>
      <c r="X5668">
        <v>0.88553630000000005</v>
      </c>
      <c r="Y5668">
        <v>-0.17406360000000001</v>
      </c>
      <c r="Z5668">
        <v>1.8429339999999999E-2</v>
      </c>
      <c r="AA5668">
        <v>0.98456200000000005</v>
      </c>
      <c r="AB5668">
        <v>38</v>
      </c>
      <c r="AC5668">
        <v>8.3679999999999897</v>
      </c>
      <c r="AD5668">
        <v>-1.1123393631680001</v>
      </c>
      <c r="AE5668">
        <v>1.0843799999999799</v>
      </c>
      <c r="AF5668">
        <v>-1.4896994248795501</v>
      </c>
      <c r="AG5668">
        <v>-1.1123393631680001</v>
      </c>
      <c r="AH5668">
        <v>8.1589548515117798</v>
      </c>
      <c r="AI5668">
        <v>97.6387193170834</v>
      </c>
      <c r="AJ5668">
        <v>100.347347489488</v>
      </c>
      <c r="AK5668">
        <v>8.3680970061506201</v>
      </c>
      <c r="AL5668">
        <v>65.277948326436601</v>
      </c>
      <c r="AM5668">
        <v>102.867573609742</v>
      </c>
      <c r="AN5668">
        <v>0.99999998971641502</v>
      </c>
    </row>
    <row r="5669" spans="1:40" x14ac:dyDescent="0.25">
      <c r="A5669" t="str">
        <f>"20190304164521625"</f>
        <v>20190304164521625</v>
      </c>
      <c r="B5669" t="str">
        <f>"1551689121616287"</f>
        <v>1551689121616287</v>
      </c>
      <c r="C5669" t="s">
        <v>40</v>
      </c>
      <c r="D5669">
        <v>5.465916</v>
      </c>
      <c r="E5669">
        <v>0.52362659999999905</v>
      </c>
      <c r="F5669" t="s">
        <v>56</v>
      </c>
      <c r="G5669">
        <v>-236.87299999999999</v>
      </c>
      <c r="H5669" s="1">
        <v>-2.2884719999999998E-6</v>
      </c>
      <c r="I5669">
        <v>-61.70973</v>
      </c>
      <c r="J5669">
        <v>-245.2294</v>
      </c>
      <c r="K5669">
        <v>1.112371</v>
      </c>
      <c r="L5669">
        <v>-62.802340000000001</v>
      </c>
      <c r="M5669">
        <v>0.99860539999999998</v>
      </c>
      <c r="N5669">
        <v>-1.4093799999999899E-2</v>
      </c>
      <c r="O5669">
        <v>-5.088107E-2</v>
      </c>
      <c r="P5669">
        <v>0.90027119999999905</v>
      </c>
      <c r="Q5669">
        <v>0.40652199999999999</v>
      </c>
      <c r="R5669">
        <v>0.15573029999999999</v>
      </c>
      <c r="S5669">
        <v>3.4593660000000002</v>
      </c>
      <c r="T5669">
        <v>-0.45045380000000002</v>
      </c>
      <c r="U5669">
        <v>0.43884279999999998</v>
      </c>
      <c r="V5669">
        <v>-0.2028866</v>
      </c>
      <c r="W5669">
        <v>0.41829509999999998</v>
      </c>
      <c r="X5669">
        <v>0.88536219999999999</v>
      </c>
      <c r="Y5669">
        <v>-0.17422000000000001</v>
      </c>
      <c r="Z5669">
        <v>1.8352299999999998E-2</v>
      </c>
      <c r="AA5669">
        <v>0.98453579999999996</v>
      </c>
      <c r="AB5669">
        <v>38</v>
      </c>
      <c r="AC5669">
        <v>8.3564000000000007</v>
      </c>
      <c r="AD5669">
        <v>-1.1123732884719999</v>
      </c>
      <c r="AE5669">
        <v>1.0926099999999901</v>
      </c>
      <c r="AF5669">
        <v>-1.49045240801151</v>
      </c>
      <c r="AG5669">
        <v>-1.1123732884719999</v>
      </c>
      <c r="AH5669">
        <v>8.1480195917938794</v>
      </c>
      <c r="AI5669">
        <v>97.6486292258612</v>
      </c>
      <c r="AJ5669">
        <v>100.366057371211</v>
      </c>
      <c r="AK5669">
        <v>8.35757416848395</v>
      </c>
      <c r="AL5669">
        <v>65.273003112363597</v>
      </c>
      <c r="AM5669">
        <v>102.90686119333201</v>
      </c>
      <c r="AN5669">
        <v>0.999999994166205</v>
      </c>
    </row>
    <row r="5670" spans="1:40" x14ac:dyDescent="0.25">
      <c r="A5670" t="str">
        <f>"20190304164521637"</f>
        <v>20190304164521637</v>
      </c>
      <c r="B5670" t="str">
        <f>"1551689121626047"</f>
        <v>1551689121626047</v>
      </c>
      <c r="C5670" t="s">
        <v>40</v>
      </c>
      <c r="D5670">
        <v>5.3855360000000001</v>
      </c>
      <c r="E5670">
        <v>0.49614520000000001</v>
      </c>
      <c r="F5670" t="s">
        <v>56</v>
      </c>
      <c r="G5670">
        <v>-236.68090000000001</v>
      </c>
      <c r="H5670" s="1">
        <v>-2.2048079999999998E-6</v>
      </c>
      <c r="I5670">
        <v>-61.704990000000002</v>
      </c>
      <c r="J5670">
        <v>-245.04580000000001</v>
      </c>
      <c r="K5670">
        <v>1.1124039999999999</v>
      </c>
      <c r="L5670">
        <v>-62.811</v>
      </c>
      <c r="M5670">
        <v>0.99864660000000005</v>
      </c>
      <c r="N5670">
        <v>-1.409377E-2</v>
      </c>
      <c r="O5670">
        <v>-5.0067729999999998E-2</v>
      </c>
      <c r="P5670">
        <v>0.90012559999999997</v>
      </c>
      <c r="Q5670">
        <v>0.40637390000000001</v>
      </c>
      <c r="R5670">
        <v>0.15695479999999901</v>
      </c>
      <c r="S5670">
        <v>3.4587859999999999</v>
      </c>
      <c r="T5670">
        <v>-0.45007710000000001</v>
      </c>
      <c r="U5670">
        <v>0.44396970000000002</v>
      </c>
      <c r="V5670">
        <v>-0.20340639999999999</v>
      </c>
      <c r="W5670">
        <v>0.41812959999999899</v>
      </c>
      <c r="X5670">
        <v>0.88532109999999997</v>
      </c>
      <c r="Y5670">
        <v>-0.17487710000000001</v>
      </c>
      <c r="Z5670">
        <v>1.829246E-2</v>
      </c>
      <c r="AA5670">
        <v>0.98442030000000003</v>
      </c>
      <c r="AB5670">
        <v>38</v>
      </c>
      <c r="AC5670">
        <v>8.3649000000000004</v>
      </c>
      <c r="AD5670">
        <v>-1.1124062048079999</v>
      </c>
      <c r="AE5670">
        <v>1.1060099999999999</v>
      </c>
      <c r="AF5670">
        <v>-1.4974482866118199</v>
      </c>
      <c r="AG5670">
        <v>-1.1124062048079999</v>
      </c>
      <c r="AH5670">
        <v>8.1572437061198197</v>
      </c>
      <c r="AI5670">
        <v>97.639434796811202</v>
      </c>
      <c r="AJ5670">
        <v>100.402133007354</v>
      </c>
      <c r="AK5670">
        <v>8.3678207328194691</v>
      </c>
      <c r="AL5670">
        <v>65.283442163447106</v>
      </c>
      <c r="AM5670">
        <v>102.93939783833601</v>
      </c>
      <c r="AN5670">
        <v>0.99999998803116397</v>
      </c>
    </row>
    <row r="5671" spans="1:40" x14ac:dyDescent="0.25">
      <c r="A5671" t="str">
        <f>"20190304164521649"</f>
        <v>20190304164521649</v>
      </c>
      <c r="B5671" t="str">
        <f>"1551689121645567"</f>
        <v>1551689121645567</v>
      </c>
      <c r="C5671" t="s">
        <v>40</v>
      </c>
      <c r="D5671">
        <v>5.3744430000000003</v>
      </c>
      <c r="E5671">
        <v>0.48425699999999999</v>
      </c>
      <c r="F5671" t="s">
        <v>56</v>
      </c>
      <c r="G5671">
        <v>-236.03700000000001</v>
      </c>
      <c r="H5671" s="1">
        <v>-1.7577440000000001E-6</v>
      </c>
      <c r="I5671">
        <v>-61.062980000000003</v>
      </c>
      <c r="J5671">
        <v>-244.84049999999999</v>
      </c>
      <c r="K5671">
        <v>1.1124339999999999</v>
      </c>
      <c r="L5671">
        <v>-62.820529999999998</v>
      </c>
      <c r="M5671">
        <v>0.99869269999999999</v>
      </c>
      <c r="N5671">
        <v>-1.4093619999999999E-2</v>
      </c>
      <c r="O5671">
        <v>-4.9137689999999998E-2</v>
      </c>
      <c r="P5671">
        <v>0.89999589999999996</v>
      </c>
      <c r="Q5671">
        <v>0.40592590000000001</v>
      </c>
      <c r="R5671">
        <v>0.15884609999999999</v>
      </c>
      <c r="S5671">
        <v>3.407562</v>
      </c>
      <c r="T5671">
        <v>-0.42076459999999999</v>
      </c>
      <c r="U5671">
        <v>0.66116330000000001</v>
      </c>
      <c r="V5671">
        <v>-0.20448769999999999</v>
      </c>
      <c r="W5671">
        <v>0.41766219999999998</v>
      </c>
      <c r="X5671">
        <v>0.88529259999999999</v>
      </c>
      <c r="Y5671">
        <v>-0.23626759999999999</v>
      </c>
      <c r="Z5671">
        <v>2.1397610000000001E-2</v>
      </c>
      <c r="AA5671">
        <v>0.97145239999999999</v>
      </c>
      <c r="AB5671">
        <v>38</v>
      </c>
      <c r="AC5671">
        <v>8.8034999999999801</v>
      </c>
      <c r="AD5671">
        <v>-1.1124357577439901</v>
      </c>
      <c r="AE5671">
        <v>1.7575499999999999</v>
      </c>
      <c r="AF5671">
        <v>-2.1549624066881399</v>
      </c>
      <c r="AG5671">
        <v>-1.1124357577439901</v>
      </c>
      <c r="AH5671">
        <v>8.5748217223243408</v>
      </c>
      <c r="AI5671">
        <v>97.171291493083899</v>
      </c>
      <c r="AJ5671">
        <v>104.107014574774</v>
      </c>
      <c r="AK5671">
        <v>8.9111696122895108</v>
      </c>
      <c r="AL5671">
        <v>65.312918808218399</v>
      </c>
      <c r="AM5671">
        <v>103.006254829349</v>
      </c>
      <c r="AN5671">
        <v>0.99999996018744397</v>
      </c>
    </row>
    <row r="5672" spans="1:40" x14ac:dyDescent="0.25">
      <c r="A5672" t="str">
        <f>"20190304164521661"</f>
        <v>20190304164521661</v>
      </c>
      <c r="B5672" t="str">
        <f>"1551689121655326"</f>
        <v>1551689121655326</v>
      </c>
      <c r="C5672" t="s">
        <v>40</v>
      </c>
      <c r="D5672">
        <v>5.3642279999999998</v>
      </c>
      <c r="E5672">
        <v>0.48136329999999999</v>
      </c>
      <c r="F5672" t="s">
        <v>56</v>
      </c>
      <c r="G5672">
        <v>-235.23159999999999</v>
      </c>
      <c r="H5672" s="1">
        <v>-1.3063910000000001E-6</v>
      </c>
      <c r="I5672">
        <v>-60.665260000000004</v>
      </c>
      <c r="J5672">
        <v>-244.6533</v>
      </c>
      <c r="K5672">
        <v>1.11246</v>
      </c>
      <c r="L5672">
        <v>-62.828980000000001</v>
      </c>
      <c r="M5672">
        <v>0.99873449999999997</v>
      </c>
      <c r="N5672">
        <v>-1.4093390000000001E-2</v>
      </c>
      <c r="O5672">
        <v>-4.8278889999999998E-2</v>
      </c>
      <c r="P5672">
        <v>0.89989030000000003</v>
      </c>
      <c r="Q5672">
        <v>0.40557900000000002</v>
      </c>
      <c r="R5672">
        <v>0.16032189999999999</v>
      </c>
      <c r="S5672">
        <v>3.3759769999999998</v>
      </c>
      <c r="T5672">
        <v>-0.39083849999999998</v>
      </c>
      <c r="U5672">
        <v>0.75720209999999999</v>
      </c>
      <c r="V5672">
        <v>-0.2052137</v>
      </c>
      <c r="W5672">
        <v>0.41730040000000002</v>
      </c>
      <c r="X5672">
        <v>0.88529530000000001</v>
      </c>
      <c r="Y5672">
        <v>-0.26358009999999998</v>
      </c>
      <c r="Z5672">
        <v>2.174796E-2</v>
      </c>
      <c r="AA5672">
        <v>0.96439229999999998</v>
      </c>
      <c r="AB5672">
        <v>38</v>
      </c>
      <c r="AC5672">
        <v>9.4217000000000102</v>
      </c>
      <c r="AD5672">
        <v>-1.112461306391</v>
      </c>
      <c r="AE5672">
        <v>2.1637200000000001</v>
      </c>
      <c r="AF5672">
        <v>-2.58191812810233</v>
      </c>
      <c r="AG5672">
        <v>-1.112461306391</v>
      </c>
      <c r="AH5672">
        <v>9.1846060009082109</v>
      </c>
      <c r="AI5672">
        <v>96.650809917311093</v>
      </c>
      <c r="AJ5672">
        <v>105.70139802283001</v>
      </c>
      <c r="AK5672">
        <v>9.6052516245208093</v>
      </c>
      <c r="AL5672">
        <v>65.335733324044</v>
      </c>
      <c r="AM5672">
        <v>103.050814884586</v>
      </c>
      <c r="AN5672">
        <v>1.0000000273549601</v>
      </c>
    </row>
    <row r="5673" spans="1:40" x14ac:dyDescent="0.25">
      <c r="A5673" t="str">
        <f>"20190304164521672"</f>
        <v>20190304164521672</v>
      </c>
      <c r="B5673" t="str">
        <f>"1551689121666063"</f>
        <v>1551689121666063</v>
      </c>
      <c r="C5673" t="s">
        <v>40</v>
      </c>
      <c r="D5673">
        <v>5.3704390000000002</v>
      </c>
      <c r="E5673">
        <v>0.4794892</v>
      </c>
      <c r="F5673" t="s">
        <v>56</v>
      </c>
      <c r="G5673">
        <v>-234.89060000000001</v>
      </c>
      <c r="H5673" s="1">
        <v>-1.131465E-6</v>
      </c>
      <c r="I5673">
        <v>-60.557540000000003</v>
      </c>
      <c r="J5673">
        <v>-244.441</v>
      </c>
      <c r="K5673">
        <v>1.112484</v>
      </c>
      <c r="L5673">
        <v>-62.838470000000001</v>
      </c>
      <c r="M5673">
        <v>0.99878160000000005</v>
      </c>
      <c r="N5673">
        <v>-1.4093049999999999E-2</v>
      </c>
      <c r="O5673">
        <v>-4.7296100000000001E-2</v>
      </c>
      <c r="P5673">
        <v>0.89969249999999901</v>
      </c>
      <c r="Q5673">
        <v>0.40524329999999997</v>
      </c>
      <c r="R5673">
        <v>0.1622692</v>
      </c>
      <c r="S5673">
        <v>3.3670960000000001</v>
      </c>
      <c r="T5673">
        <v>-0.38368150000000001</v>
      </c>
      <c r="U5673">
        <v>0.78338619999999903</v>
      </c>
      <c r="V5673">
        <v>-0.20629700000000001</v>
      </c>
      <c r="W5673">
        <v>0.41694639999999999</v>
      </c>
      <c r="X5673">
        <v>0.88521030000000001</v>
      </c>
      <c r="Y5673">
        <v>-0.27032050000000002</v>
      </c>
      <c r="Z5673">
        <v>2.1740369999999998E-2</v>
      </c>
      <c r="AA5673">
        <v>0.96252490000000002</v>
      </c>
      <c r="AB5673">
        <v>38</v>
      </c>
      <c r="AC5673">
        <v>9.5503999999999607</v>
      </c>
      <c r="AD5673">
        <v>-1.1124851314649999</v>
      </c>
      <c r="AE5673">
        <v>2.2809299999999899</v>
      </c>
      <c r="AF5673">
        <v>-2.69551684692656</v>
      </c>
      <c r="AG5673">
        <v>-1.1124851314649999</v>
      </c>
      <c r="AH5673">
        <v>9.3122812778959201</v>
      </c>
      <c r="AI5673">
        <v>96.546262964674995</v>
      </c>
      <c r="AJ5673">
        <v>106.143523995965</v>
      </c>
      <c r="AK5673">
        <v>9.7581769218664292</v>
      </c>
      <c r="AL5673">
        <v>65.358049865261094</v>
      </c>
      <c r="AM5673">
        <v>103.118548363545</v>
      </c>
      <c r="AN5673">
        <v>1.0000000139540199</v>
      </c>
    </row>
    <row r="5674" spans="1:40" x14ac:dyDescent="0.25">
      <c r="A5674" t="str">
        <f>"20190304164521685"</f>
        <v>20190304164521685</v>
      </c>
      <c r="B5674" t="str">
        <f>"1551689121675823"</f>
        <v>1551689121675823</v>
      </c>
      <c r="C5674" t="s">
        <v>40</v>
      </c>
      <c r="D5674">
        <v>5.3668950000000004</v>
      </c>
      <c r="E5674">
        <v>0.478074</v>
      </c>
      <c r="F5674" t="s">
        <v>56</v>
      </c>
      <c r="G5674">
        <v>-234.5977</v>
      </c>
      <c r="H5674" s="1">
        <v>-9.8634499999999996E-7</v>
      </c>
      <c r="I5674">
        <v>-60.48433</v>
      </c>
      <c r="J5674">
        <v>-244.2313</v>
      </c>
      <c r="K5674">
        <v>1.112503</v>
      </c>
      <c r="L5674">
        <v>-62.847470000000001</v>
      </c>
      <c r="M5674">
        <v>0.99882760000000004</v>
      </c>
      <c r="N5674">
        <v>-1.409259E-2</v>
      </c>
      <c r="O5674">
        <v>-4.6311819999999997E-2</v>
      </c>
      <c r="P5674">
        <v>0.89929799999999904</v>
      </c>
      <c r="Q5674">
        <v>0.40529660000000001</v>
      </c>
      <c r="R5674">
        <v>0.16430989999999901</v>
      </c>
      <c r="S5674">
        <v>3.360611</v>
      </c>
      <c r="T5674">
        <v>-0.37981549999999997</v>
      </c>
      <c r="U5674">
        <v>0.80371090000000001</v>
      </c>
      <c r="V5674">
        <v>-0.20745939999999999</v>
      </c>
      <c r="W5674">
        <v>0.41698069999999998</v>
      </c>
      <c r="X5674">
        <v>0.8849224</v>
      </c>
      <c r="Y5674">
        <v>-0.27529920000000002</v>
      </c>
      <c r="Z5674">
        <v>2.177774E-2</v>
      </c>
      <c r="AA5674">
        <v>0.96111190000000002</v>
      </c>
      <c r="AB5674">
        <v>38</v>
      </c>
      <c r="AC5674">
        <v>9.6335999999999995</v>
      </c>
      <c r="AD5674">
        <v>-1.1125039863449999</v>
      </c>
      <c r="AE5674">
        <v>2.36313999999998</v>
      </c>
      <c r="AF5674">
        <v>-2.7719294426777901</v>
      </c>
      <c r="AG5674">
        <v>-1.1125039863449999</v>
      </c>
      <c r="AH5674">
        <v>9.3956208639099099</v>
      </c>
      <c r="AI5674">
        <v>96.479170741936102</v>
      </c>
      <c r="AJ5674">
        <v>106.437300626403</v>
      </c>
      <c r="AK5674">
        <v>9.8589527523544191</v>
      </c>
      <c r="AL5674">
        <v>65.355886815256298</v>
      </c>
      <c r="AM5674">
        <v>103.194030031821</v>
      </c>
      <c r="AN5674">
        <v>0.999999980421304</v>
      </c>
    </row>
    <row r="5675" spans="1:40" x14ac:dyDescent="0.25">
      <c r="A5675" t="str">
        <f>"20190304164521697"</f>
        <v>20190304164521697</v>
      </c>
      <c r="B5675" t="str">
        <f>"1551689121685583"</f>
        <v>1551689121685583</v>
      </c>
      <c r="C5675" t="s">
        <v>40</v>
      </c>
      <c r="D5675">
        <v>5.3305819999999997</v>
      </c>
      <c r="E5675">
        <v>0.47700779999999898</v>
      </c>
      <c r="F5675" t="s">
        <v>56</v>
      </c>
      <c r="G5675">
        <v>-234.31</v>
      </c>
      <c r="H5675" s="1">
        <v>-8.456798E-7</v>
      </c>
      <c r="I5675">
        <v>-60.419609999999999</v>
      </c>
      <c r="J5675">
        <v>-244.03100000000001</v>
      </c>
      <c r="K5675">
        <v>1.11252</v>
      </c>
      <c r="L5675">
        <v>-62.855989999999998</v>
      </c>
      <c r="M5675">
        <v>0.99887079999999995</v>
      </c>
      <c r="N5675">
        <v>-1.40921E-2</v>
      </c>
      <c r="O5675">
        <v>-4.5368110000000003E-2</v>
      </c>
      <c r="P5675">
        <v>0.89904150000000005</v>
      </c>
      <c r="Q5675">
        <v>0.4050993</v>
      </c>
      <c r="R5675">
        <v>0.16619020000000001</v>
      </c>
      <c r="S5675">
        <v>3.3554840000000001</v>
      </c>
      <c r="T5675">
        <v>-0.37625890000000001</v>
      </c>
      <c r="U5675">
        <v>0.821106</v>
      </c>
      <c r="V5675">
        <v>-0.20850160000000001</v>
      </c>
      <c r="W5675">
        <v>0.41676780000000002</v>
      </c>
      <c r="X5675">
        <v>0.88477779999999995</v>
      </c>
      <c r="Y5675">
        <v>-0.27943839999999998</v>
      </c>
      <c r="Z5675">
        <v>2.1773480000000001E-2</v>
      </c>
      <c r="AA5675">
        <v>0.95991669999999996</v>
      </c>
      <c r="AB5675">
        <v>38</v>
      </c>
      <c r="AC5675">
        <v>9.7209999999999699</v>
      </c>
      <c r="AD5675">
        <v>-1.1125208456797999</v>
      </c>
      <c r="AE5675">
        <v>2.4363800000000002</v>
      </c>
      <c r="AF5675">
        <v>-2.8399399126960598</v>
      </c>
      <c r="AG5675">
        <v>-1.1125208456797999</v>
      </c>
      <c r="AH5675">
        <v>9.4835722595858893</v>
      </c>
      <c r="AI5675">
        <v>96.411975916465707</v>
      </c>
      <c r="AJ5675">
        <v>106.670795980958</v>
      </c>
      <c r="AK5675">
        <v>9.9619829422953394</v>
      </c>
      <c r="AL5675">
        <v>65.369308241133396</v>
      </c>
      <c r="AM5675">
        <v>103.26006696737799</v>
      </c>
      <c r="AN5675">
        <v>1.0000000358461101</v>
      </c>
    </row>
    <row r="5676" spans="1:40" x14ac:dyDescent="0.25">
      <c r="A5676" t="str">
        <f>"20190304164521708"</f>
        <v>20190304164521708</v>
      </c>
      <c r="B5676" t="str">
        <f>"1551689121695344"</f>
        <v>1551689121695344</v>
      </c>
      <c r="C5676" t="s">
        <v>40</v>
      </c>
      <c r="D5676">
        <v>5.3402240000000001</v>
      </c>
      <c r="E5676">
        <v>0.4764544</v>
      </c>
      <c r="F5676" t="s">
        <v>56</v>
      </c>
      <c r="G5676">
        <v>-234.12119999999999</v>
      </c>
      <c r="H5676" s="1">
        <v>-7.5568069999999905E-7</v>
      </c>
      <c r="I5676">
        <v>-60.385730000000002</v>
      </c>
      <c r="J5676">
        <v>-243.84530000000001</v>
      </c>
      <c r="K5676">
        <v>1.1125290000000001</v>
      </c>
      <c r="L5676">
        <v>-62.86365</v>
      </c>
      <c r="M5676">
        <v>0.99891050000000003</v>
      </c>
      <c r="N5676">
        <v>-1.4091579999999999E-2</v>
      </c>
      <c r="O5676">
        <v>-4.4487859999999997E-2</v>
      </c>
      <c r="P5676">
        <v>0.89873819999999904</v>
      </c>
      <c r="Q5676">
        <v>0.40503840000000002</v>
      </c>
      <c r="R5676">
        <v>0.16796900000000001</v>
      </c>
      <c r="S5676">
        <v>3.3519739999999998</v>
      </c>
      <c r="T5676">
        <v>-0.37630930000000001</v>
      </c>
      <c r="U5676">
        <v>0.83554079999999997</v>
      </c>
      <c r="V5676">
        <v>-0.20949409999999999</v>
      </c>
      <c r="W5676">
        <v>0.41669230000000002</v>
      </c>
      <c r="X5676">
        <v>0.8845788</v>
      </c>
      <c r="Y5676">
        <v>-0.28269899999999998</v>
      </c>
      <c r="Z5676">
        <v>2.190605E-2</v>
      </c>
      <c r="AA5676">
        <v>0.95895850000000005</v>
      </c>
      <c r="AB5676">
        <v>38</v>
      </c>
      <c r="AC5676">
        <v>9.7241000000000195</v>
      </c>
      <c r="AD5676">
        <v>-1.1125297556806999</v>
      </c>
      <c r="AE5676">
        <v>2.4779199999999899</v>
      </c>
      <c r="AF5676">
        <v>-2.8728027762821902</v>
      </c>
      <c r="AG5676">
        <v>-1.1125297556806999</v>
      </c>
      <c r="AH5676">
        <v>9.4876061799356108</v>
      </c>
      <c r="AI5676">
        <v>96.403471009436799</v>
      </c>
      <c r="AJ5676">
        <v>106.846066918212</v>
      </c>
      <c r="AK5676">
        <v>9.9752388078803396</v>
      </c>
      <c r="AL5676">
        <v>65.374064773591002</v>
      </c>
      <c r="AM5676">
        <v>103.323831758182</v>
      </c>
      <c r="AN5676">
        <v>0.99999995211176895</v>
      </c>
    </row>
    <row r="5677" spans="1:40" x14ac:dyDescent="0.25">
      <c r="A5677" t="str">
        <f>"20190304164521718"</f>
        <v>20190304164521718</v>
      </c>
      <c r="B5677" t="str">
        <f>"1551689121715841"</f>
        <v>1551689121715841</v>
      </c>
      <c r="C5677" t="s">
        <v>40</v>
      </c>
      <c r="D5677">
        <v>5.330203</v>
      </c>
      <c r="E5677">
        <v>0.4757517</v>
      </c>
      <c r="F5677" t="s">
        <v>56</v>
      </c>
      <c r="G5677">
        <v>-233.94550000000001</v>
      </c>
      <c r="H5677" s="1">
        <v>-6.8366969999999905E-7</v>
      </c>
      <c r="I5677">
        <v>-60.361550000000001</v>
      </c>
      <c r="J5677">
        <v>-243.6755</v>
      </c>
      <c r="K5677">
        <v>1.1125389999999999</v>
      </c>
      <c r="L5677">
        <v>-62.870539999999998</v>
      </c>
      <c r="M5677">
        <v>0.99894620000000001</v>
      </c>
      <c r="N5677">
        <v>-1.4091019999999999E-2</v>
      </c>
      <c r="O5677">
        <v>-4.3681190000000002E-2</v>
      </c>
      <c r="P5677">
        <v>0.89848189999999895</v>
      </c>
      <c r="Q5677">
        <v>0.40499629999999998</v>
      </c>
      <c r="R5677">
        <v>0.16943540000000001</v>
      </c>
      <c r="S5677">
        <v>3.3494570000000001</v>
      </c>
      <c r="T5677">
        <v>-0.37640810000000002</v>
      </c>
      <c r="U5677">
        <v>0.84652709999999998</v>
      </c>
      <c r="V5677">
        <v>-0.21023990000000001</v>
      </c>
      <c r="W5677">
        <v>0.4166395</v>
      </c>
      <c r="X5677">
        <v>0.88442679999999996</v>
      </c>
      <c r="Y5677">
        <v>-0.28503790000000001</v>
      </c>
      <c r="Z5677">
        <v>2.1987159999999999E-2</v>
      </c>
      <c r="AA5677">
        <v>0.95826409999999995</v>
      </c>
      <c r="AB5677">
        <v>38</v>
      </c>
      <c r="AC5677">
        <v>9.7299999999999898</v>
      </c>
      <c r="AD5677">
        <v>-1.1125396836696999</v>
      </c>
      <c r="AE5677">
        <v>2.5089899999999998</v>
      </c>
      <c r="AF5677">
        <v>-2.8961515919460701</v>
      </c>
      <c r="AG5677">
        <v>-1.1125396836696999</v>
      </c>
      <c r="AH5677">
        <v>9.4947108771899895</v>
      </c>
      <c r="AI5677">
        <v>96.394835480302802</v>
      </c>
      <c r="AJ5677">
        <v>106.96316767122801</v>
      </c>
      <c r="AK5677">
        <v>9.9887423248726108</v>
      </c>
      <c r="AL5677">
        <v>65.377394581241305</v>
      </c>
      <c r="AM5677">
        <v>103.371779592279</v>
      </c>
      <c r="AN5677">
        <v>1.00000002653524</v>
      </c>
    </row>
    <row r="5678" spans="1:40" x14ac:dyDescent="0.25">
      <c r="A5678" t="str">
        <f>"20190304164521729"</f>
        <v>20190304164521729</v>
      </c>
      <c r="B5678" t="str">
        <f>"1551689121725599"</f>
        <v>1551689121725599</v>
      </c>
      <c r="C5678" t="s">
        <v>40</v>
      </c>
      <c r="D5678">
        <v>5.3787849999999997</v>
      </c>
      <c r="E5678">
        <v>0.47556310000000002</v>
      </c>
      <c r="F5678" t="s">
        <v>56</v>
      </c>
      <c r="G5678">
        <v>-233.7724</v>
      </c>
      <c r="H5678" s="1">
        <v>-6.1469209999999995E-7</v>
      </c>
      <c r="I5678">
        <v>-60.33173</v>
      </c>
      <c r="J5678">
        <v>-243.49760000000001</v>
      </c>
      <c r="K5678">
        <v>1.1125430000000001</v>
      </c>
      <c r="L5678">
        <v>-62.877619999999901</v>
      </c>
      <c r="M5678">
        <v>0.99898290000000001</v>
      </c>
      <c r="N5678">
        <v>-1.409036E-2</v>
      </c>
      <c r="O5678">
        <v>-4.2833889999999999E-2</v>
      </c>
      <c r="P5678">
        <v>0.89809130000000004</v>
      </c>
      <c r="Q5678">
        <v>0.40503929999999999</v>
      </c>
      <c r="R5678">
        <v>0.17139279999999901</v>
      </c>
      <c r="S5678">
        <v>3.3466490000000002</v>
      </c>
      <c r="T5678">
        <v>-0.37596990000000002</v>
      </c>
      <c r="U5678">
        <v>0.857940699999999</v>
      </c>
      <c r="V5678">
        <v>-0.21143400000000001</v>
      </c>
      <c r="W5678">
        <v>0.41666720000000002</v>
      </c>
      <c r="X5678">
        <v>0.88412900000000005</v>
      </c>
      <c r="Y5678">
        <v>-0.28747539999999999</v>
      </c>
      <c r="Z5678">
        <v>2.204265E-2</v>
      </c>
      <c r="AA5678">
        <v>0.95753429999999995</v>
      </c>
      <c r="AB5678">
        <v>38</v>
      </c>
      <c r="AC5678">
        <v>9.7251999999999992</v>
      </c>
      <c r="AD5678">
        <v>-1.1125436146920999</v>
      </c>
      <c r="AE5678">
        <v>2.54588999999998</v>
      </c>
      <c r="AF5678">
        <v>-2.9243462622168002</v>
      </c>
      <c r="AG5678">
        <v>-1.1125436146920999</v>
      </c>
      <c r="AH5678">
        <v>9.4909699323696408</v>
      </c>
      <c r="AI5678">
        <v>96.391864579845404</v>
      </c>
      <c r="AJ5678">
        <v>107.125049076504</v>
      </c>
      <c r="AK5678">
        <v>9.9934010533490607</v>
      </c>
      <c r="AL5678">
        <v>65.375647777784195</v>
      </c>
      <c r="AM5678">
        <v>103.44934131487101</v>
      </c>
      <c r="AN5678">
        <v>0.99999999027641995</v>
      </c>
    </row>
    <row r="5679" spans="1:40" x14ac:dyDescent="0.25">
      <c r="A5679" t="str">
        <f>"20190304164521739"</f>
        <v>20190304164521739</v>
      </c>
      <c r="B5679" t="str">
        <f>"1551689121735359"</f>
        <v>1551689121735359</v>
      </c>
      <c r="C5679" t="s">
        <v>40</v>
      </c>
      <c r="D5679">
        <v>5.3347910000000001</v>
      </c>
      <c r="E5679">
        <v>0.47536580000000001</v>
      </c>
      <c r="F5679" t="s">
        <v>56</v>
      </c>
      <c r="G5679">
        <v>-233.59960000000001</v>
      </c>
      <c r="H5679" s="1">
        <v>-5.4406959999999995E-7</v>
      </c>
      <c r="I5679">
        <v>-60.312170000000002</v>
      </c>
      <c r="J5679">
        <v>-243.33349999999999</v>
      </c>
      <c r="K5679">
        <v>1.1125510000000001</v>
      </c>
      <c r="L5679">
        <v>-62.883999999999901</v>
      </c>
      <c r="M5679">
        <v>0.99901609999999996</v>
      </c>
      <c r="N5679">
        <v>-1.408975E-2</v>
      </c>
      <c r="O5679">
        <v>-4.2052050000000001E-2</v>
      </c>
      <c r="P5679">
        <v>0.89782399999999996</v>
      </c>
      <c r="Q5679">
        <v>0.40495550000000002</v>
      </c>
      <c r="R5679">
        <v>0.17298239999999901</v>
      </c>
      <c r="S5679">
        <v>3.3445429999999998</v>
      </c>
      <c r="T5679">
        <v>-0.37593130000000002</v>
      </c>
      <c r="U5679">
        <v>0.86685179999999995</v>
      </c>
      <c r="V5679">
        <v>-0.21232229999999999</v>
      </c>
      <c r="W5679">
        <v>0.4165722</v>
      </c>
      <c r="X5679">
        <v>0.88396090000000005</v>
      </c>
      <c r="Y5679">
        <v>-0.28925420000000002</v>
      </c>
      <c r="Z5679">
        <v>2.2082500000000001E-2</v>
      </c>
      <c r="AA5679">
        <v>0.9569976</v>
      </c>
      <c r="AB5679">
        <v>38</v>
      </c>
      <c r="AC5679">
        <v>9.73389999999997</v>
      </c>
      <c r="AD5679">
        <v>-1.1125515440696001</v>
      </c>
      <c r="AE5679">
        <v>2.5718299999999901</v>
      </c>
      <c r="AF5679">
        <v>-2.9429880560030499</v>
      </c>
      <c r="AG5679">
        <v>-1.1125515440696001</v>
      </c>
      <c r="AH5679">
        <v>9.5011059999762999</v>
      </c>
      <c r="AI5679">
        <v>96.382230734243706</v>
      </c>
      <c r="AJ5679">
        <v>107.21047981670699</v>
      </c>
      <c r="AK5679">
        <v>10.008494634997501</v>
      </c>
      <c r="AL5679">
        <v>65.381635897044802</v>
      </c>
      <c r="AM5679">
        <v>103.50625480872399</v>
      </c>
      <c r="AN5679">
        <v>1.0000000148094701</v>
      </c>
    </row>
    <row r="5680" spans="1:40" x14ac:dyDescent="0.25">
      <c r="A5680" t="str">
        <f>"20190304164521750"</f>
        <v>20190304164521750</v>
      </c>
      <c r="B5680" t="str">
        <f>"1551689121746095"</f>
        <v>1551689121746095</v>
      </c>
      <c r="C5680" t="s">
        <v>40</v>
      </c>
      <c r="D5680">
        <v>5.3299570000000003</v>
      </c>
      <c r="E5680">
        <v>0.47527009999999997</v>
      </c>
      <c r="F5680" t="s">
        <v>56</v>
      </c>
      <c r="G5680">
        <v>-233.45779999999999</v>
      </c>
      <c r="H5680" s="1">
        <v>-4.851152E-7</v>
      </c>
      <c r="I5680">
        <v>-60.301569999999998</v>
      </c>
      <c r="J5680">
        <v>-243.1491</v>
      </c>
      <c r="K5680">
        <v>1.1125579999999999</v>
      </c>
      <c r="L5680">
        <v>-62.89105</v>
      </c>
      <c r="M5680">
        <v>0.99905290000000002</v>
      </c>
      <c r="N5680">
        <v>-1.4089050000000001E-2</v>
      </c>
      <c r="O5680">
        <v>-4.117258E-2</v>
      </c>
      <c r="P5680">
        <v>0.897536</v>
      </c>
      <c r="Q5680">
        <v>0.40482200000000002</v>
      </c>
      <c r="R5680">
        <v>0.17478150000000001</v>
      </c>
      <c r="S5680">
        <v>3.3428650000000002</v>
      </c>
      <c r="T5680">
        <v>-0.37659229999999999</v>
      </c>
      <c r="U5680">
        <v>0.87411499999999998</v>
      </c>
      <c r="V5680">
        <v>-0.21333250000000001</v>
      </c>
      <c r="W5680">
        <v>0.41642750000000001</v>
      </c>
      <c r="X5680">
        <v>0.88378579999999995</v>
      </c>
      <c r="Y5680">
        <v>-0.2904639</v>
      </c>
      <c r="Z5680">
        <v>2.2113979999999998E-2</v>
      </c>
      <c r="AA5680">
        <v>0.95663039999999999</v>
      </c>
      <c r="AB5680">
        <v>37</v>
      </c>
      <c r="AC5680">
        <v>9.6913000000000107</v>
      </c>
      <c r="AD5680">
        <v>-1.1125584851151999</v>
      </c>
      <c r="AE5680">
        <v>2.58948</v>
      </c>
      <c r="AF5680">
        <v>-2.9500512564190799</v>
      </c>
      <c r="AG5680">
        <v>-1.1125584851151999</v>
      </c>
      <c r="AH5680">
        <v>9.4600880847540694</v>
      </c>
      <c r="AI5680">
        <v>96.405949716593398</v>
      </c>
      <c r="AJ5680">
        <v>107.319663273111</v>
      </c>
      <c r="AK5680">
        <v>9.9716525896968307</v>
      </c>
      <c r="AL5680">
        <v>65.390754284003705</v>
      </c>
      <c r="AM5680">
        <v>103.570734139481</v>
      </c>
      <c r="AN5680">
        <v>0.99999997929706896</v>
      </c>
    </row>
    <row r="5681" spans="1:40" x14ac:dyDescent="0.25">
      <c r="A5681" t="str">
        <f>"20190304164521761"</f>
        <v>20190304164521761</v>
      </c>
      <c r="B5681" t="str">
        <f>"1551689121755855"</f>
        <v>1551689121755855</v>
      </c>
      <c r="C5681" t="s">
        <v>40</v>
      </c>
      <c r="D5681">
        <v>5.3285589999999896</v>
      </c>
      <c r="E5681">
        <v>0.47519499999999998</v>
      </c>
      <c r="F5681" t="s">
        <v>56</v>
      </c>
      <c r="G5681">
        <v>-233.298</v>
      </c>
      <c r="H5681" s="1">
        <v>-4.1842610000000001E-7</v>
      </c>
      <c r="I5681">
        <v>-60.290860000000002</v>
      </c>
      <c r="J5681">
        <v>-242.97219999999999</v>
      </c>
      <c r="K5681">
        <v>1.1125640000000001</v>
      </c>
      <c r="L5681">
        <v>-62.89761</v>
      </c>
      <c r="M5681">
        <v>0.99908730000000001</v>
      </c>
      <c r="N5681">
        <v>-1.4088379999999999E-2</v>
      </c>
      <c r="O5681">
        <v>-4.0328759999999998E-2</v>
      </c>
      <c r="P5681">
        <v>0.89715929999999999</v>
      </c>
      <c r="Q5681">
        <v>0.40499030000000003</v>
      </c>
      <c r="R5681">
        <v>0.17631920000000001</v>
      </c>
      <c r="S5681">
        <v>3.3409270000000002</v>
      </c>
      <c r="T5681">
        <v>-0.37731239999999999</v>
      </c>
      <c r="U5681">
        <v>0.88180539999999996</v>
      </c>
      <c r="V5681">
        <v>-0.2141102</v>
      </c>
      <c r="W5681">
        <v>0.41658440000000002</v>
      </c>
      <c r="X5681">
        <v>0.88352379999999997</v>
      </c>
      <c r="Y5681">
        <v>-0.29183740000000002</v>
      </c>
      <c r="Z5681">
        <v>2.2163490000000001E-2</v>
      </c>
      <c r="AA5681">
        <v>0.95621109999999998</v>
      </c>
      <c r="AB5681">
        <v>37</v>
      </c>
      <c r="AC5681">
        <v>9.6741999999999795</v>
      </c>
      <c r="AD5681">
        <v>-1.1125644184261001</v>
      </c>
      <c r="AE5681">
        <v>2.6067499999999999</v>
      </c>
      <c r="AF5681">
        <v>-2.9583382939359799</v>
      </c>
      <c r="AG5681">
        <v>-1.1125644184261001</v>
      </c>
      <c r="AH5681">
        <v>9.4447325656560093</v>
      </c>
      <c r="AI5681">
        <v>96.413804248374703</v>
      </c>
      <c r="AJ5681">
        <v>107.39192652147101</v>
      </c>
      <c r="AK5681">
        <v>9.9595450841531399</v>
      </c>
      <c r="AL5681">
        <v>65.380867200237802</v>
      </c>
      <c r="AM5681">
        <v>103.62225479154399</v>
      </c>
      <c r="AN5681">
        <v>1.0000000226169199</v>
      </c>
    </row>
    <row r="5682" spans="1:40" x14ac:dyDescent="0.25">
      <c r="A5682" t="str">
        <f>"20190304164521772"</f>
        <v>20190304164521772</v>
      </c>
      <c r="B5682" t="str">
        <f>"1551689121765616"</f>
        <v>1551689121765616</v>
      </c>
      <c r="C5682" t="s">
        <v>40</v>
      </c>
      <c r="D5682">
        <v>5.3012519999999999</v>
      </c>
      <c r="E5682">
        <v>0.47516340000000001</v>
      </c>
      <c r="F5682" t="s">
        <v>56</v>
      </c>
      <c r="G5682">
        <v>-233.12620000000001</v>
      </c>
      <c r="H5682" s="1">
        <v>-3.4669609999999999E-7</v>
      </c>
      <c r="I5682">
        <v>-60.279789999999998</v>
      </c>
      <c r="J5682">
        <v>-242.77869999999999</v>
      </c>
      <c r="K5682">
        <v>1.112573</v>
      </c>
      <c r="L5682">
        <v>-62.90466</v>
      </c>
      <c r="M5682">
        <v>0.99912409999999996</v>
      </c>
      <c r="N5682">
        <v>-1.408764E-2</v>
      </c>
      <c r="O5682">
        <v>-3.9406389999999999E-2</v>
      </c>
      <c r="P5682">
        <v>0.89673130000000001</v>
      </c>
      <c r="Q5682">
        <v>0.40513549999999998</v>
      </c>
      <c r="R5682">
        <v>0.178152799999999</v>
      </c>
      <c r="S5682">
        <v>3.3397519999999998</v>
      </c>
      <c r="T5682">
        <v>-0.37737939999999998</v>
      </c>
      <c r="U5682">
        <v>0.88793949999999999</v>
      </c>
      <c r="V5682">
        <v>-0.21511230000000001</v>
      </c>
      <c r="W5682">
        <v>0.41671710000000001</v>
      </c>
      <c r="X5682">
        <v>0.88321779999999905</v>
      </c>
      <c r="Y5682">
        <v>-0.29267650000000001</v>
      </c>
      <c r="Z5682">
        <v>2.2132829999999999E-2</v>
      </c>
      <c r="AA5682">
        <v>0.95595529999999995</v>
      </c>
      <c r="AB5682">
        <v>37</v>
      </c>
      <c r="AC5682">
        <v>9.6524999999999697</v>
      </c>
      <c r="AD5682">
        <v>-1.1125733466961001</v>
      </c>
      <c r="AE5682">
        <v>2.6248699999999898</v>
      </c>
      <c r="AF5682">
        <v>-2.9665405052253901</v>
      </c>
      <c r="AG5682">
        <v>-1.1125733466961001</v>
      </c>
      <c r="AH5682">
        <v>9.4249609629110704</v>
      </c>
      <c r="AI5682">
        <v>96.4244161276672</v>
      </c>
      <c r="AJ5682">
        <v>107.47158373430101</v>
      </c>
      <c r="AK5682">
        <v>9.9432424879069998</v>
      </c>
      <c r="AL5682">
        <v>65.372504563450804</v>
      </c>
      <c r="AM5682">
        <v>103.68818200020699</v>
      </c>
      <c r="AN5682">
        <v>1.0000000626402601</v>
      </c>
    </row>
    <row r="5683" spans="1:40" x14ac:dyDescent="0.25">
      <c r="A5683" t="str">
        <f>"20190304164521784"</f>
        <v>20190304164521784</v>
      </c>
      <c r="B5683" t="str">
        <f>"1551689121775375"</f>
        <v>1551689121775375</v>
      </c>
      <c r="C5683" t="s">
        <v>40</v>
      </c>
      <c r="D5683">
        <v>5.3303129999999896</v>
      </c>
      <c r="E5683">
        <v>0.4752557</v>
      </c>
      <c r="F5683" t="s">
        <v>56</v>
      </c>
      <c r="G5683">
        <v>-232.93049999999999</v>
      </c>
      <c r="H5683" s="1">
        <v>-2.650772E-7</v>
      </c>
      <c r="I5683">
        <v>-60.266680000000001</v>
      </c>
      <c r="J5683">
        <v>-242.59289999999999</v>
      </c>
      <c r="K5683">
        <v>1.112579</v>
      </c>
      <c r="L5683">
        <v>-62.911189999999998</v>
      </c>
      <c r="M5683">
        <v>0.99915860000000001</v>
      </c>
      <c r="N5683">
        <v>-1.408687E-2</v>
      </c>
      <c r="O5683">
        <v>-3.8520400000000003E-2</v>
      </c>
      <c r="P5683">
        <v>0.89629210000000004</v>
      </c>
      <c r="Q5683">
        <v>0.40534009999999998</v>
      </c>
      <c r="R5683">
        <v>0.17988889999999999</v>
      </c>
      <c r="S5683">
        <v>3.3382260000000001</v>
      </c>
      <c r="T5683">
        <v>-0.37712479999999998</v>
      </c>
      <c r="U5683">
        <v>0.89416499999999999</v>
      </c>
      <c r="V5683">
        <v>-0.2160484</v>
      </c>
      <c r="W5683">
        <v>0.41690949999999999</v>
      </c>
      <c r="X5683">
        <v>0.88289839999999997</v>
      </c>
      <c r="Y5683">
        <v>-0.29360180000000002</v>
      </c>
      <c r="Z5683">
        <v>2.2095650000000001E-2</v>
      </c>
      <c r="AA5683">
        <v>0.95567239999999998</v>
      </c>
      <c r="AB5683">
        <v>37</v>
      </c>
      <c r="AC5683">
        <v>9.6623999999999892</v>
      </c>
      <c r="AD5683">
        <v>-1.1125792650772</v>
      </c>
      <c r="AE5683">
        <v>2.6445099999999901</v>
      </c>
      <c r="AF5683">
        <v>-2.97805057798961</v>
      </c>
      <c r="AG5683">
        <v>-1.1125792650772</v>
      </c>
      <c r="AH5683">
        <v>9.4369496481278095</v>
      </c>
      <c r="AI5683">
        <v>96.414861214835099</v>
      </c>
      <c r="AJ5683">
        <v>107.514311806555</v>
      </c>
      <c r="AK5683">
        <v>9.9580438102793902</v>
      </c>
      <c r="AL5683">
        <v>65.360375877009105</v>
      </c>
      <c r="AM5683">
        <v>103.75027773328399</v>
      </c>
      <c r="AN5683">
        <v>1.0000000135276801</v>
      </c>
    </row>
    <row r="5684" spans="1:40" x14ac:dyDescent="0.25">
      <c r="A5684" t="str">
        <f>"20190304164521793"</f>
        <v>20190304164521793</v>
      </c>
      <c r="B5684" t="str">
        <f>"1551689121786111"</f>
        <v>1551689121786111</v>
      </c>
      <c r="C5684" t="s">
        <v>40</v>
      </c>
      <c r="D5684">
        <v>5.3355119999999996</v>
      </c>
      <c r="E5684">
        <v>0.47532400000000002</v>
      </c>
      <c r="F5684" t="s">
        <v>56</v>
      </c>
      <c r="G5684">
        <v>-232.7508</v>
      </c>
      <c r="H5684" s="1">
        <v>-1.8940680000000001E-7</v>
      </c>
      <c r="I5684">
        <v>-60.258780000000002</v>
      </c>
      <c r="J5684">
        <v>-242.41589999999999</v>
      </c>
      <c r="K5684">
        <v>1.112584</v>
      </c>
      <c r="L5684">
        <v>-62.917360000000002</v>
      </c>
      <c r="M5684">
        <v>0.99919080000000005</v>
      </c>
      <c r="N5684">
        <v>-1.4086130000000001E-2</v>
      </c>
      <c r="O5684">
        <v>-3.7676359999999999E-2</v>
      </c>
      <c r="P5684">
        <v>0.89580569999999904</v>
      </c>
      <c r="Q5684">
        <v>0.40553260000000002</v>
      </c>
      <c r="R5684">
        <v>0.18186720000000001</v>
      </c>
      <c r="S5684">
        <v>3.337234</v>
      </c>
      <c r="T5684">
        <v>-0.37725009999999998</v>
      </c>
      <c r="U5684">
        <v>0.89935299999999996</v>
      </c>
      <c r="V5684">
        <v>-0.2172626</v>
      </c>
      <c r="W5684">
        <v>0.41708810000000002</v>
      </c>
      <c r="X5684">
        <v>0.88251599999999997</v>
      </c>
      <c r="Y5684">
        <v>-0.29424929999999999</v>
      </c>
      <c r="Z5684">
        <v>2.206323E-2</v>
      </c>
      <c r="AA5684">
        <v>0.95547400000000005</v>
      </c>
      <c r="AB5684">
        <v>37</v>
      </c>
      <c r="AC5684">
        <v>9.66509999999999</v>
      </c>
      <c r="AD5684">
        <v>-1.1125841894068</v>
      </c>
      <c r="AE5684">
        <v>2.65857999999999</v>
      </c>
      <c r="AF5684">
        <v>-2.9841125237611199</v>
      </c>
      <c r="AG5684">
        <v>-1.1125841894068</v>
      </c>
      <c r="AH5684">
        <v>9.4417476142016294</v>
      </c>
      <c r="AI5684">
        <v>96.410777266098705</v>
      </c>
      <c r="AJ5684">
        <v>107.539406706349</v>
      </c>
      <c r="AK5684">
        <v>9.9644051073442501</v>
      </c>
      <c r="AL5684">
        <v>65.3491170571385</v>
      </c>
      <c r="AM5684">
        <v>103.830358363624</v>
      </c>
      <c r="AN5684">
        <v>1.0000000053881799</v>
      </c>
    </row>
    <row r="5685" spans="1:40" x14ac:dyDescent="0.25">
      <c r="A5685" t="str">
        <f>"20190304164521805"</f>
        <v>20190304164521805</v>
      </c>
      <c r="B5685" t="str">
        <f>"1551689121795871"</f>
        <v>1551689121795871</v>
      </c>
      <c r="C5685" t="s">
        <v>40</v>
      </c>
      <c r="D5685">
        <v>5.3352740000000001</v>
      </c>
      <c r="E5685">
        <v>0.47541949999999999</v>
      </c>
      <c r="F5685" t="s">
        <v>56</v>
      </c>
      <c r="G5685">
        <v>-232.58189999999999</v>
      </c>
      <c r="H5685" s="1">
        <v>-1.18041E-7</v>
      </c>
      <c r="I5685">
        <v>-60.252510000000001</v>
      </c>
      <c r="J5685">
        <v>-242.22489999999999</v>
      </c>
      <c r="K5685">
        <v>1.112592</v>
      </c>
      <c r="L5685">
        <v>-62.923740000000002</v>
      </c>
      <c r="M5685">
        <v>0.99922480000000002</v>
      </c>
      <c r="N5685">
        <v>-1.408532E-2</v>
      </c>
      <c r="O5685">
        <v>-3.6764619999999998E-2</v>
      </c>
      <c r="P5685">
        <v>0.89551460000000005</v>
      </c>
      <c r="Q5685">
        <v>0.40543990000000002</v>
      </c>
      <c r="R5685">
        <v>0.18349940000000001</v>
      </c>
      <c r="S5685">
        <v>3.3362729999999998</v>
      </c>
      <c r="T5685">
        <v>-0.37745390000000001</v>
      </c>
      <c r="U5685">
        <v>0.90405270000000004</v>
      </c>
      <c r="V5685">
        <v>-0.21807760000000001</v>
      </c>
      <c r="W5685">
        <v>0.41698580000000002</v>
      </c>
      <c r="X5685">
        <v>0.88236329999999996</v>
      </c>
      <c r="Y5685">
        <v>-0.29470000000000002</v>
      </c>
      <c r="Z5685">
        <v>2.20162E-2</v>
      </c>
      <c r="AA5685">
        <v>0.95533619999999997</v>
      </c>
      <c r="AB5685">
        <v>37</v>
      </c>
      <c r="AC5685">
        <v>9.64299999999999</v>
      </c>
      <c r="AD5685">
        <v>-1.1125921180409999</v>
      </c>
      <c r="AE5685">
        <v>2.67123</v>
      </c>
      <c r="AF5685">
        <v>-2.9870499872569201</v>
      </c>
      <c r="AG5685">
        <v>-1.1125921180409999</v>
      </c>
      <c r="AH5685">
        <v>9.4217777461763994</v>
      </c>
      <c r="AI5685">
        <v>96.422498036673502</v>
      </c>
      <c r="AJ5685">
        <v>107.590529473454</v>
      </c>
      <c r="AK5685">
        <v>9.9463674145812302</v>
      </c>
      <c r="AL5685">
        <v>65.355565709400494</v>
      </c>
      <c r="AM5685">
        <v>103.882545635672</v>
      </c>
      <c r="AN5685">
        <v>0.99999999510514404</v>
      </c>
    </row>
    <row r="5686" spans="1:40" x14ac:dyDescent="0.25">
      <c r="A5686" t="str">
        <f>"20190304164521816"</f>
        <v>20190304164521816</v>
      </c>
      <c r="B5686" t="str">
        <f>"1551689121805632"</f>
        <v>1551689121805632</v>
      </c>
      <c r="C5686" t="s">
        <v>40</v>
      </c>
      <c r="D5686">
        <v>5.3319190000000001</v>
      </c>
      <c r="E5686">
        <v>0.47549190000000002</v>
      </c>
      <c r="F5686" t="s">
        <v>56</v>
      </c>
      <c r="G5686">
        <v>-232.42580000000001</v>
      </c>
      <c r="H5686" s="1">
        <v>-5.0718539999999998E-8</v>
      </c>
      <c r="I5686">
        <v>-60.254570000000001</v>
      </c>
      <c r="J5686">
        <v>-242.0487</v>
      </c>
      <c r="K5686">
        <v>1.1126</v>
      </c>
      <c r="L5686">
        <v>-62.929569999999998</v>
      </c>
      <c r="M5686">
        <v>0.99925540000000002</v>
      </c>
      <c r="N5686">
        <v>-1.4084569999999999E-2</v>
      </c>
      <c r="O5686">
        <v>-3.5922740000000002E-2</v>
      </c>
      <c r="P5686">
        <v>0.89504119999999998</v>
      </c>
      <c r="Q5686">
        <v>0.40565190000000001</v>
      </c>
      <c r="R5686">
        <v>0.18533160000000001</v>
      </c>
      <c r="S5686">
        <v>3.3353120000000001</v>
      </c>
      <c r="T5686">
        <v>-0.3786911</v>
      </c>
      <c r="U5686">
        <v>0.9084778</v>
      </c>
      <c r="V5686">
        <v>-0.21914890000000001</v>
      </c>
      <c r="W5686">
        <v>0.41718470000000002</v>
      </c>
      <c r="X5686">
        <v>0.8820038</v>
      </c>
      <c r="Y5686">
        <v>-0.29513250000000002</v>
      </c>
      <c r="Z5686">
        <v>2.2030290000000001E-2</v>
      </c>
      <c r="AA5686">
        <v>0.95520229999999995</v>
      </c>
      <c r="AB5686">
        <v>37</v>
      </c>
      <c r="AC5686">
        <v>9.62289999999998</v>
      </c>
      <c r="AD5686">
        <v>-1.1126000507185401</v>
      </c>
      <c r="AE5686">
        <v>2.6749999999999998</v>
      </c>
      <c r="AF5686">
        <v>-2.98198462004052</v>
      </c>
      <c r="AG5686">
        <v>-1.1126000507185401</v>
      </c>
      <c r="AH5686">
        <v>9.4038912916825605</v>
      </c>
      <c r="AI5686">
        <v>96.434538610660894</v>
      </c>
      <c r="AJ5686">
        <v>107.59388051853399</v>
      </c>
      <c r="AK5686">
        <v>9.9279042387001404</v>
      </c>
      <c r="AL5686">
        <v>65.343027241330503</v>
      </c>
      <c r="AM5686">
        <v>103.953549779756</v>
      </c>
      <c r="AN5686">
        <v>1.0000000087498699</v>
      </c>
    </row>
    <row r="5687" spans="1:40" x14ac:dyDescent="0.25">
      <c r="A5687" t="str">
        <f>"20190304164521828"</f>
        <v>20190304164521828</v>
      </c>
      <c r="B5687" t="str">
        <f>"1551689121815392"</f>
        <v>1551689121815392</v>
      </c>
      <c r="C5687" t="s">
        <v>40</v>
      </c>
      <c r="D5687">
        <v>5.3128909999999996</v>
      </c>
      <c r="E5687">
        <v>0.47553970000000001</v>
      </c>
      <c r="F5687" t="s">
        <v>56</v>
      </c>
      <c r="G5687">
        <v>-232.24250000000001</v>
      </c>
      <c r="H5687" s="1">
        <v>2.5965159999999999E-8</v>
      </c>
      <c r="I5687">
        <v>-60.24353</v>
      </c>
      <c r="J5687">
        <v>-241.85069999999999</v>
      </c>
      <c r="K5687">
        <v>1.112608</v>
      </c>
      <c r="L5687">
        <v>-62.935789999999997</v>
      </c>
      <c r="M5687">
        <v>0.99928899999999998</v>
      </c>
      <c r="N5687">
        <v>-1.4083729999999999E-2</v>
      </c>
      <c r="O5687">
        <v>-3.4975119999999998E-2</v>
      </c>
      <c r="P5687">
        <v>0.89458890000000002</v>
      </c>
      <c r="Q5687">
        <v>0.40586850000000002</v>
      </c>
      <c r="R5687">
        <v>0.18703339999999999</v>
      </c>
      <c r="S5687">
        <v>3.3341370000000001</v>
      </c>
      <c r="T5687">
        <v>-0.37828650000000003</v>
      </c>
      <c r="U5687">
        <v>0.91323849999999995</v>
      </c>
      <c r="V5687">
        <v>-0.21999859999999999</v>
      </c>
      <c r="W5687">
        <v>0.41739009999999999</v>
      </c>
      <c r="X5687">
        <v>0.88169500000000001</v>
      </c>
      <c r="Y5687">
        <v>-0.29558689999999999</v>
      </c>
      <c r="Z5687">
        <v>2.19483E-2</v>
      </c>
      <c r="AA5687">
        <v>0.95506369999999896</v>
      </c>
      <c r="AB5687">
        <v>37</v>
      </c>
      <c r="AC5687">
        <v>9.6081999999999805</v>
      </c>
      <c r="AD5687">
        <v>-1.11260797403484</v>
      </c>
      <c r="AE5687">
        <v>2.6922599999999899</v>
      </c>
      <c r="AF5687">
        <v>-2.9895251409164101</v>
      </c>
      <c r="AG5687">
        <v>-1.11260797403484</v>
      </c>
      <c r="AH5687">
        <v>9.3913862666595396</v>
      </c>
      <c r="AI5687">
        <v>96.440821505289094</v>
      </c>
      <c r="AJ5687">
        <v>107.657640508653</v>
      </c>
      <c r="AK5687">
        <v>9.9183311641454406</v>
      </c>
      <c r="AL5687">
        <v>65.330076472924105</v>
      </c>
      <c r="AM5687">
        <v>104.01023787582901</v>
      </c>
      <c r="AN5687">
        <v>0.99999997630248405</v>
      </c>
    </row>
    <row r="5688" spans="1:40" x14ac:dyDescent="0.25">
      <c r="A5688" t="str">
        <f>"20190304164521838"</f>
        <v>20190304164521838</v>
      </c>
      <c r="B5688" t="str">
        <f>"1551689121835887"</f>
        <v>1551689121835887</v>
      </c>
      <c r="C5688" t="s">
        <v>40</v>
      </c>
      <c r="D5688">
        <v>5.3450989999999896</v>
      </c>
      <c r="E5688">
        <v>0.47569020000000001</v>
      </c>
      <c r="F5688" t="s">
        <v>56</v>
      </c>
      <c r="G5688">
        <v>-232.041</v>
      </c>
      <c r="H5688" s="1">
        <v>1.101882E-7</v>
      </c>
      <c r="I5688">
        <v>-60.2309699999999</v>
      </c>
      <c r="J5688">
        <v>-241.68170000000001</v>
      </c>
      <c r="K5688">
        <v>1.112619</v>
      </c>
      <c r="L5688">
        <v>-62.941070000000003</v>
      </c>
      <c r="M5688">
        <v>0.99931700000000001</v>
      </c>
      <c r="N5688">
        <v>-1.408301E-2</v>
      </c>
      <c r="O5688">
        <v>-3.4164350000000003E-2</v>
      </c>
      <c r="P5688">
        <v>0.89410659999999897</v>
      </c>
      <c r="Q5688">
        <v>0.4062538</v>
      </c>
      <c r="R5688">
        <v>0.18849730000000001</v>
      </c>
      <c r="S5688">
        <v>3.3328700000000002</v>
      </c>
      <c r="T5688">
        <v>-0.37801059999999997</v>
      </c>
      <c r="U5688">
        <v>0.91894529999999996</v>
      </c>
      <c r="V5688">
        <v>-0.2207316</v>
      </c>
      <c r="W5688">
        <v>0.41776439999999998</v>
      </c>
      <c r="X5688">
        <v>0.88133449999999902</v>
      </c>
      <c r="Y5688">
        <v>-0.29642580000000002</v>
      </c>
      <c r="Z5688">
        <v>2.1910610000000001E-2</v>
      </c>
      <c r="AA5688">
        <v>0.95480449999999994</v>
      </c>
      <c r="AB5688">
        <v>37</v>
      </c>
      <c r="AC5688">
        <v>9.6407000000000096</v>
      </c>
      <c r="AD5688">
        <v>-1.1126188898117999</v>
      </c>
      <c r="AE5688">
        <v>2.7101000000000002</v>
      </c>
      <c r="AF5688">
        <v>-3.00087662991863</v>
      </c>
      <c r="AG5688">
        <v>-1.1126188898117999</v>
      </c>
      <c r="AH5688">
        <v>9.42611982189554</v>
      </c>
      <c r="AI5688">
        <v>96.417291473902196</v>
      </c>
      <c r="AJ5688">
        <v>107.659268007509</v>
      </c>
      <c r="AK5688">
        <v>9.9546429488299495</v>
      </c>
      <c r="AL5688">
        <v>65.306475483727695</v>
      </c>
      <c r="AM5688">
        <v>104.06059142609401</v>
      </c>
      <c r="AN5688">
        <v>1.0000000170180801</v>
      </c>
    </row>
    <row r="5689" spans="1:40" x14ac:dyDescent="0.25">
      <c r="A5689" t="str">
        <f>"20190304164521850"</f>
        <v>20190304164521850</v>
      </c>
      <c r="B5689" t="str">
        <f>"1551689121845648"</f>
        <v>1551689121845648</v>
      </c>
      <c r="C5689" t="s">
        <v>40</v>
      </c>
      <c r="D5689">
        <v>5.3397860000000001</v>
      </c>
      <c r="E5689">
        <v>0.4758347</v>
      </c>
      <c r="F5689" t="s">
        <v>56</v>
      </c>
      <c r="G5689">
        <v>-231.85059999999999</v>
      </c>
      <c r="H5689" s="1">
        <v>1.894655E-7</v>
      </c>
      <c r="I5689">
        <v>-60.217449999999999</v>
      </c>
      <c r="J5689">
        <v>-241.48929999999999</v>
      </c>
      <c r="K5689">
        <v>1.1126290000000001</v>
      </c>
      <c r="L5689">
        <v>-62.946869999999997</v>
      </c>
      <c r="M5689">
        <v>0.99934829999999997</v>
      </c>
      <c r="N5689">
        <v>-1.40822E-2</v>
      </c>
      <c r="O5689">
        <v>-3.3238780000000002E-2</v>
      </c>
      <c r="P5689">
        <v>0.89368300000000001</v>
      </c>
      <c r="Q5689">
        <v>0.40652840000000001</v>
      </c>
      <c r="R5689">
        <v>0.1899093</v>
      </c>
      <c r="S5689">
        <v>3.3320470000000002</v>
      </c>
      <c r="T5689">
        <v>-0.37709949999999998</v>
      </c>
      <c r="U5689">
        <v>0.92309569999999996</v>
      </c>
      <c r="V5689">
        <v>-0.22131339999999999</v>
      </c>
      <c r="W5689">
        <v>0.41802830000000002</v>
      </c>
      <c r="X5689">
        <v>0.88106340000000005</v>
      </c>
      <c r="Y5689">
        <v>-0.29671930000000002</v>
      </c>
      <c r="Z5689">
        <v>2.1792349999999999E-2</v>
      </c>
      <c r="AA5689">
        <v>0.95471600000000001</v>
      </c>
      <c r="AB5689">
        <v>37</v>
      </c>
      <c r="AC5689">
        <v>9.6387</v>
      </c>
      <c r="AD5689">
        <v>-1.1126288105344999</v>
      </c>
      <c r="AE5689">
        <v>2.72941999999999</v>
      </c>
      <c r="AF5689">
        <v>-3.0111768517294002</v>
      </c>
      <c r="AG5689">
        <v>-1.1126288105344999</v>
      </c>
      <c r="AH5689">
        <v>9.4263603881062998</v>
      </c>
      <c r="AI5689">
        <v>96.415188277665393</v>
      </c>
      <c r="AJ5689">
        <v>107.71567354222501</v>
      </c>
      <c r="AK5689">
        <v>9.9579816764684796</v>
      </c>
      <c r="AL5689">
        <v>65.289831668367</v>
      </c>
      <c r="AM5689">
        <v>104.100340752839</v>
      </c>
      <c r="AN5689">
        <v>0.99999999772000503</v>
      </c>
    </row>
    <row r="5690" spans="1:40" x14ac:dyDescent="0.25">
      <c r="A5690" t="str">
        <f>"20190304164521863"</f>
        <v>20190304164521863</v>
      </c>
      <c r="B5690" t="str">
        <f>"1551689121855407"</f>
        <v>1551689121855407</v>
      </c>
      <c r="C5690" t="s">
        <v>40</v>
      </c>
      <c r="D5690">
        <v>5.3381160000000003</v>
      </c>
      <c r="E5690">
        <v>0.47593410000000003</v>
      </c>
      <c r="F5690" t="s">
        <v>56</v>
      </c>
      <c r="G5690">
        <v>-231.64259999999999</v>
      </c>
      <c r="H5690" s="1">
        <v>2.7674160000000001E-7</v>
      </c>
      <c r="I5690">
        <v>-60.206560000000003</v>
      </c>
      <c r="J5690">
        <v>-241.28389999999999</v>
      </c>
      <c r="K5690">
        <v>1.112641</v>
      </c>
      <c r="L5690">
        <v>-62.95279</v>
      </c>
      <c r="M5690">
        <v>0.99938099999999996</v>
      </c>
      <c r="N5690">
        <v>-1.408133E-2</v>
      </c>
      <c r="O5690">
        <v>-3.224453E-2</v>
      </c>
      <c r="P5690">
        <v>0.89314749999999998</v>
      </c>
      <c r="Q5690">
        <v>0.40701989999999999</v>
      </c>
      <c r="R5690">
        <v>0.1913704</v>
      </c>
      <c r="S5690">
        <v>3.3311310000000001</v>
      </c>
      <c r="T5690">
        <v>-0.37640439999999997</v>
      </c>
      <c r="U5690">
        <v>0.92703250000000004</v>
      </c>
      <c r="V5690">
        <v>-0.2218841</v>
      </c>
      <c r="W5690">
        <v>0.41850769999999998</v>
      </c>
      <c r="X5690">
        <v>0.88069219999999904</v>
      </c>
      <c r="Y5690">
        <v>-0.29689559999999998</v>
      </c>
      <c r="Z5690">
        <v>2.1672569999999999E-2</v>
      </c>
      <c r="AA5690">
        <v>0.95466399999999996</v>
      </c>
      <c r="AB5690">
        <v>37</v>
      </c>
      <c r="AC5690">
        <v>9.6412999999999993</v>
      </c>
      <c r="AD5690">
        <v>-1.1126407232583999</v>
      </c>
      <c r="AE5690">
        <v>2.7462300000000002</v>
      </c>
      <c r="AF5690">
        <v>-3.0185278066308601</v>
      </c>
      <c r="AG5690">
        <v>-1.1126407232583999</v>
      </c>
      <c r="AH5690">
        <v>9.4315431356782202</v>
      </c>
      <c r="AI5690">
        <v>96.410646778052794</v>
      </c>
      <c r="AJ5690">
        <v>107.74706322104799</v>
      </c>
      <c r="AK5690">
        <v>9.9651134172479807</v>
      </c>
      <c r="AL5690">
        <v>65.259591849143703</v>
      </c>
      <c r="AM5690">
        <v>104.14096434538899</v>
      </c>
      <c r="AN5690">
        <v>0.99999999996646904</v>
      </c>
    </row>
    <row r="5691" spans="1:40" x14ac:dyDescent="0.25">
      <c r="A5691" t="str">
        <f>"20190304164521875"</f>
        <v>20190304164521875</v>
      </c>
      <c r="B5691" t="str">
        <f>"1551689121866143"</f>
        <v>1551689121866143</v>
      </c>
      <c r="C5691" t="s">
        <v>40</v>
      </c>
      <c r="D5691">
        <v>5.3318580000000004</v>
      </c>
      <c r="E5691">
        <v>0.47603299999999998</v>
      </c>
      <c r="F5691" t="s">
        <v>56</v>
      </c>
      <c r="G5691">
        <v>-231.40289999999999</v>
      </c>
      <c r="H5691" s="1">
        <v>3.7620230000000003E-7</v>
      </c>
      <c r="I5691">
        <v>-60.187489999999997</v>
      </c>
      <c r="J5691">
        <v>-241.07470000000001</v>
      </c>
      <c r="K5691">
        <v>1.1126560000000001</v>
      </c>
      <c r="L5691">
        <v>-62.958710000000004</v>
      </c>
      <c r="M5691">
        <v>0.99941329999999995</v>
      </c>
      <c r="N5691">
        <v>-1.408044E-2</v>
      </c>
      <c r="O5691">
        <v>-3.122714E-2</v>
      </c>
      <c r="P5691">
        <v>0.89259709999999903</v>
      </c>
      <c r="Q5691">
        <v>0.4075377</v>
      </c>
      <c r="R5691">
        <v>0.19283130000000001</v>
      </c>
      <c r="S5691">
        <v>3.3301240000000001</v>
      </c>
      <c r="T5691">
        <v>-0.37498490000000001</v>
      </c>
      <c r="U5691">
        <v>0.93194580000000005</v>
      </c>
      <c r="V5691">
        <v>-0.22243479999999999</v>
      </c>
      <c r="W5691">
        <v>0.4190122</v>
      </c>
      <c r="X5691">
        <v>0.88031329999999997</v>
      </c>
      <c r="Y5691">
        <v>-0.29732239999999999</v>
      </c>
      <c r="Z5691">
        <v>2.152826E-2</v>
      </c>
      <c r="AA5691">
        <v>0.95453440000000001</v>
      </c>
      <c r="AB5691">
        <v>37</v>
      </c>
      <c r="AC5691">
        <v>9.6718000000000099</v>
      </c>
      <c r="AD5691">
        <v>-1.1126556237977001</v>
      </c>
      <c r="AE5691">
        <v>2.7712199999999898</v>
      </c>
      <c r="AF5691">
        <v>-3.0348039216893201</v>
      </c>
      <c r="AG5691">
        <v>-1.1126556237977001</v>
      </c>
      <c r="AH5691">
        <v>9.4647783830918009</v>
      </c>
      <c r="AI5691">
        <v>96.387310659092606</v>
      </c>
      <c r="AJ5691">
        <v>107.77802400298</v>
      </c>
      <c r="AK5691">
        <v>10.0015032480778</v>
      </c>
      <c r="AL5691">
        <v>65.227760359942394</v>
      </c>
      <c r="AM5691">
        <v>104.180503124952</v>
      </c>
      <c r="AN5691">
        <v>0.99999998507838395</v>
      </c>
    </row>
    <row r="5692" spans="1:40" x14ac:dyDescent="0.25">
      <c r="A5692" t="str">
        <f>"20190304164521888"</f>
        <v>20190304164521888</v>
      </c>
      <c r="B5692" t="str">
        <f>"1551689121875903"</f>
        <v>1551689121875903</v>
      </c>
      <c r="C5692" t="s">
        <v>40</v>
      </c>
      <c r="D5692">
        <v>5.3250400000000004</v>
      </c>
      <c r="E5692">
        <v>0.4761842</v>
      </c>
      <c r="F5692" t="s">
        <v>56</v>
      </c>
      <c r="G5692">
        <v>-231.1557</v>
      </c>
      <c r="H5692" s="1">
        <v>4.7872200000000004E-7</v>
      </c>
      <c r="I5692">
        <v>-60.167459999999998</v>
      </c>
      <c r="J5692">
        <v>-240.85810000000001</v>
      </c>
      <c r="K5692">
        <v>1.112671</v>
      </c>
      <c r="L5692">
        <v>-62.964480000000002</v>
      </c>
      <c r="M5692">
        <v>0.9994461</v>
      </c>
      <c r="N5692">
        <v>-1.4079609999999999E-2</v>
      </c>
      <c r="O5692">
        <v>-3.0158210000000001E-2</v>
      </c>
      <c r="P5692">
        <v>0.89202060000000005</v>
      </c>
      <c r="Q5692">
        <v>0.40802379999999999</v>
      </c>
      <c r="R5692">
        <v>0.19446289999999999</v>
      </c>
      <c r="S5692">
        <v>3.3291170000000001</v>
      </c>
      <c r="T5692">
        <v>-0.37343749999999998</v>
      </c>
      <c r="U5692">
        <v>0.93679809999999997</v>
      </c>
      <c r="V5692">
        <v>-0.22311539999999999</v>
      </c>
      <c r="W5692">
        <v>0.41948279999999899</v>
      </c>
      <c r="X5692">
        <v>0.87991679999999906</v>
      </c>
      <c r="Y5692">
        <v>-0.29768539999999999</v>
      </c>
      <c r="Z5692">
        <v>2.1368999999999999E-2</v>
      </c>
      <c r="AA5692">
        <v>0.95442490000000002</v>
      </c>
      <c r="AB5692">
        <v>37</v>
      </c>
      <c r="AC5692">
        <v>9.7024000000000097</v>
      </c>
      <c r="AD5692">
        <v>-1.1126705212779999</v>
      </c>
      <c r="AE5692">
        <v>2.7970199999999998</v>
      </c>
      <c r="AF5692">
        <v>-3.0513330295208601</v>
      </c>
      <c r="AG5692">
        <v>-1.1126705212779999</v>
      </c>
      <c r="AH5692">
        <v>9.4982925253215402</v>
      </c>
      <c r="AI5692">
        <v>96.363924948879003</v>
      </c>
      <c r="AJ5692">
        <v>107.809650973174</v>
      </c>
      <c r="AK5692">
        <v>10.0382383834288</v>
      </c>
      <c r="AL5692">
        <v>65.198059559159205</v>
      </c>
      <c r="AM5692">
        <v>104.228282782018</v>
      </c>
      <c r="AN5692">
        <v>0.999999938067618</v>
      </c>
    </row>
    <row r="5693" spans="1:40" x14ac:dyDescent="0.25">
      <c r="A5693" t="str">
        <f>"20190304164521901"</f>
        <v>20190304164521901</v>
      </c>
      <c r="B5693" t="str">
        <f>"1551689121895424"</f>
        <v>1551689121895424</v>
      </c>
      <c r="C5693" t="s">
        <v>40</v>
      </c>
      <c r="D5693">
        <v>5.453837</v>
      </c>
      <c r="E5693">
        <v>0.47614790000000001</v>
      </c>
      <c r="F5693" t="s">
        <v>56</v>
      </c>
      <c r="G5693">
        <v>-230.91419999999999</v>
      </c>
      <c r="H5693" s="1">
        <v>5.7955879999999997E-7</v>
      </c>
      <c r="I5693">
        <v>-60.151989999999998</v>
      </c>
      <c r="J5693">
        <v>-240.6412</v>
      </c>
      <c r="K5693">
        <v>1.1126860000000001</v>
      </c>
      <c r="L5693">
        <v>-62.970059999999997</v>
      </c>
      <c r="M5693">
        <v>0.99947799999999998</v>
      </c>
      <c r="N5693">
        <v>-1.407893E-2</v>
      </c>
      <c r="O5693">
        <v>-2.9077820000000001E-2</v>
      </c>
      <c r="P5693">
        <v>0.89147559999999904</v>
      </c>
      <c r="Q5693">
        <v>0.40851409999999999</v>
      </c>
      <c r="R5693">
        <v>0.1959275</v>
      </c>
      <c r="S5693">
        <v>3.3283079999999998</v>
      </c>
      <c r="T5693">
        <v>-0.3724209</v>
      </c>
      <c r="U5693">
        <v>0.94134519999999999</v>
      </c>
      <c r="V5693">
        <v>-0.22362219999999999</v>
      </c>
      <c r="W5693">
        <v>0.419958</v>
      </c>
      <c r="X5693">
        <v>0.8795615</v>
      </c>
      <c r="Y5693">
        <v>-0.29793639999999999</v>
      </c>
      <c r="Z5693">
        <v>2.1229209999999998E-2</v>
      </c>
      <c r="AA5693">
        <v>0.95434960000000002</v>
      </c>
      <c r="AB5693">
        <v>37</v>
      </c>
      <c r="AC5693">
        <v>9.7270000000000003</v>
      </c>
      <c r="AD5693">
        <v>-1.1126854204412</v>
      </c>
      <c r="AE5693">
        <v>2.8180699999999899</v>
      </c>
      <c r="AF5693">
        <v>-3.0627719859807101</v>
      </c>
      <c r="AG5693">
        <v>-1.1126854204412</v>
      </c>
      <c r="AH5693">
        <v>9.5259364343795898</v>
      </c>
      <c r="AI5693">
        <v>96.345199850057298</v>
      </c>
      <c r="AJ5693">
        <v>107.823598036512</v>
      </c>
      <c r="AK5693">
        <v>10.0678749512899</v>
      </c>
      <c r="AL5693">
        <v>65.168064678771799</v>
      </c>
      <c r="AM5693">
        <v>104.26481024443</v>
      </c>
      <c r="AN5693">
        <v>1.0000000211895399</v>
      </c>
    </row>
    <row r="5694" spans="1:40" x14ac:dyDescent="0.25">
      <c r="A5694" t="str">
        <f>"20190304164521912"</f>
        <v>20190304164521912</v>
      </c>
      <c r="B5694" t="str">
        <f>"1551689121906159"</f>
        <v>1551689121906159</v>
      </c>
      <c r="C5694" t="s">
        <v>40</v>
      </c>
      <c r="D5694">
        <v>5.3852460000000004</v>
      </c>
      <c r="E5694">
        <v>0.44037609999999999</v>
      </c>
      <c r="F5694" t="s">
        <v>56</v>
      </c>
      <c r="G5694">
        <v>-230.6574</v>
      </c>
      <c r="H5694" s="1">
        <v>6.8552419999999995E-7</v>
      </c>
      <c r="I5694">
        <v>-60.128399999999999</v>
      </c>
      <c r="J5694">
        <v>-240.44399999999999</v>
      </c>
      <c r="K5694">
        <v>1.1127009999999999</v>
      </c>
      <c r="L5694">
        <v>-62.975009999999997</v>
      </c>
      <c r="M5694">
        <v>0.99950649999999996</v>
      </c>
      <c r="N5694">
        <v>-1.4078429999999999E-2</v>
      </c>
      <c r="O5694">
        <v>-2.8087299999999999E-2</v>
      </c>
      <c r="P5694">
        <v>0.89096520000000001</v>
      </c>
      <c r="Q5694">
        <v>0.40878949999999997</v>
      </c>
      <c r="R5694">
        <v>0.1976678</v>
      </c>
      <c r="S5694">
        <v>3.326981</v>
      </c>
      <c r="T5694">
        <v>-0.3707896</v>
      </c>
      <c r="U5694">
        <v>0.94692989999999999</v>
      </c>
      <c r="V5694">
        <v>-0.22448580000000001</v>
      </c>
      <c r="W5694">
        <v>0.4202167</v>
      </c>
      <c r="X5694">
        <v>0.8792179</v>
      </c>
      <c r="Y5694">
        <v>-0.29859029999999998</v>
      </c>
      <c r="Z5694">
        <v>2.109376E-2</v>
      </c>
      <c r="AA5694">
        <v>0.95414829999999995</v>
      </c>
      <c r="AB5694">
        <v>37</v>
      </c>
      <c r="AC5694">
        <v>9.7866000000000195</v>
      </c>
      <c r="AD5694">
        <v>-1.1127003144758001</v>
      </c>
      <c r="AE5694">
        <v>2.8466099999999899</v>
      </c>
      <c r="AF5694">
        <v>-3.08364072584618</v>
      </c>
      <c r="AG5694">
        <v>-1.1127003144758001</v>
      </c>
      <c r="AH5694">
        <v>9.5884962181766191</v>
      </c>
      <c r="AI5694">
        <v>96.304075518138504</v>
      </c>
      <c r="AJ5694">
        <v>107.827684387901</v>
      </c>
      <c r="AK5694">
        <v>10.1334200466535</v>
      </c>
      <c r="AL5694">
        <v>65.151731442748996</v>
      </c>
      <c r="AM5694">
        <v>104.323003482319</v>
      </c>
      <c r="AN5694">
        <v>1.0000000325204601</v>
      </c>
    </row>
    <row r="5695" spans="1:40" x14ac:dyDescent="0.25">
      <c r="A5695" t="str">
        <f>"20190304164521927"</f>
        <v>20190304164521927</v>
      </c>
      <c r="B5695" t="str">
        <f>"1551689121915920"</f>
        <v>1551689121915920</v>
      </c>
      <c r="C5695" t="s">
        <v>40</v>
      </c>
      <c r="D5695">
        <v>5.2890680000000003</v>
      </c>
      <c r="E5695">
        <v>0.43094120000000002</v>
      </c>
      <c r="F5695" t="s">
        <v>57</v>
      </c>
      <c r="G5695">
        <v>-229.44569999999999</v>
      </c>
      <c r="H5695" s="1">
        <v>-3.5164450000000001E-6</v>
      </c>
      <c r="I5695">
        <v>-58.817610000000002</v>
      </c>
      <c r="J5695">
        <v>-240.1996</v>
      </c>
      <c r="K5695">
        <v>1.112722</v>
      </c>
      <c r="L5695">
        <v>-62.980710000000002</v>
      </c>
      <c r="M5695">
        <v>0.99954089999999995</v>
      </c>
      <c r="N5695">
        <v>-1.4077900000000001E-2</v>
      </c>
      <c r="O5695">
        <v>-2.6831460000000001E-2</v>
      </c>
      <c r="P5695">
        <v>0.89038059999999997</v>
      </c>
      <c r="Q5695">
        <v>0.40914489999999998</v>
      </c>
      <c r="R5695">
        <v>0.1995566</v>
      </c>
      <c r="S5695">
        <v>3.24559</v>
      </c>
      <c r="T5695">
        <v>-0.32835629999999999</v>
      </c>
      <c r="U5695">
        <v>1.226837</v>
      </c>
      <c r="V5695">
        <v>-0.22527069999999999</v>
      </c>
      <c r="W5695">
        <v>0.4205508</v>
      </c>
      <c r="X5695">
        <v>0.87885729999999995</v>
      </c>
      <c r="Y5695">
        <v>-0.37652020000000003</v>
      </c>
      <c r="Z5695">
        <v>2.3370800000000001E-2</v>
      </c>
      <c r="AA5695">
        <v>0.92611350000000003</v>
      </c>
      <c r="AB5695">
        <v>37</v>
      </c>
      <c r="AC5695">
        <v>10.7539</v>
      </c>
      <c r="AD5695">
        <v>-1.1127255164450001</v>
      </c>
      <c r="AE5695">
        <v>4.1631</v>
      </c>
      <c r="AF5695">
        <v>-4.4091189098740697</v>
      </c>
      <c r="AG5695">
        <v>-1.1127255164450001</v>
      </c>
      <c r="AH5695">
        <v>10.540174676450601</v>
      </c>
      <c r="AI5695">
        <v>95.562610628086205</v>
      </c>
      <c r="AJ5695">
        <v>112.70031613880499</v>
      </c>
      <c r="AK5695">
        <v>11.4792756673253</v>
      </c>
      <c r="AL5695">
        <v>65.130633554493798</v>
      </c>
      <c r="AM5695">
        <v>104.37666435095601</v>
      </c>
      <c r="AN5695">
        <v>1.00000000871121</v>
      </c>
    </row>
    <row r="5696" spans="1:40" x14ac:dyDescent="0.25">
      <c r="A5696" t="str">
        <f>"20190304164521939"</f>
        <v>20190304164521939</v>
      </c>
      <c r="B5696" t="str">
        <f>"1551689121935440"</f>
        <v>1551689121935440</v>
      </c>
      <c r="C5696" t="s">
        <v>40</v>
      </c>
      <c r="D5696">
        <v>5.3029440000000001</v>
      </c>
      <c r="E5696">
        <v>0.42621330000000002</v>
      </c>
      <c r="F5696" t="s">
        <v>57</v>
      </c>
      <c r="G5696">
        <v>-228.74299999999999</v>
      </c>
      <c r="H5696" s="1">
        <v>-3.3206520000000002E-6</v>
      </c>
      <c r="I5696">
        <v>-58.339770000000001</v>
      </c>
      <c r="J5696">
        <v>-240.00569999999999</v>
      </c>
      <c r="K5696">
        <v>1.112735</v>
      </c>
      <c r="L5696">
        <v>-62.985050000000001</v>
      </c>
      <c r="M5696">
        <v>0.9995676</v>
      </c>
      <c r="N5696">
        <v>-1.407753E-2</v>
      </c>
      <c r="O5696">
        <v>-2.58199E-2</v>
      </c>
      <c r="P5696">
        <v>0.89007969999999903</v>
      </c>
      <c r="Q5696">
        <v>0.40925410000000001</v>
      </c>
      <c r="R5696">
        <v>0.20067189999999999</v>
      </c>
      <c r="S5696">
        <v>3.2206730000000001</v>
      </c>
      <c r="T5696">
        <v>-0.31280829999999998</v>
      </c>
      <c r="U5696">
        <v>1.304657</v>
      </c>
      <c r="V5696">
        <v>-0.22550410000000001</v>
      </c>
      <c r="W5696">
        <v>0.42064600000000002</v>
      </c>
      <c r="X5696">
        <v>0.87875190000000003</v>
      </c>
      <c r="Y5696">
        <v>-0.3973102</v>
      </c>
      <c r="Z5696">
        <v>2.349414E-2</v>
      </c>
      <c r="AA5696">
        <v>0.91738359999999997</v>
      </c>
      <c r="AB5696">
        <v>37</v>
      </c>
      <c r="AC5696">
        <v>11.262699999999899</v>
      </c>
      <c r="AD5696">
        <v>-1.1127383206520001</v>
      </c>
      <c r="AE5696">
        <v>4.6452799999999996</v>
      </c>
      <c r="AF5696">
        <v>-4.8937377492673502</v>
      </c>
      <c r="AG5696">
        <v>-1.1127383206520001</v>
      </c>
      <c r="AH5696">
        <v>11.0468385173985</v>
      </c>
      <c r="AI5696">
        <v>95.261913072569797</v>
      </c>
      <c r="AJ5696">
        <v>113.893291809072</v>
      </c>
      <c r="AK5696">
        <v>12.133404178478999</v>
      </c>
      <c r="AL5696">
        <v>65.124621886939593</v>
      </c>
      <c r="AM5696">
        <v>104.39259590897601</v>
      </c>
      <c r="AN5696">
        <v>1.0000000290932001</v>
      </c>
    </row>
    <row r="5697" spans="1:40" x14ac:dyDescent="0.25">
      <c r="A5697" t="str">
        <f>"20190304164521951"</f>
        <v>20190304164521951</v>
      </c>
      <c r="B5697" t="str">
        <f>"1551689121946176"</f>
        <v>1551689121946176</v>
      </c>
      <c r="C5697" t="s">
        <v>40</v>
      </c>
      <c r="D5697">
        <v>5.3107639999999998</v>
      </c>
      <c r="E5697">
        <v>0.42491200000000001</v>
      </c>
      <c r="F5697" t="s">
        <v>41</v>
      </c>
      <c r="G5697">
        <v>-239.02209999999999</v>
      </c>
      <c r="H5697">
        <v>1.0096780000000001</v>
      </c>
      <c r="I5697">
        <v>-62.573509999999999</v>
      </c>
      <c r="J5697">
        <v>-239.81299999999999</v>
      </c>
      <c r="K5697">
        <v>1.1127590000000001</v>
      </c>
      <c r="L5697">
        <v>-62.989170000000001</v>
      </c>
      <c r="M5697">
        <v>0.99959339999999997</v>
      </c>
      <c r="N5697">
        <v>-1.407722E-2</v>
      </c>
      <c r="O5697">
        <v>-2.4797449999999999E-2</v>
      </c>
      <c r="P5697">
        <v>0.88981379999999999</v>
      </c>
      <c r="Q5697">
        <v>0.4092229</v>
      </c>
      <c r="R5697">
        <v>0.20191139999999999</v>
      </c>
      <c r="S5697">
        <v>3.2216640000000001</v>
      </c>
      <c r="T5697">
        <v>-0.33756629999999999</v>
      </c>
      <c r="U5697">
        <v>1.348511</v>
      </c>
      <c r="V5697">
        <v>-0.22585559999999999</v>
      </c>
      <c r="W5697">
        <v>0.42059879999999999</v>
      </c>
      <c r="X5697">
        <v>0.87868419999999903</v>
      </c>
      <c r="Y5697">
        <v>-0.40659659999999997</v>
      </c>
      <c r="Z5697">
        <v>2.553451E-2</v>
      </c>
      <c r="AA5697">
        <v>0.91325089999999998</v>
      </c>
      <c r="AB5697">
        <v>37</v>
      </c>
      <c r="AC5697">
        <v>0.79089999999999305</v>
      </c>
      <c r="AD5697">
        <v>-0.10308099999999901</v>
      </c>
      <c r="AE5697">
        <v>0.41565999999999498</v>
      </c>
      <c r="AF5697">
        <v>-0.429430483880961</v>
      </c>
      <c r="AG5697">
        <v>-0.10308099999999901</v>
      </c>
      <c r="AH5697">
        <v>0.77009805344654403</v>
      </c>
      <c r="AI5697">
        <v>96.667989250822004</v>
      </c>
      <c r="AJ5697">
        <v>119.145388815864</v>
      </c>
      <c r="AK5697">
        <v>0.88774278086019598</v>
      </c>
      <c r="AL5697">
        <v>65.127602338313494</v>
      </c>
      <c r="AM5697">
        <v>104.415160397981</v>
      </c>
      <c r="AN5697">
        <v>1.0000000129712101</v>
      </c>
    </row>
    <row r="5698" spans="1:40" x14ac:dyDescent="0.25">
      <c r="A5698" t="str">
        <f>"20190304164521962"</f>
        <v>20190304164521962</v>
      </c>
      <c r="B5698" t="str">
        <f>"1551689121955935"</f>
        <v>1551689121955935</v>
      </c>
      <c r="C5698" t="s">
        <v>40</v>
      </c>
      <c r="D5698">
        <v>5.3013500000000002</v>
      </c>
      <c r="E5698">
        <v>0.42421019999999998</v>
      </c>
      <c r="F5698" t="s">
        <v>57</v>
      </c>
      <c r="G5698">
        <v>-229.34870000000001</v>
      </c>
      <c r="H5698" s="1">
        <v>-3.532266E-6</v>
      </c>
      <c r="I5698">
        <v>-58.557929999999999</v>
      </c>
      <c r="J5698">
        <v>-239.62090000000001</v>
      </c>
      <c r="K5698">
        <v>1.1127860000000001</v>
      </c>
      <c r="L5698">
        <v>-62.993009999999998</v>
      </c>
      <c r="M5698">
        <v>0.99961869999999997</v>
      </c>
      <c r="N5698">
        <v>-1.40771E-2</v>
      </c>
      <c r="O5698">
        <v>-2.375507E-2</v>
      </c>
      <c r="P5698">
        <v>0.88943159999999899</v>
      </c>
      <c r="Q5698">
        <v>0.4095258</v>
      </c>
      <c r="R5698">
        <v>0.2029784</v>
      </c>
      <c r="S5698">
        <v>3.2195740000000002</v>
      </c>
      <c r="T5698">
        <v>-0.34236729999999999</v>
      </c>
      <c r="U5698">
        <v>1.3633729999999999</v>
      </c>
      <c r="V5698">
        <v>-0.22601869999999999</v>
      </c>
      <c r="W5698">
        <v>0.42088389999999998</v>
      </c>
      <c r="X5698">
        <v>0.87850569999999895</v>
      </c>
      <c r="Y5698">
        <v>-0.4093639</v>
      </c>
      <c r="Z5698">
        <v>2.5924229999999999E-2</v>
      </c>
      <c r="AA5698">
        <v>0.9120028</v>
      </c>
      <c r="AB5698">
        <v>37</v>
      </c>
      <c r="AC5698">
        <v>10.2721999999999</v>
      </c>
      <c r="AD5698">
        <v>-1.112789532266</v>
      </c>
      <c r="AE5698">
        <v>4.4350799999999904</v>
      </c>
      <c r="AF5698">
        <v>-4.6320511684388102</v>
      </c>
      <c r="AG5698">
        <v>-1.112789532266</v>
      </c>
      <c r="AH5698">
        <v>10.064382527804</v>
      </c>
      <c r="AI5698">
        <v>95.735548089243593</v>
      </c>
      <c r="AJ5698">
        <v>114.71387143824499</v>
      </c>
      <c r="AK5698">
        <v>11.1348998305383</v>
      </c>
      <c r="AL5698">
        <v>65.109595294743897</v>
      </c>
      <c r="AM5698">
        <v>104.42794465424301</v>
      </c>
      <c r="AN5698">
        <v>0.99999998748069396</v>
      </c>
    </row>
    <row r="5699" spans="1:40" x14ac:dyDescent="0.25">
      <c r="A5699" t="str">
        <f>"20190304164521972"</f>
        <v>20190304164521972</v>
      </c>
      <c r="B5699" t="str">
        <f>"1551689121965696"</f>
        <v>1551689121965696</v>
      </c>
      <c r="C5699" t="s">
        <v>40</v>
      </c>
      <c r="D5699">
        <v>5.2794569999999998</v>
      </c>
      <c r="E5699">
        <v>0.42244470000000001</v>
      </c>
      <c r="F5699" t="s">
        <v>41</v>
      </c>
      <c r="G5699">
        <v>-238.6763</v>
      </c>
      <c r="H5699">
        <v>1.011619</v>
      </c>
      <c r="I5699">
        <v>-62.590150000000001</v>
      </c>
      <c r="J5699">
        <v>-239.4427</v>
      </c>
      <c r="K5699">
        <v>1.112816</v>
      </c>
      <c r="L5699">
        <v>-62.996459999999999</v>
      </c>
      <c r="M5699">
        <v>0.99964149999999996</v>
      </c>
      <c r="N5699">
        <v>-1.4076999999999999E-2</v>
      </c>
      <c r="O5699">
        <v>-2.27797E-2</v>
      </c>
      <c r="P5699">
        <v>0.88915290000000002</v>
      </c>
      <c r="Q5699">
        <v>0.40960180000000002</v>
      </c>
      <c r="R5699">
        <v>0.20404310000000001</v>
      </c>
      <c r="S5699">
        <v>3.218369</v>
      </c>
      <c r="T5699">
        <v>-0.34468700000000002</v>
      </c>
      <c r="U5699">
        <v>1.3727720000000001</v>
      </c>
      <c r="V5699">
        <v>-0.22623960000000001</v>
      </c>
      <c r="W5699">
        <v>0.42094399999999998</v>
      </c>
      <c r="X5699">
        <v>0.87842009999999904</v>
      </c>
      <c r="Y5699">
        <v>-0.41081970000000001</v>
      </c>
      <c r="Z5699">
        <v>2.607632E-2</v>
      </c>
      <c r="AA5699">
        <v>0.91134360000000003</v>
      </c>
      <c r="AB5699">
        <v>37</v>
      </c>
      <c r="AC5699">
        <v>0.76640000000000397</v>
      </c>
      <c r="AD5699">
        <v>-0.101196999999999</v>
      </c>
      <c r="AE5699">
        <v>0.40630999999999701</v>
      </c>
      <c r="AF5699">
        <v>-0.41797603948156298</v>
      </c>
      <c r="AG5699">
        <v>-0.101196999999999</v>
      </c>
      <c r="AH5699">
        <v>0.74678096474086497</v>
      </c>
      <c r="AI5699">
        <v>96.7438555101741</v>
      </c>
      <c r="AJ5699">
        <v>119.235899149095</v>
      </c>
      <c r="AK5699">
        <v>0.861757861402489</v>
      </c>
      <c r="AL5699">
        <v>65.105800553690699</v>
      </c>
      <c r="AM5699">
        <v>104.442804855688</v>
      </c>
      <c r="AN5699">
        <v>1.00000003991408</v>
      </c>
    </row>
    <row r="5700" spans="1:40" x14ac:dyDescent="0.25">
      <c r="A5700" t="str">
        <f>"20190304164521984"</f>
        <v>20190304164521984</v>
      </c>
      <c r="B5700" t="str">
        <f>"1551689121975456"</f>
        <v>1551689121975456</v>
      </c>
      <c r="C5700" t="s">
        <v>40</v>
      </c>
      <c r="D5700">
        <v>5.2795519999999998</v>
      </c>
      <c r="E5700">
        <v>0.42111120000000002</v>
      </c>
      <c r="F5700" t="s">
        <v>57</v>
      </c>
      <c r="G5700">
        <v>-228.857</v>
      </c>
      <c r="H5700" s="1">
        <v>-3.3526249999999999E-6</v>
      </c>
      <c r="I5700">
        <v>-58.416369999999901</v>
      </c>
      <c r="J5700">
        <v>-239.26349999999999</v>
      </c>
      <c r="K5700">
        <v>1.1128439999999999</v>
      </c>
      <c r="L5700">
        <v>-62.999600000000001</v>
      </c>
      <c r="M5700">
        <v>0.999664</v>
      </c>
      <c r="N5700">
        <v>-1.407694E-2</v>
      </c>
      <c r="O5700">
        <v>-2.1767809999999999E-2</v>
      </c>
      <c r="P5700">
        <v>0.88873919999999995</v>
      </c>
      <c r="Q5700">
        <v>0.409941</v>
      </c>
      <c r="R5700">
        <v>0.20516119999999999</v>
      </c>
      <c r="S5700">
        <v>3.210693</v>
      </c>
      <c r="T5700">
        <v>-0.33752300000000002</v>
      </c>
      <c r="U5700">
        <v>1.38916</v>
      </c>
      <c r="V5700">
        <v>-0.22648460000000001</v>
      </c>
      <c r="W5700">
        <v>0.4212632</v>
      </c>
      <c r="X5700">
        <v>0.87820390000000004</v>
      </c>
      <c r="Y5700">
        <v>-0.41467589999999999</v>
      </c>
      <c r="Z5700">
        <v>2.575817E-2</v>
      </c>
      <c r="AA5700">
        <v>0.90960450000000004</v>
      </c>
      <c r="AB5700">
        <v>37</v>
      </c>
      <c r="AC5700">
        <v>10.4064999999999</v>
      </c>
      <c r="AD5700">
        <v>-1.112847352625</v>
      </c>
      <c r="AE5700">
        <v>4.5832300000000004</v>
      </c>
      <c r="AF5700">
        <v>-4.76307290511697</v>
      </c>
      <c r="AG5700">
        <v>-1.112847352625</v>
      </c>
      <c r="AH5700">
        <v>10.2065005255256</v>
      </c>
      <c r="AI5700">
        <v>95.642731969384698</v>
      </c>
      <c r="AJ5700">
        <v>115.01707476348901</v>
      </c>
      <c r="AK5700">
        <v>11.3180363008456</v>
      </c>
      <c r="AL5700">
        <v>65.085636334241997</v>
      </c>
      <c r="AM5700">
        <v>104.461200163939</v>
      </c>
      <c r="AN5700">
        <v>1.0000000238433</v>
      </c>
    </row>
    <row r="5701" spans="1:40" x14ac:dyDescent="0.25">
      <c r="A5701" t="str">
        <f>"20190304164521994"</f>
        <v>20190304164521994</v>
      </c>
      <c r="B5701" t="str">
        <f>"1551689121986193"</f>
        <v>1551689121986193</v>
      </c>
      <c r="C5701" t="s">
        <v>40</v>
      </c>
      <c r="D5701">
        <v>5.2641989999999996</v>
      </c>
      <c r="E5701">
        <v>0.42017369999999998</v>
      </c>
      <c r="F5701" t="s">
        <v>41</v>
      </c>
      <c r="G5701">
        <v>-238.3314</v>
      </c>
      <c r="H5701">
        <v>1.0165249999999999</v>
      </c>
      <c r="I5701">
        <v>-62.591720000000002</v>
      </c>
      <c r="J5701">
        <v>-239.08930000000001</v>
      </c>
      <c r="K5701">
        <v>1.1128769999999999</v>
      </c>
      <c r="L5701">
        <v>-63.002619999999901</v>
      </c>
      <c r="M5701">
        <v>0.99968489999999999</v>
      </c>
      <c r="N5701">
        <v>-1.407682E-2</v>
      </c>
      <c r="O5701">
        <v>-2.0780259999999998E-2</v>
      </c>
      <c r="P5701">
        <v>0.88849549999999999</v>
      </c>
      <c r="Q5701">
        <v>0.40982679999999999</v>
      </c>
      <c r="R5701">
        <v>0.2064404</v>
      </c>
      <c r="S5701">
        <v>3.2045140000000001</v>
      </c>
      <c r="T5701">
        <v>-0.33114919999999998</v>
      </c>
      <c r="U5701">
        <v>1.4027400000000001</v>
      </c>
      <c r="V5701">
        <v>-0.22691230000000001</v>
      </c>
      <c r="W5701">
        <v>0.42113119999999998</v>
      </c>
      <c r="X5701">
        <v>0.87815679999999996</v>
      </c>
      <c r="Y5701">
        <v>-0.41771979999999997</v>
      </c>
      <c r="Z5701">
        <v>2.543832E-2</v>
      </c>
      <c r="AA5701">
        <v>0.90821980000000002</v>
      </c>
      <c r="AB5701">
        <v>37</v>
      </c>
      <c r="AC5701">
        <v>0.75790000000000601</v>
      </c>
      <c r="AD5701">
        <v>-9.6352000000000201E-2</v>
      </c>
      <c r="AE5701">
        <v>0.41089999999999799</v>
      </c>
      <c r="AF5701">
        <v>-0.42129985752439603</v>
      </c>
      <c r="AG5701">
        <v>-9.6352000000000201E-2</v>
      </c>
      <c r="AH5701">
        <v>0.73995432898230995</v>
      </c>
      <c r="AI5701">
        <v>96.455994083411895</v>
      </c>
      <c r="AJ5701">
        <v>119.65542399571</v>
      </c>
      <c r="AK5701">
        <v>0.85691871658503105</v>
      </c>
      <c r="AL5701">
        <v>65.093975106860498</v>
      </c>
      <c r="AM5701">
        <v>104.488105258544</v>
      </c>
      <c r="AN5701">
        <v>1.0000000224454799</v>
      </c>
    </row>
    <row r="5702" spans="1:40" x14ac:dyDescent="0.25">
      <c r="A5702" t="str">
        <f>"20190304164522005"</f>
        <v>20190304164522005</v>
      </c>
      <c r="B5702" t="str">
        <f>"1551689121995952"</f>
        <v>1551689121995952</v>
      </c>
      <c r="C5702" t="s">
        <v>40</v>
      </c>
      <c r="D5702">
        <v>5.2457669999999998</v>
      </c>
      <c r="E5702">
        <v>0.41939739999999998</v>
      </c>
      <c r="F5702" t="s">
        <v>41</v>
      </c>
      <c r="G5702">
        <v>-238.04089999999999</v>
      </c>
      <c r="H5702">
        <v>1.0054000000000001</v>
      </c>
      <c r="I5702">
        <v>-62.539369999999998</v>
      </c>
      <c r="J5702">
        <v>-238.90190000000001</v>
      </c>
      <c r="K5702">
        <v>1.1129100000000001</v>
      </c>
      <c r="L5702">
        <v>-63.005519999999997</v>
      </c>
      <c r="M5702">
        <v>0.99970720000000002</v>
      </c>
      <c r="N5702">
        <v>-1.407683E-2</v>
      </c>
      <c r="O5702">
        <v>-1.9685149999999998E-2</v>
      </c>
      <c r="P5702">
        <v>0.88816909999999905</v>
      </c>
      <c r="Q5702">
        <v>0.40989429999999999</v>
      </c>
      <c r="R5702">
        <v>0.2077077</v>
      </c>
      <c r="S5702">
        <v>3.1992950000000002</v>
      </c>
      <c r="T5702">
        <v>-0.32797599999999999</v>
      </c>
      <c r="U5702">
        <v>1.4136959999999901</v>
      </c>
      <c r="V5702">
        <v>-0.2272363</v>
      </c>
      <c r="W5702">
        <v>0.42117880000000002</v>
      </c>
      <c r="X5702">
        <v>0.87805009999999994</v>
      </c>
      <c r="Y5702">
        <v>-0.41990349999999999</v>
      </c>
      <c r="Z5702">
        <v>2.5273589999999999E-2</v>
      </c>
      <c r="AA5702">
        <v>0.90721680000000005</v>
      </c>
      <c r="AB5702">
        <v>37</v>
      </c>
      <c r="AC5702">
        <v>0.86100000000001797</v>
      </c>
      <c r="AD5702">
        <v>-0.10750999999999999</v>
      </c>
      <c r="AE5702">
        <v>0.46614999999999901</v>
      </c>
      <c r="AF5702">
        <v>-0.47725579710213401</v>
      </c>
      <c r="AG5702">
        <v>-0.10750999999999999</v>
      </c>
      <c r="AH5702">
        <v>0.84150959391164903</v>
      </c>
      <c r="AI5702">
        <v>96.341263078619903</v>
      </c>
      <c r="AJ5702">
        <v>119.55941167199499</v>
      </c>
      <c r="AK5702">
        <v>0.97338065144779895</v>
      </c>
      <c r="AL5702">
        <v>65.090966161956601</v>
      </c>
      <c r="AM5702">
        <v>104.509608497001</v>
      </c>
      <c r="AN5702">
        <v>0.99999994785856805</v>
      </c>
    </row>
    <row r="5703" spans="1:40" x14ac:dyDescent="0.25">
      <c r="A5703" t="str">
        <f>"20190304164522017"</f>
        <v>20190304164522017</v>
      </c>
      <c r="B5703" t="str">
        <f>"1551689122005711"</f>
        <v>1551689122005711</v>
      </c>
      <c r="C5703" t="s">
        <v>40</v>
      </c>
      <c r="D5703">
        <v>5.2497280000000002</v>
      </c>
      <c r="E5703">
        <v>0.41868480000000002</v>
      </c>
      <c r="F5703" t="s">
        <v>41</v>
      </c>
      <c r="G5703">
        <v>-237.9659</v>
      </c>
      <c r="H5703">
        <v>1.017771</v>
      </c>
      <c r="I5703">
        <v>-62.588450000000002</v>
      </c>
      <c r="J5703">
        <v>-238.71979999999999</v>
      </c>
      <c r="K5703">
        <v>1.112938</v>
      </c>
      <c r="L5703">
        <v>-63.008209999999998</v>
      </c>
      <c r="M5703">
        <v>0.9997277</v>
      </c>
      <c r="N5703">
        <v>-1.4076770000000001E-2</v>
      </c>
      <c r="O5703">
        <v>-1.8612819999999999E-2</v>
      </c>
      <c r="P5703">
        <v>0.88781200000000005</v>
      </c>
      <c r="Q5703">
        <v>0.41005439999999999</v>
      </c>
      <c r="R5703">
        <v>0.20891499999999999</v>
      </c>
      <c r="S5703">
        <v>3.1946870000000001</v>
      </c>
      <c r="T5703">
        <v>-0.32470939999999998</v>
      </c>
      <c r="U5703">
        <v>1.4235230000000001</v>
      </c>
      <c r="V5703">
        <v>-0.22751969999999999</v>
      </c>
      <c r="W5703">
        <v>0.42131940000000001</v>
      </c>
      <c r="X5703">
        <v>0.8779093</v>
      </c>
      <c r="Y5703">
        <v>-0.42177740000000002</v>
      </c>
      <c r="Z5703">
        <v>2.508403E-2</v>
      </c>
      <c r="AA5703">
        <v>0.90635239999999995</v>
      </c>
      <c r="AB5703">
        <v>37</v>
      </c>
      <c r="AC5703">
        <v>0.75389999999998702</v>
      </c>
      <c r="AD5703">
        <v>-9.5167000000000002E-2</v>
      </c>
      <c r="AE5703">
        <v>0.41975999999999603</v>
      </c>
      <c r="AF5703">
        <v>-0.42850855200362298</v>
      </c>
      <c r="AG5703">
        <v>-9.5167000000000002E-2</v>
      </c>
      <c r="AH5703">
        <v>0.73699103652334896</v>
      </c>
      <c r="AI5703">
        <v>96.369635541323106</v>
      </c>
      <c r="AJ5703">
        <v>120.174995311335</v>
      </c>
      <c r="AK5703">
        <v>0.85780657781635195</v>
      </c>
      <c r="AL5703">
        <v>65.082085080384104</v>
      </c>
      <c r="AM5703">
        <v>104.529170390724</v>
      </c>
      <c r="AN5703">
        <v>0.99999999486546998</v>
      </c>
    </row>
    <row r="5704" spans="1:40" x14ac:dyDescent="0.25">
      <c r="A5704" t="str">
        <f>"20190304164522028"</f>
        <v>20190304164522028</v>
      </c>
      <c r="B5704" t="str">
        <f>"1551689122016448"</f>
        <v>1551689122016448</v>
      </c>
      <c r="C5704" t="s">
        <v>40</v>
      </c>
      <c r="D5704">
        <v>5.262111</v>
      </c>
      <c r="E5704">
        <v>0.418099</v>
      </c>
      <c r="F5704" t="s">
        <v>41</v>
      </c>
      <c r="G5704">
        <v>-237.709</v>
      </c>
      <c r="H5704">
        <v>1.0111490000000001</v>
      </c>
      <c r="I5704">
        <v>-62.5546199999999</v>
      </c>
      <c r="J5704">
        <v>-238.53540000000001</v>
      </c>
      <c r="K5704">
        <v>1.112968</v>
      </c>
      <c r="L5704">
        <v>-63.010649999999998</v>
      </c>
      <c r="M5704">
        <v>0.99974779999999996</v>
      </c>
      <c r="N5704">
        <v>-1.4076669999999999E-2</v>
      </c>
      <c r="O5704">
        <v>-1.7505570000000002E-2</v>
      </c>
      <c r="P5704">
        <v>0.88755980000000001</v>
      </c>
      <c r="Q5704">
        <v>0.40994029999999998</v>
      </c>
      <c r="R5704">
        <v>0.21020620000000001</v>
      </c>
      <c r="S5704">
        <v>3.1905060000000001</v>
      </c>
      <c r="T5704">
        <v>-0.32130730000000002</v>
      </c>
      <c r="U5704">
        <v>1.4322509999999999</v>
      </c>
      <c r="V5704">
        <v>-0.22785610000000001</v>
      </c>
      <c r="W5704">
        <v>0.42118749999999999</v>
      </c>
      <c r="X5704">
        <v>0.87788529999999998</v>
      </c>
      <c r="Y5704">
        <v>-0.423317</v>
      </c>
      <c r="Z5704">
        <v>2.4862229999999999E-2</v>
      </c>
      <c r="AA5704">
        <v>0.90564049999999996</v>
      </c>
      <c r="AB5704">
        <v>37</v>
      </c>
      <c r="AC5704">
        <v>0.82640000000000602</v>
      </c>
      <c r="AD5704">
        <v>-0.10181899999999899</v>
      </c>
      <c r="AE5704">
        <v>0.45603000000000499</v>
      </c>
      <c r="AF5704">
        <v>-0.46501689550472503</v>
      </c>
      <c r="AG5704">
        <v>-0.10181899999999899</v>
      </c>
      <c r="AH5704">
        <v>0.80887685788744901</v>
      </c>
      <c r="AI5704">
        <v>96.227966705634103</v>
      </c>
      <c r="AJ5704">
        <v>119.89425446059499</v>
      </c>
      <c r="AK5704">
        <v>0.93855718690537204</v>
      </c>
      <c r="AL5704">
        <v>65.090416784691399</v>
      </c>
      <c r="AM5704">
        <v>104.550122362815</v>
      </c>
      <c r="AN5704">
        <v>0.999999956209774</v>
      </c>
    </row>
    <row r="5705" spans="1:40" x14ac:dyDescent="0.25">
      <c r="A5705" t="str">
        <f>"20190304164522039"</f>
        <v>20190304164522039</v>
      </c>
      <c r="B5705" t="str">
        <f>"1551689122035968"</f>
        <v>1551689122035968</v>
      </c>
      <c r="C5705" t="s">
        <v>40</v>
      </c>
      <c r="D5705">
        <v>5.2386980000000003</v>
      </c>
      <c r="E5705">
        <v>0.41719129999999899</v>
      </c>
      <c r="F5705" t="s">
        <v>57</v>
      </c>
      <c r="G5705">
        <v>-227.45740000000001</v>
      </c>
      <c r="H5705" s="1">
        <v>-2.8430449999999999E-6</v>
      </c>
      <c r="I5705">
        <v>-58.00553</v>
      </c>
      <c r="J5705">
        <v>-238.3484</v>
      </c>
      <c r="K5705">
        <v>1.1129990000000001</v>
      </c>
      <c r="L5705">
        <v>-63.012970000000003</v>
      </c>
      <c r="M5705">
        <v>0.99976690000000001</v>
      </c>
      <c r="N5705">
        <v>-1.4076490000000001E-2</v>
      </c>
      <c r="O5705">
        <v>-1.6370329999999999E-2</v>
      </c>
      <c r="P5705">
        <v>0.88717829999999998</v>
      </c>
      <c r="Q5705">
        <v>0.40995359999999997</v>
      </c>
      <c r="R5705">
        <v>0.21178449999999999</v>
      </c>
      <c r="S5705">
        <v>3.1869200000000002</v>
      </c>
      <c r="T5705">
        <v>-0.3201813</v>
      </c>
      <c r="U5705">
        <v>1.4398799999999901</v>
      </c>
      <c r="V5705">
        <v>-0.22845299999999999</v>
      </c>
      <c r="W5705">
        <v>0.4211801</v>
      </c>
      <c r="X5705">
        <v>0.87773369999999995</v>
      </c>
      <c r="Y5705">
        <v>-0.42448180000000002</v>
      </c>
      <c r="Z5705">
        <v>2.477014E-2</v>
      </c>
      <c r="AA5705">
        <v>0.90509759999999995</v>
      </c>
      <c r="AB5705">
        <v>37</v>
      </c>
      <c r="AC5705">
        <v>10.890999999999901</v>
      </c>
      <c r="AD5705">
        <v>-1.1130018430449999</v>
      </c>
      <c r="AE5705">
        <v>5.0074399999999804</v>
      </c>
      <c r="AF5705">
        <v>-5.1407560430283299</v>
      </c>
      <c r="AG5705">
        <v>-1.1130018430449999</v>
      </c>
      <c r="AH5705">
        <v>10.715180465554299</v>
      </c>
      <c r="AI5705">
        <v>95.350212172342793</v>
      </c>
      <c r="AJ5705">
        <v>115.630007235241</v>
      </c>
      <c r="AK5705">
        <v>11.936550515368801</v>
      </c>
      <c r="AL5705">
        <v>65.090884067900603</v>
      </c>
      <c r="AM5705">
        <v>104.589026515507</v>
      </c>
      <c r="AN5705">
        <v>0.99999994898034805</v>
      </c>
    </row>
    <row r="5706" spans="1:40" x14ac:dyDescent="0.25">
      <c r="A5706" t="str">
        <f>"20190304164522051"</f>
        <v>20190304164522051</v>
      </c>
      <c r="B5706" t="str">
        <f>"1551689122045727"</f>
        <v>1551689122045727</v>
      </c>
      <c r="C5706" t="s">
        <v>40</v>
      </c>
      <c r="D5706">
        <v>5.2486930000000003</v>
      </c>
      <c r="E5706">
        <v>0.4168017</v>
      </c>
      <c r="F5706" t="s">
        <v>41</v>
      </c>
      <c r="G5706">
        <v>-237.37710000000001</v>
      </c>
      <c r="H5706">
        <v>1.0161420000000001</v>
      </c>
      <c r="I5706">
        <v>-62.569940000000003</v>
      </c>
      <c r="J5706">
        <v>-238.14619999999999</v>
      </c>
      <c r="K5706">
        <v>1.113027</v>
      </c>
      <c r="L5706">
        <v>-63.015230000000003</v>
      </c>
      <c r="M5706">
        <v>0.99978659999999997</v>
      </c>
      <c r="N5706">
        <v>-1.4076190000000001E-2</v>
      </c>
      <c r="O5706">
        <v>-1.51283999999999E-2</v>
      </c>
      <c r="P5706">
        <v>0.88690659999999899</v>
      </c>
      <c r="Q5706">
        <v>0.4097208</v>
      </c>
      <c r="R5706">
        <v>0.21336720000000001</v>
      </c>
      <c r="S5706">
        <v>3.1816710000000001</v>
      </c>
      <c r="T5706">
        <v>-0.31727169999999999</v>
      </c>
      <c r="U5706">
        <v>1.4512020000000001</v>
      </c>
      <c r="V5706">
        <v>-0.22896040000000001</v>
      </c>
      <c r="W5706">
        <v>0.42092889999999999</v>
      </c>
      <c r="X5706">
        <v>0.87772209999999995</v>
      </c>
      <c r="Y5706">
        <v>-0.42661369999999998</v>
      </c>
      <c r="Z5706">
        <v>2.4607589999999999E-2</v>
      </c>
      <c r="AA5706">
        <v>0.90409910000000004</v>
      </c>
      <c r="AB5706">
        <v>37</v>
      </c>
      <c r="AC5706">
        <v>0.76909999999998002</v>
      </c>
      <c r="AD5706">
        <v>-9.6884999999999805E-2</v>
      </c>
      <c r="AE5706">
        <v>0.44529000000000002</v>
      </c>
      <c r="AF5706">
        <v>-0.45150927296146298</v>
      </c>
      <c r="AG5706">
        <v>-9.6884999999999805E-2</v>
      </c>
      <c r="AH5706">
        <v>0.75332159100294305</v>
      </c>
      <c r="AI5706">
        <v>96.295059737953906</v>
      </c>
      <c r="AJ5706">
        <v>120.936699141115</v>
      </c>
      <c r="AK5706">
        <v>0.88359535210773699</v>
      </c>
      <c r="AL5706">
        <v>65.106754450319997</v>
      </c>
      <c r="AM5706">
        <v>104.620227193354</v>
      </c>
      <c r="AN5706">
        <v>1.0000000442258801</v>
      </c>
    </row>
    <row r="5707" spans="1:40" x14ac:dyDescent="0.25">
      <c r="A5707" t="str">
        <f>"20190304164522063"</f>
        <v>20190304164522063</v>
      </c>
      <c r="B5707" t="str">
        <f>"1551689122055487"</f>
        <v>1551689122055487</v>
      </c>
      <c r="C5707" t="s">
        <v>40</v>
      </c>
      <c r="D5707">
        <v>5.2368800000000002</v>
      </c>
      <c r="E5707">
        <v>0.41645549999999998</v>
      </c>
      <c r="F5707" t="s">
        <v>57</v>
      </c>
      <c r="G5707">
        <v>-226.9941</v>
      </c>
      <c r="H5707" s="1">
        <v>-2.6681360000000001E-6</v>
      </c>
      <c r="I5707">
        <v>-57.897599999999997</v>
      </c>
      <c r="J5707">
        <v>-237.96530000000001</v>
      </c>
      <c r="K5707">
        <v>1.113046</v>
      </c>
      <c r="L5707">
        <v>-63.016939999999998</v>
      </c>
      <c r="M5707">
        <v>0.99980290000000005</v>
      </c>
      <c r="N5707">
        <v>-1.4075880000000001E-2</v>
      </c>
      <c r="O5707">
        <v>-1.400205E-2</v>
      </c>
      <c r="P5707">
        <v>0.88649259999999996</v>
      </c>
      <c r="Q5707">
        <v>0.40978579999999998</v>
      </c>
      <c r="R5707">
        <v>0.2149568</v>
      </c>
      <c r="S5707">
        <v>3.178223</v>
      </c>
      <c r="T5707">
        <v>-0.31720110000000001</v>
      </c>
      <c r="U5707">
        <v>1.458466</v>
      </c>
      <c r="V5707">
        <v>-0.22957130000000001</v>
      </c>
      <c r="W5707">
        <v>0.42097600000000002</v>
      </c>
      <c r="X5707">
        <v>0.87753989999999904</v>
      </c>
      <c r="Y5707">
        <v>-0.42767189999999999</v>
      </c>
      <c r="Z5707">
        <v>2.458202E-2</v>
      </c>
      <c r="AA5707">
        <v>0.90359970000000001</v>
      </c>
      <c r="AB5707">
        <v>37</v>
      </c>
      <c r="AC5707">
        <v>10.9712</v>
      </c>
      <c r="AD5707">
        <v>-1.1130486681359999</v>
      </c>
      <c r="AE5707">
        <v>5.1193400000000002</v>
      </c>
      <c r="AF5707">
        <v>-5.2282821563120301</v>
      </c>
      <c r="AG5707">
        <v>-1.1130486681359999</v>
      </c>
      <c r="AH5707">
        <v>10.8070923853239</v>
      </c>
      <c r="AI5707">
        <v>95.296910027873395</v>
      </c>
      <c r="AJ5707">
        <v>115.816884560755</v>
      </c>
      <c r="AK5707">
        <v>12.056826177256401</v>
      </c>
      <c r="AL5707">
        <v>65.103778878916103</v>
      </c>
      <c r="AM5707">
        <v>104.660470563205</v>
      </c>
      <c r="AN5707">
        <v>1.0000000252258401</v>
      </c>
    </row>
    <row r="5708" spans="1:40" x14ac:dyDescent="0.25">
      <c r="A5708" t="str">
        <f>"20190304164522075"</f>
        <v>20190304164522075</v>
      </c>
      <c r="B5708" t="str">
        <f>"1551689122066223"</f>
        <v>1551689122066223</v>
      </c>
      <c r="C5708" t="s">
        <v>40</v>
      </c>
      <c r="D5708">
        <v>5.2515179999999999</v>
      </c>
      <c r="E5708">
        <v>0.416159</v>
      </c>
      <c r="F5708" t="s">
        <v>41</v>
      </c>
      <c r="G5708">
        <v>-237.04400000000001</v>
      </c>
      <c r="H5708">
        <v>1.0213099999999999</v>
      </c>
      <c r="I5708">
        <v>-62.592010000000002</v>
      </c>
      <c r="J5708">
        <v>-237.75729999999999</v>
      </c>
      <c r="K5708">
        <v>1.113067</v>
      </c>
      <c r="L5708">
        <v>-63.018799999999999</v>
      </c>
      <c r="M5708">
        <v>0.99982040000000005</v>
      </c>
      <c r="N5708">
        <v>-1.407545E-2</v>
      </c>
      <c r="O5708">
        <v>-1.27014E-2</v>
      </c>
      <c r="P5708">
        <v>0.88600889999999999</v>
      </c>
      <c r="Q5708">
        <v>0.4097055</v>
      </c>
      <c r="R5708">
        <v>0.21709419999999999</v>
      </c>
      <c r="S5708">
        <v>3.1750029999999998</v>
      </c>
      <c r="T5708">
        <v>-0.31618180000000001</v>
      </c>
      <c r="U5708">
        <v>1.465179</v>
      </c>
      <c r="V5708">
        <v>-0.23057620000000001</v>
      </c>
      <c r="W5708">
        <v>0.42087390000000002</v>
      </c>
      <c r="X5708">
        <v>0.87732540000000003</v>
      </c>
      <c r="Y5708">
        <v>-0.42843229999999999</v>
      </c>
      <c r="Z5708">
        <v>2.4460820000000001E-2</v>
      </c>
      <c r="AA5708">
        <v>0.90324280000000001</v>
      </c>
      <c r="AB5708">
        <v>37</v>
      </c>
      <c r="AC5708">
        <v>0.71329999999997495</v>
      </c>
      <c r="AD5708">
        <v>-9.1757000000000005E-2</v>
      </c>
      <c r="AE5708">
        <v>0.426790000000003</v>
      </c>
      <c r="AF5708">
        <v>-0.43056977652218298</v>
      </c>
      <c r="AG5708">
        <v>-9.1757000000000005E-2</v>
      </c>
      <c r="AH5708">
        <v>0.69929994807575901</v>
      </c>
      <c r="AI5708">
        <v>96.375320961492704</v>
      </c>
      <c r="AJ5708">
        <v>121.621248664077</v>
      </c>
      <c r="AK5708">
        <v>0.82633534166349298</v>
      </c>
      <c r="AL5708">
        <v>65.110228331886105</v>
      </c>
      <c r="AM5708">
        <v>104.725304895791</v>
      </c>
      <c r="AN5708">
        <v>1.0000000405964</v>
      </c>
    </row>
    <row r="5709" spans="1:40" x14ac:dyDescent="0.25">
      <c r="A5709" t="str">
        <f>"20190304164522087"</f>
        <v>20190304164522087</v>
      </c>
      <c r="B5709" t="str">
        <f>"1551689122075983"</f>
        <v>1551689122075983</v>
      </c>
      <c r="C5709" t="s">
        <v>40</v>
      </c>
      <c r="D5709">
        <v>5.2432369999999997</v>
      </c>
      <c r="E5709">
        <v>0.41589779999999998</v>
      </c>
      <c r="F5709" t="s">
        <v>41</v>
      </c>
      <c r="G5709">
        <v>-236.72620000000001</v>
      </c>
      <c r="H5709">
        <v>1.0102230000000001</v>
      </c>
      <c r="I5709">
        <v>-62.539920000000002</v>
      </c>
      <c r="J5709">
        <v>-237.55619999999999</v>
      </c>
      <c r="K5709">
        <v>1.113083</v>
      </c>
      <c r="L5709">
        <v>-63.020169999999901</v>
      </c>
      <c r="M5709">
        <v>0.99983560000000005</v>
      </c>
      <c r="N5709">
        <v>-1.4074949999999999E-2</v>
      </c>
      <c r="O5709">
        <v>-1.1429770000000001E-2</v>
      </c>
      <c r="P5709">
        <v>0.88548899999999997</v>
      </c>
      <c r="Q5709">
        <v>0.4096978</v>
      </c>
      <c r="R5709">
        <v>0.21921779999999999</v>
      </c>
      <c r="S5709">
        <v>3.1713710000000002</v>
      </c>
      <c r="T5709">
        <v>-0.3162894</v>
      </c>
      <c r="U5709">
        <v>1.4727779999999999</v>
      </c>
      <c r="V5709">
        <v>-0.23158870000000001</v>
      </c>
      <c r="W5709">
        <v>0.42084660000000002</v>
      </c>
      <c r="X5709">
        <v>0.87707169999999901</v>
      </c>
      <c r="Y5709">
        <v>-0.42945539999999999</v>
      </c>
      <c r="Z5709">
        <v>2.4434210000000001E-2</v>
      </c>
      <c r="AA5709">
        <v>0.90275749999999999</v>
      </c>
      <c r="AB5709">
        <v>37</v>
      </c>
      <c r="AC5709">
        <v>0.82999999999998397</v>
      </c>
      <c r="AD5709">
        <v>-0.10285999999999999</v>
      </c>
      <c r="AE5709">
        <v>0.48024999999999801</v>
      </c>
      <c r="AF5709">
        <v>-0.48413583056505499</v>
      </c>
      <c r="AG5709">
        <v>-0.10285999999999999</v>
      </c>
      <c r="AH5709">
        <v>0.81507783837518299</v>
      </c>
      <c r="AI5709">
        <v>96.192367034123393</v>
      </c>
      <c r="AJ5709">
        <v>120.709251499405</v>
      </c>
      <c r="AK5709">
        <v>0.95358248969204396</v>
      </c>
      <c r="AL5709">
        <v>65.111950956720506</v>
      </c>
      <c r="AM5709">
        <v>104.791228546914</v>
      </c>
      <c r="AN5709">
        <v>0.99999997682006903</v>
      </c>
    </row>
    <row r="5710" spans="1:40" x14ac:dyDescent="0.25">
      <c r="A5710" t="str">
        <f>"20190304164522100"</f>
        <v>20190304164522100</v>
      </c>
      <c r="B5710" t="str">
        <f>"1551689122095504"</f>
        <v>1551689122095504</v>
      </c>
      <c r="C5710" t="s">
        <v>40</v>
      </c>
      <c r="D5710">
        <v>5.2108970000000001</v>
      </c>
      <c r="E5710">
        <v>0.41550320000000002</v>
      </c>
      <c r="F5710" t="s">
        <v>41</v>
      </c>
      <c r="G5710">
        <v>-236.64590000000001</v>
      </c>
      <c r="H5710">
        <v>1.022224</v>
      </c>
      <c r="I5710">
        <v>-62.594670000000001</v>
      </c>
      <c r="J5710">
        <v>-237.35419999999999</v>
      </c>
      <c r="K5710">
        <v>1.1130990000000001</v>
      </c>
      <c r="L5710">
        <v>-63.021389999999997</v>
      </c>
      <c r="M5710">
        <v>0.9998494</v>
      </c>
      <c r="N5710">
        <v>-1.4074369999999999E-2</v>
      </c>
      <c r="O5710">
        <v>-1.014792E-2</v>
      </c>
      <c r="P5710">
        <v>0.88493199999999905</v>
      </c>
      <c r="Q5710">
        <v>0.40957949999999999</v>
      </c>
      <c r="R5710">
        <v>0.22167480000000001</v>
      </c>
      <c r="S5710">
        <v>3.1676790000000001</v>
      </c>
      <c r="T5710">
        <v>-0.3161602</v>
      </c>
      <c r="U5710">
        <v>1.4806520000000001</v>
      </c>
      <c r="V5710">
        <v>-0.2329232</v>
      </c>
      <c r="W5710">
        <v>0.42070790000000002</v>
      </c>
      <c r="X5710">
        <v>0.87678489999999998</v>
      </c>
      <c r="Y5710">
        <v>-0.43054249999999999</v>
      </c>
      <c r="Z5710">
        <v>2.4394229999999999E-2</v>
      </c>
      <c r="AA5710">
        <v>0.90224059999999995</v>
      </c>
      <c r="AB5710">
        <v>37</v>
      </c>
      <c r="AC5710">
        <v>0.70829999999997995</v>
      </c>
      <c r="AD5710">
        <v>-9.0874999999999997E-2</v>
      </c>
      <c r="AE5710">
        <v>0.42672000000000998</v>
      </c>
      <c r="AF5710">
        <v>-0.42870882257067</v>
      </c>
      <c r="AG5710">
        <v>-9.0874999999999997E-2</v>
      </c>
      <c r="AH5710">
        <v>0.69553255203140496</v>
      </c>
      <c r="AI5710">
        <v>96.346607032556506</v>
      </c>
      <c r="AJ5710">
        <v>121.64863910590999</v>
      </c>
      <c r="AK5710">
        <v>0.82207971092239596</v>
      </c>
      <c r="AL5710">
        <v>65.120713287136198</v>
      </c>
      <c r="AM5710">
        <v>104.87734296511</v>
      </c>
      <c r="AN5710">
        <v>1.00000005754432</v>
      </c>
    </row>
    <row r="5711" spans="1:40" x14ac:dyDescent="0.25">
      <c r="A5711" t="str">
        <f>"20190304164522111"</f>
        <v>20190304164522111</v>
      </c>
      <c r="B5711" t="str">
        <f>"1551689122106239"</f>
        <v>1551689122106239</v>
      </c>
      <c r="C5711" t="s">
        <v>40</v>
      </c>
      <c r="D5711">
        <v>5.2522799999999998</v>
      </c>
      <c r="E5711">
        <v>0.41533429999999999</v>
      </c>
      <c r="F5711" t="s">
        <v>41</v>
      </c>
      <c r="G5711">
        <v>-236.392</v>
      </c>
      <c r="H5711">
        <v>1.016669</v>
      </c>
      <c r="I5711">
        <v>-62.568080000000002</v>
      </c>
      <c r="J5711">
        <v>-237.1652</v>
      </c>
      <c r="K5711">
        <v>1.113113</v>
      </c>
      <c r="L5711">
        <v>-63.022309999999997</v>
      </c>
      <c r="M5711">
        <v>0.99986090000000005</v>
      </c>
      <c r="N5711">
        <v>-1.4073759999999999E-2</v>
      </c>
      <c r="O5711">
        <v>-8.9438190000000004E-3</v>
      </c>
      <c r="P5711">
        <v>0.88445439999999997</v>
      </c>
      <c r="Q5711">
        <v>0.40936660000000002</v>
      </c>
      <c r="R5711">
        <v>0.22396269999999999</v>
      </c>
      <c r="S5711">
        <v>3.1633</v>
      </c>
      <c r="T5711">
        <v>-0.31704199999999999</v>
      </c>
      <c r="U5711">
        <v>1.49115</v>
      </c>
      <c r="V5711">
        <v>-0.2341559</v>
      </c>
      <c r="W5711">
        <v>0.42047770000000001</v>
      </c>
      <c r="X5711">
        <v>0.87656690000000004</v>
      </c>
      <c r="Y5711">
        <v>-0.43237039999999999</v>
      </c>
      <c r="Z5711">
        <v>2.4470180000000001E-2</v>
      </c>
      <c r="AA5711">
        <v>0.90136400000000005</v>
      </c>
      <c r="AB5711">
        <v>37</v>
      </c>
      <c r="AC5711">
        <v>0.773200000000002</v>
      </c>
      <c r="AD5711">
        <v>-9.6443999999999905E-2</v>
      </c>
      <c r="AE5711">
        <v>0.45422999999999503</v>
      </c>
      <c r="AF5711">
        <v>-0.455855173735354</v>
      </c>
      <c r="AG5711">
        <v>-9.6443999999999905E-2</v>
      </c>
      <c r="AH5711">
        <v>0.760311880251753</v>
      </c>
      <c r="AI5711">
        <v>96.208913097344805</v>
      </c>
      <c r="AJ5711">
        <v>120.945359234037</v>
      </c>
      <c r="AK5711">
        <v>0.89172840024821798</v>
      </c>
      <c r="AL5711">
        <v>65.13524980004</v>
      </c>
      <c r="AM5711">
        <v>104.95611251271499</v>
      </c>
      <c r="AN5711">
        <v>1.0000000059388501</v>
      </c>
    </row>
    <row r="5712" spans="1:40" x14ac:dyDescent="0.25">
      <c r="A5712" t="str">
        <f>"20190304164522122"</f>
        <v>20190304164522122</v>
      </c>
      <c r="B5712" t="str">
        <f>"1551689122115999"</f>
        <v>1551689122115999</v>
      </c>
      <c r="C5712" t="s">
        <v>40</v>
      </c>
      <c r="D5712">
        <v>5.2595269999999896</v>
      </c>
      <c r="E5712">
        <v>0.41557729999999998</v>
      </c>
      <c r="F5712" t="s">
        <v>57</v>
      </c>
      <c r="G5712">
        <v>-226.10050000000001</v>
      </c>
      <c r="H5712" s="1">
        <v>-2.3121089999999999E-6</v>
      </c>
      <c r="I5712">
        <v>-57.774000000000001</v>
      </c>
      <c r="J5712">
        <v>-236.97900000000001</v>
      </c>
      <c r="K5712">
        <v>1.1131219999999999</v>
      </c>
      <c r="L5712">
        <v>-63.0229199999999</v>
      </c>
      <c r="M5712">
        <v>0.99987099999999995</v>
      </c>
      <c r="N5712">
        <v>-1.40731E-2</v>
      </c>
      <c r="O5712">
        <v>-7.7574019999999896E-3</v>
      </c>
      <c r="P5712">
        <v>0.88399930000000004</v>
      </c>
      <c r="Q5712">
        <v>0.4090744</v>
      </c>
      <c r="R5712">
        <v>0.22628190000000001</v>
      </c>
      <c r="S5712">
        <v>3.1595460000000002</v>
      </c>
      <c r="T5712">
        <v>-0.31785069999999999</v>
      </c>
      <c r="U5712">
        <v>1.4986569999999999</v>
      </c>
      <c r="V5712">
        <v>-0.2354319</v>
      </c>
      <c r="W5712">
        <v>0.42016999999999999</v>
      </c>
      <c r="X5712">
        <v>0.87637259999999995</v>
      </c>
      <c r="Y5712">
        <v>-0.43345089999999997</v>
      </c>
      <c r="Z5712">
        <v>2.4500979999999999E-2</v>
      </c>
      <c r="AA5712">
        <v>0.90084399999999998</v>
      </c>
      <c r="AB5712">
        <v>37</v>
      </c>
      <c r="AC5712">
        <v>10.878500000000001</v>
      </c>
      <c r="AD5712">
        <v>-1.113124312109</v>
      </c>
      <c r="AE5712">
        <v>5.2489199999999903</v>
      </c>
      <c r="AF5712">
        <v>-5.2882470254984604</v>
      </c>
      <c r="AG5712">
        <v>-1.113124312109</v>
      </c>
      <c r="AH5712">
        <v>10.746184936258301</v>
      </c>
      <c r="AI5712">
        <v>95.309776325843401</v>
      </c>
      <c r="AJ5712">
        <v>116.202010942793</v>
      </c>
      <c r="AK5712">
        <v>12.028511671074099</v>
      </c>
      <c r="AL5712">
        <v>65.154678473222802</v>
      </c>
      <c r="AM5712">
        <v>105.037115573417</v>
      </c>
      <c r="AN5712">
        <v>0.99999997123418405</v>
      </c>
    </row>
    <row r="5713" spans="1:40" x14ac:dyDescent="0.25">
      <c r="A5713" t="str">
        <f>"20190304164522132"</f>
        <v>20190304164522132</v>
      </c>
      <c r="B5713" t="str">
        <f>"1551689122125759"</f>
        <v>1551689122125759</v>
      </c>
      <c r="C5713" t="s">
        <v>40</v>
      </c>
      <c r="D5713">
        <v>5.2695129999999999</v>
      </c>
      <c r="E5713">
        <v>0.4154062</v>
      </c>
      <c r="F5713" t="s">
        <v>41</v>
      </c>
      <c r="G5713">
        <v>-236.06020000000001</v>
      </c>
      <c r="H5713">
        <v>1.0194559999999999</v>
      </c>
      <c r="I5713">
        <v>-62.585329999999999</v>
      </c>
      <c r="J5713">
        <v>-236.8066</v>
      </c>
      <c r="K5713">
        <v>1.1131279999999999</v>
      </c>
      <c r="L5713">
        <v>-63.023380000000003</v>
      </c>
      <c r="M5713">
        <v>0.99987890000000001</v>
      </c>
      <c r="N5713">
        <v>-1.407248E-2</v>
      </c>
      <c r="O5713">
        <v>-6.6580229999999999E-3</v>
      </c>
      <c r="P5713">
        <v>0.88341619999999998</v>
      </c>
      <c r="Q5713">
        <v>0.4091069</v>
      </c>
      <c r="R5713">
        <v>0.22848930000000001</v>
      </c>
      <c r="S5713">
        <v>3.1576689999999998</v>
      </c>
      <c r="T5713">
        <v>-0.32189190000000001</v>
      </c>
      <c r="U5713">
        <v>1.503906</v>
      </c>
      <c r="V5713">
        <v>-0.2366721</v>
      </c>
      <c r="W5713">
        <v>0.420186</v>
      </c>
      <c r="X5713">
        <v>0.8760308</v>
      </c>
      <c r="Y5713">
        <v>-0.43384089999999997</v>
      </c>
      <c r="Z5713">
        <v>2.4707449999999999E-2</v>
      </c>
      <c r="AA5713">
        <v>0.90065069999999903</v>
      </c>
      <c r="AB5713">
        <v>37</v>
      </c>
      <c r="AC5713">
        <v>0.74639999999999396</v>
      </c>
      <c r="AD5713">
        <v>-9.36720000000002E-2</v>
      </c>
      <c r="AE5713">
        <v>0.438049999999996</v>
      </c>
      <c r="AF5713">
        <v>-0.43788061606890399</v>
      </c>
      <c r="AG5713">
        <v>-9.36720000000002E-2</v>
      </c>
      <c r="AH5713">
        <v>0.73485785598378595</v>
      </c>
      <c r="AI5713">
        <v>96.249172503354401</v>
      </c>
      <c r="AJ5713">
        <v>120.789495458581</v>
      </c>
      <c r="AK5713">
        <v>0.86054049644044595</v>
      </c>
      <c r="AL5713">
        <v>65.153667937556506</v>
      </c>
      <c r="AM5713">
        <v>105.118339813783</v>
      </c>
      <c r="AN5713">
        <v>0.99999996003152403</v>
      </c>
    </row>
    <row r="5714" spans="1:40" x14ac:dyDescent="0.25">
      <c r="A5714" t="str">
        <f>"20190304164522143"</f>
        <v>20190304164522143</v>
      </c>
      <c r="B5714" t="str">
        <f>"1551689122135520"</f>
        <v>1551689122135520</v>
      </c>
      <c r="C5714" t="s">
        <v>40</v>
      </c>
      <c r="D5714">
        <v>5.2576019999999897</v>
      </c>
      <c r="E5714">
        <v>0.41528799999999999</v>
      </c>
      <c r="F5714" t="s">
        <v>57</v>
      </c>
      <c r="G5714">
        <v>-225.85929999999999</v>
      </c>
      <c r="H5714" s="1">
        <v>-2.2089020000000002E-6</v>
      </c>
      <c r="I5714">
        <v>-57.772799999999997</v>
      </c>
      <c r="J5714">
        <v>-236.64349999999999</v>
      </c>
      <c r="K5714">
        <v>1.113124</v>
      </c>
      <c r="L5714">
        <v>-63.023499999999999</v>
      </c>
      <c r="M5714">
        <v>0.99988529999999998</v>
      </c>
      <c r="N5714">
        <v>-1.4071719999999999E-2</v>
      </c>
      <c r="O5714">
        <v>-5.6253329999999997E-3</v>
      </c>
      <c r="P5714">
        <v>0.88303169999999898</v>
      </c>
      <c r="Q5714">
        <v>0.40866249999999998</v>
      </c>
      <c r="R5714">
        <v>0.23075970000000001</v>
      </c>
      <c r="S5714">
        <v>3.1532290000000001</v>
      </c>
      <c r="T5714">
        <v>-0.32062259999999998</v>
      </c>
      <c r="U5714">
        <v>1.5123599999999999</v>
      </c>
      <c r="V5714">
        <v>-0.2380292</v>
      </c>
      <c r="W5714">
        <v>0.4197303</v>
      </c>
      <c r="X5714">
        <v>0.87588159999999904</v>
      </c>
      <c r="Y5714">
        <v>-0.43537730000000002</v>
      </c>
      <c r="Z5714">
        <v>2.4639649999999999E-2</v>
      </c>
      <c r="AA5714">
        <v>0.89991089999999996</v>
      </c>
      <c r="AB5714">
        <v>37</v>
      </c>
      <c r="AC5714">
        <v>10.784199999999901</v>
      </c>
      <c r="AD5714">
        <v>-1.113126208902</v>
      </c>
      <c r="AE5714">
        <v>5.2507000000000001</v>
      </c>
      <c r="AF5714">
        <v>-5.26593549238906</v>
      </c>
      <c r="AG5714">
        <v>-1.113126208902</v>
      </c>
      <c r="AH5714">
        <v>10.6626588306187</v>
      </c>
      <c r="AI5714">
        <v>95.347421781416202</v>
      </c>
      <c r="AJ5714">
        <v>116.283246814208</v>
      </c>
      <c r="AK5714">
        <v>11.9440956085054</v>
      </c>
      <c r="AL5714">
        <v>65.182438651585201</v>
      </c>
      <c r="AM5714">
        <v>105.203498848648</v>
      </c>
      <c r="AN5714">
        <v>1.0000000010046399</v>
      </c>
    </row>
    <row r="5715" spans="1:40" x14ac:dyDescent="0.25">
      <c r="A5715" t="str">
        <f>"20190304164522152"</f>
        <v>20190304164522152</v>
      </c>
      <c r="B5715" t="str">
        <f>"1551689122146256"</f>
        <v>1551689122146256</v>
      </c>
      <c r="C5715" t="s">
        <v>40</v>
      </c>
      <c r="D5715">
        <v>5.2370469999999996</v>
      </c>
      <c r="E5715">
        <v>0.41518119999999997</v>
      </c>
      <c r="F5715" t="s">
        <v>41</v>
      </c>
      <c r="G5715">
        <v>-235.73230000000001</v>
      </c>
      <c r="H5715">
        <v>1.0200560000000001</v>
      </c>
      <c r="I5715">
        <v>-62.583869999999997</v>
      </c>
      <c r="J5715">
        <v>-236.47720000000001</v>
      </c>
      <c r="K5715">
        <v>1.1131260000000001</v>
      </c>
      <c r="L5715">
        <v>-63.023620000000001</v>
      </c>
      <c r="M5715">
        <v>0.99989070000000002</v>
      </c>
      <c r="N5715">
        <v>-1.4070920000000001E-2</v>
      </c>
      <c r="O5715">
        <v>-4.5723839999999997E-3</v>
      </c>
      <c r="P5715">
        <v>0.88255689999999998</v>
      </c>
      <c r="Q5715">
        <v>0.40837560000000001</v>
      </c>
      <c r="R5715">
        <v>0.233073</v>
      </c>
      <c r="S5715">
        <v>3.1490170000000002</v>
      </c>
      <c r="T5715">
        <v>-0.32166460000000002</v>
      </c>
      <c r="U5715">
        <v>1.5200199999999999</v>
      </c>
      <c r="V5715">
        <v>-0.23941109999999999</v>
      </c>
      <c r="W5715">
        <v>0.4194312</v>
      </c>
      <c r="X5715">
        <v>0.87564819999999999</v>
      </c>
      <c r="Y5715">
        <v>-0.43665779999999899</v>
      </c>
      <c r="Z5715">
        <v>2.470967E-2</v>
      </c>
      <c r="AA5715">
        <v>0.89928819999999998</v>
      </c>
      <c r="AB5715">
        <v>37</v>
      </c>
      <c r="AC5715">
        <v>0.74490000000000101</v>
      </c>
      <c r="AD5715">
        <v>-9.3070000000000194E-2</v>
      </c>
      <c r="AE5715">
        <v>0.43974999999999598</v>
      </c>
      <c r="AF5715">
        <v>-0.43808036496893898</v>
      </c>
      <c r="AG5715">
        <v>-9.3070000000000194E-2</v>
      </c>
      <c r="AH5715">
        <v>0.734379916512371</v>
      </c>
      <c r="AI5715">
        <v>96.211546436955302</v>
      </c>
      <c r="AJ5715">
        <v>120.817385263361</v>
      </c>
      <c r="AK5715">
        <v>0.86016875835386897</v>
      </c>
      <c r="AL5715">
        <v>65.201317709825801</v>
      </c>
      <c r="AM5715">
        <v>105.291529302455</v>
      </c>
      <c r="AN5715">
        <v>0.99999998824994396</v>
      </c>
    </row>
    <row r="5716" spans="1:40" x14ac:dyDescent="0.25">
      <c r="A5716" t="str">
        <f>"20190304164522162"</f>
        <v>20190304164522162</v>
      </c>
      <c r="B5716" t="str">
        <f>"1551689122156016"</f>
        <v>1551689122156016</v>
      </c>
      <c r="C5716" t="s">
        <v>40</v>
      </c>
      <c r="D5716">
        <v>5.2433239999999897</v>
      </c>
      <c r="E5716">
        <v>0.41505809999999999</v>
      </c>
      <c r="F5716" t="s">
        <v>57</v>
      </c>
      <c r="G5716">
        <v>-225.60919999999999</v>
      </c>
      <c r="H5716" s="1">
        <v>-2.1083300000000002E-6</v>
      </c>
      <c r="I5716">
        <v>-57.742420000000003</v>
      </c>
      <c r="J5716">
        <v>-236.3133</v>
      </c>
      <c r="K5716">
        <v>1.11312099999999</v>
      </c>
      <c r="L5716">
        <v>-63.023440000000001</v>
      </c>
      <c r="M5716">
        <v>0.99989479999999997</v>
      </c>
      <c r="N5716">
        <v>-1.406991E-2</v>
      </c>
      <c r="O5716">
        <v>-3.548219E-3</v>
      </c>
      <c r="P5716">
        <v>0.88182780000000005</v>
      </c>
      <c r="Q5716">
        <v>0.40873900000000002</v>
      </c>
      <c r="R5716">
        <v>0.2351857</v>
      </c>
      <c r="S5716">
        <v>3.1446990000000001</v>
      </c>
      <c r="T5716">
        <v>-0.3220885</v>
      </c>
      <c r="U5716">
        <v>1.5281370000000001</v>
      </c>
      <c r="V5716">
        <v>-0.24061579999999999</v>
      </c>
      <c r="W5716">
        <v>0.41978270000000001</v>
      </c>
      <c r="X5716">
        <v>0.87514939999999997</v>
      </c>
      <c r="Y5716">
        <v>-0.4380888</v>
      </c>
      <c r="Z5716">
        <v>2.4749130000000001E-2</v>
      </c>
      <c r="AA5716">
        <v>0.89859100000000003</v>
      </c>
      <c r="AB5716">
        <v>37</v>
      </c>
      <c r="AC5716">
        <v>10.7041</v>
      </c>
      <c r="AD5716">
        <v>-1.11312310832999</v>
      </c>
      <c r="AE5716">
        <v>5.2810199999999998</v>
      </c>
      <c r="AF5716">
        <v>-5.2731104533854101</v>
      </c>
      <c r="AG5716">
        <v>-1.11312310832999</v>
      </c>
      <c r="AH5716">
        <v>10.593163188025001</v>
      </c>
      <c r="AI5716">
        <v>95.373947462811302</v>
      </c>
      <c r="AJ5716">
        <v>116.46340155422</v>
      </c>
      <c r="AK5716">
        <v>11.8852784248426</v>
      </c>
      <c r="AL5716">
        <v>65.179130152585799</v>
      </c>
      <c r="AM5716">
        <v>105.373190523343</v>
      </c>
      <c r="AN5716">
        <v>0.99999997537464402</v>
      </c>
    </row>
    <row r="5717" spans="1:40" x14ac:dyDescent="0.25">
      <c r="A5717" t="str">
        <f>"20190304164522173"</f>
        <v>20190304164522173</v>
      </c>
      <c r="B5717" t="str">
        <f>"1551689122165776"</f>
        <v>1551689122165776</v>
      </c>
      <c r="C5717" t="s">
        <v>40</v>
      </c>
      <c r="D5717">
        <v>5.2600480000000003</v>
      </c>
      <c r="E5717">
        <v>0.41496159999999999</v>
      </c>
      <c r="F5717" t="s">
        <v>41</v>
      </c>
      <c r="G5717">
        <v>-235.40520000000001</v>
      </c>
      <c r="H5717">
        <v>1.0205879999999901</v>
      </c>
      <c r="I5717">
        <v>-62.579439999999998</v>
      </c>
      <c r="J5717">
        <v>-236.13409999999999</v>
      </c>
      <c r="K5717">
        <v>1.1131200000000001</v>
      </c>
      <c r="L5717">
        <v>-63.02319</v>
      </c>
      <c r="M5717">
        <v>0.99989819999999996</v>
      </c>
      <c r="N5717">
        <v>-1.4068809999999999E-2</v>
      </c>
      <c r="O5717">
        <v>-2.4292979999999999E-3</v>
      </c>
      <c r="P5717">
        <v>0.8811177</v>
      </c>
      <c r="Q5717">
        <v>0.4087422</v>
      </c>
      <c r="R5717">
        <v>0.23782629999999999</v>
      </c>
      <c r="S5717">
        <v>3.1407929999999999</v>
      </c>
      <c r="T5717">
        <v>-0.32002829999999999</v>
      </c>
      <c r="U5717">
        <v>1.5356749999999999</v>
      </c>
      <c r="V5717">
        <v>-0.2422638</v>
      </c>
      <c r="W5717">
        <v>0.41977239999999999</v>
      </c>
      <c r="X5717">
        <v>0.87469969999999997</v>
      </c>
      <c r="Y5717">
        <v>-0.43928650000000002</v>
      </c>
      <c r="Z5717">
        <v>2.460037E-2</v>
      </c>
      <c r="AA5717">
        <v>0.89801010000000003</v>
      </c>
      <c r="AB5717">
        <v>37</v>
      </c>
      <c r="AC5717">
        <v>0.72889999999998101</v>
      </c>
      <c r="AD5717">
        <v>-9.2532000000000197E-2</v>
      </c>
      <c r="AE5717">
        <v>0.44374999999999398</v>
      </c>
      <c r="AF5717">
        <v>-0.44034210691037501</v>
      </c>
      <c r="AG5717">
        <v>-9.2532000000000197E-2</v>
      </c>
      <c r="AH5717">
        <v>0.71936159974859804</v>
      </c>
      <c r="AI5717">
        <v>96.260798064393001</v>
      </c>
      <c r="AJ5717">
        <v>121.472009715372</v>
      </c>
      <c r="AK5717">
        <v>0.84849540560637704</v>
      </c>
      <c r="AL5717">
        <v>65.179783421730804</v>
      </c>
      <c r="AM5717">
        <v>105.481027102962</v>
      </c>
      <c r="AN5717">
        <v>1.0000000908861399</v>
      </c>
    </row>
    <row r="5718" spans="1:40" x14ac:dyDescent="0.25">
      <c r="A5718" t="str">
        <f>"20190304164522184"</f>
        <v>20190304164522184</v>
      </c>
      <c r="B5718" t="str">
        <f>"1551689122175536"</f>
        <v>1551689122175536</v>
      </c>
      <c r="C5718" t="s">
        <v>40</v>
      </c>
      <c r="D5718">
        <v>5.2399129999999996</v>
      </c>
      <c r="E5718">
        <v>0.41488409999999898</v>
      </c>
      <c r="F5718" t="s">
        <v>57</v>
      </c>
      <c r="G5718">
        <v>-225.20660000000001</v>
      </c>
      <c r="H5718" s="1">
        <v>-1.9582839999999999E-6</v>
      </c>
      <c r="I5718">
        <v>-57.640039999999999</v>
      </c>
      <c r="J5718">
        <v>-235.9665</v>
      </c>
      <c r="K5718">
        <v>1.11311</v>
      </c>
      <c r="L5718">
        <v>-63.022640000000003</v>
      </c>
      <c r="M5718">
        <v>0.99990020000000002</v>
      </c>
      <c r="N5718">
        <v>-1.4067619999999999E-2</v>
      </c>
      <c r="O5718">
        <v>-1.40042799999999E-3</v>
      </c>
      <c r="P5718">
        <v>0.8804651</v>
      </c>
      <c r="Q5718">
        <v>0.40892790000000001</v>
      </c>
      <c r="R5718">
        <v>0.23991480000000001</v>
      </c>
      <c r="S5718">
        <v>3.1359560000000002</v>
      </c>
      <c r="T5718">
        <v>-0.31944440000000002</v>
      </c>
      <c r="U5718">
        <v>1.544861</v>
      </c>
      <c r="V5718">
        <v>-0.24343580000000001</v>
      </c>
      <c r="W5718">
        <v>0.41995100000000002</v>
      </c>
      <c r="X5718">
        <v>0.87428830000000002</v>
      </c>
      <c r="Y5718">
        <v>-0.44102750000000002</v>
      </c>
      <c r="Z5718">
        <v>2.4591350000000001E-2</v>
      </c>
      <c r="AA5718">
        <v>0.89715669999999903</v>
      </c>
      <c r="AB5718">
        <v>37</v>
      </c>
      <c r="AC5718">
        <v>10.759899999999901</v>
      </c>
      <c r="AD5718">
        <v>-1.1131119582839999</v>
      </c>
      <c r="AE5718">
        <v>5.3826000000000001</v>
      </c>
      <c r="AF5718">
        <v>-5.3518536656201103</v>
      </c>
      <c r="AG5718">
        <v>-1.1131119582839999</v>
      </c>
      <c r="AH5718">
        <v>10.661093506349401</v>
      </c>
      <c r="AI5718">
        <v>95.330910381798105</v>
      </c>
      <c r="AJ5718">
        <v>116.65658549943301</v>
      </c>
      <c r="AK5718">
        <v>11.980829296881399</v>
      </c>
      <c r="AL5718">
        <v>65.168504225003701</v>
      </c>
      <c r="AM5718">
        <v>105.55926666730601</v>
      </c>
      <c r="AN5718">
        <v>0.99999993131976195</v>
      </c>
    </row>
    <row r="5719" spans="1:40" x14ac:dyDescent="0.25">
      <c r="A5719" t="str">
        <f>"20190304164522196"</f>
        <v>20190304164522196</v>
      </c>
      <c r="B5719" t="str">
        <f>"1551689122186272"</f>
        <v>1551689122186272</v>
      </c>
      <c r="C5719" t="s">
        <v>40</v>
      </c>
      <c r="D5719">
        <v>5.2445370000000002</v>
      </c>
      <c r="E5719">
        <v>0.41481259999999998</v>
      </c>
      <c r="F5719" t="s">
        <v>41</v>
      </c>
      <c r="G5719">
        <v>-235.07669999999999</v>
      </c>
      <c r="H5719">
        <v>1.0226820000000001</v>
      </c>
      <c r="I5719">
        <v>-62.582120000000003</v>
      </c>
      <c r="J5719">
        <v>-235.77850000000001</v>
      </c>
      <c r="K5719">
        <v>1.1130960000000001</v>
      </c>
      <c r="L5719">
        <v>-63.021940000000001</v>
      </c>
      <c r="M5719">
        <v>0.99990100000000004</v>
      </c>
      <c r="N5719">
        <v>-1.40663E-2</v>
      </c>
      <c r="O5719">
        <v>-2.4963019999999999E-4</v>
      </c>
      <c r="P5719">
        <v>0.87966759999999999</v>
      </c>
      <c r="Q5719">
        <v>0.40916819999999998</v>
      </c>
      <c r="R5719">
        <v>0.2424173</v>
      </c>
      <c r="S5719">
        <v>3.1323699999999999</v>
      </c>
      <c r="T5719">
        <v>-0.31835989999999997</v>
      </c>
      <c r="U5719">
        <v>1.5516049999999999</v>
      </c>
      <c r="V5719">
        <v>-0.2449142</v>
      </c>
      <c r="W5719">
        <v>0.42018179999999999</v>
      </c>
      <c r="X5719">
        <v>0.87376450000000006</v>
      </c>
      <c r="Y5719">
        <v>-0.44196580000000002</v>
      </c>
      <c r="Z5719">
        <v>2.4489670000000002E-2</v>
      </c>
      <c r="AA5719">
        <v>0.89669750000000004</v>
      </c>
      <c r="AB5719">
        <v>37</v>
      </c>
      <c r="AC5719">
        <v>0.70180000000001996</v>
      </c>
      <c r="AD5719">
        <v>-9.0413999999999994E-2</v>
      </c>
      <c r="AE5719">
        <v>0.43982000000000399</v>
      </c>
      <c r="AF5719">
        <v>-0.43481349129902702</v>
      </c>
      <c r="AG5719">
        <v>-9.0413999999999994E-2</v>
      </c>
      <c r="AH5719">
        <v>0.693426562033991</v>
      </c>
      <c r="AI5719">
        <v>96.303692734575904</v>
      </c>
      <c r="AJ5719">
        <v>122.08979007214199</v>
      </c>
      <c r="AK5719">
        <v>0.82345483212252102</v>
      </c>
      <c r="AL5719">
        <v>65.153935670340701</v>
      </c>
      <c r="AM5719">
        <v>105.658063376977</v>
      </c>
      <c r="AN5719">
        <v>1.0000000559365601</v>
      </c>
    </row>
    <row r="5720" spans="1:40" x14ac:dyDescent="0.25">
      <c r="A5720" t="str">
        <f>"20190304164522205"</f>
        <v>20190304164522205</v>
      </c>
      <c r="B5720" t="str">
        <f>"1551689122196032"</f>
        <v>1551689122196032</v>
      </c>
      <c r="C5720" t="s">
        <v>40</v>
      </c>
      <c r="D5720">
        <v>5.247363</v>
      </c>
      <c r="E5720">
        <v>0.4147188</v>
      </c>
      <c r="F5720" t="s">
        <v>41</v>
      </c>
      <c r="G5720">
        <v>-234.76329999999999</v>
      </c>
      <c r="H5720">
        <v>1.010224</v>
      </c>
      <c r="I5720">
        <v>-62.5154</v>
      </c>
      <c r="J5720">
        <v>-235.59829999999999</v>
      </c>
      <c r="K5720">
        <v>1.1130799999999901</v>
      </c>
      <c r="L5720">
        <v>-63.021030000000003</v>
      </c>
      <c r="M5720">
        <v>0.99990080000000003</v>
      </c>
      <c r="N5720">
        <v>-1.406494E-2</v>
      </c>
      <c r="O5720">
        <v>8.3670819999999999E-4</v>
      </c>
      <c r="P5720">
        <v>0.87902420000000003</v>
      </c>
      <c r="Q5720">
        <v>0.40917829999999999</v>
      </c>
      <c r="R5720">
        <v>0.2447233</v>
      </c>
      <c r="S5720">
        <v>3.1277309999999998</v>
      </c>
      <c r="T5720">
        <v>-0.31691920000000001</v>
      </c>
      <c r="U5720">
        <v>1.5605469999999999</v>
      </c>
      <c r="V5720">
        <v>-0.24624979999999999</v>
      </c>
      <c r="W5720">
        <v>0.42018689999999997</v>
      </c>
      <c r="X5720">
        <v>0.87338649999999995</v>
      </c>
      <c r="Y5720">
        <v>-0.44358649999999999</v>
      </c>
      <c r="Z5720">
        <v>2.441138E-2</v>
      </c>
      <c r="AA5720">
        <v>0.89589909999999995</v>
      </c>
      <c r="AB5720">
        <v>37</v>
      </c>
      <c r="AC5720">
        <v>0.83500000000000696</v>
      </c>
      <c r="AD5720">
        <v>-0.102855999999999</v>
      </c>
      <c r="AE5720">
        <v>0.50563000000000302</v>
      </c>
      <c r="AF5720">
        <v>-0.49938669729297003</v>
      </c>
      <c r="AG5720">
        <v>-0.102855999999999</v>
      </c>
      <c r="AH5720">
        <v>0.82624943866063905</v>
      </c>
      <c r="AI5720">
        <v>96.0812335529438</v>
      </c>
      <c r="AJ5720">
        <v>121.148843494395</v>
      </c>
      <c r="AK5720">
        <v>0.97090399373789904</v>
      </c>
      <c r="AL5720">
        <v>65.153611817788402</v>
      </c>
      <c r="AM5720">
        <v>105.745705521286</v>
      </c>
      <c r="AN5720">
        <v>0.999999986656949</v>
      </c>
    </row>
    <row r="5721" spans="1:40" x14ac:dyDescent="0.25">
      <c r="A5721" t="str">
        <f>"20190304164522217"</f>
        <v>20190304164522217</v>
      </c>
      <c r="B5721" t="str">
        <f>"1551689122205792"</f>
        <v>1551689122205792</v>
      </c>
      <c r="C5721" t="s">
        <v>40</v>
      </c>
      <c r="D5721">
        <v>5.2475329999999998</v>
      </c>
      <c r="E5721">
        <v>0.41468310000000003</v>
      </c>
      <c r="F5721" t="s">
        <v>41</v>
      </c>
      <c r="G5721">
        <v>-234.74639999999999</v>
      </c>
      <c r="H5721">
        <v>1.0268820000000001</v>
      </c>
      <c r="I5721">
        <v>-62.593130000000002</v>
      </c>
      <c r="J5721">
        <v>-235.41200000000001</v>
      </c>
      <c r="K5721">
        <v>1.1130660000000001</v>
      </c>
      <c r="L5721">
        <v>-63.019930000000002</v>
      </c>
      <c r="M5721">
        <v>0.99989939999999999</v>
      </c>
      <c r="N5721">
        <v>-1.4063549999999999E-2</v>
      </c>
      <c r="O5721">
        <v>1.951766E-3</v>
      </c>
      <c r="P5721">
        <v>0.87834659999999998</v>
      </c>
      <c r="Q5721">
        <v>0.4092094</v>
      </c>
      <c r="R5721">
        <v>0.2470936</v>
      </c>
      <c r="S5721">
        <v>3.1231990000000001</v>
      </c>
      <c r="T5721">
        <v>-0.31602249999999998</v>
      </c>
      <c r="U5721">
        <v>1.5687869999999999</v>
      </c>
      <c r="V5721">
        <v>-0.24762519999999999</v>
      </c>
      <c r="W5721">
        <v>0.4202129</v>
      </c>
      <c r="X5721">
        <v>0.87298509999999996</v>
      </c>
      <c r="Y5721">
        <v>-0.4450017</v>
      </c>
      <c r="Z5721">
        <v>2.4355680000000001E-2</v>
      </c>
      <c r="AA5721">
        <v>0.89519850000000001</v>
      </c>
      <c r="AB5721">
        <v>37</v>
      </c>
      <c r="AC5721">
        <v>0.66560000000001196</v>
      </c>
      <c r="AD5721">
        <v>-8.6183999999999802E-2</v>
      </c>
      <c r="AE5721">
        <v>0.42680000000000001</v>
      </c>
      <c r="AF5721">
        <v>-0.42050402269901199</v>
      </c>
      <c r="AG5721">
        <v>-8.6183999999999802E-2</v>
      </c>
      <c r="AH5721">
        <v>0.65860702400182902</v>
      </c>
      <c r="AI5721">
        <v>96.293956447474997</v>
      </c>
      <c r="AJ5721">
        <v>122.55720773052801</v>
      </c>
      <c r="AK5721">
        <v>0.78613899981275404</v>
      </c>
      <c r="AL5721">
        <v>65.1519719199039</v>
      </c>
      <c r="AM5721">
        <v>105.836168720206</v>
      </c>
      <c r="AN5721">
        <v>1.0000000529117199</v>
      </c>
    </row>
    <row r="5722" spans="1:40" x14ac:dyDescent="0.25">
      <c r="A5722" t="str">
        <f>"20190304164522229"</f>
        <v>20190304164522229</v>
      </c>
      <c r="B5722" t="str">
        <f>"1551689122226288"</f>
        <v>1551689122226288</v>
      </c>
      <c r="C5722" t="s">
        <v>40</v>
      </c>
      <c r="D5722">
        <v>5.2371850000000002</v>
      </c>
      <c r="E5722">
        <v>0.41463559999999999</v>
      </c>
      <c r="F5722" t="s">
        <v>41</v>
      </c>
      <c r="G5722">
        <v>-234.4333</v>
      </c>
      <c r="H5722">
        <v>1.0139910000000001</v>
      </c>
      <c r="I5722">
        <v>-62.525669999999998</v>
      </c>
      <c r="J5722">
        <v>-235.2253</v>
      </c>
      <c r="K5722">
        <v>1.1130519999999999</v>
      </c>
      <c r="L5722">
        <v>-63.018619999999999</v>
      </c>
      <c r="M5722">
        <v>0.99989649999999997</v>
      </c>
      <c r="N5722">
        <v>-1.4062170000000001E-2</v>
      </c>
      <c r="O5722">
        <v>3.057756E-3</v>
      </c>
      <c r="P5722">
        <v>0.87765439999999995</v>
      </c>
      <c r="Q5722">
        <v>0.40935569999999999</v>
      </c>
      <c r="R5722">
        <v>0.24930089999999999</v>
      </c>
      <c r="S5722">
        <v>3.1193849999999999</v>
      </c>
      <c r="T5722">
        <v>-0.31577559999999999</v>
      </c>
      <c r="U5722">
        <v>1.575653</v>
      </c>
      <c r="V5722">
        <v>-0.2488466</v>
      </c>
      <c r="W5722">
        <v>0.42035479999999997</v>
      </c>
      <c r="X5722">
        <v>0.87256929999999999</v>
      </c>
      <c r="Y5722">
        <v>-0.44602209999999998</v>
      </c>
      <c r="Z5722">
        <v>2.4319339999999998E-2</v>
      </c>
      <c r="AA5722">
        <v>0.89469149999999997</v>
      </c>
      <c r="AB5722">
        <v>37</v>
      </c>
      <c r="AC5722">
        <v>0.79200000000000104</v>
      </c>
      <c r="AD5722">
        <v>-9.9060999999999996E-2</v>
      </c>
      <c r="AE5722">
        <v>0.49295</v>
      </c>
      <c r="AF5722">
        <v>-0.485056225497773</v>
      </c>
      <c r="AG5722">
        <v>-9.9060999999999996E-2</v>
      </c>
      <c r="AH5722">
        <v>0.78465599612199599</v>
      </c>
      <c r="AI5722">
        <v>96.129266382912107</v>
      </c>
      <c r="AJ5722">
        <v>121.723399831042</v>
      </c>
      <c r="AK5722">
        <v>0.92778103875071105</v>
      </c>
      <c r="AL5722">
        <v>65.143010101995898</v>
      </c>
      <c r="AM5722">
        <v>105.917532456891</v>
      </c>
      <c r="AN5722">
        <v>0.99999998575854498</v>
      </c>
    </row>
    <row r="5723" spans="1:40" x14ac:dyDescent="0.25">
      <c r="A5723" t="str">
        <f>"20190304164522240"</f>
        <v>20190304164522240</v>
      </c>
      <c r="B5723" t="str">
        <f>"1551689122236047"</f>
        <v>1551689122236047</v>
      </c>
      <c r="C5723" t="s">
        <v>40</v>
      </c>
      <c r="D5723">
        <v>5.2408939999999999</v>
      </c>
      <c r="E5723">
        <v>0.41462349999999998</v>
      </c>
      <c r="F5723" t="s">
        <v>41</v>
      </c>
      <c r="G5723">
        <v>-234.37049999999999</v>
      </c>
      <c r="H5723">
        <v>1.0267360000000001</v>
      </c>
      <c r="I5723">
        <v>-62.584530000000001</v>
      </c>
      <c r="J5723">
        <v>-235.036</v>
      </c>
      <c r="K5723">
        <v>1.1130370000000001</v>
      </c>
      <c r="L5723">
        <v>-63.017029999999998</v>
      </c>
      <c r="M5723">
        <v>0.99989240000000001</v>
      </c>
      <c r="N5723">
        <v>-1.406079E-2</v>
      </c>
      <c r="O5723">
        <v>4.1688790000000003E-3</v>
      </c>
      <c r="P5723">
        <v>0.87693169999999898</v>
      </c>
      <c r="Q5723">
        <v>0.40967710000000002</v>
      </c>
      <c r="R5723">
        <v>0.251307</v>
      </c>
      <c r="S5723">
        <v>3.1154480000000002</v>
      </c>
      <c r="T5723">
        <v>-0.31459130000000002</v>
      </c>
      <c r="U5723">
        <v>1.5824279999999999</v>
      </c>
      <c r="V5723">
        <v>-0.24986510000000001</v>
      </c>
      <c r="W5723">
        <v>0.42067280000000001</v>
      </c>
      <c r="X5723">
        <v>0.87212489999999998</v>
      </c>
      <c r="Y5723">
        <v>-0.4470423</v>
      </c>
      <c r="Z5723">
        <v>2.422154E-2</v>
      </c>
      <c r="AA5723">
        <v>0.8941848</v>
      </c>
      <c r="AB5723">
        <v>37</v>
      </c>
      <c r="AC5723">
        <v>0.66549999999998</v>
      </c>
      <c r="AD5723">
        <v>-8.6300999999999906E-2</v>
      </c>
      <c r="AE5723">
        <v>0.432499999999997</v>
      </c>
      <c r="AF5723">
        <v>-0.42470034189553801</v>
      </c>
      <c r="AG5723">
        <v>-8.6300999999999906E-2</v>
      </c>
      <c r="AH5723">
        <v>0.65950015856043898</v>
      </c>
      <c r="AI5723">
        <v>96.278386310374003</v>
      </c>
      <c r="AJ5723">
        <v>122.780444585873</v>
      </c>
      <c r="AK5723">
        <v>0.78915062069824904</v>
      </c>
      <c r="AL5723">
        <v>65.122928735393501</v>
      </c>
      <c r="AM5723">
        <v>105.987087684005</v>
      </c>
      <c r="AN5723">
        <v>1.0000000070289199</v>
      </c>
    </row>
    <row r="5724" spans="1:40" x14ac:dyDescent="0.25">
      <c r="A5724" t="str">
        <f>"20190304164522252"</f>
        <v>20190304164522252</v>
      </c>
      <c r="B5724" t="str">
        <f>"1551689122245808"</f>
        <v>1551689122245808</v>
      </c>
      <c r="C5724" t="s">
        <v>40</v>
      </c>
      <c r="D5724">
        <v>5.2043869999999997</v>
      </c>
      <c r="E5724">
        <v>0.4146299</v>
      </c>
      <c r="F5724" t="s">
        <v>41</v>
      </c>
      <c r="G5724">
        <v>-234.10249999999999</v>
      </c>
      <c r="H5724">
        <v>1.0190189999999999</v>
      </c>
      <c r="I5724">
        <v>-62.540390000000002</v>
      </c>
      <c r="J5724">
        <v>-234.8433</v>
      </c>
      <c r="K5724">
        <v>1.1130230000000001</v>
      </c>
      <c r="L5724">
        <v>-63.015320000000003</v>
      </c>
      <c r="M5724">
        <v>0.99988710000000003</v>
      </c>
      <c r="N5724">
        <v>-1.405942E-2</v>
      </c>
      <c r="O5724">
        <v>5.2929980000000001E-3</v>
      </c>
      <c r="P5724">
        <v>0.87645949999999995</v>
      </c>
      <c r="Q5724">
        <v>0.40970610000000002</v>
      </c>
      <c r="R5724">
        <v>0.25290240000000003</v>
      </c>
      <c r="S5724">
        <v>3.1121219999999998</v>
      </c>
      <c r="T5724">
        <v>-0.31342320000000001</v>
      </c>
      <c r="U5724">
        <v>1.5888370000000001</v>
      </c>
      <c r="V5724">
        <v>-0.25046069999999998</v>
      </c>
      <c r="W5724">
        <v>0.42070439999999998</v>
      </c>
      <c r="X5724">
        <v>0.87193880000000001</v>
      </c>
      <c r="Y5724">
        <v>-0.44789760000000001</v>
      </c>
      <c r="Z5724">
        <v>2.41117E-2</v>
      </c>
      <c r="AA5724">
        <v>0.89375969999999905</v>
      </c>
      <c r="AB5724">
        <v>37</v>
      </c>
      <c r="AC5724">
        <v>0.74080000000000701</v>
      </c>
      <c r="AD5724">
        <v>-9.4003999999999699E-2</v>
      </c>
      <c r="AE5724">
        <v>0.47492999999999302</v>
      </c>
      <c r="AF5724">
        <v>-0.46568751052145702</v>
      </c>
      <c r="AG5724">
        <v>-9.4003999999999699E-2</v>
      </c>
      <c r="AH5724">
        <v>0.73491685117102501</v>
      </c>
      <c r="AI5724">
        <v>96.166643343131199</v>
      </c>
      <c r="AJ5724">
        <v>122.360805425549</v>
      </c>
      <c r="AK5724">
        <v>0.87510250120017796</v>
      </c>
      <c r="AL5724">
        <v>65.120933144453502</v>
      </c>
      <c r="AM5724">
        <v>106.026486225684</v>
      </c>
      <c r="AN5724">
        <v>1.00000001268464</v>
      </c>
    </row>
    <row r="5725" spans="1:40" x14ac:dyDescent="0.25">
      <c r="A5725" t="str">
        <f>"20190304164522263"</f>
        <v>20190304164522263</v>
      </c>
      <c r="B5725" t="str">
        <f>"1551689122255569"</f>
        <v>1551689122255569</v>
      </c>
      <c r="C5725" t="s">
        <v>40</v>
      </c>
      <c r="D5725">
        <v>5.2603210000000002</v>
      </c>
      <c r="E5725">
        <v>0.41466910000000001</v>
      </c>
      <c r="F5725" t="s">
        <v>57</v>
      </c>
      <c r="G5725">
        <v>-223.79429999999999</v>
      </c>
      <c r="H5725" s="1">
        <v>-1.4161390000000001E-6</v>
      </c>
      <c r="I5725">
        <v>-57.35163</v>
      </c>
      <c r="J5725">
        <v>-234.66810000000001</v>
      </c>
      <c r="K5725">
        <v>1.113013</v>
      </c>
      <c r="L5725">
        <v>-63.013460000000002</v>
      </c>
      <c r="M5725">
        <v>0.99988129999999997</v>
      </c>
      <c r="N5725">
        <v>-1.405818E-2</v>
      </c>
      <c r="O5725">
        <v>6.304268E-3</v>
      </c>
      <c r="P5725">
        <v>0.87600290000000003</v>
      </c>
      <c r="Q5725">
        <v>0.40964929999999999</v>
      </c>
      <c r="R5725">
        <v>0.25457089999999999</v>
      </c>
      <c r="S5725">
        <v>3.1093600000000001</v>
      </c>
      <c r="T5725">
        <v>-0.31322070000000002</v>
      </c>
      <c r="U5725">
        <v>1.593842</v>
      </c>
      <c r="V5725">
        <v>-0.25123220000000002</v>
      </c>
      <c r="W5725">
        <v>0.42064639999999998</v>
      </c>
      <c r="X5725">
        <v>0.87174479999999999</v>
      </c>
      <c r="Y5725">
        <v>-0.44845740000000001</v>
      </c>
      <c r="Z5725">
        <v>2.4056939999999999E-2</v>
      </c>
      <c r="AA5725">
        <v>0.89348039999999995</v>
      </c>
      <c r="AB5725">
        <v>37</v>
      </c>
      <c r="AC5725">
        <v>10.873799999999999</v>
      </c>
      <c r="AD5725">
        <v>-1.1130144161390001</v>
      </c>
      <c r="AE5725">
        <v>5.6618299999999797</v>
      </c>
      <c r="AF5725">
        <v>-5.54743506535109</v>
      </c>
      <c r="AG5725">
        <v>-1.1130144161390001</v>
      </c>
      <c r="AH5725">
        <v>10.820097335101501</v>
      </c>
      <c r="AI5725">
        <v>95.230055736182194</v>
      </c>
      <c r="AJ5725">
        <v>117.14409339886301</v>
      </c>
      <c r="AK5725">
        <v>12.2101328099202</v>
      </c>
      <c r="AL5725">
        <v>65.124595964650197</v>
      </c>
      <c r="AM5725">
        <v>106.07669918950199</v>
      </c>
      <c r="AN5725">
        <v>1.0000000042384201</v>
      </c>
    </row>
    <row r="5726" spans="1:40" x14ac:dyDescent="0.25">
      <c r="A5726" t="str">
        <f>"20190304164522276"</f>
        <v>20190304164522276</v>
      </c>
      <c r="B5726" t="str">
        <f>"1551689122266303"</f>
        <v>1551689122266303</v>
      </c>
      <c r="C5726" t="s">
        <v>40</v>
      </c>
      <c r="D5726">
        <v>5.4322999999999997</v>
      </c>
      <c r="E5726">
        <v>0.41466910000000001</v>
      </c>
      <c r="F5726" t="s">
        <v>41</v>
      </c>
      <c r="G5726">
        <v>-233.7723</v>
      </c>
      <c r="H5726">
        <v>1.0226329999999999</v>
      </c>
      <c r="I5726">
        <v>-62.552439999999997</v>
      </c>
      <c r="J5726">
        <v>-234.46799999999999</v>
      </c>
      <c r="K5726">
        <v>1.1130040000000001</v>
      </c>
      <c r="L5726">
        <v>-63.011229999999998</v>
      </c>
      <c r="M5726">
        <v>0.99987340000000002</v>
      </c>
      <c r="N5726">
        <v>-1.4056809999999999E-2</v>
      </c>
      <c r="O5726">
        <v>7.4566060000000002E-3</v>
      </c>
      <c r="P5726">
        <v>0.87553919999999996</v>
      </c>
      <c r="Q5726">
        <v>0.40997</v>
      </c>
      <c r="R5726">
        <v>0.25564779999999998</v>
      </c>
      <c r="S5726">
        <v>3.1063999999999998</v>
      </c>
      <c r="T5726">
        <v>-0.31341540000000001</v>
      </c>
      <c r="U5726">
        <v>1.59939599999999</v>
      </c>
      <c r="V5726">
        <v>-0.25128990000000001</v>
      </c>
      <c r="W5726">
        <v>0.42097040000000002</v>
      </c>
      <c r="X5726">
        <v>0.87157180000000001</v>
      </c>
      <c r="Y5726">
        <v>-0.44903470000000001</v>
      </c>
      <c r="Z5726">
        <v>2.401812E-2</v>
      </c>
      <c r="AA5726">
        <v>0.89319150000000003</v>
      </c>
      <c r="AB5726">
        <v>37</v>
      </c>
      <c r="AC5726">
        <v>0.695699999999987</v>
      </c>
      <c r="AD5726">
        <v>-9.0371000000000201E-2</v>
      </c>
      <c r="AE5726">
        <v>0.45878999999999998</v>
      </c>
      <c r="AF5726">
        <v>-0.44831711921900402</v>
      </c>
      <c r="AG5726">
        <v>-9.0371000000000201E-2</v>
      </c>
      <c r="AH5726">
        <v>0.69097637259365496</v>
      </c>
      <c r="AI5726">
        <v>96.261284774999197</v>
      </c>
      <c r="AJ5726">
        <v>122.976186937666</v>
      </c>
      <c r="AK5726">
        <v>0.82861541411472195</v>
      </c>
      <c r="AL5726">
        <v>65.104133186013598</v>
      </c>
      <c r="AM5726">
        <v>106.083227422321</v>
      </c>
      <c r="AN5726">
        <v>1.0000000470367001</v>
      </c>
    </row>
    <row r="5727" spans="1:40" x14ac:dyDescent="0.25">
      <c r="A5727" t="str">
        <f>"20190304164522288"</f>
        <v>20190304164522288</v>
      </c>
      <c r="B5727" t="str">
        <f>"1551689122276064"</f>
        <v>1551689122276064</v>
      </c>
      <c r="C5727" t="s">
        <v>40</v>
      </c>
      <c r="D5727">
        <v>5.7210970000000003</v>
      </c>
      <c r="E5727">
        <v>0.45953159999999998</v>
      </c>
      <c r="F5727" t="s">
        <v>41</v>
      </c>
      <c r="G5727">
        <v>-233.459</v>
      </c>
      <c r="H5727">
        <v>1.011647</v>
      </c>
      <c r="I5727">
        <v>-62.489609999999999</v>
      </c>
      <c r="J5727">
        <v>-234.25810000000001</v>
      </c>
      <c r="K5727">
        <v>1.112997</v>
      </c>
      <c r="L5727">
        <v>-63.008580000000002</v>
      </c>
      <c r="M5727">
        <v>0.99986390000000003</v>
      </c>
      <c r="N5727">
        <v>-1.405551E-2</v>
      </c>
      <c r="O5727">
        <v>8.6559310000000004E-3</v>
      </c>
      <c r="P5727">
        <v>0.87523390000000001</v>
      </c>
      <c r="Q5727">
        <v>0.41009010000000001</v>
      </c>
      <c r="R5727">
        <v>0.25649880000000003</v>
      </c>
      <c r="S5727">
        <v>3.1039729999999999</v>
      </c>
      <c r="T5727">
        <v>-0.31178339999999999</v>
      </c>
      <c r="U5727">
        <v>1.6044309999999999</v>
      </c>
      <c r="V5727">
        <v>-0.25108039999999998</v>
      </c>
      <c r="W5727">
        <v>0.4210971</v>
      </c>
      <c r="X5727">
        <v>0.87157090000000004</v>
      </c>
      <c r="Y5727">
        <v>-0.44941340000000002</v>
      </c>
      <c r="Z5727">
        <v>2.38429E-2</v>
      </c>
      <c r="AA5727">
        <v>0.89300569999999901</v>
      </c>
      <c r="AB5727">
        <v>37</v>
      </c>
      <c r="AC5727">
        <v>0.79910000000000903</v>
      </c>
      <c r="AD5727">
        <v>-0.10135</v>
      </c>
      <c r="AE5727">
        <v>0.51897000000000204</v>
      </c>
      <c r="AF5727">
        <v>-0.50630461596090504</v>
      </c>
      <c r="AG5727">
        <v>-0.10135</v>
      </c>
      <c r="AH5727">
        <v>0.794572916833864</v>
      </c>
      <c r="AI5727">
        <v>96.1397234792978</v>
      </c>
      <c r="AJ5727">
        <v>122.50542841882699</v>
      </c>
      <c r="AK5727">
        <v>0.94760873086374398</v>
      </c>
      <c r="AL5727">
        <v>65.096128193370802</v>
      </c>
      <c r="AM5727">
        <v>106.070527123788</v>
      </c>
      <c r="AN5727">
        <v>0.99999998430968995</v>
      </c>
    </row>
    <row r="5728" spans="1:40" x14ac:dyDescent="0.25">
      <c r="A5728" t="str">
        <f>"20190304164522300"</f>
        <v>20190304164522300</v>
      </c>
      <c r="B5728" t="str">
        <f>"1551689122295584"</f>
        <v>1551689122295584</v>
      </c>
      <c r="C5728" t="s">
        <v>40</v>
      </c>
      <c r="D5728">
        <v>5.3077649999999998</v>
      </c>
      <c r="E5728">
        <v>0.47481040000000002</v>
      </c>
      <c r="F5728" t="s">
        <v>57</v>
      </c>
      <c r="G5728">
        <v>-222.9109</v>
      </c>
      <c r="H5728" s="1">
        <v>-7.7731420000000001E-7</v>
      </c>
      <c r="I5728">
        <v>-58.526980000000002</v>
      </c>
      <c r="J5728">
        <v>-234.06129999999999</v>
      </c>
      <c r="K5728">
        <v>1.1129880000000001</v>
      </c>
      <c r="L5728">
        <v>-63.005890000000001</v>
      </c>
      <c r="M5728">
        <v>0.99985349999999995</v>
      </c>
      <c r="N5728">
        <v>-1.40543E-2</v>
      </c>
      <c r="O5728">
        <v>9.7780939999999993E-3</v>
      </c>
      <c r="P5728">
        <v>0.8748821</v>
      </c>
      <c r="Q5728">
        <v>0.41038859999999999</v>
      </c>
      <c r="R5728">
        <v>0.25722099999999998</v>
      </c>
      <c r="S5728">
        <v>3.2040410000000001</v>
      </c>
      <c r="T5728">
        <v>-0.31427070000000001</v>
      </c>
      <c r="U5728">
        <v>1.265442</v>
      </c>
      <c r="V5728">
        <v>-0.2508146</v>
      </c>
      <c r="W5728">
        <v>0.42139989999999999</v>
      </c>
      <c r="X5728">
        <v>0.87150110000000003</v>
      </c>
      <c r="Y5728">
        <v>-0.35653869999999999</v>
      </c>
      <c r="Z5728">
        <v>1.8628860000000001E-2</v>
      </c>
      <c r="AA5728">
        <v>0.9340948</v>
      </c>
      <c r="AB5728">
        <v>37</v>
      </c>
      <c r="AC5728">
        <v>11.1503999999999</v>
      </c>
      <c r="AD5728">
        <v>-1.11298877731419</v>
      </c>
      <c r="AE5728">
        <v>4.4789099999999902</v>
      </c>
      <c r="AF5728">
        <v>-4.3324868731457702</v>
      </c>
      <c r="AG5728">
        <v>-1.11298877731419</v>
      </c>
      <c r="AH5728">
        <v>11.098452381466901</v>
      </c>
      <c r="AI5728">
        <v>95.336949744919806</v>
      </c>
      <c r="AJ5728">
        <v>111.324110404682</v>
      </c>
      <c r="AK5728">
        <v>11.9659864527792</v>
      </c>
      <c r="AL5728">
        <v>65.076999471028799</v>
      </c>
      <c r="AM5728">
        <v>106.055611049945</v>
      </c>
      <c r="AN5728">
        <v>1.0000000032971801</v>
      </c>
    </row>
    <row r="5729" spans="1:40" x14ac:dyDescent="0.25">
      <c r="A5729" t="str">
        <f>"20190304164522313"</f>
        <v>20190304164522313</v>
      </c>
      <c r="B5729" t="str">
        <f>"1551689122306320"</f>
        <v>1551689122306320</v>
      </c>
      <c r="C5729" t="s">
        <v>40</v>
      </c>
      <c r="D5729">
        <v>5.3240569999999998</v>
      </c>
      <c r="E5729">
        <v>0.52768210000000004</v>
      </c>
      <c r="F5729" t="s">
        <v>57</v>
      </c>
      <c r="G5729">
        <v>-223.04949999999999</v>
      </c>
      <c r="H5729" s="1">
        <v>-7.1221649999999996E-7</v>
      </c>
      <c r="I5729">
        <v>-59.090369999999901</v>
      </c>
      <c r="J5729">
        <v>-233.8468</v>
      </c>
      <c r="K5729">
        <v>1.1129739999999999</v>
      </c>
      <c r="L5729">
        <v>-63.002749999999999</v>
      </c>
      <c r="M5729">
        <v>0.99984090000000003</v>
      </c>
      <c r="N5729">
        <v>-1.4053E-2</v>
      </c>
      <c r="O5729">
        <v>1.0998900000000001E-2</v>
      </c>
      <c r="P5729">
        <v>0.8744769</v>
      </c>
      <c r="Q5729">
        <v>0.41052040000000001</v>
      </c>
      <c r="R5729">
        <v>0.258386</v>
      </c>
      <c r="S5729">
        <v>3.2436980000000002</v>
      </c>
      <c r="T5729">
        <v>-0.32784930000000001</v>
      </c>
      <c r="U5729">
        <v>1.153381</v>
      </c>
      <c r="V5729">
        <v>-0.2509054</v>
      </c>
      <c r="W5729">
        <v>0.42153350000000001</v>
      </c>
      <c r="X5729">
        <v>0.87141039999999903</v>
      </c>
      <c r="Y5729">
        <v>-0.32299509999999998</v>
      </c>
      <c r="Z5729">
        <v>1.7217759999999999E-2</v>
      </c>
      <c r="AA5729">
        <v>0.94624399999999997</v>
      </c>
      <c r="AB5729">
        <v>37</v>
      </c>
      <c r="AC5729">
        <v>10.7973</v>
      </c>
      <c r="AD5729">
        <v>-1.1129747122164999</v>
      </c>
      <c r="AE5729">
        <v>3.9123800000000002</v>
      </c>
      <c r="AF5729">
        <v>-3.7580768236486901</v>
      </c>
      <c r="AG5729">
        <v>-1.1129747122164999</v>
      </c>
      <c r="AH5729">
        <v>10.7388224755574</v>
      </c>
      <c r="AI5729">
        <v>95.587080599827999</v>
      </c>
      <c r="AJ5729">
        <v>109.28761713070701</v>
      </c>
      <c r="AK5729">
        <v>11.431717381216799</v>
      </c>
      <c r="AL5729">
        <v>65.0685596178662</v>
      </c>
      <c r="AM5729">
        <v>106.062709304039</v>
      </c>
      <c r="AN5729">
        <v>1.00000004829978</v>
      </c>
    </row>
    <row r="5730" spans="1:40" x14ac:dyDescent="0.25">
      <c r="A5730" t="str">
        <f>"20190304164522323"</f>
        <v>20190304164522323</v>
      </c>
      <c r="B5730" t="str">
        <f>"1551689122316080"</f>
        <v>1551689122316080</v>
      </c>
      <c r="C5730" t="s">
        <v>40</v>
      </c>
      <c r="D5730">
        <v>5.3011689999999998</v>
      </c>
      <c r="E5730">
        <v>0.52863579999999999</v>
      </c>
      <c r="F5730" t="s">
        <v>57</v>
      </c>
      <c r="G5730">
        <v>-226.76599999999999</v>
      </c>
      <c r="H5730" s="1">
        <v>-2.2473480000000001E-6</v>
      </c>
      <c r="I5730">
        <v>-61.403230000000001</v>
      </c>
      <c r="J5730">
        <v>-233.6755</v>
      </c>
      <c r="K5730">
        <v>1.1129720000000001</v>
      </c>
      <c r="L5730">
        <v>-62.999969999999998</v>
      </c>
      <c r="M5730">
        <v>0.99982950000000004</v>
      </c>
      <c r="N5730">
        <v>-1.405201E-2</v>
      </c>
      <c r="O5730">
        <v>1.197671E-2</v>
      </c>
      <c r="P5730">
        <v>0.87429729999999894</v>
      </c>
      <c r="Q5730">
        <v>0.41039310000000001</v>
      </c>
      <c r="R5730">
        <v>0.25919379999999997</v>
      </c>
      <c r="S5730">
        <v>3.4549560000000001</v>
      </c>
      <c r="T5730">
        <v>-0.54305619999999999</v>
      </c>
      <c r="U5730">
        <v>0.7804565</v>
      </c>
      <c r="V5730">
        <v>-0.2508533</v>
      </c>
      <c r="W5730">
        <v>0.42140889999999998</v>
      </c>
      <c r="X5730">
        <v>0.87148559999999997</v>
      </c>
      <c r="Y5730">
        <v>-0.206126</v>
      </c>
      <c r="Z5730">
        <v>1.5697409999999998E-2</v>
      </c>
      <c r="AA5730">
        <v>0.97839949999999998</v>
      </c>
      <c r="AB5730">
        <v>37</v>
      </c>
      <c r="AC5730">
        <v>6.9095000000000004</v>
      </c>
      <c r="AD5730">
        <v>-1.11297424734799</v>
      </c>
      <c r="AE5730">
        <v>1.5967399999999801</v>
      </c>
      <c r="AF5730">
        <v>-1.4774725820366299</v>
      </c>
      <c r="AG5730">
        <v>-1.11297424734799</v>
      </c>
      <c r="AH5730">
        <v>6.7615853360571103</v>
      </c>
      <c r="AI5730">
        <v>99.135427524302699</v>
      </c>
      <c r="AJ5730">
        <v>102.325952028255</v>
      </c>
      <c r="AK5730">
        <v>7.0100408816719799</v>
      </c>
      <c r="AL5730">
        <v>65.076430636245306</v>
      </c>
      <c r="AM5730">
        <v>106.058231571109</v>
      </c>
      <c r="AN5730">
        <v>0.99999999506372905</v>
      </c>
    </row>
    <row r="5731" spans="1:40" x14ac:dyDescent="0.25">
      <c r="A5731" t="str">
        <f>"20190304164522334"</f>
        <v>20190304164522334</v>
      </c>
      <c r="B5731" t="str">
        <f>"1551689122325841"</f>
        <v>1551689122325841</v>
      </c>
      <c r="C5731" t="s">
        <v>40</v>
      </c>
      <c r="D5731">
        <v>5.4381069999999996</v>
      </c>
      <c r="E5731">
        <v>0.52924559999999998</v>
      </c>
      <c r="F5731" t="s">
        <v>57</v>
      </c>
      <c r="G5731">
        <v>-226.6087</v>
      </c>
      <c r="H5731" s="1">
        <v>-2.182658E-6</v>
      </c>
      <c r="I5731">
        <v>-61.415849999999999</v>
      </c>
      <c r="J5731">
        <v>-233.50659999999999</v>
      </c>
      <c r="K5731">
        <v>1.1129709999999999</v>
      </c>
      <c r="L5731">
        <v>-62.997190000000003</v>
      </c>
      <c r="M5731">
        <v>0.99981759999999997</v>
      </c>
      <c r="N5731">
        <v>-1.4051060000000001E-2</v>
      </c>
      <c r="O5731">
        <v>1.294062E-2</v>
      </c>
      <c r="P5731">
        <v>0.87403569999999997</v>
      </c>
      <c r="Q5731">
        <v>0.41045029999999999</v>
      </c>
      <c r="R5731">
        <v>0.25998529999999997</v>
      </c>
      <c r="S5731">
        <v>3.457138</v>
      </c>
      <c r="T5731">
        <v>-0.54447519999999905</v>
      </c>
      <c r="U5731">
        <v>0.77496339999999997</v>
      </c>
      <c r="V5731">
        <v>-0.2507993</v>
      </c>
      <c r="W5731">
        <v>0.42146689999999998</v>
      </c>
      <c r="X5731">
        <v>0.8714731</v>
      </c>
      <c r="Y5731">
        <v>-0.20360139999999999</v>
      </c>
      <c r="Z5731">
        <v>1.5378289999999999E-2</v>
      </c>
      <c r="AA5731">
        <v>0.9789331</v>
      </c>
      <c r="AB5731">
        <v>37</v>
      </c>
      <c r="AC5731">
        <v>6.8978999999999902</v>
      </c>
      <c r="AD5731">
        <v>-1.1129731826579901</v>
      </c>
      <c r="AE5731">
        <v>1.58134</v>
      </c>
      <c r="AF5731">
        <v>-1.4559251062066201</v>
      </c>
      <c r="AG5731">
        <v>-1.1129731826579901</v>
      </c>
      <c r="AH5731">
        <v>6.7508146062957701</v>
      </c>
      <c r="AI5731">
        <v>99.155051428092705</v>
      </c>
      <c r="AJ5731">
        <v>102.17038001647499</v>
      </c>
      <c r="AK5731">
        <v>6.9951358148912997</v>
      </c>
      <c r="AL5731">
        <v>65.072766302602602</v>
      </c>
      <c r="AM5731">
        <v>106.05517135465701</v>
      </c>
      <c r="AN5731">
        <v>1.0000000003498499</v>
      </c>
    </row>
    <row r="5732" spans="1:40" x14ac:dyDescent="0.25">
      <c r="A5732" t="str">
        <f>"20190304164522343"</f>
        <v>20190304164522343</v>
      </c>
      <c r="B5732" t="str">
        <f>"1551689122335600"</f>
        <v>1551689122335600</v>
      </c>
      <c r="C5732" t="s">
        <v>40</v>
      </c>
      <c r="D5732">
        <v>5.2608730000000001</v>
      </c>
      <c r="E5732">
        <v>0.52960439999999998</v>
      </c>
      <c r="F5732" t="s">
        <v>57</v>
      </c>
      <c r="G5732">
        <v>-226.2612</v>
      </c>
      <c r="H5732" s="1">
        <v>-2.02564E-6</v>
      </c>
      <c r="I5732">
        <v>-61.380070000000003</v>
      </c>
      <c r="J5732">
        <v>-233.34970000000001</v>
      </c>
      <c r="K5732">
        <v>1.112975</v>
      </c>
      <c r="L5732">
        <v>-62.994259999999997</v>
      </c>
      <c r="M5732">
        <v>0.99980550000000001</v>
      </c>
      <c r="N5732">
        <v>-1.405022E-2</v>
      </c>
      <c r="O5732">
        <v>1.384312E-2</v>
      </c>
      <c r="P5732">
        <v>0.87392250000000005</v>
      </c>
      <c r="Q5732">
        <v>0.4103039</v>
      </c>
      <c r="R5732">
        <v>0.2605961</v>
      </c>
      <c r="S5732">
        <v>3.4522089999999999</v>
      </c>
      <c r="T5732">
        <v>-0.53029539999999997</v>
      </c>
      <c r="U5732">
        <v>0.77050779999999996</v>
      </c>
      <c r="V5732">
        <v>-0.25061919999999999</v>
      </c>
      <c r="W5732">
        <v>0.42132239999999999</v>
      </c>
      <c r="X5732">
        <v>0.8715948</v>
      </c>
      <c r="Y5732">
        <v>-0.20195550000000001</v>
      </c>
      <c r="Z5732">
        <v>1.478457E-2</v>
      </c>
      <c r="AA5732">
        <v>0.97928309999999996</v>
      </c>
      <c r="AB5732">
        <v>37</v>
      </c>
      <c r="AC5732">
        <v>7.0885000000000096</v>
      </c>
      <c r="AD5732">
        <v>-1.11297702564</v>
      </c>
      <c r="AE5732">
        <v>1.61419</v>
      </c>
      <c r="AF5732">
        <v>-1.4811837289629599</v>
      </c>
      <c r="AG5732">
        <v>-1.11297702564</v>
      </c>
      <c r="AH5732">
        <v>6.9473414353465603</v>
      </c>
      <c r="AI5732">
        <v>98.9047347331841</v>
      </c>
      <c r="AJ5732">
        <v>102.035351157424</v>
      </c>
      <c r="AK5732">
        <v>7.1901443739211803</v>
      </c>
      <c r="AL5732">
        <v>65.081896266072206</v>
      </c>
      <c r="AM5732">
        <v>106.04211061127199</v>
      </c>
      <c r="AN5732">
        <v>1.0000000217687099</v>
      </c>
    </row>
    <row r="5733" spans="1:40" x14ac:dyDescent="0.25">
      <c r="A5733" t="str">
        <f>"20190304164522354"</f>
        <v>20190304164522354</v>
      </c>
      <c r="B5733" t="str">
        <f>"1551689122346337"</f>
        <v>1551689122346337</v>
      </c>
      <c r="C5733" t="s">
        <v>40</v>
      </c>
      <c r="D5733">
        <v>5.2280199999999999</v>
      </c>
      <c r="E5733">
        <v>0.52969699999999997</v>
      </c>
      <c r="F5733" t="s">
        <v>57</v>
      </c>
      <c r="G5733">
        <v>-225.99420000000001</v>
      </c>
      <c r="H5733" s="1">
        <v>-1.9055400000000001E-6</v>
      </c>
      <c r="I5733">
        <v>-61.355080000000001</v>
      </c>
      <c r="J5733">
        <v>-233.18780000000001</v>
      </c>
      <c r="K5733">
        <v>1.112976</v>
      </c>
      <c r="L5733">
        <v>-62.991300000000003</v>
      </c>
      <c r="M5733">
        <v>0.99979229999999997</v>
      </c>
      <c r="N5733">
        <v>-1.404935E-2</v>
      </c>
      <c r="O5733">
        <v>1.477405E-2</v>
      </c>
      <c r="P5733">
        <v>0.87368259999999898</v>
      </c>
      <c r="Q5733">
        <v>0.41038360000000002</v>
      </c>
      <c r="R5733">
        <v>0.26127430000000001</v>
      </c>
      <c r="S5733">
        <v>3.4486240000000001</v>
      </c>
      <c r="T5733">
        <v>-0.52181549999999999</v>
      </c>
      <c r="U5733">
        <v>0.76852419999999899</v>
      </c>
      <c r="V5733">
        <v>-0.25048480000000001</v>
      </c>
      <c r="W5733">
        <v>0.42140149999999998</v>
      </c>
      <c r="X5733">
        <v>0.87159509999999996</v>
      </c>
      <c r="Y5733">
        <v>-0.2008114</v>
      </c>
      <c r="Z5733">
        <v>1.4371399999999999E-2</v>
      </c>
      <c r="AA5733">
        <v>0.97952450000000002</v>
      </c>
      <c r="AB5733">
        <v>37</v>
      </c>
      <c r="AC5733">
        <v>7.1936</v>
      </c>
      <c r="AD5733">
        <v>-1.11297790554</v>
      </c>
      <c r="AE5733">
        <v>1.63621999999999</v>
      </c>
      <c r="AF5733">
        <v>-1.49570982120938</v>
      </c>
      <c r="AG5733">
        <v>-1.11297790554</v>
      </c>
      <c r="AH5733">
        <v>7.0563867378543303</v>
      </c>
      <c r="AI5733">
        <v>98.771459013736106</v>
      </c>
      <c r="AJ5733">
        <v>101.96758906593099</v>
      </c>
      <c r="AK5733">
        <v>7.2985246099228096</v>
      </c>
      <c r="AL5733">
        <v>65.076896666538602</v>
      </c>
      <c r="AM5733">
        <v>106.03394472106601</v>
      </c>
      <c r="AN5733">
        <v>0.99999993878864801</v>
      </c>
    </row>
    <row r="5734" spans="1:40" x14ac:dyDescent="0.25">
      <c r="A5734" t="str">
        <f>"20190304164522362"</f>
        <v>20190304164522362</v>
      </c>
      <c r="B5734" t="str">
        <f>"1551689122356096"</f>
        <v>1551689122356096</v>
      </c>
      <c r="C5734" t="s">
        <v>40</v>
      </c>
      <c r="D5734">
        <v>5.2448459999999999</v>
      </c>
      <c r="E5734">
        <v>0.5296807</v>
      </c>
      <c r="F5734" t="s">
        <v>57</v>
      </c>
      <c r="G5734">
        <v>-225.74019999999999</v>
      </c>
      <c r="H5734" s="1">
        <v>-1.7909080000000001E-6</v>
      </c>
      <c r="I5734">
        <v>-61.329469999999901</v>
      </c>
      <c r="J5734">
        <v>-233.03450000000001</v>
      </c>
      <c r="K5734">
        <v>1.1129789999999999</v>
      </c>
      <c r="L5734">
        <v>-62.988219999999998</v>
      </c>
      <c r="M5734">
        <v>0.99977870000000002</v>
      </c>
      <c r="N5734">
        <v>-1.40486E-2</v>
      </c>
      <c r="O5734">
        <v>1.5664419999999998E-2</v>
      </c>
      <c r="P5734">
        <v>0.87361250000000001</v>
      </c>
      <c r="Q5734">
        <v>0.41032600000000002</v>
      </c>
      <c r="R5734">
        <v>0.26159860000000001</v>
      </c>
      <c r="S5734">
        <v>3.4456790000000002</v>
      </c>
      <c r="T5734">
        <v>-0.51492740000000004</v>
      </c>
      <c r="U5734">
        <v>0.76885990000000004</v>
      </c>
      <c r="V5734">
        <v>-0.25003049999999999</v>
      </c>
      <c r="W5734">
        <v>0.4213462</v>
      </c>
      <c r="X5734">
        <v>0.87175230000000004</v>
      </c>
      <c r="Y5734">
        <v>-0.20027449999999999</v>
      </c>
      <c r="Z5734">
        <v>1.4053589999999999E-2</v>
      </c>
      <c r="AA5734">
        <v>0.97963909999999998</v>
      </c>
      <c r="AB5734">
        <v>37</v>
      </c>
      <c r="AC5734">
        <v>7.2943000000000202</v>
      </c>
      <c r="AD5734">
        <v>-1.1129807909080001</v>
      </c>
      <c r="AE5734">
        <v>1.6587499999999999</v>
      </c>
      <c r="AF5734">
        <v>-1.51082955114979</v>
      </c>
      <c r="AG5734">
        <v>-1.1129807909080001</v>
      </c>
      <c r="AH5734">
        <v>7.1608733148980797</v>
      </c>
      <c r="AI5734">
        <v>98.647133485226107</v>
      </c>
      <c r="AJ5734">
        <v>101.913765061172</v>
      </c>
      <c r="AK5734">
        <v>7.4026643045309797</v>
      </c>
      <c r="AL5734">
        <v>65.080391319531699</v>
      </c>
      <c r="AM5734">
        <v>106.003616512693</v>
      </c>
      <c r="AN5734">
        <v>0.99999997186998901</v>
      </c>
    </row>
    <row r="5735" spans="1:40" x14ac:dyDescent="0.25">
      <c r="A5735" t="str">
        <f>"20190304164522374"</f>
        <v>20190304164522374</v>
      </c>
      <c r="B5735" t="str">
        <f>"1551689122365856"</f>
        <v>1551689122365856</v>
      </c>
      <c r="C5735" t="s">
        <v>40</v>
      </c>
      <c r="D5735">
        <v>5.2566369999999996</v>
      </c>
      <c r="E5735">
        <v>0.5296305</v>
      </c>
      <c r="F5735" t="s">
        <v>57</v>
      </c>
      <c r="G5735">
        <v>-225.5274</v>
      </c>
      <c r="H5735" s="1">
        <v>-1.695174E-6</v>
      </c>
      <c r="I5735">
        <v>-61.309649999999998</v>
      </c>
      <c r="J5735">
        <v>-232.85290000000001</v>
      </c>
      <c r="K5735">
        <v>1.1129830000000001</v>
      </c>
      <c r="L5735">
        <v>-62.984499999999997</v>
      </c>
      <c r="M5735">
        <v>0.99976160000000003</v>
      </c>
      <c r="N5735">
        <v>-1.404771E-2</v>
      </c>
      <c r="O5735">
        <v>1.6719169999999998E-2</v>
      </c>
      <c r="P5735">
        <v>0.87338130000000003</v>
      </c>
      <c r="Q5735">
        <v>0.41035840000000001</v>
      </c>
      <c r="R5735">
        <v>0.26231919999999997</v>
      </c>
      <c r="S5735">
        <v>3.443222</v>
      </c>
      <c r="T5735">
        <v>-0.51048139999999997</v>
      </c>
      <c r="U5735">
        <v>0.76989750000000001</v>
      </c>
      <c r="V5735">
        <v>-0.2498319</v>
      </c>
      <c r="W5735">
        <v>0.42137780000000002</v>
      </c>
      <c r="X5735">
        <v>0.87179399999999996</v>
      </c>
      <c r="Y5735">
        <v>-0.19971929999999999</v>
      </c>
      <c r="Z5735">
        <v>1.37722E-2</v>
      </c>
      <c r="AA5735">
        <v>0.97975639999999997</v>
      </c>
      <c r="AB5735">
        <v>37</v>
      </c>
      <c r="AC5735">
        <v>7.3254999999999999</v>
      </c>
      <c r="AD5735">
        <v>-1.1129846951739999</v>
      </c>
      <c r="AE5735">
        <v>1.67484999999999</v>
      </c>
      <c r="AF5735">
        <v>-1.5188095081235999</v>
      </c>
      <c r="AG5735">
        <v>-1.1129846951739999</v>
      </c>
      <c r="AH5735">
        <v>7.1946523113758296</v>
      </c>
      <c r="AI5735">
        <v>98.606971126409306</v>
      </c>
      <c r="AJ5735">
        <v>101.920269400588</v>
      </c>
      <c r="AK5735">
        <v>7.43697109952996</v>
      </c>
      <c r="AL5735">
        <v>65.078395732782198</v>
      </c>
      <c r="AM5735">
        <v>105.990829171827</v>
      </c>
      <c r="AN5735">
        <v>1.0000000035132199</v>
      </c>
    </row>
    <row r="5736" spans="1:40" x14ac:dyDescent="0.25">
      <c r="A5736" t="str">
        <f>"20190304164522385"</f>
        <v>20190304164522385</v>
      </c>
      <c r="B5736" t="str">
        <f>"1551689122375616"</f>
        <v>1551689122375616</v>
      </c>
      <c r="C5736" t="s">
        <v>40</v>
      </c>
      <c r="D5736">
        <v>5.2442989999999998</v>
      </c>
      <c r="E5736">
        <v>0.52955620000000003</v>
      </c>
      <c r="F5736" t="s">
        <v>57</v>
      </c>
      <c r="G5736">
        <v>-225.29810000000001</v>
      </c>
      <c r="H5736" s="1">
        <v>-1.59207E-6</v>
      </c>
      <c r="I5736">
        <v>-61.2883</v>
      </c>
      <c r="J5736">
        <v>-232.67089999999999</v>
      </c>
      <c r="K5736">
        <v>1.1129880000000001</v>
      </c>
      <c r="L5736">
        <v>-62.980440000000002</v>
      </c>
      <c r="M5736">
        <v>0.9997433</v>
      </c>
      <c r="N5736">
        <v>-1.404685E-2</v>
      </c>
      <c r="O5736">
        <v>1.7785800000000001E-2</v>
      </c>
      <c r="P5736">
        <v>0.87335439999999998</v>
      </c>
      <c r="Q5736">
        <v>0.41008889999999998</v>
      </c>
      <c r="R5736">
        <v>0.26282899999999998</v>
      </c>
      <c r="S5736">
        <v>3.4410400000000001</v>
      </c>
      <c r="T5736">
        <v>-0.50694189999999995</v>
      </c>
      <c r="U5736">
        <v>0.77258300000000002</v>
      </c>
      <c r="V5736">
        <v>-0.24940780000000001</v>
      </c>
      <c r="W5736">
        <v>0.42111090000000001</v>
      </c>
      <c r="X5736">
        <v>0.87204429999999999</v>
      </c>
      <c r="Y5736">
        <v>-0.19957130000000001</v>
      </c>
      <c r="Z5736">
        <v>1.354412E-2</v>
      </c>
      <c r="AA5736">
        <v>0.97978969999999999</v>
      </c>
      <c r="AB5736">
        <v>37</v>
      </c>
      <c r="AC5736">
        <v>7.3727999999999803</v>
      </c>
      <c r="AD5736">
        <v>-1.1129895920699999</v>
      </c>
      <c r="AE5736">
        <v>1.69214</v>
      </c>
      <c r="AF5736">
        <v>-1.5276571141294299</v>
      </c>
      <c r="AG5736">
        <v>-1.1129895920699999</v>
      </c>
      <c r="AH5736">
        <v>7.2448932946815203</v>
      </c>
      <c r="AI5736">
        <v>98.548619291224696</v>
      </c>
      <c r="AJ5736">
        <v>101.906955878107</v>
      </c>
      <c r="AK5736">
        <v>7.4873867899105901</v>
      </c>
      <c r="AL5736">
        <v>65.095255563670193</v>
      </c>
      <c r="AM5736">
        <v>105.960719604999</v>
      </c>
      <c r="AN5736">
        <v>0.99999995098106897</v>
      </c>
    </row>
    <row r="5737" spans="1:40" x14ac:dyDescent="0.25">
      <c r="A5737" t="str">
        <f>"20190304164522396"</f>
        <v>20190304164522396</v>
      </c>
      <c r="B5737" t="str">
        <f>"1551689122386352"</f>
        <v>1551689122386352</v>
      </c>
      <c r="C5737" t="s">
        <v>40</v>
      </c>
      <c r="D5737">
        <v>5.2570189999999997</v>
      </c>
      <c r="E5737">
        <v>0.5294856</v>
      </c>
      <c r="F5737" t="s">
        <v>57</v>
      </c>
      <c r="G5737">
        <v>-225.1875</v>
      </c>
      <c r="H5737" s="1">
        <v>-1.545903E-6</v>
      </c>
      <c r="I5737">
        <v>-61.293950000000002</v>
      </c>
      <c r="J5737">
        <v>-232.49709999999999</v>
      </c>
      <c r="K5737">
        <v>1.112989</v>
      </c>
      <c r="L5737">
        <v>-62.976529999999997</v>
      </c>
      <c r="M5737">
        <v>0.99972450000000002</v>
      </c>
      <c r="N5737">
        <v>-1.4046029999999999E-2</v>
      </c>
      <c r="O5737">
        <v>1.8806710000000001E-2</v>
      </c>
      <c r="P5737">
        <v>0.87315699999999996</v>
      </c>
      <c r="Q5737">
        <v>0.40995789999999999</v>
      </c>
      <c r="R5737">
        <v>0.26368799999999998</v>
      </c>
      <c r="S5737">
        <v>3.4419559999999998</v>
      </c>
      <c r="T5737">
        <v>-0.51191790000000004</v>
      </c>
      <c r="U5737">
        <v>0.77569580000000005</v>
      </c>
      <c r="V5737">
        <v>-0.2493775</v>
      </c>
      <c r="W5737">
        <v>0.42097780000000001</v>
      </c>
      <c r="X5737">
        <v>0.87211729999999998</v>
      </c>
      <c r="Y5737">
        <v>-0.19933300000000001</v>
      </c>
      <c r="Z5737">
        <v>1.3501320000000001E-2</v>
      </c>
      <c r="AA5737">
        <v>0.97983880000000001</v>
      </c>
      <c r="AB5737">
        <v>37</v>
      </c>
      <c r="AC5737">
        <v>7.3095999999999801</v>
      </c>
      <c r="AD5737">
        <v>-1.1129905459029901</v>
      </c>
      <c r="AE5737">
        <v>1.68258</v>
      </c>
      <c r="AF5737">
        <v>-1.5115190202055599</v>
      </c>
      <c r="AG5737">
        <v>-1.1129905459029901</v>
      </c>
      <c r="AH5737">
        <v>7.1818262031939701</v>
      </c>
      <c r="AI5737">
        <v>98.623250019185903</v>
      </c>
      <c r="AJ5737">
        <v>101.88526316095501</v>
      </c>
      <c r="AK5737">
        <v>7.4230765398583998</v>
      </c>
      <c r="AL5737">
        <v>65.103664916199804</v>
      </c>
      <c r="AM5737">
        <v>105.957611513423</v>
      </c>
      <c r="AN5737">
        <v>1.0000000152791899</v>
      </c>
    </row>
    <row r="5738" spans="1:40" x14ac:dyDescent="0.25">
      <c r="A5738" t="str">
        <f>"20190304164522407"</f>
        <v>20190304164522407</v>
      </c>
      <c r="B5738" t="str">
        <f>"1551689122396112"</f>
        <v>1551689122396112</v>
      </c>
      <c r="C5738" t="s">
        <v>40</v>
      </c>
      <c r="D5738">
        <v>5.2371059999999998</v>
      </c>
      <c r="E5738">
        <v>0.52932630000000003</v>
      </c>
      <c r="F5738" t="s">
        <v>57</v>
      </c>
      <c r="G5738">
        <v>-225.0686</v>
      </c>
      <c r="H5738" s="1">
        <v>-1.494461E-6</v>
      </c>
      <c r="I5738">
        <v>-61.292070000000002</v>
      </c>
      <c r="J5738">
        <v>-232.3092</v>
      </c>
      <c r="K5738">
        <v>1.1129899999999999</v>
      </c>
      <c r="L5738">
        <v>-62.97195</v>
      </c>
      <c r="M5738">
        <v>0.99970289999999995</v>
      </c>
      <c r="N5738">
        <v>-1.404511E-2</v>
      </c>
      <c r="O5738">
        <v>1.9919240000000001E-2</v>
      </c>
      <c r="P5738">
        <v>0.87309289999999995</v>
      </c>
      <c r="Q5738">
        <v>0.40971109999999999</v>
      </c>
      <c r="R5738">
        <v>0.2642833</v>
      </c>
      <c r="S5738">
        <v>3.4422299999999999</v>
      </c>
      <c r="T5738">
        <v>-0.51573849999999999</v>
      </c>
      <c r="U5738">
        <v>0.78054809999999997</v>
      </c>
      <c r="V5738">
        <v>-0.2490002</v>
      </c>
      <c r="W5738">
        <v>0.42073290000000002</v>
      </c>
      <c r="X5738">
        <v>0.87234319999999899</v>
      </c>
      <c r="Y5738">
        <v>-0.199519</v>
      </c>
      <c r="Z5738">
        <v>1.345289E-2</v>
      </c>
      <c r="AA5738">
        <v>0.97980160000000005</v>
      </c>
      <c r="AB5738">
        <v>37</v>
      </c>
      <c r="AC5738">
        <v>7.2405999999999997</v>
      </c>
      <c r="AD5738">
        <v>-1.112991494461</v>
      </c>
      <c r="AE5738">
        <v>1.67988</v>
      </c>
      <c r="AF5738">
        <v>-1.5016361977488699</v>
      </c>
      <c r="AG5738">
        <v>-1.112991494461</v>
      </c>
      <c r="AH5738">
        <v>7.11314098717635</v>
      </c>
      <c r="AI5738">
        <v>98.704142607990093</v>
      </c>
      <c r="AJ5738">
        <v>101.920531110772</v>
      </c>
      <c r="AK5738">
        <v>7.3546200473294601</v>
      </c>
      <c r="AL5738">
        <v>65.119131910891596</v>
      </c>
      <c r="AM5738">
        <v>105.930777866664</v>
      </c>
      <c r="AN5738">
        <v>0.99999996566434401</v>
      </c>
    </row>
    <row r="5739" spans="1:40" x14ac:dyDescent="0.25">
      <c r="A5739" t="str">
        <f>"20190304164522419"</f>
        <v>20190304164522419</v>
      </c>
      <c r="B5739" t="str">
        <f>"1551689122415632"</f>
        <v>1551689122415632</v>
      </c>
      <c r="C5739" t="s">
        <v>40</v>
      </c>
      <c r="D5739">
        <v>5.2707930000000003</v>
      </c>
      <c r="E5739">
        <v>0.52923129999999996</v>
      </c>
      <c r="F5739" t="s">
        <v>57</v>
      </c>
      <c r="G5739">
        <v>-224.93940000000001</v>
      </c>
      <c r="H5739" s="1">
        <v>-1.439027E-6</v>
      </c>
      <c r="I5739">
        <v>-61.292099999999998</v>
      </c>
      <c r="J5739">
        <v>-232.12719999999999</v>
      </c>
      <c r="K5739">
        <v>1.1129929999999999</v>
      </c>
      <c r="L5739">
        <v>-62.967410000000001</v>
      </c>
      <c r="M5739">
        <v>0.99968089999999998</v>
      </c>
      <c r="N5739">
        <v>-1.404422E-2</v>
      </c>
      <c r="O5739">
        <v>2.1000950000000001E-2</v>
      </c>
      <c r="P5739">
        <v>0.87283459999999902</v>
      </c>
      <c r="Q5739">
        <v>0.4095066</v>
      </c>
      <c r="R5739">
        <v>0.26545089999999999</v>
      </c>
      <c r="S5739">
        <v>3.4424899999999998</v>
      </c>
      <c r="T5739">
        <v>-0.51988420000000002</v>
      </c>
      <c r="U5739">
        <v>0.78466800000000003</v>
      </c>
      <c r="V5739">
        <v>-0.24922649999999999</v>
      </c>
      <c r="W5739">
        <v>0.42052390000000001</v>
      </c>
      <c r="X5739">
        <v>0.87237940000000003</v>
      </c>
      <c r="Y5739">
        <v>-0.19953609999999999</v>
      </c>
      <c r="Z5739">
        <v>1.3400219999999999E-2</v>
      </c>
      <c r="AA5739">
        <v>0.97979890000000003</v>
      </c>
      <c r="AB5739">
        <v>37</v>
      </c>
      <c r="AC5739">
        <v>7.1877999999999798</v>
      </c>
      <c r="AD5739">
        <v>-1.1129944390269999</v>
      </c>
      <c r="AE5739">
        <v>1.6753100000000001</v>
      </c>
      <c r="AF5739">
        <v>-1.49008806840969</v>
      </c>
      <c r="AG5739">
        <v>-1.1129944390269999</v>
      </c>
      <c r="AH5739">
        <v>7.0608270529284001</v>
      </c>
      <c r="AI5739">
        <v>98.767780891420998</v>
      </c>
      <c r="AJ5739">
        <v>101.916613653895</v>
      </c>
      <c r="AK5739">
        <v>7.3016708871522997</v>
      </c>
      <c r="AL5739">
        <v>65.132332314803705</v>
      </c>
      <c r="AM5739">
        <v>105.943892616285</v>
      </c>
      <c r="AN5739">
        <v>1.00000000815891</v>
      </c>
    </row>
    <row r="5740" spans="1:40" x14ac:dyDescent="0.25">
      <c r="A5740" t="str">
        <f>"20190304164522430"</f>
        <v>20190304164522430</v>
      </c>
      <c r="B5740" t="str">
        <f>"1551689122426368"</f>
        <v>1551689122426368</v>
      </c>
      <c r="C5740" t="s">
        <v>40</v>
      </c>
      <c r="D5740">
        <v>5.2582370000000003</v>
      </c>
      <c r="E5740">
        <v>0.52916560000000001</v>
      </c>
      <c r="F5740" t="s">
        <v>57</v>
      </c>
      <c r="G5740">
        <v>-224.8503</v>
      </c>
      <c r="H5740" s="1">
        <v>-1.4017470000000001E-6</v>
      </c>
      <c r="I5740">
        <v>-61.29636</v>
      </c>
      <c r="J5740">
        <v>-231.93620000000001</v>
      </c>
      <c r="K5740">
        <v>1.1129960000000001</v>
      </c>
      <c r="L5740">
        <v>-62.962400000000002</v>
      </c>
      <c r="M5740">
        <v>0.99965619999999999</v>
      </c>
      <c r="N5740">
        <v>-1.404328E-2</v>
      </c>
      <c r="O5740">
        <v>2.214172E-2</v>
      </c>
      <c r="P5740">
        <v>0.87268279999999998</v>
      </c>
      <c r="Q5740">
        <v>0.40922350000000002</v>
      </c>
      <c r="R5740">
        <v>0.26638460000000003</v>
      </c>
      <c r="S5740">
        <v>3.4437099999999998</v>
      </c>
      <c r="T5740">
        <v>-0.52671029999999996</v>
      </c>
      <c r="U5740">
        <v>0.790802</v>
      </c>
      <c r="V5740">
        <v>-0.24916369999999999</v>
      </c>
      <c r="W5740">
        <v>0.42023969999999999</v>
      </c>
      <c r="X5740">
        <v>0.87253429999999998</v>
      </c>
      <c r="Y5740">
        <v>-0.19995560000000001</v>
      </c>
      <c r="Z5740">
        <v>1.3425070000000001E-2</v>
      </c>
      <c r="AA5740">
        <v>0.97971299999999995</v>
      </c>
      <c r="AB5740">
        <v>36</v>
      </c>
      <c r="AC5740">
        <v>7.0858999999999996</v>
      </c>
      <c r="AD5740">
        <v>-1.1129974017469999</v>
      </c>
      <c r="AE5740">
        <v>1.66604</v>
      </c>
      <c r="AF5740">
        <v>-1.47425506558167</v>
      </c>
      <c r="AG5740">
        <v>-1.1129974017469999</v>
      </c>
      <c r="AH5740">
        <v>6.95837381900966</v>
      </c>
      <c r="AI5740">
        <v>98.893375506026402</v>
      </c>
      <c r="AJ5740">
        <v>101.96223520102301</v>
      </c>
      <c r="AK5740">
        <v>7.1993859057400096</v>
      </c>
      <c r="AL5740">
        <v>65.150279114766406</v>
      </c>
      <c r="AM5740">
        <v>105.937393134464</v>
      </c>
      <c r="AN5740">
        <v>1.0000000297651299</v>
      </c>
    </row>
    <row r="5741" spans="1:40" x14ac:dyDescent="0.25">
      <c r="A5741" t="str">
        <f>"20190304164522442"</f>
        <v>20190304164522442</v>
      </c>
      <c r="B5741" t="str">
        <f>"1551689122436128"</f>
        <v>1551689122436128</v>
      </c>
      <c r="C5741" t="s">
        <v>40</v>
      </c>
      <c r="D5741">
        <v>5.2659859999999998</v>
      </c>
      <c r="E5741">
        <v>0.52910029999999997</v>
      </c>
      <c r="F5741" t="s">
        <v>57</v>
      </c>
      <c r="G5741">
        <v>-224.69720000000001</v>
      </c>
      <c r="H5741" s="1">
        <v>-1.3346249999999999E-6</v>
      </c>
      <c r="I5741">
        <v>-61.289869999999901</v>
      </c>
      <c r="J5741">
        <v>-231.74619999999999</v>
      </c>
      <c r="K5741">
        <v>1.113</v>
      </c>
      <c r="L5741">
        <v>-62.957149999999999</v>
      </c>
      <c r="M5741">
        <v>0.99963040000000003</v>
      </c>
      <c r="N5741">
        <v>-1.404233E-2</v>
      </c>
      <c r="O5741">
        <v>2.3282850000000001E-2</v>
      </c>
      <c r="P5741">
        <v>0.87243780000000004</v>
      </c>
      <c r="Q5741">
        <v>0.40895759999999998</v>
      </c>
      <c r="R5741">
        <v>0.26759319999999998</v>
      </c>
      <c r="S5741">
        <v>3.443085</v>
      </c>
      <c r="T5741">
        <v>-0.52937149999999999</v>
      </c>
      <c r="U5741">
        <v>0.79550169999999998</v>
      </c>
      <c r="V5741">
        <v>-0.2493776</v>
      </c>
      <c r="W5741">
        <v>0.41997050000000002</v>
      </c>
      <c r="X5741">
        <v>0.87260280000000001</v>
      </c>
      <c r="Y5741">
        <v>-0.2001338</v>
      </c>
      <c r="Z5741">
        <v>1.334245E-2</v>
      </c>
      <c r="AA5741">
        <v>0.97967769999999998</v>
      </c>
      <c r="AB5741">
        <v>36</v>
      </c>
      <c r="AC5741">
        <v>7.0489999999999702</v>
      </c>
      <c r="AD5741">
        <v>-1.1130013346250001</v>
      </c>
      <c r="AE5741">
        <v>1.6672800000000001</v>
      </c>
      <c r="AF5741">
        <v>-1.46803083518772</v>
      </c>
      <c r="AG5741">
        <v>-1.1130013346250001</v>
      </c>
      <c r="AH5741">
        <v>6.9224724124593298</v>
      </c>
      <c r="AI5741">
        <v>98.938430436682495</v>
      </c>
      <c r="AJ5741">
        <v>101.97318282545901</v>
      </c>
      <c r="AK5741">
        <v>7.1634147447428704</v>
      </c>
      <c r="AL5741">
        <v>65.167275681002906</v>
      </c>
      <c r="AM5741">
        <v>105.94919077434599</v>
      </c>
      <c r="AN5741">
        <v>1.0000000274099199</v>
      </c>
    </row>
    <row r="5742" spans="1:40" x14ac:dyDescent="0.25">
      <c r="A5742" t="str">
        <f>"20190304164522453"</f>
        <v>20190304164522453</v>
      </c>
      <c r="B5742" t="str">
        <f>"1551689122445888"</f>
        <v>1551689122445888</v>
      </c>
      <c r="C5742" t="s">
        <v>40</v>
      </c>
      <c r="D5742">
        <v>5.2732530000000004</v>
      </c>
      <c r="E5742">
        <v>0.52907169999999903</v>
      </c>
      <c r="F5742" t="s">
        <v>57</v>
      </c>
      <c r="G5742">
        <v>-224.54839999999999</v>
      </c>
      <c r="H5742" s="1">
        <v>-1.2686959999999999E-6</v>
      </c>
      <c r="I5742">
        <v>-61.280389999999997</v>
      </c>
      <c r="J5742">
        <v>-231.5624</v>
      </c>
      <c r="K5742">
        <v>1.1130040000000001</v>
      </c>
      <c r="L5742">
        <v>-62.951999999999998</v>
      </c>
      <c r="M5742">
        <v>0.99960400000000005</v>
      </c>
      <c r="N5742">
        <v>-1.4041410000000001E-2</v>
      </c>
      <c r="O5742">
        <v>2.438798E-2</v>
      </c>
      <c r="P5742">
        <v>0.87217719999999899</v>
      </c>
      <c r="Q5742">
        <v>0.40883619999999998</v>
      </c>
      <c r="R5742">
        <v>0.26862589999999997</v>
      </c>
      <c r="S5742">
        <v>3.4421840000000001</v>
      </c>
      <c r="T5742">
        <v>-0.53227139999999995</v>
      </c>
      <c r="U5742">
        <v>0.80187989999999998</v>
      </c>
      <c r="V5742">
        <v>-0.24944830000000001</v>
      </c>
      <c r="W5742">
        <v>0.41984640000000001</v>
      </c>
      <c r="X5742">
        <v>0.87264229999999998</v>
      </c>
      <c r="Y5742">
        <v>-0.20080890000000001</v>
      </c>
      <c r="Z5742">
        <v>1.330989E-2</v>
      </c>
      <c r="AA5742">
        <v>0.97953999999999997</v>
      </c>
      <c r="AB5742">
        <v>36</v>
      </c>
      <c r="AC5742">
        <v>7.0140000000000002</v>
      </c>
      <c r="AD5742">
        <v>-1.1130052686959999</v>
      </c>
      <c r="AE5742">
        <v>1.67160999999999</v>
      </c>
      <c r="AF5742">
        <v>-1.46512883618655</v>
      </c>
      <c r="AG5742">
        <v>-1.1130052686959999</v>
      </c>
      <c r="AH5742">
        <v>6.8885506359127104</v>
      </c>
      <c r="AI5742">
        <v>98.980643421905796</v>
      </c>
      <c r="AJ5742">
        <v>102.00733864660999</v>
      </c>
      <c r="AK5742">
        <v>7.1300429941413199</v>
      </c>
      <c r="AL5742">
        <v>65.175110038636902</v>
      </c>
      <c r="AM5742">
        <v>105.952796996901</v>
      </c>
      <c r="AN5742">
        <v>1.00000001885757</v>
      </c>
    </row>
    <row r="5743" spans="1:40" x14ac:dyDescent="0.25">
      <c r="A5743" t="str">
        <f>"20190304164522464"</f>
        <v>20190304164522464</v>
      </c>
      <c r="B5743" t="str">
        <f>"1551689122455648"</f>
        <v>1551689122455648</v>
      </c>
      <c r="C5743" t="s">
        <v>40</v>
      </c>
      <c r="D5743">
        <v>5.2583039999999999</v>
      </c>
      <c r="E5743">
        <v>0.52903369999999905</v>
      </c>
      <c r="F5743" t="s">
        <v>57</v>
      </c>
      <c r="G5743">
        <v>-224.39060000000001</v>
      </c>
      <c r="H5743" s="1">
        <v>-1.1986879999999999E-6</v>
      </c>
      <c r="I5743">
        <v>-61.270029999999998</v>
      </c>
      <c r="J5743">
        <v>-231.39670000000001</v>
      </c>
      <c r="K5743">
        <v>1.1130070000000001</v>
      </c>
      <c r="L5743">
        <v>-62.94699</v>
      </c>
      <c r="M5743">
        <v>0.99957910000000005</v>
      </c>
      <c r="N5743">
        <v>-1.4040550000000001E-2</v>
      </c>
      <c r="O5743">
        <v>2.5389680000000001E-2</v>
      </c>
      <c r="P5743">
        <v>0.87185029999999997</v>
      </c>
      <c r="Q5743">
        <v>0.40880440000000001</v>
      </c>
      <c r="R5743">
        <v>0.26973390000000003</v>
      </c>
      <c r="S5743">
        <v>3.4414370000000001</v>
      </c>
      <c r="T5743">
        <v>-0.53408129999999998</v>
      </c>
      <c r="U5743">
        <v>0.80709839999999999</v>
      </c>
      <c r="V5743">
        <v>-0.2496864</v>
      </c>
      <c r="W5743">
        <v>0.41981000000000002</v>
      </c>
      <c r="X5743">
        <v>0.87259169999999997</v>
      </c>
      <c r="Y5743">
        <v>-0.20127239999999999</v>
      </c>
      <c r="Z5743">
        <v>1.3249479999999999E-2</v>
      </c>
      <c r="AA5743">
        <v>0.97944569999999997</v>
      </c>
      <c r="AB5743">
        <v>36</v>
      </c>
      <c r="AC5743">
        <v>7.0061</v>
      </c>
      <c r="AD5743">
        <v>-1.113008198688</v>
      </c>
      <c r="AE5743">
        <v>1.67695999999999</v>
      </c>
      <c r="AF5743">
        <v>-1.4635836506119699</v>
      </c>
      <c r="AG5743">
        <v>-1.113008198688</v>
      </c>
      <c r="AH5743">
        <v>6.8821470448657598</v>
      </c>
      <c r="AI5743">
        <v>98.988934380346194</v>
      </c>
      <c r="AJ5743">
        <v>102.005879433366</v>
      </c>
      <c r="AK5743">
        <v>7.1235393099104796</v>
      </c>
      <c r="AL5743">
        <v>65.177407545228505</v>
      </c>
      <c r="AM5743">
        <v>105.968126860346</v>
      </c>
      <c r="AN5743">
        <v>1.00000000467692</v>
      </c>
    </row>
    <row r="5744" spans="1:40" x14ac:dyDescent="0.25">
      <c r="A5744" t="str">
        <f>"20190304164522475"</f>
        <v>20190304164522475</v>
      </c>
      <c r="B5744" t="str">
        <f>"1551689122465408"</f>
        <v>1551689122465408</v>
      </c>
      <c r="C5744" t="s">
        <v>40</v>
      </c>
      <c r="D5744">
        <v>5.2513519999999998</v>
      </c>
      <c r="E5744">
        <v>0.52900919999999996</v>
      </c>
      <c r="F5744" t="s">
        <v>57</v>
      </c>
      <c r="G5744">
        <v>-224.245</v>
      </c>
      <c r="H5744" s="1">
        <v>-1.1338780000000001E-6</v>
      </c>
      <c r="I5744">
        <v>-61.259430000000002</v>
      </c>
      <c r="J5744">
        <v>-231.22110000000001</v>
      </c>
      <c r="K5744">
        <v>1.113008</v>
      </c>
      <c r="L5744">
        <v>-62.941679999999998</v>
      </c>
      <c r="M5744">
        <v>0.99955159999999998</v>
      </c>
      <c r="N5744">
        <v>-1.4039609999999999E-2</v>
      </c>
      <c r="O5744">
        <v>2.6452E-2</v>
      </c>
      <c r="P5744">
        <v>0.87171520000000002</v>
      </c>
      <c r="Q5744">
        <v>0.40850570000000003</v>
      </c>
      <c r="R5744">
        <v>0.2706211</v>
      </c>
      <c r="S5744">
        <v>3.440842</v>
      </c>
      <c r="T5744">
        <v>-0.53549029999999997</v>
      </c>
      <c r="U5744">
        <v>0.81192019999999998</v>
      </c>
      <c r="V5744">
        <v>-0.24964359999999999</v>
      </c>
      <c r="W5744">
        <v>0.41951179999999899</v>
      </c>
      <c r="X5744">
        <v>0.87274739999999995</v>
      </c>
      <c r="Y5744">
        <v>-0.20156550000000001</v>
      </c>
      <c r="Z5744">
        <v>1.3156849999999999E-2</v>
      </c>
      <c r="AA5744">
        <v>0.97938670000000005</v>
      </c>
      <c r="AB5744">
        <v>36</v>
      </c>
      <c r="AC5744">
        <v>6.9760999999999997</v>
      </c>
      <c r="AD5744">
        <v>-1.1130091338779999</v>
      </c>
      <c r="AE5744">
        <v>1.68225</v>
      </c>
      <c r="AF5744">
        <v>-1.4619426916595399</v>
      </c>
      <c r="AG5744">
        <v>-1.1130091338779999</v>
      </c>
      <c r="AH5744">
        <v>6.85329837607736</v>
      </c>
      <c r="AI5744">
        <v>99.0249726537524</v>
      </c>
      <c r="AJ5744">
        <v>102.041821118632</v>
      </c>
      <c r="AK5744">
        <v>7.0953339877230004</v>
      </c>
      <c r="AL5744">
        <v>65.196232121635305</v>
      </c>
      <c r="AM5744">
        <v>105.96282604398201</v>
      </c>
      <c r="AN5744">
        <v>1.0000000507834701</v>
      </c>
    </row>
    <row r="5745" spans="1:40" x14ac:dyDescent="0.25">
      <c r="A5745" t="str">
        <f>"20190304164522487"</f>
        <v>20190304164522487</v>
      </c>
      <c r="B5745" t="str">
        <f>"1551689122476143"</f>
        <v>1551689122476143</v>
      </c>
      <c r="C5745" t="s">
        <v>40</v>
      </c>
      <c r="D5745">
        <v>5.2561790000000004</v>
      </c>
      <c r="E5745">
        <v>0.52897640000000001</v>
      </c>
      <c r="F5745" t="s">
        <v>57</v>
      </c>
      <c r="G5745">
        <v>-224.0883</v>
      </c>
      <c r="H5745" s="1">
        <v>-1.0643799999999901E-6</v>
      </c>
      <c r="I5745">
        <v>-61.249279999999999</v>
      </c>
      <c r="J5745">
        <v>-231.0164</v>
      </c>
      <c r="K5745">
        <v>1.113013</v>
      </c>
      <c r="L5745">
        <v>-62.935119999999998</v>
      </c>
      <c r="M5745">
        <v>0.99951789999999996</v>
      </c>
      <c r="N5745">
        <v>-1.403831E-2</v>
      </c>
      <c r="O5745">
        <v>2.769431E-2</v>
      </c>
      <c r="P5745">
        <v>0.87139789999999995</v>
      </c>
      <c r="Q5745">
        <v>0.4082943</v>
      </c>
      <c r="R5745">
        <v>0.2719587</v>
      </c>
      <c r="S5745">
        <v>3.4396819999999999</v>
      </c>
      <c r="T5745">
        <v>-0.53672869999999995</v>
      </c>
      <c r="U5745">
        <v>0.81613159999999996</v>
      </c>
      <c r="V5745">
        <v>-0.24989810000000001</v>
      </c>
      <c r="W5745">
        <v>0.41929709999999998</v>
      </c>
      <c r="X5745">
        <v>0.87277769999999999</v>
      </c>
      <c r="Y5745">
        <v>-0.20155960000000001</v>
      </c>
      <c r="Z5745">
        <v>1.301187E-2</v>
      </c>
      <c r="AA5745">
        <v>0.97938979999999998</v>
      </c>
      <c r="AB5745">
        <v>36</v>
      </c>
      <c r="AC5745">
        <v>6.9280999999999997</v>
      </c>
      <c r="AD5745">
        <v>-1.1130140643799999</v>
      </c>
      <c r="AE5745">
        <v>1.68583999999999</v>
      </c>
      <c r="AF5745">
        <v>-1.4577845173188599</v>
      </c>
      <c r="AG5745">
        <v>-1.1130140643799999</v>
      </c>
      <c r="AH5745">
        <v>6.8062904711095502</v>
      </c>
      <c r="AI5745">
        <v>99.084732345237995</v>
      </c>
      <c r="AJ5745">
        <v>102.08907232502899</v>
      </c>
      <c r="AK5745">
        <v>7.0490797969351204</v>
      </c>
      <c r="AL5745">
        <v>65.209781995343803</v>
      </c>
      <c r="AM5745">
        <v>105.977742693617</v>
      </c>
      <c r="AN5745">
        <v>1.0000000160346501</v>
      </c>
    </row>
    <row r="5746" spans="1:40" x14ac:dyDescent="0.25">
      <c r="A5746" t="str">
        <f>"20190304164522500"</f>
        <v>20190304164522500</v>
      </c>
      <c r="B5746" t="str">
        <f>"1551689122496306"</f>
        <v>1551689122496306</v>
      </c>
      <c r="C5746" t="s">
        <v>40</v>
      </c>
      <c r="D5746">
        <v>5.2747529999999996</v>
      </c>
      <c r="E5746">
        <v>0.52891089999999996</v>
      </c>
      <c r="F5746" t="s">
        <v>57</v>
      </c>
      <c r="G5746">
        <v>-223.9093</v>
      </c>
      <c r="H5746" s="1">
        <v>-9.8458099999999997E-7</v>
      </c>
      <c r="I5746">
        <v>-61.235680000000002</v>
      </c>
      <c r="J5746">
        <v>-230.816</v>
      </c>
      <c r="K5746">
        <v>1.113016</v>
      </c>
      <c r="L5746">
        <v>-62.9285</v>
      </c>
      <c r="M5746">
        <v>0.99948349999999997</v>
      </c>
      <c r="N5746">
        <v>-1.403712E-2</v>
      </c>
      <c r="O5746">
        <v>2.891111E-2</v>
      </c>
      <c r="P5746">
        <v>0.87096530000000005</v>
      </c>
      <c r="Q5746">
        <v>0.40853070000000002</v>
      </c>
      <c r="R5746">
        <v>0.2729876</v>
      </c>
      <c r="S5746">
        <v>3.4384459999999999</v>
      </c>
      <c r="T5746">
        <v>-0.53848430000000003</v>
      </c>
      <c r="U5746">
        <v>0.82220459999999995</v>
      </c>
      <c r="V5746">
        <v>-0.24987210000000001</v>
      </c>
      <c r="W5746">
        <v>0.41953049999999997</v>
      </c>
      <c r="X5746">
        <v>0.87267299999999903</v>
      </c>
      <c r="Y5746">
        <v>-0.20207459999999999</v>
      </c>
      <c r="Z5746">
        <v>1.292338E-2</v>
      </c>
      <c r="AA5746">
        <v>0.97928490000000001</v>
      </c>
      <c r="AB5746">
        <v>36</v>
      </c>
      <c r="AC5746">
        <v>6.9066999999999696</v>
      </c>
      <c r="AD5746">
        <v>-1.1130169845810001</v>
      </c>
      <c r="AE5746">
        <v>1.69281999999999</v>
      </c>
      <c r="AF5746">
        <v>-1.4567256842246801</v>
      </c>
      <c r="AG5746">
        <v>-1.1130169845810001</v>
      </c>
      <c r="AH5746">
        <v>6.7865042364716599</v>
      </c>
      <c r="AI5746">
        <v>99.109938876792398</v>
      </c>
      <c r="AJ5746">
        <v>102.114731867034</v>
      </c>
      <c r="AK5746">
        <v>7.0297579103901899</v>
      </c>
      <c r="AL5746">
        <v>65.195051405577303</v>
      </c>
      <c r="AM5746">
        <v>105.97798409539701</v>
      </c>
      <c r="AN5746">
        <v>1.0000000358588199</v>
      </c>
    </row>
    <row r="5747" spans="1:40" x14ac:dyDescent="0.25">
      <c r="A5747" t="str">
        <f>"20190304164522513"</f>
        <v>20190304164522513</v>
      </c>
      <c r="B5747" t="str">
        <f>"1551689122496306"</f>
        <v>1551689122496306</v>
      </c>
      <c r="C5747" t="s">
        <v>40</v>
      </c>
      <c r="D5747">
        <v>5.2747529999999996</v>
      </c>
      <c r="E5747">
        <v>0.52891089999999996</v>
      </c>
      <c r="F5747" t="s">
        <v>57</v>
      </c>
      <c r="G5747">
        <v>-223.7133</v>
      </c>
      <c r="H5747" s="1">
        <v>-8.9684839999999995E-7</v>
      </c>
      <c r="I5747">
        <v>-61.219189999999998</v>
      </c>
      <c r="J5747">
        <v>-230.59479999999999</v>
      </c>
      <c r="K5747">
        <v>1.11302099999999</v>
      </c>
      <c r="L5747">
        <v>-62.920960000000001</v>
      </c>
      <c r="M5747">
        <v>0.99944379999999999</v>
      </c>
      <c r="N5747">
        <v>-1.4035890000000001E-2</v>
      </c>
      <c r="O5747">
        <v>3.025576E-2</v>
      </c>
      <c r="P5747">
        <v>0.87051650000000003</v>
      </c>
      <c r="Q5747">
        <v>0.40866439999999998</v>
      </c>
      <c r="R5747">
        <v>0.27421659999999998</v>
      </c>
      <c r="S5747">
        <v>3.4378199999999999</v>
      </c>
      <c r="T5747">
        <v>-0.53871809999999998</v>
      </c>
      <c r="U5747">
        <v>0.8273315</v>
      </c>
      <c r="V5747">
        <v>-0.2499343</v>
      </c>
      <c r="W5747">
        <v>0.41966019999999998</v>
      </c>
      <c r="X5747">
        <v>0.8725927</v>
      </c>
      <c r="Y5747">
        <v>-0.2021888</v>
      </c>
      <c r="Z5747">
        <v>1.2750279999999999E-2</v>
      </c>
      <c r="AA5747">
        <v>0.97926349999999995</v>
      </c>
      <c r="AB5747">
        <v>36</v>
      </c>
      <c r="AC5747">
        <v>6.8814999999999804</v>
      </c>
      <c r="AD5747">
        <v>-1.11302189684839</v>
      </c>
      <c r="AE5747">
        <v>1.70176999999999</v>
      </c>
      <c r="AF5747">
        <v>-1.45685017106909</v>
      </c>
      <c r="AG5747">
        <v>-1.11302189684839</v>
      </c>
      <c r="AH5747">
        <v>6.7631142356499696</v>
      </c>
      <c r="AI5747">
        <v>99.139548910351607</v>
      </c>
      <c r="AJ5747">
        <v>102.156394252697</v>
      </c>
      <c r="AK5747">
        <v>7.0072065995130499</v>
      </c>
      <c r="AL5747">
        <v>65.186861760295002</v>
      </c>
      <c r="AM5747">
        <v>105.98315395693901</v>
      </c>
      <c r="AN5747">
        <v>0.99999992893690703</v>
      </c>
    </row>
    <row r="5748" spans="1:40" x14ac:dyDescent="0.25">
      <c r="A5748" t="str">
        <f>"20190304164522526"</f>
        <v>20190304164522526</v>
      </c>
      <c r="B5748" t="str">
        <f>"1551689122515825"</f>
        <v>1551689122515825</v>
      </c>
      <c r="C5748" t="s">
        <v>40</v>
      </c>
      <c r="D5748">
        <v>5.2832730000000003</v>
      </c>
      <c r="E5748">
        <v>0.528887199999999</v>
      </c>
      <c r="F5748" t="s">
        <v>57</v>
      </c>
      <c r="G5748">
        <v>-223.4889</v>
      </c>
      <c r="H5748" s="1">
        <v>-7.9602019999999999E-7</v>
      </c>
      <c r="I5748">
        <v>-61.198830000000001</v>
      </c>
      <c r="J5748">
        <v>-230.38570000000001</v>
      </c>
      <c r="K5748">
        <v>1.113024</v>
      </c>
      <c r="L5748">
        <v>-62.913420000000002</v>
      </c>
      <c r="M5748">
        <v>0.99940430000000002</v>
      </c>
      <c r="N5748">
        <v>-1.403486E-2</v>
      </c>
      <c r="O5748">
        <v>3.1530130000000003E-2</v>
      </c>
      <c r="P5748">
        <v>0.87012579999999995</v>
      </c>
      <c r="Q5748">
        <v>0.40896090000000002</v>
      </c>
      <c r="R5748">
        <v>0.2750129</v>
      </c>
      <c r="S5748">
        <v>3.4365839999999999</v>
      </c>
      <c r="T5748">
        <v>-0.53827979999999997</v>
      </c>
      <c r="U5748">
        <v>0.83285520000000002</v>
      </c>
      <c r="V5748">
        <v>-0.2496254</v>
      </c>
      <c r="W5748">
        <v>0.4199563</v>
      </c>
      <c r="X5748">
        <v>0.87253879999999995</v>
      </c>
      <c r="Y5748">
        <v>-0.20251910000000001</v>
      </c>
      <c r="Z5748">
        <v>1.2593470000000001E-2</v>
      </c>
      <c r="AA5748">
        <v>0.97919730000000005</v>
      </c>
      <c r="AB5748">
        <v>36</v>
      </c>
      <c r="AC5748">
        <v>6.8968000000000096</v>
      </c>
      <c r="AD5748">
        <v>-1.1130247960202</v>
      </c>
      <c r="AE5748">
        <v>1.7145899999999801</v>
      </c>
      <c r="AF5748">
        <v>-1.46043672570274</v>
      </c>
      <c r="AG5748">
        <v>-1.1130247960202</v>
      </c>
      <c r="AH5748">
        <v>6.7811069857971704</v>
      </c>
      <c r="AI5748">
        <v>99.115808091597799</v>
      </c>
      <c r="AJ5748">
        <v>102.154058364273</v>
      </c>
      <c r="AK5748">
        <v>7.0253193222204704</v>
      </c>
      <c r="AL5748">
        <v>65.168172658866695</v>
      </c>
      <c r="AM5748">
        <v>105.965343123549</v>
      </c>
      <c r="AN5748">
        <v>1.0000000458701399</v>
      </c>
    </row>
    <row r="5749" spans="1:40" x14ac:dyDescent="0.25">
      <c r="A5749" t="str">
        <f>"20190304164522540"</f>
        <v>20190304164522540</v>
      </c>
      <c r="B5749" t="str">
        <f>"1551689122536322"</f>
        <v>1551689122536322</v>
      </c>
      <c r="C5749" t="s">
        <v>40</v>
      </c>
      <c r="D5749">
        <v>5.2409299999999996</v>
      </c>
      <c r="E5749">
        <v>0.52884880000000001</v>
      </c>
      <c r="F5749" t="s">
        <v>57</v>
      </c>
      <c r="G5749">
        <v>-223.27709999999999</v>
      </c>
      <c r="H5749" s="1">
        <v>-7.0099469999999998E-7</v>
      </c>
      <c r="I5749">
        <v>-61.179989999999997</v>
      </c>
      <c r="J5749">
        <v>-230.16890000000001</v>
      </c>
      <c r="K5749">
        <v>1.1130279999999999</v>
      </c>
      <c r="L5749">
        <v>-62.905430000000003</v>
      </c>
      <c r="M5749">
        <v>0.99936170000000002</v>
      </c>
      <c r="N5749">
        <v>-1.4033800000000001E-2</v>
      </c>
      <c r="O5749">
        <v>3.2854399999999999E-2</v>
      </c>
      <c r="P5749">
        <v>0.86974899999999999</v>
      </c>
      <c r="Q5749">
        <v>0.40922969999999997</v>
      </c>
      <c r="R5749">
        <v>0.27580450000000001</v>
      </c>
      <c r="S5749">
        <v>3.4358369999999998</v>
      </c>
      <c r="T5749">
        <v>-0.53796269999999902</v>
      </c>
      <c r="U5749">
        <v>0.83782959999999995</v>
      </c>
      <c r="V5749">
        <v>-0.24926880000000001</v>
      </c>
      <c r="W5749">
        <v>0.42022409999999999</v>
      </c>
      <c r="X5749">
        <v>0.8725117</v>
      </c>
      <c r="Y5749">
        <v>-0.20262330000000001</v>
      </c>
      <c r="Z5749">
        <v>1.2412060000000001E-2</v>
      </c>
      <c r="AA5749">
        <v>0.97917810000000005</v>
      </c>
      <c r="AB5749">
        <v>36</v>
      </c>
      <c r="AC5749">
        <v>6.8918000000000097</v>
      </c>
      <c r="AD5749">
        <v>-1.1130287009947</v>
      </c>
      <c r="AE5749">
        <v>1.7254399999999901</v>
      </c>
      <c r="AF5749">
        <v>-1.46217259942683</v>
      </c>
      <c r="AG5749">
        <v>-1.1130287009947</v>
      </c>
      <c r="AH5749">
        <v>6.7784037476555801</v>
      </c>
      <c r="AI5749">
        <v>99.118782339125701</v>
      </c>
      <c r="AJ5749">
        <v>102.172782401665</v>
      </c>
      <c r="AK5749">
        <v>7.0230719038027596</v>
      </c>
      <c r="AL5749">
        <v>65.151261948277494</v>
      </c>
      <c r="AM5749">
        <v>105.94416605009501</v>
      </c>
      <c r="AN5749">
        <v>0.999999947755568</v>
      </c>
    </row>
    <row r="5750" spans="1:40" x14ac:dyDescent="0.25">
      <c r="A5750" t="str">
        <f>"20190304164522554"</f>
        <v>20190304164522554</v>
      </c>
      <c r="B5750" t="str">
        <f>"1551689122546081"</f>
        <v>1551689122546081</v>
      </c>
      <c r="C5750" t="s">
        <v>40</v>
      </c>
      <c r="D5750">
        <v>5.2573429999999997</v>
      </c>
      <c r="E5750">
        <v>0.52882369999999901</v>
      </c>
      <c r="F5750" t="s">
        <v>57</v>
      </c>
      <c r="G5750">
        <v>-223.0616</v>
      </c>
      <c r="H5750" s="1">
        <v>-6.0479019999999898E-7</v>
      </c>
      <c r="I5750">
        <v>-61.163220000000003</v>
      </c>
      <c r="J5750">
        <v>-229.93129999999999</v>
      </c>
      <c r="K5750">
        <v>1.1130329999999999</v>
      </c>
      <c r="L5750">
        <v>-62.896360000000001</v>
      </c>
      <c r="M5750">
        <v>0.99931289999999995</v>
      </c>
      <c r="N5750">
        <v>-1.4032620000000001E-2</v>
      </c>
      <c r="O5750">
        <v>3.4308199999999997E-2</v>
      </c>
      <c r="P5750">
        <v>0.86925989999999997</v>
      </c>
      <c r="Q5750">
        <v>0.4096477</v>
      </c>
      <c r="R5750">
        <v>0.27672390000000002</v>
      </c>
      <c r="S5750">
        <v>3.435349</v>
      </c>
      <c r="T5750">
        <v>-0.53798809999999997</v>
      </c>
      <c r="U5750">
        <v>0.84210209999999996</v>
      </c>
      <c r="V5750">
        <v>-0.24893190000000001</v>
      </c>
      <c r="W5750">
        <v>0.42063909999999999</v>
      </c>
      <c r="X5750">
        <v>0.87240799999999996</v>
      </c>
      <c r="Y5750">
        <v>-0.2023973</v>
      </c>
      <c r="Z5750">
        <v>1.219107E-2</v>
      </c>
      <c r="AA5750">
        <v>0.97922759999999998</v>
      </c>
      <c r="AB5750">
        <v>36</v>
      </c>
      <c r="AC5750">
        <v>6.8696999999999901</v>
      </c>
      <c r="AD5750">
        <v>-1.1130336047902001</v>
      </c>
      <c r="AE5750">
        <v>1.7331399999999899</v>
      </c>
      <c r="AF5750">
        <v>-1.46036761265059</v>
      </c>
      <c r="AG5750">
        <v>-1.1130336047902001</v>
      </c>
      <c r="AH5750">
        <v>6.7583272176693701</v>
      </c>
      <c r="AI5750">
        <v>99.144760326339906</v>
      </c>
      <c r="AJ5750">
        <v>102.193241425205</v>
      </c>
      <c r="AK5750">
        <v>7.0033209372812397</v>
      </c>
      <c r="AL5750">
        <v>65.125057702946705</v>
      </c>
      <c r="AM5750">
        <v>105.925506786412</v>
      </c>
      <c r="AN5750">
        <v>1.0000000308752</v>
      </c>
    </row>
    <row r="5751" spans="1:40" x14ac:dyDescent="0.25">
      <c r="A5751" t="str">
        <f>"20190304164522565"</f>
        <v>20190304164522565</v>
      </c>
      <c r="B5751" t="str">
        <f>"1551689122555842"</f>
        <v>1551689122555842</v>
      </c>
      <c r="C5751" t="s">
        <v>40</v>
      </c>
      <c r="D5751">
        <v>5.2596259999999999</v>
      </c>
      <c r="E5751">
        <v>0.52880360000000004</v>
      </c>
      <c r="F5751" t="s">
        <v>57</v>
      </c>
      <c r="G5751">
        <v>-222.8151</v>
      </c>
      <c r="H5751" s="1">
        <v>-4.9372859999999896E-7</v>
      </c>
      <c r="I5751">
        <v>-61.139229999999998</v>
      </c>
      <c r="J5751">
        <v>-229.74539999999999</v>
      </c>
      <c r="K5751">
        <v>1.113038</v>
      </c>
      <c r="L5751">
        <v>-62.888950000000001</v>
      </c>
      <c r="M5751">
        <v>0.99927299999999997</v>
      </c>
      <c r="N5751">
        <v>-1.4031750000000001E-2</v>
      </c>
      <c r="O5751">
        <v>3.5451110000000001E-2</v>
      </c>
      <c r="P5751">
        <v>0.86898120000000001</v>
      </c>
      <c r="Q5751">
        <v>0.4098253</v>
      </c>
      <c r="R5751">
        <v>0.27733580000000002</v>
      </c>
      <c r="S5751">
        <v>3.4343720000000002</v>
      </c>
      <c r="T5751">
        <v>-0.53716739999999996</v>
      </c>
      <c r="U5751">
        <v>0.84802250000000001</v>
      </c>
      <c r="V5751">
        <v>-0.2485541</v>
      </c>
      <c r="W5751">
        <v>0.42081590000000002</v>
      </c>
      <c r="X5751">
        <v>0.87243040000000005</v>
      </c>
      <c r="Y5751">
        <v>-0.20294419999999999</v>
      </c>
      <c r="Z5751">
        <v>1.206336E-2</v>
      </c>
      <c r="AA5751">
        <v>0.97911599999999999</v>
      </c>
      <c r="AB5751">
        <v>36</v>
      </c>
      <c r="AC5751">
        <v>6.9302999999999804</v>
      </c>
      <c r="AD5751">
        <v>-1.1130384937286</v>
      </c>
      <c r="AE5751">
        <v>1.74971999999999</v>
      </c>
      <c r="AF5751">
        <v>-1.467328849801</v>
      </c>
      <c r="AG5751">
        <v>-1.1130384937286</v>
      </c>
      <c r="AH5751">
        <v>6.8225440260301902</v>
      </c>
      <c r="AI5751">
        <v>99.06201974231</v>
      </c>
      <c r="AJ5751">
        <v>102.137748180549</v>
      </c>
      <c r="AK5751">
        <v>7.0667542499438998</v>
      </c>
      <c r="AL5751">
        <v>65.113890151834397</v>
      </c>
      <c r="AM5751">
        <v>105.902172397149</v>
      </c>
      <c r="AN5751">
        <v>0.99999998258189005</v>
      </c>
    </row>
    <row r="5752" spans="1:40" x14ac:dyDescent="0.25">
      <c r="A5752" t="str">
        <f>"20190304164522577"</f>
        <v>20190304164522577</v>
      </c>
      <c r="B5752" t="str">
        <f>"1551689122565602"</f>
        <v>1551689122565602</v>
      </c>
      <c r="C5752" t="s">
        <v>40</v>
      </c>
      <c r="D5752">
        <v>5.2547360000000003</v>
      </c>
      <c r="E5752">
        <v>0.52876389999999995</v>
      </c>
      <c r="F5752" t="s">
        <v>57</v>
      </c>
      <c r="G5752">
        <v>-222.63</v>
      </c>
      <c r="H5752" s="1">
        <v>-4.1111069999999998E-7</v>
      </c>
      <c r="I5752">
        <v>-61.124870000000001</v>
      </c>
      <c r="J5752">
        <v>-229.56639999999999</v>
      </c>
      <c r="K5752">
        <v>1.113038</v>
      </c>
      <c r="L5752">
        <v>-62.881680000000003</v>
      </c>
      <c r="M5752">
        <v>0.99923320000000004</v>
      </c>
      <c r="N5752">
        <v>-1.403093E-2</v>
      </c>
      <c r="O5752">
        <v>3.655398E-2</v>
      </c>
      <c r="P5752">
        <v>0.86862890000000004</v>
      </c>
      <c r="Q5752">
        <v>0.4099082</v>
      </c>
      <c r="R5752">
        <v>0.2783156</v>
      </c>
      <c r="S5752">
        <v>3.433945</v>
      </c>
      <c r="T5752">
        <v>-0.53715599999999997</v>
      </c>
      <c r="U5752">
        <v>0.85134889999999996</v>
      </c>
      <c r="V5752">
        <v>-0.24858150000000001</v>
      </c>
      <c r="W5752">
        <v>0.42089470000000001</v>
      </c>
      <c r="X5752">
        <v>0.87238459999999995</v>
      </c>
      <c r="Y5752">
        <v>-0.2027986</v>
      </c>
      <c r="Z5752">
        <v>1.189774E-2</v>
      </c>
      <c r="AA5752">
        <v>0.97914820000000002</v>
      </c>
      <c r="AB5752">
        <v>36</v>
      </c>
      <c r="AC5752">
        <v>6.9363999999999901</v>
      </c>
      <c r="AD5752">
        <v>-1.1130384111106999</v>
      </c>
      <c r="AE5752">
        <v>1.75681</v>
      </c>
      <c r="AF5752">
        <v>-1.4665719649397</v>
      </c>
      <c r="AG5752">
        <v>-1.1130384111106999</v>
      </c>
      <c r="AH5752">
        <v>6.8307097271116897</v>
      </c>
      <c r="AI5752">
        <v>99.052038135699405</v>
      </c>
      <c r="AJ5752">
        <v>102.117598901508</v>
      </c>
      <c r="AK5752">
        <v>7.07448112648646</v>
      </c>
      <c r="AL5752">
        <v>65.108913481376703</v>
      </c>
      <c r="AM5752">
        <v>105.904629465921</v>
      </c>
      <c r="AN5752">
        <v>1.0000000004737499</v>
      </c>
    </row>
    <row r="5753" spans="1:40" x14ac:dyDescent="0.25">
      <c r="A5753" t="str">
        <f>"20190304164522589"</f>
        <v>20190304164522589</v>
      </c>
      <c r="B5753" t="str">
        <f>"1551689122576338"</f>
        <v>1551689122576338</v>
      </c>
      <c r="C5753" t="s">
        <v>40</v>
      </c>
      <c r="D5753">
        <v>5.2321619999999998</v>
      </c>
      <c r="E5753">
        <v>0.5287423</v>
      </c>
      <c r="F5753" t="s">
        <v>57</v>
      </c>
      <c r="G5753">
        <v>-222.45500000000001</v>
      </c>
      <c r="H5753" s="1">
        <v>-3.3257940000000002E-7</v>
      </c>
      <c r="I5753">
        <v>-61.109250000000003</v>
      </c>
      <c r="J5753">
        <v>-229.37479999999999</v>
      </c>
      <c r="K5753">
        <v>1.1130439999999999</v>
      </c>
      <c r="L5753">
        <v>-62.873600000000003</v>
      </c>
      <c r="M5753">
        <v>0.99918929999999995</v>
      </c>
      <c r="N5753">
        <v>-1.40301E-2</v>
      </c>
      <c r="O5753">
        <v>3.7738279999999999E-2</v>
      </c>
      <c r="P5753">
        <v>0.86837009999999903</v>
      </c>
      <c r="Q5753">
        <v>0.40975980000000001</v>
      </c>
      <c r="R5753">
        <v>0.27933980000000003</v>
      </c>
      <c r="S5753">
        <v>3.4331670000000001</v>
      </c>
      <c r="T5753">
        <v>-0.53734309999999996</v>
      </c>
      <c r="U5753">
        <v>0.85568239999999995</v>
      </c>
      <c r="V5753">
        <v>-0.24857879999999999</v>
      </c>
      <c r="W5753">
        <v>0.42074279999999997</v>
      </c>
      <c r="X5753">
        <v>0.87245859999999997</v>
      </c>
      <c r="Y5753">
        <v>-0.2028634</v>
      </c>
      <c r="Z5753">
        <v>1.174267E-2</v>
      </c>
      <c r="AA5753">
        <v>0.97913660000000002</v>
      </c>
      <c r="AB5753">
        <v>36</v>
      </c>
      <c r="AC5753">
        <v>6.91979999999998</v>
      </c>
      <c r="AD5753">
        <v>-1.1130443325793999</v>
      </c>
      <c r="AE5753">
        <v>1.7643500000000001</v>
      </c>
      <c r="AF5753">
        <v>-1.46630473558456</v>
      </c>
      <c r="AG5753">
        <v>-1.1130443325793999</v>
      </c>
      <c r="AH5753">
        <v>6.8158805614004896</v>
      </c>
      <c r="AI5753">
        <v>99.070668647742195</v>
      </c>
      <c r="AJ5753">
        <v>102.14103429222099</v>
      </c>
      <c r="AK5753">
        <v>7.0601094248716798</v>
      </c>
      <c r="AL5753">
        <v>65.118506659656404</v>
      </c>
      <c r="AM5753">
        <v>105.903184700274</v>
      </c>
      <c r="AN5753">
        <v>0.99999996613761899</v>
      </c>
    </row>
    <row r="5754" spans="1:40" x14ac:dyDescent="0.25">
      <c r="A5754" t="str">
        <f>"20190304164522599"</f>
        <v>20190304164522599</v>
      </c>
      <c r="B5754" t="str">
        <f>"1551689122595628"</f>
        <v>1551689122595628</v>
      </c>
      <c r="C5754" t="s">
        <v>40</v>
      </c>
      <c r="D5754">
        <v>5.2547100000000002</v>
      </c>
      <c r="E5754">
        <v>0.52870379999999995</v>
      </c>
      <c r="F5754" t="s">
        <v>57</v>
      </c>
      <c r="G5754">
        <v>-222.28309999999999</v>
      </c>
      <c r="H5754" s="1">
        <v>-2.560347E-7</v>
      </c>
      <c r="I5754">
        <v>-61.09666</v>
      </c>
      <c r="J5754">
        <v>-229.21600000000001</v>
      </c>
      <c r="K5754">
        <v>1.1130500000000001</v>
      </c>
      <c r="L5754">
        <v>-62.866729999999997</v>
      </c>
      <c r="M5754">
        <v>0.99915149999999997</v>
      </c>
      <c r="N5754">
        <v>-1.4029410000000001E-2</v>
      </c>
      <c r="O5754">
        <v>3.8725000000000002E-2</v>
      </c>
      <c r="P5754">
        <v>0.86821919999999897</v>
      </c>
      <c r="Q5754">
        <v>0.4095994</v>
      </c>
      <c r="R5754">
        <v>0.28004240000000002</v>
      </c>
      <c r="S5754">
        <v>3.432312</v>
      </c>
      <c r="T5754">
        <v>-0.53869880000000003</v>
      </c>
      <c r="U5754">
        <v>0.86001589999999895</v>
      </c>
      <c r="V5754">
        <v>-0.2484237</v>
      </c>
      <c r="W5754">
        <v>0.4205815</v>
      </c>
      <c r="X5754">
        <v>0.87258060000000004</v>
      </c>
      <c r="Y5754">
        <v>-0.2031134</v>
      </c>
      <c r="Z5754">
        <v>1.1651450000000001E-2</v>
      </c>
      <c r="AA5754">
        <v>0.97908589999999995</v>
      </c>
      <c r="AB5754">
        <v>36</v>
      </c>
      <c r="AC5754">
        <v>6.9328999999999796</v>
      </c>
      <c r="AD5754">
        <v>-1.1130502560347</v>
      </c>
      <c r="AE5754">
        <v>1.77007</v>
      </c>
      <c r="AF5754">
        <v>-1.46479438182415</v>
      </c>
      <c r="AG5754">
        <v>-1.1130502560347</v>
      </c>
      <c r="AH5754">
        <v>6.8309577545027897</v>
      </c>
      <c r="AI5754">
        <v>99.052299057720305</v>
      </c>
      <c r="AJ5754">
        <v>102.10291835846201</v>
      </c>
      <c r="AK5754">
        <v>7.0743541964821297</v>
      </c>
      <c r="AL5754">
        <v>65.128695026845804</v>
      </c>
      <c r="AM5754">
        <v>105.891653404397</v>
      </c>
      <c r="AN5754">
        <v>1.0000000181801401</v>
      </c>
    </row>
    <row r="5755" spans="1:40" x14ac:dyDescent="0.25">
      <c r="A5755" t="str">
        <f>"20190304164522608"</f>
        <v>20190304164522608</v>
      </c>
      <c r="B5755" t="str">
        <f>"1551689122595628"</f>
        <v>1551689122595628</v>
      </c>
      <c r="C5755" t="s">
        <v>40</v>
      </c>
      <c r="D5755">
        <v>5.2547100000000002</v>
      </c>
      <c r="E5755">
        <v>0.52870379999999995</v>
      </c>
      <c r="F5755" t="s">
        <v>57</v>
      </c>
      <c r="G5755">
        <v>-222.1439</v>
      </c>
      <c r="H5755" s="1">
        <v>-1.943735E-7</v>
      </c>
      <c r="I5755">
        <v>-61.087890000000002</v>
      </c>
      <c r="J5755">
        <v>-229.05199999999999</v>
      </c>
      <c r="K5755">
        <v>1.1130519999999999</v>
      </c>
      <c r="L5755">
        <v>-62.859499999999997</v>
      </c>
      <c r="M5755">
        <v>0.99911119999999998</v>
      </c>
      <c r="N5755">
        <v>-1.402871E-2</v>
      </c>
      <c r="O5755">
        <v>3.9747600000000001E-2</v>
      </c>
      <c r="P5755">
        <v>0.86785879999999904</v>
      </c>
      <c r="Q5755">
        <v>0.40973809999999999</v>
      </c>
      <c r="R5755">
        <v>0.28095520000000002</v>
      </c>
      <c r="S5755">
        <v>3.4317470000000001</v>
      </c>
      <c r="T5755">
        <v>-0.54011339999999997</v>
      </c>
      <c r="U5755">
        <v>0.86318969999999995</v>
      </c>
      <c r="V5755">
        <v>-0.24845800000000001</v>
      </c>
      <c r="W5755">
        <v>0.42071429999999999</v>
      </c>
      <c r="X5755">
        <v>0.87250680000000003</v>
      </c>
      <c r="Y5755">
        <v>-0.20300209999999999</v>
      </c>
      <c r="Z5755">
        <v>1.1524700000000001E-2</v>
      </c>
      <c r="AA5755">
        <v>0.97911049999999999</v>
      </c>
      <c r="AB5755">
        <v>36</v>
      </c>
      <c r="AC5755">
        <v>6.9081000000000099</v>
      </c>
      <c r="AD5755">
        <v>-1.1130521943734999</v>
      </c>
      <c r="AE5755">
        <v>1.7716099999999899</v>
      </c>
      <c r="AF5755">
        <v>-1.4600379139291499</v>
      </c>
      <c r="AG5755">
        <v>-1.1130521943734999</v>
      </c>
      <c r="AH5755">
        <v>6.8072494751821502</v>
      </c>
      <c r="AI5755">
        <v>99.083229155890393</v>
      </c>
      <c r="AJ5755">
        <v>102.105552955264</v>
      </c>
      <c r="AK5755">
        <v>7.0504780912274203</v>
      </c>
      <c r="AL5755">
        <v>65.120307765772296</v>
      </c>
      <c r="AM5755">
        <v>105.89501317440801</v>
      </c>
      <c r="AN5755">
        <v>1.0000000080173601</v>
      </c>
    </row>
    <row r="5756" spans="1:40" x14ac:dyDescent="0.25">
      <c r="A5756" t="str">
        <f>"20190304164522621"</f>
        <v>20190304164522621</v>
      </c>
      <c r="B5756" t="str">
        <f>"1551689122616124"</f>
        <v>1551689122616124</v>
      </c>
      <c r="C5756" t="s">
        <v>40</v>
      </c>
      <c r="D5756">
        <v>5.2553640000000001</v>
      </c>
      <c r="E5756">
        <v>0.52866449999999998</v>
      </c>
      <c r="F5756" t="s">
        <v>57</v>
      </c>
      <c r="G5756">
        <v>-221.97470000000001</v>
      </c>
      <c r="H5756" s="1">
        <v>-1.1804399999999999E-7</v>
      </c>
      <c r="I5756">
        <v>-61.070999999999998</v>
      </c>
      <c r="J5756">
        <v>-228.8597</v>
      </c>
      <c r="K5756">
        <v>1.113062</v>
      </c>
      <c r="L5756">
        <v>-62.850769999999997</v>
      </c>
      <c r="M5756">
        <v>0.99906249999999996</v>
      </c>
      <c r="N5756">
        <v>-1.4027970000000001E-2</v>
      </c>
      <c r="O5756">
        <v>4.095584E-2</v>
      </c>
      <c r="P5756">
        <v>0.86748189999999903</v>
      </c>
      <c r="Q5756">
        <v>0.4097422</v>
      </c>
      <c r="R5756">
        <v>0.2821109</v>
      </c>
      <c r="S5756">
        <v>3.430847</v>
      </c>
      <c r="T5756">
        <v>-0.53957259999999996</v>
      </c>
      <c r="U5756">
        <v>0.86700440000000001</v>
      </c>
      <c r="V5756">
        <v>-0.2485753</v>
      </c>
      <c r="W5756">
        <v>0.42071170000000002</v>
      </c>
      <c r="X5756">
        <v>0.87247469999999905</v>
      </c>
      <c r="Y5756">
        <v>-0.2029193</v>
      </c>
      <c r="Z5756">
        <v>1.134073E-2</v>
      </c>
      <c r="AA5756">
        <v>0.97912980000000005</v>
      </c>
      <c r="AB5756">
        <v>36</v>
      </c>
      <c r="AC5756">
        <v>6.88499999999999</v>
      </c>
      <c r="AD5756">
        <v>-1.1130621180439999</v>
      </c>
      <c r="AE5756">
        <v>1.7797699999999901</v>
      </c>
      <c r="AF5756">
        <v>-1.4604879843696099</v>
      </c>
      <c r="AG5756">
        <v>-1.1130621180439999</v>
      </c>
      <c r="AH5756">
        <v>6.7858775974166603</v>
      </c>
      <c r="AI5756">
        <v>99.110072447145896</v>
      </c>
      <c r="AJ5756">
        <v>102.146181220432</v>
      </c>
      <c r="AK5756">
        <v>7.0299407677614196</v>
      </c>
      <c r="AL5756">
        <v>65.120473308134905</v>
      </c>
      <c r="AM5756">
        <v>105.902693486676</v>
      </c>
      <c r="AN5756">
        <v>1.00000005821353</v>
      </c>
    </row>
    <row r="5757" spans="1:40" x14ac:dyDescent="0.25">
      <c r="A5757" t="str">
        <f>"20190304164522632"</f>
        <v>20190304164522632</v>
      </c>
      <c r="B5757" t="str">
        <f>"1551689122625884"</f>
        <v>1551689122625884</v>
      </c>
      <c r="C5757" t="s">
        <v>40</v>
      </c>
      <c r="D5757">
        <v>5.2593899999999998</v>
      </c>
      <c r="E5757">
        <v>0.52863499999999997</v>
      </c>
      <c r="F5757" t="s">
        <v>57</v>
      </c>
      <c r="G5757">
        <v>-221.79589999999999</v>
      </c>
      <c r="H5757" s="1">
        <v>-3.77386299999999E-8</v>
      </c>
      <c r="I5757">
        <v>-61.054940000000002</v>
      </c>
      <c r="J5757">
        <v>-228.67080000000001</v>
      </c>
      <c r="K5757">
        <v>1.113073</v>
      </c>
      <c r="L5757">
        <v>-62.842010000000002</v>
      </c>
      <c r="M5757">
        <v>0.99901309999999999</v>
      </c>
      <c r="N5757">
        <v>-1.4027299999999999E-2</v>
      </c>
      <c r="O5757">
        <v>4.2147690000000002E-2</v>
      </c>
      <c r="P5757">
        <v>0.86719820000000003</v>
      </c>
      <c r="Q5757">
        <v>0.4097153</v>
      </c>
      <c r="R5757">
        <v>0.28302119999999997</v>
      </c>
      <c r="S5757">
        <v>3.4299930000000001</v>
      </c>
      <c r="T5757">
        <v>-0.54047299999999998</v>
      </c>
      <c r="U5757">
        <v>0.87200929999999999</v>
      </c>
      <c r="V5757">
        <v>-0.24845880000000001</v>
      </c>
      <c r="W5757">
        <v>0.42067919999999998</v>
      </c>
      <c r="X5757">
        <v>0.87252350000000001</v>
      </c>
      <c r="Y5757">
        <v>-0.2031538</v>
      </c>
      <c r="Z5757">
        <v>1.120984E-2</v>
      </c>
      <c r="AA5757">
        <v>0.97908260000000003</v>
      </c>
      <c r="AB5757">
        <v>36</v>
      </c>
      <c r="AC5757">
        <v>6.8749000000000198</v>
      </c>
      <c r="AD5757">
        <v>-1.11307303773863</v>
      </c>
      <c r="AE5757">
        <v>1.7870699999999899</v>
      </c>
      <c r="AF5757">
        <v>-1.45984729532569</v>
      </c>
      <c r="AG5757">
        <v>-1.11307303773863</v>
      </c>
      <c r="AH5757">
        <v>6.7776998010052196</v>
      </c>
      <c r="AI5757">
        <v>99.120662997259004</v>
      </c>
      <c r="AJ5757">
        <v>102.155224701043</v>
      </c>
      <c r="AK5757">
        <v>7.0219157147858704</v>
      </c>
      <c r="AL5757">
        <v>65.122524651548105</v>
      </c>
      <c r="AM5757">
        <v>105.89477290923099</v>
      </c>
      <c r="AN5757">
        <v>1.00000001133116</v>
      </c>
    </row>
    <row r="5758" spans="1:40" x14ac:dyDescent="0.25">
      <c r="A5758" t="str">
        <f>"20190304164522643"</f>
        <v>20190304164522643</v>
      </c>
      <c r="B5758" t="str">
        <f>"1551689122635645"</f>
        <v>1551689122635645</v>
      </c>
      <c r="C5758" t="s">
        <v>40</v>
      </c>
      <c r="D5758">
        <v>5.3941679999999996</v>
      </c>
      <c r="E5758">
        <v>0.52863499999999997</v>
      </c>
      <c r="F5758" t="s">
        <v>57</v>
      </c>
      <c r="G5758">
        <v>-221.61580000000001</v>
      </c>
      <c r="H5758" s="1">
        <v>4.2969760000000003E-8</v>
      </c>
      <c r="I5758">
        <v>-61.03933</v>
      </c>
      <c r="J5758">
        <v>-228.4966</v>
      </c>
      <c r="K5758">
        <v>1.1130799999999901</v>
      </c>
      <c r="L5758">
        <v>-62.833649999999999</v>
      </c>
      <c r="M5758">
        <v>0.9989654</v>
      </c>
      <c r="N5758">
        <v>-1.402671E-2</v>
      </c>
      <c r="O5758">
        <v>4.3261359999999999E-2</v>
      </c>
      <c r="P5758">
        <v>0.86684950000000005</v>
      </c>
      <c r="Q5758">
        <v>0.4096668</v>
      </c>
      <c r="R5758">
        <v>0.28415689999999999</v>
      </c>
      <c r="S5758">
        <v>3.4290620000000001</v>
      </c>
      <c r="T5758">
        <v>-0.54100760000000003</v>
      </c>
      <c r="U5758">
        <v>0.87619020000000003</v>
      </c>
      <c r="V5758">
        <v>-0.24864040000000001</v>
      </c>
      <c r="W5758">
        <v>0.4206222</v>
      </c>
      <c r="X5758">
        <v>0.87249929999999998</v>
      </c>
      <c r="Y5758">
        <v>-0.2032525</v>
      </c>
      <c r="Z5758">
        <v>1.107229E-2</v>
      </c>
      <c r="AA5758">
        <v>0.97906369999999998</v>
      </c>
      <c r="AB5758">
        <v>36</v>
      </c>
      <c r="AC5758">
        <v>6.88079999999999</v>
      </c>
      <c r="AD5758">
        <v>-1.1130799570302401</v>
      </c>
      <c r="AE5758">
        <v>1.7943199999999899</v>
      </c>
      <c r="AF5758">
        <v>-1.4591847322254099</v>
      </c>
      <c r="AG5758">
        <v>-1.1130799570302401</v>
      </c>
      <c r="AH5758">
        <v>6.7857249015831798</v>
      </c>
      <c r="AI5758">
        <v>99.110762392853601</v>
      </c>
      <c r="AJ5758">
        <v>102.13592908438601</v>
      </c>
      <c r="AK5758">
        <v>7.0295255539380701</v>
      </c>
      <c r="AL5758">
        <v>65.126125683263894</v>
      </c>
      <c r="AM5758">
        <v>105.906221787413</v>
      </c>
      <c r="AN5758">
        <v>1.00000005607274</v>
      </c>
    </row>
    <row r="5759" spans="1:40" x14ac:dyDescent="0.25">
      <c r="A5759" t="str">
        <f>"20190304164522664"</f>
        <v>20190304164522664</v>
      </c>
      <c r="B5759" t="str">
        <f>"1551689122656140"</f>
        <v>1551689122656140</v>
      </c>
      <c r="C5759" t="s">
        <v>40</v>
      </c>
      <c r="D5759">
        <v>5.4925449999999998</v>
      </c>
      <c r="E5759">
        <v>0.50856880000000004</v>
      </c>
      <c r="F5759" t="s">
        <v>57</v>
      </c>
      <c r="G5759">
        <v>-221.44759999999999</v>
      </c>
      <c r="H5759" s="1">
        <v>1.190611E-7</v>
      </c>
      <c r="I5759">
        <v>-61.02178</v>
      </c>
      <c r="J5759">
        <v>-228.1584</v>
      </c>
      <c r="K5759">
        <v>1.1131</v>
      </c>
      <c r="L5759">
        <v>-62.816929999999999</v>
      </c>
      <c r="M5759">
        <v>0.99886830000000004</v>
      </c>
      <c r="N5759">
        <v>-1.4025549999999999E-2</v>
      </c>
      <c r="O5759">
        <v>4.5443839999999999E-2</v>
      </c>
      <c r="P5759">
        <v>0.86617819999999901</v>
      </c>
      <c r="Q5759">
        <v>0.40967989999999999</v>
      </c>
      <c r="R5759">
        <v>0.28617779999999998</v>
      </c>
      <c r="S5759">
        <v>3.4277799999999998</v>
      </c>
      <c r="T5759">
        <v>-0.54126750000000001</v>
      </c>
      <c r="U5759">
        <v>0.881073</v>
      </c>
      <c r="V5759">
        <v>-0.24879509999999999</v>
      </c>
      <c r="W5759">
        <v>0.4206182</v>
      </c>
      <c r="X5759">
        <v>0.87245699999999904</v>
      </c>
      <c r="Y5759">
        <v>-0.20253840000000001</v>
      </c>
      <c r="Z5759">
        <v>1.071217E-2</v>
      </c>
      <c r="AA5759">
        <v>0.97921570000000002</v>
      </c>
      <c r="AB5759">
        <v>36</v>
      </c>
      <c r="AC5759">
        <v>6.7107999999999999</v>
      </c>
      <c r="AD5759">
        <v>-1.1130998809389001</v>
      </c>
      <c r="AE5759">
        <v>1.79514999999999</v>
      </c>
      <c r="AF5759">
        <v>-1.4510454267174699</v>
      </c>
      <c r="AG5759">
        <v>-1.1130998809389001</v>
      </c>
      <c r="AH5759">
        <v>6.6155990969187997</v>
      </c>
      <c r="AI5759">
        <v>99.332959001551899</v>
      </c>
      <c r="AJ5759">
        <v>102.371178165107</v>
      </c>
      <c r="AK5759">
        <v>6.8637217008337901</v>
      </c>
      <c r="AL5759">
        <v>65.126375333495901</v>
      </c>
      <c r="AM5759">
        <v>105.916349789639</v>
      </c>
      <c r="AN5759">
        <v>0.99999994440212303</v>
      </c>
    </row>
    <row r="5760" spans="1:40" x14ac:dyDescent="0.25">
      <c r="A5760" t="str">
        <f>"20190304164522675"</f>
        <v>20190304164522675</v>
      </c>
      <c r="B5760" t="str">
        <f>"1551689122665900"</f>
        <v>1551689122665900</v>
      </c>
      <c r="C5760" t="s">
        <v>40</v>
      </c>
      <c r="D5760">
        <v>5.2778510000000001</v>
      </c>
      <c r="E5760">
        <v>0.50856880000000004</v>
      </c>
      <c r="F5760" t="s">
        <v>57</v>
      </c>
      <c r="G5760">
        <v>-220.63390000000001</v>
      </c>
      <c r="H5760" s="1">
        <v>5.8460180000000005E-7</v>
      </c>
      <c r="I5760">
        <v>-60.498019999999997</v>
      </c>
      <c r="J5760">
        <v>-227.97569999999999</v>
      </c>
      <c r="K5760">
        <v>1.1131230000000001</v>
      </c>
      <c r="L5760">
        <v>-62.807619999999901</v>
      </c>
      <c r="M5760">
        <v>0.99881350000000002</v>
      </c>
      <c r="N5760">
        <v>-1.402494E-2</v>
      </c>
      <c r="O5760">
        <v>4.6636280000000002E-2</v>
      </c>
      <c r="P5760">
        <v>0.86591090000000004</v>
      </c>
      <c r="Q5760">
        <v>0.40948459999999998</v>
      </c>
      <c r="R5760">
        <v>0.28726439999999998</v>
      </c>
      <c r="S5760">
        <v>3.3565670000000001</v>
      </c>
      <c r="T5760">
        <v>-0.49653459999999999</v>
      </c>
      <c r="U5760">
        <v>1.034424</v>
      </c>
      <c r="V5760">
        <v>-0.24885889999999999</v>
      </c>
      <c r="W5760">
        <v>0.42041400000000001</v>
      </c>
      <c r="X5760">
        <v>0.87253729999999996</v>
      </c>
      <c r="Y5760">
        <v>-0.2472935</v>
      </c>
      <c r="Z5760">
        <v>1.351167E-2</v>
      </c>
      <c r="AA5760">
        <v>0.9688464</v>
      </c>
      <c r="AB5760">
        <v>36</v>
      </c>
      <c r="AC5760">
        <v>7.3417999999999699</v>
      </c>
      <c r="AD5760">
        <v>-1.11312241539819</v>
      </c>
      <c r="AE5760">
        <v>2.3095999999999899</v>
      </c>
      <c r="AF5760">
        <v>-1.9244059261550499</v>
      </c>
      <c r="AG5760">
        <v>-1.11312241539819</v>
      </c>
      <c r="AH5760">
        <v>7.2890668785823696</v>
      </c>
      <c r="AI5760">
        <v>98.399152568903204</v>
      </c>
      <c r="AJ5760">
        <v>104.78935564660701</v>
      </c>
      <c r="AK5760">
        <v>7.6205561241112303</v>
      </c>
      <c r="AL5760">
        <v>65.139272514607399</v>
      </c>
      <c r="AM5760">
        <v>105.9188335796</v>
      </c>
      <c r="AN5760">
        <v>1.0000000116982499</v>
      </c>
    </row>
    <row r="5761" spans="1:40" x14ac:dyDescent="0.25">
      <c r="A5761" t="str">
        <f>"20190304164522687"</f>
        <v>20190304164522687</v>
      </c>
      <c r="B5761" t="str">
        <f>"1551689122675660"</f>
        <v>1551689122675660</v>
      </c>
      <c r="C5761" t="s">
        <v>40</v>
      </c>
      <c r="D5761">
        <v>5.2517800000000001</v>
      </c>
      <c r="E5761">
        <v>0.42570390000000002</v>
      </c>
      <c r="F5761" t="s">
        <v>57</v>
      </c>
      <c r="G5761">
        <v>-220.46449999999999</v>
      </c>
      <c r="H5761" s="1">
        <v>6.603508E-7</v>
      </c>
      <c r="I5761">
        <v>-60.484059999999999</v>
      </c>
      <c r="J5761">
        <v>-227.78210000000001</v>
      </c>
      <c r="K5761">
        <v>1.1131409999999999</v>
      </c>
      <c r="L5761">
        <v>-62.797420000000002</v>
      </c>
      <c r="M5761">
        <v>0.99875270000000005</v>
      </c>
      <c r="N5761">
        <v>-1.4024470000000001E-2</v>
      </c>
      <c r="O5761">
        <v>4.7919900000000001E-2</v>
      </c>
      <c r="P5761">
        <v>0.86574439999999997</v>
      </c>
      <c r="Q5761">
        <v>0.40917979999999998</v>
      </c>
      <c r="R5761">
        <v>0.28819889999999998</v>
      </c>
      <c r="S5761">
        <v>3.355362</v>
      </c>
      <c r="T5761">
        <v>-0.49724649999999998</v>
      </c>
      <c r="U5761">
        <v>1.0379640000000001</v>
      </c>
      <c r="V5761">
        <v>-0.24868850000000001</v>
      </c>
      <c r="W5761">
        <v>0.42010160000000002</v>
      </c>
      <c r="X5761">
        <v>0.87273630000000002</v>
      </c>
      <c r="Y5761">
        <v>-0.24708620000000001</v>
      </c>
      <c r="Z5761">
        <v>1.3346709999999999E-2</v>
      </c>
      <c r="AA5761">
        <v>0.96890160000000003</v>
      </c>
      <c r="AB5761">
        <v>36</v>
      </c>
      <c r="AC5761">
        <v>7.3176000000000201</v>
      </c>
      <c r="AD5761">
        <v>-1.1131403396491999</v>
      </c>
      <c r="AE5761">
        <v>2.3133599999999901</v>
      </c>
      <c r="AF5761">
        <v>-1.9196247234984001</v>
      </c>
      <c r="AG5761">
        <v>-1.1131403396491999</v>
      </c>
      <c r="AH5761">
        <v>7.2671759520911801</v>
      </c>
      <c r="AI5761">
        <v>98.423942964178593</v>
      </c>
      <c r="AJ5761">
        <v>104.796713160678</v>
      </c>
      <c r="AK5761">
        <v>7.5984134405461896</v>
      </c>
      <c r="AL5761">
        <v>65.158997563717506</v>
      </c>
      <c r="AM5761">
        <v>105.905041448104</v>
      </c>
      <c r="AN5761">
        <v>0.99999998684625002</v>
      </c>
    </row>
    <row r="5762" spans="1:40" x14ac:dyDescent="0.25">
      <c r="A5762" t="str">
        <f>"20190304164522699"</f>
        <v>20190304164522699</v>
      </c>
      <c r="B5762" t="str">
        <f>"1551689122695772"</f>
        <v>1551689122695772</v>
      </c>
      <c r="C5762" t="s">
        <v>40</v>
      </c>
      <c r="D5762">
        <v>5.1908159999999999</v>
      </c>
      <c r="E5762">
        <v>0.42428690000000002</v>
      </c>
      <c r="F5762" t="s">
        <v>58</v>
      </c>
      <c r="G5762">
        <v>-216.4896</v>
      </c>
      <c r="H5762" s="1">
        <v>-2.3987489999999999E-6</v>
      </c>
      <c r="I5762">
        <v>-56.743609999999997</v>
      </c>
      <c r="J5762">
        <v>-227.60890000000001</v>
      </c>
      <c r="K5762">
        <v>1.1131599999999999</v>
      </c>
      <c r="L5762">
        <v>-62.788089999999997</v>
      </c>
      <c r="M5762">
        <v>0.99869649999999999</v>
      </c>
      <c r="N5762">
        <v>-1.402408E-2</v>
      </c>
      <c r="O5762">
        <v>4.9077910000000002E-2</v>
      </c>
      <c r="P5762">
        <v>0.86557659999999903</v>
      </c>
      <c r="Q5762">
        <v>0.40879710000000002</v>
      </c>
      <c r="R5762">
        <v>0.2892441</v>
      </c>
      <c r="S5762">
        <v>3.0615079999999999</v>
      </c>
      <c r="T5762">
        <v>-0.30178440000000001</v>
      </c>
      <c r="U5762">
        <v>1.64123499999999</v>
      </c>
      <c r="V5762">
        <v>-0.24873690000000001</v>
      </c>
      <c r="W5762">
        <v>0.41971000000000003</v>
      </c>
      <c r="X5762">
        <v>0.87291090000000005</v>
      </c>
      <c r="Y5762">
        <v>-0.42690630000000002</v>
      </c>
      <c r="Z5762">
        <v>1.900137E-2</v>
      </c>
      <c r="AA5762">
        <v>0.90409620000000002</v>
      </c>
      <c r="AB5762">
        <v>36</v>
      </c>
      <c r="AC5762">
        <v>11.119300000000001</v>
      </c>
      <c r="AD5762">
        <v>-1.113162398749</v>
      </c>
      <c r="AE5762">
        <v>6.0444800000000001</v>
      </c>
      <c r="AF5762">
        <v>-5.4492727574271598</v>
      </c>
      <c r="AG5762">
        <v>-1.113162398749</v>
      </c>
      <c r="AH5762">
        <v>11.315043116844899</v>
      </c>
      <c r="AI5762">
        <v>95.065213350210399</v>
      </c>
      <c r="AJ5762">
        <v>115.715252401284</v>
      </c>
      <c r="AK5762">
        <v>12.608088865759299</v>
      </c>
      <c r="AL5762">
        <v>65.183719653272306</v>
      </c>
      <c r="AM5762">
        <v>105.90495932634001</v>
      </c>
      <c r="AN5762">
        <v>0.99999998443020999</v>
      </c>
    </row>
    <row r="5763" spans="1:40" x14ac:dyDescent="0.25">
      <c r="A5763" t="str">
        <f>"20190304164522711"</f>
        <v>20190304164522711</v>
      </c>
      <c r="B5763" t="str">
        <f>"1551689122705534"</f>
        <v>1551689122705534</v>
      </c>
      <c r="C5763" t="s">
        <v>40</v>
      </c>
      <c r="D5763">
        <v>5.1913830000000001</v>
      </c>
      <c r="E5763">
        <v>0.42390290000000003</v>
      </c>
      <c r="F5763" t="s">
        <v>41</v>
      </c>
      <c r="G5763">
        <v>-226.66390000000001</v>
      </c>
      <c r="H5763">
        <v>1.022653</v>
      </c>
      <c r="I5763">
        <v>-62.276029999999999</v>
      </c>
      <c r="J5763">
        <v>-227.41120000000001</v>
      </c>
      <c r="K5763">
        <v>1.1131770000000001</v>
      </c>
      <c r="L5763">
        <v>-62.7772199999999</v>
      </c>
      <c r="M5763">
        <v>0.99863020000000002</v>
      </c>
      <c r="N5763">
        <v>-1.402371E-2</v>
      </c>
      <c r="O5763">
        <v>5.0412489999999997E-2</v>
      </c>
      <c r="P5763">
        <v>0.86528930000000004</v>
      </c>
      <c r="Q5763">
        <v>0.40875630000000002</v>
      </c>
      <c r="R5763">
        <v>0.29016039999999998</v>
      </c>
      <c r="S5763">
        <v>3.0513150000000002</v>
      </c>
      <c r="T5763">
        <v>-0.2922614</v>
      </c>
      <c r="U5763">
        <v>1.6536869999999999</v>
      </c>
      <c r="V5763">
        <v>-0.2485127</v>
      </c>
      <c r="W5763">
        <v>0.41965940000000002</v>
      </c>
      <c r="X5763">
        <v>0.87299910000000003</v>
      </c>
      <c r="Y5763">
        <v>-0.42989359999999999</v>
      </c>
      <c r="Z5763">
        <v>1.861202E-2</v>
      </c>
      <c r="AA5763">
        <v>0.90268769999999998</v>
      </c>
      <c r="AB5763">
        <v>36</v>
      </c>
      <c r="AC5763">
        <v>0.74729999999999497</v>
      </c>
      <c r="AD5763">
        <v>-9.0523999999999993E-2</v>
      </c>
      <c r="AE5763">
        <v>0.50118999999998604</v>
      </c>
      <c r="AF5763">
        <v>-0.45823774718995802</v>
      </c>
      <c r="AG5763">
        <v>-9.0523999999999993E-2</v>
      </c>
      <c r="AH5763">
        <v>0.76388689276578503</v>
      </c>
      <c r="AI5763">
        <v>95.802607286084196</v>
      </c>
      <c r="AJ5763">
        <v>120.95855061453901</v>
      </c>
      <c r="AK5763">
        <v>0.895376799155023</v>
      </c>
      <c r="AL5763">
        <v>65.1869141767271</v>
      </c>
      <c r="AM5763">
        <v>105.889823161359</v>
      </c>
      <c r="AN5763">
        <v>1.0000000013352299</v>
      </c>
    </row>
    <row r="5764" spans="1:40" x14ac:dyDescent="0.25">
      <c r="A5764" t="str">
        <f>"20190304164522723"</f>
        <v>20190304164522723</v>
      </c>
      <c r="B5764" t="str">
        <f>"1551689122716268"</f>
        <v>1551689122716268</v>
      </c>
      <c r="C5764" t="s">
        <v>40</v>
      </c>
      <c r="D5764">
        <v>5.1968139999999998</v>
      </c>
      <c r="E5764">
        <v>0.42382690000000001</v>
      </c>
      <c r="F5764" t="s">
        <v>58</v>
      </c>
      <c r="G5764">
        <v>-215.8192</v>
      </c>
      <c r="H5764" s="1">
        <v>-2.1601919999999999E-6</v>
      </c>
      <c r="I5764">
        <v>-56.467019999999998</v>
      </c>
      <c r="J5764">
        <v>-227.22139999999999</v>
      </c>
      <c r="K5764">
        <v>1.113199</v>
      </c>
      <c r="L5764">
        <v>-62.766449999999999</v>
      </c>
      <c r="M5764">
        <v>0.9985636</v>
      </c>
      <c r="N5764">
        <v>-1.402335E-2</v>
      </c>
      <c r="O5764">
        <v>5.1713170000000003E-2</v>
      </c>
      <c r="P5764">
        <v>0.86492839999999904</v>
      </c>
      <c r="Q5764">
        <v>0.4087906</v>
      </c>
      <c r="R5764">
        <v>0.2911861</v>
      </c>
      <c r="S5764">
        <v>3.0488279999999999</v>
      </c>
      <c r="T5764">
        <v>-0.2927785</v>
      </c>
      <c r="U5764">
        <v>1.65963699999999</v>
      </c>
      <c r="V5764">
        <v>-0.2484325</v>
      </c>
      <c r="W5764">
        <v>0.41968149999999999</v>
      </c>
      <c r="X5764">
        <v>0.87301139999999999</v>
      </c>
      <c r="Y5764">
        <v>-0.43038300000000002</v>
      </c>
      <c r="Z5764">
        <v>1.8570320000000001E-2</v>
      </c>
      <c r="AA5764">
        <v>0.90245529999999996</v>
      </c>
      <c r="AB5764">
        <v>36</v>
      </c>
      <c r="AC5764">
        <v>11.402199999999899</v>
      </c>
      <c r="AD5764">
        <v>-1.113201160192</v>
      </c>
      <c r="AE5764">
        <v>6.2994300000000001</v>
      </c>
      <c r="AF5764">
        <v>-5.6599647083691096</v>
      </c>
      <c r="AG5764">
        <v>-1.113201160192</v>
      </c>
      <c r="AH5764">
        <v>11.627821633797</v>
      </c>
      <c r="AI5764">
        <v>94.919886637493605</v>
      </c>
      <c r="AJ5764">
        <v>115.954991103683</v>
      </c>
      <c r="AK5764">
        <v>12.980009756176401</v>
      </c>
      <c r="AL5764">
        <v>65.185521402499106</v>
      </c>
      <c r="AM5764">
        <v>105.88474148735899</v>
      </c>
      <c r="AN5764">
        <v>1.00000008651422</v>
      </c>
    </row>
    <row r="5765" spans="1:40" x14ac:dyDescent="0.25">
      <c r="A5765" t="str">
        <f>"20190304164522733"</f>
        <v>20190304164522733</v>
      </c>
      <c r="B5765" t="str">
        <f>"1551689122726029"</f>
        <v>1551689122726029</v>
      </c>
      <c r="C5765" t="s">
        <v>40</v>
      </c>
      <c r="D5765">
        <v>5.1920789999999997</v>
      </c>
      <c r="E5765">
        <v>0.42387269999999999</v>
      </c>
      <c r="F5765" t="s">
        <v>41</v>
      </c>
      <c r="G5765">
        <v>-226.33680000000001</v>
      </c>
      <c r="H5765">
        <v>1.0283329999999999</v>
      </c>
      <c r="I5765">
        <v>-62.2834199999999</v>
      </c>
      <c r="J5765">
        <v>-227.0377</v>
      </c>
      <c r="K5765">
        <v>1.113219</v>
      </c>
      <c r="L5765">
        <v>-62.755920000000003</v>
      </c>
      <c r="M5765">
        <v>0.99849719999999997</v>
      </c>
      <c r="N5765">
        <v>-1.4022959999999999E-2</v>
      </c>
      <c r="O5765">
        <v>5.2979640000000001E-2</v>
      </c>
      <c r="P5765">
        <v>0.86458880000000005</v>
      </c>
      <c r="Q5765">
        <v>0.40879559999999998</v>
      </c>
      <c r="R5765">
        <v>0.292186</v>
      </c>
      <c r="S5765">
        <v>3.0465849999999999</v>
      </c>
      <c r="T5765">
        <v>-0.29228130000000002</v>
      </c>
      <c r="U5765">
        <v>1.663605</v>
      </c>
      <c r="V5765">
        <v>-0.24835470000000001</v>
      </c>
      <c r="W5765">
        <v>0.41967490000000002</v>
      </c>
      <c r="X5765">
        <v>0.87303660000000005</v>
      </c>
      <c r="Y5765">
        <v>-0.43043130000000002</v>
      </c>
      <c r="Z5765">
        <v>1.8458160000000001E-2</v>
      </c>
      <c r="AA5765">
        <v>0.90243459999999998</v>
      </c>
      <c r="AB5765">
        <v>36</v>
      </c>
      <c r="AC5765">
        <v>0.70089999999998998</v>
      </c>
      <c r="AD5765">
        <v>-8.4886000000000003E-2</v>
      </c>
      <c r="AE5765">
        <v>0.47250000000000297</v>
      </c>
      <c r="AF5765">
        <v>-0.43035919950766999</v>
      </c>
      <c r="AG5765">
        <v>-8.4886000000000003E-2</v>
      </c>
      <c r="AH5765">
        <v>0.71771293487550702</v>
      </c>
      <c r="AI5765">
        <v>95.791982838595999</v>
      </c>
      <c r="AJ5765">
        <v>120.947989561339</v>
      </c>
      <c r="AK5765">
        <v>0.84114596265124897</v>
      </c>
      <c r="AL5765">
        <v>65.185935511065395</v>
      </c>
      <c r="AM5765">
        <v>105.87958260976799</v>
      </c>
      <c r="AN5765">
        <v>0.99999999182082999</v>
      </c>
    </row>
    <row r="5766" spans="1:40" x14ac:dyDescent="0.25">
      <c r="A5766" t="str">
        <f>"20190304164522743"</f>
        <v>20190304164522743</v>
      </c>
      <c r="B5766" t="str">
        <f>"1551689122735789"</f>
        <v>1551689122735789</v>
      </c>
      <c r="C5766" t="s">
        <v>40</v>
      </c>
      <c r="D5766">
        <v>5.1842680000000003</v>
      </c>
      <c r="E5766">
        <v>0.42392289999999999</v>
      </c>
      <c r="F5766" t="s">
        <v>41</v>
      </c>
      <c r="G5766">
        <v>-226.03290000000001</v>
      </c>
      <c r="H5766">
        <v>1.0169410000000001</v>
      </c>
      <c r="I5766">
        <v>-62.206240000000001</v>
      </c>
      <c r="J5766">
        <v>-226.87780000000001</v>
      </c>
      <c r="K5766">
        <v>1.113245</v>
      </c>
      <c r="L5766">
        <v>-62.746369999999999</v>
      </c>
      <c r="M5766">
        <v>0.99843669999999995</v>
      </c>
      <c r="N5766">
        <v>-1.4022700000000001E-2</v>
      </c>
      <c r="O5766">
        <v>5.4105729999999998E-2</v>
      </c>
      <c r="P5766">
        <v>0.86418969999999995</v>
      </c>
      <c r="Q5766">
        <v>0.40904889999999999</v>
      </c>
      <c r="R5766">
        <v>0.2930104</v>
      </c>
      <c r="S5766">
        <v>3.0447389999999999</v>
      </c>
      <c r="T5766">
        <v>-0.29175820000000002</v>
      </c>
      <c r="U5766">
        <v>1.6661379999999999</v>
      </c>
      <c r="V5766">
        <v>-0.2482297</v>
      </c>
      <c r="W5766">
        <v>0.41991600000000001</v>
      </c>
      <c r="X5766">
        <v>0.87295619999999996</v>
      </c>
      <c r="Y5766">
        <v>-0.43023050000000002</v>
      </c>
      <c r="Z5766">
        <v>1.8342259999999999E-2</v>
      </c>
      <c r="AA5766">
        <v>0.90253269999999997</v>
      </c>
      <c r="AB5766">
        <v>36</v>
      </c>
      <c r="AC5766">
        <v>0.84489999999999499</v>
      </c>
      <c r="AD5766">
        <v>-9.6303999999999904E-2</v>
      </c>
      <c r="AE5766">
        <v>0.540129999999997</v>
      </c>
      <c r="AF5766">
        <v>-0.48910926075506</v>
      </c>
      <c r="AG5766">
        <v>-9.6303999999999904E-2</v>
      </c>
      <c r="AH5766">
        <v>0.86491220841324901</v>
      </c>
      <c r="AI5766">
        <v>95.535894304300101</v>
      </c>
      <c r="AJ5766">
        <v>119.488229938152</v>
      </c>
      <c r="AK5766">
        <v>0.99828626036555601</v>
      </c>
      <c r="AL5766">
        <v>65.170715111960604</v>
      </c>
      <c r="AM5766">
        <v>105.873381136801</v>
      </c>
      <c r="AN5766">
        <v>0.99999997906826399</v>
      </c>
    </row>
    <row r="5767" spans="1:40" x14ac:dyDescent="0.25">
      <c r="A5767" t="str">
        <f>"20190304164522755"</f>
        <v>20190304164522755</v>
      </c>
      <c r="B5767" t="str">
        <f>"1551689122745548"</f>
        <v>1551689122745548</v>
      </c>
      <c r="C5767" t="s">
        <v>40</v>
      </c>
      <c r="D5767">
        <v>5.1800360000000003</v>
      </c>
      <c r="E5767">
        <v>0.423987</v>
      </c>
      <c r="F5767" t="s">
        <v>41</v>
      </c>
      <c r="G5767">
        <v>-226.0136</v>
      </c>
      <c r="H5767">
        <v>1.0306230000000001</v>
      </c>
      <c r="I5767">
        <v>-62.272750000000002</v>
      </c>
      <c r="J5767">
        <v>-226.71019999999999</v>
      </c>
      <c r="K5767">
        <v>1.1132660000000001</v>
      </c>
      <c r="L5767">
        <v>-62.736330000000002</v>
      </c>
      <c r="M5767">
        <v>0.99837200000000004</v>
      </c>
      <c r="N5767">
        <v>-1.4022400000000001E-2</v>
      </c>
      <c r="O5767">
        <v>5.5287849999999999E-2</v>
      </c>
      <c r="P5767">
        <v>0.86365800000000004</v>
      </c>
      <c r="Q5767">
        <v>0.40922989999999998</v>
      </c>
      <c r="R5767">
        <v>0.29432239999999998</v>
      </c>
      <c r="S5767">
        <v>3.043472</v>
      </c>
      <c r="T5767">
        <v>-0.29099170000000002</v>
      </c>
      <c r="U5767">
        <v>1.6685179999999999</v>
      </c>
      <c r="V5767">
        <v>-0.2485501</v>
      </c>
      <c r="W5767">
        <v>0.42008050000000002</v>
      </c>
      <c r="X5767">
        <v>0.8727859</v>
      </c>
      <c r="Y5767">
        <v>-0.42987570000000003</v>
      </c>
      <c r="Z5767">
        <v>1.8200230000000001E-2</v>
      </c>
      <c r="AA5767">
        <v>0.90270459999999997</v>
      </c>
      <c r="AB5767">
        <v>36</v>
      </c>
      <c r="AC5767">
        <v>0.69659999999998901</v>
      </c>
      <c r="AD5767">
        <v>-8.2642999999999994E-2</v>
      </c>
      <c r="AE5767">
        <v>0.46357999999999999</v>
      </c>
      <c r="AF5767">
        <v>-0.42025401958549102</v>
      </c>
      <c r="AG5767">
        <v>-8.2642999999999994E-2</v>
      </c>
      <c r="AH5767">
        <v>0.71420032703823</v>
      </c>
      <c r="AI5767">
        <v>95.695251790884797</v>
      </c>
      <c r="AJ5767">
        <v>120.473660665542</v>
      </c>
      <c r="AK5767">
        <v>0.83278173224938001</v>
      </c>
      <c r="AL5767">
        <v>65.160330184050693</v>
      </c>
      <c r="AM5767">
        <v>105.895779649324</v>
      </c>
      <c r="AN5767">
        <v>1.00000000296453</v>
      </c>
    </row>
    <row r="5768" spans="1:40" x14ac:dyDescent="0.25">
      <c r="A5768" t="str">
        <f>"20190304164522765"</f>
        <v>20190304164522765</v>
      </c>
      <c r="B5768" t="str">
        <f>"1551689122756284"</f>
        <v>1551689122756284</v>
      </c>
      <c r="C5768" t="s">
        <v>40</v>
      </c>
      <c r="D5768">
        <v>5.1888670000000001</v>
      </c>
      <c r="E5768">
        <v>0.42391459999999997</v>
      </c>
      <c r="F5768" t="s">
        <v>41</v>
      </c>
      <c r="G5768">
        <v>-225.71299999999999</v>
      </c>
      <c r="H5768">
        <v>1.0181770000000001</v>
      </c>
      <c r="I5768">
        <v>-62.188279999999999</v>
      </c>
      <c r="J5768">
        <v>-226.5412</v>
      </c>
      <c r="K5768">
        <v>1.1132899999999999</v>
      </c>
      <c r="L5768">
        <v>-62.725830000000002</v>
      </c>
      <c r="M5768">
        <v>0.99830410000000003</v>
      </c>
      <c r="N5768">
        <v>-1.4022160000000001E-2</v>
      </c>
      <c r="O5768">
        <v>5.6501330000000002E-2</v>
      </c>
      <c r="P5768">
        <v>0.86327489999999996</v>
      </c>
      <c r="Q5768">
        <v>0.40920119999999999</v>
      </c>
      <c r="R5768">
        <v>0.29548449999999998</v>
      </c>
      <c r="S5768">
        <v>3.0413670000000002</v>
      </c>
      <c r="T5768">
        <v>-0.29003040000000002</v>
      </c>
      <c r="U5768">
        <v>1.6715390000000001</v>
      </c>
      <c r="V5768">
        <v>-0.2486854</v>
      </c>
      <c r="W5768">
        <v>0.4200372</v>
      </c>
      <c r="X5768">
        <v>0.87276819999999899</v>
      </c>
      <c r="Y5768">
        <v>-0.42974410000000002</v>
      </c>
      <c r="Z5768">
        <v>1.8061520000000001E-2</v>
      </c>
      <c r="AA5768">
        <v>0.90276999999999996</v>
      </c>
      <c r="AB5768">
        <v>36</v>
      </c>
      <c r="AC5768">
        <v>0.82820000000000904</v>
      </c>
      <c r="AD5768">
        <v>-9.5112999999999698E-2</v>
      </c>
      <c r="AE5768">
        <v>0.53754999999999598</v>
      </c>
      <c r="AF5768">
        <v>-0.48538788689672802</v>
      </c>
      <c r="AG5768">
        <v>-9.5112999999999698E-2</v>
      </c>
      <c r="AH5768">
        <v>0.84937014311083703</v>
      </c>
      <c r="AI5768">
        <v>95.553114927393196</v>
      </c>
      <c r="AJ5768">
        <v>119.746585798022</v>
      </c>
      <c r="AK5768">
        <v>0.98289242723870596</v>
      </c>
      <c r="AL5768">
        <v>65.163064009511501</v>
      </c>
      <c r="AM5768">
        <v>105.904301291891</v>
      </c>
      <c r="AN5768">
        <v>1.0000000042441199</v>
      </c>
    </row>
    <row r="5769" spans="1:40" x14ac:dyDescent="0.25">
      <c r="A5769" t="str">
        <f>"20190304164522776"</f>
        <v>20190304164522776</v>
      </c>
      <c r="B5769" t="str">
        <f>"1551689122766044"</f>
        <v>1551689122766044</v>
      </c>
      <c r="C5769" t="s">
        <v>40</v>
      </c>
      <c r="D5769">
        <v>5.1661760000000001</v>
      </c>
      <c r="E5769">
        <v>0.42375239999999997</v>
      </c>
      <c r="F5769" t="s">
        <v>41</v>
      </c>
      <c r="G5769">
        <v>-225.6808</v>
      </c>
      <c r="H5769">
        <v>1.03121</v>
      </c>
      <c r="I5769">
        <v>-62.251339999999999</v>
      </c>
      <c r="J5769">
        <v>-226.36070000000001</v>
      </c>
      <c r="K5769">
        <v>1.1133120000000001</v>
      </c>
      <c r="L5769">
        <v>-62.714509999999997</v>
      </c>
      <c r="M5769">
        <v>0.99822960000000005</v>
      </c>
      <c r="N5769">
        <v>-1.402188E-2</v>
      </c>
      <c r="O5769">
        <v>5.7803090000000001E-2</v>
      </c>
      <c r="P5769">
        <v>0.86269149999999994</v>
      </c>
      <c r="Q5769">
        <v>0.40934500000000001</v>
      </c>
      <c r="R5769">
        <v>0.2969852</v>
      </c>
      <c r="S5769">
        <v>3.0389249999999999</v>
      </c>
      <c r="T5769">
        <v>-0.2899272</v>
      </c>
      <c r="U5769">
        <v>1.6759949999999999</v>
      </c>
      <c r="V5769">
        <v>-0.2490956</v>
      </c>
      <c r="W5769">
        <v>0.4201627</v>
      </c>
      <c r="X5769">
        <v>0.8725908</v>
      </c>
      <c r="Y5769">
        <v>-0.4298923</v>
      </c>
      <c r="Z5769">
        <v>1.7972769999999999E-2</v>
      </c>
      <c r="AA5769">
        <v>0.90270130000000004</v>
      </c>
      <c r="AB5769">
        <v>36</v>
      </c>
      <c r="AC5769">
        <v>0.67990000000000295</v>
      </c>
      <c r="AD5769">
        <v>-8.2102000000000105E-2</v>
      </c>
      <c r="AE5769">
        <v>0.46316999999999803</v>
      </c>
      <c r="AF5769">
        <v>-0.41891887358152002</v>
      </c>
      <c r="AG5769">
        <v>-8.2102000000000105E-2</v>
      </c>
      <c r="AH5769">
        <v>0.69858050939032401</v>
      </c>
      <c r="AI5769">
        <v>95.755580093503397</v>
      </c>
      <c r="AJ5769">
        <v>120.94991818327399</v>
      </c>
      <c r="AK5769">
        <v>0.818687052021012</v>
      </c>
      <c r="AL5769">
        <v>65.155140375822796</v>
      </c>
      <c r="AM5769">
        <v>105.932279060347</v>
      </c>
      <c r="AN5769">
        <v>1.0000000083276399</v>
      </c>
    </row>
    <row r="5770" spans="1:40" x14ac:dyDescent="0.25">
      <c r="A5770" t="str">
        <f>"20190304164522787"</f>
        <v>20190304164522787</v>
      </c>
      <c r="B5770" t="str">
        <f>"1551689122775804"</f>
        <v>1551689122775804</v>
      </c>
      <c r="C5770" t="s">
        <v>40</v>
      </c>
      <c r="D5770">
        <v>5.1778490000000001</v>
      </c>
      <c r="E5770">
        <v>0.42363669999999998</v>
      </c>
      <c r="F5770" t="s">
        <v>41</v>
      </c>
      <c r="G5770">
        <v>-225.3912</v>
      </c>
      <c r="H5770">
        <v>1.0208429999999999</v>
      </c>
      <c r="I5770">
        <v>-62.177610000000001</v>
      </c>
      <c r="J5770">
        <v>-226.18549999999999</v>
      </c>
      <c r="K5770">
        <v>1.1133309999999901</v>
      </c>
      <c r="L5770">
        <v>-62.703189999999999</v>
      </c>
      <c r="M5770">
        <v>0.99815449999999994</v>
      </c>
      <c r="N5770">
        <v>-1.402166E-2</v>
      </c>
      <c r="O5770">
        <v>5.9086560000000003E-2</v>
      </c>
      <c r="P5770">
        <v>0.86214029999999997</v>
      </c>
      <c r="Q5770">
        <v>0.40931119999999999</v>
      </c>
      <c r="R5770">
        <v>0.2986278</v>
      </c>
      <c r="S5770">
        <v>3.0359039999999999</v>
      </c>
      <c r="T5770">
        <v>-0.2895683</v>
      </c>
      <c r="U5770">
        <v>1.6817930000000001</v>
      </c>
      <c r="V5770">
        <v>-0.24966070000000001</v>
      </c>
      <c r="W5770">
        <v>0.42010989999999998</v>
      </c>
      <c r="X5770">
        <v>0.87245469999999903</v>
      </c>
      <c r="Y5770">
        <v>-0.43043609999999999</v>
      </c>
      <c r="Z5770">
        <v>1.7894940000000002E-2</v>
      </c>
      <c r="AA5770">
        <v>0.90244360000000001</v>
      </c>
      <c r="AB5770">
        <v>36</v>
      </c>
      <c r="AC5770">
        <v>0.79429999999999201</v>
      </c>
      <c r="AD5770">
        <v>-9.2487999999999904E-2</v>
      </c>
      <c r="AE5770">
        <v>0.52558000000000504</v>
      </c>
      <c r="AF5770">
        <v>-0.47326182689174401</v>
      </c>
      <c r="AG5770">
        <v>-9.2487999999999904E-2</v>
      </c>
      <c r="AH5770">
        <v>0.81627261719121802</v>
      </c>
      <c r="AI5770">
        <v>95.598350437881393</v>
      </c>
      <c r="AJ5770">
        <v>120.104472916597</v>
      </c>
      <c r="AK5770">
        <v>0.94806738817085801</v>
      </c>
      <c r="AL5770">
        <v>65.158473827706104</v>
      </c>
      <c r="AM5770">
        <v>105.968946431345</v>
      </c>
      <c r="AN5770">
        <v>0.99999999837729403</v>
      </c>
    </row>
    <row r="5771" spans="1:40" x14ac:dyDescent="0.25">
      <c r="A5771" t="str">
        <f>"20190304164522799"</f>
        <v>20190304164522799</v>
      </c>
      <c r="B5771" t="str">
        <f>"1551689122796023"</f>
        <v>1551689122796023</v>
      </c>
      <c r="C5771" t="s">
        <v>40</v>
      </c>
      <c r="D5771">
        <v>5.2018060000000004</v>
      </c>
      <c r="E5771">
        <v>0.42342679999999999</v>
      </c>
      <c r="F5771" t="s">
        <v>41</v>
      </c>
      <c r="G5771">
        <v>-225.30410000000001</v>
      </c>
      <c r="H5771">
        <v>1.0289600000000001</v>
      </c>
      <c r="I5771">
        <v>-62.212940000000003</v>
      </c>
      <c r="J5771">
        <v>-225.99809999999999</v>
      </c>
      <c r="K5771">
        <v>1.113353</v>
      </c>
      <c r="L5771">
        <v>-62.690890000000003</v>
      </c>
      <c r="M5771">
        <v>0.99807159999999995</v>
      </c>
      <c r="N5771">
        <v>-1.402145E-2</v>
      </c>
      <c r="O5771">
        <v>6.0470349999999999E-2</v>
      </c>
      <c r="P5771">
        <v>0.86150349999999998</v>
      </c>
      <c r="Q5771">
        <v>0.40939530000000002</v>
      </c>
      <c r="R5771">
        <v>0.30034499999999997</v>
      </c>
      <c r="S5771">
        <v>3.0329739999999998</v>
      </c>
      <c r="T5771">
        <v>-0.2903559</v>
      </c>
      <c r="U5771">
        <v>1.6877139999999999</v>
      </c>
      <c r="V5771">
        <v>-0.25022039999999901</v>
      </c>
      <c r="W5771">
        <v>0.42017349999999998</v>
      </c>
      <c r="X5771">
        <v>0.87226369999999898</v>
      </c>
      <c r="Y5771">
        <v>-0.43089450000000001</v>
      </c>
      <c r="Z5771">
        <v>1.785929E-2</v>
      </c>
      <c r="AA5771">
        <v>0.90222559999999996</v>
      </c>
      <c r="AB5771">
        <v>36</v>
      </c>
      <c r="AC5771">
        <v>0.69399999999998796</v>
      </c>
      <c r="AD5771">
        <v>-8.4392999999999899E-2</v>
      </c>
      <c r="AE5771">
        <v>0.47794999999999899</v>
      </c>
      <c r="AF5771">
        <v>-0.430783776753488</v>
      </c>
      <c r="AG5771">
        <v>-8.4392999999999899E-2</v>
      </c>
      <c r="AH5771">
        <v>0.71446809842848003</v>
      </c>
      <c r="AI5771">
        <v>95.776135854346293</v>
      </c>
      <c r="AJ5771">
        <v>121.08759595031199</v>
      </c>
      <c r="AK5771">
        <v>0.83854725831941501</v>
      </c>
      <c r="AL5771">
        <v>65.154457995594896</v>
      </c>
      <c r="AM5771">
        <v>106.006239863462</v>
      </c>
      <c r="AN5771">
        <v>0.999999990508049</v>
      </c>
    </row>
    <row r="5772" spans="1:40" x14ac:dyDescent="0.25">
      <c r="A5772" t="str">
        <f>"20190304164522810"</f>
        <v>20190304164522810</v>
      </c>
      <c r="B5772" t="str">
        <f>"1551689122805782"</f>
        <v>1551689122805782</v>
      </c>
      <c r="C5772" t="s">
        <v>40</v>
      </c>
      <c r="D5772">
        <v>5.2012580000000002</v>
      </c>
      <c r="E5772">
        <v>0.4233362</v>
      </c>
      <c r="F5772" t="s">
        <v>41</v>
      </c>
      <c r="G5772">
        <v>-225.0684</v>
      </c>
      <c r="H5772">
        <v>1.023763</v>
      </c>
      <c r="I5772">
        <v>-62.1708</v>
      </c>
      <c r="J5772">
        <v>-225.81319999999999</v>
      </c>
      <c r="K5772">
        <v>1.11338</v>
      </c>
      <c r="L5772">
        <v>-62.6785</v>
      </c>
      <c r="M5772">
        <v>0.99798690000000001</v>
      </c>
      <c r="N5772">
        <v>-1.4021260000000001E-2</v>
      </c>
      <c r="O5772">
        <v>6.1849840000000003E-2</v>
      </c>
      <c r="P5772">
        <v>0.86080109999999999</v>
      </c>
      <c r="Q5772">
        <v>0.40942299999999998</v>
      </c>
      <c r="R5772">
        <v>0.302315</v>
      </c>
      <c r="S5772">
        <v>3.0301209999999998</v>
      </c>
      <c r="T5772">
        <v>-0.29200979999999999</v>
      </c>
      <c r="U5772">
        <v>1.695038</v>
      </c>
      <c r="V5772">
        <v>-0.25103979999999998</v>
      </c>
      <c r="W5772">
        <v>0.42017870000000002</v>
      </c>
      <c r="X5772">
        <v>0.87202570000000001</v>
      </c>
      <c r="Y5772">
        <v>-0.43165530000000002</v>
      </c>
      <c r="Z5772">
        <v>1.787855E-2</v>
      </c>
      <c r="AA5772">
        <v>0.90186140000000004</v>
      </c>
      <c r="AB5772">
        <v>36</v>
      </c>
      <c r="AC5772">
        <v>0.74479999999999702</v>
      </c>
      <c r="AD5772">
        <v>-8.9617000000000002E-2</v>
      </c>
      <c r="AE5772">
        <v>0.50769999999999904</v>
      </c>
      <c r="AF5772">
        <v>-0.45614860146437602</v>
      </c>
      <c r="AG5772">
        <v>-8.9617000000000002E-2</v>
      </c>
      <c r="AH5772">
        <v>0.76719451795153404</v>
      </c>
      <c r="AI5772">
        <v>95.733551969602203</v>
      </c>
      <c r="AJ5772">
        <v>120.734322830495</v>
      </c>
      <c r="AK5772">
        <v>0.89704525063220397</v>
      </c>
      <c r="AL5772">
        <v>65.154129158544293</v>
      </c>
      <c r="AM5772">
        <v>106.060114634276</v>
      </c>
      <c r="AN5772">
        <v>0.999999971289109</v>
      </c>
    </row>
    <row r="5773" spans="1:40" x14ac:dyDescent="0.25">
      <c r="A5773" t="str">
        <f>"20190304164522822"</f>
        <v>20190304164522822</v>
      </c>
      <c r="B5773" t="str">
        <f>"1551689122815544"</f>
        <v>1551689122815544</v>
      </c>
      <c r="C5773" t="s">
        <v>40</v>
      </c>
      <c r="D5773">
        <v>5.1915909999999998</v>
      </c>
      <c r="E5773">
        <v>0.42321209999999998</v>
      </c>
      <c r="F5773" t="s">
        <v>58</v>
      </c>
      <c r="G5773">
        <v>-214.31049999999999</v>
      </c>
      <c r="H5773" s="1">
        <v>-1.5585100000000001E-6</v>
      </c>
      <c r="I5773">
        <v>-56.210349999999998</v>
      </c>
      <c r="J5773">
        <v>-225.63069999999999</v>
      </c>
      <c r="K5773">
        <v>1.113405</v>
      </c>
      <c r="L5773">
        <v>-62.6659199999999</v>
      </c>
      <c r="M5773">
        <v>0.99790069999999997</v>
      </c>
      <c r="N5773">
        <v>-1.402108E-2</v>
      </c>
      <c r="O5773">
        <v>6.3228300000000001E-2</v>
      </c>
      <c r="P5773">
        <v>0.86014120000000005</v>
      </c>
      <c r="Q5773">
        <v>0.40933989999999998</v>
      </c>
      <c r="R5773">
        <v>0.30429970000000001</v>
      </c>
      <c r="S5773">
        <v>3.0267330000000001</v>
      </c>
      <c r="T5773">
        <v>-0.29296729999999999</v>
      </c>
      <c r="U5773">
        <v>1.701965</v>
      </c>
      <c r="V5773">
        <v>-0.25187229999999999</v>
      </c>
      <c r="W5773">
        <v>0.420074</v>
      </c>
      <c r="X5773">
        <v>0.871836099999999</v>
      </c>
      <c r="Y5773">
        <v>-0.43240010000000001</v>
      </c>
      <c r="Z5773">
        <v>1.7865869999999999E-2</v>
      </c>
      <c r="AA5773">
        <v>0.9015048</v>
      </c>
      <c r="AB5773">
        <v>36</v>
      </c>
      <c r="AC5773">
        <v>11.3202</v>
      </c>
      <c r="AD5773">
        <v>-1.1134065585099999</v>
      </c>
      <c r="AE5773">
        <v>6.45556999999999</v>
      </c>
      <c r="AF5773">
        <v>-5.6853210237631204</v>
      </c>
      <c r="AG5773">
        <v>-1.1134065585099999</v>
      </c>
      <c r="AH5773">
        <v>11.620928325148199</v>
      </c>
      <c r="AI5773">
        <v>94.918925753773195</v>
      </c>
      <c r="AJ5773">
        <v>116.069323951077</v>
      </c>
      <c r="AK5773">
        <v>12.984934518356599</v>
      </c>
      <c r="AL5773">
        <v>65.160740576521107</v>
      </c>
      <c r="AM5773">
        <v>106.113936102073</v>
      </c>
      <c r="AN5773">
        <v>1.0000000031232399</v>
      </c>
    </row>
    <row r="5774" spans="1:40" x14ac:dyDescent="0.25">
      <c r="A5774" t="str">
        <f>"20190304164522833"</f>
        <v>20190304164522833</v>
      </c>
      <c r="B5774" t="str">
        <f>"1551689122826279"</f>
        <v>1551689122826279</v>
      </c>
      <c r="C5774" t="s">
        <v>40</v>
      </c>
      <c r="D5774">
        <v>5.211303</v>
      </c>
      <c r="E5774">
        <v>0.42310170000000002</v>
      </c>
      <c r="F5774" t="s">
        <v>41</v>
      </c>
      <c r="G5774">
        <v>-224.74520000000001</v>
      </c>
      <c r="H5774">
        <v>1.0272300000000001</v>
      </c>
      <c r="I5774">
        <v>-62.165439999999997</v>
      </c>
      <c r="J5774">
        <v>-225.45429999999999</v>
      </c>
      <c r="K5774">
        <v>1.113426</v>
      </c>
      <c r="L5774">
        <v>-62.653660000000002</v>
      </c>
      <c r="M5774">
        <v>0.9978148</v>
      </c>
      <c r="N5774">
        <v>-1.402087E-2</v>
      </c>
      <c r="O5774">
        <v>6.4567120000000006E-2</v>
      </c>
      <c r="P5774">
        <v>0.85943849999999999</v>
      </c>
      <c r="Q5774">
        <v>0.40943960000000001</v>
      </c>
      <c r="R5774">
        <v>0.30614540000000001</v>
      </c>
      <c r="S5774">
        <v>3.0230410000000001</v>
      </c>
      <c r="T5774">
        <v>-0.29422739999999997</v>
      </c>
      <c r="U5774">
        <v>1.7094419999999999</v>
      </c>
      <c r="V5774">
        <v>-0.2526042</v>
      </c>
      <c r="W5774">
        <v>0.42015229999999998</v>
      </c>
      <c r="X5774">
        <v>0.87158659999999999</v>
      </c>
      <c r="Y5774">
        <v>-0.43333870000000002</v>
      </c>
      <c r="Z5774">
        <v>1.7880670000000001E-2</v>
      </c>
      <c r="AA5774">
        <v>0.90105369999999996</v>
      </c>
      <c r="AB5774">
        <v>36</v>
      </c>
      <c r="AC5774">
        <v>0.70909999999997797</v>
      </c>
      <c r="AD5774">
        <v>-8.6196000000000106E-2</v>
      </c>
      <c r="AE5774">
        <v>0.48821999999999099</v>
      </c>
      <c r="AF5774">
        <v>-0.43703112822228402</v>
      </c>
      <c r="AG5774">
        <v>-8.6196000000000106E-2</v>
      </c>
      <c r="AH5774">
        <v>0.73181032587702799</v>
      </c>
      <c r="AI5774">
        <v>95.774379780094193</v>
      </c>
      <c r="AJ5774">
        <v>120.845302729376</v>
      </c>
      <c r="AK5774">
        <v>0.85672183963727999</v>
      </c>
      <c r="AL5774">
        <v>65.155797311710899</v>
      </c>
      <c r="AM5774">
        <v>106.162704296573</v>
      </c>
      <c r="AN5774">
        <v>1.0000000191762399</v>
      </c>
    </row>
    <row r="5775" spans="1:40" x14ac:dyDescent="0.25">
      <c r="A5775" t="str">
        <f>"20190304164522843"</f>
        <v>20190304164522843</v>
      </c>
      <c r="B5775" t="str">
        <f>"1551689122836039"</f>
        <v>1551689122836039</v>
      </c>
      <c r="C5775" t="s">
        <v>40</v>
      </c>
      <c r="D5775">
        <v>5.1969979999999998</v>
      </c>
      <c r="E5775">
        <v>0.42294219999999999</v>
      </c>
      <c r="F5775" t="s">
        <v>58</v>
      </c>
      <c r="G5775">
        <v>-214.04400000000001</v>
      </c>
      <c r="H5775" s="1">
        <v>-1.4704839999999999E-6</v>
      </c>
      <c r="I5775">
        <v>-56.168660000000003</v>
      </c>
      <c r="J5775">
        <v>-225.2841</v>
      </c>
      <c r="K5775">
        <v>1.113434</v>
      </c>
      <c r="L5775">
        <v>-62.641419999999997</v>
      </c>
      <c r="M5775">
        <v>0.99772939999999999</v>
      </c>
      <c r="N5775">
        <v>-1.4020650000000001E-2</v>
      </c>
      <c r="O5775">
        <v>6.587498E-2</v>
      </c>
      <c r="P5775">
        <v>0.85886839999999998</v>
      </c>
      <c r="Q5775">
        <v>0.40916390000000002</v>
      </c>
      <c r="R5775">
        <v>0.30810749999999998</v>
      </c>
      <c r="S5775">
        <v>3.0196839999999998</v>
      </c>
      <c r="T5775">
        <v>-0.29466490000000001</v>
      </c>
      <c r="U5775">
        <v>1.7162170000000001</v>
      </c>
      <c r="V5775">
        <v>-0.25346619999999997</v>
      </c>
      <c r="W5775">
        <v>0.41985840000000002</v>
      </c>
      <c r="X5775">
        <v>0.87147799999999997</v>
      </c>
      <c r="Y5775">
        <v>-0.43411179999999999</v>
      </c>
      <c r="Z5775">
        <v>1.7849460000000001E-2</v>
      </c>
      <c r="AA5775">
        <v>0.90068219999999999</v>
      </c>
      <c r="AB5775">
        <v>36</v>
      </c>
      <c r="AC5775">
        <v>11.240099999999901</v>
      </c>
      <c r="AD5775">
        <v>-1.1134354704839999</v>
      </c>
      <c r="AE5775">
        <v>6.4727600000000001</v>
      </c>
      <c r="AF5775">
        <v>-5.67635432734565</v>
      </c>
      <c r="AG5775">
        <v>-1.1134354704839999</v>
      </c>
      <c r="AH5775">
        <v>11.5569517887574</v>
      </c>
      <c r="AI5775">
        <v>94.942391453171894</v>
      </c>
      <c r="AJ5775">
        <v>116.158591696705</v>
      </c>
      <c r="AK5775">
        <v>12.923771571958801</v>
      </c>
      <c r="AL5775">
        <v>65.174353245845793</v>
      </c>
      <c r="AM5775">
        <v>106.216879612467</v>
      </c>
      <c r="AN5775">
        <v>1.00000004753849</v>
      </c>
    </row>
    <row r="5776" spans="1:40" x14ac:dyDescent="0.25">
      <c r="A5776" t="str">
        <f>"20190304164522854"</f>
        <v>20190304164522854</v>
      </c>
      <c r="B5776" t="str">
        <f>"1551689122845799"</f>
        <v>1551689122845799</v>
      </c>
      <c r="C5776" t="s">
        <v>40</v>
      </c>
      <c r="D5776">
        <v>5.2055870000000004</v>
      </c>
      <c r="E5776">
        <v>0.42289480000000002</v>
      </c>
      <c r="F5776" t="s">
        <v>41</v>
      </c>
      <c r="G5776">
        <v>-224.4248</v>
      </c>
      <c r="H5776">
        <v>1.028991</v>
      </c>
      <c r="I5776">
        <v>-62.150460000000002</v>
      </c>
      <c r="J5776">
        <v>-225.11250000000001</v>
      </c>
      <c r="K5776">
        <v>1.113451</v>
      </c>
      <c r="L5776">
        <v>-62.62903</v>
      </c>
      <c r="M5776">
        <v>0.99764140000000001</v>
      </c>
      <c r="N5776">
        <v>-1.4020370000000001E-2</v>
      </c>
      <c r="O5776">
        <v>6.7195770000000002E-2</v>
      </c>
      <c r="P5776">
        <v>0.85832619999999904</v>
      </c>
      <c r="Q5776">
        <v>0.40891260000000001</v>
      </c>
      <c r="R5776">
        <v>0.30994670000000002</v>
      </c>
      <c r="S5776">
        <v>3.0161289999999998</v>
      </c>
      <c r="T5776">
        <v>-0.29638619999999999</v>
      </c>
      <c r="U5776">
        <v>1.722809</v>
      </c>
      <c r="V5776">
        <v>-0.25419370000000002</v>
      </c>
      <c r="W5776">
        <v>0.41958970000000001</v>
      </c>
      <c r="X5776">
        <v>0.87139549999999999</v>
      </c>
      <c r="Y5776">
        <v>-0.4348437</v>
      </c>
      <c r="Z5776">
        <v>1.787501E-2</v>
      </c>
      <c r="AA5776">
        <v>0.90032849999999998</v>
      </c>
      <c r="AB5776">
        <v>36</v>
      </c>
      <c r="AC5776">
        <v>0.68770000000000597</v>
      </c>
      <c r="AD5776">
        <v>-8.4459999999999896E-2</v>
      </c>
      <c r="AE5776">
        <v>0.47857000000001099</v>
      </c>
      <c r="AF5776">
        <v>-0.42693444898238297</v>
      </c>
      <c r="AG5776">
        <v>-8.4459999999999896E-2</v>
      </c>
      <c r="AH5776">
        <v>0.71108023104587903</v>
      </c>
      <c r="AI5776">
        <v>95.814521867962696</v>
      </c>
      <c r="AJ5776">
        <v>120.98071649983</v>
      </c>
      <c r="AK5776">
        <v>0.83369155585993004</v>
      </c>
      <c r="AL5776">
        <v>65.191314689685797</v>
      </c>
      <c r="AM5776">
        <v>106.262427323776</v>
      </c>
      <c r="AN5776">
        <v>1.0000000354430101</v>
      </c>
    </row>
    <row r="5777" spans="1:40" x14ac:dyDescent="0.25">
      <c r="A5777" t="str">
        <f>"20190304164522865"</f>
        <v>20190304164522865</v>
      </c>
      <c r="B5777" t="str">
        <f>"1551689122855559"</f>
        <v>1551689122855559</v>
      </c>
      <c r="C5777" t="s">
        <v>40</v>
      </c>
      <c r="D5777">
        <v>5.2138869999999997</v>
      </c>
      <c r="E5777">
        <v>0.42279630000000001</v>
      </c>
      <c r="F5777" t="s">
        <v>41</v>
      </c>
      <c r="G5777">
        <v>-224.12549999999999</v>
      </c>
      <c r="H5777">
        <v>1.015727</v>
      </c>
      <c r="I5777">
        <v>-62.062919999999998</v>
      </c>
      <c r="J5777">
        <v>-224.93350000000001</v>
      </c>
      <c r="K5777">
        <v>1.1134649999999999</v>
      </c>
      <c r="L5777">
        <v>-62.615659999999998</v>
      </c>
      <c r="M5777">
        <v>0.99754670000000001</v>
      </c>
      <c r="N5777">
        <v>-1.4020039999999999E-2</v>
      </c>
      <c r="O5777">
        <v>6.8586330000000001E-2</v>
      </c>
      <c r="P5777">
        <v>0.85762039999999995</v>
      </c>
      <c r="Q5777">
        <v>0.40878809999999999</v>
      </c>
      <c r="R5777">
        <v>0.31205699999999997</v>
      </c>
      <c r="S5777">
        <v>3.0130460000000001</v>
      </c>
      <c r="T5777">
        <v>-0.29833290000000001</v>
      </c>
      <c r="U5777">
        <v>1.7286680000000001</v>
      </c>
      <c r="V5777">
        <v>-0.25514049999999999</v>
      </c>
      <c r="W5777">
        <v>0.41944599999999999</v>
      </c>
      <c r="X5777">
        <v>0.87118790000000002</v>
      </c>
      <c r="Y5777">
        <v>-0.4352858</v>
      </c>
      <c r="Z5777">
        <v>1.7887710000000001E-2</v>
      </c>
      <c r="AA5777">
        <v>0.90011459999999999</v>
      </c>
      <c r="AB5777">
        <v>36</v>
      </c>
      <c r="AC5777">
        <v>0.80800000000002103</v>
      </c>
      <c r="AD5777">
        <v>-9.7737999999999797E-2</v>
      </c>
      <c r="AE5777">
        <v>0.55274000000000001</v>
      </c>
      <c r="AF5777">
        <v>-0.49111970304923802</v>
      </c>
      <c r="AG5777">
        <v>-9.7737999999999797E-2</v>
      </c>
      <c r="AH5777">
        <v>0.83568140604744601</v>
      </c>
      <c r="AI5777">
        <v>95.757818296859696</v>
      </c>
      <c r="AJ5777">
        <v>120.44223101758701</v>
      </c>
      <c r="AK5777">
        <v>0.97422517509075302</v>
      </c>
      <c r="AL5777">
        <v>65.200383621285596</v>
      </c>
      <c r="AM5777">
        <v>106.323464221042</v>
      </c>
      <c r="AN5777">
        <v>0.99999998938132995</v>
      </c>
    </row>
    <row r="5778" spans="1:40" x14ac:dyDescent="0.25">
      <c r="A5778" t="str">
        <f>"20190304164522877"</f>
        <v>20190304164522877</v>
      </c>
      <c r="B5778" t="str">
        <f>"1551689122866295"</f>
        <v>1551689122866295</v>
      </c>
      <c r="C5778" t="s">
        <v>40</v>
      </c>
      <c r="D5778">
        <v>5.1939520000000003</v>
      </c>
      <c r="E5778">
        <v>0.4227166</v>
      </c>
      <c r="F5778" t="s">
        <v>41</v>
      </c>
      <c r="G5778">
        <v>-224.09800000000001</v>
      </c>
      <c r="H5778">
        <v>1.030254</v>
      </c>
      <c r="I5778">
        <v>-62.133749999999999</v>
      </c>
      <c r="J5778">
        <v>-224.76429999999999</v>
      </c>
      <c r="K5778">
        <v>1.1134790000000001</v>
      </c>
      <c r="L5778">
        <v>-62.602939999999997</v>
      </c>
      <c r="M5778">
        <v>0.99745519999999999</v>
      </c>
      <c r="N5778">
        <v>-1.401967E-2</v>
      </c>
      <c r="O5778">
        <v>6.9903690000000004E-2</v>
      </c>
      <c r="P5778">
        <v>0.85709760000000002</v>
      </c>
      <c r="Q5778">
        <v>0.40847699999999998</v>
      </c>
      <c r="R5778">
        <v>0.31389539999999999</v>
      </c>
      <c r="S5778">
        <v>3.0091549999999998</v>
      </c>
      <c r="T5778">
        <v>-0.29970429999999998</v>
      </c>
      <c r="U5778">
        <v>1.73623699999999</v>
      </c>
      <c r="V5778">
        <v>-0.25586530000000002</v>
      </c>
      <c r="W5778">
        <v>0.41911999999999999</v>
      </c>
      <c r="X5778">
        <v>0.87113220000000002</v>
      </c>
      <c r="Y5778">
        <v>-0.43628450000000002</v>
      </c>
      <c r="Z5778">
        <v>1.7910180000000001E-2</v>
      </c>
      <c r="AA5778">
        <v>0.8996305</v>
      </c>
      <c r="AB5778">
        <v>36</v>
      </c>
      <c r="AC5778">
        <v>0.666300000000006</v>
      </c>
      <c r="AD5778">
        <v>-8.3225000000000104E-2</v>
      </c>
      <c r="AE5778">
        <v>0.46919000000000399</v>
      </c>
      <c r="AF5778">
        <v>-0.41711021717128</v>
      </c>
      <c r="AG5778">
        <v>-8.3225000000000104E-2</v>
      </c>
      <c r="AH5778">
        <v>0.69027165679643598</v>
      </c>
      <c r="AI5778">
        <v>95.891597156937394</v>
      </c>
      <c r="AJ5778">
        <v>121.143295189805</v>
      </c>
      <c r="AK5778">
        <v>0.81079115317704997</v>
      </c>
      <c r="AL5778">
        <v>65.220957280412904</v>
      </c>
      <c r="AM5778">
        <v>106.368347564503</v>
      </c>
      <c r="AN5778">
        <v>0.99999996801046398</v>
      </c>
    </row>
    <row r="5779" spans="1:40" x14ac:dyDescent="0.25">
      <c r="A5779" t="str">
        <f>"20190304164522887"</f>
        <v>20190304164522887</v>
      </c>
      <c r="B5779" t="str">
        <f>"1551689122876055"</f>
        <v>1551689122876055</v>
      </c>
      <c r="C5779" t="s">
        <v>40</v>
      </c>
      <c r="D5779">
        <v>5.2214289999999997</v>
      </c>
      <c r="E5779">
        <v>0.42256660000000001</v>
      </c>
      <c r="F5779" t="s">
        <v>41</v>
      </c>
      <c r="G5779">
        <v>-223.8056</v>
      </c>
      <c r="H5779">
        <v>1.0172589999999999</v>
      </c>
      <c r="I5779">
        <v>-62.046939999999999</v>
      </c>
      <c r="J5779">
        <v>-224.58199999999999</v>
      </c>
      <c r="K5779">
        <v>1.1134930000000001</v>
      </c>
      <c r="L5779">
        <v>-62.588869999999901</v>
      </c>
      <c r="M5779">
        <v>0.99735430000000003</v>
      </c>
      <c r="N5779">
        <v>-1.4019240000000001E-2</v>
      </c>
      <c r="O5779">
        <v>7.1331229999999995E-2</v>
      </c>
      <c r="P5779">
        <v>0.85640349999999998</v>
      </c>
      <c r="Q5779">
        <v>0.40838809999999998</v>
      </c>
      <c r="R5779">
        <v>0.31589929999999999</v>
      </c>
      <c r="S5779">
        <v>3.0056759999999998</v>
      </c>
      <c r="T5779">
        <v>-0.30165310000000001</v>
      </c>
      <c r="U5779">
        <v>1.7428589999999999</v>
      </c>
      <c r="V5779">
        <v>-0.25667099999999998</v>
      </c>
      <c r="W5779">
        <v>0.41901529999999998</v>
      </c>
      <c r="X5779">
        <v>0.87094559999999999</v>
      </c>
      <c r="Y5779">
        <v>-0.43691360000000001</v>
      </c>
      <c r="Z5779">
        <v>1.7928690000000001E-2</v>
      </c>
      <c r="AA5779">
        <v>0.89932479999999904</v>
      </c>
      <c r="AB5779">
        <v>36</v>
      </c>
      <c r="AC5779">
        <v>0.77639999999999498</v>
      </c>
      <c r="AD5779">
        <v>-9.6234000000000097E-2</v>
      </c>
      <c r="AE5779">
        <v>0.54192999999999303</v>
      </c>
      <c r="AF5779">
        <v>-0.48020162008703499</v>
      </c>
      <c r="AG5779">
        <v>-9.6234000000000097E-2</v>
      </c>
      <c r="AH5779">
        <v>0.80476867956499398</v>
      </c>
      <c r="AI5779">
        <v>95.863047741617507</v>
      </c>
      <c r="AJ5779">
        <v>120.824325394933</v>
      </c>
      <c r="AK5779">
        <v>0.94207600876946096</v>
      </c>
      <c r="AL5779">
        <v>65.227565956927194</v>
      </c>
      <c r="AM5779">
        <v>106.420446961303</v>
      </c>
      <c r="AN5779">
        <v>1.0000000310172199</v>
      </c>
    </row>
    <row r="5780" spans="1:40" x14ac:dyDescent="0.25">
      <c r="A5780" t="str">
        <f>"20190304164522902"</f>
        <v>20190304164522902</v>
      </c>
      <c r="B5780" t="str">
        <f>"1551689122896145"</f>
        <v>1551689122896145</v>
      </c>
      <c r="C5780" t="s">
        <v>40</v>
      </c>
      <c r="D5780">
        <v>5.2052319999999996</v>
      </c>
      <c r="E5780">
        <v>0.4224173</v>
      </c>
      <c r="F5780" t="s">
        <v>41</v>
      </c>
      <c r="G5780">
        <v>-223.73259999999999</v>
      </c>
      <c r="H5780">
        <v>1.0279879999999999</v>
      </c>
      <c r="I5780">
        <v>-62.093380000000003</v>
      </c>
      <c r="J5780">
        <v>-224.3708</v>
      </c>
      <c r="K5780">
        <v>1.1135060000000001</v>
      </c>
      <c r="L5780">
        <v>-62.572270000000003</v>
      </c>
      <c r="M5780">
        <v>0.99723419999999896</v>
      </c>
      <c r="N5780">
        <v>-1.4018589999999999E-2</v>
      </c>
      <c r="O5780">
        <v>7.2990089999999994E-2</v>
      </c>
      <c r="P5780">
        <v>0.85565419999999903</v>
      </c>
      <c r="Q5780">
        <v>0.40827010000000002</v>
      </c>
      <c r="R5780">
        <v>0.31807489999999999</v>
      </c>
      <c r="S5780">
        <v>3.0013890000000001</v>
      </c>
      <c r="T5780">
        <v>-0.30211840000000001</v>
      </c>
      <c r="U5780">
        <v>1.750488</v>
      </c>
      <c r="V5780">
        <v>-0.2574496</v>
      </c>
      <c r="W5780">
        <v>0.41888150000000002</v>
      </c>
      <c r="X5780">
        <v>0.87078009999999995</v>
      </c>
      <c r="Y5780">
        <v>-0.43767879999999998</v>
      </c>
      <c r="Z5780">
        <v>1.7870569999999999E-2</v>
      </c>
      <c r="AA5780">
        <v>0.89895380000000003</v>
      </c>
      <c r="AB5780">
        <v>36</v>
      </c>
      <c r="AC5780">
        <v>0.63820000000001098</v>
      </c>
      <c r="AD5780">
        <v>-8.55179999999999E-2</v>
      </c>
      <c r="AE5780">
        <v>0.47888999999999199</v>
      </c>
      <c r="AF5780">
        <v>-0.42613037595588998</v>
      </c>
      <c r="AG5780">
        <v>-8.55179999999999E-2</v>
      </c>
      <c r="AH5780">
        <v>0.66382930603923496</v>
      </c>
      <c r="AI5780">
        <v>96.187321178920001</v>
      </c>
      <c r="AJ5780">
        <v>122.697526739914</v>
      </c>
      <c r="AK5780">
        <v>0.79345432962007401</v>
      </c>
      <c r="AL5780">
        <v>65.236007837447204</v>
      </c>
      <c r="AM5780">
        <v>106.470523465165</v>
      </c>
      <c r="AN5780">
        <v>0.99999999506921</v>
      </c>
    </row>
    <row r="5781" spans="1:40" x14ac:dyDescent="0.25">
      <c r="A5781" t="str">
        <f>"20190304164522912"</f>
        <v>20190304164522912</v>
      </c>
      <c r="B5781" t="str">
        <f>"1551689122905904"</f>
        <v>1551689122905904</v>
      </c>
      <c r="C5781" t="s">
        <v>40</v>
      </c>
      <c r="D5781">
        <v>5.2151779999999999</v>
      </c>
      <c r="E5781">
        <v>0.42238510000000001</v>
      </c>
      <c r="F5781" t="s">
        <v>41</v>
      </c>
      <c r="G5781">
        <v>-223.4803</v>
      </c>
      <c r="H5781">
        <v>1.0234460000000001</v>
      </c>
      <c r="I5781">
        <v>-62.049660000000003</v>
      </c>
      <c r="J5781">
        <v>-224.1891</v>
      </c>
      <c r="K5781">
        <v>1.113515</v>
      </c>
      <c r="L5781">
        <v>-62.557740000000003</v>
      </c>
      <c r="M5781">
        <v>0.99712849999999997</v>
      </c>
      <c r="N5781">
        <v>-1.401794E-2</v>
      </c>
      <c r="O5781">
        <v>7.4420219999999995E-2</v>
      </c>
      <c r="P5781">
        <v>0.85477239999999999</v>
      </c>
      <c r="Q5781">
        <v>0.40836810000000001</v>
      </c>
      <c r="R5781">
        <v>0.32031199999999999</v>
      </c>
      <c r="S5781">
        <v>2.9967959999999998</v>
      </c>
      <c r="T5781">
        <v>-0.30310500000000001</v>
      </c>
      <c r="U5781">
        <v>1.7590939999999999</v>
      </c>
      <c r="V5781">
        <v>-0.25849919999999998</v>
      </c>
      <c r="W5781">
        <v>0.41896070000000002</v>
      </c>
      <c r="X5781">
        <v>0.87043099999999995</v>
      </c>
      <c r="Y5781">
        <v>-0.43889899999999998</v>
      </c>
      <c r="Z5781">
        <v>1.7878379999999999E-2</v>
      </c>
      <c r="AA5781">
        <v>0.89835849999999995</v>
      </c>
      <c r="AB5781">
        <v>36</v>
      </c>
      <c r="AC5781">
        <v>0.70879999999999599</v>
      </c>
      <c r="AD5781">
        <v>-9.0069000000000093E-2</v>
      </c>
      <c r="AE5781">
        <v>0.50808000000000597</v>
      </c>
      <c r="AF5781">
        <v>-0.44912591172044602</v>
      </c>
      <c r="AG5781">
        <v>-9.0069000000000093E-2</v>
      </c>
      <c r="AH5781">
        <v>0.736790163803832</v>
      </c>
      <c r="AI5781">
        <v>95.959011413332206</v>
      </c>
      <c r="AJ5781">
        <v>121.36527327814299</v>
      </c>
      <c r="AK5781">
        <v>0.86757492749491005</v>
      </c>
      <c r="AL5781">
        <v>65.231010887527106</v>
      </c>
      <c r="AM5781">
        <v>106.540281890656</v>
      </c>
      <c r="AN5781">
        <v>1.0000000151530599</v>
      </c>
    </row>
    <row r="5782" spans="1:40" x14ac:dyDescent="0.25">
      <c r="A5782" t="str">
        <f>"20190304164522924"</f>
        <v>20190304164522924</v>
      </c>
      <c r="B5782" t="str">
        <f>"1551689122915665"</f>
        <v>1551689122915665</v>
      </c>
      <c r="C5782" t="s">
        <v>40</v>
      </c>
      <c r="D5782">
        <v>5.1955400000000003</v>
      </c>
      <c r="E5782">
        <v>0.42233759999999998</v>
      </c>
      <c r="F5782" t="s">
        <v>58</v>
      </c>
      <c r="G5782">
        <v>-213.2081</v>
      </c>
      <c r="H5782" s="1">
        <v>-1.21081E-6</v>
      </c>
      <c r="I5782">
        <v>-56.075530000000001</v>
      </c>
      <c r="J5782">
        <v>-224.00149999999999</v>
      </c>
      <c r="K5782">
        <v>1.1135170000000001</v>
      </c>
      <c r="L5782">
        <v>-62.542360000000002</v>
      </c>
      <c r="M5782">
        <v>0.99701700000000004</v>
      </c>
      <c r="N5782">
        <v>-1.401724E-2</v>
      </c>
      <c r="O5782">
        <v>7.5900930000000005E-2</v>
      </c>
      <c r="P5782">
        <v>0.85381269999999998</v>
      </c>
      <c r="Q5782">
        <v>0.40849160000000001</v>
      </c>
      <c r="R5782">
        <v>0.32270539999999998</v>
      </c>
      <c r="S5782">
        <v>2.9926759999999999</v>
      </c>
      <c r="T5782">
        <v>-0.30347000000000002</v>
      </c>
      <c r="U5782">
        <v>1.766602</v>
      </c>
      <c r="V5782">
        <v>-0.25966539999999999</v>
      </c>
      <c r="W5782">
        <v>0.41906539999999998</v>
      </c>
      <c r="X5782">
        <v>0.87003339999999996</v>
      </c>
      <c r="Y5782">
        <v>-0.4397739</v>
      </c>
      <c r="Z5782">
        <v>1.7834309999999999E-2</v>
      </c>
      <c r="AA5782">
        <v>0.89793149999999999</v>
      </c>
      <c r="AB5782">
        <v>36</v>
      </c>
      <c r="AC5782">
        <v>10.793399999999901</v>
      </c>
      <c r="AD5782">
        <v>-1.1135182108099999</v>
      </c>
      <c r="AE5782">
        <v>6.4668299999999803</v>
      </c>
      <c r="AF5782">
        <v>-5.5851204298568504</v>
      </c>
      <c r="AG5782">
        <v>-1.1135182108099999</v>
      </c>
      <c r="AH5782">
        <v>11.165696999985</v>
      </c>
      <c r="AI5782">
        <v>95.096782501519598</v>
      </c>
      <c r="AJ5782">
        <v>116.574376982543</v>
      </c>
      <c r="AK5782">
        <v>12.534204502771001</v>
      </c>
      <c r="AL5782">
        <v>65.224404275489405</v>
      </c>
      <c r="AM5782">
        <v>106.617971614776</v>
      </c>
      <c r="AN5782">
        <v>1.00000002327493</v>
      </c>
    </row>
    <row r="5783" spans="1:40" x14ac:dyDescent="0.25">
      <c r="A5783" t="str">
        <f>"20190304164522936"</f>
        <v>20190304164522936</v>
      </c>
      <c r="B5783" t="str">
        <f>"1551689122925424"</f>
        <v>1551689122925424</v>
      </c>
      <c r="C5783" t="s">
        <v>40</v>
      </c>
      <c r="D5783">
        <v>5.2108089999999896</v>
      </c>
      <c r="E5783">
        <v>0.42226229999999998</v>
      </c>
      <c r="F5783" t="s">
        <v>41</v>
      </c>
      <c r="G5783">
        <v>-223.15809999999999</v>
      </c>
      <c r="H5783">
        <v>1.027793</v>
      </c>
      <c r="I5783">
        <v>-62.041649999999997</v>
      </c>
      <c r="J5783">
        <v>-223.8135</v>
      </c>
      <c r="K5783">
        <v>1.113523</v>
      </c>
      <c r="L5783">
        <v>-62.526789999999998</v>
      </c>
      <c r="M5783">
        <v>0.99690270000000003</v>
      </c>
      <c r="N5783">
        <v>-1.4016519999999999E-2</v>
      </c>
      <c r="O5783">
        <v>7.7386479999999994E-2</v>
      </c>
      <c r="P5783">
        <v>0.85299820000000004</v>
      </c>
      <c r="Q5783">
        <v>0.40822900000000001</v>
      </c>
      <c r="R5783">
        <v>0.32518190000000002</v>
      </c>
      <c r="S5783">
        <v>2.9883579999999998</v>
      </c>
      <c r="T5783">
        <v>-0.30375920000000001</v>
      </c>
      <c r="U5783">
        <v>1.7742610000000001</v>
      </c>
      <c r="V5783">
        <v>-0.26089780000000001</v>
      </c>
      <c r="W5783">
        <v>0.41878660000000001</v>
      </c>
      <c r="X5783">
        <v>0.86979889999999904</v>
      </c>
      <c r="Y5783">
        <v>-0.44070389999999998</v>
      </c>
      <c r="Z5783">
        <v>1.7789849999999999E-2</v>
      </c>
      <c r="AA5783">
        <v>0.8974763</v>
      </c>
      <c r="AB5783">
        <v>36</v>
      </c>
      <c r="AC5783">
        <v>0.65540000000001397</v>
      </c>
      <c r="AD5783">
        <v>-8.5730000000000001E-2</v>
      </c>
      <c r="AE5783">
        <v>0.48514000000000801</v>
      </c>
      <c r="AF5783">
        <v>-0.42822733923277201</v>
      </c>
      <c r="AG5783">
        <v>-8.5730000000000001E-2</v>
      </c>
      <c r="AH5783">
        <v>0.68342683290186701</v>
      </c>
      <c r="AI5783">
        <v>96.067648505161998</v>
      </c>
      <c r="AJ5783">
        <v>122.070781703184</v>
      </c>
      <c r="AK5783">
        <v>0.81104902619795805</v>
      </c>
      <c r="AL5783">
        <v>65.241995909802</v>
      </c>
      <c r="AM5783">
        <v>106.69671385254399</v>
      </c>
      <c r="AN5783">
        <v>1.0000000024128</v>
      </c>
    </row>
    <row r="5784" spans="1:40" x14ac:dyDescent="0.25">
      <c r="A5784" t="str">
        <f>"20190304164522945"</f>
        <v>20190304164522945</v>
      </c>
      <c r="B5784" t="str">
        <f>"1551689122936161"</f>
        <v>1551689122936161</v>
      </c>
      <c r="C5784" t="s">
        <v>40</v>
      </c>
      <c r="D5784">
        <v>5.2016229999999997</v>
      </c>
      <c r="E5784">
        <v>0.4221239</v>
      </c>
      <c r="F5784" t="s">
        <v>41</v>
      </c>
      <c r="G5784">
        <v>-222.85900000000001</v>
      </c>
      <c r="H5784">
        <v>1.015801</v>
      </c>
      <c r="I5784">
        <v>-61.95693</v>
      </c>
      <c r="J5784">
        <v>-223.65520000000001</v>
      </c>
      <c r="K5784">
        <v>1.1135330000000001</v>
      </c>
      <c r="L5784">
        <v>-62.513370000000002</v>
      </c>
      <c r="M5784">
        <v>0.99680449999999998</v>
      </c>
      <c r="N5784">
        <v>-1.4015919999999999E-2</v>
      </c>
      <c r="O5784">
        <v>7.8641150000000007E-2</v>
      </c>
      <c r="P5784">
        <v>0.85221000000000002</v>
      </c>
      <c r="Q5784">
        <v>0.40792230000000002</v>
      </c>
      <c r="R5784">
        <v>0.32762409999999997</v>
      </c>
      <c r="S5784">
        <v>2.983994</v>
      </c>
      <c r="T5784">
        <v>-0.30550729999999998</v>
      </c>
      <c r="U5784">
        <v>1.7817080000000001</v>
      </c>
      <c r="V5784">
        <v>-0.26229629999999998</v>
      </c>
      <c r="W5784">
        <v>0.41846359999999999</v>
      </c>
      <c r="X5784">
        <v>0.86953369999999996</v>
      </c>
      <c r="Y5784">
        <v>-0.44178299999999998</v>
      </c>
      <c r="Z5784">
        <v>1.783614E-2</v>
      </c>
      <c r="AA5784">
        <v>0.89694459999999998</v>
      </c>
      <c r="AB5784">
        <v>36</v>
      </c>
      <c r="AC5784">
        <v>0.79619999999999802</v>
      </c>
      <c r="AD5784">
        <v>-9.7731999999999902E-2</v>
      </c>
      <c r="AE5784">
        <v>0.55643999999998695</v>
      </c>
      <c r="AF5784">
        <v>-0.48716461929803501</v>
      </c>
      <c r="AG5784">
        <v>-9.7731999999999902E-2</v>
      </c>
      <c r="AH5784">
        <v>0.82910413152310203</v>
      </c>
      <c r="AI5784">
        <v>95.803103020338597</v>
      </c>
      <c r="AJ5784">
        <v>120.437623321538</v>
      </c>
      <c r="AK5784">
        <v>0.96658914282567698</v>
      </c>
      <c r="AL5784">
        <v>65.262373777291302</v>
      </c>
      <c r="AM5784">
        <v>106.786025084315</v>
      </c>
      <c r="AN5784">
        <v>0.99999999447716903</v>
      </c>
    </row>
    <row r="5785" spans="1:40" x14ac:dyDescent="0.25">
      <c r="A5785" t="str">
        <f>"20190304164522956"</f>
        <v>20190304164522956</v>
      </c>
      <c r="B5785" t="str">
        <f>"1551689122945922"</f>
        <v>1551689122945922</v>
      </c>
      <c r="C5785" t="s">
        <v>40</v>
      </c>
      <c r="D5785">
        <v>5.1713509999999996</v>
      </c>
      <c r="E5785">
        <v>0.42206510000000003</v>
      </c>
      <c r="F5785" t="s">
        <v>41</v>
      </c>
      <c r="G5785">
        <v>-222.8383</v>
      </c>
      <c r="H5785">
        <v>1.029339</v>
      </c>
      <c r="I5785">
        <v>-62.022390000000001</v>
      </c>
      <c r="J5785">
        <v>-223.4982</v>
      </c>
      <c r="K5785">
        <v>1.113542</v>
      </c>
      <c r="L5785">
        <v>-62.499940000000002</v>
      </c>
      <c r="M5785">
        <v>0.99670550000000002</v>
      </c>
      <c r="N5785">
        <v>-1.4015349999999999E-2</v>
      </c>
      <c r="O5785">
        <v>7.9886780000000004E-2</v>
      </c>
      <c r="P5785">
        <v>0.85139979999999904</v>
      </c>
      <c r="Q5785">
        <v>0.4080163</v>
      </c>
      <c r="R5785">
        <v>0.32960780000000001</v>
      </c>
      <c r="S5785">
        <v>2.9788670000000002</v>
      </c>
      <c r="T5785">
        <v>-0.3070251</v>
      </c>
      <c r="U5785">
        <v>1.7905580000000001</v>
      </c>
      <c r="V5785">
        <v>-0.2632505</v>
      </c>
      <c r="W5785">
        <v>0.41854239999999998</v>
      </c>
      <c r="X5785">
        <v>0.86920739999999996</v>
      </c>
      <c r="Y5785">
        <v>-0.44328109999999998</v>
      </c>
      <c r="Z5785">
        <v>1.7897179999999999E-2</v>
      </c>
      <c r="AA5785">
        <v>0.896204</v>
      </c>
      <c r="AB5785">
        <v>36</v>
      </c>
      <c r="AC5785">
        <v>0.65989999999999305</v>
      </c>
      <c r="AD5785">
        <v>-8.4203E-2</v>
      </c>
      <c r="AE5785">
        <v>0.47754999999999997</v>
      </c>
      <c r="AF5785">
        <v>-0.41882555215784201</v>
      </c>
      <c r="AG5785">
        <v>-8.4203E-2</v>
      </c>
      <c r="AH5785">
        <v>0.68858621188175695</v>
      </c>
      <c r="AI5785">
        <v>95.964388213413798</v>
      </c>
      <c r="AJ5785">
        <v>121.309632330284</v>
      </c>
      <c r="AK5785">
        <v>0.81034311223270605</v>
      </c>
      <c r="AL5785">
        <v>65.257403669040798</v>
      </c>
      <c r="AM5785">
        <v>106.84960305990801</v>
      </c>
      <c r="AN5785">
        <v>1.00000003528138</v>
      </c>
    </row>
    <row r="5786" spans="1:40" x14ac:dyDescent="0.25">
      <c r="A5786" t="str">
        <f>"20190304164522967"</f>
        <v>20190304164522967</v>
      </c>
      <c r="B5786" t="str">
        <f>"1551689122955682"</f>
        <v>1551689122955682</v>
      </c>
      <c r="C5786" t="s">
        <v>40</v>
      </c>
      <c r="D5786">
        <v>5.2086370000000004</v>
      </c>
      <c r="E5786">
        <v>0.42200939999999998</v>
      </c>
      <c r="F5786" t="s">
        <v>41</v>
      </c>
      <c r="G5786">
        <v>-222.54470000000001</v>
      </c>
      <c r="H5786">
        <v>1.015056</v>
      </c>
      <c r="I5786">
        <v>-61.923659999999998</v>
      </c>
      <c r="J5786">
        <v>-223.33070000000001</v>
      </c>
      <c r="K5786">
        <v>1.1135520000000001</v>
      </c>
      <c r="L5786">
        <v>-62.485320000000002</v>
      </c>
      <c r="M5786">
        <v>0.99659770000000003</v>
      </c>
      <c r="N5786">
        <v>-1.4014789999999999E-2</v>
      </c>
      <c r="O5786">
        <v>8.1219910000000006E-2</v>
      </c>
      <c r="P5786">
        <v>0.85074249999999996</v>
      </c>
      <c r="Q5786">
        <v>0.40819119999999998</v>
      </c>
      <c r="R5786">
        <v>0.33108500000000002</v>
      </c>
      <c r="S5786">
        <v>2.9747919999999999</v>
      </c>
      <c r="T5786">
        <v>-0.30726479999999901</v>
      </c>
      <c r="U5786">
        <v>1.798065</v>
      </c>
      <c r="V5786">
        <v>-0.26361380000000001</v>
      </c>
      <c r="W5786">
        <v>0.41870740000000001</v>
      </c>
      <c r="X5786">
        <v>0.86901779999999995</v>
      </c>
      <c r="Y5786">
        <v>-0.44427879999999997</v>
      </c>
      <c r="Z5786">
        <v>1.7864339999999999E-2</v>
      </c>
      <c r="AA5786">
        <v>0.89571049999999997</v>
      </c>
      <c r="AB5786">
        <v>36</v>
      </c>
      <c r="AC5786">
        <v>0.78600000000000103</v>
      </c>
      <c r="AD5786">
        <v>-9.8496000000000097E-2</v>
      </c>
      <c r="AE5786">
        <v>0.56165999999999605</v>
      </c>
      <c r="AF5786">
        <v>-0.49085632753713798</v>
      </c>
      <c r="AG5786">
        <v>-9.8496000000000097E-2</v>
      </c>
      <c r="AH5786">
        <v>0.82049588995679301</v>
      </c>
      <c r="AI5786">
        <v>95.881693357563407</v>
      </c>
      <c r="AJ5786">
        <v>120.889698879248</v>
      </c>
      <c r="AK5786">
        <v>0.961173710489023</v>
      </c>
      <c r="AL5786">
        <v>65.246993665367896</v>
      </c>
      <c r="AM5786">
        <v>106.875007992215</v>
      </c>
      <c r="AN5786">
        <v>1.0000000295410101</v>
      </c>
    </row>
    <row r="5787" spans="1:40" x14ac:dyDescent="0.25">
      <c r="A5787" t="str">
        <f>"20190304164522978"</f>
        <v>20190304164522978</v>
      </c>
      <c r="B5787" t="str">
        <f>"1551689122965441"</f>
        <v>1551689122965441</v>
      </c>
      <c r="C5787" t="s">
        <v>40</v>
      </c>
      <c r="D5787">
        <v>5.1811749999999996</v>
      </c>
      <c r="E5787">
        <v>0.42192940000000001</v>
      </c>
      <c r="F5787" t="s">
        <v>41</v>
      </c>
      <c r="G5787">
        <v>-222.5222</v>
      </c>
      <c r="H5787">
        <v>1.030133</v>
      </c>
      <c r="I5787">
        <v>-61.994190000000003</v>
      </c>
      <c r="J5787">
        <v>-223.15119999999999</v>
      </c>
      <c r="K5787">
        <v>1.113567</v>
      </c>
      <c r="L5787">
        <v>-62.469450000000002</v>
      </c>
      <c r="M5787">
        <v>0.99647969999999997</v>
      </c>
      <c r="N5787">
        <v>-1.4014220000000001E-2</v>
      </c>
      <c r="O5787">
        <v>8.2654679999999994E-2</v>
      </c>
      <c r="P5787">
        <v>0.85009190000000001</v>
      </c>
      <c r="Q5787">
        <v>0.40827530000000001</v>
      </c>
      <c r="R5787">
        <v>0.33264850000000001</v>
      </c>
      <c r="S5787">
        <v>2.9709780000000001</v>
      </c>
      <c r="T5787">
        <v>-0.30652839999999998</v>
      </c>
      <c r="U5787">
        <v>1.8049010000000001</v>
      </c>
      <c r="V5787">
        <v>-0.26397530000000002</v>
      </c>
      <c r="W5787">
        <v>0.41878100000000001</v>
      </c>
      <c r="X5787">
        <v>0.86887259999999999</v>
      </c>
      <c r="Y5787">
        <v>-0.4450133</v>
      </c>
      <c r="Z5787">
        <v>1.7765889999999999E-2</v>
      </c>
      <c r="AA5787">
        <v>0.89534769999999897</v>
      </c>
      <c r="AB5787">
        <v>36</v>
      </c>
      <c r="AC5787">
        <v>0.62899999999999001</v>
      </c>
      <c r="AD5787">
        <v>-8.3433999999999994E-2</v>
      </c>
      <c r="AE5787">
        <v>0.47525999999999802</v>
      </c>
      <c r="AF5787">
        <v>-0.41696832077005802</v>
      </c>
      <c r="AG5787">
        <v>-8.3433999999999994E-2</v>
      </c>
      <c r="AH5787">
        <v>0.65875525385507605</v>
      </c>
      <c r="AI5787">
        <v>96.108407998234995</v>
      </c>
      <c r="AJ5787">
        <v>122.33233532510501</v>
      </c>
      <c r="AK5787">
        <v>0.78408054265073301</v>
      </c>
      <c r="AL5787">
        <v>65.242350235578897</v>
      </c>
      <c r="AM5787">
        <v>106.89949411165399</v>
      </c>
      <c r="AN5787">
        <v>1.0000000400009199</v>
      </c>
    </row>
    <row r="5788" spans="1:40" x14ac:dyDescent="0.25">
      <c r="A5788" t="str">
        <f>"20190304164522988"</f>
        <v>20190304164522988</v>
      </c>
      <c r="B5788" t="str">
        <f>"1551689122985530"</f>
        <v>1551689122985530</v>
      </c>
      <c r="C5788" t="s">
        <v>40</v>
      </c>
      <c r="D5788">
        <v>5.1630949999999904</v>
      </c>
      <c r="E5788">
        <v>0.42175319999999999</v>
      </c>
      <c r="F5788" t="s">
        <v>41</v>
      </c>
      <c r="G5788">
        <v>-222.22620000000001</v>
      </c>
      <c r="H5788">
        <v>1.018079</v>
      </c>
      <c r="I5788">
        <v>-61.904359999999997</v>
      </c>
      <c r="J5788">
        <v>-222.98009999999999</v>
      </c>
      <c r="K5788">
        <v>1.1135790000000001</v>
      </c>
      <c r="L5788">
        <v>-62.454039999999999</v>
      </c>
      <c r="M5788">
        <v>0.9963649</v>
      </c>
      <c r="N5788">
        <v>-1.401372E-2</v>
      </c>
      <c r="O5788">
        <v>8.4029930000000003E-2</v>
      </c>
      <c r="P5788">
        <v>0.84930280000000002</v>
      </c>
      <c r="Q5788">
        <v>0.40871730000000001</v>
      </c>
      <c r="R5788">
        <v>0.33411819999999998</v>
      </c>
      <c r="S5788">
        <v>2.966812</v>
      </c>
      <c r="T5788">
        <v>-0.30626819999999999</v>
      </c>
      <c r="U5788">
        <v>1.812622</v>
      </c>
      <c r="V5788">
        <v>-0.264312099999999</v>
      </c>
      <c r="W5788">
        <v>0.4192092</v>
      </c>
      <c r="X5788">
        <v>0.86856369999999905</v>
      </c>
      <c r="Y5788">
        <v>-0.44603540000000003</v>
      </c>
      <c r="Z5788">
        <v>1.7709470000000001E-2</v>
      </c>
      <c r="AA5788">
        <v>0.89484010000000003</v>
      </c>
      <c r="AB5788">
        <v>36</v>
      </c>
      <c r="AC5788">
        <v>0.75389999999998702</v>
      </c>
      <c r="AD5788">
        <v>-9.5499999999999904E-2</v>
      </c>
      <c r="AE5788">
        <v>0.54968000000000194</v>
      </c>
      <c r="AF5788">
        <v>-0.47935699676050197</v>
      </c>
      <c r="AG5788">
        <v>-9.5499999999999904E-2</v>
      </c>
      <c r="AH5788">
        <v>0.78915928961806903</v>
      </c>
      <c r="AI5788">
        <v>95.905044489850198</v>
      </c>
      <c r="AJ5788">
        <v>121.275643373666</v>
      </c>
      <c r="AK5788">
        <v>0.92826492163269003</v>
      </c>
      <c r="AL5788">
        <v>65.215330812817797</v>
      </c>
      <c r="AM5788">
        <v>106.925498131334</v>
      </c>
      <c r="AN5788">
        <v>1.0000000702643601</v>
      </c>
    </row>
    <row r="5789" spans="1:40" x14ac:dyDescent="0.25">
      <c r="A5789" t="str">
        <f>"20190304164523000"</f>
        <v>20190304164523000</v>
      </c>
      <c r="B5789" t="str">
        <f>"1551689122995898"</f>
        <v>1551689122995898</v>
      </c>
      <c r="C5789" t="s">
        <v>40</v>
      </c>
      <c r="D5789">
        <v>5.1692179999999999</v>
      </c>
      <c r="E5789">
        <v>0.42166749999999997</v>
      </c>
      <c r="F5789" t="s">
        <v>41</v>
      </c>
      <c r="G5789">
        <v>-222.16380000000001</v>
      </c>
      <c r="H5789">
        <v>1.0294509999999999</v>
      </c>
      <c r="I5789">
        <v>-61.952669999999998</v>
      </c>
      <c r="J5789">
        <v>-222.80269999999999</v>
      </c>
      <c r="K5789">
        <v>1.1135969999999999</v>
      </c>
      <c r="L5789">
        <v>-62.437769999999901</v>
      </c>
      <c r="M5789">
        <v>0.99624219999999997</v>
      </c>
      <c r="N5789">
        <v>-1.4013360000000001E-2</v>
      </c>
      <c r="O5789">
        <v>8.5470299999999999E-2</v>
      </c>
      <c r="P5789">
        <v>0.84865990000000002</v>
      </c>
      <c r="Q5789">
        <v>0.40891440000000001</v>
      </c>
      <c r="R5789">
        <v>0.33550799999999997</v>
      </c>
      <c r="S5789">
        <v>2.9632260000000001</v>
      </c>
      <c r="T5789">
        <v>-0.30537340000000002</v>
      </c>
      <c r="U5789">
        <v>1.8201290000000001</v>
      </c>
      <c r="V5789">
        <v>-0.26450439999999997</v>
      </c>
      <c r="W5789">
        <v>0.41939270000000001</v>
      </c>
      <c r="X5789">
        <v>0.86841639999999998</v>
      </c>
      <c r="Y5789">
        <v>-0.44688099999999997</v>
      </c>
      <c r="Z5789">
        <v>1.7608990000000001E-2</v>
      </c>
      <c r="AA5789">
        <v>0.89442009999999905</v>
      </c>
      <c r="AB5789">
        <v>36</v>
      </c>
      <c r="AC5789">
        <v>0.63889999999997804</v>
      </c>
      <c r="AD5789">
        <v>-8.4145999999999804E-2</v>
      </c>
      <c r="AE5789">
        <v>0.48509999999999498</v>
      </c>
      <c r="AF5789">
        <v>-0.42404644716568202</v>
      </c>
      <c r="AG5789">
        <v>-8.4145999999999804E-2</v>
      </c>
      <c r="AH5789">
        <v>0.67064824609943396</v>
      </c>
      <c r="AI5789">
        <v>96.053532910057598</v>
      </c>
      <c r="AJ5789">
        <v>122.304896640816</v>
      </c>
      <c r="AK5789">
        <v>0.79791290794552505</v>
      </c>
      <c r="AL5789">
        <v>65.203746081866598</v>
      </c>
      <c r="AM5789">
        <v>106.939815909887</v>
      </c>
      <c r="AN5789">
        <v>0.99999992911080204</v>
      </c>
    </row>
    <row r="5790" spans="1:40" x14ac:dyDescent="0.25">
      <c r="A5790" t="str">
        <f>"20190304164523011"</f>
        <v>20190304164523011</v>
      </c>
      <c r="B5790" t="str">
        <f>"1551689123005728"</f>
        <v>1551689123005728</v>
      </c>
      <c r="C5790" t="s">
        <v>40</v>
      </c>
      <c r="D5790">
        <v>5.1715070000000001</v>
      </c>
      <c r="E5790">
        <v>0.4215758</v>
      </c>
      <c r="F5790" t="s">
        <v>41</v>
      </c>
      <c r="G5790">
        <v>-221.9076</v>
      </c>
      <c r="H5790">
        <v>1.0213559999999999</v>
      </c>
      <c r="I5790">
        <v>-61.885599999999997</v>
      </c>
      <c r="J5790">
        <v>-222.62049999999999</v>
      </c>
      <c r="K5790">
        <v>1.1136200000000001</v>
      </c>
      <c r="L5790">
        <v>-62.420900000000003</v>
      </c>
      <c r="M5790">
        <v>0.99611309999999997</v>
      </c>
      <c r="N5790">
        <v>-1.4013080000000001E-2</v>
      </c>
      <c r="O5790">
        <v>8.6960899999999994E-2</v>
      </c>
      <c r="P5790">
        <v>0.8480375</v>
      </c>
      <c r="Q5790">
        <v>0.40897640000000002</v>
      </c>
      <c r="R5790">
        <v>0.33700229999999998</v>
      </c>
      <c r="S5790">
        <v>2.9600979999999999</v>
      </c>
      <c r="T5790">
        <v>-0.30503560000000002</v>
      </c>
      <c r="U5790">
        <v>1.8259890000000001</v>
      </c>
      <c r="V5790">
        <v>-0.26475860000000001</v>
      </c>
      <c r="W5790">
        <v>0.41943960000000002</v>
      </c>
      <c r="X5790">
        <v>0.86831639999999999</v>
      </c>
      <c r="Y5790">
        <v>-0.44725389999999998</v>
      </c>
      <c r="Z5790">
        <v>1.7502400000000001E-2</v>
      </c>
      <c r="AA5790">
        <v>0.89423580000000003</v>
      </c>
      <c r="AB5790">
        <v>36</v>
      </c>
      <c r="AC5790">
        <v>0.71289999999998999</v>
      </c>
      <c r="AD5790">
        <v>-9.2264000000000096E-2</v>
      </c>
      <c r="AE5790">
        <v>0.53530000000000599</v>
      </c>
      <c r="AF5790">
        <v>-0.46627702223045597</v>
      </c>
      <c r="AG5790">
        <v>-9.2264000000000096E-2</v>
      </c>
      <c r="AH5790">
        <v>0.74873401424208497</v>
      </c>
      <c r="AI5790">
        <v>95.971506653253698</v>
      </c>
      <c r="AJ5790">
        <v>121.912746889388</v>
      </c>
      <c r="AK5790">
        <v>0.88686500169933902</v>
      </c>
      <c r="AL5790">
        <v>65.200788704542603</v>
      </c>
      <c r="AM5790">
        <v>106.957002896996</v>
      </c>
      <c r="AN5790">
        <v>1.00000003241553</v>
      </c>
    </row>
    <row r="5791" spans="1:40" x14ac:dyDescent="0.25">
      <c r="A5791" t="str">
        <f>"20190304164523022"</f>
        <v>20190304164523022</v>
      </c>
      <c r="B5791" t="str">
        <f>"1551689123015722"</f>
        <v>1551689123015722</v>
      </c>
      <c r="C5791" t="s">
        <v>40</v>
      </c>
      <c r="D5791">
        <v>5.1728300000000003</v>
      </c>
      <c r="E5791">
        <v>0.42152980000000001</v>
      </c>
      <c r="F5791" t="s">
        <v>58</v>
      </c>
      <c r="G5791">
        <v>-211.84200000000001</v>
      </c>
      <c r="H5791" s="1">
        <v>-8.3396330000000004E-7</v>
      </c>
      <c r="I5791">
        <v>-55.744540000000001</v>
      </c>
      <c r="J5791">
        <v>-222.44560000000001</v>
      </c>
      <c r="K5791">
        <v>1.113648</v>
      </c>
      <c r="L5791">
        <v>-62.404299999999999</v>
      </c>
      <c r="M5791">
        <v>0.9959846</v>
      </c>
      <c r="N5791">
        <v>-1.401321E-2</v>
      </c>
      <c r="O5791">
        <v>8.8422899999999999E-2</v>
      </c>
      <c r="P5791">
        <v>0.8473503</v>
      </c>
      <c r="Q5791">
        <v>0.40938940000000001</v>
      </c>
      <c r="R5791">
        <v>0.33822799999999997</v>
      </c>
      <c r="S5791">
        <v>2.9570310000000002</v>
      </c>
      <c r="T5791">
        <v>-0.30551539999999999</v>
      </c>
      <c r="U5791">
        <v>1.831604</v>
      </c>
      <c r="V5791">
        <v>-0.26478760000000001</v>
      </c>
      <c r="W5791">
        <v>0.4198325</v>
      </c>
      <c r="X5791">
        <v>0.86811759999999905</v>
      </c>
      <c r="Y5791">
        <v>-0.44758209999999998</v>
      </c>
      <c r="Z5791">
        <v>1.7430310000000001E-2</v>
      </c>
      <c r="AA5791">
        <v>0.89407289999999995</v>
      </c>
      <c r="AB5791">
        <v>36</v>
      </c>
      <c r="AC5791">
        <v>10.6036</v>
      </c>
      <c r="AD5791">
        <v>-1.1136488339632999</v>
      </c>
      <c r="AE5791">
        <v>6.6597599999999897</v>
      </c>
      <c r="AF5791">
        <v>-5.6512736531409899</v>
      </c>
      <c r="AG5791">
        <v>-1.1136488339632999</v>
      </c>
      <c r="AH5791">
        <v>11.063477668849099</v>
      </c>
      <c r="AI5791">
        <v>95.122429668211694</v>
      </c>
      <c r="AJ5791">
        <v>117.058147517397</v>
      </c>
      <c r="AK5791">
        <v>12.4730768360175</v>
      </c>
      <c r="AL5791">
        <v>65.175986615829004</v>
      </c>
      <c r="AM5791">
        <v>106.962414296058</v>
      </c>
      <c r="AN5791">
        <v>0.99999998429988401</v>
      </c>
    </row>
    <row r="5792" spans="1:40" x14ac:dyDescent="0.25">
      <c r="A5792" t="str">
        <f>"20190304164523034"</f>
        <v>20190304164523034</v>
      </c>
      <c r="B5792" t="str">
        <f>"1551689123025482"</f>
        <v>1551689123025482</v>
      </c>
      <c r="C5792" t="s">
        <v>40</v>
      </c>
      <c r="D5792">
        <v>5.1310750000000001</v>
      </c>
      <c r="E5792">
        <v>0.4214444</v>
      </c>
      <c r="F5792" t="s">
        <v>41</v>
      </c>
      <c r="G5792">
        <v>-221.58770000000001</v>
      </c>
      <c r="H5792">
        <v>1.0252600000000001</v>
      </c>
      <c r="I5792">
        <v>-61.87115</v>
      </c>
      <c r="J5792">
        <v>-222.26900000000001</v>
      </c>
      <c r="K5792">
        <v>1.1136779999999999</v>
      </c>
      <c r="L5792">
        <v>-62.387419999999999</v>
      </c>
      <c r="M5792">
        <v>0.99585159999999995</v>
      </c>
      <c r="N5792">
        <v>-1.4013350000000001E-2</v>
      </c>
      <c r="O5792">
        <v>8.9907509999999996E-2</v>
      </c>
      <c r="P5792">
        <v>0.84681200000000001</v>
      </c>
      <c r="Q5792">
        <v>0.40954469999999998</v>
      </c>
      <c r="R5792">
        <v>0.33938600000000002</v>
      </c>
      <c r="S5792">
        <v>2.9545439999999998</v>
      </c>
      <c r="T5792">
        <v>-0.30441020000000002</v>
      </c>
      <c r="U5792">
        <v>1.8363039999999999</v>
      </c>
      <c r="V5792">
        <v>-0.26471749999999999</v>
      </c>
      <c r="W5792">
        <v>0.41996889999999998</v>
      </c>
      <c r="X5792">
        <v>0.86807299999999998</v>
      </c>
      <c r="Y5792">
        <v>-0.44762849999999998</v>
      </c>
      <c r="Z5792">
        <v>1.7273130000000001E-2</v>
      </c>
      <c r="AA5792">
        <v>0.89405270000000003</v>
      </c>
      <c r="AB5792">
        <v>36</v>
      </c>
      <c r="AC5792">
        <v>0.68129999999999302</v>
      </c>
      <c r="AD5792">
        <v>-8.8418000000000094E-2</v>
      </c>
      <c r="AE5792">
        <v>0.51626999999999801</v>
      </c>
      <c r="AF5792">
        <v>-0.44812431636345001</v>
      </c>
      <c r="AG5792">
        <v>-8.8418000000000094E-2</v>
      </c>
      <c r="AH5792">
        <v>0.71728718541303504</v>
      </c>
      <c r="AI5792">
        <v>95.9681475814957</v>
      </c>
      <c r="AJ5792">
        <v>121.995032693826</v>
      </c>
      <c r="AK5792">
        <v>0.85037288997119598</v>
      </c>
      <c r="AL5792">
        <v>65.167375504726095</v>
      </c>
      <c r="AM5792">
        <v>106.959002668184</v>
      </c>
      <c r="AN5792">
        <v>0.99999998255122902</v>
      </c>
    </row>
    <row r="5793" spans="1:40" x14ac:dyDescent="0.25">
      <c r="A5793" t="str">
        <f>"20190304164523044"</f>
        <v>20190304164523044</v>
      </c>
      <c r="B5793" t="str">
        <f>"1551689123036219"</f>
        <v>1551689123036219</v>
      </c>
      <c r="C5793" t="s">
        <v>40</v>
      </c>
      <c r="D5793">
        <v>5.1249079999999996</v>
      </c>
      <c r="E5793">
        <v>0.42134969999999999</v>
      </c>
      <c r="F5793" t="s">
        <v>41</v>
      </c>
      <c r="G5793">
        <v>-221.29239999999999</v>
      </c>
      <c r="H5793">
        <v>1.0128619999999999</v>
      </c>
      <c r="I5793">
        <v>-61.778640000000003</v>
      </c>
      <c r="J5793">
        <v>-222.10390000000001</v>
      </c>
      <c r="K5793">
        <v>1.1137170000000001</v>
      </c>
      <c r="L5793">
        <v>-62.37115</v>
      </c>
      <c r="M5793">
        <v>0.99572039999999995</v>
      </c>
      <c r="N5793">
        <v>-1.401414E-2</v>
      </c>
      <c r="O5793">
        <v>9.1346860000000002E-2</v>
      </c>
      <c r="P5793">
        <v>0.84639140000000002</v>
      </c>
      <c r="Q5793">
        <v>0.40957139999999997</v>
      </c>
      <c r="R5793">
        <v>0.34040100000000001</v>
      </c>
      <c r="S5793">
        <v>2.9524689999999998</v>
      </c>
      <c r="T5793">
        <v>-0.3047957</v>
      </c>
      <c r="U5793">
        <v>1.8405149999999999</v>
      </c>
      <c r="V5793">
        <v>-0.2645439</v>
      </c>
      <c r="W5793">
        <v>0.41997269999999998</v>
      </c>
      <c r="X5793">
        <v>0.86812409999999995</v>
      </c>
      <c r="Y5793">
        <v>-0.4475382</v>
      </c>
      <c r="Z5793">
        <v>1.717343E-2</v>
      </c>
      <c r="AA5793">
        <v>0.89409989999999995</v>
      </c>
      <c r="AB5793">
        <v>36</v>
      </c>
      <c r="AC5793">
        <v>0.81150000000002298</v>
      </c>
      <c r="AD5793">
        <v>-0.100854999999999</v>
      </c>
      <c r="AE5793">
        <v>0.59250999999999698</v>
      </c>
      <c r="AF5793">
        <v>-0.51075121949310598</v>
      </c>
      <c r="AG5793">
        <v>-0.100854999999999</v>
      </c>
      <c r="AH5793">
        <v>0.85363542690402605</v>
      </c>
      <c r="AI5793">
        <v>95.789185800559594</v>
      </c>
      <c r="AJ5793">
        <v>120.89312813741</v>
      </c>
      <c r="AK5793">
        <v>0.99986598167170104</v>
      </c>
      <c r="AL5793">
        <v>65.167136018318402</v>
      </c>
      <c r="AM5793">
        <v>106.947578320274</v>
      </c>
      <c r="AN5793">
        <v>0.99999999838665499</v>
      </c>
    </row>
    <row r="5794" spans="1:40" x14ac:dyDescent="0.25">
      <c r="A5794" t="str">
        <f>"20190304164523055"</f>
        <v>20190304164523055</v>
      </c>
      <c r="B5794" t="str">
        <f>"1551689123045978"</f>
        <v>1551689123045978</v>
      </c>
      <c r="C5794" t="s">
        <v>40</v>
      </c>
      <c r="D5794">
        <v>5.1732589999999998</v>
      </c>
      <c r="E5794">
        <v>0.42128860000000001</v>
      </c>
      <c r="F5794" t="s">
        <v>41</v>
      </c>
      <c r="G5794">
        <v>-221.27</v>
      </c>
      <c r="H5794">
        <v>1.027426</v>
      </c>
      <c r="I5794">
        <v>-61.849780000000003</v>
      </c>
      <c r="J5794">
        <v>-221.93190000000001</v>
      </c>
      <c r="K5794">
        <v>1.113758</v>
      </c>
      <c r="L5794">
        <v>-62.35416</v>
      </c>
      <c r="M5794">
        <v>0.9955813</v>
      </c>
      <c r="N5794">
        <v>-1.401493E-2</v>
      </c>
      <c r="O5794">
        <v>9.2852799999999999E-2</v>
      </c>
      <c r="P5794">
        <v>0.84588739999999996</v>
      </c>
      <c r="Q5794">
        <v>0.40966269999999999</v>
      </c>
      <c r="R5794">
        <v>0.34154200000000001</v>
      </c>
      <c r="S5794">
        <v>2.9503170000000001</v>
      </c>
      <c r="T5794">
        <v>-0.30530020000000002</v>
      </c>
      <c r="U5794">
        <v>1.844635</v>
      </c>
      <c r="V5794">
        <v>-0.26444849999999998</v>
      </c>
      <c r="W5794">
        <v>0.42003849999999998</v>
      </c>
      <c r="X5794">
        <v>0.86812129999999998</v>
      </c>
      <c r="Y5794">
        <v>-0.44737719999999997</v>
      </c>
      <c r="Z5794">
        <v>1.706935E-2</v>
      </c>
      <c r="AA5794">
        <v>0.89418240000000004</v>
      </c>
      <c r="AB5794">
        <v>36</v>
      </c>
      <c r="AC5794">
        <v>0.66190000000000204</v>
      </c>
      <c r="AD5794">
        <v>-8.6332000000000006E-2</v>
      </c>
      <c r="AE5794">
        <v>0.50437999999999705</v>
      </c>
      <c r="AF5794">
        <v>-0.43604232562490303</v>
      </c>
      <c r="AG5794">
        <v>-8.6332000000000006E-2</v>
      </c>
      <c r="AH5794">
        <v>0.69836143691180996</v>
      </c>
      <c r="AI5794">
        <v>95.9861293043611</v>
      </c>
      <c r="AJ5794">
        <v>121.97979645414</v>
      </c>
      <c r="AK5794">
        <v>0.82782535629557896</v>
      </c>
      <c r="AL5794">
        <v>65.162981053863007</v>
      </c>
      <c r="AM5794">
        <v>106.94186830551</v>
      </c>
      <c r="AN5794">
        <v>0.999999971074094</v>
      </c>
    </row>
    <row r="5795" spans="1:40" x14ac:dyDescent="0.25">
      <c r="A5795" t="str">
        <f>"20190304164523066"</f>
        <v>20190304164523066</v>
      </c>
      <c r="B5795" t="str">
        <f>"1551689123055738"</f>
        <v>1551689123055738</v>
      </c>
      <c r="C5795" t="s">
        <v>40</v>
      </c>
      <c r="D5795">
        <v>5.1386640000000003</v>
      </c>
      <c r="E5795">
        <v>0.42120649999999998</v>
      </c>
      <c r="F5795" t="s">
        <v>41</v>
      </c>
      <c r="G5795">
        <v>-220.97579999999999</v>
      </c>
      <c r="H5795">
        <v>1.014632</v>
      </c>
      <c r="I5795">
        <v>-61.75461</v>
      </c>
      <c r="J5795">
        <v>-221.7509</v>
      </c>
      <c r="K5795">
        <v>1.1138110000000001</v>
      </c>
      <c r="L5795">
        <v>-62.335749999999997</v>
      </c>
      <c r="M5795">
        <v>0.99542710000000001</v>
      </c>
      <c r="N5795">
        <v>-1.4016399999999899E-2</v>
      </c>
      <c r="O5795">
        <v>9.44908E-2</v>
      </c>
      <c r="P5795">
        <v>0.845279</v>
      </c>
      <c r="Q5795">
        <v>0.40978799999999999</v>
      </c>
      <c r="R5795">
        <v>0.34289540000000002</v>
      </c>
      <c r="S5795">
        <v>2.9481350000000002</v>
      </c>
      <c r="T5795">
        <v>-0.30566480000000001</v>
      </c>
      <c r="U5795">
        <v>1.8487549999999999</v>
      </c>
      <c r="V5795">
        <v>-0.26446999999999998</v>
      </c>
      <c r="W5795">
        <v>0.42013070000000002</v>
      </c>
      <c r="X5795">
        <v>0.86807019999999901</v>
      </c>
      <c r="Y5795">
        <v>-0.44710369999999999</v>
      </c>
      <c r="Z5795">
        <v>1.6942659999999998E-2</v>
      </c>
      <c r="AA5795">
        <v>0.89432160000000005</v>
      </c>
      <c r="AB5795">
        <v>36</v>
      </c>
      <c r="AC5795">
        <v>0.775100000000009</v>
      </c>
      <c r="AD5795">
        <v>-9.91790000000001E-2</v>
      </c>
      <c r="AE5795">
        <v>0.58113999999999699</v>
      </c>
      <c r="AF5795">
        <v>-0.500051256126682</v>
      </c>
      <c r="AG5795">
        <v>-9.91790000000001E-2</v>
      </c>
      <c r="AH5795">
        <v>0.81797587082340095</v>
      </c>
      <c r="AI5795">
        <v>95.906230654813498</v>
      </c>
      <c r="AJ5795">
        <v>121.438597436583</v>
      </c>
      <c r="AK5795">
        <v>0.96383206942090005</v>
      </c>
      <c r="AL5795">
        <v>65.157161370198395</v>
      </c>
      <c r="AM5795">
        <v>106.944107036066</v>
      </c>
      <c r="AN5795">
        <v>1.00000002905526</v>
      </c>
    </row>
    <row r="5796" spans="1:40" x14ac:dyDescent="0.25">
      <c r="A5796" t="str">
        <f>"20190304164523078"</f>
        <v>20190304164523078</v>
      </c>
      <c r="B5796" t="str">
        <f>"1551689123076235"</f>
        <v>1551689123076235</v>
      </c>
      <c r="C5796" t="s">
        <v>40</v>
      </c>
      <c r="D5796">
        <v>5.1544509999999999</v>
      </c>
      <c r="E5796">
        <v>0.416126</v>
      </c>
      <c r="F5796" t="s">
        <v>41</v>
      </c>
      <c r="G5796">
        <v>-220.9503</v>
      </c>
      <c r="H5796">
        <v>1.030694</v>
      </c>
      <c r="I5796">
        <v>-61.831580000000002</v>
      </c>
      <c r="J5796">
        <v>-221.5779</v>
      </c>
      <c r="K5796">
        <v>1.1138629999999901</v>
      </c>
      <c r="L5796">
        <v>-62.317959999999999</v>
      </c>
      <c r="M5796">
        <v>0.99527480000000002</v>
      </c>
      <c r="N5796">
        <v>-1.401786E-2</v>
      </c>
      <c r="O5796">
        <v>9.6082349999999997E-2</v>
      </c>
      <c r="P5796">
        <v>0.84462029999999999</v>
      </c>
      <c r="Q5796">
        <v>0.41020519999999999</v>
      </c>
      <c r="R5796">
        <v>0.34401809999999899</v>
      </c>
      <c r="S5796">
        <v>2.9450229999999999</v>
      </c>
      <c r="T5796">
        <v>-0.3057338</v>
      </c>
      <c r="U5796">
        <v>1.854584</v>
      </c>
      <c r="V5796">
        <v>-0.26431059999999901</v>
      </c>
      <c r="W5796">
        <v>0.42051450000000001</v>
      </c>
      <c r="X5796">
        <v>0.86793290000000001</v>
      </c>
      <c r="Y5796">
        <v>-0.44737070000000001</v>
      </c>
      <c r="Z5796">
        <v>1.6839239999999998E-2</v>
      </c>
      <c r="AA5796">
        <v>0.89419009999999999</v>
      </c>
      <c r="AB5796">
        <v>36</v>
      </c>
      <c r="AC5796">
        <v>0.62760000000000005</v>
      </c>
      <c r="AD5796">
        <v>-8.3168999999999799E-2</v>
      </c>
      <c r="AE5796">
        <v>0.48637999999999598</v>
      </c>
      <c r="AF5796">
        <v>-0.41922247876278301</v>
      </c>
      <c r="AG5796">
        <v>-8.3168999999999799E-2</v>
      </c>
      <c r="AH5796">
        <v>0.66414607098226097</v>
      </c>
      <c r="AI5796">
        <v>96.044817651269298</v>
      </c>
      <c r="AJ5796">
        <v>122.26095225653199</v>
      </c>
      <c r="AK5796">
        <v>0.78978134496972396</v>
      </c>
      <c r="AL5796">
        <v>65.132926471916804</v>
      </c>
      <c r="AM5796">
        <v>106.93700473428601</v>
      </c>
      <c r="AN5796">
        <v>1.0000000284424999</v>
      </c>
    </row>
    <row r="5797" spans="1:40" x14ac:dyDescent="0.25">
      <c r="A5797" t="str">
        <f>"20190304164523089"</f>
        <v>20190304164523089</v>
      </c>
      <c r="B5797" t="str">
        <f>"1551689123085994"</f>
        <v>1551689123085994</v>
      </c>
      <c r="C5797" t="s">
        <v>40</v>
      </c>
      <c r="D5797">
        <v>5.1514379999999997</v>
      </c>
      <c r="E5797">
        <v>0.4160433</v>
      </c>
      <c r="F5797" t="s">
        <v>41</v>
      </c>
      <c r="G5797">
        <v>-220.66120000000001</v>
      </c>
      <c r="H5797">
        <v>1.0133319999999999</v>
      </c>
      <c r="I5797">
        <v>-61.724890000000002</v>
      </c>
      <c r="J5797">
        <v>-221.3869</v>
      </c>
      <c r="K5797">
        <v>1.1139250000000001</v>
      </c>
      <c r="L5797">
        <v>-62.297910000000002</v>
      </c>
      <c r="M5797">
        <v>0.9950985</v>
      </c>
      <c r="N5797">
        <v>-1.4019739999999999E-2</v>
      </c>
      <c r="O5797">
        <v>9.7891080000000005E-2</v>
      </c>
      <c r="P5797">
        <v>0.84371890000000005</v>
      </c>
      <c r="Q5797">
        <v>0.41074450000000001</v>
      </c>
      <c r="R5797">
        <v>0.34558299999999997</v>
      </c>
      <c r="S5797">
        <v>2.93486</v>
      </c>
      <c r="T5797">
        <v>-0.32186710000000002</v>
      </c>
      <c r="U5797">
        <v>1.898712</v>
      </c>
      <c r="V5797">
        <v>-0.26443860000000002</v>
      </c>
      <c r="W5797">
        <v>0.42100929999999998</v>
      </c>
      <c r="X5797">
        <v>0.86765400000000004</v>
      </c>
      <c r="Y5797">
        <v>-0.4564627</v>
      </c>
      <c r="Z5797">
        <v>1.784912E-2</v>
      </c>
      <c r="AA5797">
        <v>0.88956349999999995</v>
      </c>
      <c r="AB5797">
        <v>36</v>
      </c>
      <c r="AC5797">
        <v>0.72569999999998902</v>
      </c>
      <c r="AD5797">
        <v>-0.100593</v>
      </c>
      <c r="AE5797">
        <v>0.57301999999999198</v>
      </c>
      <c r="AF5797">
        <v>-0.49338155169800302</v>
      </c>
      <c r="AG5797">
        <v>-0.100593</v>
      </c>
      <c r="AH5797">
        <v>0.76920923180494205</v>
      </c>
      <c r="AI5797">
        <v>96.281654642100804</v>
      </c>
      <c r="AJ5797">
        <v>122.67667982573001</v>
      </c>
      <c r="AK5797">
        <v>0.91936236027960105</v>
      </c>
      <c r="AL5797">
        <v>65.101675672525801</v>
      </c>
      <c r="AM5797">
        <v>106.949871622918</v>
      </c>
      <c r="AN5797">
        <v>1.00000003378622</v>
      </c>
    </row>
    <row r="5798" spans="1:40" x14ac:dyDescent="0.25">
      <c r="A5798" t="str">
        <f>"20190304164523102"</f>
        <v>20190304164523102</v>
      </c>
      <c r="B5798" t="str">
        <f>"1551689123095754"</f>
        <v>1551689123095754</v>
      </c>
      <c r="C5798" t="s">
        <v>40</v>
      </c>
      <c r="D5798">
        <v>5.1362030000000001</v>
      </c>
      <c r="E5798">
        <v>0.41585949999999999</v>
      </c>
      <c r="F5798" t="s">
        <v>41</v>
      </c>
      <c r="G5798">
        <v>-220.60669999999999</v>
      </c>
      <c r="H5798">
        <v>1.0291090000000001</v>
      </c>
      <c r="I5798">
        <v>-61.791029999999999</v>
      </c>
      <c r="J5798">
        <v>-221.19560000000001</v>
      </c>
      <c r="K5798">
        <v>1.1140000000000001</v>
      </c>
      <c r="L5798">
        <v>-62.2774</v>
      </c>
      <c r="M5798">
        <v>0.99491189999999996</v>
      </c>
      <c r="N5798">
        <v>-1.402197E-2</v>
      </c>
      <c r="O5798">
        <v>9.9767579999999995E-2</v>
      </c>
      <c r="P5798">
        <v>0.84289029999999998</v>
      </c>
      <c r="Q5798">
        <v>0.41104370000000001</v>
      </c>
      <c r="R5798">
        <v>0.34724480000000002</v>
      </c>
      <c r="S5798">
        <v>2.9308779999999999</v>
      </c>
      <c r="T5798">
        <v>-0.31862990000000002</v>
      </c>
      <c r="U5798">
        <v>1.904083</v>
      </c>
      <c r="V5798">
        <v>-0.26460400000000001</v>
      </c>
      <c r="W5798">
        <v>0.42125970000000001</v>
      </c>
      <c r="X5798">
        <v>0.86748189999999903</v>
      </c>
      <c r="Y5798">
        <v>-0.45652300000000001</v>
      </c>
      <c r="Z5798">
        <v>1.757448E-2</v>
      </c>
      <c r="AA5798">
        <v>0.88953799999999905</v>
      </c>
      <c r="AB5798">
        <v>36</v>
      </c>
      <c r="AC5798">
        <v>0.58890000000002296</v>
      </c>
      <c r="AD5798">
        <v>-8.4890999999999994E-2</v>
      </c>
      <c r="AE5798">
        <v>0.48636999999999297</v>
      </c>
      <c r="AF5798">
        <v>-0.41999561598582102</v>
      </c>
      <c r="AG5798">
        <v>-8.4890999999999994E-2</v>
      </c>
      <c r="AH5798">
        <v>0.62674751519237704</v>
      </c>
      <c r="AI5798">
        <v>96.419861685985197</v>
      </c>
      <c r="AJ5798">
        <v>123.82680321583901</v>
      </c>
      <c r="AK5798">
        <v>0.75922015721932001</v>
      </c>
      <c r="AL5798">
        <v>65.085854928745803</v>
      </c>
      <c r="AM5798">
        <v>106.963036513174</v>
      </c>
      <c r="AN5798">
        <v>0.99999992924384695</v>
      </c>
    </row>
    <row r="5799" spans="1:40" x14ac:dyDescent="0.25">
      <c r="A5799" t="str">
        <f>"20190304164523113"</f>
        <v>20190304164523113</v>
      </c>
      <c r="B5799" t="str">
        <f>"1551689123105515"</f>
        <v>1551689123105515</v>
      </c>
      <c r="C5799" t="s">
        <v>40</v>
      </c>
      <c r="D5799">
        <v>5.1706560000000001</v>
      </c>
      <c r="E5799">
        <v>0.4156396</v>
      </c>
      <c r="F5799" t="s">
        <v>41</v>
      </c>
      <c r="G5799">
        <v>-220.3391</v>
      </c>
      <c r="H5799">
        <v>1.021369</v>
      </c>
      <c r="I5799">
        <v>-61.718510000000002</v>
      </c>
      <c r="J5799">
        <v>-221.01609999999999</v>
      </c>
      <c r="K5799">
        <v>1.1140699999999999</v>
      </c>
      <c r="L5799">
        <v>-62.257969999999901</v>
      </c>
      <c r="M5799">
        <v>0.99473089999999997</v>
      </c>
      <c r="N5799">
        <v>-1.402405E-2</v>
      </c>
      <c r="O5799">
        <v>0.1015588</v>
      </c>
      <c r="P5799">
        <v>0.84221880000000005</v>
      </c>
      <c r="Q5799">
        <v>0.41112500000000002</v>
      </c>
      <c r="R5799">
        <v>0.348775</v>
      </c>
      <c r="S5799">
        <v>2.9266049999999999</v>
      </c>
      <c r="T5799">
        <v>-0.31652550000000002</v>
      </c>
      <c r="U5799">
        <v>1.9102170000000001</v>
      </c>
      <c r="V5799">
        <v>-0.2646964</v>
      </c>
      <c r="W5799">
        <v>0.42129610000000001</v>
      </c>
      <c r="X5799">
        <v>0.86743619999999899</v>
      </c>
      <c r="Y5799">
        <v>-0.4568488</v>
      </c>
      <c r="Z5799">
        <v>1.7370389999999999E-2</v>
      </c>
      <c r="AA5799">
        <v>0.88937479999999902</v>
      </c>
      <c r="AB5799">
        <v>36</v>
      </c>
      <c r="AC5799">
        <v>0.67699999999999205</v>
      </c>
      <c r="AD5799">
        <v>-9.2701000000000103E-2</v>
      </c>
      <c r="AE5799">
        <v>0.53945999999999805</v>
      </c>
      <c r="AF5799">
        <v>-0.46260302300950701</v>
      </c>
      <c r="AG5799">
        <v>-9.2701000000000103E-2</v>
      </c>
      <c r="AH5799">
        <v>0.72003387157411902</v>
      </c>
      <c r="AI5799">
        <v>96.181986905765001</v>
      </c>
      <c r="AJ5799">
        <v>122.719689362728</v>
      </c>
      <c r="AK5799">
        <v>0.86083901428347798</v>
      </c>
      <c r="AL5799">
        <v>65.083559211162594</v>
      </c>
      <c r="AM5799">
        <v>106.969462343456</v>
      </c>
      <c r="AN5799">
        <v>1.0000000745593001</v>
      </c>
    </row>
    <row r="5800" spans="1:40" x14ac:dyDescent="0.25">
      <c r="A5800" t="str">
        <f>"20190304164523126"</f>
        <v>20190304164523126</v>
      </c>
      <c r="B5800" t="str">
        <f>"1551689123116251"</f>
        <v>1551689123116251</v>
      </c>
      <c r="C5800" t="s">
        <v>40</v>
      </c>
      <c r="D5800">
        <v>5.1710529999999997</v>
      </c>
      <c r="E5800">
        <v>0.4156396</v>
      </c>
      <c r="F5800" t="s">
        <v>58</v>
      </c>
      <c r="G5800">
        <v>-210.73230000000001</v>
      </c>
      <c r="H5800" s="1">
        <v>-5.1748129999999995E-7</v>
      </c>
      <c r="I5800">
        <v>-55.514740000000003</v>
      </c>
      <c r="J5800">
        <v>-220.82470000000001</v>
      </c>
      <c r="K5800">
        <v>1.11416</v>
      </c>
      <c r="L5800">
        <v>-62.236510000000003</v>
      </c>
      <c r="M5800">
        <v>0.99452260000000003</v>
      </c>
      <c r="N5800">
        <v>-1.402753E-2</v>
      </c>
      <c r="O5800">
        <v>0.1035763</v>
      </c>
      <c r="P5800">
        <v>0.84139679999999994</v>
      </c>
      <c r="Q5800">
        <v>0.41132590000000002</v>
      </c>
      <c r="R5800">
        <v>0.35051759999999998</v>
      </c>
      <c r="S5800">
        <v>2.9229129999999999</v>
      </c>
      <c r="T5800">
        <v>-0.3166448</v>
      </c>
      <c r="U5800">
        <v>1.9165650000000001</v>
      </c>
      <c r="V5800">
        <v>-0.26483469999999998</v>
      </c>
      <c r="W5800">
        <v>0.42144090000000001</v>
      </c>
      <c r="X5800">
        <v>0.86732359999999897</v>
      </c>
      <c r="Y5800">
        <v>-0.45691619999999999</v>
      </c>
      <c r="Z5800">
        <v>1.7219580000000002E-2</v>
      </c>
      <c r="AA5800">
        <v>0.88934310000000005</v>
      </c>
      <c r="AB5800">
        <v>36</v>
      </c>
      <c r="AC5800">
        <v>10.0923999999999</v>
      </c>
      <c r="AD5800">
        <v>-1.1141605174813001</v>
      </c>
      <c r="AE5800">
        <v>6.7217699999999896</v>
      </c>
      <c r="AF5800">
        <v>-5.5929558630244003</v>
      </c>
      <c r="AG5800">
        <v>-1.1141605174813001</v>
      </c>
      <c r="AH5800">
        <v>10.6445270793247</v>
      </c>
      <c r="AI5800">
        <v>95.293797511460397</v>
      </c>
      <c r="AJ5800">
        <v>117.71879164000001</v>
      </c>
      <c r="AK5800">
        <v>12.0759457471012</v>
      </c>
      <c r="AL5800">
        <v>65.074410035744606</v>
      </c>
      <c r="AM5800">
        <v>106.979896137232</v>
      </c>
      <c r="AN5800">
        <v>1.0000000388169199</v>
      </c>
    </row>
    <row r="5801" spans="1:40" x14ac:dyDescent="0.25">
      <c r="A5801" t="str">
        <f>"20190304164523138"</f>
        <v>20190304164523138</v>
      </c>
      <c r="B5801" t="str">
        <f>"1551689123126011"</f>
        <v>1551689123126011</v>
      </c>
      <c r="C5801" t="s">
        <v>40</v>
      </c>
      <c r="D5801">
        <v>5.1514030000000002</v>
      </c>
      <c r="E5801">
        <v>0.416051</v>
      </c>
      <c r="F5801" t="s">
        <v>41</v>
      </c>
      <c r="G5801">
        <v>-220.01900000000001</v>
      </c>
      <c r="H5801">
        <v>1.0269010000000001</v>
      </c>
      <c r="I5801">
        <v>-61.706009999999999</v>
      </c>
      <c r="J5801">
        <v>-220.63130000000001</v>
      </c>
      <c r="K5801">
        <v>1.1142540000000001</v>
      </c>
      <c r="L5801">
        <v>-62.214570000000002</v>
      </c>
      <c r="M5801">
        <v>0.99430339999999995</v>
      </c>
      <c r="N5801">
        <v>-1.4031299999999899E-2</v>
      </c>
      <c r="O5801">
        <v>0.10566010000000001</v>
      </c>
      <c r="P5801">
        <v>0.84073469999999995</v>
      </c>
      <c r="Q5801">
        <v>0.41131030000000002</v>
      </c>
      <c r="R5801">
        <v>0.35212130000000003</v>
      </c>
      <c r="S5801">
        <v>2.9193570000000002</v>
      </c>
      <c r="T5801">
        <v>-0.31615650000000001</v>
      </c>
      <c r="U5801">
        <v>1.922058</v>
      </c>
      <c r="V5801">
        <v>-0.26476519999999998</v>
      </c>
      <c r="W5801">
        <v>0.42137039999999998</v>
      </c>
      <c r="X5801">
        <v>0.86737900000000001</v>
      </c>
      <c r="Y5801">
        <v>-0.45673019999999998</v>
      </c>
      <c r="Z5801">
        <v>1.702563E-2</v>
      </c>
      <c r="AA5801">
        <v>0.88944230000000002</v>
      </c>
      <c r="AB5801">
        <v>35</v>
      </c>
      <c r="AC5801">
        <v>0.61230000000000395</v>
      </c>
      <c r="AD5801">
        <v>-8.7353E-2</v>
      </c>
      <c r="AE5801">
        <v>0.50855999999999502</v>
      </c>
      <c r="AF5801">
        <v>-0.43576221802432902</v>
      </c>
      <c r="AG5801">
        <v>-8.7353E-2</v>
      </c>
      <c r="AH5801">
        <v>0.65472598055269904</v>
      </c>
      <c r="AI5801">
        <v>96.337748520496305</v>
      </c>
      <c r="AJ5801">
        <v>123.64631719055301</v>
      </c>
      <c r="AK5801">
        <v>0.79131875175378996</v>
      </c>
      <c r="AL5801">
        <v>65.078862558286204</v>
      </c>
      <c r="AM5801">
        <v>106.97467449801999</v>
      </c>
      <c r="AN5801">
        <v>0.99999997738409996</v>
      </c>
    </row>
    <row r="5802" spans="1:40" x14ac:dyDescent="0.25">
      <c r="A5802" t="str">
        <f>"20190304164523148"</f>
        <v>20190304164523148</v>
      </c>
      <c r="B5802" t="str">
        <f>"1551689123135771"</f>
        <v>1551689123135771</v>
      </c>
      <c r="C5802" t="s">
        <v>40</v>
      </c>
      <c r="D5802">
        <v>5.17685</v>
      </c>
      <c r="E5802">
        <v>0.41693590000000003</v>
      </c>
      <c r="F5802" t="s">
        <v>41</v>
      </c>
      <c r="G5802">
        <v>-219.72450000000001</v>
      </c>
      <c r="H5802">
        <v>1.0151490000000001</v>
      </c>
      <c r="I5802">
        <v>-61.616489999999999</v>
      </c>
      <c r="J5802">
        <v>-220.47399999999999</v>
      </c>
      <c r="K5802">
        <v>1.1143430000000001</v>
      </c>
      <c r="L5802">
        <v>-62.196319999999901</v>
      </c>
      <c r="M5802">
        <v>0.99411479999999997</v>
      </c>
      <c r="N5802">
        <v>-1.4034990000000001E-2</v>
      </c>
      <c r="O5802">
        <v>0.10742</v>
      </c>
      <c r="P5802">
        <v>0.84030419999999995</v>
      </c>
      <c r="Q5802">
        <v>0.41094199999999997</v>
      </c>
      <c r="R5802">
        <v>0.35357569999999999</v>
      </c>
      <c r="S5802">
        <v>2.918015</v>
      </c>
      <c r="T5802">
        <v>-0.31892140000000002</v>
      </c>
      <c r="U5802">
        <v>1.9251400000000001</v>
      </c>
      <c r="V5802">
        <v>-0.264793</v>
      </c>
      <c r="W5802">
        <v>0.42095519999999997</v>
      </c>
      <c r="X5802">
        <v>0.86757209999999996</v>
      </c>
      <c r="Y5802">
        <v>-0.45598030000000001</v>
      </c>
      <c r="Z5802">
        <v>1.694391E-2</v>
      </c>
      <c r="AA5802">
        <v>0.88982859999999997</v>
      </c>
      <c r="AB5802">
        <v>35</v>
      </c>
      <c r="AC5802">
        <v>0.74950000000001105</v>
      </c>
      <c r="AD5802">
        <v>-9.9194000000000004E-2</v>
      </c>
      <c r="AE5802">
        <v>0.57982999999999396</v>
      </c>
      <c r="AF5802">
        <v>-0.49057948103714</v>
      </c>
      <c r="AG5802">
        <v>-9.9194000000000004E-2</v>
      </c>
      <c r="AH5802">
        <v>0.79870191069851204</v>
      </c>
      <c r="AI5802">
        <v>96.040887566501297</v>
      </c>
      <c r="AJ5802">
        <v>121.55911946307501</v>
      </c>
      <c r="AK5802">
        <v>0.94256693078217202</v>
      </c>
      <c r="AL5802">
        <v>65.105091540877197</v>
      </c>
      <c r="AM5802">
        <v>106.97279303526599</v>
      </c>
      <c r="AN5802">
        <v>0.99999998097722398</v>
      </c>
    </row>
    <row r="5803" spans="1:40" x14ac:dyDescent="0.25">
      <c r="A5803" t="str">
        <f>"20190304164523160"</f>
        <v>20190304164523160</v>
      </c>
      <c r="B5803" t="str">
        <f>"1551689123156266"</f>
        <v>1551689123156266</v>
      </c>
      <c r="C5803" t="s">
        <v>40</v>
      </c>
      <c r="D5803">
        <v>5.3449350000000004</v>
      </c>
      <c r="E5803">
        <v>0.4176204</v>
      </c>
      <c r="F5803" t="s">
        <v>41</v>
      </c>
      <c r="G5803">
        <v>-219.7002</v>
      </c>
      <c r="H5803">
        <v>1.027156</v>
      </c>
      <c r="I5803">
        <v>-61.686500000000002</v>
      </c>
      <c r="J5803">
        <v>-220.2989</v>
      </c>
      <c r="K5803">
        <v>1.1144339999999999</v>
      </c>
      <c r="L5803">
        <v>-62.175629999999998</v>
      </c>
      <c r="M5803">
        <v>0.99389510000000003</v>
      </c>
      <c r="N5803">
        <v>-1.403941E-2</v>
      </c>
      <c r="O5803">
        <v>0.10943219999999999</v>
      </c>
      <c r="P5803">
        <v>0.83981260000000002</v>
      </c>
      <c r="Q5803">
        <v>0.41055930000000002</v>
      </c>
      <c r="R5803">
        <v>0.35518430000000001</v>
      </c>
      <c r="S5803">
        <v>2.9210820000000002</v>
      </c>
      <c r="T5803">
        <v>-0.329123</v>
      </c>
      <c r="U5803">
        <v>1.925079</v>
      </c>
      <c r="V5803">
        <v>-0.26477040000000002</v>
      </c>
      <c r="W5803">
        <v>0.42051959999999999</v>
      </c>
      <c r="X5803">
        <v>0.86779019999999996</v>
      </c>
      <c r="Y5803">
        <v>-0.45365220000000001</v>
      </c>
      <c r="Z5803">
        <v>1.700629E-2</v>
      </c>
      <c r="AA5803">
        <v>0.89101649999999999</v>
      </c>
      <c r="AB5803">
        <v>35</v>
      </c>
      <c r="AC5803">
        <v>0.598700000000007</v>
      </c>
      <c r="AD5803">
        <v>-8.7277999999999897E-2</v>
      </c>
      <c r="AE5803">
        <v>0.48913000000000301</v>
      </c>
      <c r="AF5803">
        <v>-0.41537444367776699</v>
      </c>
      <c r="AG5803">
        <v>-8.7277999999999897E-2</v>
      </c>
      <c r="AH5803">
        <v>0.64047279205159702</v>
      </c>
      <c r="AI5803">
        <v>96.522405768489804</v>
      </c>
      <c r="AJ5803">
        <v>122.965161848216</v>
      </c>
      <c r="AK5803">
        <v>0.76834808199342997</v>
      </c>
      <c r="AL5803">
        <v>65.132602716782998</v>
      </c>
      <c r="AM5803">
        <v>106.967407345434</v>
      </c>
      <c r="AN5803">
        <v>0.999999964958179</v>
      </c>
    </row>
    <row r="5804" spans="1:40" x14ac:dyDescent="0.25">
      <c r="A5804" t="str">
        <f>"20190304164523170"</f>
        <v>20190304164523170</v>
      </c>
      <c r="B5804" t="str">
        <f>"1551689123166027"</f>
        <v>1551689123166027</v>
      </c>
      <c r="C5804" t="s">
        <v>40</v>
      </c>
      <c r="D5804">
        <v>5.3488280000000001</v>
      </c>
      <c r="E5804">
        <v>0.4176204</v>
      </c>
      <c r="F5804" t="s">
        <v>41</v>
      </c>
      <c r="G5804">
        <v>-219.40960000000001</v>
      </c>
      <c r="H5804">
        <v>1.0135620000000001</v>
      </c>
      <c r="I5804">
        <v>-61.5890699999999</v>
      </c>
      <c r="J5804">
        <v>-220.12370000000001</v>
      </c>
      <c r="K5804">
        <v>1.1145309999999999</v>
      </c>
      <c r="L5804">
        <v>-62.154600000000002</v>
      </c>
      <c r="M5804">
        <v>0.99366520000000003</v>
      </c>
      <c r="N5804">
        <v>-1.404412E-2</v>
      </c>
      <c r="O5804">
        <v>0.1115003</v>
      </c>
      <c r="P5804">
        <v>0.83942830000000002</v>
      </c>
      <c r="Q5804">
        <v>0.40983170000000002</v>
      </c>
      <c r="R5804">
        <v>0.3569292</v>
      </c>
      <c r="S5804">
        <v>2.919708</v>
      </c>
      <c r="T5804">
        <v>-0.331179</v>
      </c>
      <c r="U5804">
        <v>1.925659</v>
      </c>
      <c r="V5804">
        <v>-0.26482159999999999</v>
      </c>
      <c r="W5804">
        <v>0.41973899999999997</v>
      </c>
      <c r="X5804">
        <v>0.86815239999999905</v>
      </c>
      <c r="Y5804">
        <v>-0.4521075</v>
      </c>
      <c r="Z5804">
        <v>1.6814860000000001E-2</v>
      </c>
      <c r="AA5804">
        <v>0.89180499999999996</v>
      </c>
      <c r="AB5804">
        <v>35</v>
      </c>
      <c r="AC5804">
        <v>0.71410000000000196</v>
      </c>
      <c r="AD5804">
        <v>-0.100968999999999</v>
      </c>
      <c r="AE5804">
        <v>0.56553000000000897</v>
      </c>
      <c r="AF5804">
        <v>-0.47651801351686601</v>
      </c>
      <c r="AG5804">
        <v>-0.100968999999999</v>
      </c>
      <c r="AH5804">
        <v>0.76333072836752702</v>
      </c>
      <c r="AI5804">
        <v>96.4021271210392</v>
      </c>
      <c r="AJ5804">
        <v>121.974947344638</v>
      </c>
      <c r="AK5804">
        <v>0.90550425567037496</v>
      </c>
      <c r="AL5804">
        <v>65.181888075022599</v>
      </c>
      <c r="AM5804">
        <v>106.963826304321</v>
      </c>
      <c r="AN5804">
        <v>0.99999994878665799</v>
      </c>
    </row>
    <row r="5805" spans="1:40" x14ac:dyDescent="0.25">
      <c r="A5805" t="str">
        <f>"20190304164523181"</f>
        <v>20190304164523181</v>
      </c>
      <c r="B5805" t="str">
        <f>"1551689123175787"</f>
        <v>1551689123175787</v>
      </c>
      <c r="C5805" t="s">
        <v>40</v>
      </c>
      <c r="D5805">
        <v>5.440353</v>
      </c>
      <c r="E5805">
        <v>0.4624759</v>
      </c>
      <c r="F5805" t="s">
        <v>41</v>
      </c>
      <c r="G5805">
        <v>-219.32740000000001</v>
      </c>
      <c r="H5805">
        <v>1.0233239999999999</v>
      </c>
      <c r="I5805">
        <v>-61.627119999999998</v>
      </c>
      <c r="J5805">
        <v>-219.9616</v>
      </c>
      <c r="K5805">
        <v>1.1146210000000001</v>
      </c>
      <c r="L5805">
        <v>-62.134639999999997</v>
      </c>
      <c r="M5805">
        <v>0.99344060000000001</v>
      </c>
      <c r="N5805">
        <v>-1.404878E-2</v>
      </c>
      <c r="O5805">
        <v>0.1134833</v>
      </c>
      <c r="P5805">
        <v>0.83883039999999998</v>
      </c>
      <c r="Q5805">
        <v>0.40950389999999998</v>
      </c>
      <c r="R5805">
        <v>0.35870639999999998</v>
      </c>
      <c r="S5805">
        <v>2.9157099999999998</v>
      </c>
      <c r="T5805">
        <v>-0.33395209999999997</v>
      </c>
      <c r="U5805">
        <v>1.9312739999999999</v>
      </c>
      <c r="V5805">
        <v>-0.26500109999999999</v>
      </c>
      <c r="W5805">
        <v>0.41935719999999999</v>
      </c>
      <c r="X5805">
        <v>0.86828209999999995</v>
      </c>
      <c r="Y5805">
        <v>-0.45206220000000003</v>
      </c>
      <c r="Z5805">
        <v>1.674672E-2</v>
      </c>
      <c r="AA5805">
        <v>0.89182919999999999</v>
      </c>
      <c r="AB5805">
        <v>35</v>
      </c>
      <c r="AC5805">
        <v>0.63419999999999199</v>
      </c>
      <c r="AD5805">
        <v>-9.1296999999999906E-2</v>
      </c>
      <c r="AE5805">
        <v>0.50752000000000597</v>
      </c>
      <c r="AF5805">
        <v>-0.42686982504003901</v>
      </c>
      <c r="AG5805">
        <v>-9.1296999999999906E-2</v>
      </c>
      <c r="AH5805">
        <v>0.67912349111426595</v>
      </c>
      <c r="AI5805">
        <v>96.493289454470499</v>
      </c>
      <c r="AJ5805">
        <v>122.15182356670999</v>
      </c>
      <c r="AK5805">
        <v>0.80731759916524903</v>
      </c>
      <c r="AL5805">
        <v>65.205986514414604</v>
      </c>
      <c r="AM5805">
        <v>106.97227388971601</v>
      </c>
      <c r="AN5805">
        <v>0.99999992468672705</v>
      </c>
    </row>
    <row r="5806" spans="1:40" x14ac:dyDescent="0.25">
      <c r="A5806" t="str">
        <f>"20190304164523190"</f>
        <v>20190304164523190</v>
      </c>
      <c r="B5806" t="str">
        <f>"1551689123185545"</f>
        <v>1551689123185545</v>
      </c>
      <c r="C5806" t="s">
        <v>40</v>
      </c>
      <c r="D5806">
        <v>5.2888250000000001</v>
      </c>
      <c r="E5806">
        <v>0.47449469999999999</v>
      </c>
      <c r="F5806" t="s">
        <v>58</v>
      </c>
      <c r="G5806">
        <v>-211.90020000000001</v>
      </c>
      <c r="H5806" s="1">
        <v>-2.8025259999999999E-7</v>
      </c>
      <c r="I5806">
        <v>-57.9000699999999</v>
      </c>
      <c r="J5806">
        <v>-219.80359999999999</v>
      </c>
      <c r="K5806">
        <v>1.114711</v>
      </c>
      <c r="L5806">
        <v>-62.114989999999999</v>
      </c>
      <c r="M5806">
        <v>0.99321409999999999</v>
      </c>
      <c r="N5806">
        <v>-1.405323E-2</v>
      </c>
      <c r="O5806">
        <v>0.115448</v>
      </c>
      <c r="P5806">
        <v>0.83813150000000003</v>
      </c>
      <c r="Q5806">
        <v>0.40949809999999998</v>
      </c>
      <c r="R5806">
        <v>0.36034250000000001</v>
      </c>
      <c r="S5806">
        <v>3.0907749999999998</v>
      </c>
      <c r="T5806">
        <v>-0.4273515</v>
      </c>
      <c r="U5806">
        <v>1.623535</v>
      </c>
      <c r="V5806">
        <v>-0.26506970000000002</v>
      </c>
      <c r="W5806">
        <v>0.41929709999999998</v>
      </c>
      <c r="X5806">
        <v>0.86829029999999996</v>
      </c>
      <c r="Y5806">
        <v>-0.357429099999999</v>
      </c>
      <c r="Z5806">
        <v>1.252091E-2</v>
      </c>
      <c r="AA5806">
        <v>0.93385640000000003</v>
      </c>
      <c r="AB5806">
        <v>35</v>
      </c>
      <c r="AC5806">
        <v>7.9033999999999702</v>
      </c>
      <c r="AD5806">
        <v>-1.1147112802526</v>
      </c>
      <c r="AE5806">
        <v>4.2149200000000002</v>
      </c>
      <c r="AF5806">
        <v>-3.2242724781863998</v>
      </c>
      <c r="AG5806">
        <v>-1.1147112802526</v>
      </c>
      <c r="AH5806">
        <v>8.2100397026260001</v>
      </c>
      <c r="AI5806">
        <v>97.202729029228195</v>
      </c>
      <c r="AJ5806">
        <v>111.44108419553299</v>
      </c>
      <c r="AK5806">
        <v>8.8906279964132899</v>
      </c>
      <c r="AL5806">
        <v>65.209782219365806</v>
      </c>
      <c r="AM5806">
        <v>106.97626371155999</v>
      </c>
      <c r="AN5806">
        <v>1.00000002450029</v>
      </c>
    </row>
    <row r="5807" spans="1:40" x14ac:dyDescent="0.25">
      <c r="A5807" t="str">
        <f>"20190304164523202"</f>
        <v>20190304164523202</v>
      </c>
      <c r="B5807" t="str">
        <f>"1551689123196282"</f>
        <v>1551689123196282</v>
      </c>
      <c r="C5807" t="s">
        <v>40</v>
      </c>
      <c r="D5807">
        <v>5.2136050000000003</v>
      </c>
      <c r="E5807">
        <v>0.48289949999999998</v>
      </c>
      <c r="F5807" t="s">
        <v>58</v>
      </c>
      <c r="G5807">
        <v>-212.1283</v>
      </c>
      <c r="H5807" s="1">
        <v>-2.4618029999999997E-7</v>
      </c>
      <c r="I5807">
        <v>-58.3309199999999</v>
      </c>
      <c r="J5807">
        <v>-219.63589999999999</v>
      </c>
      <c r="K5807">
        <v>1.1148089999999999</v>
      </c>
      <c r="L5807">
        <v>-62.093539999999997</v>
      </c>
      <c r="M5807">
        <v>0.99295960000000005</v>
      </c>
      <c r="N5807">
        <v>-1.4058370000000001E-2</v>
      </c>
      <c r="O5807">
        <v>0.11761580000000001</v>
      </c>
      <c r="P5807">
        <v>0.83718340000000002</v>
      </c>
      <c r="Q5807">
        <v>0.40970760000000001</v>
      </c>
      <c r="R5807">
        <v>0.36230319999999999</v>
      </c>
      <c r="S5807">
        <v>3.137054</v>
      </c>
      <c r="T5807">
        <v>-0.45560430000000002</v>
      </c>
      <c r="U5807">
        <v>1.5466</v>
      </c>
      <c r="V5807">
        <v>-0.26532220000000001</v>
      </c>
      <c r="W5807">
        <v>0.41944419999999999</v>
      </c>
      <c r="X5807">
        <v>0.86814210000000003</v>
      </c>
      <c r="Y5807">
        <v>-0.33133099999999999</v>
      </c>
      <c r="Z5807">
        <v>1.074521E-2</v>
      </c>
      <c r="AA5807">
        <v>0.9434534</v>
      </c>
      <c r="AB5807">
        <v>35</v>
      </c>
      <c r="AC5807">
        <v>7.5075999999999903</v>
      </c>
      <c r="AD5807">
        <v>-1.1148092461803001</v>
      </c>
      <c r="AE5807">
        <v>3.7626200000000098</v>
      </c>
      <c r="AF5807">
        <v>-2.80398473616764</v>
      </c>
      <c r="AG5807">
        <v>-1.1148092461803001</v>
      </c>
      <c r="AH5807">
        <v>7.7612906380779796</v>
      </c>
      <c r="AI5807">
        <v>97.693580698766695</v>
      </c>
      <c r="AJ5807">
        <v>109.86368057319601</v>
      </c>
      <c r="AK5807">
        <v>8.3272301772406401</v>
      </c>
      <c r="AL5807">
        <v>65.200497677494297</v>
      </c>
      <c r="AM5807">
        <v>106.994237230238</v>
      </c>
      <c r="AN5807">
        <v>1.0000000062594401</v>
      </c>
    </row>
    <row r="5808" spans="1:40" x14ac:dyDescent="0.25">
      <c r="A5808" t="str">
        <f>"20190304164523212"</f>
        <v>20190304164523212</v>
      </c>
      <c r="B5808" t="str">
        <f>"1551689123206042"</f>
        <v>1551689123206042</v>
      </c>
      <c r="C5808" t="s">
        <v>40</v>
      </c>
      <c r="D5808">
        <v>5.2571649999999996</v>
      </c>
      <c r="E5808">
        <v>0.48850749999999998</v>
      </c>
      <c r="F5808" t="s">
        <v>58</v>
      </c>
      <c r="G5808">
        <v>-212.11019999999999</v>
      </c>
      <c r="H5808" s="1">
        <v>-2.015794E-7</v>
      </c>
      <c r="I5808">
        <v>-58.53875</v>
      </c>
      <c r="J5808">
        <v>-219.4572</v>
      </c>
      <c r="K5808">
        <v>1.1149199999999999</v>
      </c>
      <c r="L5808">
        <v>-62.070469999999901</v>
      </c>
      <c r="M5808">
        <v>0.99267950000000005</v>
      </c>
      <c r="N5808">
        <v>-1.4063620000000001E-2</v>
      </c>
      <c r="O5808">
        <v>0.1199576</v>
      </c>
      <c r="P5808">
        <v>0.83612880000000001</v>
      </c>
      <c r="Q5808">
        <v>0.40993839999999998</v>
      </c>
      <c r="R5808">
        <v>0.3644712</v>
      </c>
      <c r="S5808">
        <v>3.1658019999999998</v>
      </c>
      <c r="T5808">
        <v>-0.4689642</v>
      </c>
      <c r="U5808">
        <v>1.4953609999999999</v>
      </c>
      <c r="V5808">
        <v>-0.26564919999999997</v>
      </c>
      <c r="W5808">
        <v>0.4196066</v>
      </c>
      <c r="X5808">
        <v>0.86796359999999995</v>
      </c>
      <c r="Y5808">
        <v>-0.31332599999999999</v>
      </c>
      <c r="Z5808">
        <v>9.2167889999999995E-3</v>
      </c>
      <c r="AA5808">
        <v>0.94960089999999997</v>
      </c>
      <c r="AB5808">
        <v>35</v>
      </c>
      <c r="AC5808">
        <v>7.3470000000000004</v>
      </c>
      <c r="AD5808">
        <v>-1.1149202015794</v>
      </c>
      <c r="AE5808">
        <v>3.5317199999999902</v>
      </c>
      <c r="AF5808">
        <v>-2.5765987841531599</v>
      </c>
      <c r="AG5808">
        <v>-1.1149202015794</v>
      </c>
      <c r="AH5808">
        <v>7.5759195707344302</v>
      </c>
      <c r="AI5808">
        <v>97.931881033238298</v>
      </c>
      <c r="AJ5808">
        <v>108.783362391078</v>
      </c>
      <c r="AK5808">
        <v>8.0793852298690698</v>
      </c>
      <c r="AL5808">
        <v>65.190247096691706</v>
      </c>
      <c r="AM5808">
        <v>107.017269793983</v>
      </c>
      <c r="AN5808">
        <v>1.00000000357458</v>
      </c>
    </row>
    <row r="5809" spans="1:40" x14ac:dyDescent="0.25">
      <c r="A5809" t="str">
        <f>"20190304164523223"</f>
        <v>20190304164523223</v>
      </c>
      <c r="B5809" t="str">
        <f>"1551689123215802"</f>
        <v>1551689123215802</v>
      </c>
      <c r="C5809" t="s">
        <v>40</v>
      </c>
      <c r="D5809">
        <v>5.2085569999999999</v>
      </c>
      <c r="E5809">
        <v>0.49242059999999999</v>
      </c>
      <c r="F5809" t="s">
        <v>58</v>
      </c>
      <c r="G5809">
        <v>-212.0513</v>
      </c>
      <c r="H5809" s="1">
        <v>-1.542787E-7</v>
      </c>
      <c r="I5809">
        <v>-58.662889999999997</v>
      </c>
      <c r="J5809">
        <v>-219.29480000000001</v>
      </c>
      <c r="K5809">
        <v>1.1150230000000001</v>
      </c>
      <c r="L5809">
        <v>-62.048769999999998</v>
      </c>
      <c r="M5809">
        <v>0.99240709999999999</v>
      </c>
      <c r="N5809">
        <v>-1.406935E-2</v>
      </c>
      <c r="O5809">
        <v>0.12218900000000001</v>
      </c>
      <c r="P5809">
        <v>0.83496649999999994</v>
      </c>
      <c r="Q5809">
        <v>0.41028769999999998</v>
      </c>
      <c r="R5809">
        <v>0.36673529999999999</v>
      </c>
      <c r="S5809">
        <v>3.1843409999999999</v>
      </c>
      <c r="T5809">
        <v>-0.47938920000000002</v>
      </c>
      <c r="U5809">
        <v>1.465149</v>
      </c>
      <c r="V5809">
        <v>-0.26617879999999999</v>
      </c>
      <c r="W5809">
        <v>0.41988789999999998</v>
      </c>
      <c r="X5809">
        <v>0.86766520000000003</v>
      </c>
      <c r="Y5809">
        <v>-0.30168149999999999</v>
      </c>
      <c r="Z5809">
        <v>8.1138549999999997E-3</v>
      </c>
      <c r="AA5809">
        <v>0.95337419999999995</v>
      </c>
      <c r="AB5809">
        <v>35</v>
      </c>
      <c r="AC5809">
        <v>7.2435000000000098</v>
      </c>
      <c r="AD5809">
        <v>-1.1150231542786999</v>
      </c>
      <c r="AE5809">
        <v>3.38587999999999</v>
      </c>
      <c r="AF5809">
        <v>-2.42812141117227</v>
      </c>
      <c r="AG5809">
        <v>-1.1150231542786999</v>
      </c>
      <c r="AH5809">
        <v>7.4579384334813099</v>
      </c>
      <c r="AI5809">
        <v>98.091142330369294</v>
      </c>
      <c r="AJ5809">
        <v>108.033975832455</v>
      </c>
      <c r="AK5809">
        <v>7.9221143578951496</v>
      </c>
      <c r="AL5809">
        <v>65.172488341822699</v>
      </c>
      <c r="AM5809">
        <v>107.054753065675</v>
      </c>
      <c r="AN5809">
        <v>0.99999995071344305</v>
      </c>
    </row>
    <row r="5810" spans="1:40" x14ac:dyDescent="0.25">
      <c r="A5810" t="str">
        <f>"20190304164523235"</f>
        <v>20190304164523235</v>
      </c>
      <c r="B5810" t="str">
        <f>"1551689123225562"</f>
        <v>1551689123225562</v>
      </c>
      <c r="C5810" t="s">
        <v>40</v>
      </c>
      <c r="D5810">
        <v>5.2146379999999999</v>
      </c>
      <c r="E5810">
        <v>0.49533650000000001</v>
      </c>
      <c r="F5810" t="s">
        <v>58</v>
      </c>
      <c r="G5810">
        <v>-211.96459999999999</v>
      </c>
      <c r="H5810" s="1">
        <v>-1.05295E-7</v>
      </c>
      <c r="I5810">
        <v>-58.729309999999998</v>
      </c>
      <c r="J5810">
        <v>-219.1182</v>
      </c>
      <c r="K5810">
        <v>1.1151340000000001</v>
      </c>
      <c r="L5810">
        <v>-62.02505</v>
      </c>
      <c r="M5810">
        <v>0.9921027</v>
      </c>
      <c r="N5810">
        <v>-1.4075259999999999E-2</v>
      </c>
      <c r="O5810">
        <v>0.1246358</v>
      </c>
      <c r="P5810">
        <v>0.83365730000000005</v>
      </c>
      <c r="Q5810">
        <v>0.41076299999999999</v>
      </c>
      <c r="R5810">
        <v>0.3691738</v>
      </c>
      <c r="S5810">
        <v>3.1961360000000001</v>
      </c>
      <c r="T5810">
        <v>-0.48617329999999997</v>
      </c>
      <c r="U5810">
        <v>1.447327</v>
      </c>
      <c r="V5810">
        <v>-0.2667234</v>
      </c>
      <c r="W5810">
        <v>0.4202881</v>
      </c>
      <c r="X5810">
        <v>0.86730409999999902</v>
      </c>
      <c r="Y5810">
        <v>-0.29363820000000002</v>
      </c>
      <c r="Z5810">
        <v>7.2099030000000001E-3</v>
      </c>
      <c r="AA5810">
        <v>0.95588949999999995</v>
      </c>
      <c r="AB5810">
        <v>35</v>
      </c>
      <c r="AC5810">
        <v>7.1536000000000097</v>
      </c>
      <c r="AD5810">
        <v>-1.1151341052949999</v>
      </c>
      <c r="AE5810">
        <v>3.2957399999999999</v>
      </c>
      <c r="AF5810">
        <v>-2.3316157557948101</v>
      </c>
      <c r="AG5810">
        <v>-1.1151341052949999</v>
      </c>
      <c r="AH5810">
        <v>7.3610627886303597</v>
      </c>
      <c r="AI5810">
        <v>98.217793680862002</v>
      </c>
      <c r="AJ5810">
        <v>107.575591925019</v>
      </c>
      <c r="AK5810">
        <v>7.8016153124607097</v>
      </c>
      <c r="AL5810">
        <v>65.147220375164196</v>
      </c>
      <c r="AM5810">
        <v>107.094316013379</v>
      </c>
      <c r="AN5810">
        <v>0.99999993049298697</v>
      </c>
    </row>
    <row r="5811" spans="1:40" x14ac:dyDescent="0.25">
      <c r="A5811" t="str">
        <f>"20190304164523245"</f>
        <v>20190304164523245</v>
      </c>
      <c r="B5811" t="str">
        <f>"1551689123236298"</f>
        <v>1551689123236298</v>
      </c>
      <c r="C5811" t="s">
        <v>40</v>
      </c>
      <c r="D5811">
        <v>5.2025589999999999</v>
      </c>
      <c r="E5811">
        <v>0.49750660000000002</v>
      </c>
      <c r="F5811" t="s">
        <v>58</v>
      </c>
      <c r="G5811">
        <v>-211.83519999999999</v>
      </c>
      <c r="H5811" s="1">
        <v>-4.4157669999999998E-8</v>
      </c>
      <c r="I5811">
        <v>-58.761130000000001</v>
      </c>
      <c r="J5811">
        <v>-218.9486</v>
      </c>
      <c r="K5811">
        <v>1.1152390000000001</v>
      </c>
      <c r="L5811">
        <v>-62.0015</v>
      </c>
      <c r="M5811">
        <v>0.99179110000000004</v>
      </c>
      <c r="N5811">
        <v>-1.408192E-2</v>
      </c>
      <c r="O5811">
        <v>0.12709019999999999</v>
      </c>
      <c r="P5811">
        <v>0.83229549999999997</v>
      </c>
      <c r="Q5811">
        <v>0.41123860000000001</v>
      </c>
      <c r="R5811">
        <v>0.37170779999999998</v>
      </c>
      <c r="S5811">
        <v>3.204437</v>
      </c>
      <c r="T5811">
        <v>-0.4906471</v>
      </c>
      <c r="U5811">
        <v>1.4360660000000001</v>
      </c>
      <c r="V5811">
        <v>-0.26736389999999999</v>
      </c>
      <c r="W5811">
        <v>0.42068840000000002</v>
      </c>
      <c r="X5811">
        <v>0.86691280000000004</v>
      </c>
      <c r="Y5811">
        <v>-0.28759849999999998</v>
      </c>
      <c r="Z5811">
        <v>6.4350309999999999E-3</v>
      </c>
      <c r="AA5811">
        <v>0.95772950000000001</v>
      </c>
      <c r="AB5811">
        <v>35</v>
      </c>
      <c r="AC5811">
        <v>7.1134000000000102</v>
      </c>
      <c r="AD5811">
        <v>-1.1152390441576601</v>
      </c>
      <c r="AE5811">
        <v>3.2403699999999902</v>
      </c>
      <c r="AF5811">
        <v>-2.26387267768053</v>
      </c>
      <c r="AG5811">
        <v>-1.1152390441576601</v>
      </c>
      <c r="AH5811">
        <v>7.3185903642755097</v>
      </c>
      <c r="AI5811">
        <v>98.282851358557394</v>
      </c>
      <c r="AJ5811">
        <v>107.18850079472701</v>
      </c>
      <c r="AK5811">
        <v>7.7414883934827703</v>
      </c>
      <c r="AL5811">
        <v>65.121943150222805</v>
      </c>
      <c r="AM5811">
        <v>107.140244902619</v>
      </c>
      <c r="AN5811">
        <v>0.99999999386080496</v>
      </c>
    </row>
    <row r="5812" spans="1:40" x14ac:dyDescent="0.25">
      <c r="A5812" t="str">
        <f>"20190304164523256"</f>
        <v>20190304164523256</v>
      </c>
      <c r="B5812" t="str">
        <f>"1551689123246059"</f>
        <v>1551689123246059</v>
      </c>
      <c r="C5812" t="s">
        <v>40</v>
      </c>
      <c r="D5812">
        <v>5.2168479999999997</v>
      </c>
      <c r="E5812">
        <v>0.49916480000000002</v>
      </c>
      <c r="F5812" t="s">
        <v>58</v>
      </c>
      <c r="G5812">
        <v>-211.69059999999999</v>
      </c>
      <c r="H5812" s="1">
        <v>1.862031E-8</v>
      </c>
      <c r="I5812">
        <v>-58.76529</v>
      </c>
      <c r="J5812">
        <v>-218.78489999999999</v>
      </c>
      <c r="K5812">
        <v>1.115343</v>
      </c>
      <c r="L5812">
        <v>-61.978580000000001</v>
      </c>
      <c r="M5812">
        <v>0.99148130000000001</v>
      </c>
      <c r="N5812">
        <v>-1.4088099999999999E-2</v>
      </c>
      <c r="O5812">
        <v>0.12948470000000001</v>
      </c>
      <c r="P5812">
        <v>0.83107580000000003</v>
      </c>
      <c r="Q5812">
        <v>0.41153099999999998</v>
      </c>
      <c r="R5812">
        <v>0.37410589999999999</v>
      </c>
      <c r="S5812">
        <v>3.2090909999999999</v>
      </c>
      <c r="T5812">
        <v>-0.49309839999999999</v>
      </c>
      <c r="U5812">
        <v>1.430847</v>
      </c>
      <c r="V5812">
        <v>-0.26790009999999997</v>
      </c>
      <c r="W5812">
        <v>0.42091030000000001</v>
      </c>
      <c r="X5812">
        <v>0.86663950000000001</v>
      </c>
      <c r="Y5812">
        <v>-0.28351559999999998</v>
      </c>
      <c r="Z5812">
        <v>5.808176E-3</v>
      </c>
      <c r="AA5812">
        <v>0.95894999999999997</v>
      </c>
      <c r="AB5812">
        <v>35</v>
      </c>
      <c r="AC5812">
        <v>7.0942999999999996</v>
      </c>
      <c r="AD5812">
        <v>-1.11534298137968</v>
      </c>
      <c r="AE5812">
        <v>3.2132900000000002</v>
      </c>
      <c r="AF5812">
        <v>-2.2219673120858201</v>
      </c>
      <c r="AG5812">
        <v>-1.11534298137968</v>
      </c>
      <c r="AH5812">
        <v>7.3009387459541202</v>
      </c>
      <c r="AI5812">
        <v>98.314830410286305</v>
      </c>
      <c r="AJ5812">
        <v>106.927099903385</v>
      </c>
      <c r="AK5812">
        <v>7.7126412644608999</v>
      </c>
      <c r="AL5812">
        <v>65.1079276854786</v>
      </c>
      <c r="AM5812">
        <v>107.17769645845701</v>
      </c>
      <c r="AN5812">
        <v>0.99999998359317399</v>
      </c>
    </row>
    <row r="5813" spans="1:40" x14ac:dyDescent="0.25">
      <c r="A5813" t="str">
        <f>"20190304164523267"</f>
        <v>20190304164523267</v>
      </c>
      <c r="B5813" t="str">
        <f>"1551689123255818"</f>
        <v>1551689123255818</v>
      </c>
      <c r="C5813" t="s">
        <v>40</v>
      </c>
      <c r="D5813">
        <v>5.1964519999999998</v>
      </c>
      <c r="E5813">
        <v>0.50037410000000004</v>
      </c>
      <c r="F5813" t="s">
        <v>58</v>
      </c>
      <c r="G5813">
        <v>-211.54419999999999</v>
      </c>
      <c r="H5813" s="1">
        <v>6.972476E-8</v>
      </c>
      <c r="I5813">
        <v>-58.76005</v>
      </c>
      <c r="J5813">
        <v>-218.61240000000001</v>
      </c>
      <c r="K5813">
        <v>1.1154520000000001</v>
      </c>
      <c r="L5813">
        <v>-61.953699999999998</v>
      </c>
      <c r="M5813">
        <v>0.99113790000000002</v>
      </c>
      <c r="N5813">
        <v>-1.4095140000000001E-2</v>
      </c>
      <c r="O5813">
        <v>0.13208699999999901</v>
      </c>
      <c r="P5813">
        <v>0.82982339999999999</v>
      </c>
      <c r="Q5813">
        <v>0.41139399999999998</v>
      </c>
      <c r="R5813">
        <v>0.37702540000000001</v>
      </c>
      <c r="S5813">
        <v>3.2120820000000001</v>
      </c>
      <c r="T5813">
        <v>-0.4947839</v>
      </c>
      <c r="U5813">
        <v>1.427765</v>
      </c>
      <c r="V5813">
        <v>-0.26877719999999999</v>
      </c>
      <c r="W5813">
        <v>0.42069790000000001</v>
      </c>
      <c r="X5813">
        <v>0.86647109999999905</v>
      </c>
      <c r="Y5813">
        <v>-0.27994669999999999</v>
      </c>
      <c r="Z5813">
        <v>5.1898639999999998E-3</v>
      </c>
      <c r="AA5813">
        <v>0.96000149999999995</v>
      </c>
      <c r="AB5813">
        <v>35</v>
      </c>
      <c r="AC5813">
        <v>7.0682000000000098</v>
      </c>
      <c r="AD5813">
        <v>-1.1154519302752399</v>
      </c>
      <c r="AE5813">
        <v>3.1936499999999901</v>
      </c>
      <c r="AF5813">
        <v>-2.1867251091302098</v>
      </c>
      <c r="AG5813">
        <v>-1.1154519302752399</v>
      </c>
      <c r="AH5813">
        <v>7.2776194591043</v>
      </c>
      <c r="AI5813">
        <v>98.350719501726203</v>
      </c>
      <c r="AJ5813">
        <v>106.72408224002</v>
      </c>
      <c r="AK5813">
        <v>7.6804781558955497</v>
      </c>
      <c r="AL5813">
        <v>65.121344302082406</v>
      </c>
      <c r="AM5813">
        <v>107.233761281139</v>
      </c>
      <c r="AN5813">
        <v>1.0000000367197199</v>
      </c>
    </row>
    <row r="5814" spans="1:40" x14ac:dyDescent="0.25">
      <c r="A5814" t="str">
        <f>"20190304164523279"</f>
        <v>20190304164523279</v>
      </c>
      <c r="B5814" t="str">
        <f>"1551689123276314"</f>
        <v>1551689123276314</v>
      </c>
      <c r="C5814" t="s">
        <v>40</v>
      </c>
      <c r="D5814">
        <v>5.2187479999999997</v>
      </c>
      <c r="E5814">
        <v>0.50222639999999996</v>
      </c>
      <c r="F5814" t="s">
        <v>58</v>
      </c>
      <c r="G5814">
        <v>-211.42920000000001</v>
      </c>
      <c r="H5814" s="1">
        <v>1.0808650000000001E-7</v>
      </c>
      <c r="I5814">
        <v>-58.757210000000001</v>
      </c>
      <c r="J5814">
        <v>-218.43469999999999</v>
      </c>
      <c r="K5814">
        <v>1.1155679999999999</v>
      </c>
      <c r="L5814">
        <v>-61.9276699999999</v>
      </c>
      <c r="M5814">
        <v>0.99077009999999999</v>
      </c>
      <c r="N5814">
        <v>-1.410222E-2</v>
      </c>
      <c r="O5814">
        <v>0.13481779999999999</v>
      </c>
      <c r="P5814">
        <v>0.828569</v>
      </c>
      <c r="Q5814">
        <v>0.41156670000000001</v>
      </c>
      <c r="R5814">
        <v>0.3795869</v>
      </c>
      <c r="S5814">
        <v>3.2129970000000001</v>
      </c>
      <c r="T5814">
        <v>-0.4989363</v>
      </c>
      <c r="U5814">
        <v>1.4297489999999999</v>
      </c>
      <c r="V5814">
        <v>-0.26919369999999998</v>
      </c>
      <c r="W5814">
        <v>0.42079909999999998</v>
      </c>
      <c r="X5814">
        <v>0.86629259999999997</v>
      </c>
      <c r="Y5814">
        <v>-0.27771439999999997</v>
      </c>
      <c r="Z5814">
        <v>4.6642659999999898E-3</v>
      </c>
      <c r="AA5814">
        <v>0.96065239999999996</v>
      </c>
      <c r="AB5814">
        <v>35</v>
      </c>
      <c r="AC5814">
        <v>7.0054999999999801</v>
      </c>
      <c r="AD5814">
        <v>-1.1155678919134999</v>
      </c>
      <c r="AE5814">
        <v>3.1704599999999901</v>
      </c>
      <c r="AF5814">
        <v>-2.15166292766571</v>
      </c>
      <c r="AG5814">
        <v>-1.1155678919134999</v>
      </c>
      <c r="AH5814">
        <v>7.2171074808538398</v>
      </c>
      <c r="AI5814">
        <v>98.425933592665899</v>
      </c>
      <c r="AJ5814">
        <v>106.601091763504</v>
      </c>
      <c r="AK5814">
        <v>7.6131981102527302</v>
      </c>
      <c r="AL5814">
        <v>65.114951699565495</v>
      </c>
      <c r="AM5814">
        <v>107.262226527587</v>
      </c>
      <c r="AN5814">
        <v>0.99999999974762999</v>
      </c>
    </row>
    <row r="5815" spans="1:40" x14ac:dyDescent="0.25">
      <c r="A5815" t="str">
        <f>"20190304164523290"</f>
        <v>20190304164523290</v>
      </c>
      <c r="B5815" t="str">
        <f>"1551689123286075"</f>
        <v>1551689123286075</v>
      </c>
      <c r="C5815" t="s">
        <v>40</v>
      </c>
      <c r="D5815">
        <v>5.2237299999999998</v>
      </c>
      <c r="E5815">
        <v>0.50291459999999999</v>
      </c>
      <c r="F5815" t="s">
        <v>58</v>
      </c>
      <c r="G5815">
        <v>-211.29660000000001</v>
      </c>
      <c r="H5815" s="1">
        <v>1.549668E-7</v>
      </c>
      <c r="I5815">
        <v>-58.763779999999997</v>
      </c>
      <c r="J5815">
        <v>-218.24250000000001</v>
      </c>
      <c r="K5815">
        <v>1.115686</v>
      </c>
      <c r="L5815">
        <v>-61.898960000000002</v>
      </c>
      <c r="M5815">
        <v>0.99035470000000003</v>
      </c>
      <c r="N5815">
        <v>-1.4109729999999999E-2</v>
      </c>
      <c r="O5815">
        <v>0.13783489999999901</v>
      </c>
      <c r="P5815">
        <v>0.82713130000000001</v>
      </c>
      <c r="Q5815">
        <v>0.4116744</v>
      </c>
      <c r="R5815">
        <v>0.38259379999999998</v>
      </c>
      <c r="S5815">
        <v>3.2171780000000001</v>
      </c>
      <c r="T5815">
        <v>-0.50279470000000004</v>
      </c>
      <c r="U5815">
        <v>1.425964</v>
      </c>
      <c r="V5815">
        <v>-0.26983459999999998</v>
      </c>
      <c r="W5815">
        <v>0.42082760000000002</v>
      </c>
      <c r="X5815">
        <v>0.8660793</v>
      </c>
      <c r="Y5815">
        <v>-0.27342850000000002</v>
      </c>
      <c r="Z5815">
        <v>3.923897E-3</v>
      </c>
      <c r="AA5815">
        <v>0.96188430000000003</v>
      </c>
      <c r="AB5815">
        <v>35</v>
      </c>
      <c r="AC5815">
        <v>6.9458999999999902</v>
      </c>
      <c r="AD5815">
        <v>-1.1156858450331999</v>
      </c>
      <c r="AE5815">
        <v>3.1351799999999899</v>
      </c>
      <c r="AF5815">
        <v>-2.1026982124615201</v>
      </c>
      <c r="AG5815">
        <v>-1.1156858450331999</v>
      </c>
      <c r="AH5815">
        <v>7.1583407332615101</v>
      </c>
      <c r="AI5815">
        <v>98.504998058271994</v>
      </c>
      <c r="AJ5815">
        <v>106.36967654566401</v>
      </c>
      <c r="AK5815">
        <v>7.5437349324434297</v>
      </c>
      <c r="AL5815">
        <v>65.113150760068393</v>
      </c>
      <c r="AM5815">
        <v>107.304880796487</v>
      </c>
      <c r="AN5815">
        <v>0.99999996708370398</v>
      </c>
    </row>
    <row r="5816" spans="1:40" x14ac:dyDescent="0.25">
      <c r="A5816" t="str">
        <f>"20190304164523303"</f>
        <v>20190304164523303</v>
      </c>
      <c r="B5816" t="str">
        <f>"1551689123295834"</f>
        <v>1551689123295834</v>
      </c>
      <c r="C5816" t="s">
        <v>40</v>
      </c>
      <c r="D5816">
        <v>5.2509259999999998</v>
      </c>
      <c r="E5816">
        <v>0.50343470000000001</v>
      </c>
      <c r="F5816" t="s">
        <v>58</v>
      </c>
      <c r="G5816">
        <v>-211.11969999999999</v>
      </c>
      <c r="H5816" s="1">
        <v>2.0488890000000001E-7</v>
      </c>
      <c r="I5816">
        <v>-58.725119999999997</v>
      </c>
      <c r="J5816">
        <v>-218.06460000000001</v>
      </c>
      <c r="K5816">
        <v>1.115794</v>
      </c>
      <c r="L5816">
        <v>-61.871609999999997</v>
      </c>
      <c r="M5816">
        <v>0.98994950000000004</v>
      </c>
      <c r="N5816">
        <v>-1.4117029999999999E-2</v>
      </c>
      <c r="O5816">
        <v>0.1407148</v>
      </c>
      <c r="P5816">
        <v>0.8257833</v>
      </c>
      <c r="Q5816">
        <v>0.41192220000000002</v>
      </c>
      <c r="R5816">
        <v>0.38523010000000002</v>
      </c>
      <c r="S5816">
        <v>3.2149809999999999</v>
      </c>
      <c r="T5816">
        <v>-0.50358029999999998</v>
      </c>
      <c r="U5816">
        <v>1.432526</v>
      </c>
      <c r="V5816">
        <v>-0.27021020000000001</v>
      </c>
      <c r="W5816">
        <v>0.4210045</v>
      </c>
      <c r="X5816">
        <v>0.86587619999999899</v>
      </c>
      <c r="Y5816">
        <v>-0.27254299999999998</v>
      </c>
      <c r="Z5816">
        <v>3.4748140000000001E-3</v>
      </c>
      <c r="AA5816">
        <v>0.96213729999999997</v>
      </c>
      <c r="AB5816">
        <v>35</v>
      </c>
      <c r="AC5816">
        <v>6.9449000000000103</v>
      </c>
      <c r="AD5816">
        <v>-1.1157937951111001</v>
      </c>
      <c r="AE5816">
        <v>3.14649</v>
      </c>
      <c r="AF5816">
        <v>-2.09300385260652</v>
      </c>
      <c r="AG5816">
        <v>-1.1157937951111001</v>
      </c>
      <c r="AH5816">
        <v>7.1651339910053196</v>
      </c>
      <c r="AI5816">
        <v>98.501548777307207</v>
      </c>
      <c r="AJ5816">
        <v>106.283586271243</v>
      </c>
      <c r="AK5816">
        <v>7.5475032977332299</v>
      </c>
      <c r="AL5816">
        <v>65.101977108735497</v>
      </c>
      <c r="AM5816">
        <v>107.33134835003401</v>
      </c>
      <c r="AN5816">
        <v>0.99999996746536401</v>
      </c>
    </row>
    <row r="5817" spans="1:40" x14ac:dyDescent="0.25">
      <c r="A5817" t="str">
        <f>"20190304164523316"</f>
        <v>20190304164523316</v>
      </c>
      <c r="B5817" t="str">
        <f>"1551689123305594"</f>
        <v>1551689123305594</v>
      </c>
      <c r="C5817" t="s">
        <v>40</v>
      </c>
      <c r="D5817">
        <v>5.2809920000000004</v>
      </c>
      <c r="E5817">
        <v>0.50399450000000001</v>
      </c>
      <c r="F5817" t="s">
        <v>58</v>
      </c>
      <c r="G5817">
        <v>-210.95330000000001</v>
      </c>
      <c r="H5817" s="1">
        <v>2.5124179999999998E-7</v>
      </c>
      <c r="I5817">
        <v>-58.686590000000002</v>
      </c>
      <c r="J5817">
        <v>-217.87860000000001</v>
      </c>
      <c r="K5817">
        <v>1.1159049999999999</v>
      </c>
      <c r="L5817">
        <v>-61.842680000000001</v>
      </c>
      <c r="M5817">
        <v>0.98951180000000005</v>
      </c>
      <c r="N5817">
        <v>-1.4124350000000001E-2</v>
      </c>
      <c r="O5817">
        <v>0.14375959999999999</v>
      </c>
      <c r="P5817">
        <v>0.82443029999999995</v>
      </c>
      <c r="Q5817">
        <v>0.41210940000000001</v>
      </c>
      <c r="R5817">
        <v>0.38791809999999899</v>
      </c>
      <c r="S5817">
        <v>3.2130580000000002</v>
      </c>
      <c r="T5817">
        <v>-0.50414720000000002</v>
      </c>
      <c r="U5817">
        <v>1.4390559999999999</v>
      </c>
      <c r="V5817">
        <v>-0.27049970000000001</v>
      </c>
      <c r="W5817">
        <v>0.42111999999999999</v>
      </c>
      <c r="X5817">
        <v>0.86572959999999999</v>
      </c>
      <c r="Y5817">
        <v>-0.27146199999999998</v>
      </c>
      <c r="Z5817">
        <v>2.9870809999999999E-3</v>
      </c>
      <c r="AA5817">
        <v>0.96244450000000004</v>
      </c>
      <c r="AB5817">
        <v>35</v>
      </c>
      <c r="AC5817">
        <v>6.9252999999999902</v>
      </c>
      <c r="AD5817">
        <v>-1.1159047487581999</v>
      </c>
      <c r="AE5817">
        <v>3.1560899999999901</v>
      </c>
      <c r="AF5817">
        <v>-2.0828429804910602</v>
      </c>
      <c r="AG5817">
        <v>-1.1159047487581999</v>
      </c>
      <c r="AH5817">
        <v>7.15332338284004</v>
      </c>
      <c r="AI5817">
        <v>98.518330295387699</v>
      </c>
      <c r="AJ5817">
        <v>106.234047767959</v>
      </c>
      <c r="AK5817">
        <v>7.5334927961184199</v>
      </c>
      <c r="AL5817">
        <v>65.094680455203104</v>
      </c>
      <c r="AM5817">
        <v>107.35156460854</v>
      </c>
      <c r="AN5817">
        <v>0.99999994120812297</v>
      </c>
    </row>
    <row r="5818" spans="1:40" x14ac:dyDescent="0.25">
      <c r="A5818" t="str">
        <f>"20190304164523327"</f>
        <v>20190304164523327</v>
      </c>
      <c r="B5818" t="str">
        <f>"1551689123316331"</f>
        <v>1551689123316331</v>
      </c>
      <c r="C5818" t="s">
        <v>40</v>
      </c>
      <c r="D5818">
        <v>5.2701589999999996</v>
      </c>
      <c r="E5818">
        <v>0.50448950000000004</v>
      </c>
      <c r="F5818" t="s">
        <v>58</v>
      </c>
      <c r="G5818">
        <v>-210.79480000000001</v>
      </c>
      <c r="H5818" s="1">
        <v>2.9669899999999998E-7</v>
      </c>
      <c r="I5818">
        <v>-58.654629999999997</v>
      </c>
      <c r="J5818">
        <v>-217.6909</v>
      </c>
      <c r="K5818">
        <v>1.116017</v>
      </c>
      <c r="L5818">
        <v>-61.8125</v>
      </c>
      <c r="M5818">
        <v>0.98904479999999995</v>
      </c>
      <c r="N5818">
        <v>-1.413263E-2</v>
      </c>
      <c r="O5818">
        <v>0.1469375</v>
      </c>
      <c r="P5818">
        <v>0.82298490000000002</v>
      </c>
      <c r="Q5818">
        <v>0.41229909999999997</v>
      </c>
      <c r="R5818">
        <v>0.3907755</v>
      </c>
      <c r="S5818">
        <v>3.2116699999999998</v>
      </c>
      <c r="T5818">
        <v>-0.50592919999999997</v>
      </c>
      <c r="U5818">
        <v>1.4453739999999999</v>
      </c>
      <c r="V5818">
        <v>-0.27085589999999998</v>
      </c>
      <c r="W5818">
        <v>0.42123680000000002</v>
      </c>
      <c r="X5818">
        <v>0.86556149999999998</v>
      </c>
      <c r="Y5818">
        <v>-0.270132599999999</v>
      </c>
      <c r="Z5818">
        <v>2.457257E-3</v>
      </c>
      <c r="AA5818">
        <v>0.96282000000000001</v>
      </c>
      <c r="AB5818">
        <v>35</v>
      </c>
      <c r="AC5818">
        <v>6.8960999999999899</v>
      </c>
      <c r="AD5818">
        <v>-1.116016703301</v>
      </c>
      <c r="AE5818">
        <v>3.1578699999999902</v>
      </c>
      <c r="AF5818">
        <v>-2.0654723325780999</v>
      </c>
      <c r="AG5818">
        <v>-1.116016703301</v>
      </c>
      <c r="AH5818">
        <v>7.1309043702755197</v>
      </c>
      <c r="AI5818">
        <v>98.548990512386894</v>
      </c>
      <c r="AJ5818">
        <v>106.153703031853</v>
      </c>
      <c r="AK5818">
        <v>7.5074274140151998</v>
      </c>
      <c r="AL5818">
        <v>65.087304445123806</v>
      </c>
      <c r="AM5818">
        <v>107.37621030104</v>
      </c>
      <c r="AN5818">
        <v>1.00000003526064</v>
      </c>
    </row>
    <row r="5819" spans="1:40" x14ac:dyDescent="0.25">
      <c r="A5819" t="str">
        <f>"20190304164523339"</f>
        <v>20190304164523339</v>
      </c>
      <c r="B5819" t="str">
        <f>"1551689123335850"</f>
        <v>1551689123335850</v>
      </c>
      <c r="C5819" t="s">
        <v>40</v>
      </c>
      <c r="D5819">
        <v>5.2552729999999999</v>
      </c>
      <c r="E5819">
        <v>0.50529079999999904</v>
      </c>
      <c r="F5819" t="s">
        <v>58</v>
      </c>
      <c r="G5819">
        <v>-210.62360000000001</v>
      </c>
      <c r="H5819" s="1">
        <v>3.437587E-7</v>
      </c>
      <c r="I5819">
        <v>-58.6126199999999</v>
      </c>
      <c r="J5819">
        <v>-217.50069999999999</v>
      </c>
      <c r="K5819">
        <v>1.1161299999999901</v>
      </c>
      <c r="L5819">
        <v>-61.78143</v>
      </c>
      <c r="M5819">
        <v>0.98855380000000004</v>
      </c>
      <c r="N5819">
        <v>-1.4141040000000001E-2</v>
      </c>
      <c r="O5819">
        <v>0.15020539999999999</v>
      </c>
      <c r="P5819">
        <v>0.82142839999999995</v>
      </c>
      <c r="Q5819">
        <v>0.41257240000000001</v>
      </c>
      <c r="R5819">
        <v>0.3937505</v>
      </c>
      <c r="S5819">
        <v>3.2092290000000001</v>
      </c>
      <c r="T5819">
        <v>-0.50678179999999995</v>
      </c>
      <c r="U5819">
        <v>1.453033</v>
      </c>
      <c r="V5819">
        <v>-0.27126909999999999</v>
      </c>
      <c r="W5819">
        <v>0.42143530000000001</v>
      </c>
      <c r="X5819">
        <v>0.86533539999999998</v>
      </c>
      <c r="Y5819">
        <v>-0.2691675</v>
      </c>
      <c r="Z5819">
        <v>1.945626E-3</v>
      </c>
      <c r="AA5819">
        <v>0.96309140000000004</v>
      </c>
      <c r="AB5819">
        <v>35</v>
      </c>
      <c r="AC5819">
        <v>6.87709999999998</v>
      </c>
      <c r="AD5819">
        <v>-1.1161296562412999</v>
      </c>
      <c r="AE5819">
        <v>3.1688100000000099</v>
      </c>
      <c r="AF5819">
        <v>-2.0551193994472499</v>
      </c>
      <c r="AG5819">
        <v>-1.1161296562412999</v>
      </c>
      <c r="AH5819">
        <v>7.1203766850888401</v>
      </c>
      <c r="AI5819">
        <v>98.564605971342402</v>
      </c>
      <c r="AJ5819">
        <v>106.099467218917</v>
      </c>
      <c r="AK5819">
        <v>7.4945997420197497</v>
      </c>
      <c r="AL5819">
        <v>65.074762696289497</v>
      </c>
      <c r="AM5819">
        <v>107.40539128868799</v>
      </c>
      <c r="AN5819">
        <v>0.99999999559702901</v>
      </c>
    </row>
    <row r="5820" spans="1:40" x14ac:dyDescent="0.25">
      <c r="A5820" t="str">
        <f>"20190304164523350"</f>
        <v>20190304164523350</v>
      </c>
      <c r="B5820" t="str">
        <f>"1551689123345610"</f>
        <v>1551689123345610</v>
      </c>
      <c r="C5820" t="s">
        <v>40</v>
      </c>
      <c r="D5820">
        <v>5.2452639999999997</v>
      </c>
      <c r="E5820">
        <v>0.50561709999999904</v>
      </c>
      <c r="F5820" t="s">
        <v>58</v>
      </c>
      <c r="G5820">
        <v>-210.46340000000001</v>
      </c>
      <c r="H5820" s="1">
        <v>3.8964500000000002E-7</v>
      </c>
      <c r="I5820">
        <v>-58.58014</v>
      </c>
      <c r="J5820">
        <v>-217.33619999999999</v>
      </c>
      <c r="K5820">
        <v>1.116223</v>
      </c>
      <c r="L5820">
        <v>-61.753999999999998</v>
      </c>
      <c r="M5820">
        <v>0.9881122</v>
      </c>
      <c r="N5820">
        <v>-1.4148519999999999E-2</v>
      </c>
      <c r="O5820">
        <v>0.15308289999999999</v>
      </c>
      <c r="P5820">
        <v>0.82008989999999904</v>
      </c>
      <c r="Q5820">
        <v>0.41271479999999999</v>
      </c>
      <c r="R5820">
        <v>0.39638250000000003</v>
      </c>
      <c r="S5820">
        <v>3.2081909999999998</v>
      </c>
      <c r="T5820">
        <v>-0.50882179999999999</v>
      </c>
      <c r="U5820">
        <v>1.459381</v>
      </c>
      <c r="V5820">
        <v>-0.27163890000000002</v>
      </c>
      <c r="W5820">
        <v>0.42151440000000001</v>
      </c>
      <c r="X5820">
        <v>0.86518090000000003</v>
      </c>
      <c r="Y5820">
        <v>-0.26808670000000001</v>
      </c>
      <c r="Z5820">
        <v>1.468865E-3</v>
      </c>
      <c r="AA5820">
        <v>0.96339370000000002</v>
      </c>
      <c r="AB5820">
        <v>35</v>
      </c>
      <c r="AC5820">
        <v>6.8727999999999803</v>
      </c>
      <c r="AD5820">
        <v>-1.1162226103549999</v>
      </c>
      <c r="AE5820">
        <v>3.1738599999999901</v>
      </c>
      <c r="AF5820">
        <v>-2.0398808115140099</v>
      </c>
      <c r="AG5820">
        <v>-1.1162226103549999</v>
      </c>
      <c r="AH5820">
        <v>7.1228308446671003</v>
      </c>
      <c r="AI5820">
        <v>98.567417888544597</v>
      </c>
      <c r="AJ5820">
        <v>105.98098455654601</v>
      </c>
      <c r="AK5820">
        <v>7.4927822524608203</v>
      </c>
      <c r="AL5820">
        <v>65.069766081119297</v>
      </c>
      <c r="AM5820">
        <v>107.430606599104</v>
      </c>
      <c r="AN5820">
        <v>1.0000000355626799</v>
      </c>
    </row>
    <row r="5821" spans="1:40" x14ac:dyDescent="0.25">
      <c r="A5821" t="str">
        <f>"20190304164523362"</f>
        <v>20190304164523362</v>
      </c>
      <c r="B5821" t="str">
        <f>"1551689123356346"</f>
        <v>1551689123356346</v>
      </c>
      <c r="C5821" t="s">
        <v>40</v>
      </c>
      <c r="D5821">
        <v>5.2554290000000004</v>
      </c>
      <c r="E5821">
        <v>0.50594450000000002</v>
      </c>
      <c r="F5821" t="s">
        <v>58</v>
      </c>
      <c r="G5821">
        <v>-210.32140000000001</v>
      </c>
      <c r="H5821" s="1">
        <v>4.2880500000000001E-7</v>
      </c>
      <c r="I5821">
        <v>-58.545729999999999</v>
      </c>
      <c r="J5821">
        <v>-217.15170000000001</v>
      </c>
      <c r="K5821">
        <v>1.1163289999999999</v>
      </c>
      <c r="L5821">
        <v>-61.722439999999999</v>
      </c>
      <c r="M5821">
        <v>0.98759540000000001</v>
      </c>
      <c r="N5821">
        <v>-1.4157039999999999E-2</v>
      </c>
      <c r="O5821">
        <v>0.15638079999999999</v>
      </c>
      <c r="P5821">
        <v>0.81850299999999998</v>
      </c>
      <c r="Q5821">
        <v>0.41277380000000002</v>
      </c>
      <c r="R5821">
        <v>0.3995882</v>
      </c>
      <c r="S5821">
        <v>3.2061609999999998</v>
      </c>
      <c r="T5821">
        <v>-0.51017920000000005</v>
      </c>
      <c r="U5821">
        <v>1.4663389999999901</v>
      </c>
      <c r="V5821">
        <v>-0.27225460000000001</v>
      </c>
      <c r="W5821">
        <v>0.42150110000000002</v>
      </c>
      <c r="X5821">
        <v>0.86499380000000003</v>
      </c>
      <c r="Y5821">
        <v>-0.26686559999999998</v>
      </c>
      <c r="Z5821">
        <v>9.2481639999999999E-4</v>
      </c>
      <c r="AA5821">
        <v>0.96373330000000001</v>
      </c>
      <c r="AB5821">
        <v>35</v>
      </c>
      <c r="AC5821">
        <v>6.8302999999999896</v>
      </c>
      <c r="AD5821">
        <v>-1.116328571195</v>
      </c>
      <c r="AE5821">
        <v>3.1767099999999902</v>
      </c>
      <c r="AF5821">
        <v>-2.02491375559786</v>
      </c>
      <c r="AG5821">
        <v>-1.116328571195</v>
      </c>
      <c r="AH5821">
        <v>7.08742507869239</v>
      </c>
      <c r="AI5821">
        <v>98.611909872645299</v>
      </c>
      <c r="AJ5821">
        <v>105.944911296775</v>
      </c>
      <c r="AK5821">
        <v>7.4550693787887399</v>
      </c>
      <c r="AL5821">
        <v>65.070605713112101</v>
      </c>
      <c r="AM5821">
        <v>107.47126293901501</v>
      </c>
      <c r="AN5821">
        <v>1.0000000092804</v>
      </c>
    </row>
    <row r="5822" spans="1:40" x14ac:dyDescent="0.25">
      <c r="A5822" t="str">
        <f>"20190304164523376"</f>
        <v>20190304164523376</v>
      </c>
      <c r="B5822" t="str">
        <f>"1551689123366107"</f>
        <v>1551689123366107</v>
      </c>
      <c r="C5822" t="s">
        <v>40</v>
      </c>
      <c r="D5822">
        <v>5.2698039999999997</v>
      </c>
      <c r="E5822">
        <v>0.50624279999999999</v>
      </c>
      <c r="F5822" t="s">
        <v>58</v>
      </c>
      <c r="G5822">
        <v>-210.1678</v>
      </c>
      <c r="H5822" s="1">
        <v>4.7104579999999998E-7</v>
      </c>
      <c r="I5822">
        <v>-58.507969999999901</v>
      </c>
      <c r="J5822">
        <v>-216.93620000000001</v>
      </c>
      <c r="K5822">
        <v>1.116452</v>
      </c>
      <c r="L5822">
        <v>-61.685029999999998</v>
      </c>
      <c r="M5822">
        <v>0.98696870000000003</v>
      </c>
      <c r="N5822">
        <v>-1.4166700000000001E-2</v>
      </c>
      <c r="O5822">
        <v>0.16028770000000001</v>
      </c>
      <c r="P5822">
        <v>0.81674209999999903</v>
      </c>
      <c r="Q5822">
        <v>0.41263650000000002</v>
      </c>
      <c r="R5822">
        <v>0.4033157</v>
      </c>
      <c r="S5822">
        <v>3.2035979999999999</v>
      </c>
      <c r="T5822">
        <v>-0.51207209999999903</v>
      </c>
      <c r="U5822">
        <v>1.4744870000000001</v>
      </c>
      <c r="V5822">
        <v>-0.27289269999999999</v>
      </c>
      <c r="W5822">
        <v>0.42128179999999998</v>
      </c>
      <c r="X5822">
        <v>0.86489959999999899</v>
      </c>
      <c r="Y5822">
        <v>-0.26540849999999999</v>
      </c>
      <c r="Z5822">
        <v>2.7347729999999999E-4</v>
      </c>
      <c r="AA5822">
        <v>0.96413599999999999</v>
      </c>
      <c r="AB5822">
        <v>35</v>
      </c>
      <c r="AC5822">
        <v>6.7684000000000104</v>
      </c>
      <c r="AD5822">
        <v>-1.1164515289542001</v>
      </c>
      <c r="AE5822">
        <v>3.1770600000000102</v>
      </c>
      <c r="AF5822">
        <v>-2.0062418424108399</v>
      </c>
      <c r="AG5822">
        <v>-1.1164515289542001</v>
      </c>
      <c r="AH5822">
        <v>7.03334750547896</v>
      </c>
      <c r="AI5822">
        <v>98.6790950911669</v>
      </c>
      <c r="AJ5822">
        <v>105.920644256697</v>
      </c>
      <c r="AK5822">
        <v>7.3986111858626096</v>
      </c>
      <c r="AL5822">
        <v>65.084461955070196</v>
      </c>
      <c r="AM5822">
        <v>107.511502244697</v>
      </c>
      <c r="AN5822">
        <v>1.00000004940234</v>
      </c>
    </row>
    <row r="5823" spans="1:40" x14ac:dyDescent="0.25">
      <c r="A5823" t="str">
        <f>"20190304164523398"</f>
        <v>20190304164523398</v>
      </c>
      <c r="B5823" t="str">
        <f>"1551689123396363"</f>
        <v>1551689123396363</v>
      </c>
      <c r="C5823" t="s">
        <v>40</v>
      </c>
      <c r="D5823">
        <v>5.2638999999999996</v>
      </c>
      <c r="E5823">
        <v>0.50709040000000005</v>
      </c>
      <c r="F5823" t="s">
        <v>43</v>
      </c>
      <c r="G5823">
        <v>-209.6859</v>
      </c>
      <c r="H5823">
        <v>-0.05</v>
      </c>
      <c r="I5823">
        <v>-58.321849999999998</v>
      </c>
      <c r="J5823">
        <v>-216.60749999999999</v>
      </c>
      <c r="K5823">
        <v>1.116638</v>
      </c>
      <c r="L5823">
        <v>-61.625790000000002</v>
      </c>
      <c r="M5823">
        <v>0.98595120000000003</v>
      </c>
      <c r="N5823">
        <v>-1.4182139999999999E-2</v>
      </c>
      <c r="O5823">
        <v>0.16643050000000001</v>
      </c>
      <c r="P5823">
        <v>0.81447449999999999</v>
      </c>
      <c r="Q5823">
        <v>0.41167939999999997</v>
      </c>
      <c r="R5823">
        <v>0.40884160000000003</v>
      </c>
      <c r="S5823">
        <v>3.2001949999999999</v>
      </c>
      <c r="T5823">
        <v>-0.51485509999999901</v>
      </c>
      <c r="U5823">
        <v>1.484467</v>
      </c>
      <c r="V5823">
        <v>-0.27346749999999997</v>
      </c>
      <c r="W5823">
        <v>0.42021419999999998</v>
      </c>
      <c r="X5823">
        <v>0.86523729999999999</v>
      </c>
      <c r="Y5823">
        <v>-0.26234439999999998</v>
      </c>
      <c r="Z5823">
        <v>-8.2302089999999905E-4</v>
      </c>
      <c r="AA5823">
        <v>0.96497390000000005</v>
      </c>
      <c r="AB5823">
        <v>35</v>
      </c>
      <c r="AC5823">
        <v>6.9215999999999802</v>
      </c>
      <c r="AD5823">
        <v>-1.1666379999999901</v>
      </c>
      <c r="AE5823">
        <v>3.3039399999999999</v>
      </c>
      <c r="AF5823">
        <v>-2.0581499033088599</v>
      </c>
      <c r="AG5823">
        <v>-1.1666379999999901</v>
      </c>
      <c r="AH5823">
        <v>7.2081992899198299</v>
      </c>
      <c r="AI5823">
        <v>98.845926394129293</v>
      </c>
      <c r="AJ5823">
        <v>105.935580312193</v>
      </c>
      <c r="AK5823">
        <v>7.5865118632171802</v>
      </c>
      <c r="AL5823">
        <v>65.151888867117194</v>
      </c>
      <c r="AM5823">
        <v>107.53969781257901</v>
      </c>
      <c r="AN5823">
        <v>1.0000000163745899</v>
      </c>
    </row>
    <row r="5824" spans="1:40" x14ac:dyDescent="0.25">
      <c r="A5824" t="str">
        <f>"20190304164523410"</f>
        <v>20190304164523410</v>
      </c>
      <c r="B5824" t="str">
        <f>"1551689123406122"</f>
        <v>1551689123406122</v>
      </c>
      <c r="C5824" t="s">
        <v>40</v>
      </c>
      <c r="D5824">
        <v>5.3479010000000002</v>
      </c>
      <c r="E5824">
        <v>0.50725880000000001</v>
      </c>
      <c r="F5824" t="s">
        <v>49</v>
      </c>
      <c r="G5824">
        <v>-209.79470000000001</v>
      </c>
      <c r="H5824" s="1">
        <v>-6.203638E-7</v>
      </c>
      <c r="I5824">
        <v>-58.435720000000003</v>
      </c>
      <c r="J5824">
        <v>-216.43</v>
      </c>
      <c r="K5824">
        <v>1.116733</v>
      </c>
      <c r="L5824">
        <v>-61.592829999999999</v>
      </c>
      <c r="M5824">
        <v>0.98537260000000004</v>
      </c>
      <c r="N5824">
        <v>-1.4190650000000001E-2</v>
      </c>
      <c r="O5824">
        <v>0.16982169999999999</v>
      </c>
      <c r="P5824">
        <v>0.81327199999999999</v>
      </c>
      <c r="Q5824">
        <v>0.41117310000000001</v>
      </c>
      <c r="R5824">
        <v>0.4117345</v>
      </c>
      <c r="S5824">
        <v>3.196793</v>
      </c>
      <c r="T5824">
        <v>-0.52396430000000005</v>
      </c>
      <c r="U5824">
        <v>1.4968870000000001</v>
      </c>
      <c r="V5824">
        <v>-0.27361629999999998</v>
      </c>
      <c r="W5824">
        <v>0.41965279999999999</v>
      </c>
      <c r="X5824">
        <v>0.86546270000000003</v>
      </c>
      <c r="Y5824">
        <v>-0.26247969999999998</v>
      </c>
      <c r="Z5824">
        <v>-1.359725E-3</v>
      </c>
      <c r="AA5824">
        <v>0.96493660000000003</v>
      </c>
      <c r="AB5824">
        <v>35</v>
      </c>
      <c r="AC5824">
        <v>6.6353</v>
      </c>
      <c r="AD5824">
        <v>-1.1167336203638001</v>
      </c>
      <c r="AE5824">
        <v>3.1571099999999999</v>
      </c>
      <c r="AF5824">
        <v>-1.9395152893237599</v>
      </c>
      <c r="AG5824">
        <v>-1.1167336203638001</v>
      </c>
      <c r="AH5824">
        <v>6.9153790159906903</v>
      </c>
      <c r="AI5824">
        <v>98.837923576457101</v>
      </c>
      <c r="AJ5824">
        <v>105.66689926782701</v>
      </c>
      <c r="AK5824">
        <v>7.2685129477201702</v>
      </c>
      <c r="AL5824">
        <v>65.187331247408096</v>
      </c>
      <c r="AM5824">
        <v>107.544366012739</v>
      </c>
      <c r="AN5824">
        <v>1.0000000186324001</v>
      </c>
    </row>
    <row r="5825" spans="1:40" x14ac:dyDescent="0.25">
      <c r="A5825" t="str">
        <f>"20190304164523420"</f>
        <v>20190304164523420</v>
      </c>
      <c r="B5825" t="str">
        <f>"1551689123415882"</f>
        <v>1551689123415882</v>
      </c>
      <c r="C5825" t="s">
        <v>40</v>
      </c>
      <c r="D5825">
        <v>5.5099369999999999</v>
      </c>
      <c r="E5825">
        <v>0.50725880000000001</v>
      </c>
      <c r="F5825" t="s">
        <v>49</v>
      </c>
      <c r="G5825">
        <v>-209.66569999999999</v>
      </c>
      <c r="H5825" s="1">
        <v>-7.1178430000000002E-7</v>
      </c>
      <c r="I5825">
        <v>-58.400359999999999</v>
      </c>
      <c r="J5825">
        <v>-216.26070000000001</v>
      </c>
      <c r="K5825">
        <v>1.116825</v>
      </c>
      <c r="L5825">
        <v>-61.5608199999999</v>
      </c>
      <c r="M5825">
        <v>0.98480120000000004</v>
      </c>
      <c r="N5825">
        <v>-1.4198809999999999E-2</v>
      </c>
      <c r="O5825">
        <v>0.17310410000000001</v>
      </c>
      <c r="P5825">
        <v>0.812303</v>
      </c>
      <c r="Q5825">
        <v>0.4106862</v>
      </c>
      <c r="R5825">
        <v>0.41412640000000001</v>
      </c>
      <c r="S5825">
        <v>3.1924589999999999</v>
      </c>
      <c r="T5825">
        <v>-0.52705100000000005</v>
      </c>
      <c r="U5825">
        <v>1.5067140000000001</v>
      </c>
      <c r="V5825">
        <v>-0.2733198</v>
      </c>
      <c r="W5825">
        <v>0.41912349999999998</v>
      </c>
      <c r="X5825">
        <v>0.86581280000000005</v>
      </c>
      <c r="Y5825">
        <v>-0.26221670000000002</v>
      </c>
      <c r="Z5825">
        <v>-1.8653999999999999E-3</v>
      </c>
      <c r="AA5825">
        <v>0.96500719999999995</v>
      </c>
      <c r="AB5825">
        <v>35</v>
      </c>
      <c r="AC5825">
        <v>6.5950000000000202</v>
      </c>
      <c r="AD5825">
        <v>-1.1168257117842999</v>
      </c>
      <c r="AE5825">
        <v>3.1604599999999898</v>
      </c>
      <c r="AF5825">
        <v>-1.9260825371247099</v>
      </c>
      <c r="AG5825">
        <v>-1.1168257117842999</v>
      </c>
      <c r="AH5825">
        <v>6.8820614382109699</v>
      </c>
      <c r="AI5825">
        <v>98.882099009529</v>
      </c>
      <c r="AJ5825">
        <v>105.635339296011</v>
      </c>
      <c r="AK5825">
        <v>7.2332470751129296</v>
      </c>
      <c r="AL5825">
        <v>65.220737599127105</v>
      </c>
      <c r="AM5825">
        <v>107.51986551491601</v>
      </c>
      <c r="AN5825">
        <v>1.00000001298406</v>
      </c>
    </row>
    <row r="5826" spans="1:40" x14ac:dyDescent="0.25">
      <c r="A5826" t="str">
        <f>"20190304164523430"</f>
        <v>20190304164523430</v>
      </c>
      <c r="B5826" t="str">
        <f>"1551689123425642"</f>
        <v>1551689123425642</v>
      </c>
      <c r="C5826" t="s">
        <v>40</v>
      </c>
      <c r="D5826">
        <v>5.4113340000000001</v>
      </c>
      <c r="E5826">
        <v>0.50504910000000003</v>
      </c>
      <c r="F5826" t="s">
        <v>49</v>
      </c>
      <c r="G5826">
        <v>-209.53100000000001</v>
      </c>
      <c r="H5826" s="1">
        <v>-8.0830390000000002E-7</v>
      </c>
      <c r="I5826">
        <v>-58.359310000000001</v>
      </c>
      <c r="J5826">
        <v>-216.11070000000001</v>
      </c>
      <c r="K5826">
        <v>1.1169039999999999</v>
      </c>
      <c r="L5826">
        <v>-61.531979999999997</v>
      </c>
      <c r="M5826">
        <v>0.98427989999999999</v>
      </c>
      <c r="N5826">
        <v>-1.42059E-2</v>
      </c>
      <c r="O5826">
        <v>0.17604359999999999</v>
      </c>
      <c r="P5826">
        <v>0.81119019999999897</v>
      </c>
      <c r="Q5826">
        <v>0.41059129999999999</v>
      </c>
      <c r="R5826">
        <v>0.41639579999999998</v>
      </c>
      <c r="S5826">
        <v>3.187576</v>
      </c>
      <c r="T5826">
        <v>-0.52899269999999998</v>
      </c>
      <c r="U5826">
        <v>1.516418</v>
      </c>
      <c r="V5826">
        <v>-0.27322439999999998</v>
      </c>
      <c r="W5826">
        <v>0.41898669999999999</v>
      </c>
      <c r="X5826">
        <v>0.86590909999999999</v>
      </c>
      <c r="Y5826">
        <v>-0.26232</v>
      </c>
      <c r="Z5826">
        <v>-2.285395E-3</v>
      </c>
      <c r="AA5826">
        <v>0.96497820000000001</v>
      </c>
      <c r="AB5826">
        <v>35</v>
      </c>
      <c r="AC5826">
        <v>6.5797000000000301</v>
      </c>
      <c r="AD5826">
        <v>-1.1169048083038999</v>
      </c>
      <c r="AE5826">
        <v>3.1726700000000001</v>
      </c>
      <c r="AF5826">
        <v>-1.91979603443254</v>
      </c>
      <c r="AG5826">
        <v>-1.1169048083038999</v>
      </c>
      <c r="AH5826">
        <v>6.8747772882825098</v>
      </c>
      <c r="AI5826">
        <v>98.893381364567503</v>
      </c>
      <c r="AJ5826">
        <v>105.60250285657899</v>
      </c>
      <c r="AK5826">
        <v>7.2246561114090602</v>
      </c>
      <c r="AL5826">
        <v>65.229369816211801</v>
      </c>
      <c r="AM5826">
        <v>107.512295564713</v>
      </c>
      <c r="AN5826">
        <v>0.99999999849752996</v>
      </c>
    </row>
    <row r="5827" spans="1:40" x14ac:dyDescent="0.25">
      <c r="A5827" t="str">
        <f>"20190304164523441"</f>
        <v>20190304164523441</v>
      </c>
      <c r="B5827" t="str">
        <f>"1551689123436379"</f>
        <v>1551689123436379</v>
      </c>
      <c r="C5827" t="s">
        <v>40</v>
      </c>
      <c r="D5827">
        <v>5.3309879999999996</v>
      </c>
      <c r="E5827">
        <v>0.50504910000000003</v>
      </c>
      <c r="F5827" t="s">
        <v>49</v>
      </c>
      <c r="G5827">
        <v>-209.39830000000001</v>
      </c>
      <c r="H5827" s="1">
        <v>-9.1603329999999998E-7</v>
      </c>
      <c r="I5827">
        <v>-58.271540000000002</v>
      </c>
      <c r="J5827">
        <v>-215.959</v>
      </c>
      <c r="K5827">
        <v>1.116986</v>
      </c>
      <c r="L5827">
        <v>-61.5021699999999</v>
      </c>
      <c r="M5827">
        <v>0.98373310000000003</v>
      </c>
      <c r="N5827">
        <v>-1.421328E-2</v>
      </c>
      <c r="O5827">
        <v>0.17907310000000001</v>
      </c>
      <c r="P5827">
        <v>0.80993740000000003</v>
      </c>
      <c r="Q5827">
        <v>0.41070250000000003</v>
      </c>
      <c r="R5827">
        <v>0.41871819999999998</v>
      </c>
      <c r="S5827">
        <v>3.1741790000000001</v>
      </c>
      <c r="T5827">
        <v>-0.52816609999999997</v>
      </c>
      <c r="U5827">
        <v>1.541809</v>
      </c>
      <c r="V5827">
        <v>-0.27313300000000001</v>
      </c>
      <c r="W5827">
        <v>0.41905290000000001</v>
      </c>
      <c r="X5827">
        <v>0.86590590000000001</v>
      </c>
      <c r="Y5827">
        <v>-0.26716010000000001</v>
      </c>
      <c r="Z5827">
        <v>-2.28473E-3</v>
      </c>
      <c r="AA5827">
        <v>0.96364950000000005</v>
      </c>
      <c r="AB5827">
        <v>35</v>
      </c>
      <c r="AC5827">
        <v>6.56069999999999</v>
      </c>
      <c r="AD5827">
        <v>-1.1169869160332999</v>
      </c>
      <c r="AE5827">
        <v>3.2306299999999899</v>
      </c>
      <c r="AF5827">
        <v>-1.9577614124845999</v>
      </c>
      <c r="AG5827">
        <v>-1.1169869160332999</v>
      </c>
      <c r="AH5827">
        <v>6.8728660909670403</v>
      </c>
      <c r="AI5827">
        <v>98.8836555049959</v>
      </c>
      <c r="AJ5827">
        <v>105.899799561783</v>
      </c>
      <c r="AK5827">
        <v>7.2330337910981601</v>
      </c>
      <c r="AL5827">
        <v>65.225192410784501</v>
      </c>
      <c r="AM5827">
        <v>107.506855965196</v>
      </c>
      <c r="AN5827">
        <v>0.99999999817110996</v>
      </c>
    </row>
    <row r="5828" spans="1:40" x14ac:dyDescent="0.25">
      <c r="A5828" t="str">
        <f>"20190304164523451"</f>
        <v>20190304164523451</v>
      </c>
      <c r="B5828" t="str">
        <f>"1551689123446139"</f>
        <v>1551689123446139</v>
      </c>
      <c r="C5828" t="s">
        <v>40</v>
      </c>
      <c r="D5828">
        <v>5.3719749999999999</v>
      </c>
      <c r="E5828">
        <v>0.43337409999999998</v>
      </c>
      <c r="F5828" t="s">
        <v>49</v>
      </c>
      <c r="G5828">
        <v>-209.2527</v>
      </c>
      <c r="H5828" s="1">
        <v>-1.0234020000000001E-6</v>
      </c>
      <c r="I5828">
        <v>-58.215760000000003</v>
      </c>
      <c r="J5828">
        <v>-215.79839999999999</v>
      </c>
      <c r="K5828">
        <v>1.1170719999999901</v>
      </c>
      <c r="L5828">
        <v>-61.47025</v>
      </c>
      <c r="M5828">
        <v>0.98313810000000001</v>
      </c>
      <c r="N5828">
        <v>-1.422089E-2</v>
      </c>
      <c r="O5828">
        <v>0.1823109</v>
      </c>
      <c r="P5828">
        <v>0.80849190000000004</v>
      </c>
      <c r="Q5828">
        <v>0.4110143</v>
      </c>
      <c r="R5828">
        <v>0.42119839999999997</v>
      </c>
      <c r="S5828">
        <v>3.1688230000000002</v>
      </c>
      <c r="T5828">
        <v>-0.52779709999999902</v>
      </c>
      <c r="U5828">
        <v>1.5528869999999999</v>
      </c>
      <c r="V5828">
        <v>-0.27305760000000001</v>
      </c>
      <c r="W5828">
        <v>0.41931400000000002</v>
      </c>
      <c r="X5828">
        <v>0.86580330000000005</v>
      </c>
      <c r="Y5828">
        <v>-0.2673758</v>
      </c>
      <c r="Z5828">
        <v>-2.7083250000000001E-3</v>
      </c>
      <c r="AA5828">
        <v>0.96358849999999996</v>
      </c>
      <c r="AB5828">
        <v>35</v>
      </c>
      <c r="AC5828">
        <v>6.5456999999999796</v>
      </c>
      <c r="AD5828">
        <v>-1.1170730234020001</v>
      </c>
      <c r="AE5828">
        <v>3.2544900000000001</v>
      </c>
      <c r="AF5828">
        <v>-1.9606788447052901</v>
      </c>
      <c r="AG5828">
        <v>-1.1170730234020001</v>
      </c>
      <c r="AH5828">
        <v>6.8689665024466198</v>
      </c>
      <c r="AI5828">
        <v>98.887939963932197</v>
      </c>
      <c r="AJ5828">
        <v>105.930873573158</v>
      </c>
      <c r="AK5828">
        <v>7.2301323973646001</v>
      </c>
      <c r="AL5828">
        <v>65.208715481152495</v>
      </c>
      <c r="AM5828">
        <v>107.504265628293</v>
      </c>
      <c r="AN5828">
        <v>1.0000000189023199</v>
      </c>
    </row>
    <row r="5829" spans="1:40" x14ac:dyDescent="0.25">
      <c r="A5829" t="str">
        <f>"20190304164523460"</f>
        <v>20190304164523460</v>
      </c>
      <c r="B5829" t="str">
        <f>"1551689123455899"</f>
        <v>1551689123455899</v>
      </c>
      <c r="C5829" t="s">
        <v>40</v>
      </c>
      <c r="D5829">
        <v>5.3587899999999999</v>
      </c>
      <c r="E5829">
        <v>0.43176609999999999</v>
      </c>
      <c r="F5829" t="s">
        <v>49</v>
      </c>
      <c r="G5829">
        <v>-207.4074</v>
      </c>
      <c r="H5829" s="1">
        <v>-2.9348869999999999E-6</v>
      </c>
      <c r="I5829">
        <v>-55.431229999999999</v>
      </c>
      <c r="J5829">
        <v>-215.65610000000001</v>
      </c>
      <c r="K5829">
        <v>1.1171549999999999</v>
      </c>
      <c r="L5829">
        <v>-61.441279999999999</v>
      </c>
      <c r="M5829">
        <v>0.98259030000000003</v>
      </c>
      <c r="N5829">
        <v>-1.4228670000000001E-2</v>
      </c>
      <c r="O5829">
        <v>0.18524060000000001</v>
      </c>
      <c r="P5829">
        <v>0.8071064</v>
      </c>
      <c r="Q5829">
        <v>0.41116429999999998</v>
      </c>
      <c r="R5829">
        <v>0.42370200000000002</v>
      </c>
      <c r="S5829">
        <v>2.83847</v>
      </c>
      <c r="T5829">
        <v>-0.37787850000000001</v>
      </c>
      <c r="U5829">
        <v>2.0428470000000001</v>
      </c>
      <c r="V5829">
        <v>-0.27326009999999901</v>
      </c>
      <c r="W5829">
        <v>0.41941309999999898</v>
      </c>
      <c r="X5829">
        <v>0.8656914</v>
      </c>
      <c r="Y5829">
        <v>-0.42174790000000001</v>
      </c>
      <c r="Z5829">
        <v>9.1951410000000004E-3</v>
      </c>
      <c r="AA5829">
        <v>0.90666650000000004</v>
      </c>
      <c r="AB5829">
        <v>35</v>
      </c>
      <c r="AC5829">
        <v>8.2487000000000101</v>
      </c>
      <c r="AD5829">
        <v>-1.117157934887</v>
      </c>
      <c r="AE5829">
        <v>6.0100499999999997</v>
      </c>
      <c r="AF5829">
        <v>-4.3260318631864303</v>
      </c>
      <c r="AG5829">
        <v>-1.117157934887</v>
      </c>
      <c r="AH5829">
        <v>9.1101741169323596</v>
      </c>
      <c r="AI5829">
        <v>96.321043471408004</v>
      </c>
      <c r="AJ5829">
        <v>115.401042559063</v>
      </c>
      <c r="AK5829">
        <v>10.1468155582729</v>
      </c>
      <c r="AL5829">
        <v>65.202460819804003</v>
      </c>
      <c r="AM5829">
        <v>107.518578919207</v>
      </c>
      <c r="AN5829">
        <v>1.00000001536878</v>
      </c>
    </row>
    <row r="5830" spans="1:40" x14ac:dyDescent="0.25">
      <c r="A5830" t="str">
        <f>"20190304164523470"</f>
        <v>20190304164523470</v>
      </c>
      <c r="B5830" t="str">
        <f>"1551689123465658"</f>
        <v>1551689123465658</v>
      </c>
      <c r="C5830" t="s">
        <v>40</v>
      </c>
      <c r="D5830">
        <v>5.3200469999999997</v>
      </c>
      <c r="E5830">
        <v>0.43137229999999999</v>
      </c>
      <c r="F5830" t="s">
        <v>41</v>
      </c>
      <c r="G5830">
        <v>-214.81729999999999</v>
      </c>
      <c r="H5830">
        <v>1.006238</v>
      </c>
      <c r="I5830">
        <v>-60.828530000000001</v>
      </c>
      <c r="J5830">
        <v>-215.49199999999999</v>
      </c>
      <c r="K5830">
        <v>1.1172489999999999</v>
      </c>
      <c r="L5830">
        <v>-61.407470000000004</v>
      </c>
      <c r="M5830">
        <v>0.98194090000000001</v>
      </c>
      <c r="N5830">
        <v>-1.423776E-2</v>
      </c>
      <c r="O5830">
        <v>0.18865180000000001</v>
      </c>
      <c r="P5830">
        <v>0.80548940000000002</v>
      </c>
      <c r="Q5830">
        <v>0.41155530000000001</v>
      </c>
      <c r="R5830">
        <v>0.42639070000000001</v>
      </c>
      <c r="S5830">
        <v>2.824036</v>
      </c>
      <c r="T5830">
        <v>-0.3734343</v>
      </c>
      <c r="U5830">
        <v>2.0633849999999998</v>
      </c>
      <c r="V5830">
        <v>-0.27328089999999999</v>
      </c>
      <c r="W5830">
        <v>0.41974719999999999</v>
      </c>
      <c r="X5830">
        <v>0.86552289999999998</v>
      </c>
      <c r="Y5830">
        <v>-0.42513319999999999</v>
      </c>
      <c r="Z5830">
        <v>9.0582579999999996E-3</v>
      </c>
      <c r="AA5830">
        <v>0.90508540000000004</v>
      </c>
      <c r="AB5830">
        <v>35</v>
      </c>
      <c r="AC5830">
        <v>0.67470000000002905</v>
      </c>
      <c r="AD5830">
        <v>-0.111010999999999</v>
      </c>
      <c r="AE5830">
        <v>0.57893999999998802</v>
      </c>
      <c r="AF5830">
        <v>-0.43447208870804699</v>
      </c>
      <c r="AG5830">
        <v>-0.111010999999999</v>
      </c>
      <c r="AH5830">
        <v>0.75996276542038399</v>
      </c>
      <c r="AI5830">
        <v>97.227275218557807</v>
      </c>
      <c r="AJ5830">
        <v>119.756681694176</v>
      </c>
      <c r="AK5830">
        <v>0.88240174683231998</v>
      </c>
      <c r="AL5830">
        <v>65.181372496959398</v>
      </c>
      <c r="AM5830">
        <v>107.523032859509</v>
      </c>
      <c r="AN5830">
        <v>1.00000002631852</v>
      </c>
    </row>
    <row r="5831" spans="1:40" x14ac:dyDescent="0.25">
      <c r="A5831" t="str">
        <f>"20190304164523482"</f>
        <v>20190304164523482</v>
      </c>
      <c r="B5831" t="str">
        <f>"1551689123476396"</f>
        <v>1551689123476396</v>
      </c>
      <c r="C5831" t="s">
        <v>40</v>
      </c>
      <c r="D5831">
        <v>5.3137049999999997</v>
      </c>
      <c r="E5831">
        <v>0.43186160000000001</v>
      </c>
      <c r="F5831" t="s">
        <v>49</v>
      </c>
      <c r="G5831">
        <v>-207.05459999999999</v>
      </c>
      <c r="H5831" s="1">
        <v>-3.1824260000000001E-6</v>
      </c>
      <c r="I5831">
        <v>-55.185049999999997</v>
      </c>
      <c r="J5831">
        <v>-215.33699999999999</v>
      </c>
      <c r="K5831">
        <v>1.117345</v>
      </c>
      <c r="L5831">
        <v>-61.374760000000002</v>
      </c>
      <c r="M5831">
        <v>0.9813018</v>
      </c>
      <c r="N5831">
        <v>-1.424767E-2</v>
      </c>
      <c r="O5831">
        <v>0.1919478</v>
      </c>
      <c r="P5831">
        <v>0.80403150000000001</v>
      </c>
      <c r="Q5831">
        <v>0.4115182</v>
      </c>
      <c r="R5831">
        <v>0.42916919999999997</v>
      </c>
      <c r="S5831">
        <v>2.8157350000000001</v>
      </c>
      <c r="T5831">
        <v>-0.37284840000000002</v>
      </c>
      <c r="U5831">
        <v>2.0765380000000002</v>
      </c>
      <c r="V5831">
        <v>-0.27345720000000001</v>
      </c>
      <c r="W5831">
        <v>0.41965459999999899</v>
      </c>
      <c r="X5831">
        <v>0.86551209999999901</v>
      </c>
      <c r="Y5831">
        <v>-0.4261218</v>
      </c>
      <c r="Z5831">
        <v>8.8033279999999992E-3</v>
      </c>
      <c r="AA5831">
        <v>0.90462299999999995</v>
      </c>
      <c r="AB5831">
        <v>35</v>
      </c>
      <c r="AC5831">
        <v>8.2824000000000204</v>
      </c>
      <c r="AD5831">
        <v>-1.1173481824259901</v>
      </c>
      <c r="AE5831">
        <v>6.1897099999999901</v>
      </c>
      <c r="AF5831">
        <v>-4.4328742900084999</v>
      </c>
      <c r="AG5831">
        <v>-1.1173481824259901</v>
      </c>
      <c r="AH5831">
        <v>9.2090399929437101</v>
      </c>
      <c r="AI5831">
        <v>96.239093368064005</v>
      </c>
      <c r="AJ5831">
        <v>115.70435759991</v>
      </c>
      <c r="AK5831">
        <v>10.2813062897389</v>
      </c>
      <c r="AL5831">
        <v>65.187217381124995</v>
      </c>
      <c r="AM5831">
        <v>107.533850303918</v>
      </c>
      <c r="AN5831">
        <v>1.0000000093896999</v>
      </c>
    </row>
    <row r="5832" spans="1:40" x14ac:dyDescent="0.25">
      <c r="A5832" t="str">
        <f>"20190304164523492"</f>
        <v>20190304164523492</v>
      </c>
      <c r="B5832" t="str">
        <f>"1551689123486154"</f>
        <v>1551689123486154</v>
      </c>
      <c r="C5832" t="s">
        <v>40</v>
      </c>
      <c r="D5832">
        <v>5.3220039999999997</v>
      </c>
      <c r="E5832">
        <v>0.43235760000000001</v>
      </c>
      <c r="F5832" t="s">
        <v>41</v>
      </c>
      <c r="G5832">
        <v>-214.51570000000001</v>
      </c>
      <c r="H5832">
        <v>1.0081910000000001</v>
      </c>
      <c r="I5832">
        <v>-60.766159999999999</v>
      </c>
      <c r="J5832">
        <v>-215.1729</v>
      </c>
      <c r="K5832">
        <v>1.117445</v>
      </c>
      <c r="L5832">
        <v>-61.339779999999998</v>
      </c>
      <c r="M5832">
        <v>0.98060720000000001</v>
      </c>
      <c r="N5832">
        <v>-1.4258130000000001E-2</v>
      </c>
      <c r="O5832">
        <v>0.19546479999999999</v>
      </c>
      <c r="P5832">
        <v>0.80236960000000002</v>
      </c>
      <c r="Q5832">
        <v>0.41189130000000002</v>
      </c>
      <c r="R5832">
        <v>0.43191299999999999</v>
      </c>
      <c r="S5832">
        <v>2.8105929999999999</v>
      </c>
      <c r="T5832">
        <v>-0.37354860000000001</v>
      </c>
      <c r="U5832">
        <v>2.0828859999999998</v>
      </c>
      <c r="V5832">
        <v>-0.27345770000000003</v>
      </c>
      <c r="W5832">
        <v>0.41996800000000001</v>
      </c>
      <c r="X5832">
        <v>0.86535989999999996</v>
      </c>
      <c r="Y5832">
        <v>-0.42500559999999998</v>
      </c>
      <c r="Z5832">
        <v>8.3932869999999993E-3</v>
      </c>
      <c r="AA5832">
        <v>0.90515179999999995</v>
      </c>
      <c r="AB5832">
        <v>35</v>
      </c>
      <c r="AC5832">
        <v>0.65719999999998802</v>
      </c>
      <c r="AD5832">
        <v>-0.109253999999999</v>
      </c>
      <c r="AE5832">
        <v>0.57362000000000501</v>
      </c>
      <c r="AF5832">
        <v>-0.42737659166696801</v>
      </c>
      <c r="AG5832">
        <v>-0.109253999999999</v>
      </c>
      <c r="AH5832">
        <v>0.74496866374960402</v>
      </c>
      <c r="AI5832">
        <v>97.249609712747997</v>
      </c>
      <c r="AJ5832">
        <v>119.84220292697501</v>
      </c>
      <c r="AK5832">
        <v>0.86577450735728301</v>
      </c>
      <c r="AL5832">
        <v>65.167432671085905</v>
      </c>
      <c r="AM5832">
        <v>107.53677525856899</v>
      </c>
      <c r="AN5832">
        <v>0.99999999562065001</v>
      </c>
    </row>
    <row r="5833" spans="1:40" x14ac:dyDescent="0.25">
      <c r="A5833" t="str">
        <f>"20190304164523505"</f>
        <v>20190304164523505</v>
      </c>
      <c r="B5833" t="str">
        <f>"1551689123495914"</f>
        <v>1551689123495914</v>
      </c>
      <c r="C5833" t="s">
        <v>40</v>
      </c>
      <c r="D5833">
        <v>5.3086349999999998</v>
      </c>
      <c r="E5833">
        <v>0.43302819999999997</v>
      </c>
      <c r="F5833" t="s">
        <v>49</v>
      </c>
      <c r="G5833">
        <v>-206.7475</v>
      </c>
      <c r="H5833" s="1">
        <v>-3.377605E-6</v>
      </c>
      <c r="I5833">
        <v>-55.0623199999999</v>
      </c>
      <c r="J5833">
        <v>-214.9864</v>
      </c>
      <c r="K5833">
        <v>1.117567</v>
      </c>
      <c r="L5833">
        <v>-61.298769999999998</v>
      </c>
      <c r="M5833">
        <v>0.97977860000000006</v>
      </c>
      <c r="N5833">
        <v>-1.4271570000000001E-2</v>
      </c>
      <c r="O5833">
        <v>0.1995749</v>
      </c>
      <c r="P5833">
        <v>0.80063839999999997</v>
      </c>
      <c r="Q5833">
        <v>0.41183510000000001</v>
      </c>
      <c r="R5833">
        <v>0.43516670000000002</v>
      </c>
      <c r="S5833">
        <v>2.804932</v>
      </c>
      <c r="T5833">
        <v>-0.37201190000000001</v>
      </c>
      <c r="U5833">
        <v>2.0898439999999998</v>
      </c>
      <c r="V5833">
        <v>-0.27346009999999998</v>
      </c>
      <c r="W5833">
        <v>0.41984460000000001</v>
      </c>
      <c r="X5833">
        <v>0.86541900000000005</v>
      </c>
      <c r="Y5833">
        <v>-0.42356919999999998</v>
      </c>
      <c r="Z5833">
        <v>7.8908940000000007E-3</v>
      </c>
      <c r="AA5833">
        <v>0.90582940000000001</v>
      </c>
      <c r="AB5833">
        <v>35</v>
      </c>
      <c r="AC5833">
        <v>8.2388999999999992</v>
      </c>
      <c r="AD5833">
        <v>-1.1175703776050001</v>
      </c>
      <c r="AE5833">
        <v>6.2364499999999996</v>
      </c>
      <c r="AF5833">
        <v>-4.4148751214113098</v>
      </c>
      <c r="AG5833">
        <v>-1.1175703776050001</v>
      </c>
      <c r="AH5833">
        <v>9.21015132995079</v>
      </c>
      <c r="AI5833">
        <v>96.244441122296493</v>
      </c>
      <c r="AJ5833">
        <v>115.610674502973</v>
      </c>
      <c r="AK5833">
        <v>10.2745789892895</v>
      </c>
      <c r="AL5833">
        <v>65.175222641316907</v>
      </c>
      <c r="AM5833">
        <v>107.535795529881</v>
      </c>
      <c r="AN5833">
        <v>0.99999998000108403</v>
      </c>
    </row>
    <row r="5834" spans="1:40" x14ac:dyDescent="0.25">
      <c r="A5834" t="str">
        <f>"20190304164523519"</f>
        <v>20190304164523519</v>
      </c>
      <c r="B5834" t="str">
        <f>"1551689123516410"</f>
        <v>1551689123516410</v>
      </c>
      <c r="C5834" t="s">
        <v>40</v>
      </c>
      <c r="D5834">
        <v>5.2711119999999996</v>
      </c>
      <c r="E5834">
        <v>0.43390679999999998</v>
      </c>
      <c r="F5834" t="s">
        <v>41</v>
      </c>
      <c r="G5834">
        <v>-214.17080000000001</v>
      </c>
      <c r="H5834">
        <v>1.008983</v>
      </c>
      <c r="I5834">
        <v>-60.68779</v>
      </c>
      <c r="J5834">
        <v>-214.7732</v>
      </c>
      <c r="K5834">
        <v>1.117699</v>
      </c>
      <c r="L5834">
        <v>-61.251159999999999</v>
      </c>
      <c r="M5834">
        <v>0.97879530000000003</v>
      </c>
      <c r="N5834">
        <v>-1.4287070000000001E-2</v>
      </c>
      <c r="O5834">
        <v>0.20434179999999999</v>
      </c>
      <c r="P5834">
        <v>0.79863649999999997</v>
      </c>
      <c r="Q5834">
        <v>0.41140510000000002</v>
      </c>
      <c r="R5834">
        <v>0.43923299999999998</v>
      </c>
      <c r="S5834">
        <v>2.7989809999999999</v>
      </c>
      <c r="T5834">
        <v>-0.37262699999999999</v>
      </c>
      <c r="U5834">
        <v>2.0968930000000001</v>
      </c>
      <c r="V5834">
        <v>-0.27374399999999999</v>
      </c>
      <c r="W5834">
        <v>0.4193326</v>
      </c>
      <c r="X5834">
        <v>0.8655775</v>
      </c>
      <c r="Y5834">
        <v>-0.42157329999999998</v>
      </c>
      <c r="Z5834">
        <v>7.2993440000000001E-3</v>
      </c>
      <c r="AA5834">
        <v>0.90676489999999998</v>
      </c>
      <c r="AB5834">
        <v>35</v>
      </c>
      <c r="AC5834">
        <v>0.60239999999998795</v>
      </c>
      <c r="AD5834">
        <v>-0.10871599999999999</v>
      </c>
      <c r="AE5834">
        <v>0.56336999999999904</v>
      </c>
      <c r="AF5834">
        <v>-0.42105662552082801</v>
      </c>
      <c r="AG5834">
        <v>-0.10871599999999999</v>
      </c>
      <c r="AH5834">
        <v>0.69278176635148803</v>
      </c>
      <c r="AI5834">
        <v>97.637872553924296</v>
      </c>
      <c r="AJ5834">
        <v>121.290259912599</v>
      </c>
      <c r="AK5834">
        <v>0.81795747220749504</v>
      </c>
      <c r="AL5834">
        <v>65.207541294736799</v>
      </c>
      <c r="AM5834">
        <v>107.549866543346</v>
      </c>
      <c r="AN5834">
        <v>1.0000000077325</v>
      </c>
    </row>
    <row r="5835" spans="1:40" x14ac:dyDescent="0.25">
      <c r="A5835" t="str">
        <f>"20190304164523532"</f>
        <v>20190304164523532</v>
      </c>
      <c r="B5835" t="str">
        <f>"1551689123526171"</f>
        <v>1551689123526171</v>
      </c>
      <c r="C5835" t="s">
        <v>40</v>
      </c>
      <c r="D5835">
        <v>5.2685170000000001</v>
      </c>
      <c r="E5835">
        <v>0.4342434</v>
      </c>
      <c r="F5835" t="s">
        <v>41</v>
      </c>
      <c r="G5835">
        <v>-213.92529999999999</v>
      </c>
      <c r="H5835">
        <v>1.003315</v>
      </c>
      <c r="I5835">
        <v>-60.61233</v>
      </c>
      <c r="J5835">
        <v>-214.57300000000001</v>
      </c>
      <c r="K5835">
        <v>1.117829</v>
      </c>
      <c r="L5835">
        <v>-61.205379999999998</v>
      </c>
      <c r="M5835">
        <v>0.97782950000000002</v>
      </c>
      <c r="N5835">
        <v>-1.4302230000000001E-2</v>
      </c>
      <c r="O5835">
        <v>0.20891370000000001</v>
      </c>
      <c r="P5835">
        <v>0.79640940000000005</v>
      </c>
      <c r="Q5835">
        <v>0.4114544</v>
      </c>
      <c r="R5835">
        <v>0.44321240000000001</v>
      </c>
      <c r="S5835">
        <v>2.7930760000000001</v>
      </c>
      <c r="T5835">
        <v>-0.37681219999999999</v>
      </c>
      <c r="U5835">
        <v>2.1045530000000001</v>
      </c>
      <c r="V5835">
        <v>-0.27416659999999998</v>
      </c>
      <c r="W5835">
        <v>0.41929709999999998</v>
      </c>
      <c r="X5835">
        <v>0.86546100000000004</v>
      </c>
      <c r="Y5835">
        <v>-0.41984159999999998</v>
      </c>
      <c r="Z5835">
        <v>6.7487299999999997E-3</v>
      </c>
      <c r="AA5835">
        <v>0.9075723</v>
      </c>
      <c r="AB5835">
        <v>35</v>
      </c>
      <c r="AC5835">
        <v>0.64769999999998595</v>
      </c>
      <c r="AD5835">
        <v>-0.114514</v>
      </c>
      <c r="AE5835">
        <v>0.59304999999999797</v>
      </c>
      <c r="AF5835">
        <v>-0.43719995104279202</v>
      </c>
      <c r="AG5835">
        <v>-0.114514</v>
      </c>
      <c r="AH5835">
        <v>0.74465223776200595</v>
      </c>
      <c r="AI5835">
        <v>97.554170148806193</v>
      </c>
      <c r="AJ5835">
        <v>120.41803179782001</v>
      </c>
      <c r="AK5835">
        <v>0.87107072536722496</v>
      </c>
      <c r="AL5835">
        <v>65.209783226850902</v>
      </c>
      <c r="AM5835">
        <v>107.57751312957301</v>
      </c>
      <c r="AN5835">
        <v>1.0000000625724801</v>
      </c>
    </row>
    <row r="5836" spans="1:40" x14ac:dyDescent="0.25">
      <c r="A5836" t="str">
        <f>"20190304164523549"</f>
        <v>20190304164523549</v>
      </c>
      <c r="B5836" t="str">
        <f>"1551689123545690"</f>
        <v>1551689123545690</v>
      </c>
      <c r="C5836" t="s">
        <v>40</v>
      </c>
      <c r="D5836">
        <v>5.2743099999999998</v>
      </c>
      <c r="E5836">
        <v>0.43505630000000001</v>
      </c>
      <c r="F5836" t="s">
        <v>49</v>
      </c>
      <c r="G5836">
        <v>-206.3476</v>
      </c>
      <c r="H5836" s="1">
        <v>-3.620449E-6</v>
      </c>
      <c r="I5836">
        <v>-54.953449999999997</v>
      </c>
      <c r="J5836">
        <v>-214.32689999999999</v>
      </c>
      <c r="K5836">
        <v>1.1179939999999999</v>
      </c>
      <c r="L5836">
        <v>-61.147399999999998</v>
      </c>
      <c r="M5836">
        <v>0.97657839999999996</v>
      </c>
      <c r="N5836">
        <v>-1.4322339999999999E-2</v>
      </c>
      <c r="O5836">
        <v>0.21468519999999999</v>
      </c>
      <c r="P5836">
        <v>0.79369869999999898</v>
      </c>
      <c r="Q5836">
        <v>0.41122979999999998</v>
      </c>
      <c r="R5836">
        <v>0.44825490000000001</v>
      </c>
      <c r="S5836">
        <v>2.7845460000000002</v>
      </c>
      <c r="T5836">
        <v>-0.37842320000000002</v>
      </c>
      <c r="U5836">
        <v>2.1164860000000001</v>
      </c>
      <c r="V5836">
        <v>-0.27469070000000001</v>
      </c>
      <c r="W5836">
        <v>0.41897109999999899</v>
      </c>
      <c r="X5836">
        <v>0.86545260000000002</v>
      </c>
      <c r="Y5836">
        <v>-0.41831010000000002</v>
      </c>
      <c r="Z5836">
        <v>6.0804049999999997E-3</v>
      </c>
      <c r="AA5836">
        <v>0.90828390000000003</v>
      </c>
      <c r="AB5836">
        <v>35</v>
      </c>
      <c r="AC5836">
        <v>7.9792999999999896</v>
      </c>
      <c r="AD5836">
        <v>-1.1179976204490001</v>
      </c>
      <c r="AE5836">
        <v>6.1939500000000001</v>
      </c>
      <c r="AF5836">
        <v>-4.2838078142723903</v>
      </c>
      <c r="AG5836">
        <v>-1.1179976204490001</v>
      </c>
      <c r="AH5836">
        <v>9.0126907128020992</v>
      </c>
      <c r="AI5836">
        <v>96.3925044974348</v>
      </c>
      <c r="AJ5836">
        <v>115.422134633524</v>
      </c>
      <c r="AK5836">
        <v>10.041390439255901</v>
      </c>
      <c r="AL5836">
        <v>65.230353789657201</v>
      </c>
      <c r="AM5836">
        <v>107.60920037269</v>
      </c>
      <c r="AN5836">
        <v>0.99999998307422899</v>
      </c>
    </row>
    <row r="5837" spans="1:40" x14ac:dyDescent="0.25">
      <c r="A5837" t="str">
        <f>"20190304164523563"</f>
        <v>20190304164523563</v>
      </c>
      <c r="B5837" t="str">
        <f>"1551689123555451"</f>
        <v>1551689123555451</v>
      </c>
      <c r="C5837" t="s">
        <v>40</v>
      </c>
      <c r="D5837">
        <v>5.2823979999999997</v>
      </c>
      <c r="E5837">
        <v>0.4354692</v>
      </c>
      <c r="F5837" t="s">
        <v>49</v>
      </c>
      <c r="G5837">
        <v>-206.2184</v>
      </c>
      <c r="H5837" s="1">
        <v>-3.69461E-6</v>
      </c>
      <c r="I5837">
        <v>-54.93768</v>
      </c>
      <c r="J5837">
        <v>-214.1148</v>
      </c>
      <c r="K5837">
        <v>1.1181399999999999</v>
      </c>
      <c r="L5837">
        <v>-61.096130000000002</v>
      </c>
      <c r="M5837">
        <v>0.97544529999999996</v>
      </c>
      <c r="N5837">
        <v>-1.4339930000000001E-2</v>
      </c>
      <c r="O5837">
        <v>0.21977450000000001</v>
      </c>
      <c r="P5837">
        <v>0.79125570000000001</v>
      </c>
      <c r="Q5837">
        <v>0.4113096</v>
      </c>
      <c r="R5837">
        <v>0.45248080000000002</v>
      </c>
      <c r="S5837">
        <v>2.7770389999999998</v>
      </c>
      <c r="T5837">
        <v>-0.38289820000000002</v>
      </c>
      <c r="U5837">
        <v>2.1267399999999999</v>
      </c>
      <c r="V5837">
        <v>-0.27495360000000002</v>
      </c>
      <c r="W5837">
        <v>0.41896499999999998</v>
      </c>
      <c r="X5837">
        <v>0.86537209999999998</v>
      </c>
      <c r="Y5837">
        <v>-0.41687229999999997</v>
      </c>
      <c r="Z5837">
        <v>5.4737249999999996E-3</v>
      </c>
      <c r="AA5837">
        <v>0.9089486</v>
      </c>
      <c r="AB5837">
        <v>35</v>
      </c>
      <c r="AC5837">
        <v>7.8963999999999999</v>
      </c>
      <c r="AD5837">
        <v>-1.1181436946099901</v>
      </c>
      <c r="AE5837">
        <v>6.1584499999999904</v>
      </c>
      <c r="AF5837">
        <v>-4.2196343650437003</v>
      </c>
      <c r="AG5837">
        <v>-1.1181436946099901</v>
      </c>
      <c r="AH5837">
        <v>8.9453804702822506</v>
      </c>
      <c r="AI5837">
        <v>96.4499301669765</v>
      </c>
      <c r="AJ5837">
        <v>115.253767356164</v>
      </c>
      <c r="AK5837">
        <v>9.9536622031572293</v>
      </c>
      <c r="AL5837">
        <v>65.230739481599997</v>
      </c>
      <c r="AM5837">
        <v>107.626548968972</v>
      </c>
      <c r="AN5837">
        <v>1.00000001241818</v>
      </c>
    </row>
    <row r="5838" spans="1:40" x14ac:dyDescent="0.25">
      <c r="A5838" t="str">
        <f>"20190304164523574"</f>
        <v>20190304164523574</v>
      </c>
      <c r="B5838" t="str">
        <f>"1551689123566188"</f>
        <v>1551689123566188</v>
      </c>
      <c r="C5838" t="s">
        <v>40</v>
      </c>
      <c r="D5838">
        <v>5.2716459999999996</v>
      </c>
      <c r="E5838">
        <v>0.435784</v>
      </c>
      <c r="F5838" t="s">
        <v>41</v>
      </c>
      <c r="G5838">
        <v>-213.30369999999999</v>
      </c>
      <c r="H5838">
        <v>1.0057529999999999</v>
      </c>
      <c r="I5838">
        <v>-60.469450000000002</v>
      </c>
      <c r="J5838">
        <v>-213.93979999999999</v>
      </c>
      <c r="K5838">
        <v>1.11826</v>
      </c>
      <c r="L5838">
        <v>-61.053220000000003</v>
      </c>
      <c r="M5838">
        <v>0.97447660000000003</v>
      </c>
      <c r="N5838">
        <v>-1.435407E-2</v>
      </c>
      <c r="O5838">
        <v>0.2240298</v>
      </c>
      <c r="P5838">
        <v>0.78924609999999995</v>
      </c>
      <c r="Q5838">
        <v>0.41142980000000001</v>
      </c>
      <c r="R5838">
        <v>0.45586870000000002</v>
      </c>
      <c r="S5838">
        <v>2.7679290000000001</v>
      </c>
      <c r="T5838">
        <v>-0.38351289999999999</v>
      </c>
      <c r="U5838">
        <v>2.138458</v>
      </c>
      <c r="V5838">
        <v>-0.27502739999999998</v>
      </c>
      <c r="W5838">
        <v>0.41901569999999999</v>
      </c>
      <c r="X5838">
        <v>0.86532410000000004</v>
      </c>
      <c r="Y5838">
        <v>-0.41677769999999997</v>
      </c>
      <c r="Z5838">
        <v>5.0414989999999996E-3</v>
      </c>
      <c r="AA5838">
        <v>0.90899439999999998</v>
      </c>
      <c r="AB5838">
        <v>35</v>
      </c>
      <c r="AC5838">
        <v>0.636099999999999</v>
      </c>
      <c r="AD5838">
        <v>-0.112506999999999</v>
      </c>
      <c r="AE5838">
        <v>0.58376999999999402</v>
      </c>
      <c r="AF5838">
        <v>-0.41928882476564999</v>
      </c>
      <c r="AG5838">
        <v>-0.112506999999999</v>
      </c>
      <c r="AH5838">
        <v>0.73818858438309898</v>
      </c>
      <c r="AI5838">
        <v>97.549078227395697</v>
      </c>
      <c r="AJ5838">
        <v>119.596440582933</v>
      </c>
      <c r="AK5838">
        <v>0.85637802969009202</v>
      </c>
      <c r="AL5838">
        <v>65.227540234737504</v>
      </c>
      <c r="AM5838">
        <v>107.631904486267</v>
      </c>
      <c r="AN5838">
        <v>1.0000000128190201</v>
      </c>
    </row>
    <row r="5839" spans="1:40" x14ac:dyDescent="0.25">
      <c r="A5839" t="str">
        <f>"20190304164523584"</f>
        <v>20190304164523584</v>
      </c>
      <c r="B5839" t="str">
        <f>"1551689123575947"</f>
        <v>1551689123575947</v>
      </c>
      <c r="C5839" t="s">
        <v>40</v>
      </c>
      <c r="D5839">
        <v>5.2836610000000004</v>
      </c>
      <c r="E5839">
        <v>0.43612709999999999</v>
      </c>
      <c r="F5839" t="s">
        <v>41</v>
      </c>
      <c r="G5839">
        <v>-213.04990000000001</v>
      </c>
      <c r="H5839">
        <v>0.9945136</v>
      </c>
      <c r="I5839">
        <v>-60.361060000000002</v>
      </c>
      <c r="J5839">
        <v>-213.7713</v>
      </c>
      <c r="K5839">
        <v>1.118376</v>
      </c>
      <c r="L5839">
        <v>-61.010469999999998</v>
      </c>
      <c r="M5839">
        <v>0.97349529999999995</v>
      </c>
      <c r="N5839">
        <v>-1.436962E-2</v>
      </c>
      <c r="O5839">
        <v>0.22825509999999999</v>
      </c>
      <c r="P5839">
        <v>0.78714869999999904</v>
      </c>
      <c r="Q5839">
        <v>0.41153060000000002</v>
      </c>
      <c r="R5839">
        <v>0.45939029999999997</v>
      </c>
      <c r="S5839">
        <v>2.7608030000000001</v>
      </c>
      <c r="T5839">
        <v>-0.38389230000000002</v>
      </c>
      <c r="U5839">
        <v>2.1475219999999999</v>
      </c>
      <c r="V5839">
        <v>-0.27527560000000001</v>
      </c>
      <c r="W5839">
        <v>0.4190469</v>
      </c>
      <c r="X5839">
        <v>0.8652301</v>
      </c>
      <c r="Y5839">
        <v>-0.41585359999999999</v>
      </c>
      <c r="Z5839">
        <v>4.5543500000000004E-3</v>
      </c>
      <c r="AA5839">
        <v>0.90942009999999995</v>
      </c>
      <c r="AB5839">
        <v>35</v>
      </c>
      <c r="AC5839">
        <v>0.72139999999998805</v>
      </c>
      <c r="AD5839">
        <v>-0.1238624</v>
      </c>
      <c r="AE5839">
        <v>0.64941000000000304</v>
      </c>
      <c r="AF5839">
        <v>-0.460090569330941</v>
      </c>
      <c r="AG5839">
        <v>-0.1238624</v>
      </c>
      <c r="AH5839">
        <v>0.83696936479474504</v>
      </c>
      <c r="AI5839">
        <v>97.389238244180902</v>
      </c>
      <c r="AJ5839">
        <v>118.798042696859</v>
      </c>
      <c r="AK5839">
        <v>0.96309030922647598</v>
      </c>
      <c r="AL5839">
        <v>65.225572222005994</v>
      </c>
      <c r="AM5839">
        <v>107.648627728557</v>
      </c>
      <c r="AN5839">
        <v>1.0000000431504801</v>
      </c>
    </row>
    <row r="5840" spans="1:40" x14ac:dyDescent="0.25">
      <c r="A5840" t="str">
        <f>"20190304164523595"</f>
        <v>20190304164523595</v>
      </c>
      <c r="B5840" t="str">
        <f>"1551689123585706"</f>
        <v>1551689123585706</v>
      </c>
      <c r="C5840" t="s">
        <v>40</v>
      </c>
      <c r="D5840">
        <v>5.2761500000000003</v>
      </c>
      <c r="E5840">
        <v>0.43639420000000001</v>
      </c>
      <c r="F5840" t="s">
        <v>49</v>
      </c>
      <c r="G5840">
        <v>-205.74369999999999</v>
      </c>
      <c r="H5840" s="1">
        <v>-4.0021969999999997E-6</v>
      </c>
      <c r="I5840">
        <v>-54.721339999999998</v>
      </c>
      <c r="J5840">
        <v>-213.62960000000001</v>
      </c>
      <c r="K5840">
        <v>1.1184769999999999</v>
      </c>
      <c r="L5840">
        <v>-60.974400000000003</v>
      </c>
      <c r="M5840">
        <v>0.97265290000000004</v>
      </c>
      <c r="N5840">
        <v>-1.438204E-2</v>
      </c>
      <c r="O5840">
        <v>0.231818</v>
      </c>
      <c r="P5840">
        <v>0.78542029999999996</v>
      </c>
      <c r="Q5840">
        <v>0.41154859999999999</v>
      </c>
      <c r="R5840">
        <v>0.46232319999999999</v>
      </c>
      <c r="S5840">
        <v>2.7529910000000002</v>
      </c>
      <c r="T5840">
        <v>-0.38353860000000001</v>
      </c>
      <c r="U5840">
        <v>2.1567989999999999</v>
      </c>
      <c r="V5840">
        <v>-0.27543959999999901</v>
      </c>
      <c r="W5840">
        <v>0.41900660000000001</v>
      </c>
      <c r="X5840">
        <v>0.86519740000000001</v>
      </c>
      <c r="Y5840">
        <v>-0.41569509999999998</v>
      </c>
      <c r="Z5840">
        <v>4.1889190000000001E-3</v>
      </c>
      <c r="AA5840">
        <v>0.90949440000000004</v>
      </c>
      <c r="AB5840">
        <v>35</v>
      </c>
      <c r="AC5840">
        <v>7.8859000000000199</v>
      </c>
      <c r="AD5840">
        <v>-1.118481002197</v>
      </c>
      <c r="AE5840">
        <v>6.2530599999999898</v>
      </c>
      <c r="AF5840">
        <v>-4.2024985776870096</v>
      </c>
      <c r="AG5840">
        <v>-1.118481002197</v>
      </c>
      <c r="AH5840">
        <v>9.0094830904138696</v>
      </c>
      <c r="AI5840">
        <v>96.419193915220703</v>
      </c>
      <c r="AJ5840">
        <v>115.006830153512</v>
      </c>
      <c r="AK5840">
        <v>10.004138124005999</v>
      </c>
      <c r="AL5840">
        <v>65.228114723245994</v>
      </c>
      <c r="AM5840">
        <v>107.659115010859</v>
      </c>
      <c r="AN5840">
        <v>1.00000002252923</v>
      </c>
    </row>
    <row r="5841" spans="1:40" x14ac:dyDescent="0.25">
      <c r="A5841" t="str">
        <f>"20190304164523605"</f>
        <v>20190304164523605</v>
      </c>
      <c r="B5841" t="str">
        <f>"1551689123595467"</f>
        <v>1551689123595467</v>
      </c>
      <c r="C5841" t="s">
        <v>40</v>
      </c>
      <c r="D5841">
        <v>5.2594989999999999</v>
      </c>
      <c r="E5841">
        <v>0.43659219999999999</v>
      </c>
      <c r="F5841" t="s">
        <v>41</v>
      </c>
      <c r="G5841">
        <v>-212.75460000000001</v>
      </c>
      <c r="H5841">
        <v>0.99632240000000005</v>
      </c>
      <c r="I5841">
        <v>-60.28463</v>
      </c>
      <c r="J5841">
        <v>-213.47659999999999</v>
      </c>
      <c r="K5841">
        <v>1.118581</v>
      </c>
      <c r="L5841">
        <v>-60.934199999999997</v>
      </c>
      <c r="M5841">
        <v>0.97170250000000002</v>
      </c>
      <c r="N5841">
        <v>-1.439695E-2</v>
      </c>
      <c r="O5841">
        <v>0.23576929999999999</v>
      </c>
      <c r="P5841">
        <v>0.78350600000000004</v>
      </c>
      <c r="Q5841">
        <v>0.41182299999999999</v>
      </c>
      <c r="R5841">
        <v>0.46531739999999999</v>
      </c>
      <c r="S5841">
        <v>2.7463380000000002</v>
      </c>
      <c r="T5841">
        <v>-0.3833917</v>
      </c>
      <c r="U5841">
        <v>2.1646420000000002</v>
      </c>
      <c r="V5841">
        <v>-0.27537279999999997</v>
      </c>
      <c r="W5841">
        <v>0.41922480000000001</v>
      </c>
      <c r="X5841">
        <v>0.86511299999999902</v>
      </c>
      <c r="Y5841">
        <v>-0.41469709999999899</v>
      </c>
      <c r="Z5841">
        <v>3.7261009999999999E-3</v>
      </c>
      <c r="AA5841">
        <v>0.90995190000000004</v>
      </c>
      <c r="AB5841">
        <v>35</v>
      </c>
      <c r="AC5841">
        <v>0.72199999999997999</v>
      </c>
      <c r="AD5841">
        <v>-0.1222586</v>
      </c>
      <c r="AE5841">
        <v>0.64956999999998999</v>
      </c>
      <c r="AF5841">
        <v>-0.45381947838237902</v>
      </c>
      <c r="AG5841">
        <v>-0.1222586</v>
      </c>
      <c r="AH5841">
        <v>0.84147169305247105</v>
      </c>
      <c r="AI5841">
        <v>97.287387434380307</v>
      </c>
      <c r="AJ5841">
        <v>118.338712610344</v>
      </c>
      <c r="AK5841">
        <v>0.96383291832236495</v>
      </c>
      <c r="AL5841">
        <v>65.214345970650697</v>
      </c>
      <c r="AM5841">
        <v>107.656713751205</v>
      </c>
      <c r="AN5841">
        <v>1.0000000573419301</v>
      </c>
    </row>
    <row r="5842" spans="1:40" x14ac:dyDescent="0.25">
      <c r="A5842" t="str">
        <f>"20190304164523614"</f>
        <v>20190304164523614</v>
      </c>
      <c r="B5842" t="str">
        <f>"1551689123606202"</f>
        <v>1551689123606202</v>
      </c>
      <c r="C5842" t="s">
        <v>40</v>
      </c>
      <c r="D5842">
        <v>5.2914089999999998</v>
      </c>
      <c r="E5842">
        <v>0.43680859999999999</v>
      </c>
      <c r="F5842" t="s">
        <v>49</v>
      </c>
      <c r="G5842">
        <v>-205.46430000000001</v>
      </c>
      <c r="H5842" s="1">
        <v>-4.1870750000000001E-6</v>
      </c>
      <c r="I5842">
        <v>-54.576799999999999</v>
      </c>
      <c r="J5842">
        <v>-213.34379999999999</v>
      </c>
      <c r="K5842">
        <v>1.1186780000000001</v>
      </c>
      <c r="L5842">
        <v>-60.899320000000003</v>
      </c>
      <c r="M5842">
        <v>0.97086380000000005</v>
      </c>
      <c r="N5842">
        <v>-1.4409119999999999E-2</v>
      </c>
      <c r="O5842">
        <v>0.23919850000000001</v>
      </c>
      <c r="P5842">
        <v>0.78172010000000003</v>
      </c>
      <c r="Q5842">
        <v>0.41213889999999997</v>
      </c>
      <c r="R5842">
        <v>0.46803349999999999</v>
      </c>
      <c r="S5842">
        <v>2.739182</v>
      </c>
      <c r="T5842">
        <v>-0.38241550000000002</v>
      </c>
      <c r="U5842">
        <v>2.1734309999999999</v>
      </c>
      <c r="V5842">
        <v>-0.27546110000000001</v>
      </c>
      <c r="W5842">
        <v>0.41948659999999999</v>
      </c>
      <c r="X5842">
        <v>0.86495789999999995</v>
      </c>
      <c r="Y5842">
        <v>-0.41445769999999998</v>
      </c>
      <c r="Z5842">
        <v>3.3745239999999998E-3</v>
      </c>
      <c r="AA5842">
        <v>0.91006229999999999</v>
      </c>
      <c r="AB5842">
        <v>35</v>
      </c>
      <c r="AC5842">
        <v>7.87949999999997</v>
      </c>
      <c r="AD5842">
        <v>-1.1186821870749999</v>
      </c>
      <c r="AE5842">
        <v>6.3225199999999901</v>
      </c>
      <c r="AF5842">
        <v>-4.2024530335058499</v>
      </c>
      <c r="AG5842">
        <v>-1.1186821870749999</v>
      </c>
      <c r="AH5842">
        <v>9.0522131042829201</v>
      </c>
      <c r="AI5842">
        <v>96.395635691735507</v>
      </c>
      <c r="AJ5842">
        <v>114.902893237238</v>
      </c>
      <c r="AK5842">
        <v>10.042640261398001</v>
      </c>
      <c r="AL5842">
        <v>65.197821272174295</v>
      </c>
      <c r="AM5842">
        <v>107.66499378737799</v>
      </c>
      <c r="AN5842">
        <v>0.99999999698258901</v>
      </c>
    </row>
    <row r="5843" spans="1:40" x14ac:dyDescent="0.25">
      <c r="A5843" t="str">
        <f>"20190304164523624"</f>
        <v>20190304164523624</v>
      </c>
      <c r="B5843" t="str">
        <f>"1551689123615963"</f>
        <v>1551689123615963</v>
      </c>
      <c r="C5843" t="s">
        <v>40</v>
      </c>
      <c r="D5843">
        <v>5.2695059999999998</v>
      </c>
      <c r="E5843">
        <v>0.43711290000000003</v>
      </c>
      <c r="F5843" t="s">
        <v>41</v>
      </c>
      <c r="G5843">
        <v>-212.46449999999999</v>
      </c>
      <c r="H5843">
        <v>0.9959829</v>
      </c>
      <c r="I5843">
        <v>-60.197560000000003</v>
      </c>
      <c r="J5843">
        <v>-213.17910000000001</v>
      </c>
      <c r="K5843">
        <v>1.118795</v>
      </c>
      <c r="L5843">
        <v>-60.854610000000001</v>
      </c>
      <c r="M5843">
        <v>0.96977480000000005</v>
      </c>
      <c r="N5843">
        <v>-1.4425510000000001E-2</v>
      </c>
      <c r="O5843">
        <v>0.24357490000000001</v>
      </c>
      <c r="P5843">
        <v>0.77994379999999996</v>
      </c>
      <c r="Q5843">
        <v>0.41191080000000002</v>
      </c>
      <c r="R5843">
        <v>0.47118690000000002</v>
      </c>
      <c r="S5843">
        <v>2.732834</v>
      </c>
      <c r="T5843">
        <v>-0.38135190000000002</v>
      </c>
      <c r="U5843">
        <v>2.1811829999999999</v>
      </c>
      <c r="V5843">
        <v>-0.27513510000000002</v>
      </c>
      <c r="W5843">
        <v>0.41920750000000001</v>
      </c>
      <c r="X5843">
        <v>0.86519690000000005</v>
      </c>
      <c r="Y5843">
        <v>-0.41299730000000001</v>
      </c>
      <c r="Z5843">
        <v>2.8478240000000001E-3</v>
      </c>
      <c r="AA5843">
        <v>0.91072779999999998</v>
      </c>
      <c r="AB5843">
        <v>35</v>
      </c>
      <c r="AC5843">
        <v>0.714600000000018</v>
      </c>
      <c r="AD5843">
        <v>-0.12281209999999899</v>
      </c>
      <c r="AE5843">
        <v>0.65705000000000502</v>
      </c>
      <c r="AF5843">
        <v>-0.45588358599401002</v>
      </c>
      <c r="AG5843">
        <v>-0.12281209999999899</v>
      </c>
      <c r="AH5843">
        <v>0.83969128534629001</v>
      </c>
      <c r="AI5843">
        <v>97.324444548778601</v>
      </c>
      <c r="AJ5843">
        <v>118.49833557340099</v>
      </c>
      <c r="AK5843">
        <v>0.96332450948352399</v>
      </c>
      <c r="AL5843">
        <v>65.215435274143402</v>
      </c>
      <c r="AM5843">
        <v>107.64081350575201</v>
      </c>
      <c r="AN5843">
        <v>0.99999996353893394</v>
      </c>
    </row>
    <row r="5844" spans="1:40" x14ac:dyDescent="0.25">
      <c r="A5844" t="str">
        <f>"20190304164523636"</f>
        <v>20190304164523636</v>
      </c>
      <c r="B5844" t="str">
        <f>"1551689123625723"</f>
        <v>1551689123625723</v>
      </c>
      <c r="C5844" t="s">
        <v>40</v>
      </c>
      <c r="D5844">
        <v>5.2454839999999896</v>
      </c>
      <c r="E5844">
        <v>0.43740610000000002</v>
      </c>
      <c r="F5844" t="s">
        <v>49</v>
      </c>
      <c r="G5844">
        <v>-205.21719999999999</v>
      </c>
      <c r="H5844" s="1">
        <v>-4.3493699999999998E-6</v>
      </c>
      <c r="I5844">
        <v>-54.454320000000003</v>
      </c>
      <c r="J5844">
        <v>-213.01820000000001</v>
      </c>
      <c r="K5844">
        <v>1.1189129999999901</v>
      </c>
      <c r="L5844">
        <v>-60.810549999999999</v>
      </c>
      <c r="M5844">
        <v>0.96868390000000004</v>
      </c>
      <c r="N5844">
        <v>-1.4440959999999999E-2</v>
      </c>
      <c r="O5844">
        <v>0.24787699999999999</v>
      </c>
      <c r="P5844">
        <v>0.77790780000000004</v>
      </c>
      <c r="Q5844">
        <v>0.41210980000000003</v>
      </c>
      <c r="R5844">
        <v>0.47436800000000001</v>
      </c>
      <c r="S5844">
        <v>2.7252040000000002</v>
      </c>
      <c r="T5844">
        <v>-0.38294470000000003</v>
      </c>
      <c r="U5844">
        <v>2.1907040000000002</v>
      </c>
      <c r="V5844">
        <v>-0.274972099999999</v>
      </c>
      <c r="W5844">
        <v>0.41934900000000003</v>
      </c>
      <c r="X5844">
        <v>0.86518019999999995</v>
      </c>
      <c r="Y5844">
        <v>-0.41214719999999999</v>
      </c>
      <c r="Z5844">
        <v>2.3438859999999999E-3</v>
      </c>
      <c r="AA5844">
        <v>0.91111430000000004</v>
      </c>
      <c r="AB5844">
        <v>35</v>
      </c>
      <c r="AC5844">
        <v>7.8010000000000099</v>
      </c>
      <c r="AD5844">
        <v>-1.11891734936999</v>
      </c>
      <c r="AE5844">
        <v>6.35623</v>
      </c>
      <c r="AF5844">
        <v>-4.1723414276477397</v>
      </c>
      <c r="AG5844">
        <v>-1.11891734936999</v>
      </c>
      <c r="AH5844">
        <v>9.0216717563695195</v>
      </c>
      <c r="AI5844">
        <v>96.422733784718204</v>
      </c>
      <c r="AJ5844">
        <v>114.819590399399</v>
      </c>
      <c r="AK5844">
        <v>10.002548190499301</v>
      </c>
      <c r="AL5844">
        <v>65.206506276229007</v>
      </c>
      <c r="AM5844">
        <v>107.631329226421</v>
      </c>
      <c r="AN5844">
        <v>1.0000000090257199</v>
      </c>
    </row>
    <row r="5845" spans="1:40" x14ac:dyDescent="0.25">
      <c r="A5845" t="str">
        <f>"20190304164523647"</f>
        <v>20190304164523647</v>
      </c>
      <c r="B5845" t="str">
        <f>"1551689123635483"</f>
        <v>1551689123635483</v>
      </c>
      <c r="C5845" t="s">
        <v>40</v>
      </c>
      <c r="D5845">
        <v>5.270931</v>
      </c>
      <c r="E5845">
        <v>0.43769340000000001</v>
      </c>
      <c r="F5845" t="s">
        <v>41</v>
      </c>
      <c r="G5845">
        <v>-212.16849999999999</v>
      </c>
      <c r="H5845">
        <v>0.99927900000000003</v>
      </c>
      <c r="I5845">
        <v>-60.12209</v>
      </c>
      <c r="J5845">
        <v>-212.85339999999999</v>
      </c>
      <c r="K5845">
        <v>1.1190279999999999</v>
      </c>
      <c r="L5845">
        <v>-60.764279999999999</v>
      </c>
      <c r="M5845">
        <v>0.96752090000000002</v>
      </c>
      <c r="N5845">
        <v>-1.445778E-2</v>
      </c>
      <c r="O5845">
        <v>0.25237730000000003</v>
      </c>
      <c r="P5845">
        <v>0.77590049999999999</v>
      </c>
      <c r="Q5845">
        <v>0.4122325</v>
      </c>
      <c r="R5845">
        <v>0.47753849999999998</v>
      </c>
      <c r="S5845">
        <v>2.7167659999999998</v>
      </c>
      <c r="T5845">
        <v>-0.38254690000000002</v>
      </c>
      <c r="U5845">
        <v>2.2013240000000001</v>
      </c>
      <c r="V5845">
        <v>-0.27461590000000002</v>
      </c>
      <c r="W5845">
        <v>0.41941879999999998</v>
      </c>
      <c r="X5845">
        <v>0.86525949999999996</v>
      </c>
      <c r="Y5845">
        <v>-0.4114737</v>
      </c>
      <c r="Z5845">
        <v>1.852736E-3</v>
      </c>
      <c r="AA5845">
        <v>0.91141970000000005</v>
      </c>
      <c r="AB5845">
        <v>35</v>
      </c>
      <c r="AC5845">
        <v>0.68489999999999895</v>
      </c>
      <c r="AD5845">
        <v>-0.11974899999999999</v>
      </c>
      <c r="AE5845">
        <v>0.64219000000000603</v>
      </c>
      <c r="AF5845">
        <v>-0.441346265080442</v>
      </c>
      <c r="AG5845">
        <v>-0.11974899999999999</v>
      </c>
      <c r="AH5845">
        <v>0.81161245759846601</v>
      </c>
      <c r="AI5845">
        <v>97.385463246462905</v>
      </c>
      <c r="AJ5845">
        <v>118.536879632029</v>
      </c>
      <c r="AK5845">
        <v>0.93157991070571999</v>
      </c>
      <c r="AL5845">
        <v>65.202100981755194</v>
      </c>
      <c r="AM5845">
        <v>107.60838758117001</v>
      </c>
      <c r="AN5845">
        <v>1.00000001233325</v>
      </c>
    </row>
    <row r="5846" spans="1:40" x14ac:dyDescent="0.25">
      <c r="A5846" t="str">
        <f>"20190304164523659"</f>
        <v>20190304164523659</v>
      </c>
      <c r="B5846" t="str">
        <f>"1551689123655979"</f>
        <v>1551689123655979</v>
      </c>
      <c r="C5846" t="s">
        <v>40</v>
      </c>
      <c r="D5846">
        <v>5.256062</v>
      </c>
      <c r="E5846">
        <v>0.4382317</v>
      </c>
      <c r="F5846" t="s">
        <v>49</v>
      </c>
      <c r="G5846">
        <v>-204.92410000000001</v>
      </c>
      <c r="H5846" s="1">
        <v>-4.5455209999999999E-6</v>
      </c>
      <c r="I5846">
        <v>-54.286940000000001</v>
      </c>
      <c r="J5846">
        <v>-212.67939999999999</v>
      </c>
      <c r="K5846">
        <v>1.119148</v>
      </c>
      <c r="L5846">
        <v>-60.71463</v>
      </c>
      <c r="M5846">
        <v>0.96625320000000003</v>
      </c>
      <c r="N5846">
        <v>-1.44756E-2</v>
      </c>
      <c r="O5846">
        <v>0.2571872</v>
      </c>
      <c r="P5846">
        <v>0.77367379999999997</v>
      </c>
      <c r="Q5846">
        <v>0.41223159999999998</v>
      </c>
      <c r="R5846">
        <v>0.48113810000000001</v>
      </c>
      <c r="S5846">
        <v>2.7080229999999998</v>
      </c>
      <c r="T5846">
        <v>-0.38217469999999998</v>
      </c>
      <c r="U5846">
        <v>2.2121580000000001</v>
      </c>
      <c r="V5846">
        <v>-0.27445380000000003</v>
      </c>
      <c r="W5846">
        <v>0.41935850000000002</v>
      </c>
      <c r="X5846">
        <v>0.86534009999999995</v>
      </c>
      <c r="Y5846">
        <v>-0.41059849999999998</v>
      </c>
      <c r="Z5846">
        <v>1.3172329999999999E-3</v>
      </c>
      <c r="AA5846">
        <v>0.9118153</v>
      </c>
      <c r="AB5846">
        <v>35</v>
      </c>
      <c r="AC5846">
        <v>7.7552999999999699</v>
      </c>
      <c r="AD5846">
        <v>-1.1191525455210001</v>
      </c>
      <c r="AE5846">
        <v>6.4276900000000001</v>
      </c>
      <c r="AF5846">
        <v>-4.1652348387055103</v>
      </c>
      <c r="AG5846">
        <v>-1.1191525455210001</v>
      </c>
      <c r="AH5846">
        <v>9.0361122465674892</v>
      </c>
      <c r="AI5846">
        <v>96.417585857419994</v>
      </c>
      <c r="AJ5846">
        <v>114.74754232974701</v>
      </c>
      <c r="AK5846">
        <v>10.012642419175799</v>
      </c>
      <c r="AL5846">
        <v>65.205905514287494</v>
      </c>
      <c r="AM5846">
        <v>107.597097370355</v>
      </c>
      <c r="AN5846">
        <v>0.99999996426234905</v>
      </c>
    </row>
    <row r="5847" spans="1:40" x14ac:dyDescent="0.25">
      <c r="A5847" t="str">
        <f>"20190304164523670"</f>
        <v>20190304164523670</v>
      </c>
      <c r="B5847" t="str">
        <f>"1551689123665739"</f>
        <v>1551689123665739</v>
      </c>
      <c r="C5847" t="s">
        <v>40</v>
      </c>
      <c r="D5847">
        <v>5.2724419999999999</v>
      </c>
      <c r="E5847">
        <v>0.43844040000000001</v>
      </c>
      <c r="F5847" t="s">
        <v>41</v>
      </c>
      <c r="G5847">
        <v>-211.87010000000001</v>
      </c>
      <c r="H5847">
        <v>1.0041020000000001</v>
      </c>
      <c r="I5847">
        <v>-60.048580000000001</v>
      </c>
      <c r="J5847">
        <v>-212.50239999999999</v>
      </c>
      <c r="K5847">
        <v>1.1192690000000001</v>
      </c>
      <c r="L5847">
        <v>-60.663179999999997</v>
      </c>
      <c r="M5847">
        <v>0.96491870000000002</v>
      </c>
      <c r="N5847">
        <v>-1.449401E-2</v>
      </c>
      <c r="O5847">
        <v>0.26214890000000002</v>
      </c>
      <c r="P5847">
        <v>0.77096140000000002</v>
      </c>
      <c r="Q5847">
        <v>0.41212769999999999</v>
      </c>
      <c r="R5847">
        <v>0.48556090000000002</v>
      </c>
      <c r="S5847">
        <v>2.6998600000000001</v>
      </c>
      <c r="T5847">
        <v>-0.38382880000000003</v>
      </c>
      <c r="U5847">
        <v>2.2226560000000002</v>
      </c>
      <c r="V5847">
        <v>-0.27507589999999998</v>
      </c>
      <c r="W5847">
        <v>0.4191763</v>
      </c>
      <c r="X5847">
        <v>0.86523090000000002</v>
      </c>
      <c r="Y5847">
        <v>-0.40939950000000003</v>
      </c>
      <c r="Z5847">
        <v>7.1390159999999995E-4</v>
      </c>
      <c r="AA5847">
        <v>0.91235489999999997</v>
      </c>
      <c r="AB5847">
        <v>35</v>
      </c>
      <c r="AC5847">
        <v>0.63229999999998598</v>
      </c>
      <c r="AD5847">
        <v>-0.11516700000000001</v>
      </c>
      <c r="AE5847">
        <v>0.61460000000000203</v>
      </c>
      <c r="AF5847">
        <v>-0.42015991725693302</v>
      </c>
      <c r="AG5847">
        <v>-0.11516700000000001</v>
      </c>
      <c r="AH5847">
        <v>0.75837909871123899</v>
      </c>
      <c r="AI5847">
        <v>97.5666050414208</v>
      </c>
      <c r="AJ5847">
        <v>118.98748737787599</v>
      </c>
      <c r="AK5847">
        <v>0.87460656944732895</v>
      </c>
      <c r="AL5847">
        <v>65.217405631732007</v>
      </c>
      <c r="AM5847">
        <v>107.636602974449</v>
      </c>
      <c r="AN5847">
        <v>1.0000000157786499</v>
      </c>
    </row>
    <row r="5848" spans="1:40" x14ac:dyDescent="0.25">
      <c r="A5848" t="str">
        <f>"20190304164523682"</f>
        <v>20190304164523682</v>
      </c>
      <c r="B5848" t="str">
        <f>"1551689123675498"</f>
        <v>1551689123675498</v>
      </c>
      <c r="C5848" t="s">
        <v>40</v>
      </c>
      <c r="D5848">
        <v>5.272761</v>
      </c>
      <c r="E5848">
        <v>0.43860179999999999</v>
      </c>
      <c r="F5848" t="s">
        <v>49</v>
      </c>
      <c r="G5848">
        <v>-204.68620000000001</v>
      </c>
      <c r="H5848" s="1">
        <v>-4.6943659999999998E-6</v>
      </c>
      <c r="I5848">
        <v>-54.162570000000002</v>
      </c>
      <c r="J5848">
        <v>-212.34360000000001</v>
      </c>
      <c r="K5848">
        <v>1.119373</v>
      </c>
      <c r="L5848">
        <v>-60.615879999999997</v>
      </c>
      <c r="M5848">
        <v>0.96367570000000002</v>
      </c>
      <c r="N5848">
        <v>-1.451085E-2</v>
      </c>
      <c r="O5848">
        <v>0.26668059999999899</v>
      </c>
      <c r="P5848">
        <v>0.76805599999999996</v>
      </c>
      <c r="Q5848">
        <v>0.41263660000000002</v>
      </c>
      <c r="R5848">
        <v>0.48971520000000002</v>
      </c>
      <c r="S5848">
        <v>2.6887050000000001</v>
      </c>
      <c r="T5848">
        <v>-0.38501940000000001</v>
      </c>
      <c r="U5848">
        <v>2.236145</v>
      </c>
      <c r="V5848">
        <v>-0.27587709999999999</v>
      </c>
      <c r="W5848">
        <v>0.41960750000000002</v>
      </c>
      <c r="X5848">
        <v>0.8647667</v>
      </c>
      <c r="Y5848">
        <v>-0.40968909999999997</v>
      </c>
      <c r="Z5848">
        <v>2.579223E-4</v>
      </c>
      <c r="AA5848">
        <v>0.91222519999999996</v>
      </c>
      <c r="AB5848">
        <v>35</v>
      </c>
      <c r="AC5848">
        <v>7.6573999999999902</v>
      </c>
      <c r="AD5848">
        <v>-1.1193776943660001</v>
      </c>
      <c r="AE5848">
        <v>6.4533100000000001</v>
      </c>
      <c r="AF5848">
        <v>-4.1257073702014502</v>
      </c>
      <c r="AG5848">
        <v>-1.1193776943660001</v>
      </c>
      <c r="AH5848">
        <v>8.9888658287891197</v>
      </c>
      <c r="AI5848">
        <v>96.457118426666895</v>
      </c>
      <c r="AJ5848">
        <v>114.65416447263</v>
      </c>
      <c r="AK5848">
        <v>9.9536011882710795</v>
      </c>
      <c r="AL5848">
        <v>65.190191169845605</v>
      </c>
      <c r="AM5848">
        <v>107.693676480647</v>
      </c>
      <c r="AN5848">
        <v>1.0000000368947699</v>
      </c>
    </row>
    <row r="5849" spans="1:40" x14ac:dyDescent="0.25">
      <c r="A5849" t="str">
        <f>"20190304164523693"</f>
        <v>20190304164523693</v>
      </c>
      <c r="B5849" t="str">
        <f>"1551689123686235"</f>
        <v>1551689123686235</v>
      </c>
      <c r="C5849" t="s">
        <v>40</v>
      </c>
      <c r="D5849">
        <v>5.2624300000000002</v>
      </c>
      <c r="E5849">
        <v>0.43879790000000002</v>
      </c>
      <c r="F5849" t="s">
        <v>41</v>
      </c>
      <c r="G5849">
        <v>-211.52690000000001</v>
      </c>
      <c r="H5849">
        <v>1.0022770000000001</v>
      </c>
      <c r="I5849">
        <v>-59.930410000000002</v>
      </c>
      <c r="J5849">
        <v>-212.18190000000001</v>
      </c>
      <c r="K5849">
        <v>1.1194820000000001</v>
      </c>
      <c r="L5849">
        <v>-60.567259999999997</v>
      </c>
      <c r="M5849">
        <v>0.9623796</v>
      </c>
      <c r="N5849">
        <v>-1.452727E-2</v>
      </c>
      <c r="O5849">
        <v>0.2713199</v>
      </c>
      <c r="P5849">
        <v>0.76488690000000004</v>
      </c>
      <c r="Q5849">
        <v>0.4134408</v>
      </c>
      <c r="R5849">
        <v>0.49397839999999998</v>
      </c>
      <c r="S5849">
        <v>2.6787260000000002</v>
      </c>
      <c r="T5849">
        <v>-0.38408239999999999</v>
      </c>
      <c r="U5849">
        <v>2.2484130000000002</v>
      </c>
      <c r="V5849">
        <v>-0.27676840000000003</v>
      </c>
      <c r="W5849">
        <v>0.42032829999999899</v>
      </c>
      <c r="X5849">
        <v>0.86413150000000005</v>
      </c>
      <c r="Y5849">
        <v>-0.40944760000000002</v>
      </c>
      <c r="Z5849">
        <v>-2.0974129999999999E-4</v>
      </c>
      <c r="AA5849">
        <v>0.91233359999999997</v>
      </c>
      <c r="AB5849">
        <v>35</v>
      </c>
      <c r="AC5849">
        <v>0.65500000000000103</v>
      </c>
      <c r="AD5849">
        <v>-0.117204999999999</v>
      </c>
      <c r="AE5849">
        <v>0.63685000000000203</v>
      </c>
      <c r="AF5849">
        <v>-0.42817535289531999</v>
      </c>
      <c r="AG5849">
        <v>-0.117204999999999</v>
      </c>
      <c r="AH5849">
        <v>0.79022685754247401</v>
      </c>
      <c r="AI5849">
        <v>97.429763171197806</v>
      </c>
      <c r="AJ5849">
        <v>118.450541026979</v>
      </c>
      <c r="AK5849">
        <v>0.90638271785901003</v>
      </c>
      <c r="AL5849">
        <v>65.144682185636</v>
      </c>
      <c r="AM5849">
        <v>107.759485453952</v>
      </c>
      <c r="AN5849">
        <v>0.99999993815584798</v>
      </c>
    </row>
    <row r="5850" spans="1:40" x14ac:dyDescent="0.25">
      <c r="A5850" t="str">
        <f>"20190304164523704"</f>
        <v>20190304164523704</v>
      </c>
      <c r="B5850" t="str">
        <f>"1551689123695995"</f>
        <v>1551689123695995</v>
      </c>
      <c r="C5850" t="s">
        <v>40</v>
      </c>
      <c r="D5850">
        <v>5.2781750000000001</v>
      </c>
      <c r="E5850">
        <v>0.43898389999999998</v>
      </c>
      <c r="F5850" t="s">
        <v>49</v>
      </c>
      <c r="G5850">
        <v>-204.369</v>
      </c>
      <c r="H5850" s="1">
        <v>-4.903639E-6</v>
      </c>
      <c r="I5850">
        <v>-53.947589999999998</v>
      </c>
      <c r="J5850">
        <v>-212.0196</v>
      </c>
      <c r="K5850">
        <v>1.1195820000000001</v>
      </c>
      <c r="L5850">
        <v>-60.516969999999901</v>
      </c>
      <c r="M5850">
        <v>0.96102770000000004</v>
      </c>
      <c r="N5850">
        <v>-1.4544079999999999E-2</v>
      </c>
      <c r="O5850">
        <v>0.27606930000000002</v>
      </c>
      <c r="P5850">
        <v>0.761714</v>
      </c>
      <c r="Q5850">
        <v>0.4139969</v>
      </c>
      <c r="R5850">
        <v>0.4983958</v>
      </c>
      <c r="S5850">
        <v>2.6686100000000001</v>
      </c>
      <c r="T5850">
        <v>-0.38237729999999998</v>
      </c>
      <c r="U5850">
        <v>2.261047</v>
      </c>
      <c r="V5850">
        <v>-0.27770430000000002</v>
      </c>
      <c r="W5850">
        <v>0.42080600000000001</v>
      </c>
      <c r="X5850">
        <v>0.86359859999999899</v>
      </c>
      <c r="Y5850">
        <v>-0.4091958</v>
      </c>
      <c r="Z5850">
        <v>-6.7109240000000001E-4</v>
      </c>
      <c r="AA5850">
        <v>0.91244630000000004</v>
      </c>
      <c r="AB5850">
        <v>35</v>
      </c>
      <c r="AC5850">
        <v>7.6505999999999599</v>
      </c>
      <c r="AD5850">
        <v>-1.119586903639</v>
      </c>
      <c r="AE5850">
        <v>6.5693799999999802</v>
      </c>
      <c r="AF5850">
        <v>-4.15054255498241</v>
      </c>
      <c r="AG5850">
        <v>-1.119586903639</v>
      </c>
      <c r="AH5850">
        <v>9.0553897669349404</v>
      </c>
      <c r="AI5850">
        <v>96.412782773756504</v>
      </c>
      <c r="AJ5850">
        <v>114.624378275493</v>
      </c>
      <c r="AK5850">
        <v>10.0239993099875</v>
      </c>
      <c r="AL5850">
        <v>65.114514703222298</v>
      </c>
      <c r="AM5850">
        <v>107.826046565195</v>
      </c>
      <c r="AN5850">
        <v>0.99999995489822302</v>
      </c>
    </row>
    <row r="5851" spans="1:40" x14ac:dyDescent="0.25">
      <c r="A5851" t="str">
        <f>"20190304164523715"</f>
        <v>20190304164523715</v>
      </c>
      <c r="B5851" t="str">
        <f>"1551689123705755"</f>
        <v>1551689123705755</v>
      </c>
      <c r="C5851" t="s">
        <v>40</v>
      </c>
      <c r="D5851">
        <v>5.2794499999999998</v>
      </c>
      <c r="E5851">
        <v>0.4391872</v>
      </c>
      <c r="F5851" t="s">
        <v>49</v>
      </c>
      <c r="G5851">
        <v>-204.2227</v>
      </c>
      <c r="H5851" s="1">
        <v>-5.000639E-6</v>
      </c>
      <c r="I5851">
        <v>-53.846380000000003</v>
      </c>
      <c r="J5851">
        <v>-211.85720000000001</v>
      </c>
      <c r="K5851">
        <v>1.1196790000000001</v>
      </c>
      <c r="L5851">
        <v>-60.466279999999998</v>
      </c>
      <c r="M5851">
        <v>0.95964530000000003</v>
      </c>
      <c r="N5851">
        <v>-1.455993E-2</v>
      </c>
      <c r="O5851">
        <v>0.28083609999999998</v>
      </c>
      <c r="P5851">
        <v>0.75835169999999996</v>
      </c>
      <c r="Q5851">
        <v>0.41480349999999999</v>
      </c>
      <c r="R5851">
        <v>0.50283250000000002</v>
      </c>
      <c r="S5851">
        <v>2.6579899999999999</v>
      </c>
      <c r="T5851">
        <v>-0.38166949999999999</v>
      </c>
      <c r="U5851">
        <v>2.2740170000000002</v>
      </c>
      <c r="V5851">
        <v>-0.27870479999999997</v>
      </c>
      <c r="W5851">
        <v>0.42153040000000003</v>
      </c>
      <c r="X5851">
        <v>0.86292279999999999</v>
      </c>
      <c r="Y5851">
        <v>-0.40906490000000001</v>
      </c>
      <c r="Z5851">
        <v>-1.1434010000000001E-3</v>
      </c>
      <c r="AA5851">
        <v>0.9125046</v>
      </c>
      <c r="AB5851">
        <v>35</v>
      </c>
      <c r="AC5851">
        <v>7.6345000000000001</v>
      </c>
      <c r="AD5851">
        <v>-1.1196840006389901</v>
      </c>
      <c r="AE5851">
        <v>6.6199000000000003</v>
      </c>
      <c r="AF5851">
        <v>-4.1581055710263497</v>
      </c>
      <c r="AG5851">
        <v>-1.1196840006389901</v>
      </c>
      <c r="AH5851">
        <v>9.0750688059452393</v>
      </c>
      <c r="AI5851">
        <v>96.399928531025196</v>
      </c>
      <c r="AJ5851">
        <v>114.616776633282</v>
      </c>
      <c r="AK5851">
        <v>10.0449195135515</v>
      </c>
      <c r="AL5851">
        <v>65.068754233047699</v>
      </c>
      <c r="AM5851">
        <v>107.899298332605</v>
      </c>
      <c r="AN5851">
        <v>1.00000000121352</v>
      </c>
    </row>
    <row r="5852" spans="1:40" x14ac:dyDescent="0.25">
      <c r="A5852" t="str">
        <f>"20190304164523727"</f>
        <v>20190304164523727</v>
      </c>
      <c r="B5852" t="str">
        <f>"1551689123715515"</f>
        <v>1551689123715515</v>
      </c>
      <c r="C5852" t="s">
        <v>40</v>
      </c>
      <c r="D5852">
        <v>5.2807789999999999</v>
      </c>
      <c r="E5852">
        <v>0.4394016</v>
      </c>
      <c r="F5852" t="s">
        <v>41</v>
      </c>
      <c r="G5852">
        <v>-211.02209999999999</v>
      </c>
      <c r="H5852">
        <v>0.99970060000000005</v>
      </c>
      <c r="I5852">
        <v>-59.745089999999998</v>
      </c>
      <c r="J5852">
        <v>-211.6849</v>
      </c>
      <c r="K5852">
        <v>1.119767</v>
      </c>
      <c r="L5852">
        <v>-60.411070000000002</v>
      </c>
      <c r="M5852">
        <v>0.9581286</v>
      </c>
      <c r="N5852">
        <v>-1.457629E-2</v>
      </c>
      <c r="O5852">
        <v>0.28596709999999997</v>
      </c>
      <c r="P5852">
        <v>0.75498019999999999</v>
      </c>
      <c r="Q5852">
        <v>0.41509000000000001</v>
      </c>
      <c r="R5852">
        <v>0.50764670000000001</v>
      </c>
      <c r="S5852">
        <v>2.6479029999999999</v>
      </c>
      <c r="T5852">
        <v>-0.38041940000000002</v>
      </c>
      <c r="U5852">
        <v>2.2865600000000001</v>
      </c>
      <c r="V5852">
        <v>-0.27973100000000001</v>
      </c>
      <c r="W5852">
        <v>0.42174060000000002</v>
      </c>
      <c r="X5852">
        <v>0.86248789999999997</v>
      </c>
      <c r="Y5852">
        <v>-0.4084122</v>
      </c>
      <c r="Z5852">
        <v>-1.6731789999999999E-3</v>
      </c>
      <c r="AA5852">
        <v>0.9127961</v>
      </c>
      <c r="AB5852">
        <v>35</v>
      </c>
      <c r="AC5852">
        <v>0.66280000000000405</v>
      </c>
      <c r="AD5852">
        <v>-0.1200664</v>
      </c>
      <c r="AE5852">
        <v>0.66597999999999002</v>
      </c>
      <c r="AF5852">
        <v>-0.44139551031017199</v>
      </c>
      <c r="AG5852">
        <v>-0.1200664</v>
      </c>
      <c r="AH5852">
        <v>0.81231918397128999</v>
      </c>
      <c r="AI5852">
        <v>97.399717320411298</v>
      </c>
      <c r="AJ5852">
        <v>118.51863674792099</v>
      </c>
      <c r="AK5852">
        <v>0.93225983158061698</v>
      </c>
      <c r="AL5852">
        <v>65.0554715444908</v>
      </c>
      <c r="AM5852">
        <v>107.96945197763699</v>
      </c>
      <c r="AN5852">
        <v>0.99999997184788403</v>
      </c>
    </row>
    <row r="5853" spans="1:40" x14ac:dyDescent="0.25">
      <c r="A5853" t="str">
        <f>"20190304164523742"</f>
        <v>20190304164523742</v>
      </c>
      <c r="B5853" t="str">
        <f>"1551689123736010"</f>
        <v>1551689123736010</v>
      </c>
      <c r="C5853" t="s">
        <v>40</v>
      </c>
      <c r="D5853">
        <v>5.2805730000000004</v>
      </c>
      <c r="E5853">
        <v>0.43960129999999997</v>
      </c>
      <c r="F5853" t="s">
        <v>49</v>
      </c>
      <c r="G5853">
        <v>-203.93539999999999</v>
      </c>
      <c r="H5853" s="1">
        <v>-5.1909139999999997E-6</v>
      </c>
      <c r="I5853">
        <v>-53.64846</v>
      </c>
      <c r="J5853">
        <v>-211.4709</v>
      </c>
      <c r="K5853">
        <v>1.1198709999999901</v>
      </c>
      <c r="L5853">
        <v>-60.341189999999997</v>
      </c>
      <c r="M5853">
        <v>0.95618740000000002</v>
      </c>
      <c r="N5853">
        <v>-1.459503E-2</v>
      </c>
      <c r="O5853">
        <v>0.29239159999999997</v>
      </c>
      <c r="P5853">
        <v>0.75112719999999999</v>
      </c>
      <c r="Q5853">
        <v>0.41477750000000002</v>
      </c>
      <c r="R5853">
        <v>0.51358320000000002</v>
      </c>
      <c r="S5853">
        <v>2.636215</v>
      </c>
      <c r="T5853">
        <v>-0.38091910000000001</v>
      </c>
      <c r="U5853">
        <v>2.3004760000000002</v>
      </c>
      <c r="V5853">
        <v>-0.28080159999999998</v>
      </c>
      <c r="W5853">
        <v>0.421348</v>
      </c>
      <c r="X5853">
        <v>0.86233189999999904</v>
      </c>
      <c r="Y5853">
        <v>-0.40706039999999999</v>
      </c>
      <c r="Z5853">
        <v>-2.420897E-3</v>
      </c>
      <c r="AA5853">
        <v>0.91339809999999999</v>
      </c>
      <c r="AB5853">
        <v>35</v>
      </c>
      <c r="AC5853">
        <v>7.5355000000000096</v>
      </c>
      <c r="AD5853">
        <v>-1.11987619091399</v>
      </c>
      <c r="AE5853">
        <v>6.6927300000000001</v>
      </c>
      <c r="AF5853">
        <v>-4.1454515446587896</v>
      </c>
      <c r="AG5853">
        <v>-1.11987619091399</v>
      </c>
      <c r="AH5853">
        <v>9.0514684216751107</v>
      </c>
      <c r="AI5853">
        <v>96.418058606519196</v>
      </c>
      <c r="AJ5853">
        <v>114.607146651031</v>
      </c>
      <c r="AK5853">
        <v>10.018381694698499</v>
      </c>
      <c r="AL5853">
        <v>65.080278101324197</v>
      </c>
      <c r="AM5853">
        <v>108.036831301481</v>
      </c>
      <c r="AN5853">
        <v>0.99999999071208401</v>
      </c>
    </row>
    <row r="5854" spans="1:40" x14ac:dyDescent="0.25">
      <c r="A5854" t="str">
        <f>"20190304164523754"</f>
        <v>20190304164523754</v>
      </c>
      <c r="B5854" t="str">
        <f>"1551689123745772"</f>
        <v>1551689123745772</v>
      </c>
      <c r="C5854" t="s">
        <v>40</v>
      </c>
      <c r="D5854">
        <v>5.2662649999999998</v>
      </c>
      <c r="E5854">
        <v>0.4458548</v>
      </c>
      <c r="F5854" t="s">
        <v>41</v>
      </c>
      <c r="G5854">
        <v>-210.66669999999999</v>
      </c>
      <c r="H5854">
        <v>1.0022340000000001</v>
      </c>
      <c r="I5854">
        <v>-59.630009999999999</v>
      </c>
      <c r="J5854">
        <v>-211.29310000000001</v>
      </c>
      <c r="K5854">
        <v>1.119947</v>
      </c>
      <c r="L5854">
        <v>-60.282229999999998</v>
      </c>
      <c r="M5854">
        <v>0.95452979999999998</v>
      </c>
      <c r="N5854">
        <v>-1.460938E-2</v>
      </c>
      <c r="O5854">
        <v>0.29775750000000001</v>
      </c>
      <c r="P5854">
        <v>0.74785419999999903</v>
      </c>
      <c r="Q5854">
        <v>0.41406929999999997</v>
      </c>
      <c r="R5854">
        <v>0.51890340000000001</v>
      </c>
      <c r="S5854">
        <v>2.6206969999999998</v>
      </c>
      <c r="T5854">
        <v>-0.38339259999999997</v>
      </c>
      <c r="U5854">
        <v>2.3181150000000001</v>
      </c>
      <c r="V5854">
        <v>-0.28204129999999999</v>
      </c>
      <c r="W5854">
        <v>0.42057070000000002</v>
      </c>
      <c r="X5854">
        <v>0.86230680000000004</v>
      </c>
      <c r="Y5854">
        <v>-0.40806619999999999</v>
      </c>
      <c r="Z5854">
        <v>-2.9598599999999999E-3</v>
      </c>
      <c r="AA5854">
        <v>0.91294750000000002</v>
      </c>
      <c r="AB5854">
        <v>34</v>
      </c>
      <c r="AC5854">
        <v>0.62640000000001705</v>
      </c>
      <c r="AD5854">
        <v>-0.117712999999999</v>
      </c>
      <c r="AE5854">
        <v>0.65222000000000602</v>
      </c>
      <c r="AF5854">
        <v>-0.42882852868191201</v>
      </c>
      <c r="AG5854">
        <v>-0.117712999999999</v>
      </c>
      <c r="AH5854">
        <v>0.77900580794532204</v>
      </c>
      <c r="AI5854">
        <v>97.540696085930193</v>
      </c>
      <c r="AJ5854">
        <v>118.83198389653499</v>
      </c>
      <c r="AK5854">
        <v>0.89699515394066498</v>
      </c>
      <c r="AL5854">
        <v>65.129376937882</v>
      </c>
      <c r="AM5854">
        <v>108.111764990708</v>
      </c>
      <c r="AN5854">
        <v>1.00000001296521</v>
      </c>
    </row>
    <row r="5855" spans="1:40" x14ac:dyDescent="0.25">
      <c r="A5855" t="str">
        <f>"20190304164523765"</f>
        <v>20190304164523765</v>
      </c>
      <c r="B5855" t="str">
        <f>"1551689123755531"</f>
        <v>1551689123755531</v>
      </c>
      <c r="C5855" t="s">
        <v>40</v>
      </c>
      <c r="D5855">
        <v>5.2862660000000004</v>
      </c>
      <c r="E5855">
        <v>0.4456753</v>
      </c>
      <c r="F5855" t="s">
        <v>41</v>
      </c>
      <c r="G5855">
        <v>-210.45150000000001</v>
      </c>
      <c r="H5855">
        <v>0.98692789999999997</v>
      </c>
      <c r="I5855">
        <v>-59.55039</v>
      </c>
      <c r="J5855">
        <v>-211.13050000000001</v>
      </c>
      <c r="K5855">
        <v>1.119998</v>
      </c>
      <c r="L5855">
        <v>-60.226719999999901</v>
      </c>
      <c r="M5855">
        <v>0.95296780000000003</v>
      </c>
      <c r="N5855">
        <v>-1.462128E-2</v>
      </c>
      <c r="O5855">
        <v>0.30271880000000001</v>
      </c>
      <c r="P5855">
        <v>0.74469090000000004</v>
      </c>
      <c r="Q5855">
        <v>0.4133251</v>
      </c>
      <c r="R5855">
        <v>0.52402090000000001</v>
      </c>
      <c r="S5855">
        <v>2.646423</v>
      </c>
      <c r="T5855">
        <v>-0.41827989999999998</v>
      </c>
      <c r="U5855">
        <v>2.3011469999999998</v>
      </c>
      <c r="V5855">
        <v>-0.28340070000000001</v>
      </c>
      <c r="W5855">
        <v>0.41976419999999998</v>
      </c>
      <c r="X5855">
        <v>0.86225409999999902</v>
      </c>
      <c r="Y5855">
        <v>-0.39547529999999997</v>
      </c>
      <c r="Z5855">
        <v>-5.3330979999999997E-3</v>
      </c>
      <c r="AA5855">
        <v>0.91846110000000003</v>
      </c>
      <c r="AB5855">
        <v>34</v>
      </c>
      <c r="AC5855">
        <v>0.67900000000000205</v>
      </c>
      <c r="AD5855">
        <v>-0.133070099999999</v>
      </c>
      <c r="AE5855">
        <v>0.67632999999999199</v>
      </c>
      <c r="AF5855">
        <v>-0.43071747626616103</v>
      </c>
      <c r="AG5855">
        <v>-0.133070099999999</v>
      </c>
      <c r="AH5855">
        <v>0.83578041709532702</v>
      </c>
      <c r="AI5855">
        <v>98.055467777179501</v>
      </c>
      <c r="AJ5855">
        <v>117.264208676973</v>
      </c>
      <c r="AK5855">
        <v>0.94960734068094699</v>
      </c>
      <c r="AL5855">
        <v>65.180299623930694</v>
      </c>
      <c r="AM5855">
        <v>108.19436155445101</v>
      </c>
      <c r="AN5855">
        <v>1.0000000366644599</v>
      </c>
    </row>
    <row r="5856" spans="1:40" x14ac:dyDescent="0.25">
      <c r="A5856" t="str">
        <f>"20190304164523776"</f>
        <v>20190304164523776</v>
      </c>
      <c r="B5856" t="str">
        <f>"1551689123766268"</f>
        <v>1551689123766268</v>
      </c>
      <c r="C5856" t="s">
        <v>40</v>
      </c>
      <c r="D5856">
        <v>5.2813249999999998</v>
      </c>
      <c r="E5856">
        <v>0.4461001</v>
      </c>
      <c r="F5856" t="s">
        <v>49</v>
      </c>
      <c r="G5856">
        <v>-204.18360000000001</v>
      </c>
      <c r="H5856" s="1">
        <v>-4.962573E-6</v>
      </c>
      <c r="I5856">
        <v>-54.107810000000001</v>
      </c>
      <c r="J5856">
        <v>-210.98490000000001</v>
      </c>
      <c r="K5856">
        <v>1.120045</v>
      </c>
      <c r="L5856">
        <v>-60.176729999999999</v>
      </c>
      <c r="M5856">
        <v>0.95154519999999998</v>
      </c>
      <c r="N5856">
        <v>-1.46312E-2</v>
      </c>
      <c r="O5856">
        <v>0.30716059999999901</v>
      </c>
      <c r="P5856">
        <v>0.74185730000000005</v>
      </c>
      <c r="Q5856">
        <v>0.41252450000000002</v>
      </c>
      <c r="R5856">
        <v>0.52865030000000002</v>
      </c>
      <c r="S5856">
        <v>2.6324770000000002</v>
      </c>
      <c r="T5856">
        <v>-0.42441960000000001</v>
      </c>
      <c r="U5856">
        <v>2.3187259999999998</v>
      </c>
      <c r="V5856">
        <v>-0.28465859999999998</v>
      </c>
      <c r="W5856">
        <v>0.41890870000000002</v>
      </c>
      <c r="X5856">
        <v>0.86225580000000002</v>
      </c>
      <c r="Y5856">
        <v>-0.39704</v>
      </c>
      <c r="Z5856">
        <v>-5.9043619999999998E-3</v>
      </c>
      <c r="AA5856">
        <v>0.91778230000000005</v>
      </c>
      <c r="AB5856">
        <v>34</v>
      </c>
      <c r="AC5856">
        <v>6.8012999999999897</v>
      </c>
      <c r="AD5856">
        <v>-1.120049962573</v>
      </c>
      <c r="AE5856">
        <v>6.0689200000000003</v>
      </c>
      <c r="AF5856">
        <v>-3.6313279542686399</v>
      </c>
      <c r="AG5856">
        <v>-1.120049962573</v>
      </c>
      <c r="AH5856">
        <v>8.2127708777282198</v>
      </c>
      <c r="AI5856">
        <v>97.109809684536003</v>
      </c>
      <c r="AJ5856">
        <v>113.85291744399601</v>
      </c>
      <c r="AK5856">
        <v>9.0493458393506803</v>
      </c>
      <c r="AL5856">
        <v>65.234292769264897</v>
      </c>
      <c r="AM5856">
        <v>108.26973204928299</v>
      </c>
      <c r="AN5856">
        <v>1.0000000410616401</v>
      </c>
    </row>
    <row r="5857" spans="1:40" x14ac:dyDescent="0.25">
      <c r="A5857" t="str">
        <f>"20190304164523786"</f>
        <v>20190304164523786</v>
      </c>
      <c r="B5857" t="str">
        <f>"1551689123776028"</f>
        <v>1551689123776028</v>
      </c>
      <c r="C5857" t="s">
        <v>40</v>
      </c>
      <c r="D5857">
        <v>5.2793970000000003</v>
      </c>
      <c r="E5857">
        <v>0.44652259999999999</v>
      </c>
      <c r="F5857" t="s">
        <v>41</v>
      </c>
      <c r="G5857">
        <v>-210.16650000000001</v>
      </c>
      <c r="H5857">
        <v>0.98589479999999996</v>
      </c>
      <c r="I5857">
        <v>-59.44961</v>
      </c>
      <c r="J5857">
        <v>-210.82660000000001</v>
      </c>
      <c r="K5857">
        <v>1.1200870000000001</v>
      </c>
      <c r="L5857">
        <v>-60.121029999999998</v>
      </c>
      <c r="M5857">
        <v>0.9499609</v>
      </c>
      <c r="N5857">
        <v>-1.4641019999999999E-2</v>
      </c>
      <c r="O5857">
        <v>0.3120252</v>
      </c>
      <c r="P5857">
        <v>0.73861540000000003</v>
      </c>
      <c r="Q5857">
        <v>0.41187069999999998</v>
      </c>
      <c r="R5857">
        <v>0.53367580000000003</v>
      </c>
      <c r="S5857">
        <v>2.6223450000000001</v>
      </c>
      <c r="T5857">
        <v>-0.42987799999999998</v>
      </c>
      <c r="U5857">
        <v>2.330292</v>
      </c>
      <c r="V5857">
        <v>-0.2860318</v>
      </c>
      <c r="W5857">
        <v>0.4181994</v>
      </c>
      <c r="X5857">
        <v>0.86214570000000001</v>
      </c>
      <c r="Y5857">
        <v>-0.3963718</v>
      </c>
      <c r="Z5857">
        <v>-6.6857319999999998E-3</v>
      </c>
      <c r="AA5857">
        <v>0.91806569999999998</v>
      </c>
      <c r="AB5857">
        <v>34</v>
      </c>
      <c r="AC5857">
        <v>0.66009999999999902</v>
      </c>
      <c r="AD5857">
        <v>-0.13419219999999901</v>
      </c>
      <c r="AE5857">
        <v>0.67142000000000401</v>
      </c>
      <c r="AF5857">
        <v>-0.42330301902275003</v>
      </c>
      <c r="AG5857">
        <v>-0.13419219999999901</v>
      </c>
      <c r="AH5857">
        <v>0.820002820709827</v>
      </c>
      <c r="AI5857">
        <v>98.273726020702497</v>
      </c>
      <c r="AJ5857">
        <v>117.303751909404</v>
      </c>
      <c r="AK5857">
        <v>0.93252218119822095</v>
      </c>
      <c r="AL5857">
        <v>65.2790416285183</v>
      </c>
      <c r="AM5857">
        <v>108.35415945668601</v>
      </c>
      <c r="AN5857">
        <v>1.0000000684000401</v>
      </c>
    </row>
    <row r="5858" spans="1:40" x14ac:dyDescent="0.25">
      <c r="A5858" t="str">
        <f>"20190304164523796"</f>
        <v>20190304164523796</v>
      </c>
      <c r="B5858" t="str">
        <f>"1551689123785787"</f>
        <v>1551689123785787</v>
      </c>
      <c r="C5858" t="s">
        <v>40</v>
      </c>
      <c r="D5858">
        <v>5.2812099999999997</v>
      </c>
      <c r="E5858">
        <v>0.44678099999999998</v>
      </c>
      <c r="F5858" t="s">
        <v>49</v>
      </c>
      <c r="G5858">
        <v>-204.07409999999999</v>
      </c>
      <c r="H5858" s="1">
        <v>-5.0293570000000004E-6</v>
      </c>
      <c r="I5858">
        <v>-54.058199999999999</v>
      </c>
      <c r="J5858">
        <v>-210.6866</v>
      </c>
      <c r="K5858">
        <v>1.1201219999999901</v>
      </c>
      <c r="L5858">
        <v>-60.071319999999901</v>
      </c>
      <c r="M5858">
        <v>0.94853509999999996</v>
      </c>
      <c r="N5858">
        <v>-1.464912E-2</v>
      </c>
      <c r="O5858">
        <v>0.31633299999999998</v>
      </c>
      <c r="P5858">
        <v>0.73589169999999904</v>
      </c>
      <c r="Q5858">
        <v>0.4113001</v>
      </c>
      <c r="R5858">
        <v>0.53786210000000001</v>
      </c>
      <c r="S5858">
        <v>2.6099239999999999</v>
      </c>
      <c r="T5858">
        <v>-0.43292900000000001</v>
      </c>
      <c r="U5858">
        <v>2.343353</v>
      </c>
      <c r="V5858">
        <v>-0.28694839999999999</v>
      </c>
      <c r="W5858">
        <v>0.41758770000000001</v>
      </c>
      <c r="X5858">
        <v>0.86213759999999995</v>
      </c>
      <c r="Y5858">
        <v>-0.39692460000000002</v>
      </c>
      <c r="Z5858">
        <v>-7.2497330000000004E-3</v>
      </c>
      <c r="AA5858">
        <v>0.91782260000000004</v>
      </c>
      <c r="AB5858">
        <v>34</v>
      </c>
      <c r="AC5858">
        <v>6.6125000000000096</v>
      </c>
      <c r="AD5858">
        <v>-1.12012702935699</v>
      </c>
      <c r="AE5858">
        <v>6.01311999999999</v>
      </c>
      <c r="AF5858">
        <v>-3.5564316774956</v>
      </c>
      <c r="AG5858">
        <v>-1.12012702935699</v>
      </c>
      <c r="AH5858">
        <v>8.0487948863444192</v>
      </c>
      <c r="AI5858">
        <v>97.254411419931799</v>
      </c>
      <c r="AJ5858">
        <v>113.838665291903</v>
      </c>
      <c r="AK5858">
        <v>8.8705123843571894</v>
      </c>
      <c r="AL5858">
        <v>65.317619166904095</v>
      </c>
      <c r="AM5858">
        <v>108.40917793813</v>
      </c>
      <c r="AN5858">
        <v>1.0000000563938001</v>
      </c>
    </row>
    <row r="5859" spans="1:40" x14ac:dyDescent="0.25">
      <c r="A5859" t="str">
        <f>"20190304164523806"</f>
        <v>20190304164523806</v>
      </c>
      <c r="B5859" t="str">
        <f>"1551689123795547"</f>
        <v>1551689123795547</v>
      </c>
      <c r="C5859" t="s">
        <v>40</v>
      </c>
      <c r="D5859">
        <v>5.2730930000000003</v>
      </c>
      <c r="E5859">
        <v>0.44678099999999998</v>
      </c>
      <c r="F5859" t="s">
        <v>41</v>
      </c>
      <c r="G5859">
        <v>-209.88489999999999</v>
      </c>
      <c r="H5859">
        <v>0.98581039999999998</v>
      </c>
      <c r="I5859">
        <v>-59.344540000000002</v>
      </c>
      <c r="J5859">
        <v>-210.542</v>
      </c>
      <c r="K5859">
        <v>1.120152</v>
      </c>
      <c r="L5859">
        <v>-60.018889999999999</v>
      </c>
      <c r="M5859">
        <v>0.94703329999999997</v>
      </c>
      <c r="N5859">
        <v>-1.46567999999999E-2</v>
      </c>
      <c r="O5859">
        <v>0.32080059999999999</v>
      </c>
      <c r="P5859">
        <v>0.7331029</v>
      </c>
      <c r="Q5859">
        <v>0.410744</v>
      </c>
      <c r="R5859">
        <v>0.54207879999999997</v>
      </c>
      <c r="S5859">
        <v>2.5984189999999998</v>
      </c>
      <c r="T5859">
        <v>-0.43531720000000002</v>
      </c>
      <c r="U5859">
        <v>2.3554080000000002</v>
      </c>
      <c r="V5859">
        <v>-0.28776350000000001</v>
      </c>
      <c r="W5859">
        <v>0.4169966</v>
      </c>
      <c r="X5859">
        <v>0.86215189999999997</v>
      </c>
      <c r="Y5859">
        <v>-0.3969702</v>
      </c>
      <c r="Z5859">
        <v>-7.8552569999999992E-3</v>
      </c>
      <c r="AA5859">
        <v>0.91779790000000006</v>
      </c>
      <c r="AB5859">
        <v>34</v>
      </c>
      <c r="AC5859">
        <v>0.65710000000001401</v>
      </c>
      <c r="AD5859">
        <v>-0.13434160000000001</v>
      </c>
      <c r="AE5859">
        <v>0.67434999999999601</v>
      </c>
      <c r="AF5859">
        <v>-0.41934295824699203</v>
      </c>
      <c r="AG5859">
        <v>-0.13434160000000001</v>
      </c>
      <c r="AH5859">
        <v>0.82198390240748298</v>
      </c>
      <c r="AI5859">
        <v>98.283212625069893</v>
      </c>
      <c r="AJ5859">
        <v>117.028836871856</v>
      </c>
      <c r="AK5859">
        <v>0.93249864232551705</v>
      </c>
      <c r="AL5859">
        <v>65.3548836492958</v>
      </c>
      <c r="AM5859">
        <v>108.45764610750599</v>
      </c>
      <c r="AN5859">
        <v>0.99999994750870802</v>
      </c>
    </row>
    <row r="5860" spans="1:40" x14ac:dyDescent="0.25">
      <c r="A5860" t="str">
        <f>"20190304164523817"</f>
        <v>20190304164523817</v>
      </c>
      <c r="B5860" t="str">
        <f>"1551689123806284"</f>
        <v>1551689123806284</v>
      </c>
      <c r="C5860" t="s">
        <v>40</v>
      </c>
      <c r="D5860">
        <v>5.2711069999999998</v>
      </c>
      <c r="E5860">
        <v>0.4510207</v>
      </c>
      <c r="F5860" t="s">
        <v>49</v>
      </c>
      <c r="G5860">
        <v>-203.92240000000001</v>
      </c>
      <c r="H5860" s="1">
        <v>-5.1297979999999999E-6</v>
      </c>
      <c r="I5860">
        <v>-53.953789999999998</v>
      </c>
      <c r="J5860">
        <v>-210.3861</v>
      </c>
      <c r="K5860">
        <v>1.1201829999999999</v>
      </c>
      <c r="L5860">
        <v>-59.961820000000003</v>
      </c>
      <c r="M5860">
        <v>0.94538690000000003</v>
      </c>
      <c r="N5860">
        <v>-1.466455E-2</v>
      </c>
      <c r="O5860">
        <v>0.32562020000000003</v>
      </c>
      <c r="P5860">
        <v>0.73032580000000002</v>
      </c>
      <c r="Q5860">
        <v>0.4101477</v>
      </c>
      <c r="R5860">
        <v>0.5462629</v>
      </c>
      <c r="S5860">
        <v>2.5855869999999999</v>
      </c>
      <c r="T5860">
        <v>-0.43753170000000002</v>
      </c>
      <c r="U5860">
        <v>2.3690190000000002</v>
      </c>
      <c r="V5860">
        <v>-0.2882189</v>
      </c>
      <c r="W5860">
        <v>0.41637550000000001</v>
      </c>
      <c r="X5860">
        <v>0.86229999999999996</v>
      </c>
      <c r="Y5860">
        <v>-0.39720519999999998</v>
      </c>
      <c r="Z5860">
        <v>-8.4888410000000004E-3</v>
      </c>
      <c r="AA5860">
        <v>0.91769060000000002</v>
      </c>
      <c r="AB5860">
        <v>34</v>
      </c>
      <c r="AC5860">
        <v>6.4636999999999798</v>
      </c>
      <c r="AD5860">
        <v>-1.1201881297980001</v>
      </c>
      <c r="AE5860">
        <v>6.00802999999999</v>
      </c>
      <c r="AF5860">
        <v>-3.5188859644030099</v>
      </c>
      <c r="AG5860">
        <v>-1.1201881297980001</v>
      </c>
      <c r="AH5860">
        <v>7.9399635156996302</v>
      </c>
      <c r="AI5860">
        <v>97.349589320987405</v>
      </c>
      <c r="AJ5860">
        <v>113.902282605876</v>
      </c>
      <c r="AK5860">
        <v>8.75673458015339</v>
      </c>
      <c r="AL5860">
        <v>65.394031576640799</v>
      </c>
      <c r="AM5860">
        <v>108.48191346613601</v>
      </c>
      <c r="AN5860">
        <v>0.99999999065873002</v>
      </c>
    </row>
    <row r="5861" spans="1:40" x14ac:dyDescent="0.25">
      <c r="A5861" t="str">
        <f>"20190304164523829"</f>
        <v>20190304164523829</v>
      </c>
      <c r="B5861" t="str">
        <f>"1551689123825803"</f>
        <v>1551689123825803</v>
      </c>
      <c r="C5861" t="s">
        <v>40</v>
      </c>
      <c r="D5861">
        <v>5.2795719999999999</v>
      </c>
      <c r="E5861">
        <v>0.45105109999999898</v>
      </c>
      <c r="F5861" t="s">
        <v>49</v>
      </c>
      <c r="G5861">
        <v>-204.06960000000001</v>
      </c>
      <c r="H5861" s="1">
        <v>-4.9940129999999997E-6</v>
      </c>
      <c r="I5861">
        <v>-54.227939999999997</v>
      </c>
      <c r="J5861">
        <v>-210.21209999999999</v>
      </c>
      <c r="K5861">
        <v>1.120214</v>
      </c>
      <c r="L5861">
        <v>-59.896880000000003</v>
      </c>
      <c r="M5861">
        <v>0.94351119999999999</v>
      </c>
      <c r="N5861">
        <v>-1.467254E-2</v>
      </c>
      <c r="O5861">
        <v>0.33101589999999997</v>
      </c>
      <c r="P5861">
        <v>0.72719140000000004</v>
      </c>
      <c r="Q5861">
        <v>0.40947090000000003</v>
      </c>
      <c r="R5861">
        <v>0.55093230000000004</v>
      </c>
      <c r="S5861">
        <v>2.6008610000000001</v>
      </c>
      <c r="T5861">
        <v>-0.46124409999999999</v>
      </c>
      <c r="U5861">
        <v>2.3609619999999998</v>
      </c>
      <c r="V5861">
        <v>-0.28871459999999999</v>
      </c>
      <c r="W5861">
        <v>0.4156743</v>
      </c>
      <c r="X5861">
        <v>0.86247249999999998</v>
      </c>
      <c r="Y5861">
        <v>-0.38770979999999999</v>
      </c>
      <c r="Z5861">
        <v>-1.074485E-2</v>
      </c>
      <c r="AA5861">
        <v>0.92171890000000001</v>
      </c>
      <c r="AB5861">
        <v>34</v>
      </c>
      <c r="AC5861">
        <v>6.1424999999999796</v>
      </c>
      <c r="AD5861">
        <v>-1.1202189940130001</v>
      </c>
      <c r="AE5861">
        <v>5.6689399999999903</v>
      </c>
      <c r="AF5861">
        <v>-3.2572952699197799</v>
      </c>
      <c r="AG5861">
        <v>-1.1202189940130001</v>
      </c>
      <c r="AH5861">
        <v>7.53747087418812</v>
      </c>
      <c r="AI5861">
        <v>97.768679833535501</v>
      </c>
      <c r="AJ5861">
        <v>113.371440947664</v>
      </c>
      <c r="AK5861">
        <v>8.2872390003681904</v>
      </c>
      <c r="AL5861">
        <v>65.438213204896698</v>
      </c>
      <c r="AM5861">
        <v>108.508085199752</v>
      </c>
      <c r="AN5861">
        <v>1.00000002859494</v>
      </c>
    </row>
    <row r="5862" spans="1:40" x14ac:dyDescent="0.25">
      <c r="A5862" t="str">
        <f>"20190304164523841"</f>
        <v>20190304164523841</v>
      </c>
      <c r="B5862" t="str">
        <f>"1551689123835563"</f>
        <v>1551689123835563</v>
      </c>
      <c r="C5862" t="s">
        <v>40</v>
      </c>
      <c r="D5862">
        <v>5.2353649999999998</v>
      </c>
      <c r="E5862">
        <v>0.45076569999999999</v>
      </c>
      <c r="F5862" t="s">
        <v>49</v>
      </c>
      <c r="G5862">
        <v>-203.8817</v>
      </c>
      <c r="H5862" s="1">
        <v>-5.1230529999999999E-6</v>
      </c>
      <c r="I5862">
        <v>-54.077800000000003</v>
      </c>
      <c r="J5862">
        <v>-210.0498</v>
      </c>
      <c r="K5862">
        <v>1.120236</v>
      </c>
      <c r="L5862">
        <v>-59.835209999999996</v>
      </c>
      <c r="M5862">
        <v>0.9417278</v>
      </c>
      <c r="N5862">
        <v>-1.467943E-2</v>
      </c>
      <c r="O5862">
        <v>0.33605580000000002</v>
      </c>
      <c r="P5862">
        <v>0.72459439999999997</v>
      </c>
      <c r="Q5862">
        <v>0.40872910000000001</v>
      </c>
      <c r="R5862">
        <v>0.55489049999999995</v>
      </c>
      <c r="S5862">
        <v>2.5836030000000001</v>
      </c>
      <c r="T5862">
        <v>-0.45719409999999999</v>
      </c>
      <c r="U5862">
        <v>2.3749389999999999</v>
      </c>
      <c r="V5862">
        <v>-0.28867720000000002</v>
      </c>
      <c r="W5862">
        <v>0.41492699999999999</v>
      </c>
      <c r="X5862">
        <v>0.86284479999999997</v>
      </c>
      <c r="Y5862">
        <v>-0.3885846</v>
      </c>
      <c r="Z5862">
        <v>-1.116281E-2</v>
      </c>
      <c r="AA5862">
        <v>0.92134539999999998</v>
      </c>
      <c r="AB5862">
        <v>34</v>
      </c>
      <c r="AC5862">
        <v>6.1681000000000097</v>
      </c>
      <c r="AD5862">
        <v>-1.1202411230530001</v>
      </c>
      <c r="AE5862">
        <v>5.7574099999999904</v>
      </c>
      <c r="AF5862">
        <v>-3.2914289653606899</v>
      </c>
      <c r="AG5862">
        <v>-1.1202411230530001</v>
      </c>
      <c r="AH5862">
        <v>7.6101695021723499</v>
      </c>
      <c r="AI5862">
        <v>97.694521879467999</v>
      </c>
      <c r="AJ5862">
        <v>113.388676860749</v>
      </c>
      <c r="AK5862">
        <v>8.3667869973836702</v>
      </c>
      <c r="AL5862">
        <v>65.485281765554404</v>
      </c>
      <c r="AM5862">
        <v>108.498409610959</v>
      </c>
      <c r="AN5862">
        <v>1.00000004500793</v>
      </c>
    </row>
    <row r="5863" spans="1:40" x14ac:dyDescent="0.25">
      <c r="A5863" t="str">
        <f>"20190304164523851"</f>
        <v>20190304164523851</v>
      </c>
      <c r="B5863" t="str">
        <f>"1551689123846298"</f>
        <v>1551689123846298</v>
      </c>
      <c r="C5863" t="s">
        <v>40</v>
      </c>
      <c r="D5863">
        <v>5.3117749999999999</v>
      </c>
      <c r="E5863">
        <v>0.45067190000000001</v>
      </c>
      <c r="F5863" t="s">
        <v>49</v>
      </c>
      <c r="G5863">
        <v>-203.77099999999999</v>
      </c>
      <c r="H5863" s="1">
        <v>-5.1971209999999997E-6</v>
      </c>
      <c r="I5863">
        <v>-53.998260000000002</v>
      </c>
      <c r="J5863">
        <v>-209.904</v>
      </c>
      <c r="K5863">
        <v>1.120252</v>
      </c>
      <c r="L5863">
        <v>-59.779240000000001</v>
      </c>
      <c r="M5863">
        <v>0.94009969999999998</v>
      </c>
      <c r="N5863">
        <v>-1.468528E-2</v>
      </c>
      <c r="O5863">
        <v>0.34058319999999997</v>
      </c>
      <c r="P5863">
        <v>0.72195690000000001</v>
      </c>
      <c r="Q5863">
        <v>0.40794039999999998</v>
      </c>
      <c r="R5863">
        <v>0.55889440000000001</v>
      </c>
      <c r="S5863">
        <v>2.5695649999999999</v>
      </c>
      <c r="T5863">
        <v>-0.45845160000000001</v>
      </c>
      <c r="U5863">
        <v>2.3887330000000002</v>
      </c>
      <c r="V5863">
        <v>-0.28915980000000002</v>
      </c>
      <c r="W5863">
        <v>0.41411979999999998</v>
      </c>
      <c r="X5863">
        <v>0.86307099999999903</v>
      </c>
      <c r="Y5863">
        <v>-0.38932870000000003</v>
      </c>
      <c r="Z5863">
        <v>-1.1729430000000001E-2</v>
      </c>
      <c r="AA5863">
        <v>0.92102419999999996</v>
      </c>
      <c r="AB5863">
        <v>34</v>
      </c>
      <c r="AC5863">
        <v>6.1330000000000302</v>
      </c>
      <c r="AD5863">
        <v>-1.120257197121</v>
      </c>
      <c r="AE5863">
        <v>5.7809799999999996</v>
      </c>
      <c r="AF5863">
        <v>-3.2881682081334098</v>
      </c>
      <c r="AG5863">
        <v>-1.120257197121</v>
      </c>
      <c r="AH5863">
        <v>7.6010788526511801</v>
      </c>
      <c r="AI5863">
        <v>97.703478241089599</v>
      </c>
      <c r="AJ5863">
        <v>113.392937491173</v>
      </c>
      <c r="AK5863">
        <v>8.3572379454519297</v>
      </c>
      <c r="AL5863">
        <v>65.536103630390201</v>
      </c>
      <c r="AM5863">
        <v>108.52270066553</v>
      </c>
      <c r="AN5863">
        <v>1.0000000748645299</v>
      </c>
    </row>
    <row r="5864" spans="1:40" x14ac:dyDescent="0.25">
      <c r="A5864" t="str">
        <f>"20190304164523861"</f>
        <v>20190304164523861</v>
      </c>
      <c r="B5864" t="str">
        <f>"1551689123856060"</f>
        <v>1551689123856060</v>
      </c>
      <c r="C5864" t="s">
        <v>40</v>
      </c>
      <c r="D5864">
        <v>5.3113599999999996</v>
      </c>
      <c r="E5864">
        <v>0.45089129999999999</v>
      </c>
      <c r="F5864" t="s">
        <v>49</v>
      </c>
      <c r="G5864">
        <v>-203.70519999999999</v>
      </c>
      <c r="H5864" s="1">
        <v>-5.2402560000000001E-6</v>
      </c>
      <c r="I5864">
        <v>-53.954909999999998</v>
      </c>
      <c r="J5864">
        <v>-209.76840000000001</v>
      </c>
      <c r="K5864">
        <v>1.1202620000000001</v>
      </c>
      <c r="L5864">
        <v>-59.726039999999998</v>
      </c>
      <c r="M5864">
        <v>0.93855929999999999</v>
      </c>
      <c r="N5864">
        <v>-1.469028E-2</v>
      </c>
      <c r="O5864">
        <v>0.34480519999999998</v>
      </c>
      <c r="P5864">
        <v>0.71967099999999995</v>
      </c>
      <c r="Q5864">
        <v>0.4076746</v>
      </c>
      <c r="R5864">
        <v>0.56202779999999997</v>
      </c>
      <c r="S5864">
        <v>2.5567630000000001</v>
      </c>
      <c r="T5864">
        <v>-0.46205829999999998</v>
      </c>
      <c r="U5864">
        <v>2.4022830000000002</v>
      </c>
      <c r="V5864">
        <v>-0.28899160000000002</v>
      </c>
      <c r="W5864">
        <v>0.41385329999999898</v>
      </c>
      <c r="X5864">
        <v>0.86325509999999905</v>
      </c>
      <c r="Y5864">
        <v>-0.39008759999999998</v>
      </c>
      <c r="Z5864">
        <v>-1.235816E-2</v>
      </c>
      <c r="AA5864">
        <v>0.92069480000000004</v>
      </c>
      <c r="AB5864">
        <v>34</v>
      </c>
      <c r="AC5864">
        <v>6.0632000000000197</v>
      </c>
      <c r="AD5864">
        <v>-1.1202672402560001</v>
      </c>
      <c r="AE5864">
        <v>5.7711300000000003</v>
      </c>
      <c r="AF5864">
        <v>-3.2677548167210002</v>
      </c>
      <c r="AG5864">
        <v>-1.1202672402560001</v>
      </c>
      <c r="AH5864">
        <v>7.5462558096691499</v>
      </c>
      <c r="AI5864">
        <v>97.757610306500496</v>
      </c>
      <c r="AJ5864">
        <v>113.41405690711299</v>
      </c>
      <c r="AK5864">
        <v>8.2993491899521494</v>
      </c>
      <c r="AL5864">
        <v>65.552876806311303</v>
      </c>
      <c r="AM5864">
        <v>108.508981816971</v>
      </c>
      <c r="AN5864">
        <v>1.00000003323372</v>
      </c>
    </row>
    <row r="5865" spans="1:40" x14ac:dyDescent="0.25">
      <c r="A5865" t="str">
        <f>"20190304164523872"</f>
        <v>20190304164523872</v>
      </c>
      <c r="B5865" t="str">
        <f>"1551689123865818"</f>
        <v>1551689123865818</v>
      </c>
      <c r="C5865" t="s">
        <v>40</v>
      </c>
      <c r="D5865">
        <v>5.3079650000000003</v>
      </c>
      <c r="E5865">
        <v>0.4510304</v>
      </c>
      <c r="F5865" t="s">
        <v>49</v>
      </c>
      <c r="G5865">
        <v>-203.6087</v>
      </c>
      <c r="H5865" s="1">
        <v>-5.3021350000000004E-6</v>
      </c>
      <c r="I5865">
        <v>-53.897629999999999</v>
      </c>
      <c r="J5865">
        <v>-209.61099999999999</v>
      </c>
      <c r="K5865">
        <v>1.1202749999999999</v>
      </c>
      <c r="L5865">
        <v>-59.6639699999999</v>
      </c>
      <c r="M5865">
        <v>0.93674650000000004</v>
      </c>
      <c r="N5865">
        <v>-1.469579E-2</v>
      </c>
      <c r="O5865">
        <v>0.34969990000000001</v>
      </c>
      <c r="P5865">
        <v>0.71709469999999997</v>
      </c>
      <c r="Q5865">
        <v>0.40734290000000001</v>
      </c>
      <c r="R5865">
        <v>0.56555029999999995</v>
      </c>
      <c r="S5865">
        <v>2.5481720000000001</v>
      </c>
      <c r="T5865">
        <v>-0.4634334</v>
      </c>
      <c r="U5865">
        <v>2.4111020000000001</v>
      </c>
      <c r="V5865">
        <v>-0.28866259999999999</v>
      </c>
      <c r="W5865">
        <v>0.41352509999999998</v>
      </c>
      <c r="X5865">
        <v>0.86352240000000002</v>
      </c>
      <c r="Y5865">
        <v>-0.38855119999999999</v>
      </c>
      <c r="Z5865">
        <v>-1.316063E-2</v>
      </c>
      <c r="AA5865">
        <v>0.92133310000000002</v>
      </c>
      <c r="AB5865">
        <v>34</v>
      </c>
      <c r="AC5865">
        <v>6.0022999999999902</v>
      </c>
      <c r="AD5865">
        <v>-1.1202803021350001</v>
      </c>
      <c r="AE5865">
        <v>5.76633999999998</v>
      </c>
      <c r="AF5865">
        <v>-3.2441810308385302</v>
      </c>
      <c r="AG5865">
        <v>-1.1202803021350001</v>
      </c>
      <c r="AH5865">
        <v>7.5040064057968197</v>
      </c>
      <c r="AI5865">
        <v>97.802816597076003</v>
      </c>
      <c r="AJ5865">
        <v>113.38010887695199</v>
      </c>
      <c r="AK5865">
        <v>8.2516574489277001</v>
      </c>
      <c r="AL5865">
        <v>65.573531231420105</v>
      </c>
      <c r="AM5865">
        <v>108.484009505847</v>
      </c>
      <c r="AN5865">
        <v>1.0000000201352599</v>
      </c>
    </row>
    <row r="5866" spans="1:40" x14ac:dyDescent="0.25">
      <c r="A5866" t="str">
        <f>"20190304164523884"</f>
        <v>20190304164523884</v>
      </c>
      <c r="B5866" t="str">
        <f>"1551689123875579"</f>
        <v>1551689123875579</v>
      </c>
      <c r="C5866" t="s">
        <v>40</v>
      </c>
      <c r="D5866">
        <v>5.3015049999999997</v>
      </c>
      <c r="E5866">
        <v>0.45123439999999998</v>
      </c>
      <c r="F5866" t="s">
        <v>49</v>
      </c>
      <c r="G5866">
        <v>-203.4913</v>
      </c>
      <c r="H5866" s="1">
        <v>-5.3792119999999996E-6</v>
      </c>
      <c r="I5866">
        <v>-53.819670000000002</v>
      </c>
      <c r="J5866">
        <v>-209.45529999999999</v>
      </c>
      <c r="K5866">
        <v>1.1202859999999999</v>
      </c>
      <c r="L5866">
        <v>-59.601039999999998</v>
      </c>
      <c r="M5866">
        <v>0.93492070000000005</v>
      </c>
      <c r="N5866">
        <v>-1.470078E-2</v>
      </c>
      <c r="O5866">
        <v>0.35455209999999998</v>
      </c>
      <c r="P5866">
        <v>0.71467019999999903</v>
      </c>
      <c r="Q5866">
        <v>0.4069487</v>
      </c>
      <c r="R5866">
        <v>0.56889299999999998</v>
      </c>
      <c r="S5866">
        <v>2.5367280000000001</v>
      </c>
      <c r="T5866">
        <v>-0.46437810000000002</v>
      </c>
      <c r="U5866">
        <v>2.422577</v>
      </c>
      <c r="V5866">
        <v>-0.28814240000000002</v>
      </c>
      <c r="W5866">
        <v>0.4131417</v>
      </c>
      <c r="X5866">
        <v>0.86387959999999997</v>
      </c>
      <c r="Y5866">
        <v>-0.38806079999999998</v>
      </c>
      <c r="Z5866">
        <v>-1.386309E-2</v>
      </c>
      <c r="AA5866">
        <v>0.9215295</v>
      </c>
      <c r="AB5866">
        <v>34</v>
      </c>
      <c r="AC5866">
        <v>5.9639999999999898</v>
      </c>
      <c r="AD5866">
        <v>-1.1202913792119999</v>
      </c>
      <c r="AE5866">
        <v>5.7813700000000097</v>
      </c>
      <c r="AF5866">
        <v>-3.2321340098806499</v>
      </c>
      <c r="AG5866">
        <v>-1.1202913792119999</v>
      </c>
      <c r="AH5866">
        <v>7.4902340773693501</v>
      </c>
      <c r="AI5866">
        <v>97.819349158332997</v>
      </c>
      <c r="AJ5866">
        <v>113.340829738922</v>
      </c>
      <c r="AK5866">
        <v>8.23440037683066</v>
      </c>
      <c r="AL5866">
        <v>65.597656033408995</v>
      </c>
      <c r="AM5866">
        <v>108.445843806361</v>
      </c>
      <c r="AN5866">
        <v>1.0000000351264</v>
      </c>
    </row>
    <row r="5867" spans="1:40" x14ac:dyDescent="0.25">
      <c r="A5867" t="str">
        <f>"20190304164523895"</f>
        <v>20190304164523895</v>
      </c>
      <c r="B5867" t="str">
        <f>"1551689123886315"</f>
        <v>1551689123886315</v>
      </c>
      <c r="C5867" t="s">
        <v>40</v>
      </c>
      <c r="D5867">
        <v>5.3019069999999999</v>
      </c>
      <c r="E5867">
        <v>0.45144529999999999</v>
      </c>
      <c r="F5867" t="s">
        <v>49</v>
      </c>
      <c r="G5867">
        <v>-203.37620000000001</v>
      </c>
      <c r="H5867" s="1">
        <v>-5.4547450000000002E-6</v>
      </c>
      <c r="I5867">
        <v>-53.743479999999998</v>
      </c>
      <c r="J5867">
        <v>-209.29830000000001</v>
      </c>
      <c r="K5867">
        <v>1.1202970000000001</v>
      </c>
      <c r="L5867">
        <v>-59.537230000000001</v>
      </c>
      <c r="M5867">
        <v>0.93305179999999999</v>
      </c>
      <c r="N5867">
        <v>-1.4705559999999999E-2</v>
      </c>
      <c r="O5867">
        <v>0.35944130000000002</v>
      </c>
      <c r="P5867">
        <v>0.71237109999999904</v>
      </c>
      <c r="Q5867">
        <v>0.40669139999999998</v>
      </c>
      <c r="R5867">
        <v>0.57195229999999997</v>
      </c>
      <c r="S5867">
        <v>2.525604</v>
      </c>
      <c r="T5867">
        <v>-0.46543259999999997</v>
      </c>
      <c r="U5867">
        <v>2.4335629999999999</v>
      </c>
      <c r="V5867">
        <v>-0.28727580000000003</v>
      </c>
      <c r="W5867">
        <v>0.4129041</v>
      </c>
      <c r="X5867">
        <v>0.86428169999999904</v>
      </c>
      <c r="Y5867">
        <v>-0.3873761</v>
      </c>
      <c r="Z5867">
        <v>-1.4594660000000001E-2</v>
      </c>
      <c r="AA5867">
        <v>0.92180629999999997</v>
      </c>
      <c r="AB5867">
        <v>34</v>
      </c>
      <c r="AC5867">
        <v>5.9221000000000004</v>
      </c>
      <c r="AD5867">
        <v>-1.12030245474499</v>
      </c>
      <c r="AE5867">
        <v>5.7937500000000002</v>
      </c>
      <c r="AF5867">
        <v>-3.2187209079735202</v>
      </c>
      <c r="AG5867">
        <v>-1.12030245474499</v>
      </c>
      <c r="AH5867">
        <v>7.4723286344784601</v>
      </c>
      <c r="AI5867">
        <v>97.840071970812502</v>
      </c>
      <c r="AJ5867">
        <v>113.304060419382</v>
      </c>
      <c r="AK5867">
        <v>8.2128519465031395</v>
      </c>
      <c r="AL5867">
        <v>65.612603641726295</v>
      </c>
      <c r="AM5867">
        <v>108.386124137256</v>
      </c>
      <c r="AN5867">
        <v>1.00000001900866</v>
      </c>
    </row>
    <row r="5868" spans="1:40" x14ac:dyDescent="0.25">
      <c r="A5868" t="str">
        <f>"20190304164523904"</f>
        <v>20190304164523904</v>
      </c>
      <c r="B5868" t="str">
        <f>"1551689123896075"</f>
        <v>1551689123896075</v>
      </c>
      <c r="C5868" t="s">
        <v>40</v>
      </c>
      <c r="D5868">
        <v>5.2845709999999997</v>
      </c>
      <c r="E5868">
        <v>0.45163219999999998</v>
      </c>
      <c r="F5868" t="s">
        <v>49</v>
      </c>
      <c r="G5868">
        <v>-203.267</v>
      </c>
      <c r="H5868" s="1">
        <v>-5.5191609999999996E-6</v>
      </c>
      <c r="I5868">
        <v>-53.678330000000003</v>
      </c>
      <c r="J5868">
        <v>-209.15289999999999</v>
      </c>
      <c r="K5868">
        <v>1.120303</v>
      </c>
      <c r="L5868">
        <v>-59.476680000000002</v>
      </c>
      <c r="M5868">
        <v>0.93129189999999995</v>
      </c>
      <c r="N5868">
        <v>-1.470961E-2</v>
      </c>
      <c r="O5868">
        <v>0.36397679999999999</v>
      </c>
      <c r="P5868">
        <v>0.71007129999999996</v>
      </c>
      <c r="Q5868">
        <v>0.40622029999999998</v>
      </c>
      <c r="R5868">
        <v>0.57513809999999999</v>
      </c>
      <c r="S5868">
        <v>2.515854</v>
      </c>
      <c r="T5868">
        <v>-0.46731440000000002</v>
      </c>
      <c r="U5868">
        <v>2.4439389999999999</v>
      </c>
      <c r="V5868">
        <v>-0.2868426</v>
      </c>
      <c r="W5868">
        <v>0.41244419999999998</v>
      </c>
      <c r="X5868">
        <v>0.86464509999999895</v>
      </c>
      <c r="Y5868">
        <v>-0.3866617</v>
      </c>
      <c r="Z5868">
        <v>-1.5324239999999999E-2</v>
      </c>
      <c r="AA5868">
        <v>0.92209430000000003</v>
      </c>
      <c r="AB5868">
        <v>34</v>
      </c>
      <c r="AC5868">
        <v>5.8858999999999897</v>
      </c>
      <c r="AD5868">
        <v>-1.120308519161</v>
      </c>
      <c r="AE5868">
        <v>5.7983499999999903</v>
      </c>
      <c r="AF5868">
        <v>-3.1991590396633298</v>
      </c>
      <c r="AG5868">
        <v>-1.120308519161</v>
      </c>
      <c r="AH5868">
        <v>7.4556990795384497</v>
      </c>
      <c r="AI5868">
        <v>97.862066085829696</v>
      </c>
      <c r="AJ5868">
        <v>113.22364263837601</v>
      </c>
      <c r="AK5868">
        <v>8.1900646214663499</v>
      </c>
      <c r="AL5868">
        <v>65.641532193639193</v>
      </c>
      <c r="AM5868">
        <v>108.35305991633101</v>
      </c>
      <c r="AN5868">
        <v>1.0000000221212</v>
      </c>
    </row>
    <row r="5869" spans="1:40" x14ac:dyDescent="0.25">
      <c r="A5869" t="str">
        <f>"20190304164523917"</f>
        <v>20190304164523917</v>
      </c>
      <c r="B5869" t="str">
        <f>"1551689123905835"</f>
        <v>1551689123905835</v>
      </c>
      <c r="C5869" t="s">
        <v>40</v>
      </c>
      <c r="D5869">
        <v>5.2846989999999998</v>
      </c>
      <c r="E5869">
        <v>0.45183499999999999</v>
      </c>
      <c r="F5869" t="s">
        <v>49</v>
      </c>
      <c r="G5869">
        <v>-203.1686</v>
      </c>
      <c r="H5869" s="1">
        <v>-5.565856E-6</v>
      </c>
      <c r="I5869">
        <v>-53.617640000000002</v>
      </c>
      <c r="J5869">
        <v>-208.9914</v>
      </c>
      <c r="K5869">
        <v>1.1203149999999999</v>
      </c>
      <c r="L5869">
        <v>-59.408969999999997</v>
      </c>
      <c r="M5869">
        <v>0.92930869999999999</v>
      </c>
      <c r="N5869">
        <v>-1.471391E-2</v>
      </c>
      <c r="O5869">
        <v>0.36901080000000003</v>
      </c>
      <c r="P5869">
        <v>0.70763140000000002</v>
      </c>
      <c r="Q5869">
        <v>0.40604170000000001</v>
      </c>
      <c r="R5869">
        <v>0.57826290000000002</v>
      </c>
      <c r="S5869">
        <v>2.5060120000000001</v>
      </c>
      <c r="T5869">
        <v>-0.4691496</v>
      </c>
      <c r="U5869">
        <v>2.4535830000000001</v>
      </c>
      <c r="V5869">
        <v>-0.28594039999999998</v>
      </c>
      <c r="W5869">
        <v>0.41228740000000003</v>
      </c>
      <c r="X5869">
        <v>0.86501859999999997</v>
      </c>
      <c r="Y5869">
        <v>-0.38533149999999999</v>
      </c>
      <c r="Z5869">
        <v>-1.6173380000000001E-2</v>
      </c>
      <c r="AA5869">
        <v>0.92263640000000002</v>
      </c>
      <c r="AB5869">
        <v>34</v>
      </c>
      <c r="AC5869">
        <v>5.8228</v>
      </c>
      <c r="AD5869">
        <v>-1.120320565856</v>
      </c>
      <c r="AE5869">
        <v>5.7913299999999897</v>
      </c>
      <c r="AF5869">
        <v>-3.1745302367651198</v>
      </c>
      <c r="AG5869">
        <v>-1.120320565856</v>
      </c>
      <c r="AH5869">
        <v>7.4111400760702804</v>
      </c>
      <c r="AI5869">
        <v>97.910926244357398</v>
      </c>
      <c r="AJ5869">
        <v>113.18766487001299</v>
      </c>
      <c r="AK5869">
        <v>8.1398868310039099</v>
      </c>
      <c r="AL5869">
        <v>65.651392969646395</v>
      </c>
      <c r="AM5869">
        <v>108.291810909182</v>
      </c>
      <c r="AN5869">
        <v>0.99999999544843898</v>
      </c>
    </row>
    <row r="5870" spans="1:40" x14ac:dyDescent="0.25">
      <c r="A5870" t="str">
        <f>"20190304164523930"</f>
        <v>20190304164523930</v>
      </c>
      <c r="B5870" t="str">
        <f>"1551689123926331"</f>
        <v>1551689123926331</v>
      </c>
      <c r="C5870" t="s">
        <v>40</v>
      </c>
      <c r="D5870">
        <v>5.3072220000000003</v>
      </c>
      <c r="E5870">
        <v>0.45217220000000002</v>
      </c>
      <c r="F5870" t="s">
        <v>49</v>
      </c>
      <c r="G5870">
        <v>-203.03489999999999</v>
      </c>
      <c r="H5870" s="1">
        <v>-5.6299549999999997E-6</v>
      </c>
      <c r="I5870">
        <v>-53.531190000000002</v>
      </c>
      <c r="J5870">
        <v>-208.81180000000001</v>
      </c>
      <c r="K5870">
        <v>1.120328</v>
      </c>
      <c r="L5870">
        <v>-59.332210000000003</v>
      </c>
      <c r="M5870">
        <v>0.92706319999999998</v>
      </c>
      <c r="N5870">
        <v>-1.471839E-2</v>
      </c>
      <c r="O5870">
        <v>0.3746159</v>
      </c>
      <c r="P5870">
        <v>0.70454479999999997</v>
      </c>
      <c r="Q5870">
        <v>0.40597610000000001</v>
      </c>
      <c r="R5870">
        <v>0.5820651</v>
      </c>
      <c r="S5870">
        <v>2.4960779999999998</v>
      </c>
      <c r="T5870">
        <v>-0.46947410000000001</v>
      </c>
      <c r="U5870">
        <v>2.463104</v>
      </c>
      <c r="V5870">
        <v>-0.28536630000000002</v>
      </c>
      <c r="W5870">
        <v>0.4122344</v>
      </c>
      <c r="X5870">
        <v>0.86523340000000004</v>
      </c>
      <c r="Y5870">
        <v>-0.38342939999999998</v>
      </c>
      <c r="Z5870">
        <v>-1.7068259999999998E-2</v>
      </c>
      <c r="AA5870">
        <v>0.92341240000000002</v>
      </c>
      <c r="AB5870">
        <v>34</v>
      </c>
      <c r="AC5870">
        <v>5.7769000000000101</v>
      </c>
      <c r="AD5870">
        <v>-1.120333629955</v>
      </c>
      <c r="AE5870">
        <v>5.8010199999999896</v>
      </c>
      <c r="AF5870">
        <v>-3.1550580291797599</v>
      </c>
      <c r="AG5870">
        <v>-1.120333629955</v>
      </c>
      <c r="AH5870">
        <v>7.3911105138076403</v>
      </c>
      <c r="AI5870">
        <v>97.936356599077797</v>
      </c>
      <c r="AJ5870">
        <v>113.116278346397</v>
      </c>
      <c r="AK5870">
        <v>8.1140651486919708</v>
      </c>
      <c r="AL5870">
        <v>65.654725700680203</v>
      </c>
      <c r="AM5870">
        <v>108.253291598315</v>
      </c>
      <c r="AN5870">
        <v>0.99999998109730404</v>
      </c>
    </row>
    <row r="5871" spans="1:40" x14ac:dyDescent="0.25">
      <c r="A5871" t="str">
        <f>"20190304164523942"</f>
        <v>20190304164523942</v>
      </c>
      <c r="B5871" t="str">
        <f>"1551689123936091"</f>
        <v>1551689123936091</v>
      </c>
      <c r="C5871" t="s">
        <v>40</v>
      </c>
      <c r="D5871">
        <v>5.2930929999999998</v>
      </c>
      <c r="E5871">
        <v>0.4522523</v>
      </c>
      <c r="F5871" t="s">
        <v>49</v>
      </c>
      <c r="G5871">
        <v>-202.88740000000001</v>
      </c>
      <c r="H5871" s="1">
        <v>-5.7012999999999999E-6</v>
      </c>
      <c r="I5871">
        <v>-53.431849999999997</v>
      </c>
      <c r="J5871">
        <v>-208.64330000000001</v>
      </c>
      <c r="K5871">
        <v>1.120323</v>
      </c>
      <c r="L5871">
        <v>-59.258879999999998</v>
      </c>
      <c r="M5871">
        <v>0.92494759999999998</v>
      </c>
      <c r="N5871">
        <v>-1.4679869999999999E-2</v>
      </c>
      <c r="O5871">
        <v>0.37981110000000001</v>
      </c>
      <c r="P5871">
        <v>0.70163719999999996</v>
      </c>
      <c r="Q5871">
        <v>0.40611439999999999</v>
      </c>
      <c r="R5871">
        <v>0.58547119999999997</v>
      </c>
      <c r="S5871">
        <v>2.4844970000000002</v>
      </c>
      <c r="T5871">
        <v>-0.46983269999999999</v>
      </c>
      <c r="U5871">
        <v>2.4744259999999998</v>
      </c>
      <c r="V5871">
        <v>-0.28473300000000001</v>
      </c>
      <c r="W5871">
        <v>0.412356</v>
      </c>
      <c r="X5871">
        <v>0.86538409999999999</v>
      </c>
      <c r="Y5871">
        <v>-0.38255539999999999</v>
      </c>
      <c r="Z5871">
        <v>-1.7857040000000001E-2</v>
      </c>
      <c r="AA5871">
        <v>0.92376000000000003</v>
      </c>
      <c r="AB5871">
        <v>34</v>
      </c>
      <c r="AC5871">
        <v>5.7558999999999898</v>
      </c>
      <c r="AD5871">
        <v>-1.1203287013000001</v>
      </c>
      <c r="AE5871">
        <v>5.8270299999999997</v>
      </c>
      <c r="AF5871">
        <v>-3.1450449226388599</v>
      </c>
      <c r="AG5871">
        <v>-1.1203287013000001</v>
      </c>
      <c r="AH5871">
        <v>7.3994469805801701</v>
      </c>
      <c r="AI5871">
        <v>97.932671862981195</v>
      </c>
      <c r="AJ5871">
        <v>113.027328103291</v>
      </c>
      <c r="AK5871">
        <v>8.1177742998182705</v>
      </c>
      <c r="AL5871">
        <v>65.647078693504994</v>
      </c>
      <c r="AM5871">
        <v>108.21249782726299</v>
      </c>
      <c r="AN5871">
        <v>0.99999999627890501</v>
      </c>
    </row>
    <row r="5872" spans="1:40" x14ac:dyDescent="0.25">
      <c r="A5872" t="str">
        <f>"20190304164523955"</f>
        <v>20190304164523955</v>
      </c>
      <c r="B5872" t="str">
        <f>"1551689123945850"</f>
        <v>1551689123945850</v>
      </c>
      <c r="C5872" t="s">
        <v>40</v>
      </c>
      <c r="D5872">
        <v>5.3051219999999999</v>
      </c>
      <c r="E5872">
        <v>0.45241310000000001</v>
      </c>
      <c r="F5872" t="s">
        <v>49</v>
      </c>
      <c r="G5872">
        <v>-202.73849999999999</v>
      </c>
      <c r="H5872" s="1">
        <v>-5.7746529999999997E-6</v>
      </c>
      <c r="I5872">
        <v>-53.323149999999998</v>
      </c>
      <c r="J5872">
        <v>-208.46119999999999</v>
      </c>
      <c r="K5872">
        <v>1.120301</v>
      </c>
      <c r="L5872">
        <v>-59.178800000000003</v>
      </c>
      <c r="M5872">
        <v>0.92263309999999998</v>
      </c>
      <c r="N5872">
        <v>-1.4621500000000001E-2</v>
      </c>
      <c r="O5872">
        <v>0.38540180000000002</v>
      </c>
      <c r="P5872">
        <v>0.69882089999999997</v>
      </c>
      <c r="Q5872">
        <v>0.40607929999999998</v>
      </c>
      <c r="R5872">
        <v>0.58885399999999999</v>
      </c>
      <c r="S5872">
        <v>2.4729610000000002</v>
      </c>
      <c r="T5872">
        <v>-0.46919670000000002</v>
      </c>
      <c r="U5872">
        <v>2.4859010000000001</v>
      </c>
      <c r="V5872">
        <v>-0.28365220000000002</v>
      </c>
      <c r="W5872">
        <v>0.41230519999999998</v>
      </c>
      <c r="X5872">
        <v>0.86576319999999996</v>
      </c>
      <c r="Y5872">
        <v>-0.38130320000000001</v>
      </c>
      <c r="Z5872">
        <v>-1.868187E-2</v>
      </c>
      <c r="AA5872">
        <v>0.92426129999999995</v>
      </c>
      <c r="AB5872">
        <v>34</v>
      </c>
      <c r="AC5872">
        <v>5.7226999999999997</v>
      </c>
      <c r="AD5872">
        <v>-1.120306774653</v>
      </c>
      <c r="AE5872">
        <v>5.8556499999999998</v>
      </c>
      <c r="AF5872">
        <v>-3.1386570752697498</v>
      </c>
      <c r="AG5872">
        <v>-1.120306774653</v>
      </c>
      <c r="AH5872">
        <v>7.3990109752597499</v>
      </c>
      <c r="AI5872">
        <v>97.935342382581695</v>
      </c>
      <c r="AJ5872">
        <v>112.986634612874</v>
      </c>
      <c r="AK5872">
        <v>8.1149010417557506</v>
      </c>
      <c r="AL5872">
        <v>65.6502745169321</v>
      </c>
      <c r="AM5872">
        <v>108.140479764422</v>
      </c>
      <c r="AN5872">
        <v>1.0000000334930499</v>
      </c>
    </row>
    <row r="5873" spans="1:40" x14ac:dyDescent="0.25">
      <c r="A5873" t="str">
        <f>"20190304164523969"</f>
        <v>20190304164523969</v>
      </c>
      <c r="B5873" t="str">
        <f>"1551689123966347"</f>
        <v>1551689123966347</v>
      </c>
      <c r="C5873" t="s">
        <v>40</v>
      </c>
      <c r="D5873">
        <v>5.3407679999999997</v>
      </c>
      <c r="E5873">
        <v>0.45277329999999999</v>
      </c>
      <c r="F5873" t="s">
        <v>49</v>
      </c>
      <c r="G5873">
        <v>-202.59020000000001</v>
      </c>
      <c r="H5873" s="1">
        <v>-5.8463750000000004E-6</v>
      </c>
      <c r="I5873">
        <v>-53.223149999999997</v>
      </c>
      <c r="J5873">
        <v>-208.27109999999999</v>
      </c>
      <c r="K5873">
        <v>1.1202449999999999</v>
      </c>
      <c r="L5873">
        <v>-59.093350000000001</v>
      </c>
      <c r="M5873">
        <v>0.92011810000000005</v>
      </c>
      <c r="N5873">
        <v>-1.461549E-2</v>
      </c>
      <c r="O5873">
        <v>0.3913682</v>
      </c>
      <c r="P5873">
        <v>0.69568750000000001</v>
      </c>
      <c r="Q5873">
        <v>0.40608850000000002</v>
      </c>
      <c r="R5873">
        <v>0.59254619999999902</v>
      </c>
      <c r="S5873">
        <v>2.4616699999999998</v>
      </c>
      <c r="T5873">
        <v>-0.4697424</v>
      </c>
      <c r="U5873">
        <v>2.4971920000000001</v>
      </c>
      <c r="V5873">
        <v>-0.28258680000000003</v>
      </c>
      <c r="W5873">
        <v>0.41236469999999997</v>
      </c>
      <c r="X5873">
        <v>0.86608309999999999</v>
      </c>
      <c r="Y5873">
        <v>-0.37957839999999998</v>
      </c>
      <c r="Z5873">
        <v>-1.9629520000000001E-2</v>
      </c>
      <c r="AA5873">
        <v>0.92495130000000003</v>
      </c>
      <c r="AB5873">
        <v>34</v>
      </c>
      <c r="AC5873">
        <v>5.6808999999999799</v>
      </c>
      <c r="AD5873">
        <v>-1.1202508463750001</v>
      </c>
      <c r="AE5873">
        <v>5.8701999999999996</v>
      </c>
      <c r="AF5873">
        <v>-3.11962536068962</v>
      </c>
      <c r="AG5873">
        <v>-1.1202508463750001</v>
      </c>
      <c r="AH5873">
        <v>7.3864033586335998</v>
      </c>
      <c r="AI5873">
        <v>97.953541903130997</v>
      </c>
      <c r="AJ5873">
        <v>112.89661935441001</v>
      </c>
      <c r="AK5873">
        <v>8.0960471173465596</v>
      </c>
      <c r="AL5873">
        <v>65.646530093648195</v>
      </c>
      <c r="AM5873">
        <v>108.070540995665</v>
      </c>
      <c r="AN5873">
        <v>0.99999994072296805</v>
      </c>
    </row>
    <row r="5874" spans="1:40" x14ac:dyDescent="0.25">
      <c r="A5874" t="str">
        <f>"20190304164523984"</f>
        <v>20190304164523984</v>
      </c>
      <c r="B5874" t="str">
        <f>"1551689123976107"</f>
        <v>1551689123976107</v>
      </c>
      <c r="C5874" t="s">
        <v>40</v>
      </c>
      <c r="D5874">
        <v>5.4045719999999999</v>
      </c>
      <c r="E5874">
        <v>0.45277329999999999</v>
      </c>
      <c r="F5874" t="s">
        <v>49</v>
      </c>
      <c r="G5874">
        <v>-202.43029999999999</v>
      </c>
      <c r="H5874" s="1">
        <v>-5.9242479999999996E-6</v>
      </c>
      <c r="I5874">
        <v>-53.112000000000002</v>
      </c>
      <c r="J5874">
        <v>-208.0608</v>
      </c>
      <c r="K5874">
        <v>1.1201779999999999</v>
      </c>
      <c r="L5874">
        <v>-58.997160000000001</v>
      </c>
      <c r="M5874">
        <v>0.91723109999999997</v>
      </c>
      <c r="N5874">
        <v>-1.463134E-2</v>
      </c>
      <c r="O5874">
        <v>0.39808680000000002</v>
      </c>
      <c r="P5874">
        <v>0.69308040000000004</v>
      </c>
      <c r="Q5874">
        <v>0.40583540000000001</v>
      </c>
      <c r="R5874">
        <v>0.59576609999999997</v>
      </c>
      <c r="S5874">
        <v>2.4497529999999998</v>
      </c>
      <c r="T5874">
        <v>-0.46985569999999999</v>
      </c>
      <c r="U5874">
        <v>2.5086979999999999</v>
      </c>
      <c r="V5874">
        <v>-0.2801399</v>
      </c>
      <c r="W5874">
        <v>0.41222609999999899</v>
      </c>
      <c r="X5874">
        <v>0.86694369999999998</v>
      </c>
      <c r="Y5874">
        <v>-0.3772432</v>
      </c>
      <c r="Z5874">
        <v>-2.0687710000000002E-2</v>
      </c>
      <c r="AA5874">
        <v>0.92588309999999996</v>
      </c>
      <c r="AB5874">
        <v>34</v>
      </c>
      <c r="AC5874">
        <v>5.6305000000000103</v>
      </c>
      <c r="AD5874">
        <v>-1.1201839242479901</v>
      </c>
      <c r="AE5874">
        <v>5.8851599999999999</v>
      </c>
      <c r="AF5874">
        <v>-3.0983548359617199</v>
      </c>
      <c r="AG5874">
        <v>-1.1201839242479901</v>
      </c>
      <c r="AH5874">
        <v>7.3686948444553497</v>
      </c>
      <c r="AI5874">
        <v>97.9772127907775</v>
      </c>
      <c r="AJ5874">
        <v>112.80555533704801</v>
      </c>
      <c r="AK5874">
        <v>8.0716961305771395</v>
      </c>
      <c r="AL5874">
        <v>65.6552494563077</v>
      </c>
      <c r="AM5874">
        <v>107.907463360519</v>
      </c>
      <c r="AN5874">
        <v>1.0000000500314501</v>
      </c>
    </row>
    <row r="5875" spans="1:40" x14ac:dyDescent="0.25">
      <c r="A5875" t="str">
        <f>"20190304164523996"</f>
        <v>20190304164523996</v>
      </c>
      <c r="B5875" t="str">
        <f>"1551689123985867"</f>
        <v>1551689123985867</v>
      </c>
      <c r="C5875" t="s">
        <v>40</v>
      </c>
      <c r="D5875">
        <v>5.3650589999999996</v>
      </c>
      <c r="E5875">
        <v>0.47242770000000001</v>
      </c>
      <c r="F5875" t="s">
        <v>49</v>
      </c>
      <c r="G5875">
        <v>-202.25790000000001</v>
      </c>
      <c r="H5875" s="1">
        <v>-6.00952999999999E-6</v>
      </c>
      <c r="I5875">
        <v>-52.983789999999999</v>
      </c>
      <c r="J5875">
        <v>-207.9023</v>
      </c>
      <c r="K5875">
        <v>1.1201299999999901</v>
      </c>
      <c r="L5875">
        <v>-58.923740000000002</v>
      </c>
      <c r="M5875">
        <v>0.91499750000000002</v>
      </c>
      <c r="N5875">
        <v>-1.465091E-2</v>
      </c>
      <c r="O5875">
        <v>0.40319329999999998</v>
      </c>
      <c r="P5875">
        <v>0.69061319999999904</v>
      </c>
      <c r="Q5875">
        <v>0.40576509999999999</v>
      </c>
      <c r="R5875">
        <v>0.59867190000000003</v>
      </c>
      <c r="S5875">
        <v>2.43486</v>
      </c>
      <c r="T5875">
        <v>-0.47002050000000001</v>
      </c>
      <c r="U5875">
        <v>2.5231629999999998</v>
      </c>
      <c r="V5875">
        <v>-0.27889219999999998</v>
      </c>
      <c r="W5875">
        <v>0.41222789999999998</v>
      </c>
      <c r="X5875">
        <v>0.86734500000000003</v>
      </c>
      <c r="Y5875">
        <v>-0.3775907</v>
      </c>
      <c r="Z5875">
        <v>-2.1331119999999999E-2</v>
      </c>
      <c r="AA5875">
        <v>0.92572690000000002</v>
      </c>
      <c r="AB5875">
        <v>34</v>
      </c>
      <c r="AC5875">
        <v>5.6443999999999903</v>
      </c>
      <c r="AD5875">
        <v>-1.1201360095299999</v>
      </c>
      <c r="AE5875">
        <v>5.9399499999999996</v>
      </c>
      <c r="AF5875">
        <v>-3.1016333752213101</v>
      </c>
      <c r="AG5875">
        <v>-1.1201360095299999</v>
      </c>
      <c r="AH5875">
        <v>7.4216808594918398</v>
      </c>
      <c r="AI5875">
        <v>97.927792964824306</v>
      </c>
      <c r="AJ5875">
        <v>112.68079229015299</v>
      </c>
      <c r="AK5875">
        <v>8.1213410871776599</v>
      </c>
      <c r="AL5875">
        <v>65.655135606780206</v>
      </c>
      <c r="AM5875">
        <v>107.82503979326199</v>
      </c>
      <c r="AN5875">
        <v>1.0000000248921199</v>
      </c>
    </row>
    <row r="5876" spans="1:40" x14ac:dyDescent="0.25">
      <c r="A5876" t="str">
        <f>"20190304164524007"</f>
        <v>20190304164524007</v>
      </c>
      <c r="B5876" t="str">
        <f>"1551689123995627"</f>
        <v>1551689123995627</v>
      </c>
      <c r="C5876" t="s">
        <v>40</v>
      </c>
      <c r="D5876">
        <v>5.3327039999999997</v>
      </c>
      <c r="E5876">
        <v>0.47718739999999998</v>
      </c>
      <c r="F5876" t="s">
        <v>49</v>
      </c>
      <c r="G5876">
        <v>-202.00239999999999</v>
      </c>
      <c r="H5876" s="1">
        <v>-6.0603990000000002E-6</v>
      </c>
      <c r="I5876">
        <v>-53.2772199999999</v>
      </c>
      <c r="J5876">
        <v>-207.74109999999999</v>
      </c>
      <c r="K5876">
        <v>1.1201139999999901</v>
      </c>
      <c r="L5876">
        <v>-58.847560000000001</v>
      </c>
      <c r="M5876">
        <v>0.91267410000000004</v>
      </c>
      <c r="N5876">
        <v>-1.466862E-2</v>
      </c>
      <c r="O5876">
        <v>0.40842499999999998</v>
      </c>
      <c r="P5876">
        <v>0.68824149999999995</v>
      </c>
      <c r="Q5876">
        <v>0.40561399999999997</v>
      </c>
      <c r="R5876">
        <v>0.60149900000000001</v>
      </c>
      <c r="S5876">
        <v>2.5283660000000001</v>
      </c>
      <c r="T5876">
        <v>-0.48002519999999999</v>
      </c>
      <c r="U5876">
        <v>2.4197690000000001</v>
      </c>
      <c r="V5876">
        <v>-0.27743859999999998</v>
      </c>
      <c r="W5876">
        <v>0.41212969999999999</v>
      </c>
      <c r="X5876">
        <v>0.86785769999999995</v>
      </c>
      <c r="Y5876">
        <v>-0.33552520000000002</v>
      </c>
      <c r="Z5876">
        <v>-2.5924320000000001E-2</v>
      </c>
      <c r="AA5876">
        <v>0.94167449999999997</v>
      </c>
      <c r="AB5876">
        <v>34</v>
      </c>
      <c r="AC5876">
        <v>5.7386999999999899</v>
      </c>
      <c r="AD5876">
        <v>-1.12012006039899</v>
      </c>
      <c r="AE5876">
        <v>5.5703399999999998</v>
      </c>
      <c r="AF5876">
        <v>-2.6876500520937201</v>
      </c>
      <c r="AG5876">
        <v>-1.12012006039899</v>
      </c>
      <c r="AH5876">
        <v>7.3688882985702202</v>
      </c>
      <c r="AI5876">
        <v>98.127155298770305</v>
      </c>
      <c r="AJ5876">
        <v>110.038398367512</v>
      </c>
      <c r="AK5876">
        <v>7.9232977041780197</v>
      </c>
      <c r="AL5876">
        <v>65.6613110813622</v>
      </c>
      <c r="AM5876">
        <v>107.728149344296</v>
      </c>
      <c r="AN5876">
        <v>1.0000000269206599</v>
      </c>
    </row>
    <row r="5877" spans="1:40" x14ac:dyDescent="0.25">
      <c r="A5877" t="str">
        <f>"20190304164524020"</f>
        <v>20190304164524020</v>
      </c>
      <c r="B5877" t="str">
        <f>"1551689124006363"</f>
        <v>1551689124006363</v>
      </c>
      <c r="C5877" t="s">
        <v>40</v>
      </c>
      <c r="D5877">
        <v>5.3344690000000003</v>
      </c>
      <c r="E5877">
        <v>0.47992269999999998</v>
      </c>
      <c r="F5877" t="s">
        <v>49</v>
      </c>
      <c r="G5877">
        <v>-201.7988</v>
      </c>
      <c r="H5877" s="1">
        <v>-6.1459099999999997E-6</v>
      </c>
      <c r="I5877">
        <v>-53.22298</v>
      </c>
      <c r="J5877">
        <v>-207.5848</v>
      </c>
      <c r="K5877">
        <v>1.12012</v>
      </c>
      <c r="L5877">
        <v>-58.772829999999999</v>
      </c>
      <c r="M5877">
        <v>0.91039190000000003</v>
      </c>
      <c r="N5877">
        <v>-1.468296E-2</v>
      </c>
      <c r="O5877">
        <v>0.41348649999999998</v>
      </c>
      <c r="P5877">
        <v>0.68602640000000004</v>
      </c>
      <c r="Q5877">
        <v>0.40571030000000002</v>
      </c>
      <c r="R5877">
        <v>0.60395949999999998</v>
      </c>
      <c r="S5877">
        <v>2.5399630000000002</v>
      </c>
      <c r="T5877">
        <v>-0.4787788</v>
      </c>
      <c r="U5877">
        <v>2.4041440000000001</v>
      </c>
      <c r="V5877">
        <v>-0.27576499999999998</v>
      </c>
      <c r="W5877">
        <v>0.4122691</v>
      </c>
      <c r="X5877">
        <v>0.86832480000000001</v>
      </c>
      <c r="Y5877">
        <v>-0.325202299999999</v>
      </c>
      <c r="Z5877">
        <v>-2.7297950000000001E-2</v>
      </c>
      <c r="AA5877">
        <v>0.94525040000000005</v>
      </c>
      <c r="AB5877">
        <v>34</v>
      </c>
      <c r="AC5877">
        <v>5.7859999999999996</v>
      </c>
      <c r="AD5877">
        <v>-1.12012614591</v>
      </c>
      <c r="AE5877">
        <v>5.5498499999999904</v>
      </c>
      <c r="AF5877">
        <v>-2.6094571435455198</v>
      </c>
      <c r="AG5877">
        <v>-1.12012614591</v>
      </c>
      <c r="AH5877">
        <v>7.4183289741553802</v>
      </c>
      <c r="AI5877">
        <v>98.106626340079998</v>
      </c>
      <c r="AJ5877">
        <v>109.379734586246</v>
      </c>
      <c r="AK5877">
        <v>7.9432709846476497</v>
      </c>
      <c r="AL5877">
        <v>65.652545314021495</v>
      </c>
      <c r="AM5877">
        <v>107.61895157158099</v>
      </c>
      <c r="AN5877">
        <v>1.0000000521674199</v>
      </c>
    </row>
    <row r="5878" spans="1:40" x14ac:dyDescent="0.25">
      <c r="A5878" t="str">
        <f>"20190304164524031"</f>
        <v>20190304164524031</v>
      </c>
      <c r="B5878" t="str">
        <f>"1551689124025883"</f>
        <v>1551689124025883</v>
      </c>
      <c r="C5878" t="s">
        <v>40</v>
      </c>
      <c r="D5878">
        <v>5.2899580000000004</v>
      </c>
      <c r="E5878">
        <v>0.48327959999999898</v>
      </c>
      <c r="F5878" t="s">
        <v>49</v>
      </c>
      <c r="G5878">
        <v>-201.64500000000001</v>
      </c>
      <c r="H5878" s="1">
        <v>-6.2127949999999997E-6</v>
      </c>
      <c r="I5878">
        <v>-53.167450000000002</v>
      </c>
      <c r="J5878">
        <v>-207.42</v>
      </c>
      <c r="K5878">
        <v>1.120153</v>
      </c>
      <c r="L5878">
        <v>-58.692959999999999</v>
      </c>
      <c r="M5878">
        <v>0.90795429999999999</v>
      </c>
      <c r="N5878">
        <v>-1.469444E-2</v>
      </c>
      <c r="O5878">
        <v>0.4188114</v>
      </c>
      <c r="P5878">
        <v>0.68330329999999995</v>
      </c>
      <c r="Q5878">
        <v>0.40608610000000001</v>
      </c>
      <c r="R5878">
        <v>0.60678730000000003</v>
      </c>
      <c r="S5878">
        <v>2.5435180000000002</v>
      </c>
      <c r="T5878">
        <v>-0.47965370000000002</v>
      </c>
      <c r="U5878">
        <v>2.400299</v>
      </c>
      <c r="V5878">
        <v>-0.27440389999999998</v>
      </c>
      <c r="W5878">
        <v>0.41266009999999997</v>
      </c>
      <c r="X5878">
        <v>0.86857019999999996</v>
      </c>
      <c r="Y5878">
        <v>-0.31833620000000001</v>
      </c>
      <c r="Z5878">
        <v>-2.8576919999999999E-2</v>
      </c>
      <c r="AA5878">
        <v>0.94754709999999998</v>
      </c>
      <c r="AB5878">
        <v>34</v>
      </c>
      <c r="AC5878">
        <v>5.7749999999999702</v>
      </c>
      <c r="AD5878">
        <v>-1.120159212795</v>
      </c>
      <c r="AE5878">
        <v>5.5255099999999899</v>
      </c>
      <c r="AF5878">
        <v>-2.5484982386916002</v>
      </c>
      <c r="AG5878">
        <v>-1.120159212795</v>
      </c>
      <c r="AH5878">
        <v>7.4127981482185197</v>
      </c>
      <c r="AI5878">
        <v>98.132625212545193</v>
      </c>
      <c r="AJ5878">
        <v>108.97281937249799</v>
      </c>
      <c r="AK5878">
        <v>7.9182811468686598</v>
      </c>
      <c r="AL5878">
        <v>65.627952635451905</v>
      </c>
      <c r="AM5878">
        <v>107.53268060204</v>
      </c>
      <c r="AN5878">
        <v>1.00000002539762</v>
      </c>
    </row>
    <row r="5879" spans="1:40" x14ac:dyDescent="0.25">
      <c r="A5879" t="str">
        <f>"20190304164524042"</f>
        <v>20190304164524042</v>
      </c>
      <c r="B5879" t="str">
        <f>"1551689124035643"</f>
        <v>1551689124035643</v>
      </c>
      <c r="C5879" t="s">
        <v>40</v>
      </c>
      <c r="D5879">
        <v>5.3185659999999997</v>
      </c>
      <c r="E5879">
        <v>0.48427399999999998</v>
      </c>
      <c r="F5879" t="s">
        <v>49</v>
      </c>
      <c r="G5879">
        <v>-201.42449999999999</v>
      </c>
      <c r="H5879" s="1">
        <v>-6.3137000000000002E-6</v>
      </c>
      <c r="I5879">
        <v>-53.055790000000002</v>
      </c>
      <c r="J5879">
        <v>-207.2816</v>
      </c>
      <c r="K5879">
        <v>1.120188</v>
      </c>
      <c r="L5879">
        <v>-58.624540000000003</v>
      </c>
      <c r="M5879">
        <v>0.90587969999999896</v>
      </c>
      <c r="N5879">
        <v>-1.470043E-2</v>
      </c>
      <c r="O5879">
        <v>0.42327989999999999</v>
      </c>
      <c r="P5879">
        <v>0.68106440000000001</v>
      </c>
      <c r="Q5879">
        <v>0.40672789999999998</v>
      </c>
      <c r="R5879">
        <v>0.60887080000000005</v>
      </c>
      <c r="S5879">
        <v>2.546799</v>
      </c>
      <c r="T5879">
        <v>-0.47582200000000002</v>
      </c>
      <c r="U5879">
        <v>2.3945620000000001</v>
      </c>
      <c r="V5879">
        <v>-0.27299600000000002</v>
      </c>
      <c r="W5879">
        <v>0.41330719999999999</v>
      </c>
      <c r="X5879">
        <v>0.86870619999999998</v>
      </c>
      <c r="Y5879">
        <v>-0.31199840000000001</v>
      </c>
      <c r="Z5879">
        <v>-2.935339E-2</v>
      </c>
      <c r="AA5879">
        <v>0.9496291</v>
      </c>
      <c r="AB5879">
        <v>34</v>
      </c>
      <c r="AC5879">
        <v>5.8571</v>
      </c>
      <c r="AD5879">
        <v>-1.1201943137000001</v>
      </c>
      <c r="AE5879">
        <v>5.5687499999999996</v>
      </c>
      <c r="AF5879">
        <v>-2.51734002056426</v>
      </c>
      <c r="AG5879">
        <v>-1.1201943137000001</v>
      </c>
      <c r="AH5879">
        <v>7.51933764611542</v>
      </c>
      <c r="AI5879">
        <v>98.040891580053398</v>
      </c>
      <c r="AJ5879">
        <v>108.50962627291</v>
      </c>
      <c r="AK5879">
        <v>8.0082629025194301</v>
      </c>
      <c r="AL5879">
        <v>65.58724359787</v>
      </c>
      <c r="AM5879">
        <v>107.44563081623301</v>
      </c>
      <c r="AN5879">
        <v>1.00000005975313</v>
      </c>
    </row>
    <row r="5880" spans="1:40" x14ac:dyDescent="0.25">
      <c r="A5880" t="str">
        <f>"20190304164524054"</f>
        <v>20190304164524054</v>
      </c>
      <c r="B5880" t="str">
        <f>"1551689124046379"</f>
        <v>1551689124046379</v>
      </c>
      <c r="C5880" t="s">
        <v>40</v>
      </c>
      <c r="D5880">
        <v>5.3154050000000002</v>
      </c>
      <c r="E5880">
        <v>0.48500500000000002</v>
      </c>
      <c r="F5880" t="s">
        <v>49</v>
      </c>
      <c r="G5880">
        <v>-201.25829999999999</v>
      </c>
      <c r="H5880" s="1">
        <v>-6.3952649999999997E-6</v>
      </c>
      <c r="I5880">
        <v>-52.936279999999996</v>
      </c>
      <c r="J5880">
        <v>-207.11410000000001</v>
      </c>
      <c r="K5880">
        <v>1.1202490000000001</v>
      </c>
      <c r="L5880">
        <v>-58.541229999999999</v>
      </c>
      <c r="M5880">
        <v>0.903339</v>
      </c>
      <c r="N5880">
        <v>-1.4705650000000001E-2</v>
      </c>
      <c r="O5880">
        <v>0.42867509999999998</v>
      </c>
      <c r="P5880">
        <v>0.67811809999999995</v>
      </c>
      <c r="Q5880">
        <v>0.40731610000000001</v>
      </c>
      <c r="R5880">
        <v>0.61175930000000001</v>
      </c>
      <c r="S5880">
        <v>2.5414430000000001</v>
      </c>
      <c r="T5880">
        <v>-0.47265049999999997</v>
      </c>
      <c r="U5880">
        <v>2.4000849999999998</v>
      </c>
      <c r="V5880">
        <v>-0.27173209999999998</v>
      </c>
      <c r="W5880">
        <v>0.4138867</v>
      </c>
      <c r="X5880">
        <v>0.86882649999999995</v>
      </c>
      <c r="Y5880">
        <v>-0.30848029999999999</v>
      </c>
      <c r="Z5880">
        <v>-3.0065089999999999E-2</v>
      </c>
      <c r="AA5880">
        <v>0.95075549999999998</v>
      </c>
      <c r="AB5880">
        <v>34</v>
      </c>
      <c r="AC5880">
        <v>5.8558000000000101</v>
      </c>
      <c r="AD5880">
        <v>-1.1202553952650001</v>
      </c>
      <c r="AE5880">
        <v>5.6049499999999997</v>
      </c>
      <c r="AF5880">
        <v>-2.5053584593288498</v>
      </c>
      <c r="AG5880">
        <v>-1.1202553952650001</v>
      </c>
      <c r="AH5880">
        <v>7.5491200574437602</v>
      </c>
      <c r="AI5880">
        <v>98.016912432750004</v>
      </c>
      <c r="AJ5880">
        <v>108.359675863099</v>
      </c>
      <c r="AK5880">
        <v>8.0324969220069207</v>
      </c>
      <c r="AL5880">
        <v>65.550774055603299</v>
      </c>
      <c r="AM5880">
        <v>107.367470472777</v>
      </c>
      <c r="AN5880">
        <v>1.00000001085477</v>
      </c>
    </row>
    <row r="5881" spans="1:40" x14ac:dyDescent="0.25">
      <c r="A5881" t="str">
        <f>"20190304164524064"</f>
        <v>20190304164524064</v>
      </c>
      <c r="B5881" t="str">
        <f>"1551689124056139"</f>
        <v>1551689124056139</v>
      </c>
      <c r="C5881" t="s">
        <v>40</v>
      </c>
      <c r="D5881">
        <v>5.309939</v>
      </c>
      <c r="E5881">
        <v>0.4855563</v>
      </c>
      <c r="F5881" t="s">
        <v>49</v>
      </c>
      <c r="G5881">
        <v>-201.08949999999999</v>
      </c>
      <c r="H5881" s="1">
        <v>-6.4795520000000001E-6</v>
      </c>
      <c r="I5881">
        <v>-52.805680000000002</v>
      </c>
      <c r="J5881">
        <v>-206.9742</v>
      </c>
      <c r="K5881">
        <v>1.1203050000000001</v>
      </c>
      <c r="L5881">
        <v>-58.469940000000001</v>
      </c>
      <c r="M5881">
        <v>0.90117349999999996</v>
      </c>
      <c r="N5881">
        <v>-1.470773E-2</v>
      </c>
      <c r="O5881">
        <v>0.43320910000000001</v>
      </c>
      <c r="P5881">
        <v>0.67552659999999998</v>
      </c>
      <c r="Q5881">
        <v>0.40850720000000001</v>
      </c>
      <c r="R5881">
        <v>0.61382879999999995</v>
      </c>
      <c r="S5881">
        <v>2.5321039999999999</v>
      </c>
      <c r="T5881">
        <v>-0.47083540000000002</v>
      </c>
      <c r="U5881">
        <v>2.4106139999999998</v>
      </c>
      <c r="V5881">
        <v>-0.27041310000000002</v>
      </c>
      <c r="W5881">
        <v>0.41506789999999999</v>
      </c>
      <c r="X5881">
        <v>0.86867450000000002</v>
      </c>
      <c r="Y5881">
        <v>-0.30755840000000001</v>
      </c>
      <c r="Z5881">
        <v>-3.0570440000000001E-2</v>
      </c>
      <c r="AA5881">
        <v>0.95103800000000005</v>
      </c>
      <c r="AB5881">
        <v>34</v>
      </c>
      <c r="AC5881">
        <v>5.8846999999999996</v>
      </c>
      <c r="AD5881">
        <v>-1.1203114795519999</v>
      </c>
      <c r="AE5881">
        <v>5.6642599999999899</v>
      </c>
      <c r="AF5881">
        <v>-2.50826311759096</v>
      </c>
      <c r="AG5881">
        <v>-1.1203114795519999</v>
      </c>
      <c r="AH5881">
        <v>7.6145293535867298</v>
      </c>
      <c r="AI5881">
        <v>97.955101496103694</v>
      </c>
      <c r="AJ5881">
        <v>108.232135158989</v>
      </c>
      <c r="AK5881">
        <v>8.0949082116424904</v>
      </c>
      <c r="AL5881">
        <v>65.476407369324306</v>
      </c>
      <c r="AM5881">
        <v>107.2910483062</v>
      </c>
      <c r="AN5881">
        <v>0.99999999660613503</v>
      </c>
    </row>
    <row r="5882" spans="1:40" x14ac:dyDescent="0.25">
      <c r="A5882" t="str">
        <f>"20190304164524074"</f>
        <v>20190304164524074</v>
      </c>
      <c r="B5882" t="str">
        <f>"1551689124065898"</f>
        <v>1551689124065898</v>
      </c>
      <c r="C5882" t="s">
        <v>40</v>
      </c>
      <c r="D5882">
        <v>5.3326419999999999</v>
      </c>
      <c r="E5882">
        <v>0.48605920000000002</v>
      </c>
      <c r="F5882" t="s">
        <v>49</v>
      </c>
      <c r="G5882">
        <v>-200.91309999999999</v>
      </c>
      <c r="H5882" s="1">
        <v>-6.568996E-6</v>
      </c>
      <c r="I5882">
        <v>-52.660269999999997</v>
      </c>
      <c r="J5882">
        <v>-206.8458</v>
      </c>
      <c r="K5882">
        <v>1.120368</v>
      </c>
      <c r="L5882">
        <v>-58.404420000000002</v>
      </c>
      <c r="M5882">
        <v>0.89916469999999904</v>
      </c>
      <c r="N5882">
        <v>-1.4709069999999999E-2</v>
      </c>
      <c r="O5882">
        <v>0.4373631</v>
      </c>
      <c r="P5882">
        <v>0.67304989999999998</v>
      </c>
      <c r="Q5882">
        <v>0.40985630000000001</v>
      </c>
      <c r="R5882">
        <v>0.61564750000000001</v>
      </c>
      <c r="S5882">
        <v>2.524429</v>
      </c>
      <c r="T5882">
        <v>-0.46661200000000003</v>
      </c>
      <c r="U5882">
        <v>2.4197389999999999</v>
      </c>
      <c r="V5882">
        <v>-0.26918340000000002</v>
      </c>
      <c r="W5882">
        <v>0.41640670000000002</v>
      </c>
      <c r="X5882">
        <v>0.86841569999999901</v>
      </c>
      <c r="Y5882">
        <v>-0.30643189999999998</v>
      </c>
      <c r="Z5882">
        <v>-3.0831879999999999E-2</v>
      </c>
      <c r="AA5882">
        <v>0.95139309999999999</v>
      </c>
      <c r="AB5882">
        <v>34</v>
      </c>
      <c r="AC5882">
        <v>5.9327000000000103</v>
      </c>
      <c r="AD5882">
        <v>-1.1203745689960001</v>
      </c>
      <c r="AE5882">
        <v>5.7441499999999897</v>
      </c>
      <c r="AF5882">
        <v>-2.5240105301318398</v>
      </c>
      <c r="AG5882">
        <v>-1.1203745689960001</v>
      </c>
      <c r="AH5882">
        <v>7.7057598600458199</v>
      </c>
      <c r="AI5882">
        <v>97.866815252609697</v>
      </c>
      <c r="AJ5882">
        <v>108.13613406158601</v>
      </c>
      <c r="AK5882">
        <v>8.1856339615061398</v>
      </c>
      <c r="AL5882">
        <v>65.392066562336097</v>
      </c>
      <c r="AM5882">
        <v>107.221903247524</v>
      </c>
      <c r="AN5882">
        <v>1.0000000353234599</v>
      </c>
    </row>
    <row r="5883" spans="1:40" x14ac:dyDescent="0.25">
      <c r="A5883" t="str">
        <f>"20190304164524085"</f>
        <v>20190304164524085</v>
      </c>
      <c r="B5883" t="str">
        <f>"1551689124075659"</f>
        <v>1551689124075659</v>
      </c>
      <c r="C5883" t="s">
        <v>40</v>
      </c>
      <c r="D5883">
        <v>5.3293179999999998</v>
      </c>
      <c r="E5883">
        <v>0.48650290000000002</v>
      </c>
      <c r="F5883" t="s">
        <v>49</v>
      </c>
      <c r="G5883">
        <v>-200.7569</v>
      </c>
      <c r="H5883" s="1">
        <v>-6.6488069999999997E-6</v>
      </c>
      <c r="I5883">
        <v>-52.527729999999998</v>
      </c>
      <c r="J5883">
        <v>-206.70240000000001</v>
      </c>
      <c r="K5883">
        <v>1.1204339999999999</v>
      </c>
      <c r="L5883">
        <v>-58.329529999999998</v>
      </c>
      <c r="M5883">
        <v>0.896868</v>
      </c>
      <c r="N5883">
        <v>-1.471165E-2</v>
      </c>
      <c r="O5883">
        <v>0.44205359999999999</v>
      </c>
      <c r="P5883">
        <v>0.67004410000000003</v>
      </c>
      <c r="Q5883">
        <v>0.41134860000000001</v>
      </c>
      <c r="R5883">
        <v>0.61792669999999905</v>
      </c>
      <c r="S5883">
        <v>2.5171359999999998</v>
      </c>
      <c r="T5883">
        <v>-0.46316619999999997</v>
      </c>
      <c r="U5883">
        <v>2.429443</v>
      </c>
      <c r="V5883">
        <v>-0.2680824</v>
      </c>
      <c r="W5883">
        <v>0.41788540000000002</v>
      </c>
      <c r="X5883">
        <v>0.86804590000000004</v>
      </c>
      <c r="Y5883">
        <v>-0.30477270000000001</v>
      </c>
      <c r="Z5883">
        <v>-3.1244959999999999E-2</v>
      </c>
      <c r="AA5883">
        <v>0.95191250000000005</v>
      </c>
      <c r="AB5883">
        <v>34</v>
      </c>
      <c r="AC5883">
        <v>5.9455000000000098</v>
      </c>
      <c r="AD5883">
        <v>-1.120440648807</v>
      </c>
      <c r="AE5883">
        <v>5.8018000000000001</v>
      </c>
      <c r="AF5883">
        <v>-2.52948288808753</v>
      </c>
      <c r="AG5883">
        <v>-1.120440648807</v>
      </c>
      <c r="AH5883">
        <v>7.75678299004311</v>
      </c>
      <c r="AI5883">
        <v>97.8194690290848</v>
      </c>
      <c r="AJ5883">
        <v>108.061120434891</v>
      </c>
      <c r="AK5883">
        <v>8.2353720792231897</v>
      </c>
      <c r="AL5883">
        <v>65.298845098103996</v>
      </c>
      <c r="AM5883">
        <v>107.16248531965201</v>
      </c>
      <c r="AN5883">
        <v>1.0000000326148599</v>
      </c>
    </row>
    <row r="5884" spans="1:40" x14ac:dyDescent="0.25">
      <c r="A5884" t="str">
        <f>"20190304164524095"</f>
        <v>20190304164524095</v>
      </c>
      <c r="B5884" t="str">
        <f>"1551689124086396"</f>
        <v>1551689124086396</v>
      </c>
      <c r="C5884" t="s">
        <v>40</v>
      </c>
      <c r="D5884">
        <v>5.3188129999999996</v>
      </c>
      <c r="E5884">
        <v>0.48684430000000001</v>
      </c>
      <c r="F5884" t="s">
        <v>49</v>
      </c>
      <c r="G5884">
        <v>-200.5821</v>
      </c>
      <c r="H5884" s="1">
        <v>-6.73838E-6</v>
      </c>
      <c r="I5884">
        <v>-52.377929999999999</v>
      </c>
      <c r="J5884">
        <v>-206.571</v>
      </c>
      <c r="K5884">
        <v>1.120495</v>
      </c>
      <c r="L5884">
        <v>-58.260680000000001</v>
      </c>
      <c r="M5884">
        <v>0.89473689999999995</v>
      </c>
      <c r="N5884">
        <v>-1.4713779999999999E-2</v>
      </c>
      <c r="O5884">
        <v>0.4463512</v>
      </c>
      <c r="P5884">
        <v>0.66711860000000001</v>
      </c>
      <c r="Q5884">
        <v>0.413045</v>
      </c>
      <c r="R5884">
        <v>0.61995699999999998</v>
      </c>
      <c r="S5884">
        <v>2.5091399999999999</v>
      </c>
      <c r="T5884">
        <v>-0.45934629999999999</v>
      </c>
      <c r="U5884">
        <v>2.439972</v>
      </c>
      <c r="V5884">
        <v>-0.26710420000000001</v>
      </c>
      <c r="W5884">
        <v>0.41956589999999999</v>
      </c>
      <c r="X5884">
        <v>0.86753670000000005</v>
      </c>
      <c r="Y5884">
        <v>-0.30379929999999999</v>
      </c>
      <c r="Z5884">
        <v>-3.1514880000000002E-2</v>
      </c>
      <c r="AA5884">
        <v>0.95221469999999997</v>
      </c>
      <c r="AB5884">
        <v>34</v>
      </c>
      <c r="AC5884">
        <v>5.9889000000000001</v>
      </c>
      <c r="AD5884">
        <v>-1.12050173838</v>
      </c>
      <c r="AE5884">
        <v>5.8827499999999997</v>
      </c>
      <c r="AF5884">
        <v>-2.5452955020230199</v>
      </c>
      <c r="AG5884">
        <v>-1.12050173838</v>
      </c>
      <c r="AH5884">
        <v>7.8453577014226301</v>
      </c>
      <c r="AI5884">
        <v>97.736421815027995</v>
      </c>
      <c r="AJ5884">
        <v>107.97479055597201</v>
      </c>
      <c r="AK5884">
        <v>8.32368252647845</v>
      </c>
      <c r="AL5884">
        <v>65.192817662192795</v>
      </c>
      <c r="AM5884">
        <v>107.112974683038</v>
      </c>
      <c r="AN5884">
        <v>1.00000006197366</v>
      </c>
    </row>
    <row r="5885" spans="1:40" x14ac:dyDescent="0.25">
      <c r="A5885" t="str">
        <f>"20190304164524105"</f>
        <v>20190304164524105</v>
      </c>
      <c r="B5885" t="str">
        <f>"1551689124096156"</f>
        <v>1551689124096156</v>
      </c>
      <c r="C5885" t="s">
        <v>40</v>
      </c>
      <c r="D5885">
        <v>5.3294119999999996</v>
      </c>
      <c r="E5885">
        <v>0.4872186</v>
      </c>
      <c r="F5885" t="s">
        <v>49</v>
      </c>
      <c r="G5885">
        <v>-200.3981</v>
      </c>
      <c r="H5885" s="1">
        <v>-6.8335330000000002E-6</v>
      </c>
      <c r="I5885">
        <v>-52.21454</v>
      </c>
      <c r="J5885">
        <v>-206.4248</v>
      </c>
      <c r="K5885">
        <v>1.1205510000000001</v>
      </c>
      <c r="L5885">
        <v>-58.182340000000003</v>
      </c>
      <c r="M5885">
        <v>0.89230169999999998</v>
      </c>
      <c r="N5885">
        <v>-1.4718490000000001E-2</v>
      </c>
      <c r="O5885">
        <v>0.45119949999999998</v>
      </c>
      <c r="P5885">
        <v>0.66329469999999902</v>
      </c>
      <c r="Q5885">
        <v>0.414877</v>
      </c>
      <c r="R5885">
        <v>0.62282999999999999</v>
      </c>
      <c r="S5885">
        <v>2.501328</v>
      </c>
      <c r="T5885">
        <v>-0.45403729999999998</v>
      </c>
      <c r="U5885">
        <v>2.449951</v>
      </c>
      <c r="V5885">
        <v>-0.26674740000000002</v>
      </c>
      <c r="W5885">
        <v>0.42136699999999999</v>
      </c>
      <c r="X5885">
        <v>0.86677320000000002</v>
      </c>
      <c r="Y5885">
        <v>-0.30208610000000002</v>
      </c>
      <c r="Z5885">
        <v>-3.1763600000000003E-2</v>
      </c>
      <c r="AA5885">
        <v>0.95275129999999997</v>
      </c>
      <c r="AB5885">
        <v>34</v>
      </c>
      <c r="AC5885">
        <v>6.0266999999999999</v>
      </c>
      <c r="AD5885">
        <v>-1.120557833533</v>
      </c>
      <c r="AE5885">
        <v>5.9678000000000004</v>
      </c>
      <c r="AF5885">
        <v>-2.5614066726799098</v>
      </c>
      <c r="AG5885">
        <v>-1.120557833533</v>
      </c>
      <c r="AH5885">
        <v>7.9327108213613204</v>
      </c>
      <c r="AI5885">
        <v>97.656039765725197</v>
      </c>
      <c r="AJ5885">
        <v>107.894838752135</v>
      </c>
      <c r="AK5885">
        <v>8.4109663521193792</v>
      </c>
      <c r="AL5885">
        <v>65.079079355505201</v>
      </c>
      <c r="AM5885">
        <v>107.105624637444</v>
      </c>
      <c r="AN5885">
        <v>1.0000000521669901</v>
      </c>
    </row>
    <row r="5886" spans="1:40" x14ac:dyDescent="0.25">
      <c r="A5886" t="str">
        <f>"20190304164524118"</f>
        <v>20190304164524118</v>
      </c>
      <c r="B5886" t="str">
        <f>"1551689124105915"</f>
        <v>1551689124105915</v>
      </c>
      <c r="C5886" t="s">
        <v>40</v>
      </c>
      <c r="D5886">
        <v>5.3156040000000004</v>
      </c>
      <c r="E5886">
        <v>0.48749009999999998</v>
      </c>
      <c r="F5886" t="s">
        <v>49</v>
      </c>
      <c r="G5886">
        <v>-200.19210000000001</v>
      </c>
      <c r="H5886" s="1">
        <v>-6.9413849999999999E-6</v>
      </c>
      <c r="I5886">
        <v>-52.023139999999998</v>
      </c>
      <c r="J5886">
        <v>-206.2654</v>
      </c>
      <c r="K5886">
        <v>1.120614</v>
      </c>
      <c r="L5886">
        <v>-58.096249999999998</v>
      </c>
      <c r="M5886">
        <v>0.88959849999999996</v>
      </c>
      <c r="N5886">
        <v>-1.472451E-2</v>
      </c>
      <c r="O5886">
        <v>0.45650600000000002</v>
      </c>
      <c r="P5886">
        <v>0.65922219999999998</v>
      </c>
      <c r="Q5886">
        <v>0.41661239999999999</v>
      </c>
      <c r="R5886">
        <v>0.62598750000000003</v>
      </c>
      <c r="S5886">
        <v>2.4912869999999998</v>
      </c>
      <c r="T5886">
        <v>-0.44790219999999997</v>
      </c>
      <c r="U5886">
        <v>2.4619140000000002</v>
      </c>
      <c r="V5886">
        <v>-0.26630989999999999</v>
      </c>
      <c r="W5886">
        <v>0.42307440000000002</v>
      </c>
      <c r="X5886">
        <v>0.86607579999999995</v>
      </c>
      <c r="Y5886">
        <v>-0.30067059999999901</v>
      </c>
      <c r="Z5886">
        <v>-3.195692E-2</v>
      </c>
      <c r="AA5886">
        <v>0.9531925</v>
      </c>
      <c r="AB5886">
        <v>34</v>
      </c>
      <c r="AC5886">
        <v>6.0732999999999802</v>
      </c>
      <c r="AD5886">
        <v>-1.1206209413849999</v>
      </c>
      <c r="AE5886">
        <v>6.07310999999999</v>
      </c>
      <c r="AF5886">
        <v>-2.5863871449882998</v>
      </c>
      <c r="AG5886">
        <v>-1.1206209413849999</v>
      </c>
      <c r="AH5886">
        <v>8.0392391325546306</v>
      </c>
      <c r="AI5886">
        <v>97.558744463300499</v>
      </c>
      <c r="AJ5886">
        <v>107.83404188707399</v>
      </c>
      <c r="AK5886">
        <v>8.5190701128954895</v>
      </c>
      <c r="AL5886">
        <v>64.971162759701002</v>
      </c>
      <c r="AM5886">
        <v>107.09215473424</v>
      </c>
      <c r="AN5886">
        <v>1.0000001010594901</v>
      </c>
    </row>
    <row r="5887" spans="1:40" x14ac:dyDescent="0.25">
      <c r="A5887" t="str">
        <f>"20190304164524130"</f>
        <v>20190304164524130</v>
      </c>
      <c r="B5887" t="str">
        <f>"1551689124126411"</f>
        <v>1551689124126411</v>
      </c>
      <c r="C5887" t="s">
        <v>40</v>
      </c>
      <c r="D5887">
        <v>5.3083210000000003</v>
      </c>
      <c r="E5887">
        <v>0.48793419999999998</v>
      </c>
      <c r="F5887" t="s">
        <v>49</v>
      </c>
      <c r="G5887">
        <v>-199.99100000000001</v>
      </c>
      <c r="H5887" s="1">
        <v>-7.0467620000000002E-6</v>
      </c>
      <c r="I5887">
        <v>-51.835769999999997</v>
      </c>
      <c r="J5887">
        <v>-206.1121</v>
      </c>
      <c r="K5887">
        <v>1.1206689999999999</v>
      </c>
      <c r="L5887">
        <v>-58.012079999999997</v>
      </c>
      <c r="M5887">
        <v>0.88693549999999999</v>
      </c>
      <c r="N5887">
        <v>-1.4732250000000001E-2</v>
      </c>
      <c r="O5887">
        <v>0.46165830000000002</v>
      </c>
      <c r="P5887">
        <v>0.65532519999999905</v>
      </c>
      <c r="Q5887">
        <v>0.41793590000000003</v>
      </c>
      <c r="R5887">
        <v>0.62918879999999999</v>
      </c>
      <c r="S5887">
        <v>2.4805450000000002</v>
      </c>
      <c r="T5887">
        <v>-0.44302940000000002</v>
      </c>
      <c r="U5887">
        <v>2.4750369999999999</v>
      </c>
      <c r="V5887">
        <v>-0.26596760000000003</v>
      </c>
      <c r="W5887">
        <v>0.42437570000000002</v>
      </c>
      <c r="X5887">
        <v>0.86554399999999998</v>
      </c>
      <c r="Y5887">
        <v>-0.29975410000000002</v>
      </c>
      <c r="Z5887">
        <v>-3.2186069999999997E-2</v>
      </c>
      <c r="AA5887">
        <v>0.95347340000000003</v>
      </c>
      <c r="AB5887">
        <v>34</v>
      </c>
      <c r="AC5887">
        <v>6.12110000000001</v>
      </c>
      <c r="AD5887">
        <v>-1.1206760467620001</v>
      </c>
      <c r="AE5887">
        <v>6.17631</v>
      </c>
      <c r="AF5887">
        <v>-2.6090844798192299</v>
      </c>
      <c r="AG5887">
        <v>-1.1206760467620001</v>
      </c>
      <c r="AH5887">
        <v>8.1459647261897707</v>
      </c>
      <c r="AI5887">
        <v>97.464266072208602</v>
      </c>
      <c r="AJ5887">
        <v>107.759828443659</v>
      </c>
      <c r="AK5887">
        <v>8.6267014521743892</v>
      </c>
      <c r="AL5887">
        <v>64.888845201418107</v>
      </c>
      <c r="AM5887">
        <v>107.081342043327</v>
      </c>
      <c r="AN5887">
        <v>0.99999995746812398</v>
      </c>
    </row>
    <row r="5888" spans="1:40" x14ac:dyDescent="0.25">
      <c r="A5888" t="str">
        <f>"20190304164524144"</f>
        <v>20190304164524144</v>
      </c>
      <c r="B5888" t="str">
        <f>"1551689124136171"</f>
        <v>1551689124136171</v>
      </c>
      <c r="C5888" t="s">
        <v>40</v>
      </c>
      <c r="D5888">
        <v>5.3225259999999999</v>
      </c>
      <c r="E5888">
        <v>0.4881818</v>
      </c>
      <c r="F5888" t="s">
        <v>49</v>
      </c>
      <c r="G5888">
        <v>-199.86019999999999</v>
      </c>
      <c r="H5888" s="1">
        <v>-1.031676E-5</v>
      </c>
      <c r="I5888">
        <v>-51.72054</v>
      </c>
      <c r="J5888">
        <v>-205.9222</v>
      </c>
      <c r="K5888">
        <v>1.120733</v>
      </c>
      <c r="L5888">
        <v>-57.90598</v>
      </c>
      <c r="M5888">
        <v>0.88354840000000001</v>
      </c>
      <c r="N5888">
        <v>-1.4744230000000001E-2</v>
      </c>
      <c r="O5888">
        <v>0.46810770000000002</v>
      </c>
      <c r="P5888">
        <v>0.65053589999999994</v>
      </c>
      <c r="Q5888">
        <v>0.41889910000000002</v>
      </c>
      <c r="R5888">
        <v>0.63350340000000005</v>
      </c>
      <c r="S5888">
        <v>2.472</v>
      </c>
      <c r="T5888">
        <v>-0.44312079999999998</v>
      </c>
      <c r="U5888">
        <v>2.4877009999999999</v>
      </c>
      <c r="V5888">
        <v>-0.26574350000000002</v>
      </c>
      <c r="W5888">
        <v>0.42531540000000001</v>
      </c>
      <c r="X5888">
        <v>0.86515149999999996</v>
      </c>
      <c r="Y5888">
        <v>-0.29693340000000001</v>
      </c>
      <c r="Z5888">
        <v>-3.3129539999999999E-2</v>
      </c>
      <c r="AA5888">
        <v>0.95432340000000004</v>
      </c>
      <c r="AB5888">
        <v>34</v>
      </c>
      <c r="AC5888">
        <v>6.06200000000001</v>
      </c>
      <c r="AD5888">
        <v>-1.1207433167600001</v>
      </c>
      <c r="AE5888">
        <v>6.1854399999999998</v>
      </c>
      <c r="AF5888">
        <v>-2.5844731624184201</v>
      </c>
      <c r="AG5888">
        <v>-1.1207433167600001</v>
      </c>
      <c r="AH5888">
        <v>8.1165017710257494</v>
      </c>
      <c r="AI5888">
        <v>97.495512695741397</v>
      </c>
      <c r="AJ5888">
        <v>107.66262242852</v>
      </c>
      <c r="AK5888">
        <v>8.5914590209339501</v>
      </c>
      <c r="AL5888">
        <v>64.829370023649801</v>
      </c>
      <c r="AM5888">
        <v>107.07507932534899</v>
      </c>
      <c r="AN5888">
        <v>0.99999995761082905</v>
      </c>
    </row>
    <row r="5889" spans="1:40" x14ac:dyDescent="0.25">
      <c r="A5889" t="str">
        <f>"20190304164524158"</f>
        <v>20190304164524158</v>
      </c>
      <c r="B5889" t="str">
        <f>"1551689124145930"</f>
        <v>1551689124145930</v>
      </c>
      <c r="C5889" t="s">
        <v>40</v>
      </c>
      <c r="D5889">
        <v>5.282527</v>
      </c>
      <c r="E5889">
        <v>0.4881818</v>
      </c>
      <c r="F5889" t="s">
        <v>49</v>
      </c>
      <c r="G5889">
        <v>-199.69370000000001</v>
      </c>
      <c r="H5889" s="1">
        <v>-1.035554E-5</v>
      </c>
      <c r="I5889">
        <v>-51.556699999999999</v>
      </c>
      <c r="J5889">
        <v>-205.75200000000001</v>
      </c>
      <c r="K5889">
        <v>1.1207849999999999</v>
      </c>
      <c r="L5889">
        <v>-57.809629999999999</v>
      </c>
      <c r="M5889">
        <v>0.88044359999999999</v>
      </c>
      <c r="N5889">
        <v>-1.475594E-2</v>
      </c>
      <c r="O5889">
        <v>0.47392139999999999</v>
      </c>
      <c r="P5889">
        <v>0.64605310000000005</v>
      </c>
      <c r="Q5889">
        <v>0.4194408</v>
      </c>
      <c r="R5889">
        <v>0.63771840000000002</v>
      </c>
      <c r="S5889">
        <v>2.4570919999999998</v>
      </c>
      <c r="T5889">
        <v>-0.44212869999999999</v>
      </c>
      <c r="U5889">
        <v>2.5047609999999998</v>
      </c>
      <c r="V5889">
        <v>-0.26589040000000003</v>
      </c>
      <c r="W5889">
        <v>0.42583149999999997</v>
      </c>
      <c r="X5889">
        <v>0.86485249999999902</v>
      </c>
      <c r="Y5889">
        <v>-0.29681299999999999</v>
      </c>
      <c r="Z5889">
        <v>-3.3726510000000001E-2</v>
      </c>
      <c r="AA5889">
        <v>0.95433990000000002</v>
      </c>
      <c r="AB5889">
        <v>34</v>
      </c>
      <c r="AC5889">
        <v>6.0583</v>
      </c>
      <c r="AD5889">
        <v>-1.1207953555399901</v>
      </c>
      <c r="AE5889">
        <v>6.2529300000000001</v>
      </c>
      <c r="AF5889">
        <v>-2.5915342552612102</v>
      </c>
      <c r="AG5889">
        <v>-1.1207953555399901</v>
      </c>
      <c r="AH5889">
        <v>8.1630152607616893</v>
      </c>
      <c r="AI5889">
        <v>97.455647051224801</v>
      </c>
      <c r="AJ5889">
        <v>107.61322082474</v>
      </c>
      <c r="AK5889">
        <v>8.6375372747456591</v>
      </c>
      <c r="AL5889">
        <v>64.796694236241805</v>
      </c>
      <c r="AM5889">
        <v>107.089531051604</v>
      </c>
      <c r="AN5889">
        <v>1.00000000898032</v>
      </c>
    </row>
    <row r="5890" spans="1:40" x14ac:dyDescent="0.25">
      <c r="A5890" t="str">
        <f>"20190304164524175"</f>
        <v>20190304164524175</v>
      </c>
      <c r="B5890" t="str">
        <f>"1551689124165453"</f>
        <v>1551689124165453</v>
      </c>
      <c r="C5890" t="s">
        <v>40</v>
      </c>
      <c r="D5890">
        <v>5.4558650000000002</v>
      </c>
      <c r="E5890">
        <v>0.489342</v>
      </c>
      <c r="F5890" t="s">
        <v>49</v>
      </c>
      <c r="G5890">
        <v>-199.53489999999999</v>
      </c>
      <c r="H5890" s="1">
        <v>-1.0396279999999999E-5</v>
      </c>
      <c r="I5890">
        <v>-51.389710000000001</v>
      </c>
      <c r="J5890">
        <v>-205.53270000000001</v>
      </c>
      <c r="K5890">
        <v>1.120841</v>
      </c>
      <c r="L5890">
        <v>-57.683169999999997</v>
      </c>
      <c r="M5890">
        <v>0.8763341</v>
      </c>
      <c r="N5890">
        <v>-1.477239E-2</v>
      </c>
      <c r="O5890">
        <v>0.4814773</v>
      </c>
      <c r="P5890">
        <v>0.6399726</v>
      </c>
      <c r="Q5890">
        <v>0.41930230000000002</v>
      </c>
      <c r="R5890">
        <v>0.64391049999999905</v>
      </c>
      <c r="S5890">
        <v>2.4411010000000002</v>
      </c>
      <c r="T5890">
        <v>-0.44007000000000002</v>
      </c>
      <c r="U5890">
        <v>2.520721</v>
      </c>
      <c r="V5890">
        <v>-0.26679350000000002</v>
      </c>
      <c r="W5890">
        <v>0.42564940000000001</v>
      </c>
      <c r="X5890">
        <v>0.86466399999999999</v>
      </c>
      <c r="Y5890">
        <v>-0.29478870000000001</v>
      </c>
      <c r="Z5890">
        <v>-3.4566899999999998E-2</v>
      </c>
      <c r="AA5890">
        <v>0.95493700000000004</v>
      </c>
      <c r="AB5890">
        <v>34</v>
      </c>
      <c r="AC5890">
        <v>5.9978000000000096</v>
      </c>
      <c r="AD5890">
        <v>-1.12085139628</v>
      </c>
      <c r="AE5890">
        <v>6.2934599999999898</v>
      </c>
      <c r="AF5890">
        <v>-2.5846930431026598</v>
      </c>
      <c r="AG5890">
        <v>-1.12085139628</v>
      </c>
      <c r="AH5890">
        <v>8.1516425653949707</v>
      </c>
      <c r="AI5890">
        <v>97.467143960926194</v>
      </c>
      <c r="AJ5890">
        <v>107.59258990118001</v>
      </c>
      <c r="AK5890">
        <v>8.6247447784595401</v>
      </c>
      <c r="AL5890">
        <v>64.808224981085402</v>
      </c>
      <c r="AM5890">
        <v>107.147696241738</v>
      </c>
      <c r="AN5890">
        <v>1.0000000081292999</v>
      </c>
    </row>
    <row r="5891" spans="1:40" x14ac:dyDescent="0.25">
      <c r="A5891" t="str">
        <f>"20190304164524185"</f>
        <v>20190304164524185</v>
      </c>
      <c r="B5891" t="str">
        <f>"1551689124176187"</f>
        <v>1551689124176187</v>
      </c>
      <c r="C5891" t="s">
        <v>40</v>
      </c>
      <c r="D5891">
        <v>5.4340780000000004</v>
      </c>
      <c r="E5891">
        <v>0.44839669999999998</v>
      </c>
      <c r="F5891" t="s">
        <v>49</v>
      </c>
      <c r="G5891">
        <v>-199.97380000000001</v>
      </c>
      <c r="H5891" s="1">
        <v>-7.0477159999999999E-6</v>
      </c>
      <c r="I5891">
        <v>-51.871339999999996</v>
      </c>
      <c r="J5891">
        <v>-205.3904</v>
      </c>
      <c r="K5891">
        <v>1.1208720000000001</v>
      </c>
      <c r="L5891">
        <v>-57.599299999999999</v>
      </c>
      <c r="M5891">
        <v>0.87359730000000002</v>
      </c>
      <c r="N5891">
        <v>-1.47834E-2</v>
      </c>
      <c r="O5891">
        <v>0.4864251</v>
      </c>
      <c r="P5891">
        <v>0.63595729999999995</v>
      </c>
      <c r="Q5891">
        <v>0.41827989999999998</v>
      </c>
      <c r="R5891">
        <v>0.64853700000000003</v>
      </c>
      <c r="S5891">
        <v>2.4417110000000002</v>
      </c>
      <c r="T5891">
        <v>-0.49232890000000001</v>
      </c>
      <c r="U5891">
        <v>2.552826</v>
      </c>
      <c r="V5891">
        <v>-0.26786480000000001</v>
      </c>
      <c r="W5891">
        <v>0.42459419999999998</v>
      </c>
      <c r="X5891">
        <v>0.86485159999999905</v>
      </c>
      <c r="Y5891">
        <v>-0.29547610000000002</v>
      </c>
      <c r="Z5891">
        <v>-3.9990959999999999E-2</v>
      </c>
      <c r="AA5891">
        <v>0.95451280000000005</v>
      </c>
      <c r="AB5891">
        <v>34</v>
      </c>
      <c r="AC5891">
        <v>5.4165999999999803</v>
      </c>
      <c r="AD5891">
        <v>-1.12087904771599</v>
      </c>
      <c r="AE5891">
        <v>5.7279599999999897</v>
      </c>
      <c r="AF5891">
        <v>-2.32246923114596</v>
      </c>
      <c r="AG5891">
        <v>-1.12087904771599</v>
      </c>
      <c r="AH5891">
        <v>7.3699843545201604</v>
      </c>
      <c r="AI5891">
        <v>98.253484354712398</v>
      </c>
      <c r="AJ5891">
        <v>107.490963153725</v>
      </c>
      <c r="AK5891">
        <v>7.8081305416277704</v>
      </c>
      <c r="AL5891">
        <v>64.875020716940696</v>
      </c>
      <c r="AM5891">
        <v>107.20897784101</v>
      </c>
      <c r="AN5891">
        <v>1.0000000378876099</v>
      </c>
    </row>
    <row r="5892" spans="1:40" x14ac:dyDescent="0.25">
      <c r="A5892" t="str">
        <f>"20190304164524196"</f>
        <v>20190304164524196</v>
      </c>
      <c r="B5892" t="str">
        <f>"1551689124185947"</f>
        <v>1551689124185947</v>
      </c>
      <c r="C5892" t="s">
        <v>40</v>
      </c>
      <c r="D5892">
        <v>5.3076080000000001</v>
      </c>
      <c r="E5892">
        <v>0.4389826</v>
      </c>
      <c r="F5892" t="s">
        <v>49</v>
      </c>
      <c r="G5892">
        <v>-199.33609999999999</v>
      </c>
      <c r="H5892" s="1">
        <v>-3.2542760000000001E-6</v>
      </c>
      <c r="I5892">
        <v>-49.850749999999998</v>
      </c>
      <c r="J5892">
        <v>-205.2525</v>
      </c>
      <c r="K5892">
        <v>1.1209009999999999</v>
      </c>
      <c r="L5892">
        <v>-57.517519999999998</v>
      </c>
      <c r="M5892">
        <v>0.87090889999999999</v>
      </c>
      <c r="N5892">
        <v>-1.479369E-2</v>
      </c>
      <c r="O5892">
        <v>0.49122179999999999</v>
      </c>
      <c r="P5892">
        <v>0.63182090000000002</v>
      </c>
      <c r="Q5892">
        <v>0.41716550000000002</v>
      </c>
      <c r="R5892">
        <v>0.65328050000000004</v>
      </c>
      <c r="S5892">
        <v>2.1605379999999998</v>
      </c>
      <c r="T5892">
        <v>-0.3999935</v>
      </c>
      <c r="U5892">
        <v>2.7651370000000002</v>
      </c>
      <c r="V5892">
        <v>-0.26923439999999998</v>
      </c>
      <c r="W5892">
        <v>0.42343940000000002</v>
      </c>
      <c r="X5892">
        <v>0.86499239999999999</v>
      </c>
      <c r="Y5892">
        <v>-0.38340960000000002</v>
      </c>
      <c r="Z5892">
        <v>-2.624808E-2</v>
      </c>
      <c r="AA5892">
        <v>0.92320530000000001</v>
      </c>
      <c r="AB5892">
        <v>34</v>
      </c>
      <c r="AC5892">
        <v>5.9164000000000003</v>
      </c>
      <c r="AD5892">
        <v>-1.1209042542759999</v>
      </c>
      <c r="AE5892">
        <v>7.6667699999999996</v>
      </c>
      <c r="AF5892">
        <v>-3.7213507503963301</v>
      </c>
      <c r="AG5892">
        <v>-1.1209042542759999</v>
      </c>
      <c r="AH5892">
        <v>8.8017871764405697</v>
      </c>
      <c r="AI5892">
        <v>96.690035798730406</v>
      </c>
      <c r="AJ5892">
        <v>112.918393644082</v>
      </c>
      <c r="AK5892">
        <v>9.6216596933212699</v>
      </c>
      <c r="AL5892">
        <v>64.948076758680998</v>
      </c>
      <c r="AM5892">
        <v>107.289086644457</v>
      </c>
      <c r="AN5892">
        <v>0.999999969836739</v>
      </c>
    </row>
    <row r="5893" spans="1:40" x14ac:dyDescent="0.25">
      <c r="A5893" t="str">
        <f>"20190304164524209"</f>
        <v>20190304164524209</v>
      </c>
      <c r="B5893" t="str">
        <f>"1551689124205467"</f>
        <v>1551689124205467</v>
      </c>
      <c r="C5893" t="s">
        <v>40</v>
      </c>
      <c r="D5893">
        <v>5.3245909999999999</v>
      </c>
      <c r="E5893">
        <v>0.43223780000000001</v>
      </c>
      <c r="F5893" t="s">
        <v>41</v>
      </c>
      <c r="G5893">
        <v>-204.6129</v>
      </c>
      <c r="H5893">
        <v>0.99792020000000003</v>
      </c>
      <c r="I5893">
        <v>-56.650309999999998</v>
      </c>
      <c r="J5893">
        <v>-205.09549999999999</v>
      </c>
      <c r="K5893">
        <v>1.1209279999999999</v>
      </c>
      <c r="L5893">
        <v>-57.422699999999999</v>
      </c>
      <c r="M5893">
        <v>0.86778609999999901</v>
      </c>
      <c r="N5893">
        <v>-1.4804990000000001E-2</v>
      </c>
      <c r="O5893">
        <v>0.49671739999999998</v>
      </c>
      <c r="P5893">
        <v>0.62730769999999902</v>
      </c>
      <c r="Q5893">
        <v>0.41593429999999998</v>
      </c>
      <c r="R5893">
        <v>0.65839490000000001</v>
      </c>
      <c r="S5893">
        <v>2.0872190000000002</v>
      </c>
      <c r="T5893">
        <v>-0.4013234</v>
      </c>
      <c r="U5893">
        <v>2.8298649999999999</v>
      </c>
      <c r="V5893">
        <v>-0.27039960000000002</v>
      </c>
      <c r="W5893">
        <v>0.42217500000000002</v>
      </c>
      <c r="X5893">
        <v>0.86524699999999999</v>
      </c>
      <c r="Y5893">
        <v>-0.4030185</v>
      </c>
      <c r="Z5893">
        <v>-2.5670519999999999E-2</v>
      </c>
      <c r="AA5893">
        <v>0.91483179999999997</v>
      </c>
      <c r="AB5893">
        <v>34</v>
      </c>
      <c r="AC5893">
        <v>0.48259999999998998</v>
      </c>
      <c r="AD5893">
        <v>-0.1230078</v>
      </c>
      <c r="AE5893">
        <v>0.77239000000000102</v>
      </c>
      <c r="AF5893">
        <v>-0.42288668302172</v>
      </c>
      <c r="AG5893">
        <v>-0.1230078</v>
      </c>
      <c r="AH5893">
        <v>0.78816395432977304</v>
      </c>
      <c r="AI5893">
        <v>97.830417337306002</v>
      </c>
      <c r="AJ5893">
        <v>118.21563086261899</v>
      </c>
      <c r="AK5893">
        <v>0.90286570675970201</v>
      </c>
      <c r="AL5893">
        <v>65.028019929702495</v>
      </c>
      <c r="AM5893">
        <v>107.354622631821</v>
      </c>
      <c r="AN5893">
        <v>1.00000002265707</v>
      </c>
    </row>
    <row r="5894" spans="1:40" x14ac:dyDescent="0.25">
      <c r="A5894" t="str">
        <f>"20190304164524220"</f>
        <v>20190304164524220</v>
      </c>
      <c r="B5894" t="str">
        <f>"1551689124216203"</f>
        <v>1551689124216203</v>
      </c>
      <c r="C5894" t="s">
        <v>40</v>
      </c>
      <c r="D5894">
        <v>5.2951069999999998</v>
      </c>
      <c r="E5894">
        <v>0.43068060000000002</v>
      </c>
      <c r="F5894" t="s">
        <v>49</v>
      </c>
      <c r="G5894">
        <v>-199.54859999999999</v>
      </c>
      <c r="H5894" s="1">
        <v>-3.4457680000000001E-6</v>
      </c>
      <c r="I5894">
        <v>-49.545400000000001</v>
      </c>
      <c r="J5894">
        <v>-204.96449999999999</v>
      </c>
      <c r="K5894">
        <v>1.1209499999999999</v>
      </c>
      <c r="L5894">
        <v>-57.342649999999999</v>
      </c>
      <c r="M5894">
        <v>0.86513999999999902</v>
      </c>
      <c r="N5894">
        <v>-1.481389E-2</v>
      </c>
      <c r="O5894">
        <v>0.50131150000000002</v>
      </c>
      <c r="P5894">
        <v>0.62295449999999997</v>
      </c>
      <c r="Q5894">
        <v>0.41509879999999999</v>
      </c>
      <c r="R5894">
        <v>0.66303900000000004</v>
      </c>
      <c r="S5894">
        <v>2.029404</v>
      </c>
      <c r="T5894">
        <v>-0.41010829999999998</v>
      </c>
      <c r="U5894">
        <v>2.8820190000000001</v>
      </c>
      <c r="V5894">
        <v>-0.27197529999999998</v>
      </c>
      <c r="W5894">
        <v>0.4212939</v>
      </c>
      <c r="X5894">
        <v>0.86518259999999902</v>
      </c>
      <c r="Y5894">
        <v>-0.41813929999999999</v>
      </c>
      <c r="Z5894">
        <v>-2.5909829999999998E-2</v>
      </c>
      <c r="AA5894">
        <v>0.90801330000000002</v>
      </c>
      <c r="AB5894">
        <v>34</v>
      </c>
      <c r="AC5894">
        <v>5.4158999999999899</v>
      </c>
      <c r="AD5894">
        <v>-1.1209534457679999</v>
      </c>
      <c r="AE5894">
        <v>7.7972499999999902</v>
      </c>
      <c r="AF5894">
        <v>-3.97567550103172</v>
      </c>
      <c r="AG5894">
        <v>-1.1209534457679999</v>
      </c>
      <c r="AH5894">
        <v>8.4771224694422997</v>
      </c>
      <c r="AI5894">
        <v>96.826978157280394</v>
      </c>
      <c r="AJ5894">
        <v>115.126051351941</v>
      </c>
      <c r="AK5894">
        <v>9.4299595799243292</v>
      </c>
      <c r="AL5894">
        <v>65.083696817079399</v>
      </c>
      <c r="AM5894">
        <v>107.45085091107499</v>
      </c>
      <c r="AN5894">
        <v>1.0000000226650201</v>
      </c>
    </row>
    <row r="5895" spans="1:40" x14ac:dyDescent="0.25">
      <c r="A5895" t="str">
        <f>"20190304164524230"</f>
        <v>20190304164524230</v>
      </c>
      <c r="B5895" t="str">
        <f>"1551689124225964"</f>
        <v>1551689124225964</v>
      </c>
      <c r="C5895" t="s">
        <v>40</v>
      </c>
      <c r="D5895">
        <v>5.2856180000000004</v>
      </c>
      <c r="E5895">
        <v>0.4283729</v>
      </c>
      <c r="F5895" t="s">
        <v>41</v>
      </c>
      <c r="G5895">
        <v>-204.37350000000001</v>
      </c>
      <c r="H5895">
        <v>0.9986199</v>
      </c>
      <c r="I5895">
        <v>-56.485320000000002</v>
      </c>
      <c r="J5895">
        <v>-204.81950000000001</v>
      </c>
      <c r="K5895">
        <v>1.1209739999999999</v>
      </c>
      <c r="L5895">
        <v>-57.253050000000002</v>
      </c>
      <c r="M5895">
        <v>0.86216559999999898</v>
      </c>
      <c r="N5895">
        <v>-1.482324E-2</v>
      </c>
      <c r="O5895">
        <v>0.50640980000000002</v>
      </c>
      <c r="P5895">
        <v>0.61834060000000002</v>
      </c>
      <c r="Q5895">
        <v>0.41429569999999999</v>
      </c>
      <c r="R5895">
        <v>0.66784279999999996</v>
      </c>
      <c r="S5895">
        <v>2.0012970000000001</v>
      </c>
      <c r="T5895">
        <v>-0.41427219999999998</v>
      </c>
      <c r="U5895">
        <v>2.9036870000000001</v>
      </c>
      <c r="V5895">
        <v>-0.27330559999999998</v>
      </c>
      <c r="W5895">
        <v>0.4204521</v>
      </c>
      <c r="X5895">
        <v>0.86517289999999902</v>
      </c>
      <c r="Y5895">
        <v>-0.42189579999999999</v>
      </c>
      <c r="Z5895">
        <v>-2.6610040000000001E-2</v>
      </c>
      <c r="AA5895">
        <v>0.9062538</v>
      </c>
      <c r="AB5895">
        <v>34</v>
      </c>
      <c r="AC5895">
        <v>0.44599999999999801</v>
      </c>
      <c r="AD5895">
        <v>-0.12235409999999899</v>
      </c>
      <c r="AE5895">
        <v>0.76773000000000702</v>
      </c>
      <c r="AF5895">
        <v>-0.42797219464460001</v>
      </c>
      <c r="AG5895">
        <v>-0.12235409999999899</v>
      </c>
      <c r="AH5895">
        <v>0.75898345936906697</v>
      </c>
      <c r="AI5895">
        <v>97.993335224443797</v>
      </c>
      <c r="AJ5895">
        <v>119.41758712711901</v>
      </c>
      <c r="AK5895">
        <v>0.87987875117629799</v>
      </c>
      <c r="AL5895">
        <v>65.136867140479893</v>
      </c>
      <c r="AM5895">
        <v>107.53117494348299</v>
      </c>
      <c r="AN5895">
        <v>1.00000003314008</v>
      </c>
    </row>
    <row r="5896" spans="1:40" x14ac:dyDescent="0.25">
      <c r="A5896" t="str">
        <f>"20190304164524241"</f>
        <v>20190304164524241</v>
      </c>
      <c r="B5896" t="str">
        <f>"1551689124235723"</f>
        <v>1551689124235723</v>
      </c>
      <c r="C5896" t="s">
        <v>40</v>
      </c>
      <c r="D5896">
        <v>5.3137650000000001</v>
      </c>
      <c r="E5896">
        <v>0.42802810000000002</v>
      </c>
      <c r="F5896" t="s">
        <v>49</v>
      </c>
      <c r="G5896">
        <v>-199.43790000000001</v>
      </c>
      <c r="H5896" s="1">
        <v>-3.5847249999999998E-6</v>
      </c>
      <c r="I5896">
        <v>-49.2301</v>
      </c>
      <c r="J5896">
        <v>-204.68639999999999</v>
      </c>
      <c r="K5896">
        <v>1.1210009999999999</v>
      </c>
      <c r="L5896">
        <v>-57.169490000000003</v>
      </c>
      <c r="M5896">
        <v>0.85939030000000005</v>
      </c>
      <c r="N5896">
        <v>-1.4831189999999999E-2</v>
      </c>
      <c r="O5896">
        <v>0.51110509999999998</v>
      </c>
      <c r="P5896">
        <v>0.61409360000000002</v>
      </c>
      <c r="Q5896">
        <v>0.41398079999999998</v>
      </c>
      <c r="R5896">
        <v>0.67194419999999899</v>
      </c>
      <c r="S5896">
        <v>1.963776</v>
      </c>
      <c r="T5896">
        <v>-0.40904990000000002</v>
      </c>
      <c r="U5896">
        <v>2.9276119999999999</v>
      </c>
      <c r="V5896">
        <v>-0.274252</v>
      </c>
      <c r="W5896">
        <v>0.42010910000000001</v>
      </c>
      <c r="X5896">
        <v>0.86504009999999998</v>
      </c>
      <c r="Y5896">
        <v>-0.42835620000000002</v>
      </c>
      <c r="Z5896">
        <v>-2.6288949999999998E-2</v>
      </c>
      <c r="AA5896">
        <v>0.90322740000000001</v>
      </c>
      <c r="AB5896">
        <v>34</v>
      </c>
      <c r="AC5896">
        <v>5.2484999999999697</v>
      </c>
      <c r="AD5896">
        <v>-1.1210045847250001</v>
      </c>
      <c r="AE5896">
        <v>7.9393900000000004</v>
      </c>
      <c r="AF5896">
        <v>-4.0842923896300203</v>
      </c>
      <c r="AG5896">
        <v>-1.1210045847250001</v>
      </c>
      <c r="AH5896">
        <v>8.4520571236400404</v>
      </c>
      <c r="AI5896">
        <v>96.809953058743801</v>
      </c>
      <c r="AJ5896">
        <v>115.791253444567</v>
      </c>
      <c r="AK5896">
        <v>9.45385451676926</v>
      </c>
      <c r="AL5896">
        <v>65.158526900947606</v>
      </c>
      <c r="AM5896">
        <v>107.590678763604</v>
      </c>
      <c r="AN5896">
        <v>1.0000000950073999</v>
      </c>
    </row>
    <row r="5897" spans="1:40" x14ac:dyDescent="0.25">
      <c r="A5897" t="str">
        <f>"20190304164524253"</f>
        <v>20190304164524253</v>
      </c>
      <c r="B5897" t="str">
        <f>"1551689124245483"</f>
        <v>1551689124245483</v>
      </c>
      <c r="C5897" t="s">
        <v>40</v>
      </c>
      <c r="D5897">
        <v>5.2929130000000004</v>
      </c>
      <c r="E5897">
        <v>0.42701440000000002</v>
      </c>
      <c r="F5897" t="s">
        <v>41</v>
      </c>
      <c r="G5897">
        <v>-204.1284</v>
      </c>
      <c r="H5897">
        <v>1.0022990000000001</v>
      </c>
      <c r="I5897">
        <v>-56.32479</v>
      </c>
      <c r="J5897">
        <v>-204.535</v>
      </c>
      <c r="K5897">
        <v>1.1210230000000001</v>
      </c>
      <c r="L5897">
        <v>-57.073729999999998</v>
      </c>
      <c r="M5897">
        <v>0.85619129999999999</v>
      </c>
      <c r="N5897">
        <v>-1.483983E-2</v>
      </c>
      <c r="O5897">
        <v>0.51644590000000001</v>
      </c>
      <c r="P5897">
        <v>0.60937929999999996</v>
      </c>
      <c r="Q5897">
        <v>0.41333789999999998</v>
      </c>
      <c r="R5897">
        <v>0.67661549999999904</v>
      </c>
      <c r="S5897">
        <v>1.944321</v>
      </c>
      <c r="T5897">
        <v>-0.41351290000000002</v>
      </c>
      <c r="U5897">
        <v>2.9425050000000001</v>
      </c>
      <c r="V5897">
        <v>-0.27525719999999998</v>
      </c>
      <c r="W5897">
        <v>0.41943730000000001</v>
      </c>
      <c r="X5897">
        <v>0.86504669999999895</v>
      </c>
      <c r="Y5897">
        <v>-0.42900569999999999</v>
      </c>
      <c r="Z5897">
        <v>-2.7260070000000001E-2</v>
      </c>
      <c r="AA5897">
        <v>0.90289039999999998</v>
      </c>
      <c r="AB5897">
        <v>34</v>
      </c>
      <c r="AC5897">
        <v>0.40659999999999702</v>
      </c>
      <c r="AD5897">
        <v>-0.118723999999999</v>
      </c>
      <c r="AE5897">
        <v>0.74894000000000405</v>
      </c>
      <c r="AF5897">
        <v>-0.42308487827235203</v>
      </c>
      <c r="AG5897">
        <v>-0.118723999999999</v>
      </c>
      <c r="AH5897">
        <v>0.721001445020926</v>
      </c>
      <c r="AI5897">
        <v>98.083071621552705</v>
      </c>
      <c r="AJ5897">
        <v>120.404483464831</v>
      </c>
      <c r="AK5897">
        <v>0.84435732135216002</v>
      </c>
      <c r="AL5897">
        <v>65.200932589394597</v>
      </c>
      <c r="AM5897">
        <v>107.651030494716</v>
      </c>
      <c r="AN5897">
        <v>0.99999998398200896</v>
      </c>
    </row>
    <row r="5898" spans="1:40" x14ac:dyDescent="0.25">
      <c r="A5898" t="str">
        <f>"20190304164524265"</f>
        <v>20190304164524265</v>
      </c>
      <c r="B5898" t="str">
        <f>"1551689124256219"</f>
        <v>1551689124256219</v>
      </c>
      <c r="C5898" t="s">
        <v>40</v>
      </c>
      <c r="D5898">
        <v>5.2971629999999896</v>
      </c>
      <c r="E5898">
        <v>0.4264597</v>
      </c>
      <c r="F5898" t="s">
        <v>49</v>
      </c>
      <c r="G5898">
        <v>-199.3288</v>
      </c>
      <c r="H5898" s="1">
        <v>-3.666815E-6</v>
      </c>
      <c r="I5898">
        <v>-49.028379999999999</v>
      </c>
      <c r="J5898">
        <v>-204.39230000000001</v>
      </c>
      <c r="K5898">
        <v>1.1210370000000001</v>
      </c>
      <c r="L5898">
        <v>-56.981479999999998</v>
      </c>
      <c r="M5898">
        <v>0.85311899999999996</v>
      </c>
      <c r="N5898">
        <v>-1.48472E-2</v>
      </c>
      <c r="O5898">
        <v>0.52150509999999906</v>
      </c>
      <c r="P5898">
        <v>0.60477269999999905</v>
      </c>
      <c r="Q5898">
        <v>0.41289559999999997</v>
      </c>
      <c r="R5898">
        <v>0.68100450000000001</v>
      </c>
      <c r="S5898">
        <v>1.9157409999999999</v>
      </c>
      <c r="T5898">
        <v>-0.4125086</v>
      </c>
      <c r="U5898">
        <v>2.96048</v>
      </c>
      <c r="V5898">
        <v>-0.27624320000000002</v>
      </c>
      <c r="W5898">
        <v>0.41896810000000001</v>
      </c>
      <c r="X5898">
        <v>0.86495979999999995</v>
      </c>
      <c r="Y5898">
        <v>-0.4322993</v>
      </c>
      <c r="Z5898">
        <v>-2.7560250000000001E-2</v>
      </c>
      <c r="AA5898">
        <v>0.90130889999999997</v>
      </c>
      <c r="AB5898">
        <v>34</v>
      </c>
      <c r="AC5898">
        <v>5.0635000000000003</v>
      </c>
      <c r="AD5898">
        <v>-1.1210406668149999</v>
      </c>
      <c r="AE5898">
        <v>7.9531000000000001</v>
      </c>
      <c r="AF5898">
        <v>-4.0869750685160202</v>
      </c>
      <c r="AG5898">
        <v>-1.1210406668149999</v>
      </c>
      <c r="AH5898">
        <v>8.3502286038178006</v>
      </c>
      <c r="AI5898">
        <v>96.875760340248306</v>
      </c>
      <c r="AJ5898">
        <v>116.079191743327</v>
      </c>
      <c r="AK5898">
        <v>9.3641024729197397</v>
      </c>
      <c r="AL5898">
        <v>65.230543936608598</v>
      </c>
      <c r="AM5898">
        <v>107.711981653362</v>
      </c>
      <c r="AN5898">
        <v>1.00000001498994</v>
      </c>
    </row>
    <row r="5899" spans="1:40" x14ac:dyDescent="0.25">
      <c r="A5899" t="str">
        <f>"20190304164524277"</f>
        <v>20190304164524277</v>
      </c>
      <c r="B5899" t="str">
        <f>"1551689124265979"</f>
        <v>1551689124265979</v>
      </c>
      <c r="C5899" t="s">
        <v>40</v>
      </c>
      <c r="D5899">
        <v>5.2801429999999998</v>
      </c>
      <c r="E5899">
        <v>0.42607669999999997</v>
      </c>
      <c r="F5899" t="s">
        <v>41</v>
      </c>
      <c r="G5899">
        <v>-203.86250000000001</v>
      </c>
      <c r="H5899">
        <v>1.005763</v>
      </c>
      <c r="I5899">
        <v>-56.148299999999999</v>
      </c>
      <c r="J5899">
        <v>-204.24449999999999</v>
      </c>
      <c r="K5899">
        <v>1.1210560000000001</v>
      </c>
      <c r="L5899">
        <v>-56.885350000000003</v>
      </c>
      <c r="M5899">
        <v>0.84989910000000002</v>
      </c>
      <c r="N5899">
        <v>-1.485447E-2</v>
      </c>
      <c r="O5899">
        <v>0.52673610000000004</v>
      </c>
      <c r="P5899">
        <v>0.59990410000000005</v>
      </c>
      <c r="Q5899">
        <v>0.41265610000000003</v>
      </c>
      <c r="R5899">
        <v>0.68544159999999998</v>
      </c>
      <c r="S5899">
        <v>1.8914489999999999</v>
      </c>
      <c r="T5899">
        <v>-0.41160370000000002</v>
      </c>
      <c r="U5899">
        <v>2.9751280000000002</v>
      </c>
      <c r="V5899">
        <v>-0.27722740000000001</v>
      </c>
      <c r="W5899">
        <v>0.41869960000000001</v>
      </c>
      <c r="X5899">
        <v>0.86477490000000001</v>
      </c>
      <c r="Y5899">
        <v>-0.43401899999999899</v>
      </c>
      <c r="Z5899">
        <v>-2.7994789999999999E-2</v>
      </c>
      <c r="AA5899">
        <v>0.90046859999999995</v>
      </c>
      <c r="AB5899">
        <v>34</v>
      </c>
      <c r="AC5899">
        <v>0.38199999999997603</v>
      </c>
      <c r="AD5899">
        <v>-0.11529300000000001</v>
      </c>
      <c r="AE5899">
        <v>0.73705000000000298</v>
      </c>
      <c r="AF5899">
        <v>-0.41720490510379898</v>
      </c>
      <c r="AG5899">
        <v>-0.11529300000000001</v>
      </c>
      <c r="AH5899">
        <v>0.69947955640564197</v>
      </c>
      <c r="AI5899">
        <v>98.057200726145894</v>
      </c>
      <c r="AJ5899">
        <v>120.81398299063601</v>
      </c>
      <c r="AK5899">
        <v>0.82257161300466897</v>
      </c>
      <c r="AL5899">
        <v>65.247485191917406</v>
      </c>
      <c r="AM5899">
        <v>107.77468286075199</v>
      </c>
      <c r="AN5899">
        <v>1.00000000701046</v>
      </c>
    </row>
    <row r="5900" spans="1:40" x14ac:dyDescent="0.25">
      <c r="A5900" t="str">
        <f>"20190304164524288"</f>
        <v>20190304164524288</v>
      </c>
      <c r="B5900" t="str">
        <f>"1551689124285499"</f>
        <v>1551689124285499</v>
      </c>
      <c r="C5900" t="s">
        <v>40</v>
      </c>
      <c r="D5900">
        <v>5.2895699999999897</v>
      </c>
      <c r="E5900">
        <v>0.42587039999999998</v>
      </c>
      <c r="F5900" t="s">
        <v>41</v>
      </c>
      <c r="G5900">
        <v>-203.67160000000001</v>
      </c>
      <c r="H5900">
        <v>0.99509890000000001</v>
      </c>
      <c r="I5900">
        <v>-55.968380000000003</v>
      </c>
      <c r="J5900">
        <v>-204.09440000000001</v>
      </c>
      <c r="K5900">
        <v>1.12107</v>
      </c>
      <c r="L5900">
        <v>-56.78604</v>
      </c>
      <c r="M5900">
        <v>0.84657329999999997</v>
      </c>
      <c r="N5900">
        <v>-1.486123E-2</v>
      </c>
      <c r="O5900">
        <v>0.5320646</v>
      </c>
      <c r="P5900">
        <v>0.59535990000000005</v>
      </c>
      <c r="Q5900">
        <v>0.41176639999999998</v>
      </c>
      <c r="R5900">
        <v>0.68992390000000003</v>
      </c>
      <c r="S5900">
        <v>1.8674770000000001</v>
      </c>
      <c r="T5900">
        <v>-0.41063149999999998</v>
      </c>
      <c r="U5900">
        <v>2.9895320000000001</v>
      </c>
      <c r="V5900">
        <v>-0.27795110000000001</v>
      </c>
      <c r="W5900">
        <v>0.41779440000000001</v>
      </c>
      <c r="X5900">
        <v>0.86498030000000004</v>
      </c>
      <c r="Y5900">
        <v>-0.43551430000000002</v>
      </c>
      <c r="Z5900">
        <v>-2.8447E-2</v>
      </c>
      <c r="AA5900">
        <v>0.89973219999999998</v>
      </c>
      <c r="AB5900">
        <v>34</v>
      </c>
      <c r="AC5900">
        <v>0.42279999999999501</v>
      </c>
      <c r="AD5900">
        <v>-0.1259711</v>
      </c>
      <c r="AE5900">
        <v>0.81765999999999595</v>
      </c>
      <c r="AF5900">
        <v>-0.45871307107718401</v>
      </c>
      <c r="AG5900">
        <v>-0.1259711</v>
      </c>
      <c r="AH5900">
        <v>0.77848725794293605</v>
      </c>
      <c r="AI5900">
        <v>97.936624675444705</v>
      </c>
      <c r="AJ5900">
        <v>120.508142418802</v>
      </c>
      <c r="AK5900">
        <v>0.91232056339413004</v>
      </c>
      <c r="AL5900">
        <v>65.304581750103694</v>
      </c>
      <c r="AM5900">
        <v>107.81418899386701</v>
      </c>
      <c r="AN5900">
        <v>0.99999994702532802</v>
      </c>
    </row>
    <row r="5901" spans="1:40" x14ac:dyDescent="0.25">
      <c r="A5901" t="str">
        <f>"20190304164524301"</f>
        <v>20190304164524301</v>
      </c>
      <c r="B5901" t="str">
        <f>"1551689124296235"</f>
        <v>1551689124296235</v>
      </c>
      <c r="C5901" t="s">
        <v>40</v>
      </c>
      <c r="D5901">
        <v>5.275773</v>
      </c>
      <c r="E5901">
        <v>0.42598740000000002</v>
      </c>
      <c r="F5901" t="s">
        <v>49</v>
      </c>
      <c r="G5901">
        <v>-199.05930000000001</v>
      </c>
      <c r="H5901" s="1">
        <v>-3.8371799999999997E-6</v>
      </c>
      <c r="I5901">
        <v>-48.59449</v>
      </c>
      <c r="J5901">
        <v>-203.95249999999999</v>
      </c>
      <c r="K5901">
        <v>1.1210800000000001</v>
      </c>
      <c r="L5901">
        <v>-56.690860000000001</v>
      </c>
      <c r="M5901">
        <v>0.84338299999999999</v>
      </c>
      <c r="N5901">
        <v>-1.4867129999999999E-2</v>
      </c>
      <c r="O5901">
        <v>0.53710729999999995</v>
      </c>
      <c r="P5901">
        <v>0.59075009999999994</v>
      </c>
      <c r="Q5901">
        <v>0.41109430000000002</v>
      </c>
      <c r="R5901">
        <v>0.69427359999999905</v>
      </c>
      <c r="S5901">
        <v>1.844894</v>
      </c>
      <c r="T5901">
        <v>-0.41076839999999998</v>
      </c>
      <c r="U5901">
        <v>3.0014340000000002</v>
      </c>
      <c r="V5901">
        <v>-0.27888299999999999</v>
      </c>
      <c r="W5901">
        <v>0.41709889999999999</v>
      </c>
      <c r="X5901">
        <v>0.86501600000000001</v>
      </c>
      <c r="Y5901">
        <v>-0.4366565</v>
      </c>
      <c r="Z5901">
        <v>-2.9007580000000002E-2</v>
      </c>
      <c r="AA5901">
        <v>0.89916059999999998</v>
      </c>
      <c r="AB5901">
        <v>34</v>
      </c>
      <c r="AC5901">
        <v>4.89319999999997</v>
      </c>
      <c r="AD5901">
        <v>-1.1210838371799901</v>
      </c>
      <c r="AE5901">
        <v>8.0963700000000003</v>
      </c>
      <c r="AF5901">
        <v>-4.1424561787675103</v>
      </c>
      <c r="AG5901">
        <v>-1.1210838371799901</v>
      </c>
      <c r="AH5901">
        <v>8.3590064725358904</v>
      </c>
      <c r="AI5901">
        <v>96.852378701348201</v>
      </c>
      <c r="AJ5901">
        <v>116.36154366252801</v>
      </c>
      <c r="AK5901">
        <v>9.39626315994248</v>
      </c>
      <c r="AL5901">
        <v>65.348434760917797</v>
      </c>
      <c r="AM5901">
        <v>107.869431906142</v>
      </c>
      <c r="AN5901">
        <v>0.99999995016310295</v>
      </c>
    </row>
    <row r="5902" spans="1:40" x14ac:dyDescent="0.25">
      <c r="A5902" t="str">
        <f>"20190304164524313"</f>
        <v>20190304164524313</v>
      </c>
      <c r="B5902" t="str">
        <f>"1551689124305615"</f>
        <v>1551689124305615</v>
      </c>
      <c r="C5902" t="s">
        <v>40</v>
      </c>
      <c r="D5902">
        <v>5.2028589999999904</v>
      </c>
      <c r="E5902">
        <v>0.42579899999999998</v>
      </c>
      <c r="F5902" t="s">
        <v>41</v>
      </c>
      <c r="G5902">
        <v>-203.42060000000001</v>
      </c>
      <c r="H5902">
        <v>1.000964</v>
      </c>
      <c r="I5902">
        <v>-55.813040000000001</v>
      </c>
      <c r="J5902">
        <v>-203.79650000000001</v>
      </c>
      <c r="K5902">
        <v>1.1210929999999999</v>
      </c>
      <c r="L5902">
        <v>-56.585360000000001</v>
      </c>
      <c r="M5902">
        <v>0.83983109999999905</v>
      </c>
      <c r="N5902">
        <v>-1.4873219999999999E-2</v>
      </c>
      <c r="O5902">
        <v>0.54264409999999996</v>
      </c>
      <c r="P5902">
        <v>0.58569519999999997</v>
      </c>
      <c r="Q5902">
        <v>0.41064050000000002</v>
      </c>
      <c r="R5902">
        <v>0.69881000000000004</v>
      </c>
      <c r="S5902">
        <v>1.8246150000000001</v>
      </c>
      <c r="T5902">
        <v>-0.4121687</v>
      </c>
      <c r="U5902">
        <v>3.0125730000000002</v>
      </c>
      <c r="V5902">
        <v>-0.27969470000000002</v>
      </c>
      <c r="W5902">
        <v>0.41662470000000001</v>
      </c>
      <c r="X5902">
        <v>0.86498249999999999</v>
      </c>
      <c r="Y5902">
        <v>-0.43665870000000001</v>
      </c>
      <c r="Z5902">
        <v>-2.981957E-2</v>
      </c>
      <c r="AA5902">
        <v>0.89913299999999996</v>
      </c>
      <c r="AB5902">
        <v>34</v>
      </c>
      <c r="AC5902">
        <v>0.37590000000000101</v>
      </c>
      <c r="AD5902">
        <v>-0.120129</v>
      </c>
      <c r="AE5902">
        <v>0.77231999999999301</v>
      </c>
      <c r="AF5902">
        <v>-0.43615637164312399</v>
      </c>
      <c r="AG5902">
        <v>-0.120129</v>
      </c>
      <c r="AH5902">
        <v>0.72077036022340402</v>
      </c>
      <c r="AI5902">
        <v>98.115257556364099</v>
      </c>
      <c r="AJ5902">
        <v>121.17919290691501</v>
      </c>
      <c r="AK5902">
        <v>0.85098370686075497</v>
      </c>
      <c r="AL5902">
        <v>65.378326559861804</v>
      </c>
      <c r="AM5902">
        <v>107.918770193406</v>
      </c>
      <c r="AN5902">
        <v>0.99999999558221497</v>
      </c>
    </row>
    <row r="5903" spans="1:40" x14ac:dyDescent="0.25">
      <c r="A5903" t="str">
        <f>"20190304164524326"</f>
        <v>20190304164524326</v>
      </c>
      <c r="B5903" t="str">
        <f>"1551689124316352"</f>
        <v>1551689124316352</v>
      </c>
      <c r="C5903" t="s">
        <v>40</v>
      </c>
      <c r="D5903">
        <v>5.1970780000000003</v>
      </c>
      <c r="E5903">
        <v>0.42593049999999999</v>
      </c>
      <c r="F5903" t="s">
        <v>49</v>
      </c>
      <c r="G5903">
        <v>-198.9008</v>
      </c>
      <c r="H5903" s="1">
        <v>-3.9259449999999997E-6</v>
      </c>
      <c r="I5903">
        <v>-48.362029999999997</v>
      </c>
      <c r="J5903">
        <v>-203.6474</v>
      </c>
      <c r="K5903">
        <v>1.1211040000000001</v>
      </c>
      <c r="L5903">
        <v>-56.482300000000002</v>
      </c>
      <c r="M5903">
        <v>0.83637459999999997</v>
      </c>
      <c r="N5903">
        <v>-1.487838E-2</v>
      </c>
      <c r="O5903">
        <v>0.54795629999999995</v>
      </c>
      <c r="P5903">
        <v>0.58093169999999905</v>
      </c>
      <c r="Q5903">
        <v>0.41047479999999997</v>
      </c>
      <c r="R5903">
        <v>0.70287189999999999</v>
      </c>
      <c r="S5903">
        <v>1.801315</v>
      </c>
      <c r="T5903">
        <v>-0.412493</v>
      </c>
      <c r="U5903">
        <v>3.025665</v>
      </c>
      <c r="V5903">
        <v>-0.28017639999999999</v>
      </c>
      <c r="W5903">
        <v>0.4164466</v>
      </c>
      <c r="X5903">
        <v>0.86491240000000003</v>
      </c>
      <c r="Y5903">
        <v>-0.43779099999999999</v>
      </c>
      <c r="Z5903">
        <v>-3.042833E-2</v>
      </c>
      <c r="AA5903">
        <v>0.89856179999999997</v>
      </c>
      <c r="AB5903">
        <v>34</v>
      </c>
      <c r="AC5903">
        <v>4.7465999999999999</v>
      </c>
      <c r="AD5903">
        <v>-1.1211079259450001</v>
      </c>
      <c r="AE5903">
        <v>8.1202699999999997</v>
      </c>
      <c r="AF5903">
        <v>-4.1324128541984697</v>
      </c>
      <c r="AG5903">
        <v>-1.1211079259450001</v>
      </c>
      <c r="AH5903">
        <v>8.30246753748769</v>
      </c>
      <c r="AI5903">
        <v>96.892850697161407</v>
      </c>
      <c r="AJ5903">
        <v>116.461049663541</v>
      </c>
      <c r="AK5903">
        <v>9.3415569467941708</v>
      </c>
      <c r="AL5903">
        <v>65.389551736805302</v>
      </c>
      <c r="AM5903">
        <v>107.949013887665</v>
      </c>
      <c r="AN5903">
        <v>1.0000000227211301</v>
      </c>
    </row>
    <row r="5904" spans="1:40" x14ac:dyDescent="0.25">
      <c r="A5904" t="str">
        <f>"20190304164524343"</f>
        <v>20190304164524343</v>
      </c>
      <c r="B5904" t="str">
        <f>"1551689124335872"</f>
        <v>1551689124335872</v>
      </c>
      <c r="C5904" t="s">
        <v>40</v>
      </c>
      <c r="D5904">
        <v>5.2710629999999998</v>
      </c>
      <c r="E5904">
        <v>0.42661270000000001</v>
      </c>
      <c r="F5904" t="s">
        <v>41</v>
      </c>
      <c r="G5904">
        <v>-203.15350000000001</v>
      </c>
      <c r="H5904">
        <v>1.0068250000000001</v>
      </c>
      <c r="I5904">
        <v>-55.64058</v>
      </c>
      <c r="J5904">
        <v>-203.43020000000001</v>
      </c>
      <c r="K5904">
        <v>1.1211169999999999</v>
      </c>
      <c r="L5904">
        <v>-56.330199999999998</v>
      </c>
      <c r="M5904">
        <v>0.83125680000000002</v>
      </c>
      <c r="N5904">
        <v>-1.4885280000000001E-2</v>
      </c>
      <c r="O5904">
        <v>0.55568930000000005</v>
      </c>
      <c r="P5904">
        <v>0.5735768</v>
      </c>
      <c r="Q5904">
        <v>0.41005000000000003</v>
      </c>
      <c r="R5904">
        <v>0.7091324</v>
      </c>
      <c r="S5904">
        <v>1.7814939999999999</v>
      </c>
      <c r="T5904">
        <v>-0.41222239999999999</v>
      </c>
      <c r="U5904">
        <v>3.03653</v>
      </c>
      <c r="V5904">
        <v>-0.28137279999999998</v>
      </c>
      <c r="W5904">
        <v>0.4159909</v>
      </c>
      <c r="X5904">
        <v>0.86474319999999905</v>
      </c>
      <c r="Y5904">
        <v>-0.4352626</v>
      </c>
      <c r="Z5904">
        <v>-3.1507430000000003E-2</v>
      </c>
      <c r="AA5904">
        <v>0.89975210000000005</v>
      </c>
      <c r="AB5904">
        <v>34</v>
      </c>
      <c r="AC5904">
        <v>0.276700000000005</v>
      </c>
      <c r="AD5904">
        <v>-0.11429199999999901</v>
      </c>
      <c r="AE5904">
        <v>0.68961999999999002</v>
      </c>
      <c r="AF5904">
        <v>-0.409842384822868</v>
      </c>
      <c r="AG5904">
        <v>-0.11429199999999901</v>
      </c>
      <c r="AH5904">
        <v>0.59911705704301399</v>
      </c>
      <c r="AI5904">
        <v>98.947846521699105</v>
      </c>
      <c r="AJ5904">
        <v>124.375145506319</v>
      </c>
      <c r="AK5904">
        <v>0.73482970115611101</v>
      </c>
      <c r="AL5904">
        <v>65.418264784927203</v>
      </c>
      <c r="AM5904">
        <v>108.024011020638</v>
      </c>
      <c r="AN5904">
        <v>0.99999994170444295</v>
      </c>
    </row>
    <row r="5905" spans="1:40" x14ac:dyDescent="0.25">
      <c r="A5905" t="str">
        <f>"20190304164524357"</f>
        <v>20190304164524357</v>
      </c>
      <c r="B5905" t="str">
        <f>"1551689124345631"</f>
        <v>1551689124345631</v>
      </c>
      <c r="C5905" t="s">
        <v>40</v>
      </c>
      <c r="D5905">
        <v>5.2765719999999998</v>
      </c>
      <c r="E5905">
        <v>0.42698849999999999</v>
      </c>
      <c r="F5905" t="s">
        <v>41</v>
      </c>
      <c r="G5905">
        <v>-202.94069999999999</v>
      </c>
      <c r="H5905">
        <v>1.00518</v>
      </c>
      <c r="I5905">
        <v>-55.478470000000002</v>
      </c>
      <c r="J5905">
        <v>-203.2662</v>
      </c>
      <c r="K5905">
        <v>1.1211249999999999</v>
      </c>
      <c r="L5905">
        <v>-56.213590000000003</v>
      </c>
      <c r="M5905">
        <v>0.82732359999999905</v>
      </c>
      <c r="N5905">
        <v>-1.4889980000000001E-2</v>
      </c>
      <c r="O5905">
        <v>0.56152819999999903</v>
      </c>
      <c r="P5905">
        <v>0.56790410000000002</v>
      </c>
      <c r="Q5905">
        <v>0.40950930000000002</v>
      </c>
      <c r="R5905">
        <v>0.71399369999999995</v>
      </c>
      <c r="S5905">
        <v>1.7537689999999999</v>
      </c>
      <c r="T5905">
        <v>-0.4154254</v>
      </c>
      <c r="U5905">
        <v>3.0522459999999998</v>
      </c>
      <c r="V5905">
        <v>-0.2824315</v>
      </c>
      <c r="W5905">
        <v>0.41542449999999997</v>
      </c>
      <c r="X5905">
        <v>0.86467039999999995</v>
      </c>
      <c r="Y5905">
        <v>-0.43707839999999998</v>
      </c>
      <c r="Z5905">
        <v>-3.2438000000000002E-2</v>
      </c>
      <c r="AA5905">
        <v>0.89883829999999998</v>
      </c>
      <c r="AB5905">
        <v>33</v>
      </c>
      <c r="AC5905">
        <v>0.32550000000000501</v>
      </c>
      <c r="AD5905">
        <v>-0.11594499999999899</v>
      </c>
      <c r="AE5905">
        <v>0.73512000000000899</v>
      </c>
      <c r="AF5905">
        <v>-0.41678333712556498</v>
      </c>
      <c r="AG5905">
        <v>-0.11594499999999899</v>
      </c>
      <c r="AH5905">
        <v>0.66826114724876395</v>
      </c>
      <c r="AI5905">
        <v>98.374751471800096</v>
      </c>
      <c r="AJ5905">
        <v>121.951102346536</v>
      </c>
      <c r="AK5905">
        <v>0.79606818429878001</v>
      </c>
      <c r="AL5905">
        <v>65.4539474690487</v>
      </c>
      <c r="AM5905">
        <v>108.088842979809</v>
      </c>
      <c r="AN5905">
        <v>0.99999998401432899</v>
      </c>
    </row>
    <row r="5906" spans="1:40" x14ac:dyDescent="0.25">
      <c r="A5906" t="str">
        <f>"20190304164524375"</f>
        <v>20190304164524375</v>
      </c>
      <c r="B5906" t="str">
        <f>"1551689124366127"</f>
        <v>1551689124366127</v>
      </c>
      <c r="C5906" t="s">
        <v>40</v>
      </c>
      <c r="D5906">
        <v>5.2632050000000001</v>
      </c>
      <c r="E5906">
        <v>0.42780230000000002</v>
      </c>
      <c r="F5906" t="s">
        <v>41</v>
      </c>
      <c r="G5906">
        <v>-202.73670000000001</v>
      </c>
      <c r="H5906">
        <v>0.99330309999999999</v>
      </c>
      <c r="I5906">
        <v>-55.2765699999999</v>
      </c>
      <c r="J5906">
        <v>-203.04179999999999</v>
      </c>
      <c r="K5906">
        <v>1.121135</v>
      </c>
      <c r="L5906">
        <v>-56.050930000000001</v>
      </c>
      <c r="M5906">
        <v>0.82183639999999902</v>
      </c>
      <c r="N5906">
        <v>-1.489557E-2</v>
      </c>
      <c r="O5906">
        <v>0.56952879999999995</v>
      </c>
      <c r="P5906">
        <v>0.55960529999999997</v>
      </c>
      <c r="Q5906">
        <v>0.40916710000000001</v>
      </c>
      <c r="R5906">
        <v>0.72071099999999999</v>
      </c>
      <c r="S5906">
        <v>1.7317049999999901</v>
      </c>
      <c r="T5906">
        <v>-0.41800769999999998</v>
      </c>
      <c r="U5906">
        <v>3.0640559999999999</v>
      </c>
      <c r="V5906">
        <v>-0.28421039999999997</v>
      </c>
      <c r="W5906">
        <v>0.41503440000000003</v>
      </c>
      <c r="X5906">
        <v>0.86427469999999995</v>
      </c>
      <c r="Y5906">
        <v>-0.43478349999999999</v>
      </c>
      <c r="Z5906">
        <v>-3.385196E-2</v>
      </c>
      <c r="AA5906">
        <v>0.89989850000000005</v>
      </c>
      <c r="AB5906">
        <v>33</v>
      </c>
      <c r="AC5906">
        <v>0.305099999999981</v>
      </c>
      <c r="AD5906">
        <v>-0.1278319</v>
      </c>
      <c r="AE5906">
        <v>0.77436000000001504</v>
      </c>
      <c r="AF5906">
        <v>-0.45202229190475102</v>
      </c>
      <c r="AG5906">
        <v>-0.1278319</v>
      </c>
      <c r="AH5906">
        <v>0.67589524469644702</v>
      </c>
      <c r="AI5906">
        <v>98.934471308258694</v>
      </c>
      <c r="AJ5906">
        <v>123.77364230518501</v>
      </c>
      <c r="AK5906">
        <v>0.82310359544817002</v>
      </c>
      <c r="AL5906">
        <v>65.478515359170103</v>
      </c>
      <c r="AM5906">
        <v>108.203071253635</v>
      </c>
      <c r="AN5906">
        <v>0.99999993085580197</v>
      </c>
    </row>
    <row r="5907" spans="1:40" x14ac:dyDescent="0.25">
      <c r="A5907" t="str">
        <f>"20190304164524387"</f>
        <v>20190304164524387</v>
      </c>
      <c r="B5907" t="str">
        <f>"1551689124375887"</f>
        <v>1551689124375887</v>
      </c>
      <c r="C5907" t="s">
        <v>40</v>
      </c>
      <c r="D5907">
        <v>5.204307</v>
      </c>
      <c r="E5907">
        <v>0.42812800000000001</v>
      </c>
      <c r="F5907" t="s">
        <v>41</v>
      </c>
      <c r="G5907">
        <v>-202.51249999999999</v>
      </c>
      <c r="H5907">
        <v>0.99017250000000001</v>
      </c>
      <c r="I5907">
        <v>-55.094019999999901</v>
      </c>
      <c r="J5907">
        <v>-202.9049</v>
      </c>
      <c r="K5907">
        <v>1.1211359999999999</v>
      </c>
      <c r="L5907">
        <v>-55.949800000000003</v>
      </c>
      <c r="M5907">
        <v>0.81842939999999997</v>
      </c>
      <c r="N5907">
        <v>-1.489854E-2</v>
      </c>
      <c r="O5907">
        <v>0.57441399999999998</v>
      </c>
      <c r="P5907">
        <v>0.55467109999999997</v>
      </c>
      <c r="Q5907">
        <v>0.40923680000000001</v>
      </c>
      <c r="R5907">
        <v>0.72447589999999995</v>
      </c>
      <c r="S5907">
        <v>1.7028810000000001</v>
      </c>
      <c r="T5907">
        <v>-0.42142079999999998</v>
      </c>
      <c r="U5907">
        <v>3.07959</v>
      </c>
      <c r="V5907">
        <v>-0.28493849999999998</v>
      </c>
      <c r="W5907">
        <v>0.41508450000000002</v>
      </c>
      <c r="X5907">
        <v>0.86401099999999997</v>
      </c>
      <c r="Y5907">
        <v>-0.43778899999999998</v>
      </c>
      <c r="Z5907">
        <v>-3.4642430000000002E-2</v>
      </c>
      <c r="AA5907">
        <v>0.89841009999999999</v>
      </c>
      <c r="AB5907">
        <v>33</v>
      </c>
      <c r="AC5907">
        <v>0.39240000000000902</v>
      </c>
      <c r="AD5907">
        <v>-0.13096350000000001</v>
      </c>
      <c r="AE5907">
        <v>0.85578000000000998</v>
      </c>
      <c r="AF5907">
        <v>-0.46603005206248599</v>
      </c>
      <c r="AG5907">
        <v>-0.13096350000000001</v>
      </c>
      <c r="AH5907">
        <v>0.79738377703951402</v>
      </c>
      <c r="AI5907">
        <v>98.070703618051596</v>
      </c>
      <c r="AJ5907">
        <v>120.304102538131</v>
      </c>
      <c r="AK5907">
        <v>0.93282170624584804</v>
      </c>
      <c r="AL5907">
        <v>65.475363331726598</v>
      </c>
      <c r="AM5907">
        <v>108.2518182127</v>
      </c>
      <c r="AN5907">
        <v>1.00000004952174</v>
      </c>
    </row>
    <row r="5908" spans="1:40" x14ac:dyDescent="0.25">
      <c r="A5908" t="str">
        <f>"20190304164524400"</f>
        <v>20190304164524400</v>
      </c>
      <c r="B5908" t="str">
        <f>"1551689124396384"</f>
        <v>1551689124396384</v>
      </c>
      <c r="C5908" t="s">
        <v>40</v>
      </c>
      <c r="D5908">
        <v>5.2841360000000002</v>
      </c>
      <c r="E5908">
        <v>0.42913509999999999</v>
      </c>
      <c r="F5908" t="s">
        <v>41</v>
      </c>
      <c r="G5908">
        <v>-202.4264</v>
      </c>
      <c r="H5908">
        <v>1.0012570000000001</v>
      </c>
      <c r="I5908">
        <v>-55.073120000000003</v>
      </c>
      <c r="J5908">
        <v>-202.77010000000001</v>
      </c>
      <c r="K5908">
        <v>1.1211340000000001</v>
      </c>
      <c r="L5908">
        <v>-55.849209999999999</v>
      </c>
      <c r="M5908">
        <v>0.81503159999999997</v>
      </c>
      <c r="N5908">
        <v>-1.490125E-2</v>
      </c>
      <c r="O5908">
        <v>0.57922489999999904</v>
      </c>
      <c r="P5908">
        <v>0.54984440000000001</v>
      </c>
      <c r="Q5908">
        <v>0.409331</v>
      </c>
      <c r="R5908">
        <v>0.72809299999999999</v>
      </c>
      <c r="S5908">
        <v>1.6855469999999999</v>
      </c>
      <c r="T5908">
        <v>-0.4223423</v>
      </c>
      <c r="U5908">
        <v>3.0890200000000001</v>
      </c>
      <c r="V5908">
        <v>-0.28555340000000001</v>
      </c>
      <c r="W5908">
        <v>0.41516249999999999</v>
      </c>
      <c r="X5908">
        <v>0.86377039999999905</v>
      </c>
      <c r="Y5908">
        <v>-0.43755139999999998</v>
      </c>
      <c r="Z5908">
        <v>-3.5364180000000002E-2</v>
      </c>
      <c r="AA5908">
        <v>0.89849769999999896</v>
      </c>
      <c r="AB5908">
        <v>33</v>
      </c>
      <c r="AC5908">
        <v>0.343700000000012</v>
      </c>
      <c r="AD5908">
        <v>-0.119877</v>
      </c>
      <c r="AE5908">
        <v>0.77609000000000306</v>
      </c>
      <c r="AF5908">
        <v>-0.42502849122702502</v>
      </c>
      <c r="AG5908">
        <v>-0.119877</v>
      </c>
      <c r="AH5908">
        <v>0.71546683160434199</v>
      </c>
      <c r="AI5908">
        <v>98.197061400950503</v>
      </c>
      <c r="AJ5908">
        <v>120.71275018938</v>
      </c>
      <c r="AK5908">
        <v>0.840780887395567</v>
      </c>
      <c r="AL5908">
        <v>65.470449042920706</v>
      </c>
      <c r="AM5908">
        <v>108.293342011807</v>
      </c>
      <c r="AN5908">
        <v>0.99999997478698399</v>
      </c>
    </row>
    <row r="5909" spans="1:40" x14ac:dyDescent="0.25">
      <c r="A5909" t="str">
        <f>"20190304164524412"</f>
        <v>20190304164524412</v>
      </c>
      <c r="B5909" t="str">
        <f>"1551689124405804"</f>
        <v>1551689124405804</v>
      </c>
      <c r="C5909" t="s">
        <v>40</v>
      </c>
      <c r="D5909">
        <v>5.1987809999999897</v>
      </c>
      <c r="E5909">
        <v>0.42946640000000003</v>
      </c>
      <c r="F5909" t="s">
        <v>41</v>
      </c>
      <c r="G5909">
        <v>-202.2715</v>
      </c>
      <c r="H5909">
        <v>0.99471200000000004</v>
      </c>
      <c r="I5909">
        <v>-54.926459999999999</v>
      </c>
      <c r="J5909">
        <v>-202.613</v>
      </c>
      <c r="K5909">
        <v>1.121132</v>
      </c>
      <c r="L5909">
        <v>-55.730589999999999</v>
      </c>
      <c r="M5909">
        <v>0.81101829999999997</v>
      </c>
      <c r="N5909">
        <v>-1.490414E-2</v>
      </c>
      <c r="O5909">
        <v>0.58483079999999998</v>
      </c>
      <c r="P5909">
        <v>0.54430959999999995</v>
      </c>
      <c r="Q5909">
        <v>0.40927449999999999</v>
      </c>
      <c r="R5909">
        <v>0.73227140000000002</v>
      </c>
      <c r="S5909">
        <v>1.6730039999999999</v>
      </c>
      <c r="T5909">
        <v>-0.42409370000000002</v>
      </c>
      <c r="U5909">
        <v>3.0953369999999998</v>
      </c>
      <c r="V5909">
        <v>-0.28617100000000001</v>
      </c>
      <c r="W5909">
        <v>0.41509180000000001</v>
      </c>
      <c r="X5909">
        <v>0.86360000000000003</v>
      </c>
      <c r="Y5909">
        <v>-0.43497190000000002</v>
      </c>
      <c r="Z5909">
        <v>-3.6438129999999999E-2</v>
      </c>
      <c r="AA5909">
        <v>0.89970649999999996</v>
      </c>
      <c r="AB5909">
        <v>33</v>
      </c>
      <c r="AC5909">
        <v>0.34149999999999597</v>
      </c>
      <c r="AD5909">
        <v>-0.12641999999999901</v>
      </c>
      <c r="AE5909">
        <v>0.80413000000000001</v>
      </c>
      <c r="AF5909">
        <v>-0.44321403426751299</v>
      </c>
      <c r="AG5909">
        <v>-0.12641999999999901</v>
      </c>
      <c r="AH5909">
        <v>0.73199811871026199</v>
      </c>
      <c r="AI5909">
        <v>98.403799716666498</v>
      </c>
      <c r="AJ5909">
        <v>121.194285179102</v>
      </c>
      <c r="AK5909">
        <v>0.86500979322031202</v>
      </c>
      <c r="AL5909">
        <v>65.4749023491038</v>
      </c>
      <c r="AM5909">
        <v>108.33363972851799</v>
      </c>
      <c r="AN5909">
        <v>1.00000000183412</v>
      </c>
    </row>
    <row r="5910" spans="1:40" x14ac:dyDescent="0.25">
      <c r="A5910" t="str">
        <f>"20190304164524424"</f>
        <v>20190304164524424</v>
      </c>
      <c r="B5910" t="str">
        <f>"1551689124415738"</f>
        <v>1551689124415738</v>
      </c>
      <c r="C5910" t="s">
        <v>40</v>
      </c>
      <c r="D5910">
        <v>5.2526699999999904</v>
      </c>
      <c r="E5910">
        <v>0.42996590000000001</v>
      </c>
      <c r="F5910" t="s">
        <v>49</v>
      </c>
      <c r="G5910">
        <v>-198.24979999999999</v>
      </c>
      <c r="H5910" s="1">
        <v>-4.2288549999999997E-6</v>
      </c>
      <c r="I5910">
        <v>-47.529800000000002</v>
      </c>
      <c r="J5910">
        <v>-202.47790000000001</v>
      </c>
      <c r="K5910">
        <v>1.1211310000000001</v>
      </c>
      <c r="L5910">
        <v>-55.62668</v>
      </c>
      <c r="M5910">
        <v>0.80751169999999906</v>
      </c>
      <c r="N5910">
        <v>-1.4906290000000001E-2</v>
      </c>
      <c r="O5910">
        <v>0.5896631</v>
      </c>
      <c r="P5910">
        <v>0.53955719999999996</v>
      </c>
      <c r="Q5910">
        <v>0.40926479999999998</v>
      </c>
      <c r="R5910">
        <v>0.73578549999999998</v>
      </c>
      <c r="S5910">
        <v>1.6524509999999999</v>
      </c>
      <c r="T5910">
        <v>-0.42460569999999997</v>
      </c>
      <c r="U5910">
        <v>3.1058650000000001</v>
      </c>
      <c r="V5910">
        <v>-0.28660989999999997</v>
      </c>
      <c r="W5910">
        <v>0.41507230000000001</v>
      </c>
      <c r="X5910">
        <v>0.86346389999999995</v>
      </c>
      <c r="Y5910">
        <v>-0.43551580000000001</v>
      </c>
      <c r="Z5910">
        <v>-3.7081330000000003E-2</v>
      </c>
      <c r="AA5910">
        <v>0.89941700000000002</v>
      </c>
      <c r="AB5910">
        <v>33</v>
      </c>
      <c r="AC5910">
        <v>4.2281000000000102</v>
      </c>
      <c r="AD5910">
        <v>-1.1211352288549901</v>
      </c>
      <c r="AE5910">
        <v>8.0968800000000005</v>
      </c>
      <c r="AF5910">
        <v>-3.9855788231971001</v>
      </c>
      <c r="AG5910">
        <v>-1.1211352288549901</v>
      </c>
      <c r="AH5910">
        <v>8.0680391041100297</v>
      </c>
      <c r="AI5910">
        <v>97.101740287867401</v>
      </c>
      <c r="AJ5910">
        <v>116.28918643402</v>
      </c>
      <c r="AK5910">
        <v>9.0683536401457996</v>
      </c>
      <c r="AL5910">
        <v>65.476132393186802</v>
      </c>
      <c r="AM5910">
        <v>108.362573398745</v>
      </c>
      <c r="AN5910">
        <v>1.0000000778042499</v>
      </c>
    </row>
    <row r="5911" spans="1:40" x14ac:dyDescent="0.25">
      <c r="A5911" t="str">
        <f>"20190304164524437"</f>
        <v>20190304164524437</v>
      </c>
      <c r="B5911" t="str">
        <f>"1551689124426301"</f>
        <v>1551689124426301</v>
      </c>
      <c r="C5911" t="s">
        <v>40</v>
      </c>
      <c r="D5911">
        <v>5.2556349999999998</v>
      </c>
      <c r="E5911">
        <v>0.4304596</v>
      </c>
      <c r="F5911" t="s">
        <v>41</v>
      </c>
      <c r="G5911">
        <v>-202.02350000000001</v>
      </c>
      <c r="H5911">
        <v>1.00295499999999</v>
      </c>
      <c r="I5911">
        <v>-54.761989999999997</v>
      </c>
      <c r="J5911">
        <v>-202.33420000000001</v>
      </c>
      <c r="K5911">
        <v>1.121129</v>
      </c>
      <c r="L5911">
        <v>-55.515349999999998</v>
      </c>
      <c r="M5911">
        <v>0.8037398</v>
      </c>
      <c r="N5911">
        <v>-1.490846E-2</v>
      </c>
      <c r="O5911">
        <v>0.59479419999999905</v>
      </c>
      <c r="P5911">
        <v>0.53458689999999998</v>
      </c>
      <c r="Q5911">
        <v>0.40918470000000001</v>
      </c>
      <c r="R5911">
        <v>0.73944900000000002</v>
      </c>
      <c r="S5911">
        <v>1.6359859999999999</v>
      </c>
      <c r="T5911">
        <v>-0.4255775</v>
      </c>
      <c r="U5911">
        <v>3.1143190000000001</v>
      </c>
      <c r="V5911">
        <v>-0.28696149999999998</v>
      </c>
      <c r="W5911">
        <v>0.41498639999999998</v>
      </c>
      <c r="X5911">
        <v>0.86338839999999994</v>
      </c>
      <c r="Y5911">
        <v>-0.43453999999999998</v>
      </c>
      <c r="Z5911">
        <v>-3.7912630000000003E-2</v>
      </c>
      <c r="AA5911">
        <v>0.89985419999999905</v>
      </c>
      <c r="AB5911">
        <v>33</v>
      </c>
      <c r="AC5911">
        <v>0.31069999999999698</v>
      </c>
      <c r="AD5911">
        <v>-0.118174</v>
      </c>
      <c r="AE5911">
        <v>0.75335999999999304</v>
      </c>
      <c r="AF5911">
        <v>-0.41208387122280898</v>
      </c>
      <c r="AG5911">
        <v>-0.118174</v>
      </c>
      <c r="AH5911">
        <v>0.683519877483168</v>
      </c>
      <c r="AI5911">
        <v>98.422221878260402</v>
      </c>
      <c r="AJ5911">
        <v>121.085144111476</v>
      </c>
      <c r="AK5911">
        <v>0.80683184996167701</v>
      </c>
      <c r="AL5911">
        <v>65.481541850942506</v>
      </c>
      <c r="AM5911">
        <v>108.38508558050501</v>
      </c>
      <c r="AN5911">
        <v>1.0000000719608799</v>
      </c>
    </row>
    <row r="5912" spans="1:40" x14ac:dyDescent="0.25">
      <c r="A5912" t="str">
        <f>"20190304164524448"</f>
        <v>20190304164524448</v>
      </c>
      <c r="B5912" t="str">
        <f>"1551689124436061"</f>
        <v>1551689124436061</v>
      </c>
      <c r="C5912" t="s">
        <v>40</v>
      </c>
      <c r="D5912">
        <v>5.2770609999999998</v>
      </c>
      <c r="E5912">
        <v>0.4304596</v>
      </c>
      <c r="F5912" t="s">
        <v>41</v>
      </c>
      <c r="G5912">
        <v>-201.83410000000001</v>
      </c>
      <c r="H5912">
        <v>0.98930589999999996</v>
      </c>
      <c r="I5912">
        <v>-54.550159999999998</v>
      </c>
      <c r="J5912">
        <v>-202.19390000000001</v>
      </c>
      <c r="K5912">
        <v>1.1211230000000001</v>
      </c>
      <c r="L5912">
        <v>-55.404789999999998</v>
      </c>
      <c r="M5912">
        <v>0.80000179999999999</v>
      </c>
      <c r="N5912">
        <v>-1.491024E-2</v>
      </c>
      <c r="O5912">
        <v>0.59981229999999996</v>
      </c>
      <c r="P5912">
        <v>0.52993369999999995</v>
      </c>
      <c r="Q5912">
        <v>0.4092635</v>
      </c>
      <c r="R5912">
        <v>0.74274739999999995</v>
      </c>
      <c r="S5912">
        <v>1.6180730000000001</v>
      </c>
      <c r="T5912">
        <v>-0.4265642</v>
      </c>
      <c r="U5912">
        <v>3.1233219999999999</v>
      </c>
      <c r="V5912">
        <v>-0.28694249999999999</v>
      </c>
      <c r="W5912">
        <v>0.41506969999999999</v>
      </c>
      <c r="X5912">
        <v>0.86335459999999997</v>
      </c>
      <c r="Y5912">
        <v>-0.43405470000000002</v>
      </c>
      <c r="Z5912">
        <v>-3.8706030000000002E-2</v>
      </c>
      <c r="AA5912">
        <v>0.90005460000000004</v>
      </c>
      <c r="AB5912">
        <v>33</v>
      </c>
      <c r="AC5912">
        <v>0.359800000000007</v>
      </c>
      <c r="AD5912">
        <v>-0.13181709999999899</v>
      </c>
      <c r="AE5912">
        <v>0.854630000000007</v>
      </c>
      <c r="AF5912">
        <v>-0.45867620231154399</v>
      </c>
      <c r="AG5912">
        <v>-0.13181709999999899</v>
      </c>
      <c r="AH5912">
        <v>0.78469027228633204</v>
      </c>
      <c r="AI5912">
        <v>98.251913903713998</v>
      </c>
      <c r="AJ5912">
        <v>120.307632209975</v>
      </c>
      <c r="AK5912">
        <v>0.91842170588469196</v>
      </c>
      <c r="AL5912">
        <v>65.476294354506507</v>
      </c>
      <c r="AM5912">
        <v>108.384621464525</v>
      </c>
      <c r="AN5912">
        <v>1.0000000097527499</v>
      </c>
    </row>
    <row r="5913" spans="1:40" x14ac:dyDescent="0.25">
      <c r="A5913" t="str">
        <f>"20190304164524465"</f>
        <v>20190304164524465</v>
      </c>
      <c r="B5913" t="str">
        <f>"1551689124455580"</f>
        <v>1551689124455580</v>
      </c>
      <c r="C5913" t="s">
        <v>40</v>
      </c>
      <c r="D5913">
        <v>5.2764119999999997</v>
      </c>
      <c r="E5913">
        <v>0.44640600000000003</v>
      </c>
      <c r="F5913" t="s">
        <v>49</v>
      </c>
      <c r="G5913">
        <v>-197.989</v>
      </c>
      <c r="H5913" s="1">
        <v>-4.3689050000000001E-6</v>
      </c>
      <c r="I5913">
        <v>-47.15925</v>
      </c>
      <c r="J5913">
        <v>-201.99979999999999</v>
      </c>
      <c r="K5913">
        <v>1.121111</v>
      </c>
      <c r="L5913">
        <v>-55.249600000000001</v>
      </c>
      <c r="M5913">
        <v>0.79474690000000003</v>
      </c>
      <c r="N5913">
        <v>-1.4912430000000001E-2</v>
      </c>
      <c r="O5913">
        <v>0.60675780000000001</v>
      </c>
      <c r="P5913">
        <v>0.52368190000000003</v>
      </c>
      <c r="Q5913">
        <v>0.40946129999999997</v>
      </c>
      <c r="R5913">
        <v>0.74706019999999995</v>
      </c>
      <c r="S5913">
        <v>1.5980379999999901</v>
      </c>
      <c r="T5913">
        <v>-0.42607810000000002</v>
      </c>
      <c r="U5913">
        <v>3.133667</v>
      </c>
      <c r="V5913">
        <v>-0.28657739999999998</v>
      </c>
      <c r="W5913">
        <v>0.41528399999999999</v>
      </c>
      <c r="X5913">
        <v>0.86337280000000005</v>
      </c>
      <c r="Y5913">
        <v>-0.43201539999999999</v>
      </c>
      <c r="Z5913">
        <v>-3.9670120000000003E-2</v>
      </c>
      <c r="AA5913">
        <v>0.9009933</v>
      </c>
      <c r="AB5913">
        <v>33</v>
      </c>
      <c r="AC5913">
        <v>4.0107999999999802</v>
      </c>
      <c r="AD5913">
        <v>-1.121115368905</v>
      </c>
      <c r="AE5913">
        <v>8.0903500000000008</v>
      </c>
      <c r="AF5913">
        <v>-3.9359698596450099</v>
      </c>
      <c r="AG5913">
        <v>-1.121115368905</v>
      </c>
      <c r="AH5913">
        <v>7.9744324563729103</v>
      </c>
      <c r="AI5913">
        <v>97.185302922754502</v>
      </c>
      <c r="AJ5913">
        <v>116.26973319583</v>
      </c>
      <c r="AK5913">
        <v>8.9632768231089894</v>
      </c>
      <c r="AL5913">
        <v>65.462797394823994</v>
      </c>
      <c r="AM5913">
        <v>108.362438235068</v>
      </c>
      <c r="AN5913">
        <v>0.99999999931329997</v>
      </c>
    </row>
    <row r="5914" spans="1:40" x14ac:dyDescent="0.25">
      <c r="A5914" t="str">
        <f>"20190304164524479"</f>
        <v>20190304164524479</v>
      </c>
      <c r="B5914" t="str">
        <f>"1551689124466317"</f>
        <v>1551689124466317</v>
      </c>
      <c r="C5914" t="s">
        <v>40</v>
      </c>
      <c r="D5914">
        <v>5.2708130000000004</v>
      </c>
      <c r="E5914">
        <v>0.44692379999999998</v>
      </c>
      <c r="F5914" t="s">
        <v>49</v>
      </c>
      <c r="G5914">
        <v>-197.86500000000001</v>
      </c>
      <c r="H5914" s="1">
        <v>-4.0920839999999997E-6</v>
      </c>
      <c r="I5914">
        <v>-47.665469999999999</v>
      </c>
      <c r="J5914">
        <v>-201.8544</v>
      </c>
      <c r="K5914">
        <v>1.1211100000000001</v>
      </c>
      <c r="L5914">
        <v>-55.131680000000003</v>
      </c>
      <c r="M5914">
        <v>0.79074630000000001</v>
      </c>
      <c r="N5914">
        <v>-1.4913879999999999E-2</v>
      </c>
      <c r="O5914">
        <v>0.61196229999999996</v>
      </c>
      <c r="P5914">
        <v>0.51901920000000001</v>
      </c>
      <c r="Q5914">
        <v>0.40913939999999999</v>
      </c>
      <c r="R5914">
        <v>0.7504826</v>
      </c>
      <c r="S5914">
        <v>1.68261699999999</v>
      </c>
      <c r="T5914">
        <v>-0.45622459999999998</v>
      </c>
      <c r="U5914">
        <v>3.0862729999999998</v>
      </c>
      <c r="V5914">
        <v>-0.28640860000000001</v>
      </c>
      <c r="W5914">
        <v>0.41497420000000002</v>
      </c>
      <c r="X5914">
        <v>0.8635777</v>
      </c>
      <c r="Y5914">
        <v>-0.40126020000000001</v>
      </c>
      <c r="Z5914">
        <v>-4.6048100000000002E-2</v>
      </c>
      <c r="AA5914">
        <v>0.91480589999999995</v>
      </c>
      <c r="AB5914">
        <v>33</v>
      </c>
      <c r="AC5914">
        <v>3.9893999999999799</v>
      </c>
      <c r="AD5914">
        <v>-1.1211140920839999</v>
      </c>
      <c r="AE5914">
        <v>7.4662100000000002</v>
      </c>
      <c r="AF5914">
        <v>-3.40320899985683</v>
      </c>
      <c r="AG5914">
        <v>-1.1211140920839999</v>
      </c>
      <c r="AH5914">
        <v>7.5913505224490896</v>
      </c>
      <c r="AI5914">
        <v>97.674995251364294</v>
      </c>
      <c r="AJ5914">
        <v>114.14673476879901</v>
      </c>
      <c r="AK5914">
        <v>8.39448217931659</v>
      </c>
      <c r="AL5914">
        <v>65.482307167086503</v>
      </c>
      <c r="AM5914">
        <v>108.34828457809</v>
      </c>
      <c r="AN5914">
        <v>0.99999995837844402</v>
      </c>
    </row>
    <row r="5915" spans="1:40" x14ac:dyDescent="0.25">
      <c r="A5915" t="str">
        <f>"20190304164524492"</f>
        <v>20190304164524492</v>
      </c>
      <c r="B5915" t="str">
        <f>"1551689124485837"</f>
        <v>1551689124485837</v>
      </c>
      <c r="C5915" t="s">
        <v>40</v>
      </c>
      <c r="D5915">
        <v>5.272824</v>
      </c>
      <c r="E5915">
        <v>0.44682240000000001</v>
      </c>
      <c r="F5915" t="s">
        <v>41</v>
      </c>
      <c r="G5915">
        <v>-201.3356</v>
      </c>
      <c r="H5915">
        <v>0.97815289999999999</v>
      </c>
      <c r="I5915">
        <v>-54.167209999999997</v>
      </c>
      <c r="J5915">
        <v>-201.69280000000001</v>
      </c>
      <c r="K5915">
        <v>1.121103</v>
      </c>
      <c r="L5915">
        <v>-54.998840000000001</v>
      </c>
      <c r="M5915">
        <v>0.78623460000000001</v>
      </c>
      <c r="N5915">
        <v>-1.491525E-2</v>
      </c>
      <c r="O5915">
        <v>0.61774799999999996</v>
      </c>
      <c r="P5915">
        <v>0.51368029999999998</v>
      </c>
      <c r="Q5915">
        <v>0.40931040000000002</v>
      </c>
      <c r="R5915">
        <v>0.75405409999999995</v>
      </c>
      <c r="S5915">
        <v>1.6652979999999999</v>
      </c>
      <c r="T5915">
        <v>-0.45886549999999998</v>
      </c>
      <c r="U5915">
        <v>3.095917</v>
      </c>
      <c r="V5915">
        <v>-0.28612310000000002</v>
      </c>
      <c r="W5915">
        <v>0.415159</v>
      </c>
      <c r="X5915">
        <v>0.86358359999999901</v>
      </c>
      <c r="Y5915">
        <v>-0.39973710000000001</v>
      </c>
      <c r="Z5915">
        <v>-4.7272160000000001E-2</v>
      </c>
      <c r="AA5915">
        <v>0.91540999999999995</v>
      </c>
      <c r="AB5915">
        <v>33</v>
      </c>
      <c r="AC5915">
        <v>0.35720000000000601</v>
      </c>
      <c r="AD5915">
        <v>-0.142950099999999</v>
      </c>
      <c r="AE5915">
        <v>0.83163000000000398</v>
      </c>
      <c r="AF5915">
        <v>-0.422700752864831</v>
      </c>
      <c r="AG5915">
        <v>-0.142950099999999</v>
      </c>
      <c r="AH5915">
        <v>0.77532883567892297</v>
      </c>
      <c r="AI5915">
        <v>99.1952039574564</v>
      </c>
      <c r="AJ5915">
        <v>118.598732444413</v>
      </c>
      <c r="AK5915">
        <v>0.89456439734528903</v>
      </c>
      <c r="AL5915">
        <v>65.470670887515695</v>
      </c>
      <c r="AM5915">
        <v>108.331101012294</v>
      </c>
      <c r="AN5915">
        <v>1.0000000289117801</v>
      </c>
    </row>
    <row r="5916" spans="1:40" x14ac:dyDescent="0.25">
      <c r="A5916" t="str">
        <f>"20190304164524506"</f>
        <v>20190304164524506</v>
      </c>
      <c r="B5916" t="str">
        <f>"1551689124495597"</f>
        <v>1551689124495597</v>
      </c>
      <c r="C5916" t="s">
        <v>40</v>
      </c>
      <c r="D5916">
        <v>5.2411479999999999</v>
      </c>
      <c r="E5916">
        <v>0.44682240000000001</v>
      </c>
      <c r="F5916" t="s">
        <v>49</v>
      </c>
      <c r="G5916">
        <v>-197.6455</v>
      </c>
      <c r="H5916" s="1">
        <v>-4.2207000000000001E-6</v>
      </c>
      <c r="I5916">
        <v>-47.332239999999999</v>
      </c>
      <c r="J5916">
        <v>-201.54249999999999</v>
      </c>
      <c r="K5916">
        <v>1.121102</v>
      </c>
      <c r="L5916">
        <v>-54.872889999999998</v>
      </c>
      <c r="M5916">
        <v>0.7819642</v>
      </c>
      <c r="N5916">
        <v>-1.491631E-2</v>
      </c>
      <c r="O5916">
        <v>0.62314480000000005</v>
      </c>
      <c r="P5916">
        <v>0.50867329999999999</v>
      </c>
      <c r="Q5916">
        <v>0.40895409999999999</v>
      </c>
      <c r="R5916">
        <v>0.75763309999999995</v>
      </c>
      <c r="S5916">
        <v>1.6405179999999999</v>
      </c>
      <c r="T5916">
        <v>-0.45443359999999999</v>
      </c>
      <c r="U5916">
        <v>3.107605</v>
      </c>
      <c r="V5916">
        <v>-0.28603390000000001</v>
      </c>
      <c r="W5916">
        <v>0.41481279999999998</v>
      </c>
      <c r="X5916">
        <v>0.86377939999999998</v>
      </c>
      <c r="Y5916">
        <v>-0.4005669</v>
      </c>
      <c r="Z5916">
        <v>-4.7417430000000003E-2</v>
      </c>
      <c r="AA5916">
        <v>0.91503979999999996</v>
      </c>
      <c r="AB5916">
        <v>33</v>
      </c>
      <c r="AC5916">
        <v>3.89699999999999</v>
      </c>
      <c r="AD5916">
        <v>-1.1211062207</v>
      </c>
      <c r="AE5916">
        <v>7.5406499999999896</v>
      </c>
      <c r="AF5916">
        <v>-3.40903828717253</v>
      </c>
      <c r="AG5916">
        <v>-1.1211062207</v>
      </c>
      <c r="AH5916">
        <v>7.6142624448277703</v>
      </c>
      <c r="AI5916">
        <v>97.653767673765401</v>
      </c>
      <c r="AJ5916">
        <v>114.118896077588</v>
      </c>
      <c r="AK5916">
        <v>8.4175657871034808</v>
      </c>
      <c r="AL5916">
        <v>65.492470568798595</v>
      </c>
      <c r="AM5916">
        <v>108.32189155614201</v>
      </c>
      <c r="AN5916">
        <v>0.99999995142870302</v>
      </c>
    </row>
    <row r="5917" spans="1:40" x14ac:dyDescent="0.25">
      <c r="A5917" t="str">
        <f>"20190304164524522"</f>
        <v>20190304164524522</v>
      </c>
      <c r="B5917" t="str">
        <f>"1551689124516094"</f>
        <v>1551689124516094</v>
      </c>
      <c r="C5917" t="s">
        <v>40</v>
      </c>
      <c r="D5917">
        <v>5.1830420000000004</v>
      </c>
      <c r="E5917">
        <v>0.40350059999999999</v>
      </c>
      <c r="F5917" t="s">
        <v>49</v>
      </c>
      <c r="G5917">
        <v>-197.56</v>
      </c>
      <c r="H5917" s="1">
        <v>-4.2720099999999998E-6</v>
      </c>
      <c r="I5917">
        <v>-47.200020000000002</v>
      </c>
      <c r="J5917">
        <v>-201.35210000000001</v>
      </c>
      <c r="K5917">
        <v>1.1211009999999999</v>
      </c>
      <c r="L5917">
        <v>-54.711239999999997</v>
      </c>
      <c r="M5917">
        <v>0.77646549999999903</v>
      </c>
      <c r="N5917">
        <v>-1.49178E-2</v>
      </c>
      <c r="O5917">
        <v>0.62998319999999997</v>
      </c>
      <c r="P5917">
        <v>0.50172629999999996</v>
      </c>
      <c r="Q5917">
        <v>0.40838829999999998</v>
      </c>
      <c r="R5917">
        <v>0.76255469999999903</v>
      </c>
      <c r="S5917">
        <v>1.6187739999999999</v>
      </c>
      <c r="T5917">
        <v>-0.45569779999999999</v>
      </c>
      <c r="U5917">
        <v>3.118805</v>
      </c>
      <c r="V5917">
        <v>-0.28656700000000002</v>
      </c>
      <c r="W5917">
        <v>0.41424</v>
      </c>
      <c r="X5917">
        <v>0.86387769999999997</v>
      </c>
      <c r="Y5917">
        <v>-0.39893650000000003</v>
      </c>
      <c r="Z5917">
        <v>-4.8629060000000002E-2</v>
      </c>
      <c r="AA5917">
        <v>0.91568819999999995</v>
      </c>
      <c r="AB5917">
        <v>33</v>
      </c>
      <c r="AC5917">
        <v>3.7921</v>
      </c>
      <c r="AD5917">
        <v>-1.1211052720100001</v>
      </c>
      <c r="AE5917">
        <v>7.5112199999999998</v>
      </c>
      <c r="AF5917">
        <v>-3.3835590661548198</v>
      </c>
      <c r="AG5917">
        <v>-1.1211052720100001</v>
      </c>
      <c r="AH5917">
        <v>7.5433157041459298</v>
      </c>
      <c r="AI5917">
        <v>97.7225090264062</v>
      </c>
      <c r="AJ5917">
        <v>114.15864977308399</v>
      </c>
      <c r="AK5917">
        <v>8.3430786162843802</v>
      </c>
      <c r="AL5917">
        <v>65.528536572048097</v>
      </c>
      <c r="AM5917">
        <v>108.351804112339</v>
      </c>
      <c r="AN5917">
        <v>1.00000005182314</v>
      </c>
    </row>
    <row r="5918" spans="1:40" x14ac:dyDescent="0.25">
      <c r="A5918" t="str">
        <f>"20190304164524537"</f>
        <v>20190304164524537</v>
      </c>
      <c r="B5918" t="str">
        <f>"1551689124525854"</f>
        <v>1551689124525854</v>
      </c>
      <c r="C5918" t="s">
        <v>40</v>
      </c>
      <c r="D5918">
        <v>5.1955650000000002</v>
      </c>
      <c r="E5918">
        <v>0.40117710000000001</v>
      </c>
      <c r="F5918" t="s">
        <v>41</v>
      </c>
      <c r="G5918">
        <v>-200.98859999999999</v>
      </c>
      <c r="H5918">
        <v>1.0252540000000001</v>
      </c>
      <c r="I5918">
        <v>-53.77131</v>
      </c>
      <c r="J5918">
        <v>-201.1961</v>
      </c>
      <c r="K5918">
        <v>1.121102</v>
      </c>
      <c r="L5918">
        <v>-54.576779999999999</v>
      </c>
      <c r="M5918">
        <v>0.77187799999999995</v>
      </c>
      <c r="N5918">
        <v>-1.491927E-2</v>
      </c>
      <c r="O5918">
        <v>0.63559560000000004</v>
      </c>
      <c r="P5918">
        <v>0.49627909999999997</v>
      </c>
      <c r="Q5918">
        <v>0.40819749999999999</v>
      </c>
      <c r="R5918">
        <v>0.76621269999999997</v>
      </c>
      <c r="S5918">
        <v>1.2682340000000001</v>
      </c>
      <c r="T5918">
        <v>-0.33434439999999999</v>
      </c>
      <c r="U5918">
        <v>3.2787480000000002</v>
      </c>
      <c r="V5918">
        <v>-0.28653089999999998</v>
      </c>
      <c r="W5918">
        <v>0.4140547</v>
      </c>
      <c r="X5918">
        <v>0.86397839999999904</v>
      </c>
      <c r="Y5918">
        <v>-0.49007909999999999</v>
      </c>
      <c r="Z5918">
        <v>-2.8626140000000001E-2</v>
      </c>
      <c r="AA5918">
        <v>0.87120779999999998</v>
      </c>
      <c r="AB5918">
        <v>33</v>
      </c>
      <c r="AC5918">
        <v>0.20750000000001001</v>
      </c>
      <c r="AD5918">
        <v>-9.5847999999999905E-2</v>
      </c>
      <c r="AE5918">
        <v>0.80547000000000601</v>
      </c>
      <c r="AF5918">
        <v>-0.48347302799374098</v>
      </c>
      <c r="AG5918">
        <v>-9.5847999999999905E-2</v>
      </c>
      <c r="AH5918">
        <v>0.66338369219257998</v>
      </c>
      <c r="AI5918">
        <v>96.659939402648902</v>
      </c>
      <c r="AJ5918">
        <v>126.084508858956</v>
      </c>
      <c r="AK5918">
        <v>0.82644475373039705</v>
      </c>
      <c r="AL5918">
        <v>65.540198510258094</v>
      </c>
      <c r="AM5918">
        <v>108.34765166636799</v>
      </c>
      <c r="AN5918">
        <v>0.99999996345672904</v>
      </c>
    </row>
    <row r="5919" spans="1:40" x14ac:dyDescent="0.25">
      <c r="A5919" t="str">
        <f>"20190304164524558"</f>
        <v>20190304164524558</v>
      </c>
      <c r="B5919" t="str">
        <f>"1551689124546349"</f>
        <v>1551689124546349</v>
      </c>
      <c r="C5919" t="s">
        <v>40</v>
      </c>
      <c r="D5919">
        <v>5.1854199999999997</v>
      </c>
      <c r="E5919">
        <v>0.39904230000000002</v>
      </c>
      <c r="F5919" t="s">
        <v>41</v>
      </c>
      <c r="G5919">
        <v>-200.81319999999999</v>
      </c>
      <c r="H5919">
        <v>1.0182180000000001</v>
      </c>
      <c r="I5919">
        <v>-53.548439999999999</v>
      </c>
      <c r="J5919">
        <v>-200.9744</v>
      </c>
      <c r="K5919">
        <v>1.121108</v>
      </c>
      <c r="L5919">
        <v>-54.381990000000002</v>
      </c>
      <c r="M5919">
        <v>0.76521839999999997</v>
      </c>
      <c r="N5919">
        <v>-1.492218E-2</v>
      </c>
      <c r="O5919">
        <v>0.6435978</v>
      </c>
      <c r="P5919">
        <v>0.48853600000000003</v>
      </c>
      <c r="Q5919">
        <v>0.40793940000000001</v>
      </c>
      <c r="R5919">
        <v>0.77130929999999998</v>
      </c>
      <c r="S5919">
        <v>1.2270810000000001</v>
      </c>
      <c r="T5919">
        <v>-0.3297619</v>
      </c>
      <c r="U5919">
        <v>3.296265</v>
      </c>
      <c r="V5919">
        <v>-0.28633629999999999</v>
      </c>
      <c r="W5919">
        <v>0.41380549999999999</v>
      </c>
      <c r="X5919">
        <v>0.86416229999999905</v>
      </c>
      <c r="Y5919">
        <v>-0.49209059999999999</v>
      </c>
      <c r="Z5919">
        <v>-2.8757680000000001E-2</v>
      </c>
      <c r="AA5919">
        <v>0.87006890000000003</v>
      </c>
      <c r="AB5919">
        <v>33</v>
      </c>
      <c r="AC5919">
        <v>0.161200000000008</v>
      </c>
      <c r="AD5919">
        <v>-0.102889999999999</v>
      </c>
      <c r="AE5919">
        <v>0.83355000000000201</v>
      </c>
      <c r="AF5919">
        <v>-0.52642759567479502</v>
      </c>
      <c r="AG5919">
        <v>-0.102889999999999</v>
      </c>
      <c r="AH5919">
        <v>0.65034591149932397</v>
      </c>
      <c r="AI5919">
        <v>97.010490108134405</v>
      </c>
      <c r="AJ5919">
        <v>128.98871051177599</v>
      </c>
      <c r="AK5919">
        <v>0.84300781146548898</v>
      </c>
      <c r="AL5919">
        <v>65.5558837107302</v>
      </c>
      <c r="AM5919">
        <v>108.33238338759</v>
      </c>
      <c r="AN5919">
        <v>0.99999997463461399</v>
      </c>
    </row>
    <row r="5920" spans="1:40" x14ac:dyDescent="0.25">
      <c r="A5920" t="str">
        <f>"20190304164524578"</f>
        <v>20190304164524578</v>
      </c>
      <c r="B5920" t="str">
        <f>"1551689124565868"</f>
        <v>1551689124565868</v>
      </c>
      <c r="C5920" t="s">
        <v>40</v>
      </c>
      <c r="D5920">
        <v>5.2251649999999996</v>
      </c>
      <c r="E5920">
        <v>0.39850849999999999</v>
      </c>
      <c r="F5920" t="s">
        <v>41</v>
      </c>
      <c r="G5920">
        <v>-200.60839999999999</v>
      </c>
      <c r="H5920">
        <v>1.019803</v>
      </c>
      <c r="I5920">
        <v>-53.348849999999999</v>
      </c>
      <c r="J5920">
        <v>-200.7491</v>
      </c>
      <c r="K5920">
        <v>1.1211249999999999</v>
      </c>
      <c r="L5920">
        <v>-54.179659999999998</v>
      </c>
      <c r="M5920">
        <v>0.75827449999999996</v>
      </c>
      <c r="N5920">
        <v>-1.492603E-2</v>
      </c>
      <c r="O5920">
        <v>0.65176449999999997</v>
      </c>
      <c r="P5920">
        <v>0.48101709999999898</v>
      </c>
      <c r="Q5920">
        <v>0.40757860000000001</v>
      </c>
      <c r="R5920">
        <v>0.77621019999999996</v>
      </c>
      <c r="S5920">
        <v>1.175308</v>
      </c>
      <c r="T5920">
        <v>-0.32527420000000001</v>
      </c>
      <c r="U5920">
        <v>3.3171390000000001</v>
      </c>
      <c r="V5920">
        <v>-0.28560780000000002</v>
      </c>
      <c r="W5920">
        <v>0.4134661</v>
      </c>
      <c r="X5920">
        <v>0.86456580000000005</v>
      </c>
      <c r="Y5920">
        <v>-0.49655510000000003</v>
      </c>
      <c r="Z5920">
        <v>-2.877507E-2</v>
      </c>
      <c r="AA5920">
        <v>0.86752809999999903</v>
      </c>
      <c r="AB5920">
        <v>33</v>
      </c>
      <c r="AC5920">
        <v>0.14070000000000901</v>
      </c>
      <c r="AD5920">
        <v>-0.101321999999999</v>
      </c>
      <c r="AE5920">
        <v>0.83080999999999905</v>
      </c>
      <c r="AF5920">
        <v>-0.53066610890329202</v>
      </c>
      <c r="AG5920">
        <v>-0.101321999999999</v>
      </c>
      <c r="AH5920">
        <v>0.63901470975527996</v>
      </c>
      <c r="AI5920">
        <v>96.954700811487996</v>
      </c>
      <c r="AJ5920">
        <v>129.70774193145999</v>
      </c>
      <c r="AK5920">
        <v>0.83678698968506005</v>
      </c>
      <c r="AL5920">
        <v>65.577244123730495</v>
      </c>
      <c r="AM5920">
        <v>108.28088187158799</v>
      </c>
      <c r="AN5920">
        <v>1.0000000268998399</v>
      </c>
    </row>
    <row r="5921" spans="1:40" x14ac:dyDescent="0.25">
      <c r="A5921" t="str">
        <f>"20190304164524592"</f>
        <v>20190304164524592</v>
      </c>
      <c r="B5921" t="str">
        <f>"1551689124586365"</f>
        <v>1551689124586365</v>
      </c>
      <c r="C5921" t="s">
        <v>40</v>
      </c>
      <c r="D5921">
        <v>5.253425</v>
      </c>
      <c r="E5921">
        <v>0.39996979999999999</v>
      </c>
      <c r="F5921" t="s">
        <v>41</v>
      </c>
      <c r="G5921">
        <v>-200.39879999999999</v>
      </c>
      <c r="H5921">
        <v>1.0208189999999999</v>
      </c>
      <c r="I5921">
        <v>-53.152760000000001</v>
      </c>
      <c r="J5921">
        <v>-200.5966</v>
      </c>
      <c r="K5921">
        <v>1.1211359999999999</v>
      </c>
      <c r="L5921">
        <v>-54.040370000000003</v>
      </c>
      <c r="M5921">
        <v>0.75347159999999902</v>
      </c>
      <c r="N5921">
        <v>-1.492922E-2</v>
      </c>
      <c r="O5921">
        <v>0.65731110000000004</v>
      </c>
      <c r="P5921">
        <v>0.47586909999999999</v>
      </c>
      <c r="Q5921">
        <v>0.4077462</v>
      </c>
      <c r="R5921">
        <v>0.77928920000000002</v>
      </c>
      <c r="S5921">
        <v>1.1363529999999999</v>
      </c>
      <c r="T5921">
        <v>-0.32541679999999901</v>
      </c>
      <c r="U5921">
        <v>3.331604</v>
      </c>
      <c r="V5921">
        <v>-0.28493089999999999</v>
      </c>
      <c r="W5921">
        <v>0.41364840000000003</v>
      </c>
      <c r="X5921">
        <v>0.86470190000000002</v>
      </c>
      <c r="Y5921">
        <v>-0.50041899999999995</v>
      </c>
      <c r="Z5921">
        <v>-2.9152609999999999E-2</v>
      </c>
      <c r="AA5921">
        <v>0.86529239999999996</v>
      </c>
      <c r="AB5921">
        <v>33</v>
      </c>
      <c r="AC5921">
        <v>0.1978</v>
      </c>
      <c r="AD5921">
        <v>-0.100317</v>
      </c>
      <c r="AE5921">
        <v>0.88760999999999501</v>
      </c>
      <c r="AF5921">
        <v>-0.53235454572713403</v>
      </c>
      <c r="AG5921">
        <v>-0.100317</v>
      </c>
      <c r="AH5921">
        <v>0.72374685232017499</v>
      </c>
      <c r="AI5921">
        <v>96.371014019022596</v>
      </c>
      <c r="AJ5921">
        <v>126.33647176438301</v>
      </c>
      <c r="AK5921">
        <v>0.90403228321156004</v>
      </c>
      <c r="AL5921">
        <v>65.565771308503798</v>
      </c>
      <c r="AM5921">
        <v>108.23774636414301</v>
      </c>
      <c r="AN5921">
        <v>0.99999999623048996</v>
      </c>
    </row>
    <row r="5922" spans="1:40" x14ac:dyDescent="0.25">
      <c r="A5922" t="str">
        <f>"20190304164524604"</f>
        <v>20190304164524604</v>
      </c>
      <c r="B5922" t="str">
        <f>"1551689124596124"</f>
        <v>1551689124596124</v>
      </c>
      <c r="C5922" t="s">
        <v>40</v>
      </c>
      <c r="D5922">
        <v>5.1887589999999904</v>
      </c>
      <c r="E5922">
        <v>0.40041739999999998</v>
      </c>
      <c r="F5922" t="s">
        <v>41</v>
      </c>
      <c r="G5922">
        <v>-200.3177</v>
      </c>
      <c r="H5922">
        <v>1.0393380000000001</v>
      </c>
      <c r="I5922">
        <v>-53.213279999999997</v>
      </c>
      <c r="J5922">
        <v>-200.4579</v>
      </c>
      <c r="K5922">
        <v>1.1211530000000001</v>
      </c>
      <c r="L5922">
        <v>-53.911290000000001</v>
      </c>
      <c r="M5922">
        <v>0.74900649999999902</v>
      </c>
      <c r="N5922">
        <v>-1.49327E-2</v>
      </c>
      <c r="O5922">
        <v>0.66239429999999999</v>
      </c>
      <c r="P5922">
        <v>0.47106609999999999</v>
      </c>
      <c r="Q5922">
        <v>0.40818149999999997</v>
      </c>
      <c r="R5922">
        <v>0.78197479999999997</v>
      </c>
      <c r="S5922">
        <v>1.124695</v>
      </c>
      <c r="T5922">
        <v>-0.32986159999999998</v>
      </c>
      <c r="U5922">
        <v>3.3354490000000001</v>
      </c>
      <c r="V5922">
        <v>-0.28425089999999997</v>
      </c>
      <c r="W5922">
        <v>0.41409509999999999</v>
      </c>
      <c r="X5922">
        <v>0.86471189999999998</v>
      </c>
      <c r="Y5922">
        <v>-0.49759009999999998</v>
      </c>
      <c r="Z5922">
        <v>-3.039157E-2</v>
      </c>
      <c r="AA5922">
        <v>0.86687969999999903</v>
      </c>
      <c r="AB5922">
        <v>33</v>
      </c>
      <c r="AC5922">
        <v>0.140199999999993</v>
      </c>
      <c r="AD5922">
        <v>-8.1815000000000193E-2</v>
      </c>
      <c r="AE5922">
        <v>0.69800999999999602</v>
      </c>
      <c r="AF5922">
        <v>-0.42438988231004299</v>
      </c>
      <c r="AG5922">
        <v>-8.1815000000000193E-2</v>
      </c>
      <c r="AH5922">
        <v>0.56003610009824301</v>
      </c>
      <c r="AI5922">
        <v>96.641284886641401</v>
      </c>
      <c r="AJ5922">
        <v>127.154493195588</v>
      </c>
      <c r="AK5922">
        <v>0.70741847575913797</v>
      </c>
      <c r="AL5922">
        <v>65.537656408274501</v>
      </c>
      <c r="AM5922">
        <v>108.196896108408</v>
      </c>
      <c r="AN5922">
        <v>0.99999999799821504</v>
      </c>
    </row>
    <row r="5923" spans="1:40" x14ac:dyDescent="0.25">
      <c r="A5923" t="str">
        <f>"20190304164524622"</f>
        <v>20190304164524622</v>
      </c>
      <c r="B5923" t="str">
        <f>"1551689124615645"</f>
        <v>1551689124615645</v>
      </c>
      <c r="C5923" t="s">
        <v>40</v>
      </c>
      <c r="D5923">
        <v>5.1857309999999996</v>
      </c>
      <c r="E5923">
        <v>0.40179700000000002</v>
      </c>
      <c r="F5923" t="s">
        <v>41</v>
      </c>
      <c r="G5923">
        <v>-200.15100000000001</v>
      </c>
      <c r="H5923">
        <v>1.0296609999999999</v>
      </c>
      <c r="I5923">
        <v>-52.984279999999998</v>
      </c>
      <c r="J5923">
        <v>-200.27619999999999</v>
      </c>
      <c r="K5923">
        <v>1.1211880000000001</v>
      </c>
      <c r="L5923">
        <v>-53.739989999999999</v>
      </c>
      <c r="M5923">
        <v>0.74304550000000003</v>
      </c>
      <c r="N5923">
        <v>-1.4938099999999999E-2</v>
      </c>
      <c r="O5923">
        <v>0.66907419999999995</v>
      </c>
      <c r="P5923">
        <v>0.46560810000000002</v>
      </c>
      <c r="Q5923">
        <v>0.4093058</v>
      </c>
      <c r="R5923">
        <v>0.78465149999999995</v>
      </c>
      <c r="S5923">
        <v>1.1068420000000001</v>
      </c>
      <c r="T5923">
        <v>-0.32986090000000001</v>
      </c>
      <c r="U5923">
        <v>3.3418879999999902</v>
      </c>
      <c r="V5923">
        <v>-0.28213860000000002</v>
      </c>
      <c r="W5923">
        <v>0.41526269999999998</v>
      </c>
      <c r="X5923">
        <v>0.86484369999999999</v>
      </c>
      <c r="Y5923">
        <v>-0.49451709999999899</v>
      </c>
      <c r="Z5923">
        <v>-3.1229699999999999E-2</v>
      </c>
      <c r="AA5923">
        <v>0.86860669999999995</v>
      </c>
      <c r="AB5923">
        <v>33</v>
      </c>
      <c r="AC5923">
        <v>0.125200000000006</v>
      </c>
      <c r="AD5923">
        <v>-9.1526999999999595E-2</v>
      </c>
      <c r="AE5923">
        <v>0.755709999999993</v>
      </c>
      <c r="AF5923">
        <v>-0.47108655460617499</v>
      </c>
      <c r="AG5923">
        <v>-9.1526999999999595E-2</v>
      </c>
      <c r="AH5923">
        <v>0.59029467659217305</v>
      </c>
      <c r="AI5923">
        <v>96.910040613324099</v>
      </c>
      <c r="AJ5923">
        <v>128.59172929295701</v>
      </c>
      <c r="AK5923">
        <v>0.76075458518025096</v>
      </c>
      <c r="AL5923">
        <v>65.464137978838593</v>
      </c>
      <c r="AM5923">
        <v>108.067917998032</v>
      </c>
      <c r="AN5923">
        <v>0.99999996252546897</v>
      </c>
    </row>
    <row r="5924" spans="1:40" x14ac:dyDescent="0.25">
      <c r="A5924" t="str">
        <f>"20190304164524636"</f>
        <v>20190304164524636</v>
      </c>
      <c r="B5924" t="str">
        <f>"1551689124626380"</f>
        <v>1551689124626380</v>
      </c>
      <c r="C5924" t="s">
        <v>40</v>
      </c>
      <c r="D5924">
        <v>5.2080599999999997</v>
      </c>
      <c r="E5924">
        <v>0.40260259999999998</v>
      </c>
      <c r="F5924" t="s">
        <v>41</v>
      </c>
      <c r="G5924">
        <v>-199.9605</v>
      </c>
      <c r="H5924">
        <v>1.0255970000000001</v>
      </c>
      <c r="I5924">
        <v>-52.77319</v>
      </c>
      <c r="J5924">
        <v>-200.13249999999999</v>
      </c>
      <c r="K5924">
        <v>1.1212169999999999</v>
      </c>
      <c r="L5924">
        <v>-53.602510000000002</v>
      </c>
      <c r="M5924">
        <v>0.73822900000000002</v>
      </c>
      <c r="N5924">
        <v>-1.494324E-2</v>
      </c>
      <c r="O5924">
        <v>0.67438469999999995</v>
      </c>
      <c r="P5924">
        <v>0.46099639999999997</v>
      </c>
      <c r="Q5924">
        <v>0.40973540000000003</v>
      </c>
      <c r="R5924">
        <v>0.78714629999999997</v>
      </c>
      <c r="S5924">
        <v>1.092743</v>
      </c>
      <c r="T5924">
        <v>-0.33096540000000002</v>
      </c>
      <c r="U5924">
        <v>3.347534</v>
      </c>
      <c r="V5924">
        <v>-0.28087659999999998</v>
      </c>
      <c r="W5924">
        <v>0.41571419999999998</v>
      </c>
      <c r="X5924">
        <v>0.86503759999999996</v>
      </c>
      <c r="Y5924">
        <v>-0.49204059999999999</v>
      </c>
      <c r="Z5924">
        <v>-3.203868E-2</v>
      </c>
      <c r="AA5924">
        <v>0.86998249999999999</v>
      </c>
      <c r="AB5924">
        <v>33</v>
      </c>
      <c r="AC5924">
        <v>0.17199999999999699</v>
      </c>
      <c r="AD5924">
        <v>-9.5619999999999997E-2</v>
      </c>
      <c r="AE5924">
        <v>0.82931999999999495</v>
      </c>
      <c r="AF5924">
        <v>-0.49004336479876098</v>
      </c>
      <c r="AG5924">
        <v>-9.5619999999999997E-2</v>
      </c>
      <c r="AH5924">
        <v>0.67769503051103097</v>
      </c>
      <c r="AI5924">
        <v>96.5226290424458</v>
      </c>
      <c r="AJ5924">
        <v>125.870807693041</v>
      </c>
      <c r="AK5924">
        <v>0.84175782631505003</v>
      </c>
      <c r="AL5924">
        <v>65.4356990176138</v>
      </c>
      <c r="AM5924">
        <v>107.988547181108</v>
      </c>
      <c r="AN5924">
        <v>1.0000000049614799</v>
      </c>
    </row>
    <row r="5925" spans="1:40" x14ac:dyDescent="0.25">
      <c r="A5925" t="str">
        <f>"20190304164524648"</f>
        <v>20190304164524648</v>
      </c>
      <c r="B5925" t="str">
        <f>"1551689124636141"</f>
        <v>1551689124636141</v>
      </c>
      <c r="C5925" t="s">
        <v>40</v>
      </c>
      <c r="D5925">
        <v>5.1991940000000003</v>
      </c>
      <c r="E5925">
        <v>0.4033388</v>
      </c>
      <c r="F5925" t="s">
        <v>41</v>
      </c>
      <c r="G5925">
        <v>-199.7929</v>
      </c>
      <c r="H5925">
        <v>1.016856</v>
      </c>
      <c r="I5925">
        <v>-52.546379999999999</v>
      </c>
      <c r="J5925">
        <v>-200.00030000000001</v>
      </c>
      <c r="K5925">
        <v>1.121243</v>
      </c>
      <c r="L5925">
        <v>-53.473750000000003</v>
      </c>
      <c r="M5925">
        <v>0.73369309999999999</v>
      </c>
      <c r="N5925">
        <v>-1.494967E-2</v>
      </c>
      <c r="O5925">
        <v>0.67931660000000005</v>
      </c>
      <c r="P5925">
        <v>0.45686909999999997</v>
      </c>
      <c r="Q5925">
        <v>0.40972130000000001</v>
      </c>
      <c r="R5925">
        <v>0.78955629999999999</v>
      </c>
      <c r="S5925">
        <v>1.078033</v>
      </c>
      <c r="T5925">
        <v>-0.3312638</v>
      </c>
      <c r="U5925">
        <v>3.3522949999999998</v>
      </c>
      <c r="V5925">
        <v>-0.279636</v>
      </c>
      <c r="W5925">
        <v>0.41572330000000002</v>
      </c>
      <c r="X5925">
        <v>0.86543510000000001</v>
      </c>
      <c r="Y5925">
        <v>-0.49004120000000001</v>
      </c>
      <c r="Z5925">
        <v>-3.2689500000000003E-2</v>
      </c>
      <c r="AA5925">
        <v>0.87108609999999898</v>
      </c>
      <c r="AB5925">
        <v>33</v>
      </c>
      <c r="AC5925">
        <v>0.207400000000006</v>
      </c>
      <c r="AD5925">
        <v>-0.10438699999999999</v>
      </c>
      <c r="AE5925">
        <v>0.92736999999999603</v>
      </c>
      <c r="AF5925">
        <v>-0.53314168569295395</v>
      </c>
      <c r="AG5925">
        <v>-0.10438699999999999</v>
      </c>
      <c r="AH5925">
        <v>0.77290668121206196</v>
      </c>
      <c r="AI5925">
        <v>96.343769691212998</v>
      </c>
      <c r="AJ5925">
        <v>124.59744239650701</v>
      </c>
      <c r="AK5925">
        <v>0.944733528914249</v>
      </c>
      <c r="AL5925">
        <v>65.435126487595497</v>
      </c>
      <c r="AM5925">
        <v>107.906479145322</v>
      </c>
      <c r="AN5925">
        <v>1.00000003348544</v>
      </c>
    </row>
    <row r="5926" spans="1:40" x14ac:dyDescent="0.25">
      <c r="A5926" t="str">
        <f>"20190304164524666"</f>
        <v>20190304164524666</v>
      </c>
      <c r="B5926" t="str">
        <f>"1551689124655660"</f>
        <v>1551689124655660</v>
      </c>
      <c r="C5926" t="s">
        <v>40</v>
      </c>
      <c r="D5926">
        <v>5.2056310000000003</v>
      </c>
      <c r="E5926">
        <v>0.40465319999999999</v>
      </c>
      <c r="F5926" t="s">
        <v>41</v>
      </c>
      <c r="G5926">
        <v>-199.72200000000001</v>
      </c>
      <c r="H5926">
        <v>1.03409</v>
      </c>
      <c r="I5926">
        <v>-52.595860000000002</v>
      </c>
      <c r="J5926">
        <v>-199.81890000000001</v>
      </c>
      <c r="K5926">
        <v>1.1212879999999901</v>
      </c>
      <c r="L5926">
        <v>-53.294400000000003</v>
      </c>
      <c r="M5926">
        <v>0.72733309999999995</v>
      </c>
      <c r="N5926">
        <v>-1.495958E-2</v>
      </c>
      <c r="O5926">
        <v>0.68612150000000005</v>
      </c>
      <c r="P5926">
        <v>0.45108870000000001</v>
      </c>
      <c r="Q5926">
        <v>0.40962379999999998</v>
      </c>
      <c r="R5926">
        <v>0.7929233</v>
      </c>
      <c r="S5926">
        <v>1.064133</v>
      </c>
      <c r="T5926">
        <v>-0.33325870000000002</v>
      </c>
      <c r="U5926">
        <v>3.3567499999999999</v>
      </c>
      <c r="V5926">
        <v>-0.2779645</v>
      </c>
      <c r="W5926">
        <v>0.41565609999999997</v>
      </c>
      <c r="X5926">
        <v>0.86600569999999899</v>
      </c>
      <c r="Y5926">
        <v>-0.4855525</v>
      </c>
      <c r="Z5926">
        <v>-3.3894229999999997E-2</v>
      </c>
      <c r="AA5926">
        <v>0.87355020000000005</v>
      </c>
      <c r="AB5926">
        <v>33</v>
      </c>
      <c r="AC5926">
        <v>9.6900000000005093E-2</v>
      </c>
      <c r="AD5926">
        <v>-8.7197999999999803E-2</v>
      </c>
      <c r="AE5926">
        <v>0.69854000000000804</v>
      </c>
      <c r="AF5926">
        <v>-0.434985431572743</v>
      </c>
      <c r="AG5926">
        <v>-8.7197999999999803E-2</v>
      </c>
      <c r="AH5926">
        <v>0.541544261071356</v>
      </c>
      <c r="AI5926">
        <v>97.155210826386906</v>
      </c>
      <c r="AJ5926">
        <v>128.772529008319</v>
      </c>
      <c r="AK5926">
        <v>0.70006142843599595</v>
      </c>
      <c r="AL5926">
        <v>65.439360670356606</v>
      </c>
      <c r="AM5926">
        <v>107.795230865161</v>
      </c>
      <c r="AN5926">
        <v>1.00000006457997</v>
      </c>
    </row>
    <row r="5927" spans="1:40" x14ac:dyDescent="0.25">
      <c r="A5927" t="str">
        <f>"20190304164524680"</f>
        <v>20190304164524680</v>
      </c>
      <c r="B5927" t="str">
        <f>"1551689124676157"</f>
        <v>1551689124676157</v>
      </c>
      <c r="C5927" t="s">
        <v>40</v>
      </c>
      <c r="D5927">
        <v>5.2238340000000001</v>
      </c>
      <c r="E5927">
        <v>0.40530670000000002</v>
      </c>
      <c r="F5927" t="s">
        <v>41</v>
      </c>
      <c r="G5927">
        <v>-199.53440000000001</v>
      </c>
      <c r="H5927">
        <v>1.0297860000000001</v>
      </c>
      <c r="I5927">
        <v>-52.382339999999999</v>
      </c>
      <c r="J5927">
        <v>-199.68289999999999</v>
      </c>
      <c r="K5927">
        <v>1.1213219999999999</v>
      </c>
      <c r="L5927">
        <v>-53.157809999999998</v>
      </c>
      <c r="M5927">
        <v>0.72245499999999996</v>
      </c>
      <c r="N5927">
        <v>-1.496741E-2</v>
      </c>
      <c r="O5927">
        <v>0.69125590000000003</v>
      </c>
      <c r="P5927">
        <v>0.44620860000000001</v>
      </c>
      <c r="Q5927">
        <v>0.40947159999999999</v>
      </c>
      <c r="R5927">
        <v>0.79575810000000002</v>
      </c>
      <c r="S5927">
        <v>1.0476529999999999</v>
      </c>
      <c r="T5927">
        <v>-0.33719470000000001</v>
      </c>
      <c r="U5927">
        <v>3.3616640000000002</v>
      </c>
      <c r="V5927">
        <v>-0.27723520000000001</v>
      </c>
      <c r="W5927">
        <v>0.4155104</v>
      </c>
      <c r="X5927">
        <v>0.86630929999999995</v>
      </c>
      <c r="Y5927">
        <v>-0.48363840000000002</v>
      </c>
      <c r="Z5927">
        <v>-3.5087790000000001E-2</v>
      </c>
      <c r="AA5927">
        <v>0.87456429999999996</v>
      </c>
      <c r="AB5927">
        <v>33</v>
      </c>
      <c r="AC5927">
        <v>0.14849999999998401</v>
      </c>
      <c r="AD5927">
        <v>-9.1535999999999798E-2</v>
      </c>
      <c r="AE5927">
        <v>0.77546999999999799</v>
      </c>
      <c r="AF5927">
        <v>-0.45157262217198901</v>
      </c>
      <c r="AG5927">
        <v>-9.1535999999999798E-2</v>
      </c>
      <c r="AH5927">
        <v>0.63487191648498698</v>
      </c>
      <c r="AI5927">
        <v>96.701018334807301</v>
      </c>
      <c r="AJ5927">
        <v>125.423536971345</v>
      </c>
      <c r="AK5927">
        <v>0.78444822820413496</v>
      </c>
      <c r="AL5927">
        <v>65.448537766188906</v>
      </c>
      <c r="AM5927">
        <v>107.745644968321</v>
      </c>
      <c r="AN5927">
        <v>1.00000002594684</v>
      </c>
    </row>
    <row r="5928" spans="1:40" x14ac:dyDescent="0.25">
      <c r="A5928" t="str">
        <f>"20190304164524701"</f>
        <v>20190304164524701</v>
      </c>
      <c r="B5928" t="str">
        <f>"1551689124695677"</f>
        <v>1551689124695677</v>
      </c>
      <c r="C5928" t="s">
        <v>40</v>
      </c>
      <c r="D5928">
        <v>5.2256720000000003</v>
      </c>
      <c r="E5928">
        <v>0.40670689999999998</v>
      </c>
      <c r="F5928" t="s">
        <v>41</v>
      </c>
      <c r="G5928">
        <v>-199.37450000000001</v>
      </c>
      <c r="H5928">
        <v>1.0202929999999999</v>
      </c>
      <c r="I5928">
        <v>-52.150480000000002</v>
      </c>
      <c r="J5928">
        <v>-199.4641</v>
      </c>
      <c r="K5928">
        <v>1.1213709999999999</v>
      </c>
      <c r="L5928">
        <v>-52.933439999999997</v>
      </c>
      <c r="M5928">
        <v>0.71438310000000005</v>
      </c>
      <c r="N5928">
        <v>-1.498032E-2</v>
      </c>
      <c r="O5928">
        <v>0.69959450000000001</v>
      </c>
      <c r="P5928">
        <v>0.4382144</v>
      </c>
      <c r="Q5928">
        <v>0.40803159999999999</v>
      </c>
      <c r="R5928">
        <v>0.80092350000000001</v>
      </c>
      <c r="S5928">
        <v>1.030716</v>
      </c>
      <c r="T5928">
        <v>-0.33757530000000002</v>
      </c>
      <c r="U5928">
        <v>3.365723</v>
      </c>
      <c r="V5928">
        <v>-0.27639709999999901</v>
      </c>
      <c r="W5928">
        <v>0.41407860000000002</v>
      </c>
      <c r="X5928">
        <v>0.86726209999999904</v>
      </c>
      <c r="Y5928">
        <v>-0.47782190000000002</v>
      </c>
      <c r="Z5928">
        <v>-3.6326490000000003E-2</v>
      </c>
      <c r="AA5928">
        <v>0.87770530000000002</v>
      </c>
      <c r="AB5928">
        <v>33</v>
      </c>
      <c r="AC5928">
        <v>8.9599999999990104E-2</v>
      </c>
      <c r="AD5928">
        <v>-0.101077999999999</v>
      </c>
      <c r="AE5928">
        <v>0.78296000000000199</v>
      </c>
      <c r="AF5928">
        <v>-0.48866654747820598</v>
      </c>
      <c r="AG5928">
        <v>-0.101077999999999</v>
      </c>
      <c r="AH5928">
        <v>0.60192971674540396</v>
      </c>
      <c r="AI5928">
        <v>97.427765305631198</v>
      </c>
      <c r="AJ5928">
        <v>129.07083969647101</v>
      </c>
      <c r="AK5928">
        <v>0.78187667864534205</v>
      </c>
      <c r="AL5928">
        <v>65.538694990368796</v>
      </c>
      <c r="AM5928">
        <v>107.67712047869099</v>
      </c>
      <c r="AN5928">
        <v>0.99999999698138997</v>
      </c>
    </row>
    <row r="5929" spans="1:40" x14ac:dyDescent="0.25">
      <c r="A5929" t="str">
        <f>"20190304164524714"</f>
        <v>20190304164524714</v>
      </c>
      <c r="B5929" t="str">
        <f>"1551689124706413"</f>
        <v>1551689124706413</v>
      </c>
      <c r="C5929" t="s">
        <v>40</v>
      </c>
      <c r="D5929">
        <v>5.222302</v>
      </c>
      <c r="E5929">
        <v>0.40696599999999999</v>
      </c>
      <c r="F5929" t="s">
        <v>41</v>
      </c>
      <c r="G5929">
        <v>-199.17</v>
      </c>
      <c r="H5929">
        <v>1.020499</v>
      </c>
      <c r="I5929">
        <v>-51.948500000000003</v>
      </c>
      <c r="J5929">
        <v>-199.33369999999999</v>
      </c>
      <c r="K5929">
        <v>1.1214040000000001</v>
      </c>
      <c r="L5929">
        <v>-52.797820000000002</v>
      </c>
      <c r="M5929">
        <v>0.70946519999999902</v>
      </c>
      <c r="N5929">
        <v>-1.498787E-2</v>
      </c>
      <c r="O5929">
        <v>0.70458109999999996</v>
      </c>
      <c r="P5929">
        <v>0.43305379999999899</v>
      </c>
      <c r="Q5929">
        <v>0.4073213</v>
      </c>
      <c r="R5929">
        <v>0.80408570000000001</v>
      </c>
      <c r="S5929">
        <v>1.005844</v>
      </c>
      <c r="T5929">
        <v>-0.34522459999999899</v>
      </c>
      <c r="U5929">
        <v>3.371216</v>
      </c>
      <c r="V5929">
        <v>-0.27616970000000002</v>
      </c>
      <c r="W5929">
        <v>0.41336450000000002</v>
      </c>
      <c r="X5929">
        <v>0.86767510000000003</v>
      </c>
      <c r="Y5929">
        <v>-0.47800819999999999</v>
      </c>
      <c r="Z5929">
        <v>-3.8007270000000003E-2</v>
      </c>
      <c r="AA5929">
        <v>0.87753269999999906</v>
      </c>
      <c r="AB5929">
        <v>33</v>
      </c>
      <c r="AC5929">
        <v>0.16370000000000501</v>
      </c>
      <c r="AD5929">
        <v>-0.10090499999999999</v>
      </c>
      <c r="AE5929">
        <v>0.84931999999999097</v>
      </c>
      <c r="AF5929">
        <v>-0.48073523057545098</v>
      </c>
      <c r="AG5929">
        <v>-0.10090499999999999</v>
      </c>
      <c r="AH5929">
        <v>0.705039320039342</v>
      </c>
      <c r="AI5929">
        <v>96.743757009625298</v>
      </c>
      <c r="AJ5929">
        <v>124.288352805773</v>
      </c>
      <c r="AK5929">
        <v>0.85928378533693395</v>
      </c>
      <c r="AL5929">
        <v>65.583636490122103</v>
      </c>
      <c r="AM5929">
        <v>107.655596226245</v>
      </c>
      <c r="AN5929">
        <v>0.999999996109175</v>
      </c>
    </row>
    <row r="5930" spans="1:40" x14ac:dyDescent="0.25">
      <c r="A5930" t="str">
        <f>"20190304164524726"</f>
        <v>20190304164524726</v>
      </c>
      <c r="B5930" t="str">
        <f>"1551689124716173"</f>
        <v>1551689124716173</v>
      </c>
      <c r="C5930" t="s">
        <v>40</v>
      </c>
      <c r="D5930">
        <v>5.1889459999999996</v>
      </c>
      <c r="E5930">
        <v>0.40718349999999998</v>
      </c>
      <c r="F5930" t="s">
        <v>41</v>
      </c>
      <c r="G5930">
        <v>-199.01740000000001</v>
      </c>
      <c r="H5930">
        <v>1.0102279999999999</v>
      </c>
      <c r="I5930">
        <v>-51.712919999999997</v>
      </c>
      <c r="J5930">
        <v>-199.2047</v>
      </c>
      <c r="K5930">
        <v>1.1214309999999901</v>
      </c>
      <c r="L5930">
        <v>-52.660640000000001</v>
      </c>
      <c r="M5930">
        <v>0.70447109999999902</v>
      </c>
      <c r="N5930">
        <v>-1.4995410000000001E-2</v>
      </c>
      <c r="O5930">
        <v>0.70957429999999999</v>
      </c>
      <c r="P5930">
        <v>0.42793700000000001</v>
      </c>
      <c r="Q5930">
        <v>0.40678419999999998</v>
      </c>
      <c r="R5930">
        <v>0.80709140000000001</v>
      </c>
      <c r="S5930">
        <v>0.98458860000000004</v>
      </c>
      <c r="T5930">
        <v>-0.34596149999999998</v>
      </c>
      <c r="U5930">
        <v>3.3759160000000001</v>
      </c>
      <c r="V5930">
        <v>-0.27575719999999998</v>
      </c>
      <c r="W5930">
        <v>0.41283029999999998</v>
      </c>
      <c r="X5930">
        <v>0.86806049999999901</v>
      </c>
      <c r="Y5930">
        <v>-0.47723450000000001</v>
      </c>
      <c r="Z5930">
        <v>-3.8726299999999998E-2</v>
      </c>
      <c r="AA5930">
        <v>0.87792219999999999</v>
      </c>
      <c r="AB5930">
        <v>33</v>
      </c>
      <c r="AC5930">
        <v>0.187299999999993</v>
      </c>
      <c r="AD5930">
        <v>-0.111202999999999</v>
      </c>
      <c r="AE5930">
        <v>0.94771999999999601</v>
      </c>
      <c r="AF5930">
        <v>-0.52780451020810604</v>
      </c>
      <c r="AG5930">
        <v>-0.111202999999999</v>
      </c>
      <c r="AH5930">
        <v>0.793994774448188</v>
      </c>
      <c r="AI5930">
        <v>96.652701857625999</v>
      </c>
      <c r="AJ5930">
        <v>123.613797195874</v>
      </c>
      <c r="AK5930">
        <v>0.959880935353988</v>
      </c>
      <c r="AL5930">
        <v>65.617244718163704</v>
      </c>
      <c r="AM5930">
        <v>107.62351642156899</v>
      </c>
      <c r="AN5930">
        <v>0.99999996080508902</v>
      </c>
    </row>
    <row r="5931" spans="1:40" x14ac:dyDescent="0.25">
      <c r="A5931" t="str">
        <f>"20190304164524746"</f>
        <v>20190304164524746</v>
      </c>
      <c r="B5931" t="str">
        <f>"1551689124736470"</f>
        <v>1551689124736470</v>
      </c>
      <c r="C5931" t="s">
        <v>40</v>
      </c>
      <c r="D5931">
        <v>5.2281399999999998</v>
      </c>
      <c r="E5931">
        <v>0.40778150000000002</v>
      </c>
      <c r="F5931" t="s">
        <v>41</v>
      </c>
      <c r="G5931">
        <v>-198.94720000000001</v>
      </c>
      <c r="H5931">
        <v>1.0287230000000001</v>
      </c>
      <c r="I5931">
        <v>-51.757530000000003</v>
      </c>
      <c r="J5931">
        <v>-199.01779999999999</v>
      </c>
      <c r="K5931">
        <v>1.1214660000000001</v>
      </c>
      <c r="L5931">
        <v>-52.459049999999998</v>
      </c>
      <c r="M5931">
        <v>0.69708959999999998</v>
      </c>
      <c r="N5931">
        <v>-1.500554E-2</v>
      </c>
      <c r="O5931">
        <v>0.71682699999999999</v>
      </c>
      <c r="P5931">
        <v>0.4201047</v>
      </c>
      <c r="Q5931">
        <v>0.4058814</v>
      </c>
      <c r="R5931">
        <v>0.81164799999999904</v>
      </c>
      <c r="S5931">
        <v>0.96423340000000002</v>
      </c>
      <c r="T5931">
        <v>-0.34706150000000002</v>
      </c>
      <c r="U5931">
        <v>3.3807369999999999</v>
      </c>
      <c r="V5931">
        <v>-0.27550370000000002</v>
      </c>
      <c r="W5931">
        <v>0.41192459999999997</v>
      </c>
      <c r="X5931">
        <v>0.86857119999999999</v>
      </c>
      <c r="Y5931">
        <v>-0.47337889999999999</v>
      </c>
      <c r="Z5931">
        <v>-3.9897170000000003E-2</v>
      </c>
      <c r="AA5931">
        <v>0.87995489999999998</v>
      </c>
      <c r="AB5931">
        <v>33</v>
      </c>
      <c r="AC5931">
        <v>7.0599999999984606E-2</v>
      </c>
      <c r="AD5931">
        <v>-9.2743000000000006E-2</v>
      </c>
      <c r="AE5931">
        <v>0.70152000000000203</v>
      </c>
      <c r="AF5931">
        <v>-0.43100623974228303</v>
      </c>
      <c r="AG5931">
        <v>-9.2743000000000006E-2</v>
      </c>
      <c r="AH5931">
        <v>0.54275422503154003</v>
      </c>
      <c r="AI5931">
        <v>97.621724289010899</v>
      </c>
      <c r="AJ5931">
        <v>128.453419937734</v>
      </c>
      <c r="AK5931">
        <v>0.69924944872010497</v>
      </c>
      <c r="AL5931">
        <v>65.674208587699397</v>
      </c>
      <c r="AM5931">
        <v>107.598602652526</v>
      </c>
      <c r="AN5931">
        <v>1.0000000471341399</v>
      </c>
    </row>
    <row r="5932" spans="1:40" x14ac:dyDescent="0.25">
      <c r="A5932" t="str">
        <f>"20190304164524761"</f>
        <v>20190304164524761</v>
      </c>
      <c r="B5932" t="str">
        <f>"1551689124755989"</f>
        <v>1551689124755989</v>
      </c>
      <c r="C5932" t="s">
        <v>40</v>
      </c>
      <c r="D5932">
        <v>5.2056690000000003</v>
      </c>
      <c r="E5932">
        <v>0.40831620000000002</v>
      </c>
      <c r="F5932" t="s">
        <v>41</v>
      </c>
      <c r="G5932">
        <v>-198.76410000000001</v>
      </c>
      <c r="H5932">
        <v>1.02695</v>
      </c>
      <c r="I5932">
        <v>-51.540660000000003</v>
      </c>
      <c r="J5932">
        <v>-198.87270000000001</v>
      </c>
      <c r="K5932">
        <v>1.121489</v>
      </c>
      <c r="L5932">
        <v>-52.29956</v>
      </c>
      <c r="M5932">
        <v>0.69122030000000001</v>
      </c>
      <c r="N5932">
        <v>-1.5012660000000001E-2</v>
      </c>
      <c r="O5932">
        <v>0.72248809999999997</v>
      </c>
      <c r="P5932">
        <v>0.41382910000000001</v>
      </c>
      <c r="Q5932">
        <v>0.40533720000000001</v>
      </c>
      <c r="R5932">
        <v>0.81513630000000004</v>
      </c>
      <c r="S5932">
        <v>0.93475339999999996</v>
      </c>
      <c r="T5932">
        <v>-0.34849599999999997</v>
      </c>
      <c r="U5932">
        <v>3.3866269999999998</v>
      </c>
      <c r="V5932">
        <v>-0.2753197</v>
      </c>
      <c r="W5932">
        <v>0.41137869999999999</v>
      </c>
      <c r="X5932">
        <v>0.86888809999999905</v>
      </c>
      <c r="Y5932">
        <v>-0.47370980000000001</v>
      </c>
      <c r="Z5932">
        <v>-4.0770679999999997E-2</v>
      </c>
      <c r="AA5932">
        <v>0.87973679999999999</v>
      </c>
      <c r="AB5932">
        <v>33</v>
      </c>
      <c r="AC5932">
        <v>0.10859999999999501</v>
      </c>
      <c r="AD5932">
        <v>-9.4538999999999901E-2</v>
      </c>
      <c r="AE5932">
        <v>0.75890000000000402</v>
      </c>
      <c r="AF5932">
        <v>-0.439472033789649</v>
      </c>
      <c r="AG5932">
        <v>-9.4538999999999901E-2</v>
      </c>
      <c r="AH5932">
        <v>0.61409436716180898</v>
      </c>
      <c r="AI5932">
        <v>97.135891687251203</v>
      </c>
      <c r="AJ5932">
        <v>125.58912033953099</v>
      </c>
      <c r="AK5932">
        <v>0.76104216886061804</v>
      </c>
      <c r="AL5932">
        <v>65.7085266903985</v>
      </c>
      <c r="AM5932">
        <v>107.581554554573</v>
      </c>
      <c r="AN5932">
        <v>0.99999995117169305</v>
      </c>
    </row>
    <row r="5933" spans="1:40" x14ac:dyDescent="0.25">
      <c r="A5933" t="str">
        <f>"20190304164524780"</f>
        <v>20190304164524780</v>
      </c>
      <c r="B5933" t="str">
        <f>"1551689124776485"</f>
        <v>1551689124776485</v>
      </c>
      <c r="C5933" t="s">
        <v>40</v>
      </c>
      <c r="D5933">
        <v>5.2606409999999997</v>
      </c>
      <c r="E5933">
        <v>0.40906520000000002</v>
      </c>
      <c r="F5933" t="s">
        <v>41</v>
      </c>
      <c r="G5933">
        <v>-198.6062</v>
      </c>
      <c r="H5933">
        <v>1.0193730000000001</v>
      </c>
      <c r="I5933">
        <v>-51.308430000000001</v>
      </c>
      <c r="J5933">
        <v>-198.69489999999999</v>
      </c>
      <c r="K5933">
        <v>1.1215170000000001</v>
      </c>
      <c r="L5933">
        <v>-52.100589999999997</v>
      </c>
      <c r="M5933">
        <v>0.68386499999999995</v>
      </c>
      <c r="N5933">
        <v>-1.502037E-2</v>
      </c>
      <c r="O5933">
        <v>0.72945400000000005</v>
      </c>
      <c r="P5933">
        <v>0.40632750000000001</v>
      </c>
      <c r="Q5933">
        <v>0.4041708</v>
      </c>
      <c r="R5933">
        <v>0.81947789999999998</v>
      </c>
      <c r="S5933">
        <v>0.91148379999999996</v>
      </c>
      <c r="T5933">
        <v>-0.34940290000000002</v>
      </c>
      <c r="U5933">
        <v>3.3913570000000002</v>
      </c>
      <c r="V5933">
        <v>-0.27487780000000001</v>
      </c>
      <c r="W5933">
        <v>0.41022409999999998</v>
      </c>
      <c r="X5933">
        <v>0.86957369999999901</v>
      </c>
      <c r="Y5933">
        <v>-0.4707421</v>
      </c>
      <c r="Z5933">
        <v>-4.1863989999999997E-2</v>
      </c>
      <c r="AA5933">
        <v>0.88127710000000004</v>
      </c>
      <c r="AB5933">
        <v>33</v>
      </c>
      <c r="AC5933">
        <v>8.8699999999988594E-2</v>
      </c>
      <c r="AD5933">
        <v>-0.102144</v>
      </c>
      <c r="AE5933">
        <v>0.79216000000000197</v>
      </c>
      <c r="AF5933">
        <v>-0.46937432663783102</v>
      </c>
      <c r="AG5933">
        <v>-0.102144</v>
      </c>
      <c r="AH5933">
        <v>0.62825874028000706</v>
      </c>
      <c r="AI5933">
        <v>97.420829437982604</v>
      </c>
      <c r="AJ5933">
        <v>126.76353860715901</v>
      </c>
      <c r="AK5933">
        <v>0.79085694027487696</v>
      </c>
      <c r="AL5933">
        <v>65.781087286299893</v>
      </c>
      <c r="AM5933">
        <v>107.542078083395</v>
      </c>
      <c r="AN5933">
        <v>1.0000000184426601</v>
      </c>
    </row>
    <row r="5934" spans="1:40" x14ac:dyDescent="0.25">
      <c r="A5934" t="str">
        <f>"20190304164524803"</f>
        <v>20190304164524803</v>
      </c>
      <c r="B5934" t="str">
        <f>"1551689124796007"</f>
        <v>1551689124796007</v>
      </c>
      <c r="C5934" t="s">
        <v>40</v>
      </c>
      <c r="D5934">
        <v>5.6465690000000004</v>
      </c>
      <c r="E5934">
        <v>0.45785310000000001</v>
      </c>
      <c r="F5934" t="s">
        <v>41</v>
      </c>
      <c r="G5934">
        <v>-198.4308</v>
      </c>
      <c r="H5934">
        <v>1.016167</v>
      </c>
      <c r="I5934">
        <v>-51.0871</v>
      </c>
      <c r="J5934">
        <v>-198.4684</v>
      </c>
      <c r="K5934">
        <v>1.1215379999999999</v>
      </c>
      <c r="L5934">
        <v>-51.840820000000001</v>
      </c>
      <c r="M5934">
        <v>0.67422309999999996</v>
      </c>
      <c r="N5934">
        <v>-1.502851E-2</v>
      </c>
      <c r="O5934">
        <v>0.7383748</v>
      </c>
      <c r="P5934">
        <v>0.3961942</v>
      </c>
      <c r="Q5934">
        <v>0.40349309999999999</v>
      </c>
      <c r="R5934">
        <v>0.82475669999999901</v>
      </c>
      <c r="S5934">
        <v>0.88453669999999995</v>
      </c>
      <c r="T5934">
        <v>-0.35302539999999999</v>
      </c>
      <c r="U5934">
        <v>3.3963930000000002</v>
      </c>
      <c r="V5934">
        <v>-0.27439930000000001</v>
      </c>
      <c r="W5934">
        <v>0.40955780000000003</v>
      </c>
      <c r="X5934">
        <v>0.87003869999999905</v>
      </c>
      <c r="Y5934">
        <v>-0.46603919999999999</v>
      </c>
      <c r="Z5934">
        <v>-4.3715030000000002E-2</v>
      </c>
      <c r="AA5934">
        <v>0.88368340000000001</v>
      </c>
      <c r="AB5934">
        <v>33</v>
      </c>
      <c r="AC5934">
        <v>3.7599999999997601E-2</v>
      </c>
      <c r="AD5934">
        <v>-0.10537099999999899</v>
      </c>
      <c r="AE5934">
        <v>0.75372000000000094</v>
      </c>
      <c r="AF5934">
        <v>-0.471278814339114</v>
      </c>
      <c r="AG5934">
        <v>-0.10537099999999899</v>
      </c>
      <c r="AH5934">
        <v>0.57081581483267496</v>
      </c>
      <c r="AI5934">
        <v>98.101612196002705</v>
      </c>
      <c r="AJ5934">
        <v>129.54387294468401</v>
      </c>
      <c r="AK5934">
        <v>0.74768807864574904</v>
      </c>
      <c r="AL5934">
        <v>65.822939284937107</v>
      </c>
      <c r="AM5934">
        <v>107.504621224049</v>
      </c>
      <c r="AN5934">
        <v>0.99999995343950798</v>
      </c>
    </row>
    <row r="5935" spans="1:40" x14ac:dyDescent="0.25">
      <c r="A5935" t="str">
        <f>"20190304164524818"</f>
        <v>20190304164524818</v>
      </c>
      <c r="B5935" t="str">
        <f>"1551689124805766"</f>
        <v>1551689124805766</v>
      </c>
      <c r="C5935" t="s">
        <v>40</v>
      </c>
      <c r="D5935">
        <v>5.3320650000000001</v>
      </c>
      <c r="E5935">
        <v>0.47355439999999999</v>
      </c>
      <c r="F5935" t="s">
        <v>49</v>
      </c>
      <c r="G5935">
        <v>-195.49520000000001</v>
      </c>
      <c r="H5935" s="1">
        <v>-5.5562030000000001E-6</v>
      </c>
      <c r="I5935">
        <v>-43.799930000000003</v>
      </c>
      <c r="J5935">
        <v>-198.33609999999999</v>
      </c>
      <c r="K5935">
        <v>1.1215489999999999</v>
      </c>
      <c r="L5935">
        <v>-51.686129999999999</v>
      </c>
      <c r="M5935">
        <v>0.66845949999999998</v>
      </c>
      <c r="N5935">
        <v>-1.5032469999999999E-2</v>
      </c>
      <c r="O5935">
        <v>0.7435967</v>
      </c>
      <c r="P5935">
        <v>0.38998450000000001</v>
      </c>
      <c r="Q5935">
        <v>0.40306750000000002</v>
      </c>
      <c r="R5935">
        <v>0.8279183</v>
      </c>
      <c r="S5935">
        <v>1.2123569999999999</v>
      </c>
      <c r="T5935">
        <v>-0.45732430000000002</v>
      </c>
      <c r="U5935">
        <v>3.278778</v>
      </c>
      <c r="V5935">
        <v>-0.2743061</v>
      </c>
      <c r="W5935">
        <v>0.40913529999999998</v>
      </c>
      <c r="X5935">
        <v>0.87026689999999995</v>
      </c>
      <c r="Y5935">
        <v>-0.3694636</v>
      </c>
      <c r="Z5935">
        <v>-6.6962250000000001E-2</v>
      </c>
      <c r="AA5935">
        <v>0.92682940000000003</v>
      </c>
      <c r="AB5935">
        <v>33</v>
      </c>
      <c r="AC5935">
        <v>2.8408999999999698</v>
      </c>
      <c r="AD5935">
        <v>-1.12155455620299</v>
      </c>
      <c r="AE5935">
        <v>7.8861999999999997</v>
      </c>
      <c r="AF5935">
        <v>-3.1039103210242698</v>
      </c>
      <c r="AG5935">
        <v>-1.12155455620299</v>
      </c>
      <c r="AH5935">
        <v>7.6275038823089796</v>
      </c>
      <c r="AI5935">
        <v>97.755724526177303</v>
      </c>
      <c r="AJ5935">
        <v>112.143205619585</v>
      </c>
      <c r="AK5935">
        <v>8.3108940179826192</v>
      </c>
      <c r="AL5935">
        <v>65.849472828145394</v>
      </c>
      <c r="AM5935">
        <v>107.494730100654</v>
      </c>
      <c r="AN5935">
        <v>1.0000000037194501</v>
      </c>
    </row>
    <row r="5936" spans="1:40" x14ac:dyDescent="0.25">
      <c r="A5936" t="str">
        <f>"20190304164524836"</f>
        <v>20190304164524836</v>
      </c>
      <c r="B5936" t="str">
        <f>"1551689124826261"</f>
        <v>1551689124826261</v>
      </c>
      <c r="C5936" t="s">
        <v>40</v>
      </c>
      <c r="D5936">
        <v>5.3009329999999997</v>
      </c>
      <c r="E5936">
        <v>0.48896269999999997</v>
      </c>
      <c r="F5936" t="s">
        <v>49</v>
      </c>
      <c r="G5936">
        <v>-195.34569999999999</v>
      </c>
      <c r="H5936" s="1">
        <v>-5.317474E-6</v>
      </c>
      <c r="I5936">
        <v>-44.255310000000001</v>
      </c>
      <c r="J5936">
        <v>-198.1679</v>
      </c>
      <c r="K5936">
        <v>1.1215520000000001</v>
      </c>
      <c r="L5936">
        <v>-51.485689999999998</v>
      </c>
      <c r="M5936">
        <v>0.66097680000000003</v>
      </c>
      <c r="N5936">
        <v>-1.503668E-2</v>
      </c>
      <c r="O5936">
        <v>0.75025569999999997</v>
      </c>
      <c r="P5936">
        <v>0.38166830000000002</v>
      </c>
      <c r="Q5936">
        <v>0.4026593</v>
      </c>
      <c r="R5936">
        <v>0.83198249999999996</v>
      </c>
      <c r="S5936">
        <v>1.306549</v>
      </c>
      <c r="T5936">
        <v>-0.4900292</v>
      </c>
      <c r="U5936">
        <v>3.2466740000000001</v>
      </c>
      <c r="V5936">
        <v>-0.27443699999999999</v>
      </c>
      <c r="W5936">
        <v>0.40872449999999999</v>
      </c>
      <c r="X5936">
        <v>0.87041859999999904</v>
      </c>
      <c r="Y5936">
        <v>-0.33388820000000002</v>
      </c>
      <c r="Z5936">
        <v>-7.55493E-2</v>
      </c>
      <c r="AA5936">
        <v>0.93958019999999998</v>
      </c>
      <c r="AB5936">
        <v>33</v>
      </c>
      <c r="AC5936">
        <v>2.8222</v>
      </c>
      <c r="AD5936">
        <v>-1.1215573174739999</v>
      </c>
      <c r="AE5936">
        <v>7.23038000000001</v>
      </c>
      <c r="AF5936">
        <v>-2.6075955567409199</v>
      </c>
      <c r="AG5936">
        <v>-1.1215573174739999</v>
      </c>
      <c r="AH5936">
        <v>7.1417455019551399</v>
      </c>
      <c r="AI5936">
        <v>98.391583004212293</v>
      </c>
      <c r="AJ5936">
        <v>110.05815929056</v>
      </c>
      <c r="AK5936">
        <v>7.6851788670538399</v>
      </c>
      <c r="AL5936">
        <v>65.875263975460996</v>
      </c>
      <c r="AM5936">
        <v>107.499704800149</v>
      </c>
      <c r="AN5936">
        <v>0.99999996154760395</v>
      </c>
    </row>
    <row r="5937" spans="1:40" x14ac:dyDescent="0.25">
      <c r="A5937" t="str">
        <f>"20190304164524849"</f>
        <v>20190304164524849</v>
      </c>
      <c r="B5937" t="str">
        <f>"1551689124845781"</f>
        <v>1551689124845781</v>
      </c>
      <c r="C5937" t="s">
        <v>40</v>
      </c>
      <c r="D5937">
        <v>5.2986240000000002</v>
      </c>
      <c r="E5937">
        <v>0.49695800000000001</v>
      </c>
      <c r="F5937" t="s">
        <v>49</v>
      </c>
      <c r="G5937">
        <v>-195.17689999999999</v>
      </c>
      <c r="H5937" s="1">
        <v>-5.1369830000000003E-6</v>
      </c>
      <c r="I5937">
        <v>-44.57826</v>
      </c>
      <c r="J5937">
        <v>-198.0378</v>
      </c>
      <c r="K5937">
        <v>1.1215539999999999</v>
      </c>
      <c r="L5937">
        <v>-51.327550000000002</v>
      </c>
      <c r="M5937">
        <v>0.65506759999999997</v>
      </c>
      <c r="N5937">
        <v>-1.5039220000000001E-2</v>
      </c>
      <c r="O5937">
        <v>0.7554206</v>
      </c>
      <c r="P5937">
        <v>0.37530920000000001</v>
      </c>
      <c r="Q5937">
        <v>0.4025222</v>
      </c>
      <c r="R5937">
        <v>0.83493639999999902</v>
      </c>
      <c r="S5937">
        <v>1.3939969999999999</v>
      </c>
      <c r="T5937">
        <v>-0.52272700000000005</v>
      </c>
      <c r="U5937">
        <v>3.21936</v>
      </c>
      <c r="V5937">
        <v>-0.2742887</v>
      </c>
      <c r="W5937">
        <v>0.40859269999999998</v>
      </c>
      <c r="X5937">
        <v>0.8705273</v>
      </c>
      <c r="Y5937">
        <v>-0.30222870000000002</v>
      </c>
      <c r="Z5937">
        <v>-8.3810919999999997E-2</v>
      </c>
      <c r="AA5937">
        <v>0.94954380000000005</v>
      </c>
      <c r="AB5937">
        <v>33</v>
      </c>
      <c r="AC5937">
        <v>2.8609000000000102</v>
      </c>
      <c r="AD5937">
        <v>-1.121559136983</v>
      </c>
      <c r="AE5937">
        <v>6.7492900000000002</v>
      </c>
      <c r="AF5937">
        <v>-2.2086146133538098</v>
      </c>
      <c r="AG5937">
        <v>-1.121559136983</v>
      </c>
      <c r="AH5937">
        <v>6.8139234034604801</v>
      </c>
      <c r="AI5937">
        <v>98.899021105161395</v>
      </c>
      <c r="AJ5937">
        <v>107.959198957363</v>
      </c>
      <c r="AK5937">
        <v>7.2502017596958304</v>
      </c>
      <c r="AL5937">
        <v>65.883539811655496</v>
      </c>
      <c r="AM5937">
        <v>107.488774255473</v>
      </c>
      <c r="AN5937">
        <v>1.00000003274313</v>
      </c>
    </row>
    <row r="5938" spans="1:40" x14ac:dyDescent="0.25">
      <c r="A5938" t="str">
        <f>"20190304164524869"</f>
        <v>20190304164524869</v>
      </c>
      <c r="B5938" t="str">
        <f>"1551689124866278"</f>
        <v>1551689124866278</v>
      </c>
      <c r="C5938" t="s">
        <v>40</v>
      </c>
      <c r="D5938">
        <v>5.2931970000000002</v>
      </c>
      <c r="E5938">
        <v>0.50149869999999996</v>
      </c>
      <c r="F5938" t="s">
        <v>49</v>
      </c>
      <c r="G5938">
        <v>-195.05430000000001</v>
      </c>
      <c r="H5938" s="1">
        <v>-5.089082E-6</v>
      </c>
      <c r="I5938">
        <v>-44.634239999999998</v>
      </c>
      <c r="J5938">
        <v>-197.87090000000001</v>
      </c>
      <c r="K5938">
        <v>1.121553</v>
      </c>
      <c r="L5938">
        <v>-51.121000000000002</v>
      </c>
      <c r="M5938">
        <v>0.64733909999999995</v>
      </c>
      <c r="N5938">
        <v>-1.5041789999999999E-2</v>
      </c>
      <c r="O5938">
        <v>0.76205369999999995</v>
      </c>
      <c r="P5938">
        <v>0.36684230000000001</v>
      </c>
      <c r="Q5938">
        <v>0.40240239999999999</v>
      </c>
      <c r="R5938">
        <v>0.83874850000000001</v>
      </c>
      <c r="S5938">
        <v>1.4305270000000001</v>
      </c>
      <c r="T5938">
        <v>-0.53776759999999901</v>
      </c>
      <c r="U5938">
        <v>3.20932</v>
      </c>
      <c r="V5938">
        <v>-0.2742655</v>
      </c>
      <c r="W5938">
        <v>0.40847509999999998</v>
      </c>
      <c r="X5938">
        <v>0.87058969999999902</v>
      </c>
      <c r="Y5938">
        <v>-0.28256399999999998</v>
      </c>
      <c r="Z5938">
        <v>-8.8625430000000005E-2</v>
      </c>
      <c r="AA5938">
        <v>0.95514560000000004</v>
      </c>
      <c r="AB5938">
        <v>33</v>
      </c>
      <c r="AC5938">
        <v>2.81659999999999</v>
      </c>
      <c r="AD5938">
        <v>-1.1215580890820001</v>
      </c>
      <c r="AE5938">
        <v>6.4867599999999896</v>
      </c>
      <c r="AF5938">
        <v>-2.0025955554335999</v>
      </c>
      <c r="AG5938">
        <v>-1.1215580890820001</v>
      </c>
      <c r="AH5938">
        <v>6.6012837390526098</v>
      </c>
      <c r="AI5938">
        <v>99.234539086012504</v>
      </c>
      <c r="AJ5938">
        <v>106.8759380763</v>
      </c>
      <c r="AK5938">
        <v>6.9889361500380103</v>
      </c>
      <c r="AL5938">
        <v>65.890919783100898</v>
      </c>
      <c r="AM5938">
        <v>107.486208163341</v>
      </c>
      <c r="AN5938">
        <v>0.999999948778173</v>
      </c>
    </row>
    <row r="5939" spans="1:40" x14ac:dyDescent="0.25">
      <c r="A5939" t="str">
        <f>"20190304164524883"</f>
        <v>20190304164524883</v>
      </c>
      <c r="B5939" t="str">
        <f>"1551689124876037"</f>
        <v>1551689124876037</v>
      </c>
      <c r="C5939" t="s">
        <v>40</v>
      </c>
      <c r="D5939">
        <v>5.2536100000000001</v>
      </c>
      <c r="E5939">
        <v>0.50308419999999998</v>
      </c>
      <c r="F5939" t="s">
        <v>49</v>
      </c>
      <c r="G5939">
        <v>-194.9453</v>
      </c>
      <c r="H5939" s="1">
        <v>-5.1025830000000002E-6</v>
      </c>
      <c r="I5939">
        <v>-44.563609999999997</v>
      </c>
      <c r="J5939">
        <v>-197.73500000000001</v>
      </c>
      <c r="K5939">
        <v>1.121542</v>
      </c>
      <c r="L5939">
        <v>-50.949460000000002</v>
      </c>
      <c r="M5939">
        <v>0.64091669999999901</v>
      </c>
      <c r="N5939">
        <v>-1.5043249999999999E-2</v>
      </c>
      <c r="O5939">
        <v>0.76746309999999995</v>
      </c>
      <c r="P5939">
        <v>0.36013079999999997</v>
      </c>
      <c r="Q5939">
        <v>0.40238010000000002</v>
      </c>
      <c r="R5939">
        <v>0.84166269999999999</v>
      </c>
      <c r="S5939">
        <v>1.43367</v>
      </c>
      <c r="T5939">
        <v>-0.5496124</v>
      </c>
      <c r="U5939">
        <v>3.213409</v>
      </c>
      <c r="V5939">
        <v>-0.27391189999999999</v>
      </c>
      <c r="W5939">
        <v>0.40846519999999997</v>
      </c>
      <c r="X5939">
        <v>0.87070569999999903</v>
      </c>
      <c r="Y5939">
        <v>-0.27433039999999997</v>
      </c>
      <c r="Z5939">
        <v>-9.2058550000000003E-2</v>
      </c>
      <c r="AA5939">
        <v>0.95721889999999998</v>
      </c>
      <c r="AB5939">
        <v>33</v>
      </c>
      <c r="AC5939">
        <v>2.7897000000000101</v>
      </c>
      <c r="AD5939">
        <v>-1.1215471025829999</v>
      </c>
      <c r="AE5939">
        <v>6.3858499999999898</v>
      </c>
      <c r="AF5939">
        <v>-1.90274097507636</v>
      </c>
      <c r="AG5939">
        <v>-1.1215471025829999</v>
      </c>
      <c r="AH5939">
        <v>6.5207226211882601</v>
      </c>
      <c r="AI5939">
        <v>99.375609207991403</v>
      </c>
      <c r="AJ5939">
        <v>106.267197302569</v>
      </c>
      <c r="AK5939">
        <v>6.8846288661062296</v>
      </c>
      <c r="AL5939">
        <v>65.891542077385793</v>
      </c>
      <c r="AM5939">
        <v>107.462850102565</v>
      </c>
      <c r="AN5939">
        <v>0.99999998229256903</v>
      </c>
    </row>
    <row r="5940" spans="1:40" x14ac:dyDescent="0.25">
      <c r="A5940" t="str">
        <f>"20190304164524904"</f>
        <v>20190304164524904</v>
      </c>
      <c r="B5940" t="str">
        <f>"1551689124895557"</f>
        <v>1551689124895557</v>
      </c>
      <c r="C5940" t="s">
        <v>40</v>
      </c>
      <c r="D5940">
        <v>5.3000970000000001</v>
      </c>
      <c r="E5940">
        <v>0.50581209999999999</v>
      </c>
      <c r="F5940" t="s">
        <v>49</v>
      </c>
      <c r="G5940">
        <v>-194.85489999999999</v>
      </c>
      <c r="H5940" s="1">
        <v>-5.1563250000000001E-6</v>
      </c>
      <c r="I5940">
        <v>-44.413670000000003</v>
      </c>
      <c r="J5940">
        <v>-197.56020000000001</v>
      </c>
      <c r="K5940">
        <v>1.1215299999999999</v>
      </c>
      <c r="L5940">
        <v>-50.724550000000001</v>
      </c>
      <c r="M5940">
        <v>0.63249069999999996</v>
      </c>
      <c r="N5940">
        <v>-1.5044160000000001E-2</v>
      </c>
      <c r="O5940">
        <v>0.77442180000000005</v>
      </c>
      <c r="P5940">
        <v>0.35128399999999999</v>
      </c>
      <c r="Q5940">
        <v>0.40184839999999999</v>
      </c>
      <c r="R5940">
        <v>0.84564609999999996</v>
      </c>
      <c r="S5940">
        <v>1.4195249999999999</v>
      </c>
      <c r="T5940">
        <v>-0.55276910000000001</v>
      </c>
      <c r="U5940">
        <v>3.2212519999999998</v>
      </c>
      <c r="V5940">
        <v>-0.27366459999999998</v>
      </c>
      <c r="W5940">
        <v>0.40794930000000001</v>
      </c>
      <c r="X5940">
        <v>0.8710253</v>
      </c>
      <c r="Y5940">
        <v>-0.26828960000000002</v>
      </c>
      <c r="Z5940">
        <v>-9.4125239999999999E-2</v>
      </c>
      <c r="AA5940">
        <v>0.95872889999999999</v>
      </c>
      <c r="AB5940">
        <v>33</v>
      </c>
      <c r="AC5940">
        <v>2.7053000000000198</v>
      </c>
      <c r="AD5940">
        <v>-1.121535156325</v>
      </c>
      <c r="AE5940">
        <v>6.3108799999999903</v>
      </c>
      <c r="AF5940">
        <v>-1.8474546409094601</v>
      </c>
      <c r="AG5940">
        <v>-1.121535156325</v>
      </c>
      <c r="AH5940">
        <v>6.4276196783357804</v>
      </c>
      <c r="AI5940">
        <v>99.519769180404495</v>
      </c>
      <c r="AJ5940">
        <v>106.035941632038</v>
      </c>
      <c r="AK5940">
        <v>6.7812406303286501</v>
      </c>
      <c r="AL5940">
        <v>65.923922254854503</v>
      </c>
      <c r="AM5940">
        <v>107.442027283356</v>
      </c>
      <c r="AN5940">
        <v>1.0000000089518699</v>
      </c>
    </row>
    <row r="5941" spans="1:40" x14ac:dyDescent="0.25">
      <c r="A5941" t="str">
        <f>"20190304164524925"</f>
        <v>20190304164524925</v>
      </c>
      <c r="B5941" t="str">
        <f>"1551689124916053"</f>
        <v>1551689124916053</v>
      </c>
      <c r="C5941" t="s">
        <v>40</v>
      </c>
      <c r="D5941">
        <v>5.2091149999999997</v>
      </c>
      <c r="E5941">
        <v>0.50777539999999999</v>
      </c>
      <c r="F5941" t="s">
        <v>49</v>
      </c>
      <c r="G5941">
        <v>-194.75319999999999</v>
      </c>
      <c r="H5941" s="1">
        <v>-5.1998489999999996E-6</v>
      </c>
      <c r="I5941">
        <v>-44.281379999999999</v>
      </c>
      <c r="J5941">
        <v>-197.37200000000001</v>
      </c>
      <c r="K5941">
        <v>1.12151</v>
      </c>
      <c r="L5941">
        <v>-50.476619999999997</v>
      </c>
      <c r="M5941">
        <v>0.62320569999999997</v>
      </c>
      <c r="N5941">
        <v>-1.504366E-2</v>
      </c>
      <c r="O5941">
        <v>0.78191330000000003</v>
      </c>
      <c r="P5941">
        <v>0.3416129</v>
      </c>
      <c r="Q5941">
        <v>0.40087539999999999</v>
      </c>
      <c r="R5941">
        <v>0.850058599999999</v>
      </c>
      <c r="S5941">
        <v>1.4072420000000001</v>
      </c>
      <c r="T5941">
        <v>-0.56226609999999999</v>
      </c>
      <c r="U5941">
        <v>3.230194</v>
      </c>
      <c r="V5941">
        <v>-0.27345449999999999</v>
      </c>
      <c r="W5941">
        <v>0.40699740000000001</v>
      </c>
      <c r="X5941">
        <v>0.87153639999999999</v>
      </c>
      <c r="Y5941">
        <v>-0.26098130000000003</v>
      </c>
      <c r="Z5941">
        <v>-9.7531359999999998E-2</v>
      </c>
      <c r="AA5941">
        <v>0.96040429999999999</v>
      </c>
      <c r="AB5941">
        <v>33</v>
      </c>
      <c r="AC5941">
        <v>2.6188000000000198</v>
      </c>
      <c r="AD5941">
        <v>-1.1215151998490001</v>
      </c>
      <c r="AE5941">
        <v>6.1952400000000001</v>
      </c>
      <c r="AF5941">
        <v>-1.76438380287372</v>
      </c>
      <c r="AG5941">
        <v>-1.1215151998490001</v>
      </c>
      <c r="AH5941">
        <v>6.3017159113920904</v>
      </c>
      <c r="AI5941">
        <v>99.724830990906497</v>
      </c>
      <c r="AJ5941">
        <v>105.641431569199</v>
      </c>
      <c r="AK5941">
        <v>6.6394630788361004</v>
      </c>
      <c r="AL5941">
        <v>65.983644078943996</v>
      </c>
      <c r="AM5941">
        <v>107.419845029993</v>
      </c>
      <c r="AN5941">
        <v>0.99999997185098399</v>
      </c>
    </row>
    <row r="5942" spans="1:40" x14ac:dyDescent="0.25">
      <c r="A5942" t="str">
        <f>"20190304164524947"</f>
        <v>20190304164524947</v>
      </c>
      <c r="B5942" t="str">
        <f>"1551689124935573"</f>
        <v>1551689124935573</v>
      </c>
      <c r="C5942" t="s">
        <v>40</v>
      </c>
      <c r="D5942">
        <v>5.2896739999999998</v>
      </c>
      <c r="E5942">
        <v>0.50959309999999902</v>
      </c>
      <c r="F5942" t="s">
        <v>49</v>
      </c>
      <c r="G5942">
        <v>-194.64269999999999</v>
      </c>
      <c r="H5942" s="1">
        <v>-5.2641010000000004E-6</v>
      </c>
      <c r="I5942">
        <v>-44.101219999999998</v>
      </c>
      <c r="J5942">
        <v>-197.18770000000001</v>
      </c>
      <c r="K5942">
        <v>1.1214839999999999</v>
      </c>
      <c r="L5942">
        <v>-50.227780000000003</v>
      </c>
      <c r="M5942">
        <v>0.61389589999999905</v>
      </c>
      <c r="N5942">
        <v>-1.5041499999999999E-2</v>
      </c>
      <c r="O5942">
        <v>0.78924369999999999</v>
      </c>
      <c r="P5942">
        <v>0.33177020000000002</v>
      </c>
      <c r="Q5942">
        <v>0.39997909999999998</v>
      </c>
      <c r="R5942">
        <v>0.85436829999999997</v>
      </c>
      <c r="S5942">
        <v>1.3872530000000001</v>
      </c>
      <c r="T5942">
        <v>-0.57004679999999996</v>
      </c>
      <c r="U5942">
        <v>3.2405089999999999</v>
      </c>
      <c r="V5942">
        <v>-0.27340540000000002</v>
      </c>
      <c r="W5942">
        <v>0.40612039999999999</v>
      </c>
      <c r="X5942">
        <v>0.87196079999999998</v>
      </c>
      <c r="Y5942">
        <v>-0.25578459999999997</v>
      </c>
      <c r="Z5942">
        <v>-0.1005513</v>
      </c>
      <c r="AA5942">
        <v>0.96149030000000002</v>
      </c>
      <c r="AB5942">
        <v>33</v>
      </c>
      <c r="AC5942">
        <v>2.5450000000000101</v>
      </c>
      <c r="AD5942">
        <v>-1.1214892641009999</v>
      </c>
      <c r="AE5942">
        <v>6.1265599999999898</v>
      </c>
      <c r="AF5942">
        <v>-1.7039488007508501</v>
      </c>
      <c r="AG5942">
        <v>-1.1214892641009999</v>
      </c>
      <c r="AH5942">
        <v>6.2206676679262403</v>
      </c>
      <c r="AI5942">
        <v>99.863925896831006</v>
      </c>
      <c r="AJ5942">
        <v>105.31856530005901</v>
      </c>
      <c r="AK5942">
        <v>6.546593459186</v>
      </c>
      <c r="AL5942">
        <v>66.038642851223898</v>
      </c>
      <c r="AM5942">
        <v>107.408941553595</v>
      </c>
      <c r="AN5942">
        <v>0.99999996439097905</v>
      </c>
    </row>
    <row r="5943" spans="1:40" x14ac:dyDescent="0.25">
      <c r="A5943" t="str">
        <f>"20190304164524963"</f>
        <v>20190304164524963</v>
      </c>
      <c r="B5943" t="str">
        <f>"1551689124956069"</f>
        <v>1551689124956069</v>
      </c>
      <c r="C5943" t="s">
        <v>40</v>
      </c>
      <c r="D5943">
        <v>5.3167109999999997</v>
      </c>
      <c r="E5943">
        <v>0.51120350000000003</v>
      </c>
      <c r="F5943" t="s">
        <v>49</v>
      </c>
      <c r="G5943">
        <v>-194.5384</v>
      </c>
      <c r="H5943" s="1">
        <v>-5.3313869999999997E-6</v>
      </c>
      <c r="I5943">
        <v>-43.916899999999998</v>
      </c>
      <c r="J5943">
        <v>-197.04859999999999</v>
      </c>
      <c r="K5943">
        <v>1.1214580000000001</v>
      </c>
      <c r="L5943">
        <v>-50.035739999999997</v>
      </c>
      <c r="M5943">
        <v>0.60672579999999998</v>
      </c>
      <c r="N5943">
        <v>-1.503854E-2</v>
      </c>
      <c r="O5943">
        <v>0.7947689</v>
      </c>
      <c r="P5943">
        <v>0.32408239999999999</v>
      </c>
      <c r="Q5943">
        <v>0.39991670000000001</v>
      </c>
      <c r="R5943">
        <v>0.85734310000000002</v>
      </c>
      <c r="S5943">
        <v>1.365097</v>
      </c>
      <c r="T5943">
        <v>-0.57786879999999996</v>
      </c>
      <c r="U5943">
        <v>3.2518009999999999</v>
      </c>
      <c r="V5943">
        <v>-0.27333649999999998</v>
      </c>
      <c r="W5943">
        <v>0.40607290000000001</v>
      </c>
      <c r="X5943">
        <v>0.87200460000000002</v>
      </c>
      <c r="Y5943">
        <v>-0.25390170000000001</v>
      </c>
      <c r="Z5943">
        <v>-0.103104</v>
      </c>
      <c r="AA5943">
        <v>0.96171899999999999</v>
      </c>
      <c r="AB5943">
        <v>33</v>
      </c>
      <c r="AC5943">
        <v>2.51019999999999</v>
      </c>
      <c r="AD5943">
        <v>-1.1214633313869999</v>
      </c>
      <c r="AE5943">
        <v>6.1188399999999996</v>
      </c>
      <c r="AF5943">
        <v>-1.6696174897318801</v>
      </c>
      <c r="AG5943">
        <v>-1.1214633313869999</v>
      </c>
      <c r="AH5943">
        <v>6.20828438072677</v>
      </c>
      <c r="AI5943">
        <v>99.895201989701206</v>
      </c>
      <c r="AJ5943">
        <v>105.052621704117</v>
      </c>
      <c r="AK5943">
        <v>6.5259556784918598</v>
      </c>
      <c r="AL5943">
        <v>66.041622761242294</v>
      </c>
      <c r="AM5943">
        <v>107.40399793115201</v>
      </c>
      <c r="AN5943">
        <v>1.0000000323839</v>
      </c>
    </row>
    <row r="5944" spans="1:40" x14ac:dyDescent="0.25">
      <c r="A5944" t="str">
        <f>"20190304164524984"</f>
        <v>20190304164524984</v>
      </c>
      <c r="B5944" t="str">
        <f>"1551689124976565"</f>
        <v>1551689124976565</v>
      </c>
      <c r="C5944" t="s">
        <v>40</v>
      </c>
      <c r="D5944">
        <v>5.3349690000000001</v>
      </c>
      <c r="E5944">
        <v>0.51272519999999999</v>
      </c>
      <c r="F5944" t="s">
        <v>49</v>
      </c>
      <c r="G5944">
        <v>-194.44890000000001</v>
      </c>
      <c r="H5944" s="1">
        <v>-5.39184E-6</v>
      </c>
      <c r="I5944">
        <v>-43.75291</v>
      </c>
      <c r="J5944">
        <v>-196.88290000000001</v>
      </c>
      <c r="K5944">
        <v>1.1214280000000001</v>
      </c>
      <c r="L5944">
        <v>-49.802190000000003</v>
      </c>
      <c r="M5944">
        <v>0.59802619999999995</v>
      </c>
      <c r="N5944">
        <v>-1.503351E-2</v>
      </c>
      <c r="O5944">
        <v>0.80133549999999998</v>
      </c>
      <c r="P5944">
        <v>0.3157508</v>
      </c>
      <c r="Q5944">
        <v>0.39937669999999997</v>
      </c>
      <c r="R5944">
        <v>0.86069719999999905</v>
      </c>
      <c r="S5944">
        <v>1.349197</v>
      </c>
      <c r="T5944">
        <v>-0.58201599999999998</v>
      </c>
      <c r="U5944">
        <v>3.2606510000000002</v>
      </c>
      <c r="V5944">
        <v>-0.27238230000000002</v>
      </c>
      <c r="W5944">
        <v>0.405584</v>
      </c>
      <c r="X5944">
        <v>0.87253049999999999</v>
      </c>
      <c r="Y5944">
        <v>-0.24838250000000001</v>
      </c>
      <c r="Z5944">
        <v>-0.1053333</v>
      </c>
      <c r="AA5944">
        <v>0.96291800000000005</v>
      </c>
      <c r="AB5944">
        <v>32</v>
      </c>
      <c r="AC5944">
        <v>2.4339999999999899</v>
      </c>
      <c r="AD5944">
        <v>-1.1214333918399999</v>
      </c>
      <c r="AE5944">
        <v>6.0492800000000004</v>
      </c>
      <c r="AF5944">
        <v>-1.6194648571430701</v>
      </c>
      <c r="AG5944">
        <v>-1.1214333918399999</v>
      </c>
      <c r="AH5944">
        <v>6.1227120237944499</v>
      </c>
      <c r="AI5944">
        <v>100.041298981753</v>
      </c>
      <c r="AJ5944">
        <v>104.815521475526</v>
      </c>
      <c r="AK5944">
        <v>6.43178682810401</v>
      </c>
      <c r="AL5944">
        <v>66.072270880710605</v>
      </c>
      <c r="AM5944">
        <v>107.33706407733899</v>
      </c>
      <c r="AN5944">
        <v>0.99999998591976902</v>
      </c>
    </row>
    <row r="5945" spans="1:40" x14ac:dyDescent="0.25">
      <c r="A5945" t="str">
        <f>"20190304164525004"</f>
        <v>20190304164525004</v>
      </c>
      <c r="B5945" t="str">
        <f>"1551689124996085"</f>
        <v>1551689124996085</v>
      </c>
      <c r="C5945" t="s">
        <v>40</v>
      </c>
      <c r="D5945">
        <v>5.3211259999999996</v>
      </c>
      <c r="E5945">
        <v>0.51339140000000005</v>
      </c>
      <c r="F5945" t="s">
        <v>49</v>
      </c>
      <c r="G5945">
        <v>-194.34450000000001</v>
      </c>
      <c r="H5945" s="1">
        <v>-5.46809999999999E-6</v>
      </c>
      <c r="I5945">
        <v>-43.549300000000002</v>
      </c>
      <c r="J5945">
        <v>-196.71129999999999</v>
      </c>
      <c r="K5945">
        <v>1.1213789999999999</v>
      </c>
      <c r="L5945">
        <v>-49.55444</v>
      </c>
      <c r="M5945">
        <v>0.58883399999999997</v>
      </c>
      <c r="N5945">
        <v>-1.5026380000000001E-2</v>
      </c>
      <c r="O5945">
        <v>0.80811429999999995</v>
      </c>
      <c r="P5945">
        <v>0.30656270000000002</v>
      </c>
      <c r="Q5945">
        <v>0.39844669999999999</v>
      </c>
      <c r="R5945">
        <v>0.86444179999999904</v>
      </c>
      <c r="S5945">
        <v>1.327774</v>
      </c>
      <c r="T5945">
        <v>-0.5865766</v>
      </c>
      <c r="U5945">
        <v>3.2706300000000001</v>
      </c>
      <c r="V5945">
        <v>-0.27188790000000002</v>
      </c>
      <c r="W5945">
        <v>0.4046999</v>
      </c>
      <c r="X5945">
        <v>0.87309499999999995</v>
      </c>
      <c r="Y5945">
        <v>-0.24385599999999999</v>
      </c>
      <c r="Z5945">
        <v>-0.1076751</v>
      </c>
      <c r="AA5945">
        <v>0.96381550000000005</v>
      </c>
      <c r="AB5945">
        <v>32</v>
      </c>
      <c r="AC5945">
        <v>2.36679999999998</v>
      </c>
      <c r="AD5945">
        <v>-1.1213844681</v>
      </c>
      <c r="AE5945">
        <v>6.0051399999999902</v>
      </c>
      <c r="AF5945">
        <v>-1.57600147517968</v>
      </c>
      <c r="AG5945">
        <v>-1.1213844681</v>
      </c>
      <c r="AH5945">
        <v>6.0641660407861702</v>
      </c>
      <c r="AI5945">
        <v>100.147048418165</v>
      </c>
      <c r="AJ5945">
        <v>104.568183032376</v>
      </c>
      <c r="AK5945">
        <v>6.3651703469183598</v>
      </c>
      <c r="AL5945">
        <v>66.127676263567594</v>
      </c>
      <c r="AM5945">
        <v>107.29695448419</v>
      </c>
      <c r="AN5945">
        <v>0.99999995912570905</v>
      </c>
    </row>
    <row r="5946" spans="1:40" x14ac:dyDescent="0.25">
      <c r="A5946" t="str">
        <f>"20190304164525026"</f>
        <v>20190304164525026</v>
      </c>
      <c r="B5946" t="str">
        <f>"1551689125015606"</f>
        <v>1551689125015606</v>
      </c>
      <c r="C5946" t="s">
        <v>40</v>
      </c>
      <c r="D5946">
        <v>5.3436089999999998</v>
      </c>
      <c r="E5946">
        <v>0.52828739999999996</v>
      </c>
      <c r="F5946" t="s">
        <v>49</v>
      </c>
      <c r="G5946">
        <v>-194.25129999999999</v>
      </c>
      <c r="H5946" s="1">
        <v>-5.5537609999999899E-6</v>
      </c>
      <c r="I5946">
        <v>-43.329810000000002</v>
      </c>
      <c r="J5946">
        <v>-196.5393</v>
      </c>
      <c r="K5946">
        <v>1.121316</v>
      </c>
      <c r="L5946">
        <v>-49.300049999999999</v>
      </c>
      <c r="M5946">
        <v>0.57944039999999997</v>
      </c>
      <c r="N5946">
        <v>-1.501708E-2</v>
      </c>
      <c r="O5946">
        <v>0.8148763</v>
      </c>
      <c r="P5946">
        <v>0.296435</v>
      </c>
      <c r="Q5946">
        <v>0.39756979999999997</v>
      </c>
      <c r="R5946">
        <v>0.8683689</v>
      </c>
      <c r="S5946">
        <v>1.2974239999999999</v>
      </c>
      <c r="T5946">
        <v>-0.59143449999999997</v>
      </c>
      <c r="U5946">
        <v>3.2829589999999902</v>
      </c>
      <c r="V5946">
        <v>-0.27213929999999997</v>
      </c>
      <c r="W5946">
        <v>0.40385199999999999</v>
      </c>
      <c r="X5946">
        <v>0.87340930000000006</v>
      </c>
      <c r="Y5946">
        <v>-0.24166409999999999</v>
      </c>
      <c r="Z5946">
        <v>-0.1099986</v>
      </c>
      <c r="AA5946">
        <v>0.9641052</v>
      </c>
      <c r="AB5946">
        <v>32</v>
      </c>
      <c r="AC5946">
        <v>2.28800000000001</v>
      </c>
      <c r="AD5946">
        <v>-1.121321553761</v>
      </c>
      <c r="AE5946">
        <v>5.9702400000000004</v>
      </c>
      <c r="AF5946">
        <v>-1.54754126285174</v>
      </c>
      <c r="AG5946">
        <v>-1.121321553761</v>
      </c>
      <c r="AH5946">
        <v>6.0067081670598998</v>
      </c>
      <c r="AI5946">
        <v>100.24698034008399</v>
      </c>
      <c r="AJ5946">
        <v>104.447245705188</v>
      </c>
      <c r="AK5946">
        <v>6.3033950369131997</v>
      </c>
      <c r="AL5946">
        <v>66.180792989400899</v>
      </c>
      <c r="AM5946">
        <v>107.306134959397</v>
      </c>
      <c r="AN5946">
        <v>1.00000002091749</v>
      </c>
    </row>
    <row r="5947" spans="1:40" x14ac:dyDescent="0.25">
      <c r="A5947" t="str">
        <f>"20190304164525048"</f>
        <v>20190304164525048</v>
      </c>
      <c r="B5947" t="str">
        <f>"1551689125036101"</f>
        <v>1551689125036101</v>
      </c>
      <c r="C5947" t="s">
        <v>40</v>
      </c>
      <c r="D5947">
        <v>5.3363589999999999</v>
      </c>
      <c r="E5947">
        <v>0.52863549999999904</v>
      </c>
      <c r="F5947" t="s">
        <v>49</v>
      </c>
      <c r="G5947">
        <v>-194.08709999999999</v>
      </c>
      <c r="H5947" s="1">
        <v>-5.4541279999999898E-6</v>
      </c>
      <c r="I5947">
        <v>-43.48095</v>
      </c>
      <c r="J5947">
        <v>-196.36879999999999</v>
      </c>
      <c r="K5947">
        <v>1.121235</v>
      </c>
      <c r="L5947">
        <v>-49.04175</v>
      </c>
      <c r="M5947">
        <v>0.56996599999999997</v>
      </c>
      <c r="N5947">
        <v>-1.500548E-2</v>
      </c>
      <c r="O5947">
        <v>0.82153120000000002</v>
      </c>
      <c r="P5947">
        <v>0.2865742</v>
      </c>
      <c r="Q5947">
        <v>0.39645809999999998</v>
      </c>
      <c r="R5947">
        <v>0.87217900000000004</v>
      </c>
      <c r="S5947">
        <v>1.379105</v>
      </c>
      <c r="T5947">
        <v>-0.63063930000000001</v>
      </c>
      <c r="U5947">
        <v>3.2727050000000002</v>
      </c>
      <c r="V5947">
        <v>-0.27210909999999999</v>
      </c>
      <c r="W5947">
        <v>0.40278570000000002</v>
      </c>
      <c r="X5947">
        <v>0.87391099999999999</v>
      </c>
      <c r="Y5947">
        <v>-0.2092495</v>
      </c>
      <c r="Z5947">
        <v>-0.1203215</v>
      </c>
      <c r="AA5947">
        <v>0.9704315</v>
      </c>
      <c r="AB5947">
        <v>32</v>
      </c>
      <c r="AC5947">
        <v>2.2816999999999998</v>
      </c>
      <c r="AD5947">
        <v>-1.1212404541280001</v>
      </c>
      <c r="AE5947">
        <v>5.5608000000000004</v>
      </c>
      <c r="AF5947">
        <v>-1.25157365717146</v>
      </c>
      <c r="AG5947">
        <v>-1.1212404541280001</v>
      </c>
      <c r="AH5947">
        <v>5.6721476772031396</v>
      </c>
      <c r="AI5947">
        <v>100.92551359281801</v>
      </c>
      <c r="AJ5947">
        <v>102.44307409816901</v>
      </c>
      <c r="AK5947">
        <v>5.9158157550163502</v>
      </c>
      <c r="AL5947">
        <v>66.247559550141801</v>
      </c>
      <c r="AM5947">
        <v>107.294987655027</v>
      </c>
      <c r="AN5947">
        <v>1.00000005917414</v>
      </c>
    </row>
    <row r="5948" spans="1:40" x14ac:dyDescent="0.25">
      <c r="A5948" t="str">
        <f>"20190304164525070"</f>
        <v>20190304164525070</v>
      </c>
      <c r="B5948" t="str">
        <f>"1551689125065639"</f>
        <v>1551689125065639</v>
      </c>
      <c r="C5948" t="s">
        <v>40</v>
      </c>
      <c r="D5948">
        <v>5.3466110000000002</v>
      </c>
      <c r="E5948">
        <v>0.52959129999999999</v>
      </c>
      <c r="F5948" t="s">
        <v>49</v>
      </c>
      <c r="G5948">
        <v>-194.01740000000001</v>
      </c>
      <c r="H5948" s="1">
        <v>-5.5291479999999998E-6</v>
      </c>
      <c r="I5948">
        <v>-43.29325</v>
      </c>
      <c r="J5948">
        <v>-196.19839999999999</v>
      </c>
      <c r="K5948">
        <v>1.1211390000000001</v>
      </c>
      <c r="L5948">
        <v>-48.776890000000002</v>
      </c>
      <c r="M5948">
        <v>0.56033069999999996</v>
      </c>
      <c r="N5948">
        <v>-1.4991010000000001E-2</v>
      </c>
      <c r="O5948">
        <v>0.82813329999999996</v>
      </c>
      <c r="P5948">
        <v>0.27719860000000002</v>
      </c>
      <c r="Q5948">
        <v>0.39492620000000001</v>
      </c>
      <c r="R5948">
        <v>0.87589629999999996</v>
      </c>
      <c r="S5948">
        <v>1.345459</v>
      </c>
      <c r="T5948">
        <v>-0.64155960000000001</v>
      </c>
      <c r="U5948">
        <v>3.289215</v>
      </c>
      <c r="V5948">
        <v>-0.27153260000000001</v>
      </c>
      <c r="W5948">
        <v>0.40132610000000002</v>
      </c>
      <c r="X5948">
        <v>0.87476129999999996</v>
      </c>
      <c r="Y5948">
        <v>-0.20820429999999901</v>
      </c>
      <c r="Z5948">
        <v>-0.123823</v>
      </c>
      <c r="AA5948">
        <v>0.97021590000000002</v>
      </c>
      <c r="AB5948">
        <v>32</v>
      </c>
      <c r="AC5948">
        <v>2.1809999999999801</v>
      </c>
      <c r="AD5948">
        <v>-1.12114452914799</v>
      </c>
      <c r="AE5948">
        <v>5.4836400000000003</v>
      </c>
      <c r="AF5948">
        <v>-1.2225129901185301</v>
      </c>
      <c r="AG5948">
        <v>-1.12114452914799</v>
      </c>
      <c r="AH5948">
        <v>5.5631315003910098</v>
      </c>
      <c r="AI5948">
        <v>101.13543469544599</v>
      </c>
      <c r="AJ5948">
        <v>102.393900967177</v>
      </c>
      <c r="AK5948">
        <v>5.8051645245324304</v>
      </c>
      <c r="AL5948">
        <v>66.338893435946005</v>
      </c>
      <c r="AM5948">
        <v>107.244742611471</v>
      </c>
      <c r="AN5948">
        <v>0.99999996169082905</v>
      </c>
    </row>
    <row r="5949" spans="1:40" x14ac:dyDescent="0.25">
      <c r="A5949" t="str">
        <f>"20190304164525093"</f>
        <v>20190304164525093</v>
      </c>
      <c r="B5949" t="str">
        <f>"1551689125086135"</f>
        <v>1551689125086135</v>
      </c>
      <c r="C5949" t="s">
        <v>40</v>
      </c>
      <c r="D5949">
        <v>5.3790719999999999</v>
      </c>
      <c r="E5949">
        <v>0.53001819999999999</v>
      </c>
      <c r="F5949" t="s">
        <v>49</v>
      </c>
      <c r="G5949">
        <v>-193.93610000000001</v>
      </c>
      <c r="H5949" s="1">
        <v>-5.6065069999999996E-6</v>
      </c>
      <c r="I5949">
        <v>-43.0961</v>
      </c>
      <c r="J5949">
        <v>-196.0222</v>
      </c>
      <c r="K5949">
        <v>1.12101299999999</v>
      </c>
      <c r="L5949">
        <v>-48.496189999999999</v>
      </c>
      <c r="M5949">
        <v>0.55021850000000005</v>
      </c>
      <c r="N5949">
        <v>-1.497308E-2</v>
      </c>
      <c r="O5949">
        <v>0.83488639999999903</v>
      </c>
      <c r="P5949">
        <v>0.26760689999999998</v>
      </c>
      <c r="Q5949">
        <v>0.3933913</v>
      </c>
      <c r="R5949">
        <v>0.87956229999999902</v>
      </c>
      <c r="S5949">
        <v>1.3152619999999999</v>
      </c>
      <c r="T5949">
        <v>-0.65181309999999903</v>
      </c>
      <c r="U5949">
        <v>3.3027039999999999</v>
      </c>
      <c r="V5949">
        <v>-0.27068130000000001</v>
      </c>
      <c r="W5949">
        <v>0.39988040000000002</v>
      </c>
      <c r="X5949">
        <v>0.87568679999999999</v>
      </c>
      <c r="Y5949">
        <v>-0.20549799999999999</v>
      </c>
      <c r="Z5949">
        <v>-0.1273946</v>
      </c>
      <c r="AA5949">
        <v>0.97033049999999998</v>
      </c>
      <c r="AB5949">
        <v>32</v>
      </c>
      <c r="AC5949">
        <v>2.0860999999999801</v>
      </c>
      <c r="AD5949">
        <v>-1.12101860650699</v>
      </c>
      <c r="AE5949">
        <v>5.4000899999999996</v>
      </c>
      <c r="AF5949">
        <v>-1.1852650351509799</v>
      </c>
      <c r="AG5949">
        <v>-1.12101860650699</v>
      </c>
      <c r="AH5949">
        <v>5.4524477849937503</v>
      </c>
      <c r="AI5949">
        <v>101.359892594752</v>
      </c>
      <c r="AJ5949">
        <v>102.26427502659</v>
      </c>
      <c r="AK5949">
        <v>5.6912848081755296</v>
      </c>
      <c r="AL5949">
        <v>66.429298983461905</v>
      </c>
      <c r="AM5949">
        <v>107.176767867948</v>
      </c>
      <c r="AN5949">
        <v>1.00000003608404</v>
      </c>
    </row>
    <row r="5950" spans="1:40" x14ac:dyDescent="0.25">
      <c r="A5950" t="str">
        <f>"20190304164525116"</f>
        <v>20190304164525116</v>
      </c>
      <c r="B5950" t="str">
        <f>"1551689125105655"</f>
        <v>1551689125105655</v>
      </c>
      <c r="C5950" t="s">
        <v>40</v>
      </c>
      <c r="D5950">
        <v>5.3439880000000004</v>
      </c>
      <c r="E5950">
        <v>0.53061340000000001</v>
      </c>
      <c r="F5950" t="s">
        <v>49</v>
      </c>
      <c r="G5950">
        <v>-193.85050000000001</v>
      </c>
      <c r="H5950" s="1">
        <v>-5.695525E-6</v>
      </c>
      <c r="I5950">
        <v>-42.87229</v>
      </c>
      <c r="J5950">
        <v>-195.8535</v>
      </c>
      <c r="K5950">
        <v>1.1208800000000001</v>
      </c>
      <c r="L5950">
        <v>-48.219700000000003</v>
      </c>
      <c r="M5950">
        <v>0.54039349999999997</v>
      </c>
      <c r="N5950">
        <v>-1.495233E-2</v>
      </c>
      <c r="O5950">
        <v>0.84127960000000002</v>
      </c>
      <c r="P5950">
        <v>0.25975359999999997</v>
      </c>
      <c r="Q5950">
        <v>0.39108120000000002</v>
      </c>
      <c r="R5950">
        <v>0.88294030000000001</v>
      </c>
      <c r="S5950">
        <v>1.280823</v>
      </c>
      <c r="T5950">
        <v>-0.66114340000000005</v>
      </c>
      <c r="U5950">
        <v>3.3168030000000002</v>
      </c>
      <c r="V5950">
        <v>-0.26858320000000002</v>
      </c>
      <c r="W5950">
        <v>0.39770660000000002</v>
      </c>
      <c r="X5950">
        <v>0.87732119999999902</v>
      </c>
      <c r="Y5950">
        <v>-0.20432819999999999</v>
      </c>
      <c r="Z5950">
        <v>-0.1306833</v>
      </c>
      <c r="AA5950">
        <v>0.97014009999999995</v>
      </c>
      <c r="AB5950">
        <v>32</v>
      </c>
      <c r="AC5950">
        <v>2.0029999999999801</v>
      </c>
      <c r="AD5950">
        <v>-1.1208856955249999</v>
      </c>
      <c r="AE5950">
        <v>5.34741</v>
      </c>
      <c r="AF5950">
        <v>-1.1600585617063599</v>
      </c>
      <c r="AG5950">
        <v>-1.1208856955249999</v>
      </c>
      <c r="AH5950">
        <v>5.3746079153806097</v>
      </c>
      <c r="AI5950">
        <v>101.522295443592</v>
      </c>
      <c r="AJ5950">
        <v>102.179906718493</v>
      </c>
      <c r="AK5950">
        <v>5.6114642343235799</v>
      </c>
      <c r="AL5950">
        <v>66.565114498626997</v>
      </c>
      <c r="AM5950">
        <v>107.021450289558</v>
      </c>
      <c r="AN5950">
        <v>0.99999998148761904</v>
      </c>
    </row>
    <row r="5951" spans="1:40" x14ac:dyDescent="0.25">
      <c r="A5951" t="str">
        <f>"20190304164525136"</f>
        <v>20190304164525136</v>
      </c>
      <c r="B5951" t="str">
        <f>"1551689125126151"</f>
        <v>1551689125126151</v>
      </c>
      <c r="C5951" t="s">
        <v>40</v>
      </c>
      <c r="D5951">
        <v>5.3298399999999999</v>
      </c>
      <c r="E5951">
        <v>0.53401969999999899</v>
      </c>
      <c r="F5951" t="s">
        <v>49</v>
      </c>
      <c r="G5951">
        <v>-193.7723</v>
      </c>
      <c r="H5951" s="1">
        <v>-5.7669039999999999E-6</v>
      </c>
      <c r="I5951">
        <v>-42.689190000000004</v>
      </c>
      <c r="J5951">
        <v>-195.70590000000001</v>
      </c>
      <c r="K5951">
        <v>1.120757</v>
      </c>
      <c r="L5951">
        <v>-47.972020000000001</v>
      </c>
      <c r="M5951">
        <v>0.53169690000000003</v>
      </c>
      <c r="N5951">
        <v>-1.4932030000000001E-2</v>
      </c>
      <c r="O5951">
        <v>0.84680309999999903</v>
      </c>
      <c r="P5951">
        <v>0.25381120000000001</v>
      </c>
      <c r="Q5951">
        <v>0.39057969999999997</v>
      </c>
      <c r="R5951">
        <v>0.88488840000000002</v>
      </c>
      <c r="S5951">
        <v>1.252365</v>
      </c>
      <c r="T5951">
        <v>-0.67451000000000005</v>
      </c>
      <c r="U5951">
        <v>3.3280639999999999</v>
      </c>
      <c r="V5951">
        <v>-0.26540940000000002</v>
      </c>
      <c r="W5951">
        <v>0.39735749999999997</v>
      </c>
      <c r="X5951">
        <v>0.87844460000000002</v>
      </c>
      <c r="Y5951">
        <v>-0.2027832</v>
      </c>
      <c r="Z5951">
        <v>-0.13472200000000001</v>
      </c>
      <c r="AA5951">
        <v>0.96991179999999999</v>
      </c>
      <c r="AB5951">
        <v>32</v>
      </c>
      <c r="AC5951">
        <v>1.93360000000001</v>
      </c>
      <c r="AD5951">
        <v>-1.1207627669039999</v>
      </c>
      <c r="AE5951">
        <v>5.2828299999999899</v>
      </c>
      <c r="AF5951">
        <v>-1.1268889592147799</v>
      </c>
      <c r="AG5951">
        <v>-1.1207627669039999</v>
      </c>
      <c r="AH5951">
        <v>5.2921671618247901</v>
      </c>
      <c r="AI5951">
        <v>101.702406211295</v>
      </c>
      <c r="AJ5951">
        <v>102.020757954318</v>
      </c>
      <c r="AK5951">
        <v>5.5256692965445504</v>
      </c>
      <c r="AL5951">
        <v>66.586913950166604</v>
      </c>
      <c r="AM5951">
        <v>106.81143664202099</v>
      </c>
      <c r="AN5951">
        <v>1.00000002384188</v>
      </c>
    </row>
    <row r="5952" spans="1:40" x14ac:dyDescent="0.25">
      <c r="A5952" t="str">
        <f>"20190304164525160"</f>
        <v>20190304164525160</v>
      </c>
      <c r="B5952" t="str">
        <f>"1551689125156409"</f>
        <v>1551689125156409</v>
      </c>
      <c r="C5952" t="s">
        <v>40</v>
      </c>
      <c r="D5952">
        <v>5.3642450000000004</v>
      </c>
      <c r="E5952">
        <v>0.53520429999999997</v>
      </c>
      <c r="F5952" t="s">
        <v>49</v>
      </c>
      <c r="G5952">
        <v>-193.70959999999999</v>
      </c>
      <c r="H5952" s="1">
        <v>-5.7706250000000003E-6</v>
      </c>
      <c r="I5952">
        <v>-42.657249999999998</v>
      </c>
      <c r="J5952">
        <v>-195.54419999999999</v>
      </c>
      <c r="K5952">
        <v>1.1206179999999999</v>
      </c>
      <c r="L5952">
        <v>-47.694000000000003</v>
      </c>
      <c r="M5952">
        <v>0.52204810000000001</v>
      </c>
      <c r="N5952">
        <v>-1.4908289999999999E-2</v>
      </c>
      <c r="O5952">
        <v>0.85278580000000004</v>
      </c>
      <c r="P5952">
        <v>0.24744240000000001</v>
      </c>
      <c r="Q5952">
        <v>0.39006560000000001</v>
      </c>
      <c r="R5952">
        <v>0.88691659999999894</v>
      </c>
      <c r="S5952">
        <v>1.25499</v>
      </c>
      <c r="T5952">
        <v>-0.70459939999999999</v>
      </c>
      <c r="U5952">
        <v>3.341278</v>
      </c>
      <c r="V5952">
        <v>-0.26170270000000001</v>
      </c>
      <c r="W5952">
        <v>0.39701310000000001</v>
      </c>
      <c r="X5952">
        <v>0.87971149999999998</v>
      </c>
      <c r="Y5952">
        <v>-0.19267490000000001</v>
      </c>
      <c r="Z5952">
        <v>-0.142427</v>
      </c>
      <c r="AA5952">
        <v>0.97087120000000005</v>
      </c>
      <c r="AB5952">
        <v>32</v>
      </c>
      <c r="AC5952">
        <v>1.83459999999999</v>
      </c>
      <c r="AD5952">
        <v>-1.120623770625</v>
      </c>
      <c r="AE5952">
        <v>5.0367499999999898</v>
      </c>
      <c r="AF5952">
        <v>-1.02042719665838</v>
      </c>
      <c r="AG5952">
        <v>-1.120623770625</v>
      </c>
      <c r="AH5952">
        <v>5.0336162078379898</v>
      </c>
      <c r="AI5952">
        <v>102.308447226005</v>
      </c>
      <c r="AJ5952">
        <v>101.459841165001</v>
      </c>
      <c r="AK5952">
        <v>5.2568394903001501</v>
      </c>
      <c r="AL5952">
        <v>66.608415111443605</v>
      </c>
      <c r="AM5952">
        <v>106.567055264384</v>
      </c>
      <c r="AN5952">
        <v>1.00000001399557</v>
      </c>
    </row>
    <row r="5953" spans="1:40" x14ac:dyDescent="0.25">
      <c r="A5953" t="str">
        <f>"20190304164525184"</f>
        <v>20190304164525184</v>
      </c>
      <c r="B5953" t="str">
        <f>"1551689125175927"</f>
        <v>1551689125175927</v>
      </c>
      <c r="C5953" t="s">
        <v>40</v>
      </c>
      <c r="D5953">
        <v>5.3612880000000001</v>
      </c>
      <c r="E5953">
        <v>0.53911759999999997</v>
      </c>
      <c r="F5953" t="s">
        <v>49</v>
      </c>
      <c r="G5953">
        <v>-193.59639999999999</v>
      </c>
      <c r="H5953" s="1">
        <v>-5.8706540000000004E-6</v>
      </c>
      <c r="I5953">
        <v>-42.399250000000002</v>
      </c>
      <c r="J5953">
        <v>-195.36670000000001</v>
      </c>
      <c r="K5953">
        <v>1.120458</v>
      </c>
      <c r="L5953">
        <v>-47.380429999999997</v>
      </c>
      <c r="M5953">
        <v>0.51130810000000004</v>
      </c>
      <c r="N5953">
        <v>-1.4882360000000001E-2</v>
      </c>
      <c r="O5953">
        <v>0.85926859999999905</v>
      </c>
      <c r="P5953">
        <v>0.24060719999999999</v>
      </c>
      <c r="Q5953">
        <v>0.39147120000000002</v>
      </c>
      <c r="R5953">
        <v>0.88817710000000005</v>
      </c>
      <c r="S5953">
        <v>1.2325740000000001</v>
      </c>
      <c r="T5953">
        <v>-0.70912589999999998</v>
      </c>
      <c r="U5953">
        <v>3.3504939999999999</v>
      </c>
      <c r="V5953">
        <v>-0.25698199999999999</v>
      </c>
      <c r="W5953">
        <v>0.39860950000000001</v>
      </c>
      <c r="X5953">
        <v>0.88038099999999997</v>
      </c>
      <c r="Y5953">
        <v>-0.18707850000000001</v>
      </c>
      <c r="Z5953">
        <v>-0.1450697</v>
      </c>
      <c r="AA5953">
        <v>0.97157420000000005</v>
      </c>
      <c r="AB5953">
        <v>32</v>
      </c>
      <c r="AC5953">
        <v>1.77030000000002</v>
      </c>
      <c r="AD5953">
        <v>-1.120463870654</v>
      </c>
      <c r="AE5953">
        <v>4.9811799999999904</v>
      </c>
      <c r="AF5953">
        <v>-0.98176376768379803</v>
      </c>
      <c r="AG5953">
        <v>-1.120463870654</v>
      </c>
      <c r="AH5953">
        <v>4.9629607556804496</v>
      </c>
      <c r="AI5953">
        <v>102.48791809766</v>
      </c>
      <c r="AJ5953">
        <v>101.189680087984</v>
      </c>
      <c r="AK5953">
        <v>5.1817254697061896</v>
      </c>
      <c r="AL5953">
        <v>66.508719491039898</v>
      </c>
      <c r="AM5953">
        <v>106.27245202123299</v>
      </c>
      <c r="AN5953">
        <v>0.99999999348762503</v>
      </c>
    </row>
    <row r="5954" spans="1:40" x14ac:dyDescent="0.25">
      <c r="A5954" t="str">
        <f>"20190304164525205"</f>
        <v>20190304164525205</v>
      </c>
      <c r="B5954" t="str">
        <f>"1551689125196423"</f>
        <v>1551689125196423</v>
      </c>
      <c r="C5954" t="s">
        <v>40</v>
      </c>
      <c r="D5954">
        <v>5.4116660000000003</v>
      </c>
      <c r="E5954">
        <v>0.53940859999999902</v>
      </c>
      <c r="F5954" t="s">
        <v>49</v>
      </c>
      <c r="G5954">
        <v>-193.27189999999999</v>
      </c>
      <c r="H5954" s="1">
        <v>-6.1081710000000001E-6</v>
      </c>
      <c r="I5954">
        <v>-41.657539999999997</v>
      </c>
      <c r="J5954">
        <v>-195.22710000000001</v>
      </c>
      <c r="K5954">
        <v>1.1203160000000001</v>
      </c>
      <c r="L5954">
        <v>-47.127470000000002</v>
      </c>
      <c r="M5954">
        <v>0.50276379999999998</v>
      </c>
      <c r="N5954">
        <v>-1.4860689999999999E-2</v>
      </c>
      <c r="O5954">
        <v>0.86429609999999901</v>
      </c>
      <c r="P5954">
        <v>0.23578579999999999</v>
      </c>
      <c r="Q5954">
        <v>0.39025179999999998</v>
      </c>
      <c r="R5954">
        <v>0.89000480000000004</v>
      </c>
      <c r="S5954">
        <v>1.2206570000000001</v>
      </c>
      <c r="T5954">
        <v>-0.65290999999999999</v>
      </c>
      <c r="U5954">
        <v>3.3348080000000002</v>
      </c>
      <c r="V5954">
        <v>-0.2531235</v>
      </c>
      <c r="W5954">
        <v>0.39755839999999998</v>
      </c>
      <c r="X5954">
        <v>0.88197269999999905</v>
      </c>
      <c r="Y5954">
        <v>-0.17837030000000001</v>
      </c>
      <c r="Z5954">
        <v>-0.1350596</v>
      </c>
      <c r="AA5954">
        <v>0.97465009999999996</v>
      </c>
      <c r="AB5954">
        <v>32</v>
      </c>
      <c r="AC5954">
        <v>1.95520000000001</v>
      </c>
      <c r="AD5954">
        <v>-1.120322108171</v>
      </c>
      <c r="AE5954">
        <v>5.46992999999999</v>
      </c>
      <c r="AF5954">
        <v>-1.02230200479161</v>
      </c>
      <c r="AG5954">
        <v>-1.120322108171</v>
      </c>
      <c r="AH5954">
        <v>5.5064524100139502</v>
      </c>
      <c r="AI5954">
        <v>101.31202610954099</v>
      </c>
      <c r="AJ5954">
        <v>100.517516626134</v>
      </c>
      <c r="AK5954">
        <v>5.7115007799006898</v>
      </c>
      <c r="AL5954">
        <v>66.574369645780905</v>
      </c>
      <c r="AM5954">
        <v>106.013319104228</v>
      </c>
      <c r="AN5954">
        <v>1.0000000156040401</v>
      </c>
    </row>
    <row r="5955" spans="1:40" x14ac:dyDescent="0.25">
      <c r="A5955" t="str">
        <f>"20190304164525227"</f>
        <v>20190304164525227</v>
      </c>
      <c r="B5955" t="str">
        <f>"1551689125215957"</f>
        <v>1551689125215957</v>
      </c>
      <c r="C5955" t="s">
        <v>40</v>
      </c>
      <c r="D5955">
        <v>5.3565849999999999</v>
      </c>
      <c r="E5955">
        <v>0.53421219999999903</v>
      </c>
      <c r="F5955" t="s">
        <v>49</v>
      </c>
      <c r="G5955">
        <v>-193.18899999999999</v>
      </c>
      <c r="H5955" s="1">
        <v>-6.1758339999999999E-6</v>
      </c>
      <c r="I5955">
        <v>-41.427549999999997</v>
      </c>
      <c r="J5955">
        <v>-195.07919999999999</v>
      </c>
      <c r="K5955">
        <v>1.1201760000000001</v>
      </c>
      <c r="L5955">
        <v>-46.853059999999999</v>
      </c>
      <c r="M5955">
        <v>0.49363089999999998</v>
      </c>
      <c r="N5955">
        <v>-1.4835289999999999E-2</v>
      </c>
      <c r="O5955">
        <v>0.86954500000000001</v>
      </c>
      <c r="P5955">
        <v>0.22962659999999999</v>
      </c>
      <c r="Q5955">
        <v>0.39196819999999999</v>
      </c>
      <c r="R5955">
        <v>0.8908606</v>
      </c>
      <c r="S5955">
        <v>1.1950379999999901</v>
      </c>
      <c r="T5955">
        <v>-0.6569161</v>
      </c>
      <c r="U5955">
        <v>3.3422239999999999</v>
      </c>
      <c r="V5955">
        <v>-0.24943609999999999</v>
      </c>
      <c r="W5955">
        <v>0.39942670000000002</v>
      </c>
      <c r="X5955">
        <v>0.88217909999999899</v>
      </c>
      <c r="Y5955">
        <v>-0.17540339999999999</v>
      </c>
      <c r="Z5955">
        <v>-0.13722000000000001</v>
      </c>
      <c r="AA5955">
        <v>0.97488680000000005</v>
      </c>
      <c r="AB5955">
        <v>32</v>
      </c>
      <c r="AC5955">
        <v>1.8901999999999599</v>
      </c>
      <c r="AD5955">
        <v>-1.120182175834</v>
      </c>
      <c r="AE5955">
        <v>5.4255100000000001</v>
      </c>
      <c r="AF5955">
        <v>-0.99680655507322502</v>
      </c>
      <c r="AG5955">
        <v>-1.120182175834</v>
      </c>
      <c r="AH5955">
        <v>5.44444239018034</v>
      </c>
      <c r="AI5955">
        <v>101.441197657072</v>
      </c>
      <c r="AJ5955">
        <v>100.375201614492</v>
      </c>
      <c r="AK5955">
        <v>5.6471571923655297</v>
      </c>
      <c r="AL5955">
        <v>66.457656643780595</v>
      </c>
      <c r="AM5955">
        <v>105.78824794213401</v>
      </c>
      <c r="AN5955">
        <v>1.0000000105664499</v>
      </c>
    </row>
    <row r="5956" spans="1:40" x14ac:dyDescent="0.25">
      <c r="A5956" t="str">
        <f>"20190304164525250"</f>
        <v>20190304164525250</v>
      </c>
      <c r="B5956" t="str">
        <f>"1551689125246200"</f>
        <v>1551689125246200</v>
      </c>
      <c r="C5956" t="s">
        <v>40</v>
      </c>
      <c r="D5956">
        <v>5.36517</v>
      </c>
      <c r="E5956">
        <v>0.53263559999999999</v>
      </c>
      <c r="F5956" t="s">
        <v>49</v>
      </c>
      <c r="G5956">
        <v>-193.08269999999999</v>
      </c>
      <c r="H5956" s="1">
        <v>-6.3462840000000001E-6</v>
      </c>
      <c r="I5956">
        <v>-40.88261</v>
      </c>
      <c r="J5956">
        <v>-194.93610000000001</v>
      </c>
      <c r="K5956">
        <v>1.1200300000000001</v>
      </c>
      <c r="L5956">
        <v>-46.581180000000003</v>
      </c>
      <c r="M5956">
        <v>0.48473500000000003</v>
      </c>
      <c r="N5956">
        <v>-1.4807570000000001E-2</v>
      </c>
      <c r="O5956">
        <v>0.87453570000000003</v>
      </c>
      <c r="P5956">
        <v>0.22300110000000001</v>
      </c>
      <c r="Q5956">
        <v>0.39375969999999999</v>
      </c>
      <c r="R5956">
        <v>0.89175329999999997</v>
      </c>
      <c r="S5956">
        <v>1.122009</v>
      </c>
      <c r="T5956">
        <v>-0.62952900000000001</v>
      </c>
      <c r="U5956">
        <v>3.3553160000000002</v>
      </c>
      <c r="V5956">
        <v>-0.24647820000000001</v>
      </c>
      <c r="W5956">
        <v>0.40135409999999999</v>
      </c>
      <c r="X5956">
        <v>0.88213569999999997</v>
      </c>
      <c r="Y5956">
        <v>-0.18522559999999999</v>
      </c>
      <c r="Z5956">
        <v>-0.13206300000000001</v>
      </c>
      <c r="AA5956">
        <v>0.97378169999999997</v>
      </c>
      <c r="AB5956">
        <v>32</v>
      </c>
      <c r="AC5956">
        <v>1.8534000000000199</v>
      </c>
      <c r="AD5956">
        <v>-1.120036346284</v>
      </c>
      <c r="AE5956">
        <v>5.6985699999999904</v>
      </c>
      <c r="AF5956">
        <v>-1.1030226979920399</v>
      </c>
      <c r="AG5956">
        <v>-1.120036346284</v>
      </c>
      <c r="AH5956">
        <v>5.6840811817956798</v>
      </c>
      <c r="AI5956">
        <v>100.948042263715</v>
      </c>
      <c r="AJ5956">
        <v>100.982022391276</v>
      </c>
      <c r="AK5956">
        <v>5.8974502431582003</v>
      </c>
      <c r="AL5956">
        <v>66.337142986733497</v>
      </c>
      <c r="AM5956">
        <v>105.610934753804</v>
      </c>
      <c r="AN5956">
        <v>1.00000000493827</v>
      </c>
    </row>
    <row r="5957" spans="1:40" x14ac:dyDescent="0.25">
      <c r="A5957" t="str">
        <f>"20190304164525274"</f>
        <v>20190304164525274</v>
      </c>
      <c r="B5957" t="str">
        <f>"1551689125265719"</f>
        <v>1551689125265719</v>
      </c>
      <c r="C5957" t="s">
        <v>40</v>
      </c>
      <c r="D5957">
        <v>5.3420249999999996</v>
      </c>
      <c r="E5957">
        <v>0.53228629999999999</v>
      </c>
      <c r="F5957" t="s">
        <v>42</v>
      </c>
      <c r="G5957">
        <v>-192.92830000000001</v>
      </c>
      <c r="H5957" s="1">
        <v>-8.1303089999999995E-7</v>
      </c>
      <c r="I5957">
        <v>-40.331910000000001</v>
      </c>
      <c r="J5957">
        <v>-194.77510000000001</v>
      </c>
      <c r="K5957">
        <v>1.119834</v>
      </c>
      <c r="L5957">
        <v>-46.267699999999998</v>
      </c>
      <c r="M5957">
        <v>0.47467229999999999</v>
      </c>
      <c r="N5957">
        <v>-1.477329E-2</v>
      </c>
      <c r="O5957">
        <v>0.8800386</v>
      </c>
      <c r="P5957">
        <v>0.21526490000000001</v>
      </c>
      <c r="Q5957">
        <v>0.39401989999999998</v>
      </c>
      <c r="R5957">
        <v>0.89353749999999998</v>
      </c>
      <c r="S5957">
        <v>1.0795440000000001</v>
      </c>
      <c r="T5957">
        <v>-0.60221819999999904</v>
      </c>
      <c r="U5957">
        <v>3.3601070000000002</v>
      </c>
      <c r="V5957">
        <v>-0.24373980000000001</v>
      </c>
      <c r="W5957">
        <v>0.40177069999999998</v>
      </c>
      <c r="X5957">
        <v>0.88270680000000001</v>
      </c>
      <c r="Y5957">
        <v>-0.18525829999999999</v>
      </c>
      <c r="Z5957">
        <v>-0.12727369999999999</v>
      </c>
      <c r="AA5957">
        <v>0.97441299999999997</v>
      </c>
      <c r="AB5957">
        <v>32</v>
      </c>
      <c r="AC5957">
        <v>1.8468</v>
      </c>
      <c r="AD5957">
        <v>-1.1198348130308999</v>
      </c>
      <c r="AE5957">
        <v>5.9357899999999901</v>
      </c>
      <c r="AF5957">
        <v>-1.1549510876746001</v>
      </c>
      <c r="AG5957">
        <v>-1.1198348130308999</v>
      </c>
      <c r="AH5957">
        <v>5.9092560670667797</v>
      </c>
      <c r="AI5957">
        <v>100.535842618198</v>
      </c>
      <c r="AJ5957">
        <v>101.058924006033</v>
      </c>
      <c r="AK5957">
        <v>6.1243162303690903</v>
      </c>
      <c r="AL5957">
        <v>66.311080760693102</v>
      </c>
      <c r="AM5957">
        <v>105.436303686825</v>
      </c>
      <c r="AN5957">
        <v>1.00000004012438</v>
      </c>
    </row>
    <row r="5958" spans="1:40" x14ac:dyDescent="0.25">
      <c r="A5958" t="str">
        <f>"20190304164525295"</f>
        <v>20190304164525295</v>
      </c>
      <c r="B5958" t="str">
        <f>"1551689125286215"</f>
        <v>1551689125286215</v>
      </c>
      <c r="C5958" t="s">
        <v>40</v>
      </c>
      <c r="D5958">
        <v>5.3911889999999998</v>
      </c>
      <c r="E5958">
        <v>0.53228209999999998</v>
      </c>
      <c r="F5958" t="s">
        <v>42</v>
      </c>
      <c r="G5958">
        <v>-192.82329999999999</v>
      </c>
      <c r="H5958" s="1">
        <v>-9.4694169999999995E-7</v>
      </c>
      <c r="I5958">
        <v>-39.954650000000001</v>
      </c>
      <c r="J5958">
        <v>-194.64439999999999</v>
      </c>
      <c r="K5958">
        <v>1.1196569999999999</v>
      </c>
      <c r="L5958">
        <v>-46.006529999999998</v>
      </c>
      <c r="M5958">
        <v>0.46648689999999998</v>
      </c>
      <c r="N5958">
        <v>-1.473473E-2</v>
      </c>
      <c r="O5958">
        <v>0.88440540000000001</v>
      </c>
      <c r="P5958">
        <v>0.20898900000000001</v>
      </c>
      <c r="Q5958">
        <v>0.39374959999999998</v>
      </c>
      <c r="R5958">
        <v>0.89514519999999997</v>
      </c>
      <c r="S5958">
        <v>1.041885</v>
      </c>
      <c r="T5958">
        <v>-0.59779450000000001</v>
      </c>
      <c r="U5958">
        <v>3.3700559999999999</v>
      </c>
      <c r="V5958">
        <v>-0.24159829999999999</v>
      </c>
      <c r="W5958">
        <v>0.40162870000000001</v>
      </c>
      <c r="X5958">
        <v>0.88335980000000003</v>
      </c>
      <c r="Y5958">
        <v>-0.1868602</v>
      </c>
      <c r="Z5958">
        <v>-0.1270993</v>
      </c>
      <c r="AA5958">
        <v>0.97412989999999999</v>
      </c>
      <c r="AB5958">
        <v>32</v>
      </c>
      <c r="AC5958">
        <v>1.8210999999999999</v>
      </c>
      <c r="AD5958">
        <v>-1.1196579469416901</v>
      </c>
      <c r="AE5958">
        <v>6.0518799999999899</v>
      </c>
      <c r="AF5958">
        <v>-1.17576052617495</v>
      </c>
      <c r="AG5958">
        <v>-1.1196579469416901</v>
      </c>
      <c r="AH5958">
        <v>6.0137563106143404</v>
      </c>
      <c r="AI5958">
        <v>100.35503597797999</v>
      </c>
      <c r="AJ5958">
        <v>101.062457949508</v>
      </c>
      <c r="AK5958">
        <v>6.2290698901613499</v>
      </c>
      <c r="AL5958">
        <v>66.319962651962697</v>
      </c>
      <c r="AM5958">
        <v>105.296282973724</v>
      </c>
      <c r="AN5958">
        <v>0.99999994374130796</v>
      </c>
    </row>
    <row r="5959" spans="1:40" x14ac:dyDescent="0.25">
      <c r="A5959" t="str">
        <f>"20190304164525316"</f>
        <v>20190304164525316</v>
      </c>
      <c r="B5959" t="str">
        <f>"1551689125305735"</f>
        <v>1551689125305735</v>
      </c>
      <c r="C5959" t="s">
        <v>40</v>
      </c>
      <c r="D5959">
        <v>5.3715859999999997</v>
      </c>
      <c r="E5959">
        <v>0.53240399999999999</v>
      </c>
      <c r="F5959" t="s">
        <v>42</v>
      </c>
      <c r="G5959">
        <v>-192.7458</v>
      </c>
      <c r="H5959" s="1">
        <v>-1.0424759999999999E-6</v>
      </c>
      <c r="I5959">
        <v>-39.683869999999999</v>
      </c>
      <c r="J5959">
        <v>-194.50989999999999</v>
      </c>
      <c r="K5959">
        <v>1.1194839999999999</v>
      </c>
      <c r="L5959">
        <v>-45.731259999999999</v>
      </c>
      <c r="M5959">
        <v>0.45802549999999997</v>
      </c>
      <c r="N5959">
        <v>-1.4690780000000001E-2</v>
      </c>
      <c r="O5959">
        <v>0.88881759999999999</v>
      </c>
      <c r="P5959">
        <v>0.20134150000000001</v>
      </c>
      <c r="Q5959">
        <v>0.39411810000000003</v>
      </c>
      <c r="R5959">
        <v>0.89673440000000004</v>
      </c>
      <c r="S5959">
        <v>1.0142819999999999</v>
      </c>
      <c r="T5959">
        <v>-0.59814799999999901</v>
      </c>
      <c r="U5959">
        <v>3.3777159999999999</v>
      </c>
      <c r="V5959">
        <v>-0.24044779999999999</v>
      </c>
      <c r="W5959">
        <v>0.40209250000000002</v>
      </c>
      <c r="X5959">
        <v>0.88346279999999999</v>
      </c>
      <c r="Y5959">
        <v>-0.18542339999999999</v>
      </c>
      <c r="Z5959">
        <v>-0.12812380000000001</v>
      </c>
      <c r="AA5959">
        <v>0.97427019999999998</v>
      </c>
      <c r="AB5959">
        <v>32</v>
      </c>
      <c r="AC5959">
        <v>1.76409999999998</v>
      </c>
      <c r="AD5959">
        <v>-1.1194850424759999</v>
      </c>
      <c r="AE5959">
        <v>6.04739</v>
      </c>
      <c r="AF5959">
        <v>-1.16522592495405</v>
      </c>
      <c r="AG5959">
        <v>-1.1194850424759999</v>
      </c>
      <c r="AH5959">
        <v>5.9943855435220996</v>
      </c>
      <c r="AI5959">
        <v>100.388349671284</v>
      </c>
      <c r="AJ5959">
        <v>101.00032613356601</v>
      </c>
      <c r="AK5959">
        <v>6.2083537480478102</v>
      </c>
      <c r="AL5959">
        <v>66.290944437400597</v>
      </c>
      <c r="AM5959">
        <v>105.22513777778801</v>
      </c>
      <c r="AN5959">
        <v>1.00000002103246</v>
      </c>
    </row>
    <row r="5960" spans="1:40" x14ac:dyDescent="0.25">
      <c r="A5960" t="str">
        <f>"20190304164525338"</f>
        <v>20190304164525338</v>
      </c>
      <c r="B5960" t="str">
        <f>"1551689125335991"</f>
        <v>1551689125335991</v>
      </c>
      <c r="C5960" t="s">
        <v>40</v>
      </c>
      <c r="D5960">
        <v>5.3800699999999999</v>
      </c>
      <c r="E5960">
        <v>0.53265319999999905</v>
      </c>
      <c r="F5960" t="s">
        <v>42</v>
      </c>
      <c r="G5960">
        <v>-192.6671</v>
      </c>
      <c r="H5960" s="1">
        <v>-1.1454009999999999E-6</v>
      </c>
      <c r="I5960">
        <v>-39.395119999999999</v>
      </c>
      <c r="J5960">
        <v>-194.37700000000001</v>
      </c>
      <c r="K5960">
        <v>1.1193029999999999</v>
      </c>
      <c r="L5960">
        <v>-45.453249999999997</v>
      </c>
      <c r="M5960">
        <v>0.44966810000000002</v>
      </c>
      <c r="N5960">
        <v>-1.464738E-2</v>
      </c>
      <c r="O5960">
        <v>0.89307559999999997</v>
      </c>
      <c r="P5960">
        <v>0.19348779999999999</v>
      </c>
      <c r="Q5960">
        <v>0.39407880000000001</v>
      </c>
      <c r="R5960">
        <v>0.89847889999999997</v>
      </c>
      <c r="S5960">
        <v>0.98515319999999995</v>
      </c>
      <c r="T5960">
        <v>-0.59848199999999996</v>
      </c>
      <c r="U5960">
        <v>3.3873289999999998</v>
      </c>
      <c r="V5960">
        <v>-0.23970359999999999</v>
      </c>
      <c r="W5960">
        <v>0.40214179999999999</v>
      </c>
      <c r="X5960">
        <v>0.88364259999999994</v>
      </c>
      <c r="Y5960">
        <v>-0.184697</v>
      </c>
      <c r="Z5960">
        <v>-0.1290211</v>
      </c>
      <c r="AA5960">
        <v>0.97428979999999998</v>
      </c>
      <c r="AB5960">
        <v>32</v>
      </c>
      <c r="AC5960">
        <v>1.7099</v>
      </c>
      <c r="AD5960">
        <v>-1.119304145401</v>
      </c>
      <c r="AE5960">
        <v>6.0581299999999896</v>
      </c>
      <c r="AF5960">
        <v>-1.1605135210031201</v>
      </c>
      <c r="AG5960">
        <v>-1.119304145401</v>
      </c>
      <c r="AH5960">
        <v>5.9905124031468198</v>
      </c>
      <c r="AI5960">
        <v>100.39453352110699</v>
      </c>
      <c r="AJ5960">
        <v>100.963829989742</v>
      </c>
      <c r="AK5960">
        <v>6.2036982723693797</v>
      </c>
      <c r="AL5960">
        <v>66.287859910868704</v>
      </c>
      <c r="AM5960">
        <v>105.17724634861401</v>
      </c>
      <c r="AN5960">
        <v>1.0000000438474701</v>
      </c>
    </row>
    <row r="5961" spans="1:40" x14ac:dyDescent="0.25">
      <c r="A5961" t="str">
        <f>"20190304164525361"</f>
        <v>20190304164525361</v>
      </c>
      <c r="B5961" t="str">
        <f>"1551689125356487"</f>
        <v>1551689125356487</v>
      </c>
      <c r="C5961" t="s">
        <v>40</v>
      </c>
      <c r="D5961">
        <v>5.3820209999999999</v>
      </c>
      <c r="E5961">
        <v>0.53290190000000004</v>
      </c>
      <c r="F5961" t="s">
        <v>42</v>
      </c>
      <c r="G5961">
        <v>-192.59630000000001</v>
      </c>
      <c r="H5961" s="1">
        <v>-1.2363769999999999E-6</v>
      </c>
      <c r="I5961">
        <v>-39.139180000000003</v>
      </c>
      <c r="J5961">
        <v>-194.2423</v>
      </c>
      <c r="K5961">
        <v>1.1190869999999999</v>
      </c>
      <c r="L5961">
        <v>-45.164830000000002</v>
      </c>
      <c r="M5961">
        <v>0.44121480000000002</v>
      </c>
      <c r="N5961">
        <v>-1.4595830000000001E-2</v>
      </c>
      <c r="O5961">
        <v>0.89728280000000005</v>
      </c>
      <c r="P5961">
        <v>0.1864536</v>
      </c>
      <c r="Q5961">
        <v>0.39368999999999998</v>
      </c>
      <c r="R5961">
        <v>0.90013509999999997</v>
      </c>
      <c r="S5961">
        <v>0.95794679999999999</v>
      </c>
      <c r="T5961">
        <v>-0.60215379999999996</v>
      </c>
      <c r="U5961">
        <v>3.3967900000000002</v>
      </c>
      <c r="V5961">
        <v>-0.23812349999999999</v>
      </c>
      <c r="W5961">
        <v>0.40186500000000003</v>
      </c>
      <c r="X5961">
        <v>0.88419550000000002</v>
      </c>
      <c r="Y5961">
        <v>-0.18341009999999999</v>
      </c>
      <c r="Z5961">
        <v>-0.1306978</v>
      </c>
      <c r="AA5961">
        <v>0.97430939999999999</v>
      </c>
      <c r="AB5961">
        <v>32</v>
      </c>
      <c r="AC5961">
        <v>1.6459999999999799</v>
      </c>
      <c r="AD5961">
        <v>-1.1190882363770001</v>
      </c>
      <c r="AE5961">
        <v>6.0256499999999997</v>
      </c>
      <c r="AF5961">
        <v>-1.1450515201264799</v>
      </c>
      <c r="AG5961">
        <v>-1.1190882363770001</v>
      </c>
      <c r="AH5961">
        <v>5.9428565382613296</v>
      </c>
      <c r="AI5961">
        <v>100.47607304461199</v>
      </c>
      <c r="AJ5961">
        <v>100.905928484791</v>
      </c>
      <c r="AK5961">
        <v>6.1547579399109402</v>
      </c>
      <c r="AL5961">
        <v>66.305179001551807</v>
      </c>
      <c r="AM5961">
        <v>105.07276978255901</v>
      </c>
      <c r="AN5961">
        <v>0.99999998084874897</v>
      </c>
    </row>
    <row r="5962" spans="1:40" x14ac:dyDescent="0.25">
      <c r="A5962" t="str">
        <f>"20190304164525386"</f>
        <v>20190304164525386</v>
      </c>
      <c r="B5962" t="str">
        <f>"1551689125376008"</f>
        <v>1551689125376008</v>
      </c>
      <c r="C5962" t="s">
        <v>40</v>
      </c>
      <c r="D5962">
        <v>5.3777809999999997</v>
      </c>
      <c r="E5962">
        <v>0.53328260000000005</v>
      </c>
      <c r="F5962" t="s">
        <v>42</v>
      </c>
      <c r="G5962">
        <v>-192.5163</v>
      </c>
      <c r="H5962" s="1">
        <v>-1.3302899999999999E-6</v>
      </c>
      <c r="I5962">
        <v>-38.870609999999999</v>
      </c>
      <c r="J5962">
        <v>-194.09469999999999</v>
      </c>
      <c r="K5962">
        <v>1.1188180000000001</v>
      </c>
      <c r="L5962">
        <v>-44.841030000000003</v>
      </c>
      <c r="M5962">
        <v>0.43201909999999999</v>
      </c>
      <c r="N5962">
        <v>-1.453399E-2</v>
      </c>
      <c r="O5962">
        <v>0.90174730000000003</v>
      </c>
      <c r="P5962">
        <v>0.17845829999999999</v>
      </c>
      <c r="Q5962">
        <v>0.39360679999999998</v>
      </c>
      <c r="R5962">
        <v>0.9017906</v>
      </c>
      <c r="S5962">
        <v>0.93350219999999995</v>
      </c>
      <c r="T5962">
        <v>-0.60524990000000001</v>
      </c>
      <c r="U5962">
        <v>3.404175</v>
      </c>
      <c r="V5962">
        <v>-0.236683</v>
      </c>
      <c r="W5962">
        <v>0.40190510000000002</v>
      </c>
      <c r="X5962">
        <v>0.88456399999999902</v>
      </c>
      <c r="Y5962">
        <v>-0.1804635</v>
      </c>
      <c r="Z5962">
        <v>-0.1324168</v>
      </c>
      <c r="AA5962">
        <v>0.97462749999999998</v>
      </c>
      <c r="AB5962">
        <v>32</v>
      </c>
      <c r="AC5962">
        <v>1.57839999999998</v>
      </c>
      <c r="AD5962">
        <v>-1.11881933029</v>
      </c>
      <c r="AE5962">
        <v>5.9704199999999901</v>
      </c>
      <c r="AF5962">
        <v>-1.1193983444410001</v>
      </c>
      <c r="AG5962">
        <v>-1.11881933029</v>
      </c>
      <c r="AH5962">
        <v>5.8735654664695502</v>
      </c>
      <c r="AI5962">
        <v>100.59839788785099</v>
      </c>
      <c r="AJ5962">
        <v>100.79017138617399</v>
      </c>
      <c r="AK5962">
        <v>6.0830568496662503</v>
      </c>
      <c r="AL5962">
        <v>66.302670656712905</v>
      </c>
      <c r="AM5962">
        <v>104.97974005254601</v>
      </c>
      <c r="AN5962">
        <v>1.0000000109955001</v>
      </c>
    </row>
    <row r="5963" spans="1:40" x14ac:dyDescent="0.25">
      <c r="A5963" t="str">
        <f>"20190304164525408"</f>
        <v>20190304164525408</v>
      </c>
      <c r="B5963" t="str">
        <f>"1551689125396503"</f>
        <v>1551689125396503</v>
      </c>
      <c r="C5963" t="s">
        <v>40</v>
      </c>
      <c r="D5963">
        <v>5.4518490000000002</v>
      </c>
      <c r="E5963">
        <v>0.53309799999999996</v>
      </c>
      <c r="F5963" t="s">
        <v>42</v>
      </c>
      <c r="G5963">
        <v>-192.4256</v>
      </c>
      <c r="H5963" s="1">
        <v>-1.440608E-6</v>
      </c>
      <c r="I5963">
        <v>-38.557209999999998</v>
      </c>
      <c r="J5963">
        <v>-193.96899999999999</v>
      </c>
      <c r="K5963">
        <v>1.118552</v>
      </c>
      <c r="L5963">
        <v>-44.559049999999999</v>
      </c>
      <c r="M5963">
        <v>0.42429040000000001</v>
      </c>
      <c r="N5963">
        <v>-1.4478799999999899E-2</v>
      </c>
      <c r="O5963">
        <v>0.90541039999999995</v>
      </c>
      <c r="P5963">
        <v>0.1726953</v>
      </c>
      <c r="Q5963">
        <v>0.3928238</v>
      </c>
      <c r="R5963">
        <v>0.90325279999999997</v>
      </c>
      <c r="S5963">
        <v>0.90641780000000005</v>
      </c>
      <c r="T5963">
        <v>-0.60759339999999995</v>
      </c>
      <c r="U5963">
        <v>3.4125369999999999</v>
      </c>
      <c r="V5963">
        <v>-0.23463519999999999</v>
      </c>
      <c r="W5963">
        <v>0.40126489999999998</v>
      </c>
      <c r="X5963">
        <v>0.88539979999999996</v>
      </c>
      <c r="Y5963">
        <v>-0.17990729999999999</v>
      </c>
      <c r="Z5963">
        <v>-0.133693799999999</v>
      </c>
      <c r="AA5963">
        <v>0.97455599999999998</v>
      </c>
      <c r="AB5963">
        <v>32</v>
      </c>
      <c r="AC5963">
        <v>1.5434000000000101</v>
      </c>
      <c r="AD5963">
        <v>-1.118553440608</v>
      </c>
      <c r="AE5963">
        <v>6.0018399999999996</v>
      </c>
      <c r="AF5963">
        <v>-1.11297381090058</v>
      </c>
      <c r="AG5963">
        <v>-1.118553440608</v>
      </c>
      <c r="AH5963">
        <v>5.8974836201450103</v>
      </c>
      <c r="AI5963">
        <v>100.557447955429</v>
      </c>
      <c r="AJ5963">
        <v>100.68717377247501</v>
      </c>
      <c r="AK5963">
        <v>6.10493124884509</v>
      </c>
      <c r="AL5963">
        <v>66.3427227072292</v>
      </c>
      <c r="AM5963">
        <v>104.84248421765599</v>
      </c>
      <c r="AN5963">
        <v>1.0000000014455399</v>
      </c>
    </row>
    <row r="5964" spans="1:40" x14ac:dyDescent="0.25">
      <c r="A5964" t="str">
        <f>"20190304164525428"</f>
        <v>20190304164525428</v>
      </c>
      <c r="B5964" t="str">
        <f>"1551689125416023"</f>
        <v>1551689125416023</v>
      </c>
      <c r="C5964" t="s">
        <v>40</v>
      </c>
      <c r="D5964">
        <v>5.3700729999999997</v>
      </c>
      <c r="E5964">
        <v>0.50373780000000001</v>
      </c>
      <c r="F5964" t="s">
        <v>42</v>
      </c>
      <c r="G5964">
        <v>-192.35210000000001</v>
      </c>
      <c r="H5964" s="1">
        <v>-1.533731E-6</v>
      </c>
      <c r="I5964">
        <v>-38.294550000000001</v>
      </c>
      <c r="J5964">
        <v>-193.85589999999999</v>
      </c>
      <c r="K5964">
        <v>1.118282</v>
      </c>
      <c r="L5964">
        <v>-44.300319999999999</v>
      </c>
      <c r="M5964">
        <v>0.41745779999999899</v>
      </c>
      <c r="N5964">
        <v>-1.442713E-2</v>
      </c>
      <c r="O5964">
        <v>0.90858179999999999</v>
      </c>
      <c r="P5964">
        <v>0.168244899999999</v>
      </c>
      <c r="Q5964">
        <v>0.3913393</v>
      </c>
      <c r="R5964">
        <v>0.90473599999999998</v>
      </c>
      <c r="S5964">
        <v>0.88221740000000004</v>
      </c>
      <c r="T5964">
        <v>-0.61031459999999904</v>
      </c>
      <c r="U5964">
        <v>3.418091</v>
      </c>
      <c r="V5964">
        <v>-0.23230029999999999</v>
      </c>
      <c r="W5964">
        <v>0.39993630000000002</v>
      </c>
      <c r="X5964">
        <v>0.88661579999999995</v>
      </c>
      <c r="Y5964">
        <v>-0.1793872</v>
      </c>
      <c r="Z5964">
        <v>-0.13504160000000001</v>
      </c>
      <c r="AA5964">
        <v>0.97446600000000005</v>
      </c>
      <c r="AB5964">
        <v>32</v>
      </c>
      <c r="AC5964">
        <v>1.50379999999998</v>
      </c>
      <c r="AD5964">
        <v>-1.118283533731</v>
      </c>
      <c r="AE5964">
        <v>6.0057699999999903</v>
      </c>
      <c r="AF5964">
        <v>-1.10490098817835</v>
      </c>
      <c r="AG5964">
        <v>-1.118283533731</v>
      </c>
      <c r="AH5964">
        <v>5.8928813106728404</v>
      </c>
      <c r="AI5964">
        <v>100.565309209502</v>
      </c>
      <c r="AJ5964">
        <v>100.61952135943</v>
      </c>
      <c r="AK5964">
        <v>6.0989683059652497</v>
      </c>
      <c r="AL5964">
        <v>66.425804283602901</v>
      </c>
      <c r="AM5964">
        <v>104.681920393882</v>
      </c>
      <c r="AN5964">
        <v>1.0000000251237</v>
      </c>
    </row>
    <row r="5965" spans="1:40" x14ac:dyDescent="0.25">
      <c r="A5965" t="str">
        <f>"20190304164525451"</f>
        <v>20190304164525451</v>
      </c>
      <c r="B5965" t="str">
        <f>"1551689125446280"</f>
        <v>1551689125446280</v>
      </c>
      <c r="C5965" t="s">
        <v>40</v>
      </c>
      <c r="D5965">
        <v>5.3693460000000002</v>
      </c>
      <c r="E5965">
        <v>0.50139309999999904</v>
      </c>
      <c r="F5965" t="s">
        <v>42</v>
      </c>
      <c r="G5965">
        <v>-192.5164</v>
      </c>
      <c r="H5965" s="1">
        <v>-2.1380920000000001E-6</v>
      </c>
      <c r="I5965">
        <v>-36.987670000000001</v>
      </c>
      <c r="J5965">
        <v>-193.73230000000001</v>
      </c>
      <c r="K5965">
        <v>1.1179809999999999</v>
      </c>
      <c r="L5965">
        <v>-44.012210000000003</v>
      </c>
      <c r="M5965">
        <v>0.4101416</v>
      </c>
      <c r="N5965">
        <v>-1.436958E-2</v>
      </c>
      <c r="O5965">
        <v>0.91190859999999996</v>
      </c>
      <c r="P5965">
        <v>0.16368089999999999</v>
      </c>
      <c r="Q5965">
        <v>0.39007920000000001</v>
      </c>
      <c r="R5965">
        <v>0.90611629999999999</v>
      </c>
      <c r="S5965">
        <v>0.62753300000000001</v>
      </c>
      <c r="T5965">
        <v>-0.52389070000000004</v>
      </c>
      <c r="U5965">
        <v>3.4258120000000001</v>
      </c>
      <c r="V5965">
        <v>-0.2295314</v>
      </c>
      <c r="W5965">
        <v>0.39885700000000002</v>
      </c>
      <c r="X5965">
        <v>0.88782229999999995</v>
      </c>
      <c r="Y5965">
        <v>-0.2400853</v>
      </c>
      <c r="Z5965">
        <v>-0.1146244</v>
      </c>
      <c r="AA5965">
        <v>0.9639607</v>
      </c>
      <c r="AB5965">
        <v>32</v>
      </c>
      <c r="AC5965">
        <v>1.2159</v>
      </c>
      <c r="AD5965">
        <v>-1.11798313809199</v>
      </c>
      <c r="AE5965">
        <v>7.0245399999999902</v>
      </c>
      <c r="AF5965">
        <v>-1.7299056888695801</v>
      </c>
      <c r="AG5965">
        <v>-1.11798313809199</v>
      </c>
      <c r="AH5965">
        <v>6.7393999025006801</v>
      </c>
      <c r="AI5965">
        <v>99.128189964555702</v>
      </c>
      <c r="AJ5965">
        <v>104.39618668702199</v>
      </c>
      <c r="AK5965">
        <v>7.0471250191313901</v>
      </c>
      <c r="AL5965">
        <v>66.493256624931703</v>
      </c>
      <c r="AM5965">
        <v>104.495459654391</v>
      </c>
      <c r="AN5965">
        <v>1.00000000320612</v>
      </c>
    </row>
    <row r="5966" spans="1:40" x14ac:dyDescent="0.25">
      <c r="A5966" t="str">
        <f>"20190304164525475"</f>
        <v>20190304164525475</v>
      </c>
      <c r="B5966" t="str">
        <f>"1551689125465800"</f>
        <v>1551689125465800</v>
      </c>
      <c r="C5966" t="s">
        <v>40</v>
      </c>
      <c r="D5966">
        <v>5.3392540000000004</v>
      </c>
      <c r="E5966">
        <v>0.50117590000000001</v>
      </c>
      <c r="F5966" t="s">
        <v>42</v>
      </c>
      <c r="G5966">
        <v>-192.47460000000001</v>
      </c>
      <c r="H5966" s="1">
        <v>-2.2578580000000001E-6</v>
      </c>
      <c r="I5966">
        <v>-36.682560000000002</v>
      </c>
      <c r="J5966">
        <v>-193.59739999999999</v>
      </c>
      <c r="K5966">
        <v>1.117648</v>
      </c>
      <c r="L5966">
        <v>-43.691130000000001</v>
      </c>
      <c r="M5966">
        <v>0.40235979999999999</v>
      </c>
      <c r="N5966">
        <v>-1.4301019999999999E-2</v>
      </c>
      <c r="O5966">
        <v>0.91536989999999996</v>
      </c>
      <c r="P5966">
        <v>0.159298</v>
      </c>
      <c r="Q5966">
        <v>0.38945839999999998</v>
      </c>
      <c r="R5966">
        <v>0.90716390000000002</v>
      </c>
      <c r="S5966">
        <v>0.58853149999999999</v>
      </c>
      <c r="T5966">
        <v>-0.52313140000000002</v>
      </c>
      <c r="U5966">
        <v>3.4297179999999998</v>
      </c>
      <c r="V5966">
        <v>-0.22600329999999999</v>
      </c>
      <c r="W5966">
        <v>0.3984354</v>
      </c>
      <c r="X5966">
        <v>0.88891609999999999</v>
      </c>
      <c r="Y5966">
        <v>-0.2426403</v>
      </c>
      <c r="Z5966">
        <v>-0.1151433</v>
      </c>
      <c r="AA5966">
        <v>0.96325890000000003</v>
      </c>
      <c r="AB5966">
        <v>32</v>
      </c>
      <c r="AC5966">
        <v>1.12279999999998</v>
      </c>
      <c r="AD5966">
        <v>-1.1176502578580001</v>
      </c>
      <c r="AE5966">
        <v>7.0085699999999997</v>
      </c>
      <c r="AF5966">
        <v>-1.74900783629104</v>
      </c>
      <c r="AG5966">
        <v>-1.1176502578580001</v>
      </c>
      <c r="AH5966">
        <v>6.7017427105035399</v>
      </c>
      <c r="AI5966">
        <v>99.166536521805696</v>
      </c>
      <c r="AJ5966">
        <v>104.626694245913</v>
      </c>
      <c r="AK5966">
        <v>7.0158054325989498</v>
      </c>
      <c r="AL5966">
        <v>66.519596998075599</v>
      </c>
      <c r="AM5966">
        <v>104.264977345738</v>
      </c>
      <c r="AN5966">
        <v>1.0000000462116201</v>
      </c>
    </row>
    <row r="5967" spans="1:40" x14ac:dyDescent="0.25">
      <c r="A5967" t="str">
        <f>"20190304164525498"</f>
        <v>20190304164525498</v>
      </c>
      <c r="B5967" t="str">
        <f>"1551689125486296"</f>
        <v>1551689125486296</v>
      </c>
      <c r="C5967" t="s">
        <v>40</v>
      </c>
      <c r="D5967">
        <v>5.3425229999999999</v>
      </c>
      <c r="E5967">
        <v>0.50148990000000004</v>
      </c>
      <c r="F5967" t="s">
        <v>42</v>
      </c>
      <c r="G5967">
        <v>-192.39099999999999</v>
      </c>
      <c r="H5967" s="1">
        <v>-2.3688160000000001E-6</v>
      </c>
      <c r="I5967">
        <v>-36.372070000000001</v>
      </c>
      <c r="J5967">
        <v>-193.4803</v>
      </c>
      <c r="K5967">
        <v>1.11737</v>
      </c>
      <c r="L5967">
        <v>-43.406709999999997</v>
      </c>
      <c r="M5967">
        <v>0.39580090000000001</v>
      </c>
      <c r="N5967">
        <v>-1.4240340000000001E-2</v>
      </c>
      <c r="O5967">
        <v>0.91822590000000004</v>
      </c>
      <c r="P5967">
        <v>0.15652279999999999</v>
      </c>
      <c r="Q5967">
        <v>0.38885560000000002</v>
      </c>
      <c r="R5967">
        <v>0.90790519999999997</v>
      </c>
      <c r="S5967">
        <v>0.56581119999999996</v>
      </c>
      <c r="T5967">
        <v>-0.52418379999999998</v>
      </c>
      <c r="U5967">
        <v>3.4326780000000001</v>
      </c>
      <c r="V5967">
        <v>-0.22215080000000001</v>
      </c>
      <c r="W5967">
        <v>0.39801120000000001</v>
      </c>
      <c r="X5967">
        <v>0.89007649999999905</v>
      </c>
      <c r="Y5967">
        <v>-0.24205380000000001</v>
      </c>
      <c r="Z5967">
        <v>-0.1160206</v>
      </c>
      <c r="AA5967">
        <v>0.96330119999999997</v>
      </c>
      <c r="AB5967">
        <v>32</v>
      </c>
      <c r="AC5967">
        <v>1.0892999999999999</v>
      </c>
      <c r="AD5967">
        <v>-1.117372368816</v>
      </c>
      <c r="AE5967">
        <v>7.0346399999999898</v>
      </c>
      <c r="AF5967">
        <v>-1.7413689100893299</v>
      </c>
      <c r="AG5967">
        <v>-1.117372368816</v>
      </c>
      <c r="AH5967">
        <v>6.7255239361602097</v>
      </c>
      <c r="AI5967">
        <v>99.136940106124001</v>
      </c>
      <c r="AJ5967">
        <v>104.516209788777</v>
      </c>
      <c r="AK5967">
        <v>7.0365871633543398</v>
      </c>
      <c r="AL5967">
        <v>66.546093136218502</v>
      </c>
      <c r="AM5967">
        <v>104.01392626190101</v>
      </c>
      <c r="AN5967">
        <v>1.00000003455916</v>
      </c>
    </row>
    <row r="5968" spans="1:40" x14ac:dyDescent="0.25">
      <c r="A5968" t="str">
        <f>"20190304164525519"</f>
        <v>20190304164525519</v>
      </c>
      <c r="B5968" t="str">
        <f>"1551689125515576"</f>
        <v>1551689125515576</v>
      </c>
      <c r="C5968" t="s">
        <v>40</v>
      </c>
      <c r="D5968">
        <v>5.349863</v>
      </c>
      <c r="E5968">
        <v>0.5021835</v>
      </c>
      <c r="F5968" t="s">
        <v>42</v>
      </c>
      <c r="G5968">
        <v>-192.31800000000001</v>
      </c>
      <c r="H5968" s="1">
        <v>-2.4505270000000002E-6</v>
      </c>
      <c r="I5968">
        <v>-36.136299999999999</v>
      </c>
      <c r="J5968">
        <v>-193.3631</v>
      </c>
      <c r="K5968">
        <v>1.117116</v>
      </c>
      <c r="L5968">
        <v>-43.116549999999997</v>
      </c>
      <c r="M5968">
        <v>0.38935710000000001</v>
      </c>
      <c r="N5968">
        <v>-1.418004E-2</v>
      </c>
      <c r="O5968">
        <v>0.92097779999999996</v>
      </c>
      <c r="P5968">
        <v>0.15334919999999999</v>
      </c>
      <c r="Q5968">
        <v>0.38807700000000001</v>
      </c>
      <c r="R5968">
        <v>0.90877960000000002</v>
      </c>
      <c r="S5968">
        <v>0.54930109999999999</v>
      </c>
      <c r="T5968">
        <v>-0.528034</v>
      </c>
      <c r="U5968">
        <v>3.4357600000000001</v>
      </c>
      <c r="V5968">
        <v>-0.21887180000000001</v>
      </c>
      <c r="W5968">
        <v>0.39737939999999999</v>
      </c>
      <c r="X5968">
        <v>0.89117039999999903</v>
      </c>
      <c r="Y5968">
        <v>-0.2399327</v>
      </c>
      <c r="Z5968">
        <v>-0.1175706</v>
      </c>
      <c r="AA5968">
        <v>0.96364380000000005</v>
      </c>
      <c r="AB5968">
        <v>32</v>
      </c>
      <c r="AC5968">
        <v>1.0451000000000099</v>
      </c>
      <c r="AD5968">
        <v>-1.117118450527</v>
      </c>
      <c r="AE5968">
        <v>6.9802499999999901</v>
      </c>
      <c r="AF5968">
        <v>-1.71257043752244</v>
      </c>
      <c r="AG5968">
        <v>-1.117118450527</v>
      </c>
      <c r="AH5968">
        <v>6.6691881112723399</v>
      </c>
      <c r="AI5968">
        <v>99.215411157672804</v>
      </c>
      <c r="AJ5968">
        <v>104.401724550819</v>
      </c>
      <c r="AK5968">
        <v>6.9755946842918002</v>
      </c>
      <c r="AL5968">
        <v>66.585545174764405</v>
      </c>
      <c r="AM5968">
        <v>103.798748201469</v>
      </c>
      <c r="AN5968">
        <v>0.99999996710787897</v>
      </c>
    </row>
    <row r="5969" spans="1:40" x14ac:dyDescent="0.25">
      <c r="A5969" t="str">
        <f>"20190304164525540"</f>
        <v>20190304164525540</v>
      </c>
      <c r="B5969" t="str">
        <f>"1551689125536073"</f>
        <v>1551689125536073</v>
      </c>
      <c r="C5969" t="s">
        <v>40</v>
      </c>
      <c r="D5969">
        <v>5.3226009999999997</v>
      </c>
      <c r="E5969">
        <v>0.50277590000000005</v>
      </c>
      <c r="F5969" t="s">
        <v>42</v>
      </c>
      <c r="G5969">
        <v>-192.23830000000001</v>
      </c>
      <c r="H5969" s="1">
        <v>-2.5237070000000001E-6</v>
      </c>
      <c r="I5969">
        <v>-35.916339999999998</v>
      </c>
      <c r="J5969">
        <v>-193.25120000000001</v>
      </c>
      <c r="K5969">
        <v>1.1168979999999999</v>
      </c>
      <c r="L5969">
        <v>-42.83502</v>
      </c>
      <c r="M5969">
        <v>0.38332050000000001</v>
      </c>
      <c r="N5969">
        <v>-1.411363E-2</v>
      </c>
      <c r="O5969">
        <v>0.92350750000000004</v>
      </c>
      <c r="P5969">
        <v>0.14953720000000001</v>
      </c>
      <c r="Q5969">
        <v>0.38719740000000002</v>
      </c>
      <c r="R5969">
        <v>0.90978939999999997</v>
      </c>
      <c r="S5969">
        <v>0.53707890000000003</v>
      </c>
      <c r="T5969">
        <v>-0.53345390000000004</v>
      </c>
      <c r="U5969">
        <v>3.4382929999999998</v>
      </c>
      <c r="V5969">
        <v>-0.21667980000000001</v>
      </c>
      <c r="W5969">
        <v>0.39659949999999999</v>
      </c>
      <c r="X5969">
        <v>0.89205309999999904</v>
      </c>
      <c r="Y5969">
        <v>-0.23706749999999999</v>
      </c>
      <c r="Z5969">
        <v>-0.11949460000000001</v>
      </c>
      <c r="AA5969">
        <v>0.96411619999999998</v>
      </c>
      <c r="AB5969">
        <v>32</v>
      </c>
      <c r="AC5969">
        <v>1.0128999999999999</v>
      </c>
      <c r="AD5969">
        <v>-1.116900523707</v>
      </c>
      <c r="AE5969">
        <v>6.9186799999999904</v>
      </c>
      <c r="AF5969">
        <v>-1.67410957265747</v>
      </c>
      <c r="AG5969">
        <v>-1.116900523707</v>
      </c>
      <c r="AH5969">
        <v>6.6097547296963999</v>
      </c>
      <c r="AI5969">
        <v>99.302730291627597</v>
      </c>
      <c r="AJ5969">
        <v>104.21290777822</v>
      </c>
      <c r="AK5969">
        <v>6.9093391310504</v>
      </c>
      <c r="AL5969">
        <v>66.634232218582497</v>
      </c>
      <c r="AM5969">
        <v>103.65274407205899</v>
      </c>
      <c r="AN5969">
        <v>1.00000001617394</v>
      </c>
    </row>
    <row r="5970" spans="1:40" x14ac:dyDescent="0.25">
      <c r="A5970" t="str">
        <f>"20190304164525564"</f>
        <v>20190304164525564</v>
      </c>
      <c r="B5970" t="str">
        <f>"1551689125555592"</f>
        <v>1551689125555592</v>
      </c>
      <c r="C5970" t="s">
        <v>40</v>
      </c>
      <c r="D5970">
        <v>5.3330159999999998</v>
      </c>
      <c r="E5970">
        <v>0.50342169999999997</v>
      </c>
      <c r="F5970" t="s">
        <v>42</v>
      </c>
      <c r="G5970">
        <v>-192.1695</v>
      </c>
      <c r="H5970" s="1">
        <v>-2.5968150000000001E-6</v>
      </c>
      <c r="I5970">
        <v>-35.703209999999999</v>
      </c>
      <c r="J5970">
        <v>-193.13050000000001</v>
      </c>
      <c r="K5970">
        <v>1.1166720000000001</v>
      </c>
      <c r="L5970">
        <v>-42.525419999999997</v>
      </c>
      <c r="M5970">
        <v>0.37691269999999999</v>
      </c>
      <c r="N5970">
        <v>-1.403334E-2</v>
      </c>
      <c r="O5970">
        <v>0.92614249999999998</v>
      </c>
      <c r="P5970">
        <v>0.14553629999999901</v>
      </c>
      <c r="Q5970">
        <v>0.38661430000000002</v>
      </c>
      <c r="R5970">
        <v>0.91068579999999999</v>
      </c>
      <c r="S5970">
        <v>0.52194209999999996</v>
      </c>
      <c r="T5970">
        <v>-0.53889469999999995</v>
      </c>
      <c r="U5970">
        <v>3.4410400000000001</v>
      </c>
      <c r="V5970">
        <v>-0.2142781</v>
      </c>
      <c r="W5970">
        <v>0.39610260000000003</v>
      </c>
      <c r="X5970">
        <v>0.89285360000000003</v>
      </c>
      <c r="Y5970">
        <v>-0.2346328</v>
      </c>
      <c r="Z5970">
        <v>-0.1214586</v>
      </c>
      <c r="AA5970">
        <v>0.9644663</v>
      </c>
      <c r="AB5970">
        <v>32</v>
      </c>
      <c r="AC5970">
        <v>0.96100000000001196</v>
      </c>
      <c r="AD5970">
        <v>-1.11667459681499</v>
      </c>
      <c r="AE5970">
        <v>6.8222100000000001</v>
      </c>
      <c r="AF5970">
        <v>-1.6384764315770499</v>
      </c>
      <c r="AG5970">
        <v>-1.11667459681499</v>
      </c>
      <c r="AH5970">
        <v>6.5101830647395396</v>
      </c>
      <c r="AI5970">
        <v>99.444114494420802</v>
      </c>
      <c r="AJ5970">
        <v>104.126749013853</v>
      </c>
      <c r="AK5970">
        <v>6.8054427268493596</v>
      </c>
      <c r="AL5970">
        <v>66.6652409142674</v>
      </c>
      <c r="AM5970">
        <v>103.495322863852</v>
      </c>
      <c r="AN5970">
        <v>0.99999996244966405</v>
      </c>
    </row>
    <row r="5971" spans="1:40" x14ac:dyDescent="0.25">
      <c r="A5971" t="str">
        <f>"20190304164525587"</f>
        <v>20190304164525587</v>
      </c>
      <c r="B5971" t="str">
        <f>"1551689125576087"</f>
        <v>1551689125576087</v>
      </c>
      <c r="C5971" t="s">
        <v>40</v>
      </c>
      <c r="D5971">
        <v>5.3080189999999998</v>
      </c>
      <c r="E5971">
        <v>0.50382090000000002</v>
      </c>
      <c r="F5971" t="s">
        <v>42</v>
      </c>
      <c r="G5971">
        <v>-192.0899</v>
      </c>
      <c r="H5971" s="1">
        <v>-2.687234E-6</v>
      </c>
      <c r="I5971">
        <v>-35.443089999999998</v>
      </c>
      <c r="J5971">
        <v>-193.01429999999999</v>
      </c>
      <c r="K5971">
        <v>1.116471</v>
      </c>
      <c r="L5971">
        <v>-42.221649999999997</v>
      </c>
      <c r="M5971">
        <v>0.37082470000000001</v>
      </c>
      <c r="N5971">
        <v>-1.394947E-2</v>
      </c>
      <c r="O5971">
        <v>0.92859809999999998</v>
      </c>
      <c r="P5971">
        <v>0.14162429999999901</v>
      </c>
      <c r="Q5971">
        <v>0.38732929999999999</v>
      </c>
      <c r="R5971">
        <v>0.91099870000000005</v>
      </c>
      <c r="S5971">
        <v>0.50601200000000002</v>
      </c>
      <c r="T5971">
        <v>-0.54299799999999998</v>
      </c>
      <c r="U5971">
        <v>3.4438780000000002</v>
      </c>
      <c r="V5971">
        <v>-0.21193690000000001</v>
      </c>
      <c r="W5971">
        <v>0.39688180000000001</v>
      </c>
      <c r="X5971">
        <v>0.89306640000000004</v>
      </c>
      <c r="Y5971">
        <v>-0.23276189999999999</v>
      </c>
      <c r="Z5971">
        <v>-0.123053</v>
      </c>
      <c r="AA5971">
        <v>0.96471750000000001</v>
      </c>
      <c r="AB5971">
        <v>32</v>
      </c>
      <c r="AC5971">
        <v>0.92439999999999101</v>
      </c>
      <c r="AD5971">
        <v>-1.116473687234</v>
      </c>
      <c r="AE5971">
        <v>6.7785599999999899</v>
      </c>
      <c r="AF5971">
        <v>-1.61247741497478</v>
      </c>
      <c r="AG5971">
        <v>-1.116473687234</v>
      </c>
      <c r="AH5971">
        <v>6.4657909896760701</v>
      </c>
      <c r="AI5971">
        <v>99.511141626693302</v>
      </c>
      <c r="AJ5971">
        <v>104.003125658024</v>
      </c>
      <c r="AK5971">
        <v>6.7567040804127201</v>
      </c>
      <c r="AL5971">
        <v>66.616611194090893</v>
      </c>
      <c r="AM5971">
        <v>103.35011426365899</v>
      </c>
      <c r="AN5971">
        <v>1.0000000037809</v>
      </c>
    </row>
    <row r="5972" spans="1:40" x14ac:dyDescent="0.25">
      <c r="A5972" t="str">
        <f>"20190304164525610"</f>
        <v>20190304164525610</v>
      </c>
      <c r="B5972" t="str">
        <f>"1551689125606343"</f>
        <v>1551689125606343</v>
      </c>
      <c r="C5972" t="s">
        <v>40</v>
      </c>
      <c r="D5972">
        <v>5.3581089999999998</v>
      </c>
      <c r="E5972">
        <v>0.51116980000000001</v>
      </c>
      <c r="F5972" t="s">
        <v>42</v>
      </c>
      <c r="G5972">
        <v>-192.00890000000001</v>
      </c>
      <c r="H5972" s="1">
        <v>-2.8112120000000002E-6</v>
      </c>
      <c r="I5972">
        <v>-35.103859999999997</v>
      </c>
      <c r="J5972">
        <v>-192.90629999999999</v>
      </c>
      <c r="K5972">
        <v>1.1162829999999999</v>
      </c>
      <c r="L5972">
        <v>-41.93488</v>
      </c>
      <c r="M5972">
        <v>0.3652435</v>
      </c>
      <c r="N5972">
        <v>-1.3865830000000001E-2</v>
      </c>
      <c r="O5972">
        <v>0.93080870000000004</v>
      </c>
      <c r="P5972">
        <v>0.1380612</v>
      </c>
      <c r="Q5972">
        <v>0.38897179999999998</v>
      </c>
      <c r="R5972">
        <v>0.91084580000000004</v>
      </c>
      <c r="S5972">
        <v>0.48690800000000001</v>
      </c>
      <c r="T5972">
        <v>-0.54073169999999904</v>
      </c>
      <c r="U5972">
        <v>3.4472960000000001</v>
      </c>
      <c r="V5972">
        <v>-0.20963909999999999</v>
      </c>
      <c r="W5972">
        <v>0.3985728</v>
      </c>
      <c r="X5972">
        <v>0.89285559999999997</v>
      </c>
      <c r="Y5972">
        <v>-0.23229810000000001</v>
      </c>
      <c r="Z5972">
        <v>-0.1229817</v>
      </c>
      <c r="AA5972">
        <v>0.96483839999999998</v>
      </c>
      <c r="AB5972">
        <v>32</v>
      </c>
      <c r="AC5972">
        <v>0.89739999999997599</v>
      </c>
      <c r="AD5972">
        <v>-1.116285811212</v>
      </c>
      <c r="AE5972">
        <v>6.8310199999999996</v>
      </c>
      <c r="AF5972">
        <v>-1.6173794899730201</v>
      </c>
      <c r="AG5972">
        <v>-1.116285811212</v>
      </c>
      <c r="AH5972">
        <v>6.5157398042392503</v>
      </c>
      <c r="AI5972">
        <v>99.440505766108799</v>
      </c>
      <c r="AJ5972">
        <v>103.940568549749</v>
      </c>
      <c r="AK5972">
        <v>6.8056502719024801</v>
      </c>
      <c r="AL5972">
        <v>66.511011809610494</v>
      </c>
      <c r="AM5972">
        <v>103.213484794133</v>
      </c>
      <c r="AN5972">
        <v>0.99999997580000399</v>
      </c>
    </row>
    <row r="5973" spans="1:40" x14ac:dyDescent="0.25">
      <c r="A5973" t="str">
        <f>"20190304164525629"</f>
        <v>20190304164525629</v>
      </c>
      <c r="B5973" t="str">
        <f>"1551689125616288"</f>
        <v>1551689125616288</v>
      </c>
      <c r="C5973" t="s">
        <v>40</v>
      </c>
      <c r="D5973">
        <v>5.3966659999999997</v>
      </c>
      <c r="E5973">
        <v>0.51158239999999999</v>
      </c>
      <c r="F5973" t="s">
        <v>42</v>
      </c>
      <c r="G5973">
        <v>-191.83609999999999</v>
      </c>
      <c r="H5973" s="1">
        <v>-2.8454010000000001E-6</v>
      </c>
      <c r="I5973">
        <v>-34.917000000000002</v>
      </c>
      <c r="J5973">
        <v>-192.80930000000001</v>
      </c>
      <c r="K5973">
        <v>1.116104</v>
      </c>
      <c r="L5973">
        <v>-41.672699999999999</v>
      </c>
      <c r="M5973">
        <v>0.36027740000000003</v>
      </c>
      <c r="N5973">
        <v>-1.3776999999999999E-2</v>
      </c>
      <c r="O5973">
        <v>0.93274349999999995</v>
      </c>
      <c r="P5973">
        <v>0.13472519999999999</v>
      </c>
      <c r="Q5973">
        <v>0.38924449999999999</v>
      </c>
      <c r="R5973">
        <v>0.91122879999999995</v>
      </c>
      <c r="S5973">
        <v>0.52583310000000005</v>
      </c>
      <c r="T5973">
        <v>-0.54847400000000002</v>
      </c>
      <c r="U5973">
        <v>3.4481510000000002</v>
      </c>
      <c r="V5973">
        <v>-0.20793610000000001</v>
      </c>
      <c r="W5973">
        <v>0.3988758</v>
      </c>
      <c r="X5973">
        <v>0.89311849999999904</v>
      </c>
      <c r="Y5973">
        <v>-0.21653149999999999</v>
      </c>
      <c r="Z5973">
        <v>-0.12559799999999999</v>
      </c>
      <c r="AA5973">
        <v>0.96816279999999999</v>
      </c>
      <c r="AB5973">
        <v>32</v>
      </c>
      <c r="AC5973">
        <v>0.97320000000001905</v>
      </c>
      <c r="AD5973">
        <v>-1.1161068454009999</v>
      </c>
      <c r="AE5973">
        <v>6.7556999999999903</v>
      </c>
      <c r="AF5973">
        <v>-1.4865748643618899</v>
      </c>
      <c r="AG5973">
        <v>-1.1161068454009999</v>
      </c>
      <c r="AH5973">
        <v>6.47933536391474</v>
      </c>
      <c r="AI5973">
        <v>99.530735102970695</v>
      </c>
      <c r="AJ5973">
        <v>102.92191890757501</v>
      </c>
      <c r="AK5973">
        <v>6.7407259309201804</v>
      </c>
      <c r="AL5973">
        <v>66.492081657064205</v>
      </c>
      <c r="AM5973">
        <v>103.106141200229</v>
      </c>
      <c r="AN5973">
        <v>0.99999999027554998</v>
      </c>
    </row>
    <row r="5974" spans="1:40" x14ac:dyDescent="0.25">
      <c r="A5974" t="str">
        <f>"20190304164525653"</f>
        <v>20190304164525653</v>
      </c>
      <c r="B5974" t="str">
        <f>"1551689125645569"</f>
        <v>1551689125645569</v>
      </c>
      <c r="C5974" t="s">
        <v>40</v>
      </c>
      <c r="D5974">
        <v>5.4140759999999997</v>
      </c>
      <c r="E5974">
        <v>0.51298319999999997</v>
      </c>
      <c r="F5974" t="s">
        <v>42</v>
      </c>
      <c r="G5974">
        <v>-191.7653</v>
      </c>
      <c r="H5974" s="1">
        <v>-2.9384460000000001E-6</v>
      </c>
      <c r="I5974">
        <v>-34.65616</v>
      </c>
      <c r="J5974">
        <v>-192.6961</v>
      </c>
      <c r="K5974">
        <v>1.1158950000000001</v>
      </c>
      <c r="L5974">
        <v>-41.362340000000003</v>
      </c>
      <c r="M5974">
        <v>0.35455910000000002</v>
      </c>
      <c r="N5974">
        <v>-1.365705E-2</v>
      </c>
      <c r="O5974">
        <v>0.93493380000000004</v>
      </c>
      <c r="P5974">
        <v>0.1324573</v>
      </c>
      <c r="Q5974">
        <v>0.38876119999999997</v>
      </c>
      <c r="R5974">
        <v>0.91176740000000001</v>
      </c>
      <c r="S5974">
        <v>0.51345829999999903</v>
      </c>
      <c r="T5974">
        <v>-0.54891749999999995</v>
      </c>
      <c r="U5974">
        <v>3.4508359999999998</v>
      </c>
      <c r="V5974">
        <v>-0.20454269999999999</v>
      </c>
      <c r="W5974">
        <v>0.39843840000000003</v>
      </c>
      <c r="X5974">
        <v>0.89409680000000002</v>
      </c>
      <c r="Y5974">
        <v>-0.21407599999999999</v>
      </c>
      <c r="Z5974">
        <v>-0.12628229999999999</v>
      </c>
      <c r="AA5974">
        <v>0.96861980000000003</v>
      </c>
      <c r="AB5974">
        <v>32</v>
      </c>
      <c r="AC5974">
        <v>0.93080000000000496</v>
      </c>
      <c r="AD5974">
        <v>-1.1158979384459999</v>
      </c>
      <c r="AE5974">
        <v>6.7061799999999998</v>
      </c>
      <c r="AF5974">
        <v>-1.4677693362297199</v>
      </c>
      <c r="AG5974">
        <v>-1.1158979384459999</v>
      </c>
      <c r="AH5974">
        <v>6.4259132525360698</v>
      </c>
      <c r="AI5974">
        <v>99.608823195781696</v>
      </c>
      <c r="AJ5974">
        <v>102.86643579003</v>
      </c>
      <c r="AK5974">
        <v>6.6852027764700503</v>
      </c>
      <c r="AL5974">
        <v>66.519407975759094</v>
      </c>
      <c r="AM5974">
        <v>102.885824165149</v>
      </c>
      <c r="AN5974">
        <v>0.99999998124404399</v>
      </c>
    </row>
    <row r="5975" spans="1:40" x14ac:dyDescent="0.25">
      <c r="A5975" t="str">
        <f>"20190304164525675"</f>
        <v>20190304164525675</v>
      </c>
      <c r="B5975" t="str">
        <f>"1551689125666064"</f>
        <v>1551689125666064</v>
      </c>
      <c r="C5975" t="s">
        <v>40</v>
      </c>
      <c r="D5975">
        <v>5.4030829999999996</v>
      </c>
      <c r="E5975">
        <v>0.51348559999999999</v>
      </c>
      <c r="F5975" t="s">
        <v>42</v>
      </c>
      <c r="G5975">
        <v>-191.6651</v>
      </c>
      <c r="H5975" s="1">
        <v>-3.0273190000000001E-6</v>
      </c>
      <c r="I5975">
        <v>-34.386839999999999</v>
      </c>
      <c r="J5975">
        <v>-192.59110000000001</v>
      </c>
      <c r="K5975">
        <v>1.115694</v>
      </c>
      <c r="L5975">
        <v>-41.06915</v>
      </c>
      <c r="M5975">
        <v>0.34933950000000003</v>
      </c>
      <c r="N5975">
        <v>-1.353796E-2</v>
      </c>
      <c r="O5975">
        <v>0.93689840000000002</v>
      </c>
      <c r="P5975">
        <v>0.13109309999999999</v>
      </c>
      <c r="Q5975">
        <v>0.38794479999999998</v>
      </c>
      <c r="R5975">
        <v>0.91231220000000002</v>
      </c>
      <c r="S5975">
        <v>0.51019289999999995</v>
      </c>
      <c r="T5975">
        <v>-0.55217099999999997</v>
      </c>
      <c r="U5975">
        <v>3.4516300000000002</v>
      </c>
      <c r="V5975">
        <v>-0.20080590000000001</v>
      </c>
      <c r="W5975">
        <v>0.39766469999999998</v>
      </c>
      <c r="X5975">
        <v>0.89528759999999996</v>
      </c>
      <c r="Y5975">
        <v>-0.20958830000000001</v>
      </c>
      <c r="Z5975">
        <v>-0.1277064</v>
      </c>
      <c r="AA5975">
        <v>0.9694142</v>
      </c>
      <c r="AB5975">
        <v>32</v>
      </c>
      <c r="AC5975">
        <v>0.92600000000001603</v>
      </c>
      <c r="AD5975">
        <v>-1.1156970273189999</v>
      </c>
      <c r="AE5975">
        <v>6.6823100000000002</v>
      </c>
      <c r="AF5975">
        <v>-1.4279062201681401</v>
      </c>
      <c r="AG5975">
        <v>-1.1156970273189999</v>
      </c>
      <c r="AH5975">
        <v>6.4094309174289199</v>
      </c>
      <c r="AI5975">
        <v>99.642801775023798</v>
      </c>
      <c r="AJ5975">
        <v>102.5593709239</v>
      </c>
      <c r="AK5975">
        <v>6.66066818837698</v>
      </c>
      <c r="AL5975">
        <v>66.567732819210903</v>
      </c>
      <c r="AM5975">
        <v>102.641770166643</v>
      </c>
      <c r="AN5975">
        <v>1.00000005490732</v>
      </c>
    </row>
    <row r="5976" spans="1:40" x14ac:dyDescent="0.25">
      <c r="A5976" t="str">
        <f>"20190304164525697"</f>
        <v>20190304164525697</v>
      </c>
      <c r="B5976" t="str">
        <f>"1551689125685584"</f>
        <v>1551689125685584</v>
      </c>
      <c r="C5976" t="s">
        <v>40</v>
      </c>
      <c r="D5976">
        <v>5.3593149999999996</v>
      </c>
      <c r="E5976">
        <v>0.5007277</v>
      </c>
      <c r="F5976" t="s">
        <v>42</v>
      </c>
      <c r="G5976">
        <v>-191.57900000000001</v>
      </c>
      <c r="H5976" s="1">
        <v>-3.1071240000000001E-6</v>
      </c>
      <c r="I5976">
        <v>-34.147459999999903</v>
      </c>
      <c r="J5976">
        <v>-192.489</v>
      </c>
      <c r="K5976">
        <v>1.1155060000000001</v>
      </c>
      <c r="L5976">
        <v>-40.779420000000002</v>
      </c>
      <c r="M5976">
        <v>0.34434740000000003</v>
      </c>
      <c r="N5976">
        <v>-1.341967E-2</v>
      </c>
      <c r="O5976">
        <v>0.93874639999999998</v>
      </c>
      <c r="P5976">
        <v>0.1291641</v>
      </c>
      <c r="Q5976">
        <v>0.38739079999999998</v>
      </c>
      <c r="R5976">
        <v>0.91282249999999998</v>
      </c>
      <c r="S5976">
        <v>0.50480649999999905</v>
      </c>
      <c r="T5976">
        <v>-0.55649569999999904</v>
      </c>
      <c r="U5976">
        <v>3.4524539999999999</v>
      </c>
      <c r="V5976">
        <v>-0.19782079999999999</v>
      </c>
      <c r="W5976">
        <v>0.39713310000000002</v>
      </c>
      <c r="X5976">
        <v>0.89618770000000003</v>
      </c>
      <c r="Y5976">
        <v>-0.20593159999999999</v>
      </c>
      <c r="Z5976">
        <v>-0.1293638</v>
      </c>
      <c r="AA5976">
        <v>0.96997789999999995</v>
      </c>
      <c r="AB5976">
        <v>32</v>
      </c>
      <c r="AC5976">
        <v>0.90999999999999603</v>
      </c>
      <c r="AD5976">
        <v>-1.115509107124</v>
      </c>
      <c r="AE5976">
        <v>6.6319600000000003</v>
      </c>
      <c r="AF5976">
        <v>-1.39094246369812</v>
      </c>
      <c r="AG5976">
        <v>-1.115509107124</v>
      </c>
      <c r="AH5976">
        <v>6.3629793624507496</v>
      </c>
      <c r="AI5976">
        <v>99.718644425353702</v>
      </c>
      <c r="AJ5976">
        <v>102.3308436631</v>
      </c>
      <c r="AK5976">
        <v>6.6080699052272003</v>
      </c>
      <c r="AL5976">
        <v>66.600925385895195</v>
      </c>
      <c r="AM5976">
        <v>102.44762984098</v>
      </c>
      <c r="AN5976">
        <v>1.00000008082976</v>
      </c>
    </row>
    <row r="5977" spans="1:40" x14ac:dyDescent="0.25">
      <c r="A5977" t="str">
        <f>"20190304164525719"</f>
        <v>20190304164525719</v>
      </c>
      <c r="B5977" t="str">
        <f>"1551689125715840"</f>
        <v>1551689125715840</v>
      </c>
      <c r="C5977" t="s">
        <v>40</v>
      </c>
      <c r="D5977">
        <v>5.4014730000000002</v>
      </c>
      <c r="E5977">
        <v>0.49643359999999898</v>
      </c>
      <c r="F5977" t="s">
        <v>42</v>
      </c>
      <c r="G5977">
        <v>-191.5027</v>
      </c>
      <c r="H5977" s="1">
        <v>-3.9174680000000001E-6</v>
      </c>
      <c r="I5977">
        <v>-32.211209999999902</v>
      </c>
      <c r="J5977">
        <v>-192.38489999999999</v>
      </c>
      <c r="K5977">
        <v>1.11534</v>
      </c>
      <c r="L5977">
        <v>-40.479610000000001</v>
      </c>
      <c r="M5977">
        <v>0.33932259999999997</v>
      </c>
      <c r="N5977">
        <v>-1.330201E-2</v>
      </c>
      <c r="O5977">
        <v>0.94057599999999997</v>
      </c>
      <c r="P5977">
        <v>0.1262567</v>
      </c>
      <c r="Q5977">
        <v>0.38763150000000002</v>
      </c>
      <c r="R5977">
        <v>0.91312709999999997</v>
      </c>
      <c r="S5977">
        <v>0.39361570000000001</v>
      </c>
      <c r="T5977">
        <v>-0.4452257</v>
      </c>
      <c r="U5977">
        <v>3.4197690000000001</v>
      </c>
      <c r="V5977">
        <v>-0.19568369999999999</v>
      </c>
      <c r="W5977">
        <v>0.39737149999999999</v>
      </c>
      <c r="X5977">
        <v>0.89655099999999999</v>
      </c>
      <c r="Y5977">
        <v>-0.22994780000000001</v>
      </c>
      <c r="Z5977">
        <v>-0.10267850000000001</v>
      </c>
      <c r="AA5977">
        <v>0.96777120000000005</v>
      </c>
      <c r="AB5977">
        <v>32</v>
      </c>
      <c r="AC5977">
        <v>0.882199999999983</v>
      </c>
      <c r="AD5977">
        <v>-1.115343917468</v>
      </c>
      <c r="AE5977">
        <v>8.2683999999999997</v>
      </c>
      <c r="AF5977">
        <v>-1.94113054321873</v>
      </c>
      <c r="AG5977">
        <v>-1.115343917468</v>
      </c>
      <c r="AH5977">
        <v>7.9343752639639202</v>
      </c>
      <c r="AI5977">
        <v>97.775323259022997</v>
      </c>
      <c r="AJ5977">
        <v>103.747283308779</v>
      </c>
      <c r="AK5977">
        <v>8.2441670694771805</v>
      </c>
      <c r="AL5977">
        <v>66.586038190163805</v>
      </c>
      <c r="AM5977">
        <v>102.312442892582</v>
      </c>
      <c r="AN5977">
        <v>0.99999995752946902</v>
      </c>
    </row>
    <row r="5978" spans="1:40" x14ac:dyDescent="0.25">
      <c r="A5978" t="str">
        <f>"20190304164525751"</f>
        <v>20190304164525751</v>
      </c>
      <c r="B5978" t="str">
        <f>"1551689125736336"</f>
        <v>1551689125736336</v>
      </c>
      <c r="C5978" t="s">
        <v>40</v>
      </c>
      <c r="D5978">
        <v>5.3572439999999997</v>
      </c>
      <c r="E5978">
        <v>0.49587229999999999</v>
      </c>
      <c r="F5978" t="s">
        <v>42</v>
      </c>
      <c r="G5978">
        <v>-191.4366</v>
      </c>
      <c r="H5978" s="1">
        <v>-4.281307E-6</v>
      </c>
      <c r="I5978">
        <v>-31.181190000000001</v>
      </c>
      <c r="J5978">
        <v>-192.2852</v>
      </c>
      <c r="K5978">
        <v>1.115191</v>
      </c>
      <c r="L5978">
        <v>-40.188020000000002</v>
      </c>
      <c r="M5978">
        <v>0.33457249999999999</v>
      </c>
      <c r="N5978">
        <v>-1.318677E-2</v>
      </c>
      <c r="O5978">
        <v>0.9422777</v>
      </c>
      <c r="P5978">
        <v>0.1228885</v>
      </c>
      <c r="Q5978">
        <v>0.38793159999999999</v>
      </c>
      <c r="R5978">
        <v>0.91345909999999997</v>
      </c>
      <c r="S5978">
        <v>0.347885099999999</v>
      </c>
      <c r="T5978">
        <v>-0.40915010000000002</v>
      </c>
      <c r="U5978">
        <v>3.4110109999999998</v>
      </c>
      <c r="V5978">
        <v>-0.1942825</v>
      </c>
      <c r="W5978">
        <v>0.39765109999999998</v>
      </c>
      <c r="X5978">
        <v>0.89673179999999997</v>
      </c>
      <c r="Y5978">
        <v>-0.2374907</v>
      </c>
      <c r="Z5978">
        <v>-9.4033560000000002E-2</v>
      </c>
      <c r="AA5978">
        <v>0.96682780000000001</v>
      </c>
      <c r="AB5978">
        <v>32</v>
      </c>
      <c r="AC5978">
        <v>0.84860000000000402</v>
      </c>
      <c r="AD5978">
        <v>-1.1151952813070001</v>
      </c>
      <c r="AE5978">
        <v>9.0068300000000008</v>
      </c>
      <c r="AF5978">
        <v>-2.1808735521464202</v>
      </c>
      <c r="AG5978">
        <v>-1.1151952813070001</v>
      </c>
      <c r="AH5978">
        <v>8.6403209209898293</v>
      </c>
      <c r="AI5978">
        <v>97.133133158289496</v>
      </c>
      <c r="AJ5978">
        <v>104.165943805794</v>
      </c>
      <c r="AK5978">
        <v>8.9808137484080905</v>
      </c>
      <c r="AL5978">
        <v>66.568580816083994</v>
      </c>
      <c r="AM5978">
        <v>102.224549611958</v>
      </c>
      <c r="AN5978">
        <v>1.00000000413435</v>
      </c>
    </row>
    <row r="5979" spans="1:40" x14ac:dyDescent="0.25">
      <c r="A5979" t="str">
        <f>"20190304164525768"</f>
        <v>20190304164525768</v>
      </c>
      <c r="B5979" t="str">
        <f>"1551689125765619"</f>
        <v>1551689125765619</v>
      </c>
      <c r="C5979" t="s">
        <v>40</v>
      </c>
      <c r="D5979">
        <v>5.3883210000000004</v>
      </c>
      <c r="E5979">
        <v>0.49655090000000002</v>
      </c>
      <c r="F5979" t="s">
        <v>42</v>
      </c>
      <c r="G5979">
        <v>-191.36150000000001</v>
      </c>
      <c r="H5979" s="1">
        <v>-4.4459519999999998E-6</v>
      </c>
      <c r="I5979">
        <v>-30.65823</v>
      </c>
      <c r="J5979">
        <v>-192.16589999999999</v>
      </c>
      <c r="K5979">
        <v>1.1150150000000001</v>
      </c>
      <c r="L5979">
        <v>-39.83334</v>
      </c>
      <c r="M5979">
        <v>0.32898739999999999</v>
      </c>
      <c r="N5979">
        <v>-1.3039790000000001E-2</v>
      </c>
      <c r="O5979">
        <v>0.94424430000000004</v>
      </c>
      <c r="P5979">
        <v>0.1174164</v>
      </c>
      <c r="Q5979">
        <v>0.38730629999999999</v>
      </c>
      <c r="R5979">
        <v>0.91444369999999997</v>
      </c>
      <c r="S5979">
        <v>0.33045960000000002</v>
      </c>
      <c r="T5979">
        <v>-0.398949</v>
      </c>
      <c r="U5979">
        <v>3.4091800000000001</v>
      </c>
      <c r="V5979">
        <v>-0.19426209999999999</v>
      </c>
      <c r="W5979">
        <v>0.39697369999999998</v>
      </c>
      <c r="X5979">
        <v>0.89703630000000001</v>
      </c>
      <c r="Y5979">
        <v>-0.23656840000000001</v>
      </c>
      <c r="Z5979">
        <v>-9.1956949999999996E-2</v>
      </c>
      <c r="AA5979">
        <v>0.96725349999999999</v>
      </c>
      <c r="AB5979">
        <v>32</v>
      </c>
      <c r="AC5979">
        <v>0.80439999999998602</v>
      </c>
      <c r="AD5979">
        <v>-1.115019445952</v>
      </c>
      <c r="AE5979">
        <v>9.1751100000000001</v>
      </c>
      <c r="AF5979">
        <v>-2.2265057160871402</v>
      </c>
      <c r="AG5979">
        <v>-1.115019445952</v>
      </c>
      <c r="AH5979">
        <v>8.7999689581662501</v>
      </c>
      <c r="AI5979">
        <v>97.002929827887002</v>
      </c>
      <c r="AJ5979">
        <v>104.19860019892199</v>
      </c>
      <c r="AK5979">
        <v>9.14549341114569</v>
      </c>
      <c r="AL5979">
        <v>66.610874411048002</v>
      </c>
      <c r="AM5979">
        <v>102.219280086091</v>
      </c>
      <c r="AN5979">
        <v>1.0000000027528899</v>
      </c>
    </row>
    <row r="5980" spans="1:40" x14ac:dyDescent="0.25">
      <c r="A5980" t="str">
        <f>"20190304164525789"</f>
        <v>20190304164525789</v>
      </c>
      <c r="B5980" t="str">
        <f>"1551689125786113"</f>
        <v>1551689125786113</v>
      </c>
      <c r="C5980" t="s">
        <v>40</v>
      </c>
      <c r="D5980">
        <v>5.3350519999999904</v>
      </c>
      <c r="E5980">
        <v>0.49739119999999998</v>
      </c>
      <c r="F5980" t="s">
        <v>42</v>
      </c>
      <c r="G5980">
        <v>-191.27930000000001</v>
      </c>
      <c r="H5980" s="1">
        <v>-4.2494160000000003E-7</v>
      </c>
      <c r="I5980">
        <v>-30.21378</v>
      </c>
      <c r="J5980">
        <v>-192.07490000000001</v>
      </c>
      <c r="K5980">
        <v>1.1148690000000001</v>
      </c>
      <c r="L5980">
        <v>-39.558410000000002</v>
      </c>
      <c r="M5980">
        <v>0.32480229999999999</v>
      </c>
      <c r="N5980">
        <v>-1.2925610000000001E-2</v>
      </c>
      <c r="O5980">
        <v>0.94569360000000002</v>
      </c>
      <c r="P5980">
        <v>0.1124739</v>
      </c>
      <c r="Q5980">
        <v>0.3859417</v>
      </c>
      <c r="R5980">
        <v>0.91564109999999999</v>
      </c>
      <c r="S5980">
        <v>0.31407170000000001</v>
      </c>
      <c r="T5980">
        <v>-0.39498529999999998</v>
      </c>
      <c r="U5980">
        <v>3.407654</v>
      </c>
      <c r="V5980">
        <v>-0.19518940000000001</v>
      </c>
      <c r="W5980">
        <v>0.39556049999999998</v>
      </c>
      <c r="X5980">
        <v>0.89745919999999901</v>
      </c>
      <c r="Y5980">
        <v>-0.2368314</v>
      </c>
      <c r="Z5980">
        <v>-9.1336899999999902E-2</v>
      </c>
      <c r="AA5980">
        <v>0.96724790000000005</v>
      </c>
      <c r="AB5980">
        <v>32</v>
      </c>
      <c r="AC5980">
        <v>0.79560000000000697</v>
      </c>
      <c r="AD5980">
        <v>-1.1148694249416</v>
      </c>
      <c r="AE5980">
        <v>9.3446299999999898</v>
      </c>
      <c r="AF5980">
        <v>-2.2511422879533098</v>
      </c>
      <c r="AG5980">
        <v>-1.1148694249416</v>
      </c>
      <c r="AH5980">
        <v>8.9695762294341002</v>
      </c>
      <c r="AI5980">
        <v>96.874159024356501</v>
      </c>
      <c r="AJ5980">
        <v>104.088826087114</v>
      </c>
      <c r="AK5980">
        <v>9.3147127261612592</v>
      </c>
      <c r="AL5980">
        <v>66.6990647354598</v>
      </c>
      <c r="AM5980">
        <v>102.270234151976</v>
      </c>
      <c r="AN5980">
        <v>1.00000001334862</v>
      </c>
    </row>
    <row r="5981" spans="1:40" x14ac:dyDescent="0.25">
      <c r="A5981" t="str">
        <f>"20190304164525813"</f>
        <v>20190304164525813</v>
      </c>
      <c r="B5981" t="str">
        <f>"1551689125805632"</f>
        <v>1551689125805632</v>
      </c>
      <c r="C5981" t="s">
        <v>40</v>
      </c>
      <c r="D5981">
        <v>5.3467440000000002</v>
      </c>
      <c r="E5981">
        <v>0.49777080000000001</v>
      </c>
      <c r="F5981" t="s">
        <v>42</v>
      </c>
      <c r="G5981">
        <v>-191.2226</v>
      </c>
      <c r="H5981" s="1">
        <v>-5.0820650000000003E-7</v>
      </c>
      <c r="I5981">
        <v>-29.984539999999999</v>
      </c>
      <c r="J5981">
        <v>-191.96940000000001</v>
      </c>
      <c r="K5981">
        <v>1.114719</v>
      </c>
      <c r="L5981">
        <v>-39.235379999999999</v>
      </c>
      <c r="M5981">
        <v>0.3200134</v>
      </c>
      <c r="N5981">
        <v>-1.279301E-2</v>
      </c>
      <c r="O5981">
        <v>0.94732660000000002</v>
      </c>
      <c r="P5981">
        <v>0.1060802</v>
      </c>
      <c r="Q5981">
        <v>0.38496209999999997</v>
      </c>
      <c r="R5981">
        <v>0.91681579999999996</v>
      </c>
      <c r="S5981">
        <v>0.30322270000000001</v>
      </c>
      <c r="T5981">
        <v>-0.39666570000000001</v>
      </c>
      <c r="U5981">
        <v>3.406342</v>
      </c>
      <c r="V5981">
        <v>-0.1969069</v>
      </c>
      <c r="W5981">
        <v>0.39451039999999998</v>
      </c>
      <c r="X5981">
        <v>0.89754619999999996</v>
      </c>
      <c r="Y5981">
        <v>-0.23494699999999999</v>
      </c>
      <c r="Z5981">
        <v>-9.2253699999999994E-2</v>
      </c>
      <c r="AA5981">
        <v>0.96762040000000005</v>
      </c>
      <c r="AB5981">
        <v>32</v>
      </c>
      <c r="AC5981">
        <v>0.74680000000000701</v>
      </c>
      <c r="AD5981">
        <v>-1.1147195082065</v>
      </c>
      <c r="AE5981">
        <v>9.2508399999999895</v>
      </c>
      <c r="AF5981">
        <v>-2.2210723972005399</v>
      </c>
      <c r="AG5981">
        <v>-1.1147195082065</v>
      </c>
      <c r="AH5981">
        <v>8.8752549585364395</v>
      </c>
      <c r="AI5981">
        <v>96.946747842480306</v>
      </c>
      <c r="AJ5981">
        <v>104.049966094195</v>
      </c>
      <c r="AK5981">
        <v>9.2166106977895002</v>
      </c>
      <c r="AL5981">
        <v>66.764557094049806</v>
      </c>
      <c r="AM5981">
        <v>102.373726484108</v>
      </c>
      <c r="AN5981">
        <v>0.99999998205510399</v>
      </c>
    </row>
    <row r="5982" spans="1:40" x14ac:dyDescent="0.25">
      <c r="A5982" t="str">
        <f>"20190304164525832"</f>
        <v>20190304164525832</v>
      </c>
      <c r="B5982" t="str">
        <f>"1551689125826129"</f>
        <v>1551689125826129</v>
      </c>
      <c r="C5982" t="s">
        <v>40</v>
      </c>
      <c r="D5982">
        <v>5.3533920000000004</v>
      </c>
      <c r="E5982">
        <v>0.49798150000000002</v>
      </c>
      <c r="F5982" t="s">
        <v>42</v>
      </c>
      <c r="G5982">
        <v>-191.18700000000001</v>
      </c>
      <c r="H5982" s="1">
        <v>-6.0737940000000002E-7</v>
      </c>
      <c r="I5982">
        <v>-29.731269999999999</v>
      </c>
      <c r="J5982">
        <v>-191.88380000000001</v>
      </c>
      <c r="K5982">
        <v>1.1146199999999999</v>
      </c>
      <c r="L5982">
        <v>-38.969360000000002</v>
      </c>
      <c r="M5982">
        <v>0.31615969999999999</v>
      </c>
      <c r="N5982">
        <v>-1.2690760000000001E-2</v>
      </c>
      <c r="O5982">
        <v>0.94862109999999999</v>
      </c>
      <c r="P5982">
        <v>0.1014164</v>
      </c>
      <c r="Q5982">
        <v>0.38414720000000002</v>
      </c>
      <c r="R5982">
        <v>0.91768499999999997</v>
      </c>
      <c r="S5982">
        <v>0.28051759999999998</v>
      </c>
      <c r="T5982">
        <v>-0.39966649999999998</v>
      </c>
      <c r="U5982">
        <v>3.407562</v>
      </c>
      <c r="V5982">
        <v>-0.1978326</v>
      </c>
      <c r="W5982">
        <v>0.39364189999999999</v>
      </c>
      <c r="X5982">
        <v>0.89772399999999997</v>
      </c>
      <c r="Y5982">
        <v>-0.23743030000000001</v>
      </c>
      <c r="Z5982">
        <v>-9.3299119999999999E-2</v>
      </c>
      <c r="AA5982">
        <v>0.96691369999999999</v>
      </c>
      <c r="AB5982">
        <v>32</v>
      </c>
      <c r="AC5982">
        <v>0.69679999999999598</v>
      </c>
      <c r="AD5982">
        <v>-1.1146206073794001</v>
      </c>
      <c r="AE5982">
        <v>9.2380899999999908</v>
      </c>
      <c r="AF5982">
        <v>-2.22764880337263</v>
      </c>
      <c r="AG5982">
        <v>-1.1146206073794001</v>
      </c>
      <c r="AH5982">
        <v>8.8562739441493701</v>
      </c>
      <c r="AI5982">
        <v>96.958798412030902</v>
      </c>
      <c r="AJ5982">
        <v>104.11890350629599</v>
      </c>
      <c r="AK5982">
        <v>9.1999123073745306</v>
      </c>
      <c r="AL5982">
        <v>66.818701048414098</v>
      </c>
      <c r="AM5982">
        <v>102.42770844592199</v>
      </c>
      <c r="AN5982">
        <v>1.00000003161718</v>
      </c>
    </row>
    <row r="5983" spans="1:40" x14ac:dyDescent="0.25">
      <c r="A5983" t="str">
        <f>"20190304164525855"</f>
        <v>20190304164525855</v>
      </c>
      <c r="B5983" t="str">
        <f>"1551689125845649"</f>
        <v>1551689125845649</v>
      </c>
      <c r="C5983" t="s">
        <v>40</v>
      </c>
      <c r="D5983">
        <v>5.3516240000000002</v>
      </c>
      <c r="E5983">
        <v>0.49841220000000003</v>
      </c>
      <c r="F5983" t="s">
        <v>42</v>
      </c>
      <c r="G5983">
        <v>-191.1694</v>
      </c>
      <c r="H5983" s="1">
        <v>-6.8851759999999995E-7</v>
      </c>
      <c r="I5983">
        <v>-29.531220000000001</v>
      </c>
      <c r="J5983">
        <v>-191.7878</v>
      </c>
      <c r="K5983">
        <v>1.114544</v>
      </c>
      <c r="L5983">
        <v>-38.666469999999997</v>
      </c>
      <c r="M5983">
        <v>0.31183840000000002</v>
      </c>
      <c r="N5983">
        <v>-1.258534E-2</v>
      </c>
      <c r="O5983">
        <v>0.9500518</v>
      </c>
      <c r="P5983">
        <v>9.6773150000000002E-2</v>
      </c>
      <c r="Q5983">
        <v>0.3828937</v>
      </c>
      <c r="R5983">
        <v>0.91870960000000002</v>
      </c>
      <c r="S5983">
        <v>0.25805660000000002</v>
      </c>
      <c r="T5983">
        <v>-0.40260829999999997</v>
      </c>
      <c r="U5983">
        <v>3.409119</v>
      </c>
      <c r="V5983">
        <v>-0.19835990000000001</v>
      </c>
      <c r="W5983">
        <v>0.39233309999999999</v>
      </c>
      <c r="X5983">
        <v>0.89818050000000005</v>
      </c>
      <c r="Y5983">
        <v>-0.23938000000000001</v>
      </c>
      <c r="Z5983">
        <v>-9.4353359999999997E-2</v>
      </c>
      <c r="AA5983">
        <v>0.96633049999999998</v>
      </c>
      <c r="AB5983">
        <v>32</v>
      </c>
      <c r="AC5983">
        <v>0.61840000000000805</v>
      </c>
      <c r="AD5983">
        <v>-1.1145446885176</v>
      </c>
      <c r="AE5983">
        <v>9.1352499999999992</v>
      </c>
      <c r="AF5983">
        <v>-2.2283704176421999</v>
      </c>
      <c r="AG5983">
        <v>-1.1145446885176</v>
      </c>
      <c r="AH5983">
        <v>8.7429574018485603</v>
      </c>
      <c r="AI5983">
        <v>97.042067039900999</v>
      </c>
      <c r="AJ5983">
        <v>104.298883251124</v>
      </c>
      <c r="AK5983">
        <v>9.09104772352803</v>
      </c>
      <c r="AL5983">
        <v>66.900251683513105</v>
      </c>
      <c r="AM5983">
        <v>102.45366482081199</v>
      </c>
      <c r="AN5983">
        <v>1.0000000609319299</v>
      </c>
    </row>
    <row r="5984" spans="1:40" x14ac:dyDescent="0.25">
      <c r="A5984" t="str">
        <f>"20190304164525876"</f>
        <v>20190304164525876</v>
      </c>
      <c r="B5984" t="str">
        <f>"1551689125866144"</f>
        <v>1551689125866144</v>
      </c>
      <c r="C5984" t="s">
        <v>40</v>
      </c>
      <c r="D5984">
        <v>5.3787719999999997</v>
      </c>
      <c r="E5984">
        <v>0.498973</v>
      </c>
      <c r="F5984" t="s">
        <v>42</v>
      </c>
      <c r="G5984">
        <v>-191.14179999999999</v>
      </c>
      <c r="H5984" s="1">
        <v>-7.7897139999999999E-7</v>
      </c>
      <c r="I5984">
        <v>-29.303270000000001</v>
      </c>
      <c r="J5984">
        <v>-191.6985</v>
      </c>
      <c r="K5984">
        <v>1.114495</v>
      </c>
      <c r="L5984">
        <v>-38.380800000000001</v>
      </c>
      <c r="M5984">
        <v>0.30780439999999998</v>
      </c>
      <c r="N5984">
        <v>-1.2496220000000001E-2</v>
      </c>
      <c r="O5984">
        <v>0.95136759999999998</v>
      </c>
      <c r="P5984">
        <v>9.2798569999999997E-2</v>
      </c>
      <c r="Q5984">
        <v>0.38249329999999998</v>
      </c>
      <c r="R5984">
        <v>0.9192863</v>
      </c>
      <c r="S5984">
        <v>0.23522950000000001</v>
      </c>
      <c r="T5984">
        <v>-0.40588639999999998</v>
      </c>
      <c r="U5984">
        <v>3.409821</v>
      </c>
      <c r="V5984">
        <v>-0.19843259999999999</v>
      </c>
      <c r="W5984">
        <v>0.3918777</v>
      </c>
      <c r="X5984">
        <v>0.89836319999999903</v>
      </c>
      <c r="Y5984">
        <v>-0.24171380000000001</v>
      </c>
      <c r="Z5984">
        <v>-9.5481800000000006E-2</v>
      </c>
      <c r="AA5984">
        <v>0.96563849999999996</v>
      </c>
      <c r="AB5984">
        <v>32</v>
      </c>
      <c r="AC5984">
        <v>0.55670000000000597</v>
      </c>
      <c r="AD5984">
        <v>-1.1144957789714001</v>
      </c>
      <c r="AE5984">
        <v>9.0775299999999994</v>
      </c>
      <c r="AF5984">
        <v>-2.23114837275291</v>
      </c>
      <c r="AG5984">
        <v>-1.1144957789714001</v>
      </c>
      <c r="AH5984">
        <v>8.6777935070298096</v>
      </c>
      <c r="AI5984">
        <v>97.090334969398</v>
      </c>
      <c r="AJ5984">
        <v>104.419012773711</v>
      </c>
      <c r="AK5984">
        <v>9.0290765891774196</v>
      </c>
      <c r="AL5984">
        <v>66.928614888024896</v>
      </c>
      <c r="AM5984">
        <v>102.45563215663201</v>
      </c>
      <c r="AN5984">
        <v>1.00000003380714</v>
      </c>
    </row>
    <row r="5985" spans="1:40" x14ac:dyDescent="0.25">
      <c r="A5985" t="str">
        <f>"20190304164525898"</f>
        <v>20190304164525898</v>
      </c>
      <c r="B5985" t="str">
        <f>"1551689125885664"</f>
        <v>1551689125885664</v>
      </c>
      <c r="C5985" t="s">
        <v>40</v>
      </c>
      <c r="D5985">
        <v>5.3454730000000001</v>
      </c>
      <c r="E5985">
        <v>0.49958180000000002</v>
      </c>
      <c r="F5985" t="s">
        <v>42</v>
      </c>
      <c r="G5985">
        <v>-191.0984</v>
      </c>
      <c r="H5985" s="1">
        <v>-8.7442899999999905E-7</v>
      </c>
      <c r="I5985">
        <v>-29.053850000000001</v>
      </c>
      <c r="J5985">
        <v>-191.608</v>
      </c>
      <c r="K5985">
        <v>1.1144579999999999</v>
      </c>
      <c r="L5985">
        <v>-38.086790000000001</v>
      </c>
      <c r="M5985">
        <v>0.30366979999999999</v>
      </c>
      <c r="N5985">
        <v>-1.241164E-2</v>
      </c>
      <c r="O5985">
        <v>0.95269649999999995</v>
      </c>
      <c r="P5985">
        <v>8.960767E-2</v>
      </c>
      <c r="Q5985">
        <v>0.38309359999999998</v>
      </c>
      <c r="R5985">
        <v>0.91935290000000003</v>
      </c>
      <c r="S5985">
        <v>0.21943660000000001</v>
      </c>
      <c r="T5985">
        <v>-0.4075667</v>
      </c>
      <c r="U5985">
        <v>3.410828</v>
      </c>
      <c r="V5985">
        <v>-0.1975451</v>
      </c>
      <c r="W5985">
        <v>0.39242290000000002</v>
      </c>
      <c r="X5985">
        <v>0.89832069999999997</v>
      </c>
      <c r="Y5985">
        <v>-0.241975</v>
      </c>
      <c r="Z5985">
        <v>-9.6208249999999995E-2</v>
      </c>
      <c r="AA5985">
        <v>0.96550100000000005</v>
      </c>
      <c r="AB5985">
        <v>32</v>
      </c>
      <c r="AC5985">
        <v>0.50960000000000605</v>
      </c>
      <c r="AD5985">
        <v>-1.114458874429</v>
      </c>
      <c r="AE5985">
        <v>9.03294</v>
      </c>
      <c r="AF5985">
        <v>-2.2239651843467501</v>
      </c>
      <c r="AG5985">
        <v>-1.114458874429</v>
      </c>
      <c r="AH5985">
        <v>8.6301248072388805</v>
      </c>
      <c r="AI5985">
        <v>97.127861949750397</v>
      </c>
      <c r="AJ5985">
        <v>104.450599264715</v>
      </c>
      <c r="AK5985">
        <v>8.9814861750436403</v>
      </c>
      <c r="AL5985">
        <v>66.894654958167706</v>
      </c>
      <c r="AM5985">
        <v>102.402219701459</v>
      </c>
      <c r="AN5985">
        <v>0.99999993951345301</v>
      </c>
    </row>
    <row r="5986" spans="1:40" x14ac:dyDescent="0.25">
      <c r="A5986" t="str">
        <f>"20190304164525920"</f>
        <v>20190304164525920</v>
      </c>
      <c r="B5986" t="str">
        <f>"1551689125915920"</f>
        <v>1551689125915920</v>
      </c>
      <c r="C5986" t="s">
        <v>40</v>
      </c>
      <c r="D5986">
        <v>5.3268589999999998</v>
      </c>
      <c r="E5986">
        <v>0.50792499999999996</v>
      </c>
      <c r="F5986" t="s">
        <v>42</v>
      </c>
      <c r="G5986">
        <v>-191.03389999999999</v>
      </c>
      <c r="H5986" s="1">
        <v>-1.0084280000000001E-6</v>
      </c>
      <c r="I5986">
        <v>-28.701450000000001</v>
      </c>
      <c r="J5986">
        <v>-191.5164</v>
      </c>
      <c r="K5986">
        <v>1.114439</v>
      </c>
      <c r="L5986">
        <v>-37.784149999999997</v>
      </c>
      <c r="M5986">
        <v>0.29939579999999999</v>
      </c>
      <c r="N5986">
        <v>-1.2321449999999999E-2</v>
      </c>
      <c r="O5986">
        <v>0.95404949999999999</v>
      </c>
      <c r="P5986">
        <v>8.8004020000000002E-2</v>
      </c>
      <c r="Q5986">
        <v>0.38463350000000002</v>
      </c>
      <c r="R5986">
        <v>0.91886469999999998</v>
      </c>
      <c r="S5986">
        <v>0.2087097</v>
      </c>
      <c r="T5986">
        <v>-0.40511190000000002</v>
      </c>
      <c r="U5986">
        <v>3.4116209999999998</v>
      </c>
      <c r="V5986">
        <v>-0.19488530000000001</v>
      </c>
      <c r="W5986">
        <v>0.39390930000000002</v>
      </c>
      <c r="X5986">
        <v>0.89825119999999903</v>
      </c>
      <c r="Y5986">
        <v>-0.2406652</v>
      </c>
      <c r="Z5986">
        <v>-9.588497E-2</v>
      </c>
      <c r="AA5986">
        <v>0.96586039999999995</v>
      </c>
      <c r="AB5986">
        <v>32</v>
      </c>
      <c r="AC5986">
        <v>0.48250000000001497</v>
      </c>
      <c r="AD5986">
        <v>-1.114440008428</v>
      </c>
      <c r="AE5986">
        <v>9.0826999999999902</v>
      </c>
      <c r="AF5986">
        <v>-2.22575014202517</v>
      </c>
      <c r="AG5986">
        <v>-1.114440008428</v>
      </c>
      <c r="AH5986">
        <v>8.6801593364515899</v>
      </c>
      <c r="AI5986">
        <v>97.089240577495204</v>
      </c>
      <c r="AJ5986">
        <v>104.38181736893399</v>
      </c>
      <c r="AK5986">
        <v>9.0300114248708407</v>
      </c>
      <c r="AL5986">
        <v>66.802033186576494</v>
      </c>
      <c r="AM5986">
        <v>102.24121869616999</v>
      </c>
      <c r="AN5986">
        <v>1.0000000175420001</v>
      </c>
    </row>
    <row r="5987" spans="1:40" x14ac:dyDescent="0.25">
      <c r="A5987" t="str">
        <f>"20190304164525943"</f>
        <v>20190304164525943</v>
      </c>
      <c r="B5987" t="str">
        <f>"1551689125936417"</f>
        <v>1551689125936417</v>
      </c>
      <c r="C5987" t="s">
        <v>40</v>
      </c>
      <c r="D5987">
        <v>5.3343959999999999</v>
      </c>
      <c r="E5987">
        <v>0.50861120000000004</v>
      </c>
      <c r="F5987" t="s">
        <v>42</v>
      </c>
      <c r="G5987">
        <v>-190.80009999999999</v>
      </c>
      <c r="H5987" s="1">
        <v>-1.04448E-6</v>
      </c>
      <c r="I5987">
        <v>-28.47242</v>
      </c>
      <c r="J5987">
        <v>-191.42429999999999</v>
      </c>
      <c r="K5987">
        <v>1.114444</v>
      </c>
      <c r="L5987">
        <v>-37.475099999999998</v>
      </c>
      <c r="M5987">
        <v>0.29498180000000002</v>
      </c>
      <c r="N5987">
        <v>-1.22296E-2</v>
      </c>
      <c r="O5987">
        <v>0.95542459999999996</v>
      </c>
      <c r="P5987">
        <v>8.6753170000000004E-2</v>
      </c>
      <c r="Q5987">
        <v>0.38537510000000003</v>
      </c>
      <c r="R5987">
        <v>0.91867290000000001</v>
      </c>
      <c r="S5987">
        <v>0.26234439999999998</v>
      </c>
      <c r="T5987">
        <v>-0.40819050000000001</v>
      </c>
      <c r="U5987">
        <v>3.4106450000000001</v>
      </c>
      <c r="V5987">
        <v>-0.19186800000000001</v>
      </c>
      <c r="W5987">
        <v>0.39459369999999999</v>
      </c>
      <c r="X5987">
        <v>0.89860030000000002</v>
      </c>
      <c r="Y5987">
        <v>-0.22102930000000001</v>
      </c>
      <c r="Z5987">
        <v>-9.7311659999999994E-2</v>
      </c>
      <c r="AA5987">
        <v>0.97040020000000005</v>
      </c>
      <c r="AB5987">
        <v>32</v>
      </c>
      <c r="AC5987">
        <v>0.62420000000000098</v>
      </c>
      <c r="AD5987">
        <v>-1.11444504448</v>
      </c>
      <c r="AE5987">
        <v>9.0026799999999891</v>
      </c>
      <c r="AF5987">
        <v>-2.0284690827707701</v>
      </c>
      <c r="AG5987">
        <v>-1.11444504448</v>
      </c>
      <c r="AH5987">
        <v>8.6541839790001394</v>
      </c>
      <c r="AI5987">
        <v>97.146298003015701</v>
      </c>
      <c r="AJ5987">
        <v>103.191518903222</v>
      </c>
      <c r="AK5987">
        <v>8.9583243365768794</v>
      </c>
      <c r="AL5987">
        <v>66.759363621865802</v>
      </c>
      <c r="AM5987">
        <v>102.052735124804</v>
      </c>
      <c r="AN5987">
        <v>1.0000000083318901</v>
      </c>
    </row>
    <row r="5988" spans="1:40" x14ac:dyDescent="0.25">
      <c r="A5988" t="str">
        <f>"20190304164525965"</f>
        <v>20190304164525965</v>
      </c>
      <c r="B5988" t="str">
        <f>"1551689125955937"</f>
        <v>1551689125955937</v>
      </c>
      <c r="C5988" t="s">
        <v>40</v>
      </c>
      <c r="D5988">
        <v>5.3363009999999997</v>
      </c>
      <c r="E5988">
        <v>0.50916490000000003</v>
      </c>
      <c r="F5988" t="s">
        <v>42</v>
      </c>
      <c r="G5988">
        <v>-190.71350000000001</v>
      </c>
      <c r="H5988" s="1">
        <v>-1.205885E-6</v>
      </c>
      <c r="I5988">
        <v>-28.042449999999999</v>
      </c>
      <c r="J5988">
        <v>-191.33750000000001</v>
      </c>
      <c r="K5988">
        <v>1.114476</v>
      </c>
      <c r="L5988">
        <v>-37.178559999999997</v>
      </c>
      <c r="M5988">
        <v>0.2906764</v>
      </c>
      <c r="N5988">
        <v>-1.214646E-2</v>
      </c>
      <c r="O5988">
        <v>0.95674429999999999</v>
      </c>
      <c r="P5988">
        <v>8.5990999999999998E-2</v>
      </c>
      <c r="Q5988">
        <v>0.38525019999999999</v>
      </c>
      <c r="R5988">
        <v>0.91879699999999997</v>
      </c>
      <c r="S5988">
        <v>0.25698850000000001</v>
      </c>
      <c r="T5988">
        <v>-0.40292359999999999</v>
      </c>
      <c r="U5988">
        <v>3.410339</v>
      </c>
      <c r="V5988">
        <v>-0.18859529999999999</v>
      </c>
      <c r="W5988">
        <v>0.39441809999999999</v>
      </c>
      <c r="X5988">
        <v>0.89936990000000006</v>
      </c>
      <c r="Y5988">
        <v>-0.2181437</v>
      </c>
      <c r="Z5988">
        <v>-9.6278000000000002E-2</v>
      </c>
      <c r="AA5988">
        <v>0.97115589999999996</v>
      </c>
      <c r="AB5988">
        <v>32</v>
      </c>
      <c r="AC5988">
        <v>0.623999999999995</v>
      </c>
      <c r="AD5988">
        <v>-1.1144772058849901</v>
      </c>
      <c r="AE5988">
        <v>9.1361100000000004</v>
      </c>
      <c r="AF5988">
        <v>-2.0287463027060202</v>
      </c>
      <c r="AG5988">
        <v>-1.1144772058849901</v>
      </c>
      <c r="AH5988">
        <v>8.7927283366250606</v>
      </c>
      <c r="AI5988">
        <v>97.040662752505995</v>
      </c>
      <c r="AJ5988">
        <v>102.99248324580201</v>
      </c>
      <c r="AK5988">
        <v>9.0923012821215892</v>
      </c>
      <c r="AL5988">
        <v>66.770313121457306</v>
      </c>
      <c r="AM5988">
        <v>101.843158691079</v>
      </c>
      <c r="AN5988">
        <v>1.0000000209078499</v>
      </c>
    </row>
    <row r="5989" spans="1:40" x14ac:dyDescent="0.25">
      <c r="A5989" t="str">
        <f>"20190304164525990"</f>
        <v>20190304164525990</v>
      </c>
      <c r="B5989" t="str">
        <f>"1551689125986192"</f>
        <v>1551689125986192</v>
      </c>
      <c r="C5989" t="s">
        <v>40</v>
      </c>
      <c r="D5989">
        <v>5.3294629999999996</v>
      </c>
      <c r="E5989">
        <v>0.50984359999999995</v>
      </c>
      <c r="F5989" t="s">
        <v>42</v>
      </c>
      <c r="G5989">
        <v>-190.64340000000001</v>
      </c>
      <c r="H5989" s="1">
        <v>-1.2976859999999999E-6</v>
      </c>
      <c r="I5989">
        <v>-27.785</v>
      </c>
      <c r="J5989">
        <v>-191.24459999999999</v>
      </c>
      <c r="K5989">
        <v>1.11452</v>
      </c>
      <c r="L5989">
        <v>-36.855499999999999</v>
      </c>
      <c r="M5989">
        <v>0.2858927</v>
      </c>
      <c r="N5989">
        <v>-1.2060939999999999E-2</v>
      </c>
      <c r="O5989">
        <v>0.95818570000000003</v>
      </c>
      <c r="P5989">
        <v>8.5354330000000006E-2</v>
      </c>
      <c r="Q5989">
        <v>0.38438290000000003</v>
      </c>
      <c r="R5989">
        <v>0.91921949999999997</v>
      </c>
      <c r="S5989">
        <v>0.25204470000000001</v>
      </c>
      <c r="T5989">
        <v>-0.40472049999999998</v>
      </c>
      <c r="U5989">
        <v>3.4112550000000001</v>
      </c>
      <c r="V5989">
        <v>-0.18485090000000001</v>
      </c>
      <c r="W5989">
        <v>0.39349899999999999</v>
      </c>
      <c r="X5989">
        <v>0.90054909999999999</v>
      </c>
      <c r="Y5989">
        <v>-0.21469530000000001</v>
      </c>
      <c r="Z5989">
        <v>-9.7107789999999999E-2</v>
      </c>
      <c r="AA5989">
        <v>0.97184159999999997</v>
      </c>
      <c r="AB5989">
        <v>32</v>
      </c>
      <c r="AC5989">
        <v>0.60119999999997698</v>
      </c>
      <c r="AD5989">
        <v>-1.1145212976859999</v>
      </c>
      <c r="AE5989">
        <v>9.0704999999999991</v>
      </c>
      <c r="AF5989">
        <v>-1.98740109772038</v>
      </c>
      <c r="AG5989">
        <v>-1.1145212976859999</v>
      </c>
      <c r="AH5989">
        <v>8.73248227594177</v>
      </c>
      <c r="AI5989">
        <v>97.093824953806902</v>
      </c>
      <c r="AJ5989">
        <v>102.82139731486799</v>
      </c>
      <c r="AK5989">
        <v>9.0248638519289095</v>
      </c>
      <c r="AL5989">
        <v>66.827606629006397</v>
      </c>
      <c r="AM5989">
        <v>101.599677511284</v>
      </c>
      <c r="AN5989">
        <v>0.99999999987130905</v>
      </c>
    </row>
    <row r="5990" spans="1:40" x14ac:dyDescent="0.25">
      <c r="A5990" t="str">
        <f>"20190304164526012"</f>
        <v>20190304164526012</v>
      </c>
      <c r="B5990" t="str">
        <f>"1551689126005713"</f>
        <v>1551689126005713</v>
      </c>
      <c r="C5990" t="s">
        <v>40</v>
      </c>
      <c r="D5990">
        <v>5.3115220000000001</v>
      </c>
      <c r="E5990">
        <v>0.50994300000000004</v>
      </c>
      <c r="F5990" t="s">
        <v>42</v>
      </c>
      <c r="G5990">
        <v>-190.57220000000001</v>
      </c>
      <c r="H5990" s="1">
        <v>-1.363488E-6</v>
      </c>
      <c r="I5990">
        <v>-27.58745</v>
      </c>
      <c r="J5990">
        <v>-191.15790000000001</v>
      </c>
      <c r="K5990">
        <v>1.1145700000000001</v>
      </c>
      <c r="L5990">
        <v>-36.548430000000003</v>
      </c>
      <c r="M5990">
        <v>0.28125050000000001</v>
      </c>
      <c r="N5990">
        <v>-1.1979699999999999E-2</v>
      </c>
      <c r="O5990">
        <v>0.95955959999999996</v>
      </c>
      <c r="P5990">
        <v>8.4926160000000001E-2</v>
      </c>
      <c r="Q5990">
        <v>0.38363550000000002</v>
      </c>
      <c r="R5990">
        <v>0.91957129999999998</v>
      </c>
      <c r="S5990">
        <v>0.24754329999999999</v>
      </c>
      <c r="T5990">
        <v>-0.4103347</v>
      </c>
      <c r="U5990">
        <v>3.4122309999999998</v>
      </c>
      <c r="V5990">
        <v>-0.18102699999999999</v>
      </c>
      <c r="W5990">
        <v>0.39270189999999999</v>
      </c>
      <c r="X5990">
        <v>0.90167310000000001</v>
      </c>
      <c r="Y5990">
        <v>-0.2112764</v>
      </c>
      <c r="Z5990">
        <v>-9.8937899999999995E-2</v>
      </c>
      <c r="AA5990">
        <v>0.97240610000000005</v>
      </c>
      <c r="AB5990">
        <v>32</v>
      </c>
      <c r="AC5990">
        <v>0.585700000000002</v>
      </c>
      <c r="AD5990">
        <v>-1.1145713634879999</v>
      </c>
      <c r="AE5990">
        <v>8.9609799999999904</v>
      </c>
      <c r="AF5990">
        <v>-1.92869561325079</v>
      </c>
      <c r="AG5990">
        <v>-1.1145713634879999</v>
      </c>
      <c r="AH5990">
        <v>8.6309938659574996</v>
      </c>
      <c r="AI5990">
        <v>97.182983335639605</v>
      </c>
      <c r="AJ5990">
        <v>102.596458797029</v>
      </c>
      <c r="AK5990">
        <v>8.9138202364124695</v>
      </c>
      <c r="AL5990">
        <v>66.877274900694403</v>
      </c>
      <c r="AM5990">
        <v>101.35223053780101</v>
      </c>
      <c r="AN5990">
        <v>0.99999996812810898</v>
      </c>
    </row>
    <row r="5991" spans="1:40" x14ac:dyDescent="0.25">
      <c r="A5991" t="str">
        <f>"20190304164526033"</f>
        <v>20190304164526033</v>
      </c>
      <c r="B5991" t="str">
        <f>"1551689126026209"</f>
        <v>1551689126026209</v>
      </c>
      <c r="C5991" t="s">
        <v>40</v>
      </c>
      <c r="D5991">
        <v>5.3249639999999996</v>
      </c>
      <c r="E5991">
        <v>0.49646020000000002</v>
      </c>
      <c r="F5991" t="s">
        <v>42</v>
      </c>
      <c r="G5991">
        <v>-190.5033</v>
      </c>
      <c r="H5991" s="1">
        <v>-1.4475999999999999E-6</v>
      </c>
      <c r="I5991">
        <v>-27.348669999999998</v>
      </c>
      <c r="J5991">
        <v>-191.0813</v>
      </c>
      <c r="K5991">
        <v>1.1146130000000001</v>
      </c>
      <c r="L5991">
        <v>-36.271360000000001</v>
      </c>
      <c r="M5991">
        <v>0.2769877</v>
      </c>
      <c r="N5991">
        <v>-1.1900539999999999E-2</v>
      </c>
      <c r="O5991">
        <v>0.96079979999999998</v>
      </c>
      <c r="P5991">
        <v>8.4360969999999993E-2</v>
      </c>
      <c r="Q5991">
        <v>0.38266020000000001</v>
      </c>
      <c r="R5991">
        <v>0.9200296</v>
      </c>
      <c r="S5991">
        <v>0.2428131</v>
      </c>
      <c r="T5991">
        <v>-0.41342519999999999</v>
      </c>
      <c r="U5991">
        <v>3.4124449999999902</v>
      </c>
      <c r="V5991">
        <v>-0.17771479999999901</v>
      </c>
      <c r="W5991">
        <v>0.39167679999999999</v>
      </c>
      <c r="X5991">
        <v>0.9027773</v>
      </c>
      <c r="Y5991">
        <v>-0.20829220000000001</v>
      </c>
      <c r="Z5991">
        <v>-0.1000931</v>
      </c>
      <c r="AA5991">
        <v>0.97293149999999995</v>
      </c>
      <c r="AB5991">
        <v>32</v>
      </c>
      <c r="AC5991">
        <v>0.57800000000000296</v>
      </c>
      <c r="AD5991">
        <v>-1.1146144475999999</v>
      </c>
      <c r="AE5991">
        <v>8.9226899999999905</v>
      </c>
      <c r="AF5991">
        <v>-1.88694638942784</v>
      </c>
      <c r="AG5991">
        <v>-1.1146144475999999</v>
      </c>
      <c r="AH5991">
        <v>8.5999955685113498</v>
      </c>
      <c r="AI5991">
        <v>97.214977116251703</v>
      </c>
      <c r="AJ5991">
        <v>102.37530641504399</v>
      </c>
      <c r="AK5991">
        <v>8.8748439885886601</v>
      </c>
      <c r="AL5991">
        <v>66.941126353750093</v>
      </c>
      <c r="AM5991">
        <v>101.136476417764</v>
      </c>
      <c r="AN5991">
        <v>1.0000000595962799</v>
      </c>
    </row>
    <row r="5992" spans="1:40" x14ac:dyDescent="0.25">
      <c r="A5992" t="str">
        <f>"20190304164526056"</f>
        <v>20190304164526056</v>
      </c>
      <c r="B5992" t="str">
        <f>"1551689126045729"</f>
        <v>1551689126045729</v>
      </c>
      <c r="C5992" t="s">
        <v>40</v>
      </c>
      <c r="D5992">
        <v>5.2958889999999998</v>
      </c>
      <c r="E5992">
        <v>0.49433559999999999</v>
      </c>
      <c r="F5992" t="s">
        <v>42</v>
      </c>
      <c r="G5992">
        <v>-190.6917</v>
      </c>
      <c r="H5992" s="1">
        <v>-1.9234839999999999E-6</v>
      </c>
      <c r="I5992">
        <v>-26.35622</v>
      </c>
      <c r="J5992">
        <v>-190.99299999999999</v>
      </c>
      <c r="K5992">
        <v>1.1146469999999999</v>
      </c>
      <c r="L5992">
        <v>-35.94614</v>
      </c>
      <c r="M5992">
        <v>0.27191720000000003</v>
      </c>
      <c r="N5992">
        <v>-1.180427E-2</v>
      </c>
      <c r="O5992">
        <v>0.96224829999999995</v>
      </c>
      <c r="P5992">
        <v>8.2296060000000004E-2</v>
      </c>
      <c r="Q5992">
        <v>0.38167020000000002</v>
      </c>
      <c r="R5992">
        <v>0.92062770000000005</v>
      </c>
      <c r="S5992">
        <v>0.13388059999999999</v>
      </c>
      <c r="T5992">
        <v>-0.38309320000000002</v>
      </c>
      <c r="U5992">
        <v>3.4078369999999998</v>
      </c>
      <c r="V5992">
        <v>-0.175119</v>
      </c>
      <c r="W5992">
        <v>0.3906135</v>
      </c>
      <c r="X5992">
        <v>0.90374469999999996</v>
      </c>
      <c r="Y5992">
        <v>-0.23392560000000001</v>
      </c>
      <c r="Z5992">
        <v>-9.2158989999999996E-2</v>
      </c>
      <c r="AA5992">
        <v>0.96787679999999998</v>
      </c>
      <c r="AB5992">
        <v>32</v>
      </c>
      <c r="AC5992">
        <v>0.30129999999999701</v>
      </c>
      <c r="AD5992">
        <v>-1.114648923484</v>
      </c>
      <c r="AE5992">
        <v>9.5899199999999993</v>
      </c>
      <c r="AF5992">
        <v>-2.2870334615140502</v>
      </c>
      <c r="AG5992">
        <v>-1.114648923484</v>
      </c>
      <c r="AH5992">
        <v>9.1864768022406498</v>
      </c>
      <c r="AI5992">
        <v>96.715197189769498</v>
      </c>
      <c r="AJ5992">
        <v>103.97996052282799</v>
      </c>
      <c r="AK5992">
        <v>9.5322778135561403</v>
      </c>
      <c r="AL5992">
        <v>67.007322101398401</v>
      </c>
      <c r="AM5992">
        <v>100.966324935203</v>
      </c>
      <c r="AN5992">
        <v>1.0000000266606599</v>
      </c>
    </row>
    <row r="5993" spans="1:40" x14ac:dyDescent="0.25">
      <c r="A5993" t="str">
        <f>"20190304164526077"</f>
        <v>20190304164526077</v>
      </c>
      <c r="B5993" t="str">
        <f>"1551689126066224"</f>
        <v>1551689126066224</v>
      </c>
      <c r="C5993" t="s">
        <v>40</v>
      </c>
      <c r="D5993">
        <v>5.2650090000000001</v>
      </c>
      <c r="E5993">
        <v>0.49413259999999998</v>
      </c>
      <c r="F5993" t="s">
        <v>42</v>
      </c>
      <c r="G5993">
        <v>-190.6687</v>
      </c>
      <c r="H5993" s="1">
        <v>-2.1139330000000001E-6</v>
      </c>
      <c r="I5993">
        <v>-25.898019999999999</v>
      </c>
      <c r="J5993">
        <v>-190.91329999999999</v>
      </c>
      <c r="K5993">
        <v>1.11466</v>
      </c>
      <c r="L5993">
        <v>-35.645969999999998</v>
      </c>
      <c r="M5993">
        <v>0.26719179999999998</v>
      </c>
      <c r="N5993">
        <v>-1.172115E-2</v>
      </c>
      <c r="O5993">
        <v>0.96357210000000004</v>
      </c>
      <c r="P5993">
        <v>8.0289189999999996E-2</v>
      </c>
      <c r="Q5993">
        <v>0.3808473</v>
      </c>
      <c r="R5993">
        <v>0.92114549999999995</v>
      </c>
      <c r="S5993">
        <v>0.1099091</v>
      </c>
      <c r="T5993">
        <v>-0.37776789999999999</v>
      </c>
      <c r="U5993">
        <v>3.4054259999999998</v>
      </c>
      <c r="V5993">
        <v>-0.172758299999999</v>
      </c>
      <c r="W5993">
        <v>0.3897332</v>
      </c>
      <c r="X5993">
        <v>0.90457869999999996</v>
      </c>
      <c r="Y5993">
        <v>-0.2359299</v>
      </c>
      <c r="Z5993">
        <v>-9.1074379999999996E-2</v>
      </c>
      <c r="AA5993">
        <v>0.96749289999999999</v>
      </c>
      <c r="AB5993">
        <v>32</v>
      </c>
      <c r="AC5993">
        <v>0.24459999999999099</v>
      </c>
      <c r="AD5993">
        <v>-1.114662113933</v>
      </c>
      <c r="AE5993">
        <v>9.7479499999999906</v>
      </c>
      <c r="AF5993">
        <v>-2.3384875058821901</v>
      </c>
      <c r="AG5993">
        <v>-1.114662113933</v>
      </c>
      <c r="AH5993">
        <v>9.3368497701438304</v>
      </c>
      <c r="AI5993">
        <v>96.6057775830552</v>
      </c>
      <c r="AJ5993">
        <v>104.060931647307</v>
      </c>
      <c r="AK5993">
        <v>9.6895696020844806</v>
      </c>
      <c r="AL5993">
        <v>67.062100918053801</v>
      </c>
      <c r="AM5993">
        <v>100.812264472454</v>
      </c>
      <c r="AN5993">
        <v>1.0000000109474001</v>
      </c>
    </row>
    <row r="5994" spans="1:40" x14ac:dyDescent="0.25">
      <c r="A5994" t="str">
        <f>"20190304164526101"</f>
        <v>20190304164526101</v>
      </c>
      <c r="B5994" t="str">
        <f>"1551689126096481"</f>
        <v>1551689126096481</v>
      </c>
      <c r="C5994" t="s">
        <v>40</v>
      </c>
      <c r="D5994">
        <v>5.3145160000000002</v>
      </c>
      <c r="E5994">
        <v>0.49357770000000001</v>
      </c>
      <c r="F5994" t="s">
        <v>42</v>
      </c>
      <c r="G5994">
        <v>-190.61789999999999</v>
      </c>
      <c r="H5994" s="1">
        <v>-2.2199640000000002E-6</v>
      </c>
      <c r="I5994">
        <v>-25.619309999999999</v>
      </c>
      <c r="J5994">
        <v>-190.83240000000001</v>
      </c>
      <c r="K5994">
        <v>1.114673</v>
      </c>
      <c r="L5994">
        <v>-35.33502</v>
      </c>
      <c r="M5994">
        <v>0.2622679</v>
      </c>
      <c r="N5994">
        <v>-1.164072E-2</v>
      </c>
      <c r="O5994">
        <v>0.96492489999999997</v>
      </c>
      <c r="P5994">
        <v>7.7305150000000003E-2</v>
      </c>
      <c r="Q5994">
        <v>0.37965369999999998</v>
      </c>
      <c r="R5994">
        <v>0.92189319999999997</v>
      </c>
      <c r="S5994">
        <v>0.10031130000000001</v>
      </c>
      <c r="T5994">
        <v>-0.37848589999999999</v>
      </c>
      <c r="U5994">
        <v>3.4045719999999999</v>
      </c>
      <c r="V5994">
        <v>-0.17120299999999999</v>
      </c>
      <c r="W5994">
        <v>0.3884804</v>
      </c>
      <c r="X5994">
        <v>0.90541289999999996</v>
      </c>
      <c r="Y5994">
        <v>-0.2336886</v>
      </c>
      <c r="Z5994">
        <v>-9.1624010000000006E-2</v>
      </c>
      <c r="AA5994">
        <v>0.96798490000000004</v>
      </c>
      <c r="AB5994">
        <v>32</v>
      </c>
      <c r="AC5994">
        <v>0.21450000000001501</v>
      </c>
      <c r="AD5994">
        <v>-1.114675219964</v>
      </c>
      <c r="AE5994">
        <v>9.7157099999999907</v>
      </c>
      <c r="AF5994">
        <v>-2.31089805728752</v>
      </c>
      <c r="AG5994">
        <v>-1.114675219964</v>
      </c>
      <c r="AH5994">
        <v>9.3093487200294103</v>
      </c>
      <c r="AI5994">
        <v>96.6286245450503</v>
      </c>
      <c r="AJ5994">
        <v>103.940978523442</v>
      </c>
      <c r="AK5994">
        <v>9.6564343454657404</v>
      </c>
      <c r="AL5994">
        <v>67.140021648551198</v>
      </c>
      <c r="AM5994">
        <v>100.70754299712399</v>
      </c>
      <c r="AN5994">
        <v>1.0000000039397801</v>
      </c>
    </row>
    <row r="5995" spans="1:40" x14ac:dyDescent="0.25">
      <c r="A5995" t="str">
        <f>"20190304164526121"</f>
        <v>20190304164526121</v>
      </c>
      <c r="B5995" t="str">
        <f>"1551689126115821"</f>
        <v>1551689126115821</v>
      </c>
      <c r="C5995" t="s">
        <v>40</v>
      </c>
      <c r="D5995">
        <v>5.2948079999999997</v>
      </c>
      <c r="E5995">
        <v>0.49360320000000002</v>
      </c>
      <c r="F5995" t="s">
        <v>42</v>
      </c>
      <c r="G5995">
        <v>-190.58320000000001</v>
      </c>
      <c r="H5995" s="1">
        <v>-2.4255069999999999E-6</v>
      </c>
      <c r="I5995">
        <v>-25.118659999999998</v>
      </c>
      <c r="J5995">
        <v>-190.76</v>
      </c>
      <c r="K5995">
        <v>1.1146769999999999</v>
      </c>
      <c r="L5995">
        <v>-35.051389999999998</v>
      </c>
      <c r="M5995">
        <v>0.25776280000000001</v>
      </c>
      <c r="N5995">
        <v>-1.156888E-2</v>
      </c>
      <c r="O5995">
        <v>0.96613899999999997</v>
      </c>
      <c r="P5995">
        <v>7.4247759999999996E-2</v>
      </c>
      <c r="Q5995">
        <v>0.37841629999999998</v>
      </c>
      <c r="R5995">
        <v>0.92265299999999995</v>
      </c>
      <c r="S5995">
        <v>8.2931519999999995E-2</v>
      </c>
      <c r="T5995">
        <v>-0.37096269999999998</v>
      </c>
      <c r="U5995">
        <v>3.399994</v>
      </c>
      <c r="V5995">
        <v>-0.17011009999999999</v>
      </c>
      <c r="W5995">
        <v>0.38718999999999998</v>
      </c>
      <c r="X5995">
        <v>0.90617130000000001</v>
      </c>
      <c r="Y5995">
        <v>-0.2340584</v>
      </c>
      <c r="Z5995">
        <v>-8.9989600000000003E-2</v>
      </c>
      <c r="AA5995">
        <v>0.96804880000000004</v>
      </c>
      <c r="AB5995">
        <v>32</v>
      </c>
      <c r="AC5995">
        <v>0.176799999999985</v>
      </c>
      <c r="AD5995">
        <v>-1.1146794255069901</v>
      </c>
      <c r="AE5995">
        <v>9.9327299999999994</v>
      </c>
      <c r="AF5995">
        <v>-2.3599233648835898</v>
      </c>
      <c r="AG5995">
        <v>-1.1146794255069901</v>
      </c>
      <c r="AH5995">
        <v>9.5227243334955993</v>
      </c>
      <c r="AI5995">
        <v>96.482020936274594</v>
      </c>
      <c r="AJ5995">
        <v>103.918636163953</v>
      </c>
      <c r="AK5995">
        <v>9.8739063820517003</v>
      </c>
      <c r="AL5995">
        <v>67.220234002412298</v>
      </c>
      <c r="AM5995">
        <v>100.632053078722</v>
      </c>
      <c r="AN5995">
        <v>0.99999998358284903</v>
      </c>
    </row>
    <row r="5996" spans="1:40" x14ac:dyDescent="0.25">
      <c r="A5996" t="str">
        <f>"20190304164526145"</f>
        <v>20190304164526145</v>
      </c>
      <c r="B5996" t="str">
        <f>"1551689126136317"</f>
        <v>1551689126136317</v>
      </c>
      <c r="C5996" t="s">
        <v>40</v>
      </c>
      <c r="D5996">
        <v>5.2621019999999996</v>
      </c>
      <c r="E5996">
        <v>0.49390650000000003</v>
      </c>
      <c r="F5996" t="s">
        <v>42</v>
      </c>
      <c r="G5996">
        <v>-190.55799999999999</v>
      </c>
      <c r="H5996" s="1">
        <v>-2.4989980000000001E-6</v>
      </c>
      <c r="I5996">
        <v>-24.931760000000001</v>
      </c>
      <c r="J5996">
        <v>-190.6781</v>
      </c>
      <c r="K5996">
        <v>1.114682</v>
      </c>
      <c r="L5996">
        <v>-34.72363</v>
      </c>
      <c r="M5996">
        <v>0.25255349999999999</v>
      </c>
      <c r="N5996">
        <v>-1.1492530000000001E-2</v>
      </c>
      <c r="O5996">
        <v>0.96751469999999995</v>
      </c>
      <c r="P5996">
        <v>7.1153129999999995E-2</v>
      </c>
      <c r="Q5996">
        <v>0.37660969999999999</v>
      </c>
      <c r="R5996">
        <v>0.9236354</v>
      </c>
      <c r="S5996">
        <v>6.7855830000000006E-2</v>
      </c>
      <c r="T5996">
        <v>-0.37446950000000001</v>
      </c>
      <c r="U5996">
        <v>3.3996279999999999</v>
      </c>
      <c r="V5996">
        <v>-0.16844189999999901</v>
      </c>
      <c r="W5996">
        <v>0.38533610000000001</v>
      </c>
      <c r="X5996">
        <v>0.90727250000000004</v>
      </c>
      <c r="Y5996">
        <v>-0.23311080000000001</v>
      </c>
      <c r="Z5996">
        <v>-9.1259439999999997E-2</v>
      </c>
      <c r="AA5996">
        <v>0.96815859999999998</v>
      </c>
      <c r="AB5996">
        <v>32</v>
      </c>
      <c r="AC5996">
        <v>0.12010000000000701</v>
      </c>
      <c r="AD5996">
        <v>-1.114684498998</v>
      </c>
      <c r="AE5996">
        <v>9.7918699999999994</v>
      </c>
      <c r="AF5996">
        <v>-2.3267798433106002</v>
      </c>
      <c r="AG5996">
        <v>-1.114684498998</v>
      </c>
      <c r="AH5996">
        <v>9.3831589496581103</v>
      </c>
      <c r="AI5996">
        <v>96.577391349916496</v>
      </c>
      <c r="AJ5996">
        <v>103.926940773713</v>
      </c>
      <c r="AK5996">
        <v>9.7313975279037894</v>
      </c>
      <c r="AL5996">
        <v>67.335392331861698</v>
      </c>
      <c r="AM5996">
        <v>100.51763647778</v>
      </c>
      <c r="AN5996">
        <v>0.99999998644753496</v>
      </c>
    </row>
    <row r="5997" spans="1:40" x14ac:dyDescent="0.25">
      <c r="A5997" t="str">
        <f>"20190304164526179"</f>
        <v>20190304164526179</v>
      </c>
      <c r="B5997" t="str">
        <f>"1551689126176333"</f>
        <v>1551689126176333</v>
      </c>
      <c r="C5997" t="s">
        <v>40</v>
      </c>
      <c r="D5997">
        <v>5.266286</v>
      </c>
      <c r="E5997">
        <v>0.4947165</v>
      </c>
      <c r="F5997" t="s">
        <v>42</v>
      </c>
      <c r="G5997">
        <v>-190.52520000000001</v>
      </c>
      <c r="H5997" s="1">
        <v>-2.5631359999999998E-6</v>
      </c>
      <c r="I5997">
        <v>-24.761900000000001</v>
      </c>
      <c r="J5997">
        <v>-190.56610000000001</v>
      </c>
      <c r="K5997">
        <v>1.114689</v>
      </c>
      <c r="L5997">
        <v>-34.262659999999997</v>
      </c>
      <c r="M5997">
        <v>0.2452317</v>
      </c>
      <c r="N5997">
        <v>-1.139094E-2</v>
      </c>
      <c r="O5997">
        <v>0.96939750000000002</v>
      </c>
      <c r="P5997">
        <v>6.58023999999999E-2</v>
      </c>
      <c r="Q5997">
        <v>0.3759303</v>
      </c>
      <c r="R5997">
        <v>0.92430869999999998</v>
      </c>
      <c r="S5997">
        <v>5.2169800000000002E-2</v>
      </c>
      <c r="T5997">
        <v>-0.38034899999999999</v>
      </c>
      <c r="U5997">
        <v>3.3991090000000002</v>
      </c>
      <c r="V5997">
        <v>-0.16691020000000001</v>
      </c>
      <c r="W5997">
        <v>0.38457780000000003</v>
      </c>
      <c r="X5997">
        <v>0.90787709999999999</v>
      </c>
      <c r="Y5997">
        <v>-0.23022590000000001</v>
      </c>
      <c r="Z5997">
        <v>-9.3317300000000006E-2</v>
      </c>
      <c r="AA5997">
        <v>0.96865259999999997</v>
      </c>
      <c r="AB5997">
        <v>32</v>
      </c>
      <c r="AC5997">
        <v>4.0899999999993497E-2</v>
      </c>
      <c r="AD5997">
        <v>-1.1146915631359999</v>
      </c>
      <c r="AE5997">
        <v>9.5007599999999908</v>
      </c>
      <c r="AF5997">
        <v>-2.25928822534049</v>
      </c>
      <c r="AG5997">
        <v>-1.1146915631359999</v>
      </c>
      <c r="AH5997">
        <v>9.0954406876375806</v>
      </c>
      <c r="AI5997">
        <v>96.782922653022496</v>
      </c>
      <c r="AJ5997">
        <v>103.94981617018399</v>
      </c>
      <c r="AK5997">
        <v>9.4379002891756603</v>
      </c>
      <c r="AL5997">
        <v>67.382467063856097</v>
      </c>
      <c r="AM5997">
        <v>100.417311945568</v>
      </c>
      <c r="AN5997">
        <v>0.99999996391064405</v>
      </c>
    </row>
    <row r="5998" spans="1:40" x14ac:dyDescent="0.25">
      <c r="A5998" t="str">
        <f>"20190304164526203"</f>
        <v>20190304164526203</v>
      </c>
      <c r="B5998" t="str">
        <f>"1551689126195853"</f>
        <v>1551689126195853</v>
      </c>
      <c r="C5998" t="s">
        <v>40</v>
      </c>
      <c r="D5998">
        <v>5.2790999999999997</v>
      </c>
      <c r="E5998">
        <v>0.49522500000000003</v>
      </c>
      <c r="F5998" t="s">
        <v>42</v>
      </c>
      <c r="G5998">
        <v>-190.4658</v>
      </c>
      <c r="H5998" s="1">
        <v>-2.7394139999999999E-6</v>
      </c>
      <c r="I5998">
        <v>-24.314119999999999</v>
      </c>
      <c r="J5998">
        <v>-190.48779999999999</v>
      </c>
      <c r="K5998">
        <v>1.114687</v>
      </c>
      <c r="L5998">
        <v>-33.930970000000002</v>
      </c>
      <c r="M5998">
        <v>0.23996870000000001</v>
      </c>
      <c r="N5998">
        <v>-1.131796E-2</v>
      </c>
      <c r="O5998">
        <v>0.97071459999999998</v>
      </c>
      <c r="P5998">
        <v>6.2219700000000003E-2</v>
      </c>
      <c r="Q5998">
        <v>0.37433539999999998</v>
      </c>
      <c r="R5998">
        <v>0.92520360000000001</v>
      </c>
      <c r="S5998">
        <v>3.4255979999999998E-2</v>
      </c>
      <c r="T5998">
        <v>-0.3807391</v>
      </c>
      <c r="U5998">
        <v>3.3980709999999998</v>
      </c>
      <c r="V5998">
        <v>-0.16564809999999999</v>
      </c>
      <c r="W5998">
        <v>0.3829341</v>
      </c>
      <c r="X5998">
        <v>0.90880260000000002</v>
      </c>
      <c r="Y5998">
        <v>-0.230049</v>
      </c>
      <c r="Z5998">
        <v>-9.3743670000000001E-2</v>
      </c>
      <c r="AA5998">
        <v>0.96865349999999995</v>
      </c>
      <c r="AB5998">
        <v>32</v>
      </c>
      <c r="AC5998">
        <v>2.1999999999991301E-2</v>
      </c>
      <c r="AD5998">
        <v>-1.1146897394140001</v>
      </c>
      <c r="AE5998">
        <v>9.6168499999999995</v>
      </c>
      <c r="AF5998">
        <v>-2.2562213299829699</v>
      </c>
      <c r="AG5998">
        <v>-1.1146897394140001</v>
      </c>
      <c r="AH5998">
        <v>9.2172601726225292</v>
      </c>
      <c r="AI5998">
        <v>96.699662019848503</v>
      </c>
      <c r="AJ5998">
        <v>103.754528336795</v>
      </c>
      <c r="AK5998">
        <v>9.5546299245359805</v>
      </c>
      <c r="AL5998">
        <v>67.484453402516607</v>
      </c>
      <c r="AM5998">
        <v>100.329943024567</v>
      </c>
      <c r="AN5998">
        <v>0.99999999187159005</v>
      </c>
    </row>
    <row r="5999" spans="1:40" x14ac:dyDescent="0.25">
      <c r="A5999" t="str">
        <f>"20190304164526225"</f>
        <v>20190304164526225</v>
      </c>
      <c r="B5999" t="str">
        <f>"1551689126216349"</f>
        <v>1551689126216349</v>
      </c>
      <c r="C5999" t="s">
        <v>40</v>
      </c>
      <c r="D5999">
        <v>5.2819419999999999</v>
      </c>
      <c r="E5999">
        <v>0.49582690000000001</v>
      </c>
      <c r="F5999" t="s">
        <v>42</v>
      </c>
      <c r="G5999">
        <v>-190.42250000000001</v>
      </c>
      <c r="H5999" s="1">
        <v>-2.8058159999999999E-6</v>
      </c>
      <c r="I5999">
        <v>-24.132529999999999</v>
      </c>
      <c r="J5999">
        <v>-190.41569999999999</v>
      </c>
      <c r="K5999">
        <v>1.1146879999999999</v>
      </c>
      <c r="L5999">
        <v>-33.618380000000002</v>
      </c>
      <c r="M5999">
        <v>0.2350139</v>
      </c>
      <c r="N5999">
        <v>-1.1252450000000001E-2</v>
      </c>
      <c r="O5999">
        <v>0.97192690000000004</v>
      </c>
      <c r="P5999">
        <v>6.0033570000000001E-2</v>
      </c>
      <c r="Q5999">
        <v>0.37345220000000001</v>
      </c>
      <c r="R5999">
        <v>0.92570479999999999</v>
      </c>
      <c r="S5999">
        <v>2.261353E-2</v>
      </c>
      <c r="T5999">
        <v>-0.38649129999999998</v>
      </c>
      <c r="U5999">
        <v>3.3973689999999999</v>
      </c>
      <c r="V5999">
        <v>-0.16323289999999999</v>
      </c>
      <c r="W5999">
        <v>0.38202079999999999</v>
      </c>
      <c r="X5999">
        <v>0.90962359999999998</v>
      </c>
      <c r="Y5999">
        <v>-0.22840269999999999</v>
      </c>
      <c r="Z5999">
        <v>-9.5621529999999996E-2</v>
      </c>
      <c r="AA5999">
        <v>0.96885949999999998</v>
      </c>
      <c r="AB5999">
        <v>32</v>
      </c>
      <c r="AC5999">
        <v>-6.8000000000267803E-3</v>
      </c>
      <c r="AD5999">
        <v>-1.1146908058160001</v>
      </c>
      <c r="AE5999">
        <v>9.4858499999999992</v>
      </c>
      <c r="AF5999">
        <v>-2.2056005090054298</v>
      </c>
      <c r="AG5999">
        <v>-1.1146908058160001</v>
      </c>
      <c r="AH5999">
        <v>9.0929749718275197</v>
      </c>
      <c r="AI5999">
        <v>96.7938296722822</v>
      </c>
      <c r="AJ5999">
        <v>103.634391794953</v>
      </c>
      <c r="AK5999">
        <v>9.4228129046573699</v>
      </c>
      <c r="AL5999">
        <v>67.541087629332594</v>
      </c>
      <c r="AM5999">
        <v>100.173504752656</v>
      </c>
      <c r="AN5999">
        <v>0.99999998247600397</v>
      </c>
    </row>
    <row r="6000" spans="1:40" x14ac:dyDescent="0.25">
      <c r="A6000" t="str">
        <f>"20190304164526244"</f>
        <v>20190304164526244</v>
      </c>
      <c r="B6000" t="str">
        <f>"1551689126235870"</f>
        <v>1551689126235870</v>
      </c>
      <c r="C6000" t="s">
        <v>40</v>
      </c>
      <c r="D6000">
        <v>5.3377819999999998</v>
      </c>
      <c r="E6000">
        <v>0.49582690000000001</v>
      </c>
      <c r="F6000" t="s">
        <v>42</v>
      </c>
      <c r="G6000">
        <v>-190.37190000000001</v>
      </c>
      <c r="H6000" s="1">
        <v>-2.8921799999999999E-6</v>
      </c>
      <c r="I6000">
        <v>-23.899789999999999</v>
      </c>
      <c r="J6000">
        <v>-190.35390000000001</v>
      </c>
      <c r="K6000">
        <v>1.114679</v>
      </c>
      <c r="L6000">
        <v>-33.344790000000003</v>
      </c>
      <c r="M6000">
        <v>0.23067699999999999</v>
      </c>
      <c r="N6000">
        <v>-1.11941E-2</v>
      </c>
      <c r="O6000">
        <v>0.972966</v>
      </c>
      <c r="P6000">
        <v>5.8777250000000003E-2</v>
      </c>
      <c r="Q6000">
        <v>0.37298900000000001</v>
      </c>
      <c r="R6000">
        <v>0.92597220000000002</v>
      </c>
      <c r="S6000">
        <v>1.530457E-2</v>
      </c>
      <c r="T6000">
        <v>-0.38962210000000003</v>
      </c>
      <c r="U6000">
        <v>3.396973</v>
      </c>
      <c r="V6000">
        <v>-0.16044310000000001</v>
      </c>
      <c r="W6000">
        <v>0.38153730000000002</v>
      </c>
      <c r="X6000">
        <v>0.91032270000000004</v>
      </c>
      <c r="Y6000">
        <v>-0.2261464</v>
      </c>
      <c r="Z6000">
        <v>-9.6751470000000006E-2</v>
      </c>
      <c r="AA6000">
        <v>0.96927649999999999</v>
      </c>
      <c r="AB6000">
        <v>32</v>
      </c>
      <c r="AC6000">
        <v>-1.8000000000000599E-2</v>
      </c>
      <c r="AD6000">
        <v>-1.1146818921799999</v>
      </c>
      <c r="AE6000">
        <v>9.4450000000000003</v>
      </c>
      <c r="AF6000">
        <v>-2.1662235525905</v>
      </c>
      <c r="AG6000">
        <v>-1.1146818921799999</v>
      </c>
      <c r="AH6000">
        <v>9.0598986531914303</v>
      </c>
      <c r="AI6000">
        <v>96.823668502136101</v>
      </c>
      <c r="AJ6000">
        <v>103.446976253329</v>
      </c>
      <c r="AK6000">
        <v>9.3817271227984307</v>
      </c>
      <c r="AL6000">
        <v>67.571062281189</v>
      </c>
      <c r="AM6000">
        <v>99.995644387674105</v>
      </c>
      <c r="AN6000">
        <v>1.0000000588820901</v>
      </c>
    </row>
    <row r="6001" spans="1:40" x14ac:dyDescent="0.25">
      <c r="A6001" t="str">
        <f>"20190304164526268"</f>
        <v>20190304164526268</v>
      </c>
      <c r="B6001" t="str">
        <f>"1551689126256365"</f>
        <v>1551689126256365</v>
      </c>
      <c r="C6001" t="s">
        <v>40</v>
      </c>
      <c r="D6001">
        <v>5.2780279999999999</v>
      </c>
      <c r="E6001">
        <v>0.49911509999999998</v>
      </c>
      <c r="F6001" t="s">
        <v>42</v>
      </c>
      <c r="G6001">
        <v>-190.33580000000001</v>
      </c>
      <c r="H6001" s="1">
        <v>-2.9868470000000002E-6</v>
      </c>
      <c r="I6001">
        <v>-23.656739999999999</v>
      </c>
      <c r="J6001">
        <v>-190.28469999999999</v>
      </c>
      <c r="K6001">
        <v>1.1146769999999999</v>
      </c>
      <c r="L6001">
        <v>-33.031039999999997</v>
      </c>
      <c r="M6001">
        <v>0.22570460000000001</v>
      </c>
      <c r="N6001">
        <v>-1.1124739999999999E-2</v>
      </c>
      <c r="O6001">
        <v>0.97413229999999995</v>
      </c>
      <c r="P6001">
        <v>5.680528E-2</v>
      </c>
      <c r="Q6001">
        <v>0.37199110000000002</v>
      </c>
      <c r="R6001">
        <v>0.92649649999999995</v>
      </c>
      <c r="S6001">
        <v>6.3476560000000001E-3</v>
      </c>
      <c r="T6001">
        <v>-0.39083289999999998</v>
      </c>
      <c r="U6001">
        <v>3.3968509999999998</v>
      </c>
      <c r="V6001">
        <v>-0.1578078</v>
      </c>
      <c r="W6001">
        <v>0.38050919999999999</v>
      </c>
      <c r="X6001">
        <v>0.91121319999999995</v>
      </c>
      <c r="Y6001">
        <v>-0.22372929999999999</v>
      </c>
      <c r="Z6001">
        <v>-9.7383360000000002E-2</v>
      </c>
      <c r="AA6001">
        <v>0.96977409999999997</v>
      </c>
      <c r="AB6001">
        <v>32</v>
      </c>
      <c r="AC6001">
        <v>-5.1100000000019401E-2</v>
      </c>
      <c r="AD6001">
        <v>-1.1146799868469901</v>
      </c>
      <c r="AE6001">
        <v>9.3742999999999999</v>
      </c>
      <c r="AF6001">
        <v>-2.1355409468461901</v>
      </c>
      <c r="AG6001">
        <v>-1.1146799868469901</v>
      </c>
      <c r="AH6001">
        <v>8.9936799969204095</v>
      </c>
      <c r="AI6001">
        <v>96.875954102596793</v>
      </c>
      <c r="AJ6001">
        <v>103.35745612216699</v>
      </c>
      <c r="AK6001">
        <v>9.3107103110203298</v>
      </c>
      <c r="AL6001">
        <v>67.634773336277206</v>
      </c>
      <c r="AM6001">
        <v>99.825272608525395</v>
      </c>
      <c r="AN6001">
        <v>1.0000000244398499</v>
      </c>
    </row>
    <row r="6002" spans="1:40" x14ac:dyDescent="0.25">
      <c r="A6002" t="str">
        <f>"20190304164526289"</f>
        <v>20190304164526289</v>
      </c>
      <c r="B6002" t="str">
        <f>"1551689126286621"</f>
        <v>1551689126286621</v>
      </c>
      <c r="C6002" t="s">
        <v>40</v>
      </c>
      <c r="D6002">
        <v>5.2330779999999999</v>
      </c>
      <c r="E6002">
        <v>0.50278529999999999</v>
      </c>
      <c r="F6002" t="s">
        <v>42</v>
      </c>
      <c r="G6002">
        <v>-190.14850000000001</v>
      </c>
      <c r="H6002" s="1">
        <v>-4.3203370000000001E-7</v>
      </c>
      <c r="I6002">
        <v>-19.495920000000002</v>
      </c>
      <c r="J6002">
        <v>-190.21860000000001</v>
      </c>
      <c r="K6002">
        <v>1.1146780000000001</v>
      </c>
      <c r="L6002">
        <v>-32.724330000000002</v>
      </c>
      <c r="M6002">
        <v>0.22084609999999999</v>
      </c>
      <c r="N6002">
        <v>-1.105887E-2</v>
      </c>
      <c r="O6002">
        <v>0.97524599999999995</v>
      </c>
      <c r="P6002">
        <v>5.4857879999999998E-2</v>
      </c>
      <c r="Q6002">
        <v>0.37108170000000001</v>
      </c>
      <c r="R6002">
        <v>0.92697839999999998</v>
      </c>
      <c r="S6002">
        <v>3.3660889999999999E-2</v>
      </c>
      <c r="T6002">
        <v>-0.27560649999999998</v>
      </c>
      <c r="U6002">
        <v>3.3465880000000001</v>
      </c>
      <c r="V6002">
        <v>-0.15524689999999999</v>
      </c>
      <c r="W6002">
        <v>0.37957279999999999</v>
      </c>
      <c r="X6002">
        <v>0.9120433</v>
      </c>
      <c r="Y6002">
        <v>-0.21094379999999999</v>
      </c>
      <c r="Z6002">
        <v>-6.7101560000000005E-2</v>
      </c>
      <c r="AA6002">
        <v>0.97519230000000001</v>
      </c>
      <c r="AB6002">
        <v>32</v>
      </c>
      <c r="AC6002">
        <v>7.0099999999996498E-2</v>
      </c>
      <c r="AD6002">
        <v>-1.1146784320337</v>
      </c>
      <c r="AE6002">
        <v>13.22841</v>
      </c>
      <c r="AF6002">
        <v>-2.8331365206358599</v>
      </c>
      <c r="AG6002">
        <v>-1.1146784320337</v>
      </c>
      <c r="AH6002">
        <v>12.8261562622891</v>
      </c>
      <c r="AI6002">
        <v>94.850560268492302</v>
      </c>
      <c r="AJ6002">
        <v>102.455907408039</v>
      </c>
      <c r="AK6002">
        <v>13.1825435715593</v>
      </c>
      <c r="AL6002">
        <v>67.6927776546422</v>
      </c>
      <c r="AM6002">
        <v>99.660228087467502</v>
      </c>
      <c r="AN6002">
        <v>1.0000000457671601</v>
      </c>
    </row>
    <row r="6003" spans="1:40" x14ac:dyDescent="0.25">
      <c r="A6003" t="str">
        <f>"20190304164526311"</f>
        <v>20190304164526311</v>
      </c>
      <c r="B6003" t="str">
        <f>"1551689126306141"</f>
        <v>1551689126306141</v>
      </c>
      <c r="C6003" t="s">
        <v>40</v>
      </c>
      <c r="D6003">
        <v>5.2475459999999998</v>
      </c>
      <c r="E6003">
        <v>0.50326380000000004</v>
      </c>
      <c r="F6003" t="s">
        <v>42</v>
      </c>
      <c r="G6003">
        <v>-190.1009</v>
      </c>
      <c r="H6003" s="1">
        <v>-3.1186559999999902E-6</v>
      </c>
      <c r="I6003">
        <v>-23.203790000000001</v>
      </c>
      <c r="J6003">
        <v>-190.15280000000001</v>
      </c>
      <c r="K6003">
        <v>1.114668</v>
      </c>
      <c r="L6003">
        <v>-32.411439999999999</v>
      </c>
      <c r="M6003">
        <v>0.21588740000000001</v>
      </c>
      <c r="N6003">
        <v>-1.0987899999999899E-2</v>
      </c>
      <c r="O6003">
        <v>0.97635640000000001</v>
      </c>
      <c r="P6003">
        <v>5.325204E-2</v>
      </c>
      <c r="Q6003">
        <v>0.36948639999999999</v>
      </c>
      <c r="R6003">
        <v>0.92770900000000001</v>
      </c>
      <c r="S6003">
        <v>4.1946410000000003E-2</v>
      </c>
      <c r="T6003">
        <v>-0.39724080000000001</v>
      </c>
      <c r="U6003">
        <v>3.3928530000000001</v>
      </c>
      <c r="V6003">
        <v>-0.1523052</v>
      </c>
      <c r="W6003">
        <v>0.37795279999999998</v>
      </c>
      <c r="X6003">
        <v>0.91321129999999995</v>
      </c>
      <c r="Y6003">
        <v>-0.2037167</v>
      </c>
      <c r="Z6003">
        <v>-0.10005600000000001</v>
      </c>
      <c r="AA6003">
        <v>0.97390370000000004</v>
      </c>
      <c r="AB6003">
        <v>32</v>
      </c>
      <c r="AC6003">
        <v>5.1900000000017599E-2</v>
      </c>
      <c r="AD6003">
        <v>-1.1146711186560001</v>
      </c>
      <c r="AE6003">
        <v>9.2076499999999992</v>
      </c>
      <c r="AF6003">
        <v>-1.90927949506484</v>
      </c>
      <c r="AG6003">
        <v>-1.1146711186560001</v>
      </c>
      <c r="AH6003">
        <v>8.8716829324305202</v>
      </c>
      <c r="AI6003">
        <v>97.002643668234001</v>
      </c>
      <c r="AJ6003">
        <v>102.14540863916299</v>
      </c>
      <c r="AK6003">
        <v>9.1430081453873804</v>
      </c>
      <c r="AL6003">
        <v>67.793068936694297</v>
      </c>
      <c r="AM6003">
        <v>99.468629087751097</v>
      </c>
      <c r="AN6003">
        <v>1.0000000357112799</v>
      </c>
    </row>
    <row r="6004" spans="1:40" x14ac:dyDescent="0.25">
      <c r="A6004" t="str">
        <f>"20190304164526334"</f>
        <v>20190304164526334</v>
      </c>
      <c r="B6004" t="str">
        <f>"1551689126326025"</f>
        <v>1551689126326025</v>
      </c>
      <c r="C6004" t="s">
        <v>40</v>
      </c>
      <c r="D6004">
        <v>5.2257530000000001</v>
      </c>
      <c r="E6004">
        <v>0.50340640000000003</v>
      </c>
      <c r="F6004" t="s">
        <v>42</v>
      </c>
      <c r="G6004">
        <v>-190.04730000000001</v>
      </c>
      <c r="H6004" s="1">
        <v>-3.2342779999999999E-6</v>
      </c>
      <c r="I6004">
        <v>-22.901039999999998</v>
      </c>
      <c r="J6004">
        <v>-190.08690000000001</v>
      </c>
      <c r="K6004">
        <v>1.114657</v>
      </c>
      <c r="L6004">
        <v>-32.089659999999903</v>
      </c>
      <c r="M6004">
        <v>0.210788</v>
      </c>
      <c r="N6004">
        <v>-1.0909179999999999E-2</v>
      </c>
      <c r="O6004">
        <v>0.97747090000000003</v>
      </c>
      <c r="P6004">
        <v>5.1224899999999997E-2</v>
      </c>
      <c r="Q6004">
        <v>0.3680021</v>
      </c>
      <c r="R6004">
        <v>0.92841289999999999</v>
      </c>
      <c r="S6004">
        <v>3.7597659999999998E-2</v>
      </c>
      <c r="T6004">
        <v>-0.39731050000000001</v>
      </c>
      <c r="U6004">
        <v>3.3898619999999999</v>
      </c>
      <c r="V6004">
        <v>-0.149636299999999</v>
      </c>
      <c r="W6004">
        <v>0.37643320000000002</v>
      </c>
      <c r="X6004">
        <v>0.91427950000000002</v>
      </c>
      <c r="Y6004">
        <v>-0.19984830000000001</v>
      </c>
      <c r="Z6004">
        <v>-0.1004892</v>
      </c>
      <c r="AA6004">
        <v>0.97466019999999998</v>
      </c>
      <c r="AB6004">
        <v>32</v>
      </c>
      <c r="AC6004">
        <v>3.9600000000007102E-2</v>
      </c>
      <c r="AD6004">
        <v>-1.1146602342780001</v>
      </c>
      <c r="AE6004">
        <v>9.1886199999999896</v>
      </c>
      <c r="AF6004">
        <v>-1.87072721868409</v>
      </c>
      <c r="AG6004">
        <v>-1.1146602342780001</v>
      </c>
      <c r="AH6004">
        <v>8.8601097318942195</v>
      </c>
      <c r="AI6004">
        <v>97.017395393208005</v>
      </c>
      <c r="AJ6004">
        <v>101.922345715736</v>
      </c>
      <c r="AK6004">
        <v>9.1237948368983499</v>
      </c>
      <c r="AL6004">
        <v>67.887078694733304</v>
      </c>
      <c r="AM6004">
        <v>99.294952054742694</v>
      </c>
      <c r="AN6004">
        <v>0.99999999023009001</v>
      </c>
    </row>
    <row r="6005" spans="1:40" x14ac:dyDescent="0.25">
      <c r="A6005" t="str">
        <f>"20190304164526357"</f>
        <v>20190304164526357</v>
      </c>
      <c r="B6005" t="str">
        <f>"1551689126346520"</f>
        <v>1551689126346520</v>
      </c>
      <c r="C6005" t="s">
        <v>40</v>
      </c>
      <c r="D6005">
        <v>5.1742759999999999</v>
      </c>
      <c r="E6005">
        <v>0.50380369999999997</v>
      </c>
      <c r="F6005" t="s">
        <v>42</v>
      </c>
      <c r="G6005">
        <v>-190.00919999999999</v>
      </c>
      <c r="H6005" s="1">
        <v>-3.3574260000000001E-6</v>
      </c>
      <c r="I6005">
        <v>-22.590330000000002</v>
      </c>
      <c r="J6005">
        <v>-190.0232</v>
      </c>
      <c r="K6005">
        <v>1.114649</v>
      </c>
      <c r="L6005">
        <v>-31.770320000000002</v>
      </c>
      <c r="M6005">
        <v>0.20572840000000001</v>
      </c>
      <c r="N6005">
        <v>-1.082968E-2</v>
      </c>
      <c r="O6005">
        <v>0.97854920000000001</v>
      </c>
      <c r="P6005">
        <v>4.8996119999999997E-2</v>
      </c>
      <c r="Q6005">
        <v>0.3678246</v>
      </c>
      <c r="R6005">
        <v>0.92860350000000003</v>
      </c>
      <c r="S6005">
        <v>2.7694699999999999E-2</v>
      </c>
      <c r="T6005">
        <v>-0.39747250000000001</v>
      </c>
      <c r="U6005">
        <v>3.3873289999999998</v>
      </c>
      <c r="V6005">
        <v>-0.14710870000000001</v>
      </c>
      <c r="W6005">
        <v>0.3762123</v>
      </c>
      <c r="X6005">
        <v>0.9147805</v>
      </c>
      <c r="Y6005">
        <v>-0.1976233</v>
      </c>
      <c r="Z6005">
        <v>-0.10090689999999999</v>
      </c>
      <c r="AA6005">
        <v>0.97507069999999996</v>
      </c>
      <c r="AB6005">
        <v>32</v>
      </c>
      <c r="AC6005">
        <v>1.4000000000009999E-2</v>
      </c>
      <c r="AD6005">
        <v>-1.1146523574259899</v>
      </c>
      <c r="AE6005">
        <v>9.1799900000000001</v>
      </c>
      <c r="AF6005">
        <v>-1.84775302818792</v>
      </c>
      <c r="AG6005">
        <v>-1.1146523574259899</v>
      </c>
      <c r="AH6005">
        <v>8.8559140677125008</v>
      </c>
      <c r="AI6005">
        <v>97.024123756322794</v>
      </c>
      <c r="AJ6005">
        <v>101.78546943118199</v>
      </c>
      <c r="AK6005">
        <v>9.1150345641583392</v>
      </c>
      <c r="AL6005">
        <v>67.9007401084083</v>
      </c>
      <c r="AM6005">
        <v>99.135696216514901</v>
      </c>
      <c r="AN6005">
        <v>1.00000001373361</v>
      </c>
    </row>
    <row r="6006" spans="1:40" x14ac:dyDescent="0.25">
      <c r="A6006" t="str">
        <f>"20190304164526379"</f>
        <v>20190304164526379</v>
      </c>
      <c r="B6006" t="str">
        <f>"1551689126375800"</f>
        <v>1551689126375800</v>
      </c>
      <c r="C6006" t="s">
        <v>40</v>
      </c>
      <c r="D6006">
        <v>5.176266</v>
      </c>
      <c r="E6006">
        <v>0.50452280000000005</v>
      </c>
      <c r="F6006" t="s">
        <v>42</v>
      </c>
      <c r="G6006">
        <v>-189.96350000000001</v>
      </c>
      <c r="H6006" s="1">
        <v>-3.5346309999999998E-6</v>
      </c>
      <c r="I6006">
        <v>-22.148910000000001</v>
      </c>
      <c r="J6006">
        <v>-189.96440000000001</v>
      </c>
      <c r="K6006">
        <v>1.1146370000000001</v>
      </c>
      <c r="L6006">
        <v>-31.467099999999999</v>
      </c>
      <c r="M6006">
        <v>0.20092479999999999</v>
      </c>
      <c r="N6006">
        <v>-1.0756409999999999E-2</v>
      </c>
      <c r="O6006">
        <v>0.97954759999999996</v>
      </c>
      <c r="P6006">
        <v>4.6678219999999999E-2</v>
      </c>
      <c r="Q6006">
        <v>0.36757200000000001</v>
      </c>
      <c r="R6006">
        <v>0.92882290000000001</v>
      </c>
      <c r="S6006">
        <v>2.1026610000000001E-2</v>
      </c>
      <c r="T6006">
        <v>-0.39214339999999998</v>
      </c>
      <c r="U6006">
        <v>3.3848880000000001</v>
      </c>
      <c r="V6006">
        <v>-0.14491760000000001</v>
      </c>
      <c r="W6006">
        <v>0.37591760000000002</v>
      </c>
      <c r="X6006">
        <v>0.91525129999999999</v>
      </c>
      <c r="Y6006">
        <v>-0.19473270000000001</v>
      </c>
      <c r="Z6006">
        <v>-9.9782129999999997E-2</v>
      </c>
      <c r="AA6006">
        <v>0.97576770000000002</v>
      </c>
      <c r="AB6006">
        <v>32</v>
      </c>
      <c r="AC6006">
        <v>9.0000000000145497E-4</v>
      </c>
      <c r="AD6006">
        <v>-1.114640534631</v>
      </c>
      <c r="AE6006">
        <v>9.3181899999999906</v>
      </c>
      <c r="AF6006">
        <v>-1.8450810621954401</v>
      </c>
      <c r="AG6006">
        <v>-1.114640534631</v>
      </c>
      <c r="AH6006">
        <v>8.9995459922748893</v>
      </c>
      <c r="AI6006">
        <v>96.917966974953899</v>
      </c>
      <c r="AJ6006">
        <v>101.58619013577101</v>
      </c>
      <c r="AK6006">
        <v>9.2541112871299394</v>
      </c>
      <c r="AL6006">
        <v>67.918963629398405</v>
      </c>
      <c r="AM6006">
        <v>98.997315078998099</v>
      </c>
      <c r="AN6006">
        <v>1.0000000474655999</v>
      </c>
    </row>
    <row r="6007" spans="1:40" x14ac:dyDescent="0.25">
      <c r="A6007" t="str">
        <f>"20190304164526404"</f>
        <v>20190304164526404</v>
      </c>
      <c r="B6007" t="str">
        <f>"1551689126396297"</f>
        <v>1551689126396297</v>
      </c>
      <c r="C6007" t="s">
        <v>40</v>
      </c>
      <c r="D6007">
        <v>5.1514739999999897</v>
      </c>
      <c r="E6007">
        <v>0.50482629999999995</v>
      </c>
      <c r="F6007" t="s">
        <v>42</v>
      </c>
      <c r="G6007">
        <v>-189.91460000000001</v>
      </c>
      <c r="H6007" s="1">
        <v>-3.720731E-6</v>
      </c>
      <c r="I6007">
        <v>-21.729430000000001</v>
      </c>
      <c r="J6007">
        <v>-189.89959999999999</v>
      </c>
      <c r="K6007">
        <v>1.114635</v>
      </c>
      <c r="L6007">
        <v>-31.123989999999999</v>
      </c>
      <c r="M6007">
        <v>0.19548769999999999</v>
      </c>
      <c r="N6007">
        <v>-1.066427E-2</v>
      </c>
      <c r="O6007">
        <v>0.98064819999999997</v>
      </c>
      <c r="P6007">
        <v>4.2984689999999999E-2</v>
      </c>
      <c r="Q6007">
        <v>0.36710110000000001</v>
      </c>
      <c r="R6007">
        <v>0.92918730000000005</v>
      </c>
      <c r="S6007">
        <v>1.7303470000000001E-2</v>
      </c>
      <c r="T6007">
        <v>-0.38715359999999999</v>
      </c>
      <c r="U6007">
        <v>3.3822329999999998</v>
      </c>
      <c r="V6007">
        <v>-0.143512</v>
      </c>
      <c r="W6007">
        <v>0.3753784</v>
      </c>
      <c r="X6007">
        <v>0.91569389999999995</v>
      </c>
      <c r="Y6007">
        <v>-0.19036500000000001</v>
      </c>
      <c r="Z6007">
        <v>-9.8803810000000006E-2</v>
      </c>
      <c r="AA6007">
        <v>0.97672870000000001</v>
      </c>
      <c r="AB6007">
        <v>32</v>
      </c>
      <c r="AC6007">
        <v>-1.5000000000014699E-2</v>
      </c>
      <c r="AD6007">
        <v>-1.114638720731</v>
      </c>
      <c r="AE6007">
        <v>9.3945600000000002</v>
      </c>
      <c r="AF6007">
        <v>-1.8256361455054</v>
      </c>
      <c r="AG6007">
        <v>-1.114638720731</v>
      </c>
      <c r="AH6007">
        <v>9.0824940210026703</v>
      </c>
      <c r="AI6007">
        <v>96.860695246775194</v>
      </c>
      <c r="AJ6007">
        <v>101.36534652118</v>
      </c>
      <c r="AK6007">
        <v>9.3309733926894207</v>
      </c>
      <c r="AL6007">
        <v>67.952297293917297</v>
      </c>
      <c r="AM6007">
        <v>98.907216389467706</v>
      </c>
      <c r="AN6007">
        <v>0.99999997791388395</v>
      </c>
    </row>
    <row r="6008" spans="1:40" x14ac:dyDescent="0.25">
      <c r="A6008" t="str">
        <f>"20190304164526425"</f>
        <v>20190304164526425</v>
      </c>
      <c r="B6008" t="str">
        <f>"1551689126415816"</f>
        <v>1551689126415816</v>
      </c>
      <c r="C6008" t="s">
        <v>40</v>
      </c>
      <c r="D6008">
        <v>5.1203390000000004</v>
      </c>
      <c r="E6008">
        <v>0.50509490000000001</v>
      </c>
      <c r="F6008" t="s">
        <v>42</v>
      </c>
      <c r="G6008">
        <v>-189.88740000000001</v>
      </c>
      <c r="H6008" s="1">
        <v>-3.8907090000000003E-6</v>
      </c>
      <c r="I6008">
        <v>-21.344449999999998</v>
      </c>
      <c r="J6008">
        <v>-189.84200000000001</v>
      </c>
      <c r="K6008">
        <v>1.114622</v>
      </c>
      <c r="L6008">
        <v>-30.809750000000001</v>
      </c>
      <c r="M6008">
        <v>0.19050929999999999</v>
      </c>
      <c r="N6008">
        <v>-1.057205E-2</v>
      </c>
      <c r="O6008">
        <v>0.98162850000000001</v>
      </c>
      <c r="P6008">
        <v>3.9178419999999999E-2</v>
      </c>
      <c r="Q6008">
        <v>0.3666548</v>
      </c>
      <c r="R6008">
        <v>0.92953180000000002</v>
      </c>
      <c r="S6008">
        <v>4.2419429999999998E-3</v>
      </c>
      <c r="T6008">
        <v>-0.3853142</v>
      </c>
      <c r="U6008">
        <v>3.380646</v>
      </c>
      <c r="V6008">
        <v>-0.14264879999999999</v>
      </c>
      <c r="W6008">
        <v>0.37485689999999999</v>
      </c>
      <c r="X6008">
        <v>0.91604240000000003</v>
      </c>
      <c r="Y6008">
        <v>-0.18915779999999999</v>
      </c>
      <c r="Z6008">
        <v>-9.8607570000000005E-2</v>
      </c>
      <c r="AA6008">
        <v>0.97698309999999999</v>
      </c>
      <c r="AB6008">
        <v>32</v>
      </c>
      <c r="AC6008">
        <v>-4.5400000000000697E-2</v>
      </c>
      <c r="AD6008">
        <v>-1.1146258907089901</v>
      </c>
      <c r="AE6008">
        <v>9.4652999999999992</v>
      </c>
      <c r="AF6008">
        <v>-1.82262268116346</v>
      </c>
      <c r="AG6008">
        <v>-1.1146258907089901</v>
      </c>
      <c r="AH6008">
        <v>9.1563079400737202</v>
      </c>
      <c r="AI6008">
        <v>96.808359225169298</v>
      </c>
      <c r="AJ6008">
        <v>101.257944082503</v>
      </c>
      <c r="AK6008">
        <v>9.4022507628539298</v>
      </c>
      <c r="AL6008">
        <v>67.984531966465099</v>
      </c>
      <c r="AM6008">
        <v>98.851177204176807</v>
      </c>
      <c r="AN6008">
        <v>1.0000000271084</v>
      </c>
    </row>
    <row r="6009" spans="1:40" x14ac:dyDescent="0.25">
      <c r="A6009" t="str">
        <f>"20190304164526447"</f>
        <v>20190304164526447</v>
      </c>
      <c r="B6009" t="str">
        <f>"1551689126436314"</f>
        <v>1551689126436314</v>
      </c>
      <c r="C6009" t="s">
        <v>40</v>
      </c>
      <c r="D6009">
        <v>5.1191879999999896</v>
      </c>
      <c r="E6009">
        <v>0.50549179999999905</v>
      </c>
      <c r="F6009" t="s">
        <v>42</v>
      </c>
      <c r="G6009">
        <v>-189.86510000000001</v>
      </c>
      <c r="H6009" s="1">
        <v>-4.038265E-6</v>
      </c>
      <c r="I6009">
        <v>-21.009689999999999</v>
      </c>
      <c r="J6009">
        <v>-189.78970000000001</v>
      </c>
      <c r="K6009">
        <v>1.1146149999999999</v>
      </c>
      <c r="L6009">
        <v>-30.516660000000002</v>
      </c>
      <c r="M6009">
        <v>0.1858668</v>
      </c>
      <c r="N6009">
        <v>-1.048115E-2</v>
      </c>
      <c r="O6009">
        <v>0.98251900000000003</v>
      </c>
      <c r="P6009">
        <v>3.5104410000000003E-2</v>
      </c>
      <c r="Q6009">
        <v>0.36713289999999998</v>
      </c>
      <c r="R6009">
        <v>0.9295059</v>
      </c>
      <c r="S6009">
        <v>-7.9650880000000004E-3</v>
      </c>
      <c r="T6009">
        <v>-0.38436100000000001</v>
      </c>
      <c r="U6009">
        <v>3.3793950000000001</v>
      </c>
      <c r="V6009">
        <v>-0.14230889999999999</v>
      </c>
      <c r="W6009">
        <v>0.37525120000000001</v>
      </c>
      <c r="X6009">
        <v>0.91593380000000002</v>
      </c>
      <c r="Y6009">
        <v>-0.18804689999999999</v>
      </c>
      <c r="Z6009">
        <v>-9.8629439999999999E-2</v>
      </c>
      <c r="AA6009">
        <v>0.97719529999999999</v>
      </c>
      <c r="AB6009">
        <v>32</v>
      </c>
      <c r="AC6009">
        <v>-7.5400000000001896E-2</v>
      </c>
      <c r="AD6009">
        <v>-1.1146190382650001</v>
      </c>
      <c r="AE6009">
        <v>9.5069700000000008</v>
      </c>
      <c r="AF6009">
        <v>-1.8162490964715801</v>
      </c>
      <c r="AG6009">
        <v>-1.1146190382650001</v>
      </c>
      <c r="AH6009">
        <v>9.2008128845746597</v>
      </c>
      <c r="AI6009">
        <v>96.777812403279597</v>
      </c>
      <c r="AJ6009">
        <v>101.166673412463</v>
      </c>
      <c r="AK6009">
        <v>9.4443683810963108</v>
      </c>
      <c r="AL6009">
        <v>67.960160762145705</v>
      </c>
      <c r="AM6009">
        <v>98.831450113282798</v>
      </c>
      <c r="AN6009">
        <v>1.0000000060515399</v>
      </c>
    </row>
    <row r="6010" spans="1:40" x14ac:dyDescent="0.25">
      <c r="A6010" t="str">
        <f>"20190304164526468"</f>
        <v>20190304164526468</v>
      </c>
      <c r="B6010" t="str">
        <f>"1551689126465593"</f>
        <v>1551689126465593</v>
      </c>
      <c r="C6010" t="s">
        <v>40</v>
      </c>
      <c r="D6010">
        <v>5.1107500000000003</v>
      </c>
      <c r="E6010">
        <v>0.50580130000000001</v>
      </c>
      <c r="F6010" t="s">
        <v>42</v>
      </c>
      <c r="G6010">
        <v>-189.8484</v>
      </c>
      <c r="H6010" s="1">
        <v>-4.2112399999999998E-6</v>
      </c>
      <c r="I6010">
        <v>-20.613399999999999</v>
      </c>
      <c r="J6010">
        <v>-189.7346</v>
      </c>
      <c r="K6010">
        <v>1.114611</v>
      </c>
      <c r="L6010">
        <v>-30.198550000000001</v>
      </c>
      <c r="M6010">
        <v>0.18082889999999999</v>
      </c>
      <c r="N6010">
        <v>-1.037798E-2</v>
      </c>
      <c r="O6010">
        <v>0.9834598</v>
      </c>
      <c r="P6010">
        <v>3.102243E-2</v>
      </c>
      <c r="Q6010">
        <v>0.36758420000000003</v>
      </c>
      <c r="R6010">
        <v>0.92947270000000004</v>
      </c>
      <c r="S6010">
        <v>-2.0004270000000001E-2</v>
      </c>
      <c r="T6010">
        <v>-0.38025009999999998</v>
      </c>
      <c r="U6010">
        <v>3.378479</v>
      </c>
      <c r="V6010">
        <v>-0.1416145</v>
      </c>
      <c r="W6010">
        <v>0.37561090000000003</v>
      </c>
      <c r="X6010">
        <v>0.91589399999999999</v>
      </c>
      <c r="Y6010">
        <v>-0.18650040000000001</v>
      </c>
      <c r="Z6010">
        <v>-9.7777199999999995E-2</v>
      </c>
      <c r="AA6010">
        <v>0.97757720000000004</v>
      </c>
      <c r="AB6010">
        <v>32</v>
      </c>
      <c r="AC6010">
        <v>-0.113799999999997</v>
      </c>
      <c r="AD6010">
        <v>-1.1146152112400001</v>
      </c>
      <c r="AE6010">
        <v>9.5851500000000005</v>
      </c>
      <c r="AF6010">
        <v>-1.8206729527424601</v>
      </c>
      <c r="AG6010">
        <v>-1.1146152112400001</v>
      </c>
      <c r="AH6010">
        <v>9.2810541188262405</v>
      </c>
      <c r="AI6010">
        <v>96.721280496817002</v>
      </c>
      <c r="AJ6010">
        <v>101.09882610069801</v>
      </c>
      <c r="AK6010">
        <v>9.5234018410732393</v>
      </c>
      <c r="AL6010">
        <v>67.937925180803504</v>
      </c>
      <c r="AM6010">
        <v>98.789407230792193</v>
      </c>
      <c r="AN6010">
        <v>1.0000000170225201</v>
      </c>
    </row>
    <row r="6011" spans="1:40" x14ac:dyDescent="0.25">
      <c r="A6011" t="str">
        <f>"20190304164526490"</f>
        <v>20190304164526490</v>
      </c>
      <c r="B6011" t="str">
        <f>"1551689126486089"</f>
        <v>1551689126486089</v>
      </c>
      <c r="C6011" t="s">
        <v>40</v>
      </c>
      <c r="D6011">
        <v>5.1107950000000004</v>
      </c>
      <c r="E6011">
        <v>0.50981880000000002</v>
      </c>
      <c r="F6011" t="s">
        <v>42</v>
      </c>
      <c r="G6011">
        <v>-189.83510000000001</v>
      </c>
      <c r="H6011" s="1">
        <v>-1.139445E-7</v>
      </c>
      <c r="I6011">
        <v>-20.169799999999999</v>
      </c>
      <c r="J6011">
        <v>-189.68119999999999</v>
      </c>
      <c r="K6011">
        <v>1.114606</v>
      </c>
      <c r="L6011">
        <v>-29.88147</v>
      </c>
      <c r="M6011">
        <v>0.17580760000000001</v>
      </c>
      <c r="N6011">
        <v>-1.0273890000000001E-2</v>
      </c>
      <c r="O6011">
        <v>0.98437090000000005</v>
      </c>
      <c r="P6011">
        <v>2.6781059999999999E-2</v>
      </c>
      <c r="Q6011">
        <v>0.36880380000000001</v>
      </c>
      <c r="R6011">
        <v>0.92912139999999999</v>
      </c>
      <c r="S6011">
        <v>-3.3843989999999997E-2</v>
      </c>
      <c r="T6011">
        <v>-0.37534699999999999</v>
      </c>
      <c r="U6011">
        <v>3.3771969999999998</v>
      </c>
      <c r="V6011">
        <v>-0.14105329999999999</v>
      </c>
      <c r="W6011">
        <v>0.3767336</v>
      </c>
      <c r="X6011">
        <v>0.91551939999999998</v>
      </c>
      <c r="Y6011">
        <v>-0.18549940000000001</v>
      </c>
      <c r="Z6011">
        <v>-9.6697710000000006E-2</v>
      </c>
      <c r="AA6011">
        <v>0.97787500000000005</v>
      </c>
      <c r="AB6011">
        <v>32</v>
      </c>
      <c r="AC6011">
        <v>-0.15390000000002099</v>
      </c>
      <c r="AD6011">
        <v>-1.1146061139445</v>
      </c>
      <c r="AE6011">
        <v>9.7116699999999998</v>
      </c>
      <c r="AF6011">
        <v>-1.8348159398304</v>
      </c>
      <c r="AG6011">
        <v>-1.1146061139445</v>
      </c>
      <c r="AH6011">
        <v>9.40942129450195</v>
      </c>
      <c r="AI6011">
        <v>96.631806832037</v>
      </c>
      <c r="AJ6011">
        <v>101.034084567279</v>
      </c>
      <c r="AK6011">
        <v>9.6512230012431601</v>
      </c>
      <c r="AL6011">
        <v>67.868499626975094</v>
      </c>
      <c r="AM6011">
        <v>98.758643425419606</v>
      </c>
      <c r="AN6011">
        <v>1.0000000052931</v>
      </c>
    </row>
    <row r="6012" spans="1:40" x14ac:dyDescent="0.25">
      <c r="A6012" t="str">
        <f>"20190304164526526"</f>
        <v>20190304164526526</v>
      </c>
      <c r="B6012" t="str">
        <f>"1551689126515783"</f>
        <v>1551689126515783</v>
      </c>
      <c r="C6012" t="s">
        <v>40</v>
      </c>
      <c r="D6012">
        <v>5.0907850000000003</v>
      </c>
      <c r="E6012">
        <v>0.51035329999999901</v>
      </c>
      <c r="F6012" t="s">
        <v>42</v>
      </c>
      <c r="G6012">
        <v>-189.72819999999999</v>
      </c>
      <c r="H6012" s="1">
        <v>-6.0127269999999898E-7</v>
      </c>
      <c r="I6012">
        <v>-19.078019999999999</v>
      </c>
      <c r="J6012">
        <v>-189.60130000000001</v>
      </c>
      <c r="K6012">
        <v>1.1146149999999999</v>
      </c>
      <c r="L6012">
        <v>-29.385590000000001</v>
      </c>
      <c r="M6012">
        <v>0.16796159999999999</v>
      </c>
      <c r="N6012">
        <v>-1.01111E-2</v>
      </c>
      <c r="O6012">
        <v>0.98574170000000005</v>
      </c>
      <c r="P6012">
        <v>2.1080729999999999E-2</v>
      </c>
      <c r="Q6012">
        <v>0.37104819999999999</v>
      </c>
      <c r="R6012">
        <v>0.92837429999999999</v>
      </c>
      <c r="S6012">
        <v>-1.4633180000000001E-2</v>
      </c>
      <c r="T6012">
        <v>-0.34739730000000002</v>
      </c>
      <c r="U6012">
        <v>3.3671880000000001</v>
      </c>
      <c r="V6012">
        <v>-0.13925760000000001</v>
      </c>
      <c r="W6012">
        <v>0.37883650000000002</v>
      </c>
      <c r="X6012">
        <v>0.91492640000000003</v>
      </c>
      <c r="Y6012">
        <v>-0.17212920000000001</v>
      </c>
      <c r="Z6012">
        <v>-8.9610040000000002E-2</v>
      </c>
      <c r="AA6012">
        <v>0.98099009999999998</v>
      </c>
      <c r="AB6012">
        <v>32</v>
      </c>
      <c r="AC6012">
        <v>-0.126899999999977</v>
      </c>
      <c r="AD6012">
        <v>-1.1146156012727</v>
      </c>
      <c r="AE6012">
        <v>10.30757</v>
      </c>
      <c r="AF6012">
        <v>-1.8350073728367899</v>
      </c>
      <c r="AG6012">
        <v>-1.1146156012727</v>
      </c>
      <c r="AH6012">
        <v>10.022625458217499</v>
      </c>
      <c r="AI6012">
        <v>96.242855060805994</v>
      </c>
      <c r="AJ6012">
        <v>100.375174357983</v>
      </c>
      <c r="AK6012">
        <v>10.250006881591601</v>
      </c>
      <c r="AL6012">
        <v>67.738369661136403</v>
      </c>
      <c r="AM6012">
        <v>98.654357738759003</v>
      </c>
      <c r="AN6012">
        <v>1.0000000451534801</v>
      </c>
    </row>
    <row r="6013" spans="1:40" x14ac:dyDescent="0.25">
      <c r="A6013" t="str">
        <f>"20190304164526547"</f>
        <v>20190304164526547</v>
      </c>
      <c r="B6013" t="str">
        <f>"1551689126536253"</f>
        <v>1551689126536253</v>
      </c>
      <c r="C6013" t="s">
        <v>40</v>
      </c>
      <c r="D6013">
        <v>5.0635029999999999</v>
      </c>
      <c r="E6013">
        <v>0.51063159999999996</v>
      </c>
      <c r="F6013" t="s">
        <v>42</v>
      </c>
      <c r="G6013">
        <v>-189.6987</v>
      </c>
      <c r="H6013" s="1">
        <v>-9.227686E-7</v>
      </c>
      <c r="I6013">
        <v>-18.340789999999998</v>
      </c>
      <c r="J6013">
        <v>-189.55189999999999</v>
      </c>
      <c r="K6013">
        <v>1.1146119999999999</v>
      </c>
      <c r="L6013">
        <v>-29.066770000000002</v>
      </c>
      <c r="M6013">
        <v>0.16292579999999901</v>
      </c>
      <c r="N6013">
        <v>-1.001019E-2</v>
      </c>
      <c r="O6013">
        <v>0.98658749999999995</v>
      </c>
      <c r="P6013">
        <v>1.8491250000000001E-2</v>
      </c>
      <c r="Q6013">
        <v>0.37183709999999998</v>
      </c>
      <c r="R6013">
        <v>0.92811379999999999</v>
      </c>
      <c r="S6013">
        <v>-2.972412E-2</v>
      </c>
      <c r="T6013">
        <v>-0.339889</v>
      </c>
      <c r="U6013">
        <v>3.3679809999999999</v>
      </c>
      <c r="V6013">
        <v>-0.13709299999999999</v>
      </c>
      <c r="W6013">
        <v>0.37955339999999999</v>
      </c>
      <c r="X6013">
        <v>0.9149562</v>
      </c>
      <c r="Y6013">
        <v>-0.1714986</v>
      </c>
      <c r="Z6013">
        <v>-8.7680460000000002E-2</v>
      </c>
      <c r="AA6013">
        <v>0.9812748</v>
      </c>
      <c r="AB6013">
        <v>33</v>
      </c>
      <c r="AC6013">
        <v>-0.146800000000013</v>
      </c>
      <c r="AD6013">
        <v>-1.1146129227685999</v>
      </c>
      <c r="AE6013">
        <v>10.72598</v>
      </c>
      <c r="AF6013">
        <v>-1.87225060382963</v>
      </c>
      <c r="AG6013">
        <v>-1.1146129227685999</v>
      </c>
      <c r="AH6013">
        <v>10.4459475285006</v>
      </c>
      <c r="AI6013">
        <v>95.995750431440896</v>
      </c>
      <c r="AJ6013">
        <v>100.161359301345</v>
      </c>
      <c r="AK6013">
        <v>10.6707780437666</v>
      </c>
      <c r="AL6013">
        <v>67.693979460277006</v>
      </c>
      <c r="AM6013">
        <v>98.521552549130703</v>
      </c>
      <c r="AN6013">
        <v>1.0000000610094899</v>
      </c>
    </row>
    <row r="6014" spans="1:40" x14ac:dyDescent="0.25">
      <c r="A6014" t="str">
        <f>"20190304164526571"</f>
        <v>20190304164526571</v>
      </c>
      <c r="B6014" t="str">
        <f>"1551689126566510"</f>
        <v>1551689126566510</v>
      </c>
      <c r="C6014" t="s">
        <v>40</v>
      </c>
      <c r="D6014">
        <v>5.1117049999999997</v>
      </c>
      <c r="E6014">
        <v>0.51112879999999905</v>
      </c>
      <c r="F6014" t="s">
        <v>42</v>
      </c>
      <c r="G6014">
        <v>-189.6737</v>
      </c>
      <c r="H6014" s="1">
        <v>-1.083434E-6</v>
      </c>
      <c r="I6014">
        <v>-17.97663</v>
      </c>
      <c r="J6014">
        <v>-189.5027</v>
      </c>
      <c r="K6014">
        <v>1.114603</v>
      </c>
      <c r="L6014">
        <v>-28.738250000000001</v>
      </c>
      <c r="M6014">
        <v>0.15775710000000001</v>
      </c>
      <c r="N6014">
        <v>-9.9104180000000007E-3</v>
      </c>
      <c r="O6014">
        <v>0.98742819999999998</v>
      </c>
      <c r="P6014">
        <v>1.5075389999999999E-2</v>
      </c>
      <c r="Q6014">
        <v>0.37239440000000001</v>
      </c>
      <c r="R6014">
        <v>0.9279522</v>
      </c>
      <c r="S6014">
        <v>-3.7002559999999997E-2</v>
      </c>
      <c r="T6014">
        <v>-0.33857500000000001</v>
      </c>
      <c r="U6014">
        <v>3.368744</v>
      </c>
      <c r="V6014">
        <v>-0.13563549999999999</v>
      </c>
      <c r="W6014">
        <v>0.3800347</v>
      </c>
      <c r="X6014">
        <v>0.91497360000000005</v>
      </c>
      <c r="Y6014">
        <v>-0.16846029999999901</v>
      </c>
      <c r="Z6014">
        <v>-8.753329E-2</v>
      </c>
      <c r="AA6014">
        <v>0.98181410000000002</v>
      </c>
      <c r="AB6014">
        <v>33</v>
      </c>
      <c r="AC6014">
        <v>-0.17099999999999199</v>
      </c>
      <c r="AD6014">
        <v>-1.1146040834340001</v>
      </c>
      <c r="AE6014">
        <v>10.761619999999899</v>
      </c>
      <c r="AF6014">
        <v>-1.84685729686017</v>
      </c>
      <c r="AG6014">
        <v>-1.1146040834340001</v>
      </c>
      <c r="AH6014">
        <v>10.4873993949717</v>
      </c>
      <c r="AI6014">
        <v>95.975373380504493</v>
      </c>
      <c r="AJ6014">
        <v>99.987525792746496</v>
      </c>
      <c r="AK6014">
        <v>10.706949621971001</v>
      </c>
      <c r="AL6014">
        <v>67.664168525706302</v>
      </c>
      <c r="AM6014">
        <v>98.432107226085293</v>
      </c>
      <c r="AN6014">
        <v>1.00000002538064</v>
      </c>
    </row>
    <row r="6015" spans="1:40" x14ac:dyDescent="0.25">
      <c r="A6015" t="str">
        <f>"20190304164526591"</f>
        <v>20190304164526591</v>
      </c>
      <c r="B6015" t="str">
        <f>"1551689126586029"</f>
        <v>1551689126586029</v>
      </c>
      <c r="C6015" t="s">
        <v>40</v>
      </c>
      <c r="D6015">
        <v>5.1423639999999997</v>
      </c>
      <c r="E6015">
        <v>0.511633</v>
      </c>
      <c r="F6015" t="s">
        <v>42</v>
      </c>
      <c r="G6015">
        <v>-189.64850000000001</v>
      </c>
      <c r="H6015" s="1">
        <v>-1.2623800000000001E-6</v>
      </c>
      <c r="I6015">
        <v>-17.569929999999999</v>
      </c>
      <c r="J6015">
        <v>-189.4599</v>
      </c>
      <c r="K6015">
        <v>1.1145849999999999</v>
      </c>
      <c r="L6015">
        <v>-28.442170000000001</v>
      </c>
      <c r="M6015">
        <v>0.153137299999999</v>
      </c>
      <c r="N6015">
        <v>-9.8248650000000003E-3</v>
      </c>
      <c r="O6015">
        <v>0.98815609999999998</v>
      </c>
      <c r="P6015">
        <v>1.1091459999999999E-2</v>
      </c>
      <c r="Q6015">
        <v>0.37357750000000001</v>
      </c>
      <c r="R6015">
        <v>0.92753269999999999</v>
      </c>
      <c r="S6015">
        <v>-4.397583E-2</v>
      </c>
      <c r="T6015">
        <v>-0.33618429999999999</v>
      </c>
      <c r="U6015">
        <v>3.3685610000000001</v>
      </c>
      <c r="V6015">
        <v>-0.1352141</v>
      </c>
      <c r="W6015">
        <v>0.38114229999999999</v>
      </c>
      <c r="X6015">
        <v>0.91457520000000003</v>
      </c>
      <c r="Y6015">
        <v>-0.16588620000000001</v>
      </c>
      <c r="Z6015">
        <v>-8.7069300000000002E-2</v>
      </c>
      <c r="AA6015">
        <v>0.98229359999999999</v>
      </c>
      <c r="AB6015">
        <v>33</v>
      </c>
      <c r="AC6015">
        <v>-0.18860000000000801</v>
      </c>
      <c r="AD6015">
        <v>-1.11458626237999</v>
      </c>
      <c r="AE6015">
        <v>10.87224</v>
      </c>
      <c r="AF6015">
        <v>-1.83215151586689</v>
      </c>
      <c r="AG6015">
        <v>-1.11458626237999</v>
      </c>
      <c r="AH6015">
        <v>10.6036976434553</v>
      </c>
      <c r="AI6015">
        <v>95.913507381312499</v>
      </c>
      <c r="AJ6015">
        <v>99.803016371142704</v>
      </c>
      <c r="AK6015">
        <v>10.818386452110101</v>
      </c>
      <c r="AL6015">
        <v>67.595543897035697</v>
      </c>
      <c r="AM6015">
        <v>98.409894305848496</v>
      </c>
      <c r="AN6015">
        <v>1.0000000510715601</v>
      </c>
    </row>
    <row r="6016" spans="1:40" x14ac:dyDescent="0.25">
      <c r="A6016" t="str">
        <f>"20190304164526616"</f>
        <v>20190304164526616</v>
      </c>
      <c r="B6016" t="str">
        <f>"1551689126606525"</f>
        <v>1551689126606525</v>
      </c>
      <c r="C6016" t="s">
        <v>40</v>
      </c>
      <c r="D6016">
        <v>5.0910869999999999</v>
      </c>
      <c r="E6016">
        <v>0.51194539999999999</v>
      </c>
      <c r="F6016" t="s">
        <v>42</v>
      </c>
      <c r="G6016">
        <v>-189.6317</v>
      </c>
      <c r="H6016" s="1">
        <v>-1.4210029999999999E-6</v>
      </c>
      <c r="I6016">
        <v>-17.207100000000001</v>
      </c>
      <c r="J6016">
        <v>-189.4118</v>
      </c>
      <c r="K6016">
        <v>1.114547</v>
      </c>
      <c r="L6016">
        <v>-28.098050000000001</v>
      </c>
      <c r="M6016">
        <v>0.1478392</v>
      </c>
      <c r="N6016">
        <v>-9.7275320000000005E-3</v>
      </c>
      <c r="O6016">
        <v>0.9889635</v>
      </c>
      <c r="P6016">
        <v>5.6049819999999997E-3</v>
      </c>
      <c r="Q6016">
        <v>0.3747298</v>
      </c>
      <c r="R6016">
        <v>0.92711710000000003</v>
      </c>
      <c r="S6016">
        <v>-5.1544189999999997E-2</v>
      </c>
      <c r="T6016">
        <v>-0.3342907</v>
      </c>
      <c r="U6016">
        <v>3.3696589999999902</v>
      </c>
      <c r="V6016">
        <v>-0.1356385</v>
      </c>
      <c r="W6016">
        <v>0.38220579999999998</v>
      </c>
      <c r="X6016">
        <v>0.91406829999999994</v>
      </c>
      <c r="Y6016">
        <v>-0.1628059</v>
      </c>
      <c r="Z6016">
        <v>-8.6736170000000001E-2</v>
      </c>
      <c r="AA6016">
        <v>0.98283830000000005</v>
      </c>
      <c r="AB6016">
        <v>33</v>
      </c>
      <c r="AC6016">
        <v>-0.21989999999999499</v>
      </c>
      <c r="AD6016">
        <v>-1.1145484210029999</v>
      </c>
      <c r="AE6016">
        <v>10.89095</v>
      </c>
      <c r="AF6016">
        <v>-1.8087340666377101</v>
      </c>
      <c r="AG6016">
        <v>-1.1145484210029999</v>
      </c>
      <c r="AH6016">
        <v>10.627495849612099</v>
      </c>
      <c r="AI6016">
        <v>95.902688535457898</v>
      </c>
      <c r="AJ6016">
        <v>99.658837859451197</v>
      </c>
      <c r="AK6016">
        <v>10.837776761868501</v>
      </c>
      <c r="AL6016">
        <v>67.5296171300011</v>
      </c>
      <c r="AM6016">
        <v>98.440522205502901</v>
      </c>
      <c r="AN6016">
        <v>0.99999996665038904</v>
      </c>
    </row>
    <row r="6017" spans="1:40" x14ac:dyDescent="0.25">
      <c r="A6017" t="str">
        <f>"20190304164526638"</f>
        <v>20190304164526638</v>
      </c>
      <c r="B6017" t="str">
        <f>"1551689126626045"</f>
        <v>1551689126626045</v>
      </c>
      <c r="C6017" t="s">
        <v>40</v>
      </c>
      <c r="D6017">
        <v>5.1208109999999998</v>
      </c>
      <c r="E6017">
        <v>0.51190469999999999</v>
      </c>
      <c r="F6017" t="s">
        <v>42</v>
      </c>
      <c r="G6017">
        <v>-189.63149999999999</v>
      </c>
      <c r="H6017" s="1">
        <v>-1.6220980000000001E-6</v>
      </c>
      <c r="I6017">
        <v>-16.73845</v>
      </c>
      <c r="J6017">
        <v>-189.36770000000001</v>
      </c>
      <c r="K6017">
        <v>1.1144799999999999</v>
      </c>
      <c r="L6017">
        <v>-27.77054</v>
      </c>
      <c r="M6017">
        <v>0.14289979999999999</v>
      </c>
      <c r="N6017">
        <v>-9.6349850000000004E-3</v>
      </c>
      <c r="O6017">
        <v>0.98969019999999996</v>
      </c>
      <c r="P6017">
        <v>1.4557319999999901E-4</v>
      </c>
      <c r="Q6017">
        <v>0.3750521</v>
      </c>
      <c r="R6017">
        <v>0.92700369999999999</v>
      </c>
      <c r="S6017">
        <v>-6.5170290000000006E-2</v>
      </c>
      <c r="T6017">
        <v>-0.33063540000000002</v>
      </c>
      <c r="U6017">
        <v>3.3698730000000001</v>
      </c>
      <c r="V6017">
        <v>-0.13639589999999999</v>
      </c>
      <c r="W6017">
        <v>0.38244899999999998</v>
      </c>
      <c r="X6017">
        <v>0.9138539</v>
      </c>
      <c r="Y6017">
        <v>-0.16185569999999999</v>
      </c>
      <c r="Z6017">
        <v>-8.5885030000000001E-2</v>
      </c>
      <c r="AA6017">
        <v>0.98307</v>
      </c>
      <c r="AB6017">
        <v>33</v>
      </c>
      <c r="AC6017">
        <v>-0.263799999999974</v>
      </c>
      <c r="AD6017">
        <v>-1.1144816220979901</v>
      </c>
      <c r="AE6017">
        <v>11.03209</v>
      </c>
      <c r="AF6017">
        <v>-1.8190951476419699</v>
      </c>
      <c r="AG6017">
        <v>-1.1144816220979901</v>
      </c>
      <c r="AH6017">
        <v>10.7712975013013</v>
      </c>
      <c r="AI6017">
        <v>95.825332803874204</v>
      </c>
      <c r="AJ6017">
        <v>99.585863712311806</v>
      </c>
      <c r="AK6017">
        <v>10.9805294181887</v>
      </c>
      <c r="AL6017">
        <v>67.514538264070794</v>
      </c>
      <c r="AM6017">
        <v>98.488931339763994</v>
      </c>
      <c r="AN6017">
        <v>1.0000000148415</v>
      </c>
    </row>
    <row r="6018" spans="1:40" x14ac:dyDescent="0.25">
      <c r="A6018" t="str">
        <f>"20190304164526660"</f>
        <v>20190304164526660</v>
      </c>
      <c r="B6018" t="str">
        <f>"1551689126656302"</f>
        <v>1551689126656302</v>
      </c>
      <c r="C6018" t="s">
        <v>40</v>
      </c>
      <c r="D6018">
        <v>5.1582429999999997</v>
      </c>
      <c r="E6018">
        <v>0.51154089999999997</v>
      </c>
      <c r="F6018" t="s">
        <v>42</v>
      </c>
      <c r="G6018">
        <v>-189.6388</v>
      </c>
      <c r="H6018" s="1">
        <v>-1.76707E-6</v>
      </c>
      <c r="I6018">
        <v>-16.397479999999899</v>
      </c>
      <c r="J6018">
        <v>-189.3263</v>
      </c>
      <c r="K6018">
        <v>1.114406</v>
      </c>
      <c r="L6018">
        <v>-27.451930000000001</v>
      </c>
      <c r="M6018">
        <v>0.138185</v>
      </c>
      <c r="N6018">
        <v>-9.5514250000000005E-3</v>
      </c>
      <c r="O6018">
        <v>0.99036040000000003</v>
      </c>
      <c r="P6018">
        <v>-4.9594770000000003E-3</v>
      </c>
      <c r="Q6018">
        <v>0.37406159999999999</v>
      </c>
      <c r="R6018">
        <v>0.92739059999999995</v>
      </c>
      <c r="S6018">
        <v>-8.0322270000000001E-2</v>
      </c>
      <c r="T6018">
        <v>-0.3302215</v>
      </c>
      <c r="U6018">
        <v>3.3698429999999999</v>
      </c>
      <c r="V6018">
        <v>-0.1370691</v>
      </c>
      <c r="W6018">
        <v>0.38139709999999899</v>
      </c>
      <c r="X6018">
        <v>0.91419269999999997</v>
      </c>
      <c r="Y6018">
        <v>-0.16157569999999999</v>
      </c>
      <c r="Z6018">
        <v>-8.5943459999999999E-2</v>
      </c>
      <c r="AA6018">
        <v>0.98311090000000001</v>
      </c>
      <c r="AB6018">
        <v>33</v>
      </c>
      <c r="AC6018">
        <v>-0.3125</v>
      </c>
      <c r="AD6018">
        <v>-1.1144077670700001</v>
      </c>
      <c r="AE6018">
        <v>11.054449999999999</v>
      </c>
      <c r="AF6018">
        <v>-1.8186625873272</v>
      </c>
      <c r="AG6018">
        <v>-1.1144077670700001</v>
      </c>
      <c r="AH6018">
        <v>10.795578066096599</v>
      </c>
      <c r="AI6018">
        <v>95.812335718909907</v>
      </c>
      <c r="AJ6018">
        <v>99.562470321495795</v>
      </c>
      <c r="AK6018">
        <v>11.0042693559834</v>
      </c>
      <c r="AL6018">
        <v>67.579750622310996</v>
      </c>
      <c r="AM6018">
        <v>98.527099856694804</v>
      </c>
      <c r="AN6018">
        <v>0.99999998939825396</v>
      </c>
    </row>
    <row r="6019" spans="1:40" x14ac:dyDescent="0.25">
      <c r="A6019" t="str">
        <f>"20190304164526680"</f>
        <v>20190304164526680</v>
      </c>
      <c r="B6019" t="str">
        <f>"1551689126675822"</f>
        <v>1551689126675822</v>
      </c>
      <c r="C6019" t="s">
        <v>40</v>
      </c>
      <c r="D6019">
        <v>5.1644990000000002</v>
      </c>
      <c r="E6019">
        <v>0.51163639999999999</v>
      </c>
      <c r="F6019" t="s">
        <v>42</v>
      </c>
      <c r="G6019">
        <v>-189.6575</v>
      </c>
      <c r="H6019" s="1">
        <v>-1.8796500000000001E-6</v>
      </c>
      <c r="I6019">
        <v>-16.127320000000001</v>
      </c>
      <c r="J6019">
        <v>-189.28870000000001</v>
      </c>
      <c r="K6019">
        <v>1.1143259999999999</v>
      </c>
      <c r="L6019">
        <v>-27.15259</v>
      </c>
      <c r="M6019">
        <v>0.1338568</v>
      </c>
      <c r="N6019">
        <v>-9.4804079999999992E-3</v>
      </c>
      <c r="O6019">
        <v>0.99095540000000004</v>
      </c>
      <c r="P6019">
        <v>-9.3099659999999994E-3</v>
      </c>
      <c r="Q6019">
        <v>0.3727492</v>
      </c>
      <c r="R6019">
        <v>0.92788539999999997</v>
      </c>
      <c r="S6019">
        <v>-9.8495479999999996E-2</v>
      </c>
      <c r="T6019">
        <v>-0.33143499999999998</v>
      </c>
      <c r="U6019">
        <v>3.368042</v>
      </c>
      <c r="V6019">
        <v>-0.13736209999999999</v>
      </c>
      <c r="W6019">
        <v>0.38004169999999998</v>
      </c>
      <c r="X6019">
        <v>0.914713</v>
      </c>
      <c r="Y6019">
        <v>-0.1625761</v>
      </c>
      <c r="Z6019">
        <v>-8.6482119999999996E-2</v>
      </c>
      <c r="AA6019">
        <v>0.98289870000000001</v>
      </c>
      <c r="AB6019">
        <v>33</v>
      </c>
      <c r="AC6019">
        <v>-0.36879999999999302</v>
      </c>
      <c r="AD6019">
        <v>-1.11432787965</v>
      </c>
      <c r="AE6019">
        <v>11.025270000000001</v>
      </c>
      <c r="AF6019">
        <v>-1.8227553205682201</v>
      </c>
      <c r="AG6019">
        <v>-1.11432787965</v>
      </c>
      <c r="AH6019">
        <v>10.766810213087799</v>
      </c>
      <c r="AI6019">
        <v>95.826555183890406</v>
      </c>
      <c r="AJ6019">
        <v>99.608720688393802</v>
      </c>
      <c r="AK6019">
        <v>10.9767192615406</v>
      </c>
      <c r="AL6019">
        <v>67.663733296397197</v>
      </c>
      <c r="AM6019">
        <v>98.540269807044993</v>
      </c>
      <c r="AN6019">
        <v>0.999999956312149</v>
      </c>
    </row>
    <row r="6020" spans="1:40" x14ac:dyDescent="0.25">
      <c r="A6020" t="str">
        <f>"20190304164526704"</f>
        <v>20190304164526704</v>
      </c>
      <c r="B6020" t="str">
        <f>"1551689126696317"</f>
        <v>1551689126696317</v>
      </c>
      <c r="C6020" t="s">
        <v>40</v>
      </c>
      <c r="D6020">
        <v>5.1986970000000001</v>
      </c>
      <c r="E6020">
        <v>0.51169430000000005</v>
      </c>
      <c r="F6020" t="s">
        <v>42</v>
      </c>
      <c r="G6020">
        <v>-189.65649999999999</v>
      </c>
      <c r="H6020" s="1">
        <v>-1.9277650000000001E-6</v>
      </c>
      <c r="I6020">
        <v>-16.01558</v>
      </c>
      <c r="J6020">
        <v>-189.24629999999999</v>
      </c>
      <c r="K6020">
        <v>1.1142259999999999</v>
      </c>
      <c r="L6020">
        <v>-26.80301</v>
      </c>
      <c r="M6020">
        <v>0.12895770000000001</v>
      </c>
      <c r="N6020">
        <v>-9.4024399999999998E-3</v>
      </c>
      <c r="O6020">
        <v>0.99160550000000003</v>
      </c>
      <c r="P6020">
        <v>-1.3857049999999999E-2</v>
      </c>
      <c r="Q6020">
        <v>0.3725792</v>
      </c>
      <c r="R6020">
        <v>0.92789690000000002</v>
      </c>
      <c r="S6020">
        <v>-0.1112061</v>
      </c>
      <c r="T6020">
        <v>-0.3369297</v>
      </c>
      <c r="U6020">
        <v>3.3674010000000001</v>
      </c>
      <c r="V6020">
        <v>-0.1372466</v>
      </c>
      <c r="W6020">
        <v>0.37983220000000001</v>
      </c>
      <c r="X6020">
        <v>0.9148174</v>
      </c>
      <c r="Y6020">
        <v>-0.16140660000000001</v>
      </c>
      <c r="Z6020">
        <v>-8.8253739999999997E-2</v>
      </c>
      <c r="AA6020">
        <v>0.98293399999999997</v>
      </c>
      <c r="AB6020">
        <v>33</v>
      </c>
      <c r="AC6020">
        <v>-0.41020000000000301</v>
      </c>
      <c r="AD6020">
        <v>-1.114227927765</v>
      </c>
      <c r="AE6020">
        <v>10.787429999999899</v>
      </c>
      <c r="AF6020">
        <v>-1.7790059463231001</v>
      </c>
      <c r="AG6020">
        <v>-1.114227927765</v>
      </c>
      <c r="AH6020">
        <v>10.532243935587299</v>
      </c>
      <c r="AI6020">
        <v>95.955239678510907</v>
      </c>
      <c r="AJ6020">
        <v>99.587360636830994</v>
      </c>
      <c r="AK6020">
        <v>10.7393914329807</v>
      </c>
      <c r="AL6020">
        <v>67.676710926350495</v>
      </c>
      <c r="AM6020">
        <v>98.532235055425303</v>
      </c>
      <c r="AN6020">
        <v>1.00000000235558</v>
      </c>
    </row>
    <row r="6021" spans="1:40" x14ac:dyDescent="0.25">
      <c r="A6021" t="str">
        <f>"20190304164526725"</f>
        <v>20190304164526725</v>
      </c>
      <c r="B6021" t="str">
        <f>"1551689126715838"</f>
        <v>1551689126715838</v>
      </c>
      <c r="C6021" t="s">
        <v>40</v>
      </c>
      <c r="D6021">
        <v>5.1247730000000002</v>
      </c>
      <c r="E6021">
        <v>0.51179410000000003</v>
      </c>
      <c r="F6021" t="s">
        <v>42</v>
      </c>
      <c r="G6021">
        <v>-189.6609</v>
      </c>
      <c r="H6021" s="1">
        <v>-2.0589229999999999E-6</v>
      </c>
      <c r="I6021">
        <v>-15.70801</v>
      </c>
      <c r="J6021">
        <v>-189.2088</v>
      </c>
      <c r="K6021">
        <v>1.114114</v>
      </c>
      <c r="L6021">
        <v>-26.482569999999999</v>
      </c>
      <c r="M6021">
        <v>0.124625</v>
      </c>
      <c r="N6021">
        <v>-9.3328760000000004E-3</v>
      </c>
      <c r="O6021">
        <v>0.99216000000000004</v>
      </c>
      <c r="P6021">
        <v>-1.7472600000000001E-2</v>
      </c>
      <c r="Q6021">
        <v>0.37330390000000002</v>
      </c>
      <c r="R6021">
        <v>0.92754449999999999</v>
      </c>
      <c r="S6021">
        <v>-0.12582399999999999</v>
      </c>
      <c r="T6021">
        <v>-0.33813520000000002</v>
      </c>
      <c r="U6021">
        <v>3.3670040000000001</v>
      </c>
      <c r="V6021">
        <v>-0.1366935</v>
      </c>
      <c r="W6021">
        <v>0.38052819999999998</v>
      </c>
      <c r="X6021">
        <v>0.91461099999999995</v>
      </c>
      <c r="Y6021">
        <v>-0.16136049999999999</v>
      </c>
      <c r="Z6021">
        <v>-8.8754719999999995E-2</v>
      </c>
      <c r="AA6021">
        <v>0.9828964</v>
      </c>
      <c r="AB6021">
        <v>33</v>
      </c>
      <c r="AC6021">
        <v>-0.452100000000001</v>
      </c>
      <c r="AD6021">
        <v>-1.1141160589229999</v>
      </c>
      <c r="AE6021">
        <v>10.774559999999999</v>
      </c>
      <c r="AF6021">
        <v>-1.77249480331896</v>
      </c>
      <c r="AG6021">
        <v>-1.1141160589229999</v>
      </c>
      <c r="AH6021">
        <v>10.5219046373468</v>
      </c>
      <c r="AI6021">
        <v>95.960894798113998</v>
      </c>
      <c r="AJ6021">
        <v>99.562132722706906</v>
      </c>
      <c r="AK6021">
        <v>10.728162453000101</v>
      </c>
      <c r="AL6021">
        <v>67.633596826032999</v>
      </c>
      <c r="AM6021">
        <v>98.500243279431004</v>
      </c>
      <c r="AN6021">
        <v>1.0000000526292401</v>
      </c>
    </row>
    <row r="6022" spans="1:40" x14ac:dyDescent="0.25">
      <c r="A6022" t="str">
        <f>"20190304164526748"</f>
        <v>20190304164526748</v>
      </c>
      <c r="B6022" t="str">
        <f>"1551689126736333"</f>
        <v>1551689126736333</v>
      </c>
      <c r="C6022" t="s">
        <v>40</v>
      </c>
      <c r="D6022">
        <v>5.2087519999999996</v>
      </c>
      <c r="E6022">
        <v>0.51149800000000001</v>
      </c>
      <c r="F6022" t="s">
        <v>42</v>
      </c>
      <c r="G6022">
        <v>-189.66669999999999</v>
      </c>
      <c r="H6022" s="1">
        <v>-2.23441E-6</v>
      </c>
      <c r="I6022">
        <v>-15.29654</v>
      </c>
      <c r="J6022">
        <v>-189.17269999999999</v>
      </c>
      <c r="K6022">
        <v>1.1140000000000001</v>
      </c>
      <c r="L6022">
        <v>-26.1629</v>
      </c>
      <c r="M6022">
        <v>0.1204634</v>
      </c>
      <c r="N6022">
        <v>-9.2690340000000006E-3</v>
      </c>
      <c r="O6022">
        <v>0.99267450000000002</v>
      </c>
      <c r="P6022">
        <v>-2.10464E-2</v>
      </c>
      <c r="Q6022">
        <v>0.3733571</v>
      </c>
      <c r="R6022">
        <v>0.92744890000000002</v>
      </c>
      <c r="S6022">
        <v>-0.13781740000000001</v>
      </c>
      <c r="T6022">
        <v>-0.33531929999999999</v>
      </c>
      <c r="U6022">
        <v>3.3666990000000001</v>
      </c>
      <c r="V6022">
        <v>-0.13627709999999901</v>
      </c>
      <c r="W6022">
        <v>0.38056210000000001</v>
      </c>
      <c r="X6022">
        <v>0.914659</v>
      </c>
      <c r="Y6022">
        <v>-0.1607259</v>
      </c>
      <c r="Z6022">
        <v>-8.8091139999999998E-2</v>
      </c>
      <c r="AA6022">
        <v>0.98306009999999999</v>
      </c>
      <c r="AB6022">
        <v>33</v>
      </c>
      <c r="AC6022">
        <v>-0.493999999999999</v>
      </c>
      <c r="AD6022">
        <v>-1.11400223441</v>
      </c>
      <c r="AE6022">
        <v>10.86636</v>
      </c>
      <c r="AF6022">
        <v>-1.78077972178707</v>
      </c>
      <c r="AG6022">
        <v>-1.11400223441</v>
      </c>
      <c r="AH6022">
        <v>10.6163622040217</v>
      </c>
      <c r="AI6022">
        <v>95.908325051616799</v>
      </c>
      <c r="AJ6022">
        <v>99.522100566357096</v>
      </c>
      <c r="AK6022">
        <v>10.8221681673674</v>
      </c>
      <c r="AL6022">
        <v>67.631495777624593</v>
      </c>
      <c r="AM6022">
        <v>98.474287868796097</v>
      </c>
      <c r="AN6022">
        <v>1.0000000231109001</v>
      </c>
    </row>
    <row r="6023" spans="1:40" x14ac:dyDescent="0.25">
      <c r="A6023" t="str">
        <f>"20190304164526769"</f>
        <v>20190304164526769</v>
      </c>
      <c r="B6023" t="str">
        <f>"1551689126766590"</f>
        <v>1551689126766590</v>
      </c>
      <c r="C6023" t="s">
        <v>40</v>
      </c>
      <c r="D6023">
        <v>5.2025300000000003</v>
      </c>
      <c r="E6023">
        <v>0.51191589999999998</v>
      </c>
      <c r="F6023" t="s">
        <v>42</v>
      </c>
      <c r="G6023">
        <v>-189.84360000000001</v>
      </c>
      <c r="H6023" s="1">
        <v>-4.22706E-8</v>
      </c>
      <c r="I6023">
        <v>-10.350009999999999</v>
      </c>
      <c r="J6023">
        <v>-189.13800000000001</v>
      </c>
      <c r="K6023">
        <v>1.11388</v>
      </c>
      <c r="L6023">
        <v>-25.84564</v>
      </c>
      <c r="M6023">
        <v>0.1164948</v>
      </c>
      <c r="N6023">
        <v>-9.2121010000000003E-3</v>
      </c>
      <c r="O6023">
        <v>0.99314860000000005</v>
      </c>
      <c r="P6023">
        <v>-2.463187E-2</v>
      </c>
      <c r="Q6023">
        <v>0.37303910000000001</v>
      </c>
      <c r="R6023">
        <v>0.9274886</v>
      </c>
      <c r="S6023">
        <v>-0.141098</v>
      </c>
      <c r="T6023">
        <v>-0.23429920000000001</v>
      </c>
      <c r="U6023">
        <v>3.325806</v>
      </c>
      <c r="V6023">
        <v>-0.13606009999999999</v>
      </c>
      <c r="W6023">
        <v>0.3802336</v>
      </c>
      <c r="X6023">
        <v>0.91482790000000003</v>
      </c>
      <c r="Y6023">
        <v>-0.15835689999999999</v>
      </c>
      <c r="Z6023">
        <v>-5.9867389999999999E-2</v>
      </c>
      <c r="AA6023">
        <v>0.98556529999999998</v>
      </c>
      <c r="AB6023">
        <v>33</v>
      </c>
      <c r="AC6023">
        <v>-0.705600000000004</v>
      </c>
      <c r="AD6023">
        <v>-1.1138800422705999</v>
      </c>
      <c r="AE6023">
        <v>15.495629999999901</v>
      </c>
      <c r="AF6023">
        <v>-2.4931760784474299</v>
      </c>
      <c r="AG6023">
        <v>-1.1138800422705999</v>
      </c>
      <c r="AH6023">
        <v>15.229382735481501</v>
      </c>
      <c r="AI6023">
        <v>94.128413898145098</v>
      </c>
      <c r="AJ6023">
        <v>99.297321693625904</v>
      </c>
      <c r="AK6023">
        <v>15.472257566706</v>
      </c>
      <c r="AL6023">
        <v>67.651847202591398</v>
      </c>
      <c r="AM6023">
        <v>98.459449858847094</v>
      </c>
      <c r="AN6023">
        <v>1.0000000139996801</v>
      </c>
    </row>
    <row r="6024" spans="1:40" x14ac:dyDescent="0.25">
      <c r="A6024" t="str">
        <f>"20190304164526794"</f>
        <v>20190304164526794</v>
      </c>
      <c r="B6024" t="str">
        <f>"1551689126786110"</f>
        <v>1551689126786110</v>
      </c>
      <c r="C6024" t="s">
        <v>40</v>
      </c>
      <c r="D6024">
        <v>5.1576170000000001</v>
      </c>
      <c r="E6024">
        <v>0.5122371</v>
      </c>
      <c r="F6024" t="s">
        <v>42</v>
      </c>
      <c r="G6024">
        <v>-189.86609999999999</v>
      </c>
      <c r="H6024" s="1">
        <v>-3.3507E-7</v>
      </c>
      <c r="I6024">
        <v>-9.6415410000000001</v>
      </c>
      <c r="J6024">
        <v>-189.09950000000001</v>
      </c>
      <c r="K6024">
        <v>1.1137490000000001</v>
      </c>
      <c r="L6024">
        <v>-25.481380000000001</v>
      </c>
      <c r="M6024">
        <v>0.1121233</v>
      </c>
      <c r="N6024">
        <v>-9.1486520000000002E-3</v>
      </c>
      <c r="O6024">
        <v>0.99365219999999999</v>
      </c>
      <c r="P6024">
        <v>-2.8856840000000002E-2</v>
      </c>
      <c r="Q6024">
        <v>0.37311349999999999</v>
      </c>
      <c r="R6024">
        <v>0.92733679999999996</v>
      </c>
      <c r="S6024">
        <v>-0.14927670000000001</v>
      </c>
      <c r="T6024">
        <v>-0.22838720000000001</v>
      </c>
      <c r="U6024">
        <v>3.3224490000000002</v>
      </c>
      <c r="V6024">
        <v>-0.13607179999999999</v>
      </c>
      <c r="W6024">
        <v>0.38029360000000001</v>
      </c>
      <c r="X6024">
        <v>0.91480119999999998</v>
      </c>
      <c r="Y6024">
        <v>-0.15648199999999901</v>
      </c>
      <c r="Z6024">
        <v>-5.8320589999999999E-2</v>
      </c>
      <c r="AA6024">
        <v>0.98595739999999998</v>
      </c>
      <c r="AB6024">
        <v>33</v>
      </c>
      <c r="AC6024">
        <v>-0.76659999999998196</v>
      </c>
      <c r="AD6024">
        <v>-1.1137493350699901</v>
      </c>
      <c r="AE6024">
        <v>15.8398389999999</v>
      </c>
      <c r="AF6024">
        <v>-2.5253987217549598</v>
      </c>
      <c r="AG6024">
        <v>-1.1137493350699901</v>
      </c>
      <c r="AH6024">
        <v>15.577159440365399</v>
      </c>
      <c r="AI6024">
        <v>94.037091599346198</v>
      </c>
      <c r="AJ6024">
        <v>99.208778913963698</v>
      </c>
      <c r="AK6024">
        <v>15.819796854440799</v>
      </c>
      <c r="AL6024">
        <v>67.648129811590593</v>
      </c>
      <c r="AM6024">
        <v>98.460410122296494</v>
      </c>
      <c r="AN6024">
        <v>0.99999999623881997</v>
      </c>
    </row>
    <row r="6025" spans="1:40" x14ac:dyDescent="0.25">
      <c r="A6025" t="str">
        <f>"20190304164526818"</f>
        <v>20190304164526818</v>
      </c>
      <c r="B6025" t="str">
        <f>"1551689126806606"</f>
        <v>1551689126806606</v>
      </c>
      <c r="C6025" t="s">
        <v>40</v>
      </c>
      <c r="D6025">
        <v>5.1931849999999997</v>
      </c>
      <c r="E6025">
        <v>0.5129435</v>
      </c>
      <c r="F6025" t="s">
        <v>42</v>
      </c>
      <c r="G6025">
        <v>-189.87270000000001</v>
      </c>
      <c r="H6025" s="1">
        <v>-4.1353929999999998E-7</v>
      </c>
      <c r="I6025">
        <v>-9.4558769999999992</v>
      </c>
      <c r="J6025">
        <v>-189.0643</v>
      </c>
      <c r="K6025">
        <v>1.1136219999999999</v>
      </c>
      <c r="L6025">
        <v>-25.134550000000001</v>
      </c>
      <c r="M6025">
        <v>0.108169</v>
      </c>
      <c r="N6025">
        <v>-9.0857590000000005E-3</v>
      </c>
      <c r="O6025">
        <v>0.99409099999999995</v>
      </c>
      <c r="P6025">
        <v>-3.1736140000000003E-2</v>
      </c>
      <c r="Q6025">
        <v>0.37294129999999998</v>
      </c>
      <c r="R6025">
        <v>0.92731209999999997</v>
      </c>
      <c r="S6025">
        <v>-0.1603241</v>
      </c>
      <c r="T6025">
        <v>-0.23094339999999999</v>
      </c>
      <c r="U6025">
        <v>3.3229980000000001</v>
      </c>
      <c r="V6025">
        <v>-0.13515679999999999</v>
      </c>
      <c r="W6025">
        <v>0.38011489999999998</v>
      </c>
      <c r="X6025">
        <v>0.91501109999999997</v>
      </c>
      <c r="Y6025">
        <v>-0.1558136</v>
      </c>
      <c r="Z6025">
        <v>-5.916747E-2</v>
      </c>
      <c r="AA6025">
        <v>0.98601280000000002</v>
      </c>
      <c r="AB6025">
        <v>33</v>
      </c>
      <c r="AC6025">
        <v>-0.808400000000006</v>
      </c>
      <c r="AD6025">
        <v>-1.11362241353929</v>
      </c>
      <c r="AE6025">
        <v>15.678673</v>
      </c>
      <c r="AF6025">
        <v>-2.4871583879915402</v>
      </c>
      <c r="AG6025">
        <v>-1.11362241353929</v>
      </c>
      <c r="AH6025">
        <v>15.421628513349001</v>
      </c>
      <c r="AI6025">
        <v>94.077747742826602</v>
      </c>
      <c r="AJ6025">
        <v>99.161619026125706</v>
      </c>
      <c r="AK6025">
        <v>15.660547172133899</v>
      </c>
      <c r="AL6025">
        <v>67.659200120118996</v>
      </c>
      <c r="AM6025">
        <v>98.402433848826703</v>
      </c>
      <c r="AN6025">
        <v>1.0000000054557201</v>
      </c>
    </row>
    <row r="6026" spans="1:40" x14ac:dyDescent="0.25">
      <c r="A6026" t="str">
        <f>"20190304164526839"</f>
        <v>20190304164526839</v>
      </c>
      <c r="B6026" t="str">
        <f>"1551689126835885"</f>
        <v>1551689126835885</v>
      </c>
      <c r="C6026" t="s">
        <v>40</v>
      </c>
      <c r="D6026">
        <v>5.2228009999999996</v>
      </c>
      <c r="E6026">
        <v>0.51334179999999996</v>
      </c>
      <c r="F6026" t="s">
        <v>42</v>
      </c>
      <c r="G6026">
        <v>-189.84829999999999</v>
      </c>
      <c r="H6026" s="1">
        <v>-4.7701520000000002E-7</v>
      </c>
      <c r="I6026">
        <v>-9.3179979999999993</v>
      </c>
      <c r="J6026">
        <v>-189.03190000000001</v>
      </c>
      <c r="K6026">
        <v>1.1134999999999999</v>
      </c>
      <c r="L6026">
        <v>-24.80444</v>
      </c>
      <c r="M6026">
        <v>0.1045563</v>
      </c>
      <c r="N6026">
        <v>-9.0301059999999995E-3</v>
      </c>
      <c r="O6026">
        <v>0.99447799999999997</v>
      </c>
      <c r="P6026">
        <v>-3.4383740000000003E-2</v>
      </c>
      <c r="Q6026">
        <v>0.3733957</v>
      </c>
      <c r="R6026">
        <v>0.92703469999999999</v>
      </c>
      <c r="S6026">
        <v>-0.16474910000000001</v>
      </c>
      <c r="T6026">
        <v>-0.234013</v>
      </c>
      <c r="U6026">
        <v>3.323639</v>
      </c>
      <c r="V6026">
        <v>-0.13431979999999999</v>
      </c>
      <c r="W6026">
        <v>0.3805616</v>
      </c>
      <c r="X6026">
        <v>0.9149486</v>
      </c>
      <c r="Y6026">
        <v>-0.1535223</v>
      </c>
      <c r="Z6026">
        <v>-6.0164469999999998E-2</v>
      </c>
      <c r="AA6026">
        <v>0.98631190000000002</v>
      </c>
      <c r="AB6026">
        <v>33</v>
      </c>
      <c r="AC6026">
        <v>-0.81639999999998702</v>
      </c>
      <c r="AD6026">
        <v>-1.1135004770151999</v>
      </c>
      <c r="AE6026">
        <v>15.486442</v>
      </c>
      <c r="AF6026">
        <v>-2.4187261885287499</v>
      </c>
      <c r="AG6026">
        <v>-1.1135004770151999</v>
      </c>
      <c r="AH6026">
        <v>15.237632280710701</v>
      </c>
      <c r="AI6026">
        <v>94.1279997199143</v>
      </c>
      <c r="AJ6026">
        <v>99.019521948775903</v>
      </c>
      <c r="AK6026">
        <v>15.4685344234528</v>
      </c>
      <c r="AL6026">
        <v>67.631524805207405</v>
      </c>
      <c r="AM6026">
        <v>98.3516976902756</v>
      </c>
      <c r="AN6026">
        <v>0.99999994035427797</v>
      </c>
    </row>
    <row r="6027" spans="1:40" x14ac:dyDescent="0.25">
      <c r="A6027" t="str">
        <f>"20190304164526860"</f>
        <v>20190304164526860</v>
      </c>
      <c r="B6027" t="str">
        <f>"1551689126856382"</f>
        <v>1551689126856382</v>
      </c>
      <c r="C6027" t="s">
        <v>40</v>
      </c>
      <c r="D6027">
        <v>5.177403</v>
      </c>
      <c r="E6027">
        <v>0.51946539999999997</v>
      </c>
      <c r="F6027" t="s">
        <v>42</v>
      </c>
      <c r="G6027">
        <v>-189.84030000000001</v>
      </c>
      <c r="H6027" s="1">
        <v>-6.3936849999999899E-7</v>
      </c>
      <c r="I6027">
        <v>-8.9428539999999899</v>
      </c>
      <c r="J6027">
        <v>-189.00319999999999</v>
      </c>
      <c r="K6027">
        <v>1.1134029999999999</v>
      </c>
      <c r="L6027">
        <v>-24.501950000000001</v>
      </c>
      <c r="M6027">
        <v>0.1013495</v>
      </c>
      <c r="N6027">
        <v>-8.9813919999999995E-3</v>
      </c>
      <c r="O6027">
        <v>0.99481030000000004</v>
      </c>
      <c r="P6027">
        <v>-3.6217249999999999E-2</v>
      </c>
      <c r="Q6027">
        <v>0.37365910000000002</v>
      </c>
      <c r="R6027">
        <v>0.92685879999999998</v>
      </c>
      <c r="S6027">
        <v>-0.1694031</v>
      </c>
      <c r="T6027">
        <v>-0.23333590000000001</v>
      </c>
      <c r="U6027">
        <v>3.3238219999999998</v>
      </c>
      <c r="V6027">
        <v>-0.13308020000000001</v>
      </c>
      <c r="W6027">
        <v>0.38082050000000001</v>
      </c>
      <c r="X6027">
        <v>0.91502209999999995</v>
      </c>
      <c r="Y6027">
        <v>-0.15171270000000001</v>
      </c>
      <c r="Z6027">
        <v>-6.0052380000000002E-2</v>
      </c>
      <c r="AA6027">
        <v>0.98659870000000005</v>
      </c>
      <c r="AB6027">
        <v>33</v>
      </c>
      <c r="AC6027">
        <v>-0.83710000000002005</v>
      </c>
      <c r="AD6027">
        <v>-1.1134036393685001</v>
      </c>
      <c r="AE6027">
        <v>15.559096</v>
      </c>
      <c r="AF6027">
        <v>-2.3975178541779898</v>
      </c>
      <c r="AG6027">
        <v>-1.1134036393685001</v>
      </c>
      <c r="AH6027">
        <v>15.3159276032561</v>
      </c>
      <c r="AI6027">
        <v>94.107996452648706</v>
      </c>
      <c r="AJ6027">
        <v>98.896741460681298</v>
      </c>
      <c r="AK6027">
        <v>15.542374267577101</v>
      </c>
      <c r="AL6027">
        <v>67.615484853115206</v>
      </c>
      <c r="AM6027">
        <v>98.275039034972394</v>
      </c>
      <c r="AN6027">
        <v>1.0000000181703499</v>
      </c>
    </row>
    <row r="6028" spans="1:40" x14ac:dyDescent="0.25">
      <c r="A6028" t="str">
        <f>"20190304164526882"</f>
        <v>20190304164526882</v>
      </c>
      <c r="B6028" t="str">
        <f>"1551689126875902"</f>
        <v>1551689126875902</v>
      </c>
      <c r="C6028" t="s">
        <v>40</v>
      </c>
      <c r="D6028">
        <v>5.1895490000000004</v>
      </c>
      <c r="E6028">
        <v>0.51979179999999903</v>
      </c>
      <c r="F6028" t="s">
        <v>42</v>
      </c>
      <c r="G6028">
        <v>-189.43709999999999</v>
      </c>
      <c r="H6028" s="1">
        <v>-2.7545219999999998E-6</v>
      </c>
      <c r="I6028">
        <v>-14.1791</v>
      </c>
      <c r="J6028">
        <v>-188.9726</v>
      </c>
      <c r="K6028">
        <v>1.113305</v>
      </c>
      <c r="L6028">
        <v>-24.169129999999999</v>
      </c>
      <c r="M6028">
        <v>9.7927189999999997E-2</v>
      </c>
      <c r="N6028">
        <v>-8.9234799999999993E-3</v>
      </c>
      <c r="O6028">
        <v>0.99515350000000002</v>
      </c>
      <c r="P6028">
        <v>-3.7583190000000002E-2</v>
      </c>
      <c r="Q6028">
        <v>0.37446469999999998</v>
      </c>
      <c r="R6028">
        <v>0.92647919999999995</v>
      </c>
      <c r="S6028">
        <v>-0.14201349999999999</v>
      </c>
      <c r="T6028">
        <v>-0.36435430000000002</v>
      </c>
      <c r="U6028">
        <v>3.378082</v>
      </c>
      <c r="V6028">
        <v>-0.13116420000000001</v>
      </c>
      <c r="W6028">
        <v>0.38161620000000002</v>
      </c>
      <c r="X6028">
        <v>0.91496719999999998</v>
      </c>
      <c r="Y6028">
        <v>-0.13937099999999999</v>
      </c>
      <c r="Z6028">
        <v>-9.6999500000000002E-2</v>
      </c>
      <c r="AA6028">
        <v>0.98547799999999997</v>
      </c>
      <c r="AB6028">
        <v>34</v>
      </c>
      <c r="AC6028">
        <v>-0.46449999999998598</v>
      </c>
      <c r="AD6028">
        <v>-1.113307754522</v>
      </c>
      <c r="AE6028">
        <v>9.9900300000000009</v>
      </c>
      <c r="AF6028">
        <v>-1.4229677013822699</v>
      </c>
      <c r="AG6028">
        <v>-1.113307754522</v>
      </c>
      <c r="AH6028">
        <v>9.7753794965756793</v>
      </c>
      <c r="AI6028">
        <v>96.4301684744471</v>
      </c>
      <c r="AJ6028">
        <v>98.282173901089493</v>
      </c>
      <c r="AK6028">
        <v>9.9409423867925195</v>
      </c>
      <c r="AL6028">
        <v>67.566169600281597</v>
      </c>
      <c r="AM6028">
        <v>98.157998382240393</v>
      </c>
      <c r="AN6028">
        <v>0.99999997426995901</v>
      </c>
    </row>
    <row r="6029" spans="1:40" x14ac:dyDescent="0.25">
      <c r="A6029" t="str">
        <f>"20190304164526904"</f>
        <v>20190304164526904</v>
      </c>
      <c r="B6029" t="str">
        <f>"1551689126896399"</f>
        <v>1551689126896399</v>
      </c>
      <c r="C6029" t="s">
        <v>40</v>
      </c>
      <c r="D6029">
        <v>5.1787239999999999</v>
      </c>
      <c r="E6029">
        <v>0.52005699999999999</v>
      </c>
      <c r="F6029" t="s">
        <v>42</v>
      </c>
      <c r="G6029">
        <v>-189.417</v>
      </c>
      <c r="H6029" s="1">
        <v>-2.918827E-6</v>
      </c>
      <c r="I6029">
        <v>-13.804429999999901</v>
      </c>
      <c r="J6029">
        <v>-188.9435</v>
      </c>
      <c r="K6029">
        <v>1.1132200000000001</v>
      </c>
      <c r="L6029">
        <v>-23.841709999999999</v>
      </c>
      <c r="M6029">
        <v>9.4659549999999995E-2</v>
      </c>
      <c r="N6029">
        <v>-8.8660760000000005E-3</v>
      </c>
      <c r="O6029">
        <v>0.99547019999999997</v>
      </c>
      <c r="P6029">
        <v>-3.8222289999999999E-2</v>
      </c>
      <c r="Q6029">
        <v>0.374504</v>
      </c>
      <c r="R6029">
        <v>0.92643719999999996</v>
      </c>
      <c r="S6029">
        <v>-0.14486689999999999</v>
      </c>
      <c r="T6029">
        <v>-0.3629365</v>
      </c>
      <c r="U6029">
        <v>3.378876</v>
      </c>
      <c r="V6029">
        <v>-0.1287045</v>
      </c>
      <c r="W6029">
        <v>0.38165100000000002</v>
      </c>
      <c r="X6029">
        <v>0.91530199999999995</v>
      </c>
      <c r="Y6029">
        <v>-0.13694419999999999</v>
      </c>
      <c r="Z6029">
        <v>-9.6691579999999999E-2</v>
      </c>
      <c r="AA6029">
        <v>0.98584839999999996</v>
      </c>
      <c r="AB6029">
        <v>34</v>
      </c>
      <c r="AC6029">
        <v>-0.47350000000000098</v>
      </c>
      <c r="AD6029">
        <v>-1.113222918827</v>
      </c>
      <c r="AE6029">
        <v>10.037280000000001</v>
      </c>
      <c r="AF6029">
        <v>-1.40429984174814</v>
      </c>
      <c r="AG6029">
        <v>-1.113222918827</v>
      </c>
      <c r="AH6029">
        <v>9.8267745590130993</v>
      </c>
      <c r="AI6029">
        <v>96.398719578848699</v>
      </c>
      <c r="AJ6029">
        <v>98.132815925764106</v>
      </c>
      <c r="AK6029">
        <v>9.9888348442750097</v>
      </c>
      <c r="AL6029">
        <v>67.564014057571498</v>
      </c>
      <c r="AM6029">
        <v>98.004124609721799</v>
      </c>
      <c r="AN6029">
        <v>1.0000000426626201</v>
      </c>
    </row>
    <row r="6030" spans="1:40" x14ac:dyDescent="0.25">
      <c r="A6030" t="str">
        <f>"20190304164526927"</f>
        <v>20190304164526927</v>
      </c>
      <c r="B6030" t="str">
        <f>"1551689126915918"</f>
        <v>1551689126915918</v>
      </c>
      <c r="C6030" t="s">
        <v>40</v>
      </c>
      <c r="D6030">
        <v>5.1850399999999999</v>
      </c>
      <c r="E6030">
        <v>0.52027509999999999</v>
      </c>
      <c r="F6030" t="s">
        <v>42</v>
      </c>
      <c r="G6030">
        <v>-189.39349999999999</v>
      </c>
      <c r="H6030" s="1">
        <v>-3.0660080000000002E-6</v>
      </c>
      <c r="I6030">
        <v>-13.47105</v>
      </c>
      <c r="J6030">
        <v>-188.9144</v>
      </c>
      <c r="K6030">
        <v>1.113132</v>
      </c>
      <c r="L6030">
        <v>-23.502109999999998</v>
      </c>
      <c r="M6030">
        <v>9.1364669999999995E-2</v>
      </c>
      <c r="N6030">
        <v>-8.8075959999999991E-3</v>
      </c>
      <c r="O6030">
        <v>0.99577859999999996</v>
      </c>
      <c r="P6030">
        <v>-3.9040600000000002E-2</v>
      </c>
      <c r="Q6030">
        <v>0.37492049999999999</v>
      </c>
      <c r="R6030">
        <v>0.92623449999999996</v>
      </c>
      <c r="S6030">
        <v>-0.1466064</v>
      </c>
      <c r="T6030">
        <v>-0.36269059999999997</v>
      </c>
      <c r="U6030">
        <v>3.378784</v>
      </c>
      <c r="V6030">
        <v>-0.12638669999999999</v>
      </c>
      <c r="W6030">
        <v>0.38205729999999999</v>
      </c>
      <c r="X6030">
        <v>0.91545540000000003</v>
      </c>
      <c r="Y6030">
        <v>-0.1341753</v>
      </c>
      <c r="Z6030">
        <v>-9.6750639999999999E-2</v>
      </c>
      <c r="AA6030">
        <v>0.98622319999999997</v>
      </c>
      <c r="AB6030">
        <v>34</v>
      </c>
      <c r="AC6030">
        <v>-0.47909999999998798</v>
      </c>
      <c r="AD6030">
        <v>-1.1131350660079999</v>
      </c>
      <c r="AE6030">
        <v>10.03106</v>
      </c>
      <c r="AF6030">
        <v>-1.37670176614978</v>
      </c>
      <c r="AG6030">
        <v>-1.1131350660079999</v>
      </c>
      <c r="AH6030">
        <v>9.8246214917258108</v>
      </c>
      <c r="AI6030">
        <v>96.402055612460302</v>
      </c>
      <c r="AJ6030">
        <v>97.976787165403493</v>
      </c>
      <c r="AK6030">
        <v>9.9828635613123193</v>
      </c>
      <c r="AL6030">
        <v>67.538824713828902</v>
      </c>
      <c r="AM6030">
        <v>97.860498530114995</v>
      </c>
      <c r="AN6030">
        <v>0.99999998390466904</v>
      </c>
    </row>
    <row r="6031" spans="1:40" x14ac:dyDescent="0.25">
      <c r="A6031" t="str">
        <f>"20190304164526949"</f>
        <v>20190304164526949</v>
      </c>
      <c r="B6031" t="str">
        <f>"1551689126936413"</f>
        <v>1551689126936413</v>
      </c>
      <c r="C6031" t="s">
        <v>40</v>
      </c>
      <c r="D6031">
        <v>5.2111539999999996</v>
      </c>
      <c r="E6031">
        <v>0.52050399999999997</v>
      </c>
      <c r="F6031" t="s">
        <v>42</v>
      </c>
      <c r="G6031">
        <v>-189.36940000000001</v>
      </c>
      <c r="H6031" s="1">
        <v>-3.2137350000000002E-6</v>
      </c>
      <c r="I6031">
        <v>-13.13664</v>
      </c>
      <c r="J6031">
        <v>-188.88740000000001</v>
      </c>
      <c r="K6031">
        <v>1.113043</v>
      </c>
      <c r="L6031">
        <v>-23.176120000000001</v>
      </c>
      <c r="M6031">
        <v>8.8288240000000004E-2</v>
      </c>
      <c r="N6031">
        <v>-8.7553839999999997E-3</v>
      </c>
      <c r="O6031">
        <v>0.99605650000000001</v>
      </c>
      <c r="P6031">
        <v>-4.002261E-2</v>
      </c>
      <c r="Q6031">
        <v>0.37520330000000002</v>
      </c>
      <c r="R6031">
        <v>0.92607810000000002</v>
      </c>
      <c r="S6031">
        <v>-0.1483612</v>
      </c>
      <c r="T6031">
        <v>-0.362929</v>
      </c>
      <c r="U6031">
        <v>3.379578</v>
      </c>
      <c r="V6031">
        <v>-0.1244422</v>
      </c>
      <c r="W6031">
        <v>0.38233099999999998</v>
      </c>
      <c r="X6031">
        <v>0.91560759999999997</v>
      </c>
      <c r="Y6031">
        <v>-0.13161619999999999</v>
      </c>
      <c r="Z6031">
        <v>-9.6908759999999997E-2</v>
      </c>
      <c r="AA6031">
        <v>0.98655250000000005</v>
      </c>
      <c r="AB6031">
        <v>34</v>
      </c>
      <c r="AC6031">
        <v>-0.48199999999999898</v>
      </c>
      <c r="AD6031">
        <v>-1.1130462137349999</v>
      </c>
      <c r="AE6031">
        <v>10.039479999999999</v>
      </c>
      <c r="AF6031">
        <v>-1.3499647189536199</v>
      </c>
      <c r="AG6031">
        <v>-1.1130462137349999</v>
      </c>
      <c r="AH6031">
        <v>9.8370817739564096</v>
      </c>
      <c r="AI6031">
        <v>96.396005860302296</v>
      </c>
      <c r="AJ6031">
        <v>97.814018842842003</v>
      </c>
      <c r="AK6031">
        <v>9.9914690833648105</v>
      </c>
      <c r="AL6031">
        <v>67.521856460740395</v>
      </c>
      <c r="AM6031">
        <v>97.739768617257496</v>
      </c>
      <c r="AN6031">
        <v>1.0000000659397901</v>
      </c>
    </row>
    <row r="6032" spans="1:40" x14ac:dyDescent="0.25">
      <c r="A6032" t="str">
        <f>"20190304164526971"</f>
        <v>20190304164526971</v>
      </c>
      <c r="B6032" t="str">
        <f>"1551689126965694"</f>
        <v>1551689126965694</v>
      </c>
      <c r="C6032" t="s">
        <v>40</v>
      </c>
      <c r="D6032">
        <v>5.2964710000000004</v>
      </c>
      <c r="E6032">
        <v>0.52227879999999904</v>
      </c>
      <c r="F6032" t="s">
        <v>42</v>
      </c>
      <c r="G6032">
        <v>-189.346</v>
      </c>
      <c r="H6032" s="1">
        <v>-3.3597179999999999E-6</v>
      </c>
      <c r="I6032">
        <v>-12.80603</v>
      </c>
      <c r="J6032">
        <v>-188.85980000000001</v>
      </c>
      <c r="K6032">
        <v>1.1129450000000001</v>
      </c>
      <c r="L6032">
        <v>-22.829650000000001</v>
      </c>
      <c r="M6032">
        <v>8.5114620000000002E-2</v>
      </c>
      <c r="N6032">
        <v>-8.7005729999999996E-3</v>
      </c>
      <c r="O6032">
        <v>0.99633320000000003</v>
      </c>
      <c r="P6032">
        <v>-4.1283229999999997E-2</v>
      </c>
      <c r="Q6032">
        <v>0.3753938</v>
      </c>
      <c r="R6032">
        <v>0.92594549999999998</v>
      </c>
      <c r="S6032">
        <v>-0.1494751</v>
      </c>
      <c r="T6032">
        <v>-0.36278070000000001</v>
      </c>
      <c r="U6032">
        <v>3.3799739999999998</v>
      </c>
      <c r="V6032">
        <v>-0.12268</v>
      </c>
      <c r="W6032">
        <v>0.38251079999999998</v>
      </c>
      <c r="X6032">
        <v>0.91577019999999998</v>
      </c>
      <c r="Y6032">
        <v>-0.128779</v>
      </c>
      <c r="Z6032">
        <v>-9.6972199999999995E-2</v>
      </c>
      <c r="AA6032">
        <v>0.98692069999999998</v>
      </c>
      <c r="AB6032">
        <v>34</v>
      </c>
      <c r="AC6032">
        <v>-0.48619999999996799</v>
      </c>
      <c r="AD6032">
        <v>-1.1129483597180001</v>
      </c>
      <c r="AE6032">
        <v>10.023619999999999</v>
      </c>
      <c r="AF6032">
        <v>-1.32137245924608</v>
      </c>
      <c r="AG6032">
        <v>-1.1129483597180001</v>
      </c>
      <c r="AH6032">
        <v>9.8250180987073907</v>
      </c>
      <c r="AI6032">
        <v>96.405558532595606</v>
      </c>
      <c r="AJ6032">
        <v>97.659781082232797</v>
      </c>
      <c r="AK6032">
        <v>9.9757535989709005</v>
      </c>
      <c r="AL6032">
        <v>67.510705092858203</v>
      </c>
      <c r="AM6032">
        <v>97.630129104258003</v>
      </c>
      <c r="AN6032">
        <v>0.99999997686233899</v>
      </c>
    </row>
    <row r="6033" spans="1:40" x14ac:dyDescent="0.25">
      <c r="A6033" t="str">
        <f>"20190304164526994"</f>
        <v>20190304164526994</v>
      </c>
      <c r="B6033" t="str">
        <f>"1551689126986190"</f>
        <v>1551689126986190</v>
      </c>
      <c r="C6033" t="s">
        <v>40</v>
      </c>
      <c r="D6033">
        <v>5.2633199999999896</v>
      </c>
      <c r="E6033">
        <v>0.5243061</v>
      </c>
      <c r="F6033" t="s">
        <v>42</v>
      </c>
      <c r="G6033">
        <v>-189.28229999999999</v>
      </c>
      <c r="H6033" s="1">
        <v>-3.438671E-6</v>
      </c>
      <c r="I6033">
        <v>-12.648339999999999</v>
      </c>
      <c r="J6033">
        <v>-188.8329</v>
      </c>
      <c r="K6033">
        <v>1.1128389999999999</v>
      </c>
      <c r="L6033">
        <v>-22.480830000000001</v>
      </c>
      <c r="M6033">
        <v>8.2035769999999994E-2</v>
      </c>
      <c r="N6033">
        <v>-8.6466970000000001E-3</v>
      </c>
      <c r="O6033">
        <v>0.99659189999999998</v>
      </c>
      <c r="P6033">
        <v>-4.2802569999999998E-2</v>
      </c>
      <c r="Q6033">
        <v>0.37513410000000003</v>
      </c>
      <c r="R6033">
        <v>0.92598179999999997</v>
      </c>
      <c r="S6033">
        <v>-0.14042660000000001</v>
      </c>
      <c r="T6033">
        <v>-0.36987170000000003</v>
      </c>
      <c r="U6033">
        <v>3.3836059999999999</v>
      </c>
      <c r="V6033">
        <v>-0.1212684</v>
      </c>
      <c r="W6033">
        <v>0.38224059999999999</v>
      </c>
      <c r="X6033">
        <v>0.91607099999999997</v>
      </c>
      <c r="Y6033">
        <v>-0.1230257</v>
      </c>
      <c r="Z6033">
        <v>-9.9043740000000005E-2</v>
      </c>
      <c r="AA6033">
        <v>0.98744880000000002</v>
      </c>
      <c r="AB6033">
        <v>34</v>
      </c>
      <c r="AC6033">
        <v>-0.44939999999999702</v>
      </c>
      <c r="AD6033">
        <v>-1.1128424386710001</v>
      </c>
      <c r="AE6033">
        <v>9.8324899999999893</v>
      </c>
      <c r="AF6033">
        <v>-1.2386968492156301</v>
      </c>
      <c r="AG6033">
        <v>-1.1128424386710001</v>
      </c>
      <c r="AH6033">
        <v>9.6392587374411303</v>
      </c>
      <c r="AI6033">
        <v>96.532337584348099</v>
      </c>
      <c r="AJ6033">
        <v>97.322685280768894</v>
      </c>
      <c r="AK6033">
        <v>9.7820292978961696</v>
      </c>
      <c r="AL6033">
        <v>67.527459932150194</v>
      </c>
      <c r="AM6033">
        <v>97.540902477334299</v>
      </c>
      <c r="AN6033">
        <v>0.99999998908395904</v>
      </c>
    </row>
    <row r="6034" spans="1:40" x14ac:dyDescent="0.25">
      <c r="A6034" t="str">
        <f>"20190304164527019"</f>
        <v>20190304164527019</v>
      </c>
      <c r="B6034" t="str">
        <f>"1551689127005710"</f>
        <v>1551689127005710</v>
      </c>
      <c r="C6034" t="s">
        <v>40</v>
      </c>
      <c r="D6034">
        <v>5.2517829999999996</v>
      </c>
      <c r="E6034">
        <v>0.5258893</v>
      </c>
      <c r="F6034" t="s">
        <v>42</v>
      </c>
      <c r="G6034">
        <v>-189.21209999999999</v>
      </c>
      <c r="H6034" s="1">
        <v>-3.4881530000000001E-6</v>
      </c>
      <c r="I6034">
        <v>-12.56203</v>
      </c>
      <c r="J6034">
        <v>-188.8058</v>
      </c>
      <c r="K6034">
        <v>1.112722</v>
      </c>
      <c r="L6034">
        <v>-22.114719999999998</v>
      </c>
      <c r="M6034">
        <v>7.8960100000000005E-2</v>
      </c>
      <c r="N6034">
        <v>-8.5956839999999993E-3</v>
      </c>
      <c r="O6034">
        <v>0.99684070000000002</v>
      </c>
      <c r="P6034">
        <v>-4.4135069999999998E-2</v>
      </c>
      <c r="Q6034">
        <v>0.374747</v>
      </c>
      <c r="R6034">
        <v>0.92607600000000001</v>
      </c>
      <c r="S6034">
        <v>-0.12951660000000001</v>
      </c>
      <c r="T6034">
        <v>-0.38009349999999997</v>
      </c>
      <c r="U6034">
        <v>3.3877869999999999</v>
      </c>
      <c r="V6034">
        <v>-0.1196623</v>
      </c>
      <c r="W6034">
        <v>0.38185200000000002</v>
      </c>
      <c r="X6034">
        <v>0.91644420000000004</v>
      </c>
      <c r="Y6034">
        <v>-0.1167265</v>
      </c>
      <c r="Z6034">
        <v>-0.1019938</v>
      </c>
      <c r="AA6034">
        <v>0.98791309999999999</v>
      </c>
      <c r="AB6034">
        <v>34</v>
      </c>
      <c r="AC6034">
        <v>-0.406299999999987</v>
      </c>
      <c r="AD6034">
        <v>-1.112725488153</v>
      </c>
      <c r="AE6034">
        <v>9.5526900000000001</v>
      </c>
      <c r="AF6034">
        <v>-1.1438485561149501</v>
      </c>
      <c r="AG6034">
        <v>-1.112725488153</v>
      </c>
      <c r="AH6034">
        <v>9.3639561640094193</v>
      </c>
      <c r="AI6034">
        <v>96.7271782680737</v>
      </c>
      <c r="AJ6034">
        <v>96.964428636459203</v>
      </c>
      <c r="AK6034">
        <v>9.4989590257460002</v>
      </c>
      <c r="AL6034">
        <v>67.551552783399799</v>
      </c>
      <c r="AM6034">
        <v>97.439159679472894</v>
      </c>
      <c r="AN6034">
        <v>0.99999999382946503</v>
      </c>
    </row>
    <row r="6035" spans="1:40" x14ac:dyDescent="0.25">
      <c r="A6035" t="str">
        <f>"20190304164527039"</f>
        <v>20190304164527039</v>
      </c>
      <c r="B6035" t="str">
        <f>"1551689127035967"</f>
        <v>1551689127035967</v>
      </c>
      <c r="C6035" t="s">
        <v>40</v>
      </c>
      <c r="D6035">
        <v>5.2549010000000003</v>
      </c>
      <c r="E6035">
        <v>0.52777390000000002</v>
      </c>
      <c r="F6035" t="s">
        <v>42</v>
      </c>
      <c r="G6035">
        <v>-189.1507</v>
      </c>
      <c r="H6035" s="1">
        <v>-3.5635089999999999E-6</v>
      </c>
      <c r="I6035">
        <v>-12.411770000000001</v>
      </c>
      <c r="J6035">
        <v>-188.78370000000001</v>
      </c>
      <c r="K6035">
        <v>1.112628</v>
      </c>
      <c r="L6035">
        <v>-21.805510000000002</v>
      </c>
      <c r="M6035">
        <v>7.6462630000000004E-2</v>
      </c>
      <c r="N6035">
        <v>-8.5556709999999904E-3</v>
      </c>
      <c r="O6035">
        <v>0.99703569999999997</v>
      </c>
      <c r="P6035">
        <v>-4.5005839999999998E-2</v>
      </c>
      <c r="Q6035">
        <v>0.37449290000000002</v>
      </c>
      <c r="R6035">
        <v>0.92613690000000004</v>
      </c>
      <c r="S6035">
        <v>-0.1205292</v>
      </c>
      <c r="T6035">
        <v>-0.38888630000000002</v>
      </c>
      <c r="U6035">
        <v>3.3910830000000001</v>
      </c>
      <c r="V6035">
        <v>-0.11814470000000001</v>
      </c>
      <c r="W6035">
        <v>0.38159939999999998</v>
      </c>
      <c r="X6035">
        <v>0.91674630000000001</v>
      </c>
      <c r="Y6035">
        <v>-0.1115782</v>
      </c>
      <c r="Z6035">
        <v>-0.1045259</v>
      </c>
      <c r="AA6035">
        <v>0.98824319999999999</v>
      </c>
      <c r="AB6035">
        <v>34</v>
      </c>
      <c r="AC6035">
        <v>-0.36699999999999</v>
      </c>
      <c r="AD6035">
        <v>-1.1126315635090001</v>
      </c>
      <c r="AE6035">
        <v>9.3937399999999993</v>
      </c>
      <c r="AF6035">
        <v>-1.06924436157397</v>
      </c>
      <c r="AG6035">
        <v>-1.1126315635090001</v>
      </c>
      <c r="AH6035">
        <v>9.2091761764409092</v>
      </c>
      <c r="AI6035">
        <v>96.843422800822296</v>
      </c>
      <c r="AJ6035">
        <v>96.622753575426103</v>
      </c>
      <c r="AK6035">
        <v>9.3375670465920102</v>
      </c>
      <c r="AL6035">
        <v>67.567212185434798</v>
      </c>
      <c r="AM6035">
        <v>97.343456304758206</v>
      </c>
      <c r="AN6035">
        <v>1.0000000253910599</v>
      </c>
    </row>
    <row r="6036" spans="1:40" x14ac:dyDescent="0.25">
      <c r="A6036" t="str">
        <f>"20190304164527059"</f>
        <v>20190304164527059</v>
      </c>
      <c r="B6036" t="str">
        <f>"1551689127056462"</f>
        <v>1551689127056462</v>
      </c>
      <c r="C6036" t="s">
        <v>40</v>
      </c>
      <c r="D6036">
        <v>5.2414389999999997</v>
      </c>
      <c r="E6036">
        <v>0.52878789999999998</v>
      </c>
      <c r="F6036" t="s">
        <v>42</v>
      </c>
      <c r="G6036">
        <v>-189.08770000000001</v>
      </c>
      <c r="H6036" s="1">
        <v>-3.6020680000000002E-6</v>
      </c>
      <c r="I6036">
        <v>-12.34793</v>
      </c>
      <c r="J6036">
        <v>-188.76230000000001</v>
      </c>
      <c r="K6036">
        <v>1.112528</v>
      </c>
      <c r="L6036">
        <v>-21.497129999999999</v>
      </c>
      <c r="M6036">
        <v>7.4085600000000001E-2</v>
      </c>
      <c r="N6036">
        <v>-8.5152939999999996E-3</v>
      </c>
      <c r="O6036">
        <v>0.99721550000000003</v>
      </c>
      <c r="P6036">
        <v>-4.5493110000000003E-2</v>
      </c>
      <c r="Q6036">
        <v>0.3742684</v>
      </c>
      <c r="R6036">
        <v>0.92620380000000002</v>
      </c>
      <c r="S6036">
        <v>-0.1091461</v>
      </c>
      <c r="T6036">
        <v>-0.39945900000000001</v>
      </c>
      <c r="U6036">
        <v>3.3954770000000001</v>
      </c>
      <c r="V6036">
        <v>-0.116351</v>
      </c>
      <c r="W6036">
        <v>0.38137860000000001</v>
      </c>
      <c r="X6036">
        <v>0.91706750000000004</v>
      </c>
      <c r="Y6036">
        <v>-0.1058447</v>
      </c>
      <c r="Z6036">
        <v>-0.1075286</v>
      </c>
      <c r="AA6036">
        <v>0.98855170000000003</v>
      </c>
      <c r="AB6036">
        <v>34</v>
      </c>
      <c r="AC6036">
        <v>-0.32540000000000102</v>
      </c>
      <c r="AD6036">
        <v>-1.1125316020680001</v>
      </c>
      <c r="AE6036">
        <v>9.1492000000000004</v>
      </c>
      <c r="AF6036">
        <v>-0.98776732911361298</v>
      </c>
      <c r="AG6036">
        <v>-1.1125316020680001</v>
      </c>
      <c r="AH6036">
        <v>8.9675182157124809</v>
      </c>
      <c r="AI6036">
        <v>97.030025299265901</v>
      </c>
      <c r="AJ6036">
        <v>96.285759653833793</v>
      </c>
      <c r="AK6036">
        <v>9.0900931684553896</v>
      </c>
      <c r="AL6036">
        <v>67.5808974106656</v>
      </c>
      <c r="AM6036">
        <v>97.230649420204202</v>
      </c>
      <c r="AN6036">
        <v>0.999999995647605</v>
      </c>
    </row>
    <row r="6037" spans="1:40" x14ac:dyDescent="0.25">
      <c r="A6037" t="str">
        <f>"20190304164527082"</f>
        <v>20190304164527082</v>
      </c>
      <c r="B6037" t="str">
        <f>"1551689127075984"</f>
        <v>1551689127075984</v>
      </c>
      <c r="C6037" t="s">
        <v>40</v>
      </c>
      <c r="D6037">
        <v>5.2496960000000001</v>
      </c>
      <c r="E6037">
        <v>0.52963519999999997</v>
      </c>
      <c r="F6037" t="s">
        <v>42</v>
      </c>
      <c r="G6037">
        <v>-189.0445</v>
      </c>
      <c r="H6037" s="1">
        <v>-3.686952E-6</v>
      </c>
      <c r="I6037">
        <v>-12.167920000000001</v>
      </c>
      <c r="J6037">
        <v>-188.73840000000001</v>
      </c>
      <c r="K6037">
        <v>1.1123890000000001</v>
      </c>
      <c r="L6037">
        <v>-21.14209</v>
      </c>
      <c r="M6037">
        <v>7.1531380000000006E-2</v>
      </c>
      <c r="N6037">
        <v>-8.4689859999999995E-3</v>
      </c>
      <c r="O6037">
        <v>0.99740240000000002</v>
      </c>
      <c r="P6037">
        <v>-4.6272319999999999E-2</v>
      </c>
      <c r="Q6037">
        <v>0.37315419999999999</v>
      </c>
      <c r="R6037">
        <v>0.92661470000000001</v>
      </c>
      <c r="S6037">
        <v>-0.10278320000000001</v>
      </c>
      <c r="T6037">
        <v>-0.40518470000000001</v>
      </c>
      <c r="U6037">
        <v>3.3977050000000002</v>
      </c>
      <c r="V6037">
        <v>-0.11467330000000001</v>
      </c>
      <c r="W6037">
        <v>0.38027329999999998</v>
      </c>
      <c r="X6037">
        <v>0.91773760000000004</v>
      </c>
      <c r="Y6037">
        <v>-0.10142329999999999</v>
      </c>
      <c r="Z6037">
        <v>-0.10920439999999999</v>
      </c>
      <c r="AA6037">
        <v>0.98883149999999997</v>
      </c>
      <c r="AB6037">
        <v>34</v>
      </c>
      <c r="AC6037">
        <v>-0.30609999999998599</v>
      </c>
      <c r="AD6037">
        <v>-1.11239268695199</v>
      </c>
      <c r="AE6037">
        <v>8.9741699999999902</v>
      </c>
      <c r="AF6037">
        <v>-0.93295556358394205</v>
      </c>
      <c r="AG6037">
        <v>-1.11239268695199</v>
      </c>
      <c r="AH6037">
        <v>8.7943169908100192</v>
      </c>
      <c r="AI6037">
        <v>97.169247778849297</v>
      </c>
      <c r="AJ6037">
        <v>96.055641309821496</v>
      </c>
      <c r="AK6037">
        <v>8.9133514969654595</v>
      </c>
      <c r="AL6037">
        <v>67.649388086344203</v>
      </c>
      <c r="AM6037">
        <v>97.122317753342998</v>
      </c>
      <c r="AN6037">
        <v>1.0000000254397601</v>
      </c>
    </row>
    <row r="6038" spans="1:40" x14ac:dyDescent="0.25">
      <c r="A6038" t="str">
        <f>"20190304164527106"</f>
        <v>20190304164527106</v>
      </c>
      <c r="B6038" t="str">
        <f>"1551689127096478"</f>
        <v>1551689127096478</v>
      </c>
      <c r="C6038" t="s">
        <v>40</v>
      </c>
      <c r="D6038">
        <v>5.2588290000000004</v>
      </c>
      <c r="E6038">
        <v>0.53042029999999996</v>
      </c>
      <c r="F6038" t="s">
        <v>42</v>
      </c>
      <c r="G6038">
        <v>-188.99760000000001</v>
      </c>
      <c r="H6038" s="1">
        <v>-3.7706509999999999E-6</v>
      </c>
      <c r="I6038">
        <v>-11.992229999999999</v>
      </c>
      <c r="J6038">
        <v>-188.71530000000001</v>
      </c>
      <c r="K6038">
        <v>1.1122289999999999</v>
      </c>
      <c r="L6038">
        <v>-20.78839</v>
      </c>
      <c r="M6038">
        <v>6.9204760000000004E-2</v>
      </c>
      <c r="N6038">
        <v>-8.4219189999999999E-3</v>
      </c>
      <c r="O6038">
        <v>0.99756690000000003</v>
      </c>
      <c r="P6038">
        <v>-4.6944020000000003E-2</v>
      </c>
      <c r="Q6038">
        <v>0.373726</v>
      </c>
      <c r="R6038">
        <v>0.92635040000000002</v>
      </c>
      <c r="S6038">
        <v>-9.6282960000000001E-2</v>
      </c>
      <c r="T6038">
        <v>-0.41325709999999999</v>
      </c>
      <c r="U6038">
        <v>3.3992</v>
      </c>
      <c r="V6038">
        <v>-0.11303580000000001</v>
      </c>
      <c r="W6038">
        <v>0.3808531</v>
      </c>
      <c r="X6038">
        <v>0.91770030000000002</v>
      </c>
      <c r="Y6038">
        <v>-9.719382E-2</v>
      </c>
      <c r="Z6038">
        <v>-0.1115705</v>
      </c>
      <c r="AA6038">
        <v>0.98899210000000004</v>
      </c>
      <c r="AB6038">
        <v>34</v>
      </c>
      <c r="AC6038">
        <v>-0.282299999999992</v>
      </c>
      <c r="AD6038">
        <v>-1.112232770651</v>
      </c>
      <c r="AE6038">
        <v>8.7961599999999898</v>
      </c>
      <c r="AF6038">
        <v>-0.87638332446349398</v>
      </c>
      <c r="AG6038">
        <v>-1.112232770651</v>
      </c>
      <c r="AH6038">
        <v>8.6178877994468106</v>
      </c>
      <c r="AI6038">
        <v>97.316672655167494</v>
      </c>
      <c r="AJ6038">
        <v>95.806647644576799</v>
      </c>
      <c r="AK6038">
        <v>8.7334471768804995</v>
      </c>
      <c r="AL6038">
        <v>67.613464548497603</v>
      </c>
      <c r="AM6038">
        <v>97.021918249879604</v>
      </c>
      <c r="AN6038">
        <v>1.0000000082406699</v>
      </c>
    </row>
    <row r="6039" spans="1:40" x14ac:dyDescent="0.25">
      <c r="A6039" t="str">
        <f>"20190304164527127"</f>
        <v>20190304164527127</v>
      </c>
      <c r="B6039" t="str">
        <f>"1551689127115998"</f>
        <v>1551689127115998</v>
      </c>
      <c r="C6039" t="s">
        <v>40</v>
      </c>
      <c r="D6039">
        <v>5.2664629999999999</v>
      </c>
      <c r="E6039">
        <v>0.53110429999999997</v>
      </c>
      <c r="F6039" t="s">
        <v>42</v>
      </c>
      <c r="G6039">
        <v>-188.95859999999999</v>
      </c>
      <c r="H6039" s="1">
        <v>-3.919916E-6</v>
      </c>
      <c r="I6039">
        <v>-11.660399999999999</v>
      </c>
      <c r="J6039">
        <v>-188.6943</v>
      </c>
      <c r="K6039">
        <v>1.112055</v>
      </c>
      <c r="L6039">
        <v>-20.458279999999998</v>
      </c>
      <c r="M6039">
        <v>6.7255869999999995E-2</v>
      </c>
      <c r="N6039">
        <v>-8.3807269999999993E-3</v>
      </c>
      <c r="O6039">
        <v>0.99770060000000005</v>
      </c>
      <c r="P6039">
        <v>-4.6897719999999997E-2</v>
      </c>
      <c r="Q6039">
        <v>0.37392520000000001</v>
      </c>
      <c r="R6039">
        <v>0.9262724</v>
      </c>
      <c r="S6039">
        <v>-9.0652469999999999E-2</v>
      </c>
      <c r="T6039">
        <v>-0.41442220000000002</v>
      </c>
      <c r="U6039">
        <v>3.4011230000000001</v>
      </c>
      <c r="V6039">
        <v>-0.1110271</v>
      </c>
      <c r="W6039">
        <v>0.38107229999999997</v>
      </c>
      <c r="X6039">
        <v>0.91785450000000002</v>
      </c>
      <c r="Y6039">
        <v>-9.3598319999999999E-2</v>
      </c>
      <c r="Z6039">
        <v>-0.11192630000000001</v>
      </c>
      <c r="AA6039">
        <v>0.98929860000000003</v>
      </c>
      <c r="AB6039">
        <v>34</v>
      </c>
      <c r="AC6039">
        <v>-0.26429999999999099</v>
      </c>
      <c r="AD6039">
        <v>-1.112058919916</v>
      </c>
      <c r="AE6039">
        <v>8.7978799999999993</v>
      </c>
      <c r="AF6039">
        <v>-0.84199086034833404</v>
      </c>
      <c r="AG6039">
        <v>-1.112058919916</v>
      </c>
      <c r="AH6039">
        <v>8.6225422419872793</v>
      </c>
      <c r="AI6039">
        <v>97.314521995807098</v>
      </c>
      <c r="AJ6039">
        <v>95.577247826381395</v>
      </c>
      <c r="AK6039">
        <v>8.7346355599492398</v>
      </c>
      <c r="AL6039">
        <v>67.599880763498405</v>
      </c>
      <c r="AM6039">
        <v>96.8972007648443</v>
      </c>
      <c r="AN6039">
        <v>0.99999999896597402</v>
      </c>
    </row>
    <row r="6040" spans="1:40" x14ac:dyDescent="0.25">
      <c r="A6040" t="str">
        <f>"20190304164527150"</f>
        <v>20190304164527150</v>
      </c>
      <c r="B6040" t="str">
        <f>"1551689127146254"</f>
        <v>1551689127146254</v>
      </c>
      <c r="C6040" t="s">
        <v>40</v>
      </c>
      <c r="D6040">
        <v>5.2562730000000002</v>
      </c>
      <c r="E6040">
        <v>0.53193959999999996</v>
      </c>
      <c r="F6040" t="s">
        <v>42</v>
      </c>
      <c r="G6040">
        <v>-188.9169</v>
      </c>
      <c r="H6040" s="1">
        <v>-4.0511010000000003E-6</v>
      </c>
      <c r="I6040">
        <v>-11.371840000000001</v>
      </c>
      <c r="J6040">
        <v>-188.67330000000001</v>
      </c>
      <c r="K6040">
        <v>1.1118520000000001</v>
      </c>
      <c r="L6040">
        <v>-20.12247</v>
      </c>
      <c r="M6040">
        <v>6.551746E-2</v>
      </c>
      <c r="N6040">
        <v>-8.3429369999999999E-3</v>
      </c>
      <c r="O6040">
        <v>0.99781660000000005</v>
      </c>
      <c r="P6040">
        <v>-4.6995330000000002E-2</v>
      </c>
      <c r="Q6040">
        <v>0.37358950000000002</v>
      </c>
      <c r="R6040">
        <v>0.92640290000000003</v>
      </c>
      <c r="S6040">
        <v>-8.3374019999999993E-2</v>
      </c>
      <c r="T6040">
        <v>-0.41644239999999999</v>
      </c>
      <c r="U6040">
        <v>3.402679</v>
      </c>
      <c r="V6040">
        <v>-0.1093433</v>
      </c>
      <c r="W6040">
        <v>0.38076450000000001</v>
      </c>
      <c r="X6040">
        <v>0.91818429999999995</v>
      </c>
      <c r="Y6040">
        <v>-8.9736739999999995E-2</v>
      </c>
      <c r="Z6040">
        <v>-0.1125343</v>
      </c>
      <c r="AA6040">
        <v>0.98958749999999995</v>
      </c>
      <c r="AB6040">
        <v>34</v>
      </c>
      <c r="AC6040">
        <v>-0.24359999999998599</v>
      </c>
      <c r="AD6040">
        <v>-1.1118560511010001</v>
      </c>
      <c r="AE6040">
        <v>8.7506299999999992</v>
      </c>
      <c r="AF6040">
        <v>-0.80345440104125299</v>
      </c>
      <c r="AG6040">
        <v>-1.1118560511010001</v>
      </c>
      <c r="AH6040">
        <v>8.5774964700555199</v>
      </c>
      <c r="AI6040">
        <v>97.353932751084699</v>
      </c>
      <c r="AJ6040">
        <v>95.3512833126358</v>
      </c>
      <c r="AK6040">
        <v>8.6864957575962407</v>
      </c>
      <c r="AL6040">
        <v>67.618954067099807</v>
      </c>
      <c r="AM6040">
        <v>96.7911677861225</v>
      </c>
      <c r="AN6040">
        <v>0.99999998524081402</v>
      </c>
    </row>
    <row r="6041" spans="1:40" x14ac:dyDescent="0.25">
      <c r="A6041" t="str">
        <f>"20190304164527172"</f>
        <v>20190304164527172</v>
      </c>
      <c r="B6041" t="str">
        <f>"1551689127165774"</f>
        <v>1551689127165774</v>
      </c>
      <c r="C6041" t="s">
        <v>40</v>
      </c>
      <c r="D6041">
        <v>5.2742139999999997</v>
      </c>
      <c r="E6041">
        <v>0.53238799999999997</v>
      </c>
      <c r="F6041" t="s">
        <v>42</v>
      </c>
      <c r="G6041">
        <v>-188.875</v>
      </c>
      <c r="H6041" s="1">
        <v>-4.1558650000000004E-6</v>
      </c>
      <c r="I6041">
        <v>-11.14498</v>
      </c>
      <c r="J6041">
        <v>-188.6515</v>
      </c>
      <c r="K6041">
        <v>1.1116189999999999</v>
      </c>
      <c r="L6041">
        <v>-19.767119999999998</v>
      </c>
      <c r="M6041">
        <v>6.3959660000000002E-2</v>
      </c>
      <c r="N6041">
        <v>-8.3028279999999999E-3</v>
      </c>
      <c r="O6041">
        <v>0.99791799999999997</v>
      </c>
      <c r="P6041">
        <v>-4.7542189999999998E-2</v>
      </c>
      <c r="Q6041">
        <v>0.37301529999999999</v>
      </c>
      <c r="R6041">
        <v>0.92660640000000005</v>
      </c>
      <c r="S6041">
        <v>-7.6477050000000005E-2</v>
      </c>
      <c r="T6041">
        <v>-0.42164249999999998</v>
      </c>
      <c r="U6041">
        <v>3.40448</v>
      </c>
      <c r="V6041">
        <v>-0.10825029999999999</v>
      </c>
      <c r="W6041">
        <v>0.38022030000000001</v>
      </c>
      <c r="X6041">
        <v>0.91853929999999995</v>
      </c>
      <c r="Y6041">
        <v>-8.6162779999999994E-2</v>
      </c>
      <c r="Z6041">
        <v>-0.1140396</v>
      </c>
      <c r="AA6041">
        <v>0.98973270000000002</v>
      </c>
      <c r="AB6041">
        <v>34</v>
      </c>
      <c r="AC6041">
        <v>-0.223500000000001</v>
      </c>
      <c r="AD6041">
        <v>-1.111623155865</v>
      </c>
      <c r="AE6041">
        <v>8.6221399999999999</v>
      </c>
      <c r="AF6041">
        <v>-0.76187503636902199</v>
      </c>
      <c r="AG6041">
        <v>-1.111623155865</v>
      </c>
      <c r="AH6041">
        <v>8.4498300158120507</v>
      </c>
      <c r="AI6041">
        <v>97.464609994052907</v>
      </c>
      <c r="AJ6041">
        <v>95.152116118660302</v>
      </c>
      <c r="AK6041">
        <v>8.5566224006798297</v>
      </c>
      <c r="AL6041">
        <v>67.652671372792</v>
      </c>
      <c r="AM6041">
        <v>96.721332755823397</v>
      </c>
      <c r="AN6041">
        <v>1.0000000248133301</v>
      </c>
    </row>
    <row r="6042" spans="1:40" x14ac:dyDescent="0.25">
      <c r="A6042" t="str">
        <f>"20190304164527195"</f>
        <v>20190304164527195</v>
      </c>
      <c r="B6042" t="str">
        <f>"1551689127186270"</f>
        <v>1551689127186270</v>
      </c>
      <c r="C6042" t="s">
        <v>40</v>
      </c>
      <c r="D6042">
        <v>5.2576679999999998</v>
      </c>
      <c r="E6042">
        <v>0.53280469999999902</v>
      </c>
      <c r="F6042" t="s">
        <v>42</v>
      </c>
      <c r="G6042">
        <v>-188.8417</v>
      </c>
      <c r="H6042" s="1">
        <v>-4.3058180000000004E-6</v>
      </c>
      <c r="I6042">
        <v>-10.80917</v>
      </c>
      <c r="J6042">
        <v>-188.6301</v>
      </c>
      <c r="K6042">
        <v>1.1113759999999999</v>
      </c>
      <c r="L6042">
        <v>-19.413820000000001</v>
      </c>
      <c r="M6042">
        <v>6.2716789999999994E-2</v>
      </c>
      <c r="N6042">
        <v>-8.2637790000000006E-3</v>
      </c>
      <c r="O6042">
        <v>0.99799720000000003</v>
      </c>
      <c r="P6042">
        <v>-4.836265E-2</v>
      </c>
      <c r="Q6042">
        <v>0.37246220000000002</v>
      </c>
      <c r="R6042">
        <v>0.92678640000000001</v>
      </c>
      <c r="S6042">
        <v>-7.2296139999999995E-2</v>
      </c>
      <c r="T6042">
        <v>-0.4224097</v>
      </c>
      <c r="U6042">
        <v>3.4039609999999998</v>
      </c>
      <c r="V6042">
        <v>-0.1077134</v>
      </c>
      <c r="W6042">
        <v>0.37969639999999999</v>
      </c>
      <c r="X6042">
        <v>0.9188191</v>
      </c>
      <c r="Y6042">
        <v>-8.3710889999999996E-2</v>
      </c>
      <c r="Z6042">
        <v>-0.11434560000000001</v>
      </c>
      <c r="AA6042">
        <v>0.98990789999999995</v>
      </c>
      <c r="AB6042">
        <v>35</v>
      </c>
      <c r="AC6042">
        <v>-0.21160000000000401</v>
      </c>
      <c r="AD6042">
        <v>-1.1113803058179901</v>
      </c>
      <c r="AE6042">
        <v>8.6046499999999995</v>
      </c>
      <c r="AF6042">
        <v>-0.73854457434180398</v>
      </c>
      <c r="AG6042">
        <v>-1.1113803058179901</v>
      </c>
      <c r="AH6042">
        <v>8.4338265192482993</v>
      </c>
      <c r="AI6042">
        <v>97.478690579500395</v>
      </c>
      <c r="AJ6042">
        <v>95.004586955774201</v>
      </c>
      <c r="AK6042">
        <v>8.5387378475525093</v>
      </c>
      <c r="AL6042">
        <v>67.685122591143198</v>
      </c>
      <c r="AM6042">
        <v>96.686280752059304</v>
      </c>
      <c r="AN6042">
        <v>1.00000003561866</v>
      </c>
    </row>
    <row r="6043" spans="1:40" x14ac:dyDescent="0.25">
      <c r="A6043" t="str">
        <f>"20190304164527218"</f>
        <v>20190304164527218</v>
      </c>
      <c r="B6043" t="str">
        <f>"1551689127205790"</f>
        <v>1551689127205790</v>
      </c>
      <c r="C6043" t="s">
        <v>40</v>
      </c>
      <c r="D6043">
        <v>5.2715750000000003</v>
      </c>
      <c r="E6043">
        <v>0.53320349999999905</v>
      </c>
      <c r="F6043" t="s">
        <v>42</v>
      </c>
      <c r="G6043">
        <v>-188.815</v>
      </c>
      <c r="H6043" s="1">
        <v>-4.4533950000000001E-6</v>
      </c>
      <c r="I6043">
        <v>-10.4762</v>
      </c>
      <c r="J6043">
        <v>-188.60849999999999</v>
      </c>
      <c r="K6043">
        <v>1.111132</v>
      </c>
      <c r="L6043">
        <v>-19.054569999999998</v>
      </c>
      <c r="M6043">
        <v>6.1756499999999999E-2</v>
      </c>
      <c r="N6043">
        <v>-8.2288559999999997E-3</v>
      </c>
      <c r="O6043">
        <v>0.99805730000000004</v>
      </c>
      <c r="P6043">
        <v>-4.8576519999999998E-2</v>
      </c>
      <c r="Q6043">
        <v>0.3719768</v>
      </c>
      <c r="R6043">
        <v>0.92697010000000002</v>
      </c>
      <c r="S6043">
        <v>-7.0434570000000002E-2</v>
      </c>
      <c r="T6043">
        <v>-0.42320560000000002</v>
      </c>
      <c r="U6043">
        <v>3.4033809999999902</v>
      </c>
      <c r="V6043">
        <v>-0.1068349</v>
      </c>
      <c r="W6043">
        <v>0.37924409999999997</v>
      </c>
      <c r="X6043">
        <v>0.91910840000000005</v>
      </c>
      <c r="Y6043">
        <v>-8.2214620000000002E-2</v>
      </c>
      <c r="Z6043">
        <v>-0.11464829999999999</v>
      </c>
      <c r="AA6043">
        <v>0.98999820000000005</v>
      </c>
      <c r="AB6043">
        <v>35</v>
      </c>
      <c r="AC6043">
        <v>-0.20650000000000501</v>
      </c>
      <c r="AD6043">
        <v>-1.1111364533949999</v>
      </c>
      <c r="AE6043">
        <v>8.5783699999999996</v>
      </c>
      <c r="AF6043">
        <v>-0.72375810876151003</v>
      </c>
      <c r="AG6043">
        <v>-1.1111364533949999</v>
      </c>
      <c r="AH6043">
        <v>8.4082545964804094</v>
      </c>
      <c r="AI6043">
        <v>97.500503141656907</v>
      </c>
      <c r="AJ6043">
        <v>94.919727504987193</v>
      </c>
      <c r="AK6043">
        <v>8.5121792378506296</v>
      </c>
      <c r="AL6043">
        <v>67.713132067602103</v>
      </c>
      <c r="AM6043">
        <v>96.630166903220299</v>
      </c>
      <c r="AN6043">
        <v>1.0000000170966801</v>
      </c>
    </row>
    <row r="6044" spans="1:40" x14ac:dyDescent="0.25">
      <c r="A6044" t="str">
        <f>"20190304164527241"</f>
        <v>20190304164527241</v>
      </c>
      <c r="B6044" t="str">
        <f>"1551689127236046"</f>
        <v>1551689127236046</v>
      </c>
      <c r="C6044" t="s">
        <v>40</v>
      </c>
      <c r="D6044">
        <v>5.2832780000000001</v>
      </c>
      <c r="E6044">
        <v>0.53375109999999903</v>
      </c>
      <c r="F6044" t="s">
        <v>42</v>
      </c>
      <c r="G6044">
        <v>-188.79040000000001</v>
      </c>
      <c r="H6044" s="1">
        <v>-3.9328739999999999E-7</v>
      </c>
      <c r="I6044">
        <v>-10.142010000000001</v>
      </c>
      <c r="J6044">
        <v>-188.5873</v>
      </c>
      <c r="K6044">
        <v>1.110919</v>
      </c>
      <c r="L6044">
        <v>-18.699649999999998</v>
      </c>
      <c r="M6044">
        <v>6.1032030000000001E-2</v>
      </c>
      <c r="N6044">
        <v>-8.1969380000000008E-3</v>
      </c>
      <c r="O6044">
        <v>0.99810209999999999</v>
      </c>
      <c r="P6044">
        <v>-4.8378999999999998E-2</v>
      </c>
      <c r="Q6044">
        <v>0.37105719999999998</v>
      </c>
      <c r="R6044">
        <v>0.92734899999999998</v>
      </c>
      <c r="S6044">
        <v>-6.9442749999999998E-2</v>
      </c>
      <c r="T6044">
        <v>-0.42424770000000001</v>
      </c>
      <c r="U6044">
        <v>3.4029539999999998</v>
      </c>
      <c r="V6044">
        <v>-0.1058014</v>
      </c>
      <c r="W6044">
        <v>0.37835400000000002</v>
      </c>
      <c r="X6044">
        <v>0.91959460000000004</v>
      </c>
      <c r="Y6044">
        <v>-8.1205120000000006E-2</v>
      </c>
      <c r="Z6044">
        <v>-0.1150072</v>
      </c>
      <c r="AA6044">
        <v>0.99003989999999997</v>
      </c>
      <c r="AB6044">
        <v>35</v>
      </c>
      <c r="AC6044">
        <v>-0.203100000000006</v>
      </c>
      <c r="AD6044">
        <v>-1.11091939328739</v>
      </c>
      <c r="AE6044">
        <v>8.5576399999999904</v>
      </c>
      <c r="AF6044">
        <v>-0.71301986947469498</v>
      </c>
      <c r="AG6044">
        <v>-1.11091939328739</v>
      </c>
      <c r="AH6044">
        <v>8.3880127750486899</v>
      </c>
      <c r="AI6044">
        <v>97.517621298325494</v>
      </c>
      <c r="AJ6044">
        <v>94.858725936720106</v>
      </c>
      <c r="AK6044">
        <v>8.4912482914485405</v>
      </c>
      <c r="AL6044">
        <v>67.768236153936996</v>
      </c>
      <c r="AM6044">
        <v>96.563149301989597</v>
      </c>
      <c r="AN6044">
        <v>0.99999995695355903</v>
      </c>
    </row>
    <row r="6045" spans="1:40" x14ac:dyDescent="0.25">
      <c r="A6045" t="str">
        <f>"20190304164527261"</f>
        <v>20190304164527261</v>
      </c>
      <c r="B6045" t="str">
        <f>"1551689127256542"</f>
        <v>1551689127256542</v>
      </c>
      <c r="C6045" t="s">
        <v>40</v>
      </c>
      <c r="D6045">
        <v>5.3014679999999998</v>
      </c>
      <c r="E6045">
        <v>0.53410239999999998</v>
      </c>
      <c r="F6045" t="s">
        <v>41</v>
      </c>
      <c r="G6045">
        <v>-188.60550000000001</v>
      </c>
      <c r="H6045">
        <v>0.99465700000000001</v>
      </c>
      <c r="I6045">
        <v>-17.772479999999899</v>
      </c>
      <c r="J6045">
        <v>-188.56870000000001</v>
      </c>
      <c r="K6045">
        <v>1.1107530000000001</v>
      </c>
      <c r="L6045">
        <v>-18.387540000000001</v>
      </c>
      <c r="M6045">
        <v>6.0558849999999997E-2</v>
      </c>
      <c r="N6045">
        <v>-8.1675700000000007E-3</v>
      </c>
      <c r="O6045">
        <v>0.9981312</v>
      </c>
      <c r="P6045">
        <v>-4.8052879999999999E-2</v>
      </c>
      <c r="Q6045">
        <v>0.3698401</v>
      </c>
      <c r="R6045">
        <v>0.92785200000000001</v>
      </c>
      <c r="S6045">
        <v>-6.6986080000000003E-2</v>
      </c>
      <c r="T6045">
        <v>-0.42662050000000001</v>
      </c>
      <c r="U6045">
        <v>3.4022220000000001</v>
      </c>
      <c r="V6045">
        <v>-0.1049196</v>
      </c>
      <c r="W6045">
        <v>0.37715710000000002</v>
      </c>
      <c r="X6045">
        <v>0.92018719999999998</v>
      </c>
      <c r="Y6045">
        <v>-8.0021179999999997E-2</v>
      </c>
      <c r="Z6045">
        <v>-0.11575390000000001</v>
      </c>
      <c r="AA6045">
        <v>0.99004930000000002</v>
      </c>
      <c r="AB6045">
        <v>35</v>
      </c>
      <c r="AC6045">
        <v>-3.67999999999995E-2</v>
      </c>
      <c r="AD6045">
        <v>-0.116096</v>
      </c>
      <c r="AE6045">
        <v>0.61505999999999905</v>
      </c>
      <c r="AF6045">
        <v>-7.1444626184850701E-2</v>
      </c>
      <c r="AG6045">
        <v>-0.116096</v>
      </c>
      <c r="AH6045">
        <v>0.59073055552901998</v>
      </c>
      <c r="AI6045">
        <v>101.040157768299</v>
      </c>
      <c r="AJ6045">
        <v>96.896020888875796</v>
      </c>
      <c r="AK6045">
        <v>0.60625506600961099</v>
      </c>
      <c r="AL6045">
        <v>67.842303293620503</v>
      </c>
      <c r="AM6045">
        <v>96.504764394183098</v>
      </c>
      <c r="AN6045">
        <v>1.0000000417942001</v>
      </c>
    </row>
    <row r="6046" spans="1:40" x14ac:dyDescent="0.25">
      <c r="A6046" t="str">
        <f>"20190304164527283"</f>
        <v>20190304164527283</v>
      </c>
      <c r="B6046" t="str">
        <f>"1551689127276062"</f>
        <v>1551689127276062</v>
      </c>
      <c r="C6046" t="s">
        <v>40</v>
      </c>
      <c r="D6046">
        <v>5.2807629999999897</v>
      </c>
      <c r="E6046">
        <v>0.53434340000000002</v>
      </c>
      <c r="F6046" t="s">
        <v>41</v>
      </c>
      <c r="G6046">
        <v>-188.58629999999999</v>
      </c>
      <c r="H6046">
        <v>0.99421890000000002</v>
      </c>
      <c r="I6046">
        <v>-17.466839999999898</v>
      </c>
      <c r="J6046">
        <v>-188.54740000000001</v>
      </c>
      <c r="K6046">
        <v>1.1105750000000001</v>
      </c>
      <c r="L6046">
        <v>-18.028320000000001</v>
      </c>
      <c r="M6046">
        <v>6.0185620000000002E-2</v>
      </c>
      <c r="N6046">
        <v>-8.1354389999999995E-3</v>
      </c>
      <c r="O6046">
        <v>0.99815399999999999</v>
      </c>
      <c r="P6046">
        <v>-4.7998440000000003E-2</v>
      </c>
      <c r="Q6046">
        <v>0.36901250000000002</v>
      </c>
      <c r="R6046">
        <v>0.92818420000000001</v>
      </c>
      <c r="S6046">
        <v>-6.536865E-2</v>
      </c>
      <c r="T6046">
        <v>-0.43050319999999997</v>
      </c>
      <c r="U6046">
        <v>3.4014890000000002</v>
      </c>
      <c r="V6046">
        <v>-0.1043872</v>
      </c>
      <c r="W6046">
        <v>0.37634519999999999</v>
      </c>
      <c r="X6046">
        <v>0.92057999999999995</v>
      </c>
      <c r="Y6046">
        <v>-7.9179639999999996E-2</v>
      </c>
      <c r="Z6046">
        <v>-0.1169323</v>
      </c>
      <c r="AA6046">
        <v>0.98997849999999998</v>
      </c>
      <c r="AB6046">
        <v>35</v>
      </c>
      <c r="AC6046">
        <v>-3.8899999999983899E-2</v>
      </c>
      <c r="AD6046">
        <v>-0.1163561</v>
      </c>
      <c r="AE6046">
        <v>0.56148000000000298</v>
      </c>
      <c r="AF6046">
        <v>-6.9646939157216606E-2</v>
      </c>
      <c r="AG6046">
        <v>-0.1163561</v>
      </c>
      <c r="AH6046">
        <v>0.53524465785825703</v>
      </c>
      <c r="AI6046">
        <v>102.165163098991</v>
      </c>
      <c r="AJ6046">
        <v>97.413768441027003</v>
      </c>
      <c r="AK6046">
        <v>0.55215603039990502</v>
      </c>
      <c r="AL6046">
        <v>67.8925203903284</v>
      </c>
      <c r="AM6046">
        <v>96.469299509052902</v>
      </c>
      <c r="AN6046">
        <v>0.99999996674343905</v>
      </c>
    </row>
    <row r="6047" spans="1:40" x14ac:dyDescent="0.25">
      <c r="A6047" t="str">
        <f>"20190304164527308"</f>
        <v>20190304164527308</v>
      </c>
      <c r="B6047" t="str">
        <f>"1551689127296559"</f>
        <v>1551689127296559</v>
      </c>
      <c r="C6047" t="s">
        <v>40</v>
      </c>
      <c r="D6047">
        <v>5.3118809999999996</v>
      </c>
      <c r="E6047">
        <v>0.53462580000000004</v>
      </c>
      <c r="F6047" t="s">
        <v>41</v>
      </c>
      <c r="G6047">
        <v>-188.56399999999999</v>
      </c>
      <c r="H6047">
        <v>0.99895429999999996</v>
      </c>
      <c r="I6047">
        <v>-17.151440000000001</v>
      </c>
      <c r="J6047">
        <v>-188.52529999999999</v>
      </c>
      <c r="K6047">
        <v>1.1104160000000001</v>
      </c>
      <c r="L6047">
        <v>-17.656369999999999</v>
      </c>
      <c r="M6047">
        <v>5.994961E-2</v>
      </c>
      <c r="N6047">
        <v>-8.1029090000000002E-3</v>
      </c>
      <c r="O6047">
        <v>0.99816850000000001</v>
      </c>
      <c r="P6047">
        <v>-4.6313930000000003E-2</v>
      </c>
      <c r="Q6047">
        <v>0.36837229999999999</v>
      </c>
      <c r="R6047">
        <v>0.92852400000000002</v>
      </c>
      <c r="S6047">
        <v>-6.4636230000000003E-2</v>
      </c>
      <c r="T6047">
        <v>-0.43289889999999998</v>
      </c>
      <c r="U6047">
        <v>3.4008790000000002</v>
      </c>
      <c r="V6047">
        <v>-0.10236629999999999</v>
      </c>
      <c r="W6047">
        <v>0.37572050000000001</v>
      </c>
      <c r="X6047">
        <v>0.92106209999999999</v>
      </c>
      <c r="Y6047">
        <v>-7.8732739999999996E-2</v>
      </c>
      <c r="Z6047">
        <v>-0.1176774</v>
      </c>
      <c r="AA6047">
        <v>0.98992590000000003</v>
      </c>
      <c r="AB6047">
        <v>35</v>
      </c>
      <c r="AC6047">
        <v>-3.8700000000034103E-2</v>
      </c>
      <c r="AD6047">
        <v>-0.1114617</v>
      </c>
      <c r="AE6047">
        <v>0.50493000000000099</v>
      </c>
      <c r="AF6047">
        <v>-6.57180566311239E-2</v>
      </c>
      <c r="AG6047">
        <v>-0.1114617</v>
      </c>
      <c r="AH6047">
        <v>0.47851994889827698</v>
      </c>
      <c r="AI6047">
        <v>102.99433353264099</v>
      </c>
      <c r="AJ6047">
        <v>97.819858964452706</v>
      </c>
      <c r="AK6047">
        <v>0.495705472057624</v>
      </c>
      <c r="AL6047">
        <v>67.9311505581516</v>
      </c>
      <c r="AM6047">
        <v>96.341793474899305</v>
      </c>
      <c r="AN6047">
        <v>1.00000007277617</v>
      </c>
    </row>
    <row r="6048" spans="1:40" x14ac:dyDescent="0.25">
      <c r="A6048" t="str">
        <f>"20190304164527340"</f>
        <v>20190304164527340</v>
      </c>
      <c r="B6048" t="str">
        <f>"1551689127336578"</f>
        <v>1551689127336578</v>
      </c>
      <c r="C6048" t="s">
        <v>40</v>
      </c>
      <c r="D6048">
        <v>5.2671219999999996</v>
      </c>
      <c r="E6048">
        <v>0.53522119999999995</v>
      </c>
      <c r="F6048" t="s">
        <v>41</v>
      </c>
      <c r="G6048">
        <v>-188.5394</v>
      </c>
      <c r="H6048">
        <v>1.0052540000000001</v>
      </c>
      <c r="I6048">
        <v>-16.83475</v>
      </c>
      <c r="J6048">
        <v>-188.4958</v>
      </c>
      <c r="K6048">
        <v>1.1102510000000001</v>
      </c>
      <c r="L6048">
        <v>-17.159329999999901</v>
      </c>
      <c r="M6048">
        <v>5.9796639999999998E-2</v>
      </c>
      <c r="N6048">
        <v>-8.0580990000000009E-3</v>
      </c>
      <c r="O6048">
        <v>0.99817809999999996</v>
      </c>
      <c r="P6048">
        <v>-4.3728450000000002E-2</v>
      </c>
      <c r="Q6048">
        <v>0.36966579999999999</v>
      </c>
      <c r="R6048">
        <v>0.9281353</v>
      </c>
      <c r="S6048">
        <v>-5.9219359999999999E-2</v>
      </c>
      <c r="T6048">
        <v>-0.43522680000000002</v>
      </c>
      <c r="U6048">
        <v>3.4006349999999999</v>
      </c>
      <c r="V6048">
        <v>-9.9466830000000006E-2</v>
      </c>
      <c r="W6048">
        <v>0.3770154</v>
      </c>
      <c r="X6048">
        <v>0.92085059999999996</v>
      </c>
      <c r="Y6048">
        <v>-7.7004340000000004E-2</v>
      </c>
      <c r="Z6048">
        <v>-0.1184093</v>
      </c>
      <c r="AA6048">
        <v>0.98997460000000004</v>
      </c>
      <c r="AB6048">
        <v>35</v>
      </c>
      <c r="AC6048">
        <v>-4.35999999999978E-2</v>
      </c>
      <c r="AD6048">
        <v>-0.10499699999999999</v>
      </c>
      <c r="AE6048">
        <v>0.32457999999999698</v>
      </c>
      <c r="AF6048">
        <v>-5.7065710269841398E-2</v>
      </c>
      <c r="AG6048">
        <v>-0.10499699999999999</v>
      </c>
      <c r="AH6048">
        <v>0.291435743053507</v>
      </c>
      <c r="AI6048">
        <v>109.47159553869</v>
      </c>
      <c r="AJ6048">
        <v>101.078850618172</v>
      </c>
      <c r="AK6048">
        <v>0.314985170487042</v>
      </c>
      <c r="AL6048">
        <v>67.851069292717398</v>
      </c>
      <c r="AM6048">
        <v>96.164972847751599</v>
      </c>
      <c r="AN6048">
        <v>1.0000000448138799</v>
      </c>
    </row>
    <row r="6049" spans="1:40" x14ac:dyDescent="0.25">
      <c r="A6049" t="str">
        <f>"20190304164527360"</f>
        <v>20190304164527360</v>
      </c>
      <c r="B6049" t="str">
        <f>"1551689127356097"</f>
        <v>1551689127356097</v>
      </c>
      <c r="C6049" t="s">
        <v>40</v>
      </c>
      <c r="D6049">
        <v>5.3176430000000003</v>
      </c>
      <c r="E6049">
        <v>0.53544440000000004</v>
      </c>
      <c r="F6049" t="s">
        <v>41</v>
      </c>
      <c r="G6049">
        <v>-188.5087</v>
      </c>
      <c r="H6049">
        <v>0.99163270000000003</v>
      </c>
      <c r="I6049">
        <v>-16.218350000000001</v>
      </c>
      <c r="J6049">
        <v>-188.47579999999999</v>
      </c>
      <c r="K6049">
        <v>1.110168</v>
      </c>
      <c r="L6049">
        <v>-16.824369999999998</v>
      </c>
      <c r="M6049">
        <v>5.9756219999999999E-2</v>
      </c>
      <c r="N6049">
        <v>-8.0263820000000003E-3</v>
      </c>
      <c r="O6049">
        <v>0.99818070000000003</v>
      </c>
      <c r="P6049">
        <v>-4.258062E-2</v>
      </c>
      <c r="Q6049">
        <v>0.37044759999999999</v>
      </c>
      <c r="R6049">
        <v>0.9278769</v>
      </c>
      <c r="S6049">
        <v>-4.7286990000000001E-2</v>
      </c>
      <c r="T6049">
        <v>-0.42867109999999897</v>
      </c>
      <c r="U6049">
        <v>3.4007869999999998</v>
      </c>
      <c r="V6049">
        <v>-9.8188520000000001E-2</v>
      </c>
      <c r="W6049">
        <v>0.37778810000000002</v>
      </c>
      <c r="X6049">
        <v>0.92067100000000002</v>
      </c>
      <c r="Y6049">
        <v>-7.3495779999999997E-2</v>
      </c>
      <c r="Z6049">
        <v>-0.11658060000000001</v>
      </c>
      <c r="AA6049">
        <v>0.99045810000000001</v>
      </c>
      <c r="AB6049">
        <v>35</v>
      </c>
      <c r="AC6049">
        <v>-3.29000000000121E-2</v>
      </c>
      <c r="AD6049">
        <v>-0.1185353</v>
      </c>
      <c r="AE6049">
        <v>0.60602</v>
      </c>
      <c r="AF6049">
        <v>-6.6518455764053006E-2</v>
      </c>
      <c r="AG6049">
        <v>-0.1185353</v>
      </c>
      <c r="AH6049">
        <v>0.58081543020523796</v>
      </c>
      <c r="AI6049">
        <v>101.461845136259</v>
      </c>
      <c r="AJ6049">
        <v>96.533390052671706</v>
      </c>
      <c r="AK6049">
        <v>0.59650807728631805</v>
      </c>
      <c r="AL6049">
        <v>67.803259501931507</v>
      </c>
      <c r="AM6049">
        <v>96.087519839268097</v>
      </c>
      <c r="AN6049">
        <v>0.99999996210119901</v>
      </c>
    </row>
    <row r="6050" spans="1:40" x14ac:dyDescent="0.25">
      <c r="A6050" t="str">
        <f>"20190304164527384"</f>
        <v>20190304164527384</v>
      </c>
      <c r="B6050" t="str">
        <f>"1551689127376594"</f>
        <v>1551689127376594</v>
      </c>
      <c r="C6050" t="s">
        <v>40</v>
      </c>
      <c r="D6050">
        <v>5.2763999999999998</v>
      </c>
      <c r="E6050">
        <v>0.53563209999999895</v>
      </c>
      <c r="F6050" t="s">
        <v>41</v>
      </c>
      <c r="G6050">
        <v>-188.48609999999999</v>
      </c>
      <c r="H6050">
        <v>0.99486010000000002</v>
      </c>
      <c r="I6050">
        <v>-15.902010000000001</v>
      </c>
      <c r="J6050">
        <v>-188.45339999999999</v>
      </c>
      <c r="K6050">
        <v>1.1100810000000001</v>
      </c>
      <c r="L6050">
        <v>-16.447420000000001</v>
      </c>
      <c r="M6050">
        <v>5.9747040000000001E-2</v>
      </c>
      <c r="N6050">
        <v>-7.9900140000000001E-3</v>
      </c>
      <c r="O6050">
        <v>0.9981816</v>
      </c>
      <c r="P6050">
        <v>-4.1619730000000001E-2</v>
      </c>
      <c r="Q6050">
        <v>0.37156329999999999</v>
      </c>
      <c r="R6050">
        <v>0.92747429999999997</v>
      </c>
      <c r="S6050">
        <v>-3.8360600000000002E-2</v>
      </c>
      <c r="T6050">
        <v>-0.4251779</v>
      </c>
      <c r="U6050">
        <v>3.4011840000000002</v>
      </c>
      <c r="V6050">
        <v>-9.7128569999999997E-2</v>
      </c>
      <c r="W6050">
        <v>0.37888579999999999</v>
      </c>
      <c r="X6050">
        <v>0.92033229999999999</v>
      </c>
      <c r="Y6050">
        <v>-7.0888939999999998E-2</v>
      </c>
      <c r="Z6050">
        <v>-0.11561680000000001</v>
      </c>
      <c r="AA6050">
        <v>0.99076109999999995</v>
      </c>
      <c r="AB6050">
        <v>35</v>
      </c>
      <c r="AC6050">
        <v>-3.2700000000005502E-2</v>
      </c>
      <c r="AD6050">
        <v>-0.115220899999999</v>
      </c>
      <c r="AE6050">
        <v>0.54540999999999995</v>
      </c>
      <c r="AF6050">
        <v>-6.2452066588560201E-2</v>
      </c>
      <c r="AG6050">
        <v>-0.115220899999999</v>
      </c>
      <c r="AH6050">
        <v>0.51938522299906198</v>
      </c>
      <c r="AI6050">
        <v>102.421320940355</v>
      </c>
      <c r="AJ6050">
        <v>96.856457929370507</v>
      </c>
      <c r="AK6050">
        <v>0.53566512513675701</v>
      </c>
      <c r="AL6050">
        <v>67.735315813412697</v>
      </c>
      <c r="AM6050">
        <v>96.024490322131498</v>
      </c>
      <c r="AN6050">
        <v>0.99999997548758701</v>
      </c>
    </row>
    <row r="6051" spans="1:40" x14ac:dyDescent="0.25">
      <c r="A6051" t="str">
        <f>"20190304164527407"</f>
        <v>20190304164527407</v>
      </c>
      <c r="B6051" t="str">
        <f>"1551689127396113"</f>
        <v>1551689127396113</v>
      </c>
      <c r="C6051" t="s">
        <v>40</v>
      </c>
      <c r="D6051">
        <v>5.2464529999999998</v>
      </c>
      <c r="E6051">
        <v>0.53580490000000003</v>
      </c>
      <c r="F6051" t="s">
        <v>41</v>
      </c>
      <c r="G6051">
        <v>-188.46129999999999</v>
      </c>
      <c r="H6051">
        <v>1.0025949999999999</v>
      </c>
      <c r="I6051">
        <v>-15.582509999999999</v>
      </c>
      <c r="J6051">
        <v>-188.4316</v>
      </c>
      <c r="K6051">
        <v>1.110012</v>
      </c>
      <c r="L6051">
        <v>-16.083400000000001</v>
      </c>
      <c r="M6051">
        <v>5.9770950000000003E-2</v>
      </c>
      <c r="N6051">
        <v>-7.953959E-3</v>
      </c>
      <c r="O6051">
        <v>0.99818039999999997</v>
      </c>
      <c r="P6051">
        <v>-4.0358449999999997E-2</v>
      </c>
      <c r="Q6051">
        <v>0.37183490000000002</v>
      </c>
      <c r="R6051">
        <v>0.92742119999999995</v>
      </c>
      <c r="S6051">
        <v>-3.2089230000000003E-2</v>
      </c>
      <c r="T6051">
        <v>-0.42281079999999999</v>
      </c>
      <c r="U6051">
        <v>3.4025270000000001</v>
      </c>
      <c r="V6051">
        <v>-9.5833219999999997E-2</v>
      </c>
      <c r="W6051">
        <v>0.37913920000000001</v>
      </c>
      <c r="X6051">
        <v>0.92036379999999995</v>
      </c>
      <c r="Y6051">
        <v>-6.9084469999999995E-2</v>
      </c>
      <c r="Z6051">
        <v>-0.11493589999999999</v>
      </c>
      <c r="AA6051">
        <v>0.99096779999999995</v>
      </c>
      <c r="AB6051">
        <v>35</v>
      </c>
      <c r="AC6051">
        <v>-2.9699999999991102E-2</v>
      </c>
      <c r="AD6051">
        <v>-0.107416999999999</v>
      </c>
      <c r="AE6051">
        <v>0.50088999999999995</v>
      </c>
      <c r="AF6051">
        <v>-5.6975409410374801E-2</v>
      </c>
      <c r="AG6051">
        <v>-0.107416999999999</v>
      </c>
      <c r="AH6051">
        <v>0.47638698435705201</v>
      </c>
      <c r="AI6051">
        <v>102.61967733495899</v>
      </c>
      <c r="AJ6051">
        <v>96.8201231765876</v>
      </c>
      <c r="AK6051">
        <v>0.491659605856822</v>
      </c>
      <c r="AL6051">
        <v>67.719627827076906</v>
      </c>
      <c r="AM6051">
        <v>95.944522243316101</v>
      </c>
      <c r="AN6051">
        <v>1.00000003169132</v>
      </c>
    </row>
    <row r="6052" spans="1:40" x14ac:dyDescent="0.25">
      <c r="A6052" t="str">
        <f>"20190304164527432"</f>
        <v>20190304164527432</v>
      </c>
      <c r="B6052" t="str">
        <f>"1551689127426370"</f>
        <v>1551689127426370</v>
      </c>
      <c r="C6052" t="s">
        <v>40</v>
      </c>
      <c r="D6052">
        <v>5.2525839999999997</v>
      </c>
      <c r="E6052">
        <v>0.53603669999999903</v>
      </c>
      <c r="F6052" t="s">
        <v>41</v>
      </c>
      <c r="G6052">
        <v>-188.43790000000001</v>
      </c>
      <c r="H6052">
        <v>1.007898</v>
      </c>
      <c r="I6052">
        <v>-15.263030000000001</v>
      </c>
      <c r="J6052">
        <v>-188.40899999999999</v>
      </c>
      <c r="K6052">
        <v>1.1099410000000001</v>
      </c>
      <c r="L6052">
        <v>-15.704129999999999</v>
      </c>
      <c r="M6052">
        <v>5.9834129999999999E-2</v>
      </c>
      <c r="N6052">
        <v>-7.9150450000000008E-3</v>
      </c>
      <c r="O6052">
        <v>0.99817690000000003</v>
      </c>
      <c r="P6052">
        <v>-3.9430970000000003E-2</v>
      </c>
      <c r="Q6052">
        <v>0.37127690000000002</v>
      </c>
      <c r="R6052">
        <v>0.92768459999999997</v>
      </c>
      <c r="S6052">
        <v>-2.600098E-2</v>
      </c>
      <c r="T6052">
        <v>-0.4236338</v>
      </c>
      <c r="U6052">
        <v>3.4035030000000002</v>
      </c>
      <c r="V6052">
        <v>-9.4927449999999997E-2</v>
      </c>
      <c r="W6052">
        <v>0.37856200000000001</v>
      </c>
      <c r="X6052">
        <v>0.92069520000000005</v>
      </c>
      <c r="Y6052">
        <v>-6.7373130000000003E-2</v>
      </c>
      <c r="Z6052">
        <v>-0.11518339999999901</v>
      </c>
      <c r="AA6052">
        <v>0.99105690000000002</v>
      </c>
      <c r="AB6052">
        <v>35</v>
      </c>
      <c r="AC6052">
        <v>-2.8899999999993001E-2</v>
      </c>
      <c r="AD6052">
        <v>-0.10204299999999999</v>
      </c>
      <c r="AE6052">
        <v>0.44109999999999999</v>
      </c>
      <c r="AF6052">
        <v>-5.2447064375443803E-2</v>
      </c>
      <c r="AG6052">
        <v>-0.10204299999999999</v>
      </c>
      <c r="AH6052">
        <v>0.41639157677050098</v>
      </c>
      <c r="AI6052">
        <v>103.665930529956</v>
      </c>
      <c r="AJ6052">
        <v>97.178948421501005</v>
      </c>
      <c r="AK6052">
        <v>0.43190903395972802</v>
      </c>
      <c r="AL6052">
        <v>67.755362664752198</v>
      </c>
      <c r="AM6052">
        <v>95.886629402837997</v>
      </c>
      <c r="AN6052">
        <v>1.00000002995527</v>
      </c>
    </row>
    <row r="6053" spans="1:40" x14ac:dyDescent="0.25">
      <c r="A6053" t="str">
        <f>"20190304164527453"</f>
        <v>20190304164527453</v>
      </c>
      <c r="B6053" t="str">
        <f>"1551689127445890"</f>
        <v>1551689127445890</v>
      </c>
      <c r="C6053" t="s">
        <v>40</v>
      </c>
      <c r="D6053">
        <v>5.348611</v>
      </c>
      <c r="E6053">
        <v>0.5361148</v>
      </c>
      <c r="F6053" t="s">
        <v>41</v>
      </c>
      <c r="G6053">
        <v>-188.4134</v>
      </c>
      <c r="H6053">
        <v>1.014111</v>
      </c>
      <c r="I6053">
        <v>-14.942379999999901</v>
      </c>
      <c r="J6053">
        <v>-188.38849999999999</v>
      </c>
      <c r="K6053">
        <v>1.1098809999999999</v>
      </c>
      <c r="L6053">
        <v>-15.36331</v>
      </c>
      <c r="M6053">
        <v>5.99354E-2</v>
      </c>
      <c r="N6053">
        <v>-7.8758359999999902E-3</v>
      </c>
      <c r="O6053">
        <v>0.99817120000000004</v>
      </c>
      <c r="P6053">
        <v>-4.0054090000000001E-2</v>
      </c>
      <c r="Q6053">
        <v>0.37123349999999999</v>
      </c>
      <c r="R6053">
        <v>0.92767520000000003</v>
      </c>
      <c r="S6053">
        <v>-2.085876E-2</v>
      </c>
      <c r="T6053">
        <v>-0.42822640000000001</v>
      </c>
      <c r="U6053">
        <v>3.4043580000000002</v>
      </c>
      <c r="V6053">
        <v>-9.5589679999999996E-2</v>
      </c>
      <c r="W6053">
        <v>0.37849480000000002</v>
      </c>
      <c r="X6053">
        <v>0.92065430000000004</v>
      </c>
      <c r="Y6053">
        <v>-6.5975099999999995E-2</v>
      </c>
      <c r="Z6053">
        <v>-0.1165118</v>
      </c>
      <c r="AA6053">
        <v>0.99099559999999998</v>
      </c>
      <c r="AB6053">
        <v>36</v>
      </c>
      <c r="AC6053">
        <v>-2.4900000000002299E-2</v>
      </c>
      <c r="AD6053">
        <v>-9.5769999999999897E-2</v>
      </c>
      <c r="AE6053">
        <v>0.42093000000000202</v>
      </c>
      <c r="AF6053">
        <v>-4.76277531543065E-2</v>
      </c>
      <c r="AG6053">
        <v>-9.5769999999999897E-2</v>
      </c>
      <c r="AH6053">
        <v>0.39814266323244801</v>
      </c>
      <c r="AI6053">
        <v>103.432823712418</v>
      </c>
      <c r="AJ6053">
        <v>96.821582632726503</v>
      </c>
      <c r="AK6053">
        <v>0.41225947661194401</v>
      </c>
      <c r="AL6053">
        <v>67.759522248195793</v>
      </c>
      <c r="AM6053">
        <v>95.927665600096802</v>
      </c>
      <c r="AN6053">
        <v>1.00000002032901</v>
      </c>
    </row>
    <row r="6054" spans="1:40" x14ac:dyDescent="0.25">
      <c r="A6054" t="str">
        <f>"20190304164527476"</f>
        <v>20190304164527476</v>
      </c>
      <c r="B6054" t="str">
        <f>"1551689127466386"</f>
        <v>1551689127466386</v>
      </c>
      <c r="C6054" t="s">
        <v>40</v>
      </c>
      <c r="D6054">
        <v>5.238162</v>
      </c>
      <c r="E6054">
        <v>0.53604309999999999</v>
      </c>
      <c r="F6054" t="s">
        <v>41</v>
      </c>
      <c r="G6054">
        <v>-188.39269999999999</v>
      </c>
      <c r="H6054">
        <v>1.016332</v>
      </c>
      <c r="I6054">
        <v>-14.620089999999999</v>
      </c>
      <c r="J6054">
        <v>-188.36760000000001</v>
      </c>
      <c r="K6054">
        <v>1.1098049999999999</v>
      </c>
      <c r="L6054">
        <v>-15.016690000000001</v>
      </c>
      <c r="M6054">
        <v>6.0094420000000003E-2</v>
      </c>
      <c r="N6054">
        <v>-7.8359390000000001E-3</v>
      </c>
      <c r="O6054">
        <v>0.99816190000000005</v>
      </c>
      <c r="P6054">
        <v>-4.0953249999999997E-2</v>
      </c>
      <c r="Q6054">
        <v>0.37070760000000003</v>
      </c>
      <c r="R6054">
        <v>0.92784630000000001</v>
      </c>
      <c r="S6054">
        <v>-1.960754E-2</v>
      </c>
      <c r="T6054">
        <v>-0.42851159999999999</v>
      </c>
      <c r="U6054">
        <v>3.4045100000000001</v>
      </c>
      <c r="V6054">
        <v>-9.6584420000000004E-2</v>
      </c>
      <c r="W6054">
        <v>0.37794840000000002</v>
      </c>
      <c r="X6054">
        <v>0.92077489999999995</v>
      </c>
      <c r="Y6054">
        <v>-6.576978E-2</v>
      </c>
      <c r="Z6054">
        <v>-0.1166268</v>
      </c>
      <c r="AA6054">
        <v>0.99099570000000003</v>
      </c>
      <c r="AB6054">
        <v>36</v>
      </c>
      <c r="AC6054">
        <v>-2.5099999999980499E-2</v>
      </c>
      <c r="AD6054">
        <v>-9.3472999999999903E-2</v>
      </c>
      <c r="AE6054">
        <v>0.39659999999999901</v>
      </c>
      <c r="AF6054">
        <v>-4.6325783608990201E-2</v>
      </c>
      <c r="AG6054">
        <v>-9.3472999999999903E-2</v>
      </c>
      <c r="AH6054">
        <v>0.37369939270754399</v>
      </c>
      <c r="AI6054">
        <v>103.940691337464</v>
      </c>
      <c r="AJ6054">
        <v>97.066641020843605</v>
      </c>
      <c r="AK6054">
        <v>0.38798777824304498</v>
      </c>
      <c r="AL6054">
        <v>67.793339929327999</v>
      </c>
      <c r="AM6054">
        <v>95.988126235569197</v>
      </c>
      <c r="AN6054">
        <v>0.99999997985965206</v>
      </c>
    </row>
    <row r="6055" spans="1:40" x14ac:dyDescent="0.25">
      <c r="A6055" t="str">
        <f>"20190304164527496"</f>
        <v>20190304164527496</v>
      </c>
      <c r="B6055" t="str">
        <f>"1551689127485906"</f>
        <v>1551689127485906</v>
      </c>
      <c r="C6055" t="s">
        <v>40</v>
      </c>
      <c r="D6055">
        <v>5.2773180000000002</v>
      </c>
      <c r="E6055">
        <v>0.53595709999999996</v>
      </c>
      <c r="F6055" t="s">
        <v>41</v>
      </c>
      <c r="G6055">
        <v>-188.3741</v>
      </c>
      <c r="H6055">
        <v>0.98168719999999998</v>
      </c>
      <c r="I6055">
        <v>-14.00235</v>
      </c>
      <c r="J6055">
        <v>-188.34639999999999</v>
      </c>
      <c r="K6055">
        <v>1.1097140000000001</v>
      </c>
      <c r="L6055">
        <v>-14.666600000000001</v>
      </c>
      <c r="M6055">
        <v>6.0324379999999997E-2</v>
      </c>
      <c r="N6055">
        <v>-7.794558E-3</v>
      </c>
      <c r="O6055">
        <v>0.99814840000000005</v>
      </c>
      <c r="P6055">
        <v>-4.2449729999999998E-2</v>
      </c>
      <c r="Q6055">
        <v>0.3700832</v>
      </c>
      <c r="R6055">
        <v>0.92802819999999997</v>
      </c>
      <c r="S6055">
        <v>-2.1682739999999999E-2</v>
      </c>
      <c r="T6055">
        <v>-0.42996069999999997</v>
      </c>
      <c r="U6055">
        <v>3.4041139999999999</v>
      </c>
      <c r="V6055">
        <v>-9.8236240000000002E-2</v>
      </c>
      <c r="W6055">
        <v>0.37730370000000002</v>
      </c>
      <c r="X6055">
        <v>0.92086460000000003</v>
      </c>
      <c r="Y6055">
        <v>-6.6603659999999995E-2</v>
      </c>
      <c r="Z6055">
        <v>-0.11709029999999999</v>
      </c>
      <c r="AA6055">
        <v>0.99088540000000003</v>
      </c>
      <c r="AB6055">
        <v>36</v>
      </c>
      <c r="AC6055">
        <v>-2.7700000000010001E-2</v>
      </c>
      <c r="AD6055">
        <v>-0.128026799999999</v>
      </c>
      <c r="AE6055">
        <v>0.66425000000000001</v>
      </c>
      <c r="AF6055">
        <v>-6.52996775120991E-2</v>
      </c>
      <c r="AG6055">
        <v>-0.128026799999999</v>
      </c>
      <c r="AH6055">
        <v>0.63772009936406204</v>
      </c>
      <c r="AI6055">
        <v>101.294108730538</v>
      </c>
      <c r="AJ6055">
        <v>95.846454575477594</v>
      </c>
      <c r="AK6055">
        <v>0.65371387818703497</v>
      </c>
      <c r="AL6055">
        <v>67.833233299592095</v>
      </c>
      <c r="AM6055">
        <v>96.089185346687003</v>
      </c>
      <c r="AN6055">
        <v>1.0000000262080899</v>
      </c>
    </row>
    <row r="6056" spans="1:40" x14ac:dyDescent="0.25">
      <c r="A6056" t="str">
        <f>"20190304164527522"</f>
        <v>20190304164527522</v>
      </c>
      <c r="B6056" t="str">
        <f>"1551689127516162"</f>
        <v>1551689127516162</v>
      </c>
      <c r="C6056" t="s">
        <v>40</v>
      </c>
      <c r="D6056">
        <v>5.2001249999999999</v>
      </c>
      <c r="E6056">
        <v>0.5358174</v>
      </c>
      <c r="F6056" t="s">
        <v>41</v>
      </c>
      <c r="G6056">
        <v>-188.35380000000001</v>
      </c>
      <c r="H6056">
        <v>0.98457229999999996</v>
      </c>
      <c r="I6056">
        <v>-13.68024</v>
      </c>
      <c r="J6056">
        <v>-188.32249999999999</v>
      </c>
      <c r="K6056">
        <v>1.1096280000000001</v>
      </c>
      <c r="L6056">
        <v>-14.27643</v>
      </c>
      <c r="M6056">
        <v>6.06533E-2</v>
      </c>
      <c r="N6056">
        <v>-7.7504679999999999E-3</v>
      </c>
      <c r="O6056">
        <v>0.99812880000000004</v>
      </c>
      <c r="P6056">
        <v>-4.4744890000000002E-2</v>
      </c>
      <c r="Q6056">
        <v>0.36969809999999997</v>
      </c>
      <c r="R6056">
        <v>0.92807390000000001</v>
      </c>
      <c r="S6056">
        <v>-2.607727E-2</v>
      </c>
      <c r="T6056">
        <v>-0.43179610000000002</v>
      </c>
      <c r="U6056">
        <v>3.4036559999999998</v>
      </c>
      <c r="V6056">
        <v>-0.1007647</v>
      </c>
      <c r="W6056">
        <v>0.37689689999999998</v>
      </c>
      <c r="X6056">
        <v>0.92075790000000002</v>
      </c>
      <c r="Y6056">
        <v>-6.8211179999999996E-2</v>
      </c>
      <c r="Z6056">
        <v>-0.1176642</v>
      </c>
      <c r="AA6056">
        <v>0.99070800000000003</v>
      </c>
      <c r="AB6056">
        <v>36</v>
      </c>
      <c r="AC6056">
        <v>-3.1300000000015801E-2</v>
      </c>
      <c r="AD6056">
        <v>-0.12505569999999999</v>
      </c>
      <c r="AE6056">
        <v>0.59619</v>
      </c>
      <c r="AF6056">
        <v>-6.4571125225088899E-2</v>
      </c>
      <c r="AG6056">
        <v>-0.12505569999999999</v>
      </c>
      <c r="AH6056">
        <v>0.56825993396074204</v>
      </c>
      <c r="AI6056">
        <v>102.33420245847201</v>
      </c>
      <c r="AJ6056">
        <v>96.482688739433698</v>
      </c>
      <c r="AK6056">
        <v>0.58542950972802099</v>
      </c>
      <c r="AL6056">
        <v>67.858397477715002</v>
      </c>
      <c r="AM6056">
        <v>96.245407309490602</v>
      </c>
      <c r="AN6056">
        <v>0.99999995420405396</v>
      </c>
    </row>
    <row r="6057" spans="1:40" x14ac:dyDescent="0.25">
      <c r="A6057" t="str">
        <f>"20190304164527541"</f>
        <v>20190304164527541</v>
      </c>
      <c r="B6057" t="str">
        <f>"1551689127535682"</f>
        <v>1551689127535682</v>
      </c>
      <c r="C6057" t="s">
        <v>40</v>
      </c>
      <c r="D6057">
        <v>5.2573160000000003</v>
      </c>
      <c r="E6057">
        <v>0.535753699999999</v>
      </c>
      <c r="F6057" t="s">
        <v>41</v>
      </c>
      <c r="G6057">
        <v>-188.3313</v>
      </c>
      <c r="H6057">
        <v>0.9924811</v>
      </c>
      <c r="I6057">
        <v>-13.35432</v>
      </c>
      <c r="J6057">
        <v>-188.30269999999999</v>
      </c>
      <c r="K6057">
        <v>1.1095549999999901</v>
      </c>
      <c r="L6057">
        <v>-13.955109999999999</v>
      </c>
      <c r="M6057">
        <v>6.0981889999999997E-2</v>
      </c>
      <c r="N6057">
        <v>-7.71747199999999E-3</v>
      </c>
      <c r="O6057">
        <v>0.99810900000000002</v>
      </c>
      <c r="P6057">
        <v>-4.7956220000000001E-2</v>
      </c>
      <c r="Q6057">
        <v>0.36873420000000001</v>
      </c>
      <c r="R6057">
        <v>0.92829700000000004</v>
      </c>
      <c r="S6057">
        <v>-3.2363889999999999E-2</v>
      </c>
      <c r="T6057">
        <v>-0.43232910000000002</v>
      </c>
      <c r="U6057">
        <v>3.403168</v>
      </c>
      <c r="V6057">
        <v>-0.1042346</v>
      </c>
      <c r="W6057">
        <v>0.3759189</v>
      </c>
      <c r="X6057">
        <v>0.92077149999999996</v>
      </c>
      <c r="Y6057">
        <v>-7.0369219999999996E-2</v>
      </c>
      <c r="Z6057">
        <v>-0.117852399999999</v>
      </c>
      <c r="AA6057">
        <v>0.99053469999999999</v>
      </c>
      <c r="AB6057">
        <v>36</v>
      </c>
      <c r="AC6057">
        <v>-2.8600000000011502E-2</v>
      </c>
      <c r="AD6057">
        <v>-0.117073899999999</v>
      </c>
      <c r="AE6057">
        <v>0.60078999999999905</v>
      </c>
      <c r="AF6057">
        <v>-6.2805645005725497E-2</v>
      </c>
      <c r="AG6057">
        <v>-0.117073899999999</v>
      </c>
      <c r="AH6057">
        <v>0.57610084418580998</v>
      </c>
      <c r="AI6057">
        <v>101.421216682725</v>
      </c>
      <c r="AJ6057">
        <v>96.221728610566799</v>
      </c>
      <c r="AK6057">
        <v>0.59122164183781201</v>
      </c>
      <c r="AL6057">
        <v>67.9188824530913</v>
      </c>
      <c r="AM6057">
        <v>96.458590099656305</v>
      </c>
      <c r="AN6057">
        <v>1.00000001321331</v>
      </c>
    </row>
    <row r="6058" spans="1:40" x14ac:dyDescent="0.25">
      <c r="A6058" t="str">
        <f>"20190304164527563"</f>
        <v>20190304164527563</v>
      </c>
      <c r="B6058" t="str">
        <f>"1551689127556178"</f>
        <v>1551689127556178</v>
      </c>
      <c r="C6058" t="s">
        <v>40</v>
      </c>
      <c r="D6058">
        <v>5.2267210000000004</v>
      </c>
      <c r="E6058">
        <v>0.5357075</v>
      </c>
      <c r="F6058" t="s">
        <v>41</v>
      </c>
      <c r="G6058">
        <v>-188.31399999999999</v>
      </c>
      <c r="H6058">
        <v>0.99144120000000002</v>
      </c>
      <c r="I6058">
        <v>-13.03201</v>
      </c>
      <c r="J6058">
        <v>-188.27979999999999</v>
      </c>
      <c r="K6058">
        <v>1.1094889999999999</v>
      </c>
      <c r="L6058">
        <v>-13.585940000000001</v>
      </c>
      <c r="M6058">
        <v>6.1427919999999997E-2</v>
      </c>
      <c r="N6058">
        <v>-7.6815260000000002E-3</v>
      </c>
      <c r="O6058">
        <v>0.99808200000000002</v>
      </c>
      <c r="P6058">
        <v>-5.0505790000000002E-2</v>
      </c>
      <c r="Q6058">
        <v>0.36897780000000002</v>
      </c>
      <c r="R6058">
        <v>0.92806489999999997</v>
      </c>
      <c r="S6058">
        <v>-4.188538E-2</v>
      </c>
      <c r="T6058">
        <v>-0.43533369999999999</v>
      </c>
      <c r="U6058">
        <v>3.4024960000000002</v>
      </c>
      <c r="V6058">
        <v>-0.10712000000000001</v>
      </c>
      <c r="W6058">
        <v>0.3761447</v>
      </c>
      <c r="X6058">
        <v>0.92034800000000005</v>
      </c>
      <c r="Y6058">
        <v>-7.3584880000000005E-2</v>
      </c>
      <c r="Z6058">
        <v>-0.1187493</v>
      </c>
      <c r="AA6058">
        <v>0.99019380000000001</v>
      </c>
      <c r="AB6058">
        <v>36</v>
      </c>
      <c r="AC6058">
        <v>-3.4200000000026799E-2</v>
      </c>
      <c r="AD6058">
        <v>-0.118047799999999</v>
      </c>
      <c r="AE6058">
        <v>0.55392999999999704</v>
      </c>
      <c r="AF6058">
        <v>-6.5212744911443299E-2</v>
      </c>
      <c r="AG6058">
        <v>-0.118047799999999</v>
      </c>
      <c r="AH6058">
        <v>0.52694237759273699</v>
      </c>
      <c r="AI6058">
        <v>102.534584250918</v>
      </c>
      <c r="AJ6058">
        <v>97.054875934790005</v>
      </c>
      <c r="AK6058">
        <v>0.54392669955317696</v>
      </c>
      <c r="AL6058">
        <v>67.904919695173703</v>
      </c>
      <c r="AM6058">
        <v>96.638828346962896</v>
      </c>
      <c r="AN6058">
        <v>0.99999998542104496</v>
      </c>
    </row>
    <row r="6059" spans="1:40" x14ac:dyDescent="0.25">
      <c r="A6059" t="str">
        <f>"20190304164527585"</f>
        <v>20190304164527585</v>
      </c>
      <c r="B6059" t="str">
        <f>"1551689127575698"</f>
        <v>1551689127575698</v>
      </c>
      <c r="C6059" t="s">
        <v>40</v>
      </c>
      <c r="D6059">
        <v>5.2502519999999997</v>
      </c>
      <c r="E6059">
        <v>0.53568269999999996</v>
      </c>
      <c r="F6059" t="s">
        <v>41</v>
      </c>
      <c r="G6059">
        <v>-188.29329999999999</v>
      </c>
      <c r="H6059">
        <v>0.99710379999999998</v>
      </c>
      <c r="I6059">
        <v>-12.705310000000001</v>
      </c>
      <c r="J6059">
        <v>-188.25790000000001</v>
      </c>
      <c r="K6059">
        <v>1.1094329999999999</v>
      </c>
      <c r="L6059">
        <v>-13.23596</v>
      </c>
      <c r="M6059">
        <v>6.1908100000000001E-2</v>
      </c>
      <c r="N6059">
        <v>-7.6470590000000003E-3</v>
      </c>
      <c r="O6059">
        <v>0.99805250000000001</v>
      </c>
      <c r="P6059">
        <v>-5.2454960000000002E-2</v>
      </c>
      <c r="Q6059">
        <v>0.36972120000000003</v>
      </c>
      <c r="R6059">
        <v>0.92766090000000001</v>
      </c>
      <c r="S6059">
        <v>-5.2185059999999998E-2</v>
      </c>
      <c r="T6059">
        <v>-0.43419229999999998</v>
      </c>
      <c r="U6059">
        <v>3.4023129999999999</v>
      </c>
      <c r="V6059">
        <v>-0.10943410000000001</v>
      </c>
      <c r="W6059">
        <v>0.37686819999999999</v>
      </c>
      <c r="X6059">
        <v>0.91977960000000003</v>
      </c>
      <c r="Y6059">
        <v>-7.7060820000000002E-2</v>
      </c>
      <c r="Z6059">
        <v>-0.1184383</v>
      </c>
      <c r="AA6059">
        <v>0.98996669999999998</v>
      </c>
      <c r="AB6059">
        <v>36</v>
      </c>
      <c r="AC6059">
        <v>-3.5399999999981398E-2</v>
      </c>
      <c r="AD6059">
        <v>-0.112329199999999</v>
      </c>
      <c r="AE6059">
        <v>0.53064999999999896</v>
      </c>
      <c r="AF6059">
        <v>-6.5272717726496496E-2</v>
      </c>
      <c r="AG6059">
        <v>-0.112329199999999</v>
      </c>
      <c r="AH6059">
        <v>0.50491574262774597</v>
      </c>
      <c r="AI6059">
        <v>102.442128076419</v>
      </c>
      <c r="AJ6059">
        <v>97.366029692645597</v>
      </c>
      <c r="AK6059">
        <v>0.52136195105259697</v>
      </c>
      <c r="AL6059">
        <v>67.860173551314702</v>
      </c>
      <c r="AM6059">
        <v>96.785075972538706</v>
      </c>
      <c r="AN6059">
        <v>0.99999998749510499</v>
      </c>
    </row>
    <row r="6060" spans="1:40" x14ac:dyDescent="0.25">
      <c r="A6060" t="str">
        <f>"20190304164527607"</f>
        <v>20190304164527607</v>
      </c>
      <c r="B6060" t="str">
        <f>"1551689127596194"</f>
        <v>1551689127596194</v>
      </c>
      <c r="C6060" t="s">
        <v>40</v>
      </c>
      <c r="D6060">
        <v>5.2601579999999997</v>
      </c>
      <c r="E6060">
        <v>0.53568629999999995</v>
      </c>
      <c r="F6060" t="s">
        <v>42</v>
      </c>
      <c r="G6060">
        <v>-188.41669999999999</v>
      </c>
      <c r="H6060" s="1">
        <v>-2.8042030000000001E-6</v>
      </c>
      <c r="I6060">
        <v>-4.4852299999999996</v>
      </c>
      <c r="J6060">
        <v>-188.23560000000001</v>
      </c>
      <c r="K6060">
        <v>1.10938</v>
      </c>
      <c r="L6060">
        <v>-12.884029999999999</v>
      </c>
      <c r="M6060">
        <v>6.2432010000000003E-2</v>
      </c>
      <c r="N6060">
        <v>-7.6147699999999999E-3</v>
      </c>
      <c r="O6060">
        <v>0.99802020000000002</v>
      </c>
      <c r="P6060">
        <v>-5.4746330000000003E-2</v>
      </c>
      <c r="Q6060">
        <v>0.36922189999999999</v>
      </c>
      <c r="R6060">
        <v>0.92772739999999998</v>
      </c>
      <c r="S6060">
        <v>-6.1737060000000003E-2</v>
      </c>
      <c r="T6060">
        <v>-0.43135990000000002</v>
      </c>
      <c r="U6060">
        <v>3.402374</v>
      </c>
      <c r="V6060">
        <v>-0.11216669999999999</v>
      </c>
      <c r="W6060">
        <v>0.37635370000000001</v>
      </c>
      <c r="X6060">
        <v>0.91966110000000001</v>
      </c>
      <c r="Y6060">
        <v>-8.0362390000000006E-2</v>
      </c>
      <c r="Z6060">
        <v>-0.1176321</v>
      </c>
      <c r="AA6060">
        <v>0.98980029999999997</v>
      </c>
      <c r="AB6060">
        <v>36</v>
      </c>
      <c r="AC6060">
        <v>-0.18109999999998599</v>
      </c>
      <c r="AD6060">
        <v>-1.1093828042030001</v>
      </c>
      <c r="AE6060">
        <v>8.3987999999999996</v>
      </c>
      <c r="AF6060">
        <v>-0.693029959294994</v>
      </c>
      <c r="AG6060">
        <v>-1.1093828042030001</v>
      </c>
      <c r="AH6060">
        <v>8.2276248903939901</v>
      </c>
      <c r="AI6060">
        <v>97.652461740999797</v>
      </c>
      <c r="AJ6060">
        <v>94.814777139974098</v>
      </c>
      <c r="AK6060">
        <v>8.3309562517019895</v>
      </c>
      <c r="AL6060">
        <v>67.891995676319496</v>
      </c>
      <c r="AM6060">
        <v>96.953749821250099</v>
      </c>
      <c r="AN6060">
        <v>1.0000000074728901</v>
      </c>
    </row>
    <row r="6061" spans="1:40" x14ac:dyDescent="0.25">
      <c r="A6061" t="str">
        <f>"20190304164527632"</f>
        <v>20190304164527632</v>
      </c>
      <c r="B6061" t="str">
        <f>"1551689127626450"</f>
        <v>1551689127626450</v>
      </c>
      <c r="C6061" t="s">
        <v>40</v>
      </c>
      <c r="D6061">
        <v>5.2570509999999997</v>
      </c>
      <c r="E6061">
        <v>0.53570030000000002</v>
      </c>
      <c r="F6061" t="s">
        <v>42</v>
      </c>
      <c r="G6061">
        <v>-188.41499999999999</v>
      </c>
      <c r="H6061" s="1">
        <v>-2.9416700000000002E-6</v>
      </c>
      <c r="I6061">
        <v>-4.1654879999999999</v>
      </c>
      <c r="J6061">
        <v>-188.2105</v>
      </c>
      <c r="K6061">
        <v>1.109332</v>
      </c>
      <c r="L6061">
        <v>-12.490449999999999</v>
      </c>
      <c r="M6061">
        <v>6.3047249999999999E-2</v>
      </c>
      <c r="N6061">
        <v>-7.5830100000000003E-3</v>
      </c>
      <c r="O6061">
        <v>0.99798169999999997</v>
      </c>
      <c r="P6061">
        <v>-5.8204699999999998E-2</v>
      </c>
      <c r="Q6061">
        <v>0.36820409999999998</v>
      </c>
      <c r="R6061">
        <v>0.92792140000000001</v>
      </c>
      <c r="S6061">
        <v>-6.997681E-2</v>
      </c>
      <c r="T6061">
        <v>-0.43286599999999997</v>
      </c>
      <c r="U6061">
        <v>3.4018549999999999</v>
      </c>
      <c r="V6061">
        <v>-0.11616269999999999</v>
      </c>
      <c r="W6061">
        <v>0.37532140000000003</v>
      </c>
      <c r="X6061">
        <v>0.91958689999999998</v>
      </c>
      <c r="Y6061">
        <v>-8.3373030000000001E-2</v>
      </c>
      <c r="Z6061">
        <v>-0.1180866</v>
      </c>
      <c r="AA6061">
        <v>0.98949710000000002</v>
      </c>
      <c r="AB6061">
        <v>36</v>
      </c>
      <c r="AC6061">
        <v>-0.20449999999999499</v>
      </c>
      <c r="AD6061">
        <v>-1.10933494167</v>
      </c>
      <c r="AE6061">
        <v>8.3249619999999993</v>
      </c>
      <c r="AF6061">
        <v>-0.71626343794021097</v>
      </c>
      <c r="AG6061">
        <v>-1.10933494167</v>
      </c>
      <c r="AH6061">
        <v>8.1508607164835496</v>
      </c>
      <c r="AI6061">
        <v>97.720962347068493</v>
      </c>
      <c r="AJ6061">
        <v>95.022012275060007</v>
      </c>
      <c r="AK6061">
        <v>8.2571295099964797</v>
      </c>
      <c r="AL6061">
        <v>67.955821208574804</v>
      </c>
      <c r="AM6061">
        <v>97.199500703231493</v>
      </c>
      <c r="AN6061">
        <v>0.99999999641042903</v>
      </c>
    </row>
    <row r="6062" spans="1:40" x14ac:dyDescent="0.25">
      <c r="A6062" t="str">
        <f>"20190304164527653"</f>
        <v>20190304164527653</v>
      </c>
      <c r="B6062" t="str">
        <f>"1551689127645969"</f>
        <v>1551689127645969</v>
      </c>
      <c r="C6062" t="s">
        <v>40</v>
      </c>
      <c r="D6062">
        <v>5.2602209999999996</v>
      </c>
      <c r="E6062">
        <v>0.53572419999999898</v>
      </c>
      <c r="F6062" t="s">
        <v>42</v>
      </c>
      <c r="G6062">
        <v>-188.4109</v>
      </c>
      <c r="H6062" s="1">
        <v>-3.0832139999999999E-6</v>
      </c>
      <c r="I6062">
        <v>-3.8372540000000002</v>
      </c>
      <c r="J6062">
        <v>-188.18700000000001</v>
      </c>
      <c r="K6062">
        <v>1.109307</v>
      </c>
      <c r="L6062">
        <v>-12.12518</v>
      </c>
      <c r="M6062">
        <v>6.3622440000000002E-2</v>
      </c>
      <c r="N6062">
        <v>-7.5574759999999996E-3</v>
      </c>
      <c r="O6062">
        <v>0.99794539999999998</v>
      </c>
      <c r="P6062">
        <v>-6.109212E-2</v>
      </c>
      <c r="Q6062">
        <v>0.36784420000000001</v>
      </c>
      <c r="R6062">
        <v>0.92787839999999999</v>
      </c>
      <c r="S6062">
        <v>-7.8750609999999999E-2</v>
      </c>
      <c r="T6062">
        <v>-0.43601849999999998</v>
      </c>
      <c r="U6062">
        <v>3.4010929999999999</v>
      </c>
      <c r="V6062">
        <v>-0.11955259999999999</v>
      </c>
      <c r="W6062">
        <v>0.37494709999999998</v>
      </c>
      <c r="X6062">
        <v>0.91930509999999999</v>
      </c>
      <c r="Y6062">
        <v>-8.6498459999999999E-2</v>
      </c>
      <c r="Z6062">
        <v>-0.1190128</v>
      </c>
      <c r="AA6062">
        <v>0.98911780000000005</v>
      </c>
      <c r="AB6062">
        <v>36</v>
      </c>
      <c r="AC6062">
        <v>-0.223899999999986</v>
      </c>
      <c r="AD6062">
        <v>-1.1093100832139999</v>
      </c>
      <c r="AE6062">
        <v>8.2879259999999899</v>
      </c>
      <c r="AF6062">
        <v>-0.73755591001550602</v>
      </c>
      <c r="AG6062">
        <v>-1.1093100832139999</v>
      </c>
      <c r="AH6062">
        <v>8.1116747672580196</v>
      </c>
      <c r="AI6062">
        <v>97.755563695604096</v>
      </c>
      <c r="AJ6062">
        <v>95.195346141580998</v>
      </c>
      <c r="AK6062">
        <v>8.2203299879560507</v>
      </c>
      <c r="AL6062">
        <v>67.978956885843999</v>
      </c>
      <c r="AM6062">
        <v>97.409543691784606</v>
      </c>
      <c r="AN6062">
        <v>1.0000000094255801</v>
      </c>
    </row>
    <row r="6063" spans="1:40" x14ac:dyDescent="0.25">
      <c r="A6063" t="str">
        <f>"20190304164527675"</f>
        <v>20190304164527675</v>
      </c>
      <c r="B6063" t="str">
        <f>"1551689127666466"</f>
        <v>1551689127666466</v>
      </c>
      <c r="C6063" t="s">
        <v>40</v>
      </c>
      <c r="D6063">
        <v>5.365253</v>
      </c>
      <c r="E6063">
        <v>0.53574900000000003</v>
      </c>
      <c r="F6063" t="s">
        <v>42</v>
      </c>
      <c r="G6063">
        <v>-188.40469999999999</v>
      </c>
      <c r="H6063" s="1">
        <v>-3.231336E-6</v>
      </c>
      <c r="I6063">
        <v>-3.4945059999999999</v>
      </c>
      <c r="J6063">
        <v>-188.1652</v>
      </c>
      <c r="K6063">
        <v>1.109299</v>
      </c>
      <c r="L6063">
        <v>-11.789429999999999</v>
      </c>
      <c r="M6063">
        <v>6.4123559999999996E-2</v>
      </c>
      <c r="N6063">
        <v>-7.5371530000000004E-3</v>
      </c>
      <c r="O6063">
        <v>0.99791350000000001</v>
      </c>
      <c r="P6063">
        <v>-6.2961370000000003E-2</v>
      </c>
      <c r="Q6063">
        <v>0.36829689999999998</v>
      </c>
      <c r="R6063">
        <v>0.92757389999999995</v>
      </c>
      <c r="S6063">
        <v>-8.5800169999999995E-2</v>
      </c>
      <c r="T6063">
        <v>-0.43711070000000002</v>
      </c>
      <c r="U6063">
        <v>3.4008180000000001</v>
      </c>
      <c r="V6063">
        <v>-0.12185989999999999</v>
      </c>
      <c r="W6063">
        <v>0.3753802</v>
      </c>
      <c r="X6063">
        <v>0.91882529999999996</v>
      </c>
      <c r="Y6063">
        <v>-8.9047089999999995E-2</v>
      </c>
      <c r="Z6063">
        <v>-0.11933100000000001</v>
      </c>
      <c r="AA6063">
        <v>0.98885319999999999</v>
      </c>
      <c r="AB6063">
        <v>36</v>
      </c>
      <c r="AC6063">
        <v>-0.239499999999992</v>
      </c>
      <c r="AD6063">
        <v>-1.1093022313359999</v>
      </c>
      <c r="AE6063">
        <v>8.294924</v>
      </c>
      <c r="AF6063">
        <v>-0.75738807415015097</v>
      </c>
      <c r="AG6063">
        <v>-1.1093022313359999</v>
      </c>
      <c r="AH6063">
        <v>8.1174389783714407</v>
      </c>
      <c r="AI6063">
        <v>97.748406082972593</v>
      </c>
      <c r="AJ6063">
        <v>95.330482552765403</v>
      </c>
      <c r="AK6063">
        <v>8.2278188909878107</v>
      </c>
      <c r="AL6063">
        <v>67.952187252888706</v>
      </c>
      <c r="AM6063">
        <v>97.554806627855299</v>
      </c>
      <c r="AN6063">
        <v>1.0000000308500601</v>
      </c>
    </row>
    <row r="6064" spans="1:40" x14ac:dyDescent="0.25">
      <c r="A6064" t="str">
        <f>"20190304164527697"</f>
        <v>20190304164527697</v>
      </c>
      <c r="B6064" t="str">
        <f>"1551689127685985"</f>
        <v>1551689127685985</v>
      </c>
      <c r="C6064" t="s">
        <v>40</v>
      </c>
      <c r="D6064">
        <v>5.310314</v>
      </c>
      <c r="E6064">
        <v>0.53580699999999903</v>
      </c>
      <c r="F6064" t="s">
        <v>42</v>
      </c>
      <c r="G6064">
        <v>-188.39269999999999</v>
      </c>
      <c r="H6064" s="1">
        <v>-3.3906690000000002E-6</v>
      </c>
      <c r="I6064">
        <v>-3.1280570000000001</v>
      </c>
      <c r="J6064">
        <v>-188.14070000000001</v>
      </c>
      <c r="K6064">
        <v>1.109321</v>
      </c>
      <c r="L6064">
        <v>-11.4147</v>
      </c>
      <c r="M6064">
        <v>6.4616670000000001E-2</v>
      </c>
      <c r="N6064">
        <v>-7.5178659999999998E-3</v>
      </c>
      <c r="O6064">
        <v>0.99788180000000004</v>
      </c>
      <c r="P6064">
        <v>-6.4594780000000004E-2</v>
      </c>
      <c r="Q6064">
        <v>0.36857630000000002</v>
      </c>
      <c r="R6064">
        <v>0.92735060000000002</v>
      </c>
      <c r="S6064">
        <v>-8.9355470000000006E-2</v>
      </c>
      <c r="T6064">
        <v>-0.43559769999999998</v>
      </c>
      <c r="U6064">
        <v>3.4011230000000001</v>
      </c>
      <c r="V6064">
        <v>-0.1239537</v>
      </c>
      <c r="W6064">
        <v>0.37563340000000001</v>
      </c>
      <c r="X6064">
        <v>0.91844159999999997</v>
      </c>
      <c r="Y6064">
        <v>-9.0570750000000005E-2</v>
      </c>
      <c r="Z6064">
        <v>-0.11889</v>
      </c>
      <c r="AA6064">
        <v>0.98876799999999998</v>
      </c>
      <c r="AB6064">
        <v>37</v>
      </c>
      <c r="AC6064">
        <v>-0.25199999999998102</v>
      </c>
      <c r="AD6064">
        <v>-1.109324390669</v>
      </c>
      <c r="AE6064">
        <v>8.2866429999999998</v>
      </c>
      <c r="AF6064">
        <v>-0.77310187809042297</v>
      </c>
      <c r="AG6064">
        <v>-1.109324390669</v>
      </c>
      <c r="AH6064">
        <v>8.1078742218891406</v>
      </c>
      <c r="AI6064">
        <v>97.756121308204797</v>
      </c>
      <c r="AJ6064">
        <v>95.446798547099803</v>
      </c>
      <c r="AK6064">
        <v>8.2198486309429395</v>
      </c>
      <c r="AL6064">
        <v>67.936533115009496</v>
      </c>
      <c r="AM6064">
        <v>97.686247289300894</v>
      </c>
      <c r="AN6064">
        <v>0.99999997177490396</v>
      </c>
    </row>
    <row r="6065" spans="1:40" x14ac:dyDescent="0.25">
      <c r="A6065" t="str">
        <f>"20190304164527719"</f>
        <v>20190304164527719</v>
      </c>
      <c r="B6065" t="str">
        <f>"1551689127716242"</f>
        <v>1551689127716242</v>
      </c>
      <c r="C6065" t="s">
        <v>40</v>
      </c>
      <c r="D6065">
        <v>5.2928169999999897</v>
      </c>
      <c r="E6065">
        <v>0.53590319999999902</v>
      </c>
      <c r="F6065" t="s">
        <v>42</v>
      </c>
      <c r="G6065">
        <v>-188.37430000000001</v>
      </c>
      <c r="H6065" s="1">
        <v>-3.5674989999999999E-6</v>
      </c>
      <c r="I6065">
        <v>-2.7234690000000001</v>
      </c>
      <c r="J6065">
        <v>-188.11779999999999</v>
      </c>
      <c r="K6065">
        <v>1.1093550000000001</v>
      </c>
      <c r="L6065">
        <v>-11.065799999999999</v>
      </c>
      <c r="M6065">
        <v>6.5014740000000001E-2</v>
      </c>
      <c r="N6065">
        <v>-7.5026149999999998E-3</v>
      </c>
      <c r="O6065">
        <v>0.99785610000000002</v>
      </c>
      <c r="P6065">
        <v>-6.5392720000000001E-2</v>
      </c>
      <c r="Q6065">
        <v>0.36893870000000001</v>
      </c>
      <c r="R6065">
        <v>0.92715049999999999</v>
      </c>
      <c r="S6065">
        <v>-9.144592E-2</v>
      </c>
      <c r="T6065">
        <v>-0.43411759999999999</v>
      </c>
      <c r="U6065">
        <v>3.4011840000000002</v>
      </c>
      <c r="V6065">
        <v>-0.1251382</v>
      </c>
      <c r="W6065">
        <v>0.37597019999999998</v>
      </c>
      <c r="X6065">
        <v>0.91814320000000005</v>
      </c>
      <c r="Y6065">
        <v>-9.157585E-2</v>
      </c>
      <c r="Z6065">
        <v>-0.11846810000000001</v>
      </c>
      <c r="AA6065">
        <v>0.98872599999999999</v>
      </c>
      <c r="AB6065">
        <v>37</v>
      </c>
      <c r="AC6065">
        <v>-0.25650000000001599</v>
      </c>
      <c r="AD6065">
        <v>-1.1093585674990001</v>
      </c>
      <c r="AE6065">
        <v>8.3423309999999997</v>
      </c>
      <c r="AF6065">
        <v>-0.78448762830032004</v>
      </c>
      <c r="AG6065">
        <v>-1.1093585674990001</v>
      </c>
      <c r="AH6065">
        <v>8.1637753697987598</v>
      </c>
      <c r="AI6065">
        <v>97.703350467453106</v>
      </c>
      <c r="AJ6065">
        <v>95.488911704230105</v>
      </c>
      <c r="AK6065">
        <v>8.2760694510602395</v>
      </c>
      <c r="AL6065">
        <v>67.915711301169594</v>
      </c>
      <c r="AM6065">
        <v>97.761297392440795</v>
      </c>
      <c r="AN6065">
        <v>1.0000000480467499</v>
      </c>
    </row>
    <row r="6066" spans="1:40" x14ac:dyDescent="0.25">
      <c r="A6066" t="str">
        <f>"20190304164527741"</f>
        <v>20190304164527741</v>
      </c>
      <c r="B6066" t="str">
        <f>"1551689127736067"</f>
        <v>1551689127736067</v>
      </c>
      <c r="C6066" t="s">
        <v>40</v>
      </c>
      <c r="D6066">
        <v>5.275684</v>
      </c>
      <c r="E6066">
        <v>0.53596949999999999</v>
      </c>
      <c r="F6066" t="s">
        <v>42</v>
      </c>
      <c r="G6066">
        <v>-188.34979999999999</v>
      </c>
      <c r="H6066" s="1">
        <v>-3.7355719999999999E-6</v>
      </c>
      <c r="I6066">
        <v>-2.341825</v>
      </c>
      <c r="J6066">
        <v>-188.09360000000001</v>
      </c>
      <c r="K6066">
        <v>1.1094059999999999</v>
      </c>
      <c r="L6066">
        <v>-10.69852</v>
      </c>
      <c r="M6066">
        <v>6.5347249999999996E-2</v>
      </c>
      <c r="N6066">
        <v>-7.489206E-3</v>
      </c>
      <c r="O6066">
        <v>0.99783449999999996</v>
      </c>
      <c r="P6066">
        <v>-6.5866279999999999E-2</v>
      </c>
      <c r="Q6066">
        <v>0.37003619999999998</v>
      </c>
      <c r="R6066">
        <v>0.92667949999999999</v>
      </c>
      <c r="S6066">
        <v>-9.0484620000000002E-2</v>
      </c>
      <c r="T6066">
        <v>-0.4325368</v>
      </c>
      <c r="U6066">
        <v>3.401459</v>
      </c>
      <c r="V6066">
        <v>-0.12593470000000001</v>
      </c>
      <c r="W6066">
        <v>0.37703569999999997</v>
      </c>
      <c r="X6066">
        <v>0.9175972</v>
      </c>
      <c r="Y6066">
        <v>-9.1627959999999994E-2</v>
      </c>
      <c r="Z6066">
        <v>-0.118016</v>
      </c>
      <c r="AA6066">
        <v>0.98877530000000002</v>
      </c>
      <c r="AB6066">
        <v>37</v>
      </c>
      <c r="AC6066">
        <v>-0.256199999999978</v>
      </c>
      <c r="AD6066">
        <v>-1.1094097355719901</v>
      </c>
      <c r="AE6066">
        <v>8.3566950000000002</v>
      </c>
      <c r="AF6066">
        <v>-0.78788178438038503</v>
      </c>
      <c r="AG6066">
        <v>-1.1094097355719901</v>
      </c>
      <c r="AH6066">
        <v>8.1780910634303705</v>
      </c>
      <c r="AI6066">
        <v>97.690198962783299</v>
      </c>
      <c r="AJ6066">
        <v>95.502923668009302</v>
      </c>
      <c r="AK6066">
        <v>8.2905199540981798</v>
      </c>
      <c r="AL6066">
        <v>67.849813510552494</v>
      </c>
      <c r="AM6066">
        <v>97.814679839379195</v>
      </c>
      <c r="AN6066">
        <v>1.0000000445932</v>
      </c>
    </row>
    <row r="6067" spans="1:40" x14ac:dyDescent="0.25">
      <c r="A6067" t="str">
        <f>"20190304164527764"</f>
        <v>20190304164527764</v>
      </c>
      <c r="B6067" t="str">
        <f>"1551689127756563"</f>
        <v>1551689127756563</v>
      </c>
      <c r="C6067" t="s">
        <v>40</v>
      </c>
      <c r="D6067">
        <v>5.3094839999999897</v>
      </c>
      <c r="E6067">
        <v>0.53603650000000003</v>
      </c>
      <c r="F6067" t="s">
        <v>42</v>
      </c>
      <c r="G6067">
        <v>-188.3244</v>
      </c>
      <c r="H6067" s="1">
        <v>-3.9326570000000004E-6</v>
      </c>
      <c r="I6067">
        <v>-1.892935</v>
      </c>
      <c r="J6067">
        <v>-188.06870000000001</v>
      </c>
      <c r="K6067">
        <v>1.1094710000000001</v>
      </c>
      <c r="L6067">
        <v>-10.321289999999999</v>
      </c>
      <c r="M6067">
        <v>6.5581E-2</v>
      </c>
      <c r="N6067">
        <v>-7.4780599999999999E-3</v>
      </c>
      <c r="O6067">
        <v>0.99781920000000002</v>
      </c>
      <c r="P6067">
        <v>-6.6235359999999993E-2</v>
      </c>
      <c r="Q6067">
        <v>0.3702375</v>
      </c>
      <c r="R6067">
        <v>0.92657270000000003</v>
      </c>
      <c r="S6067">
        <v>-8.9187619999999995E-2</v>
      </c>
      <c r="T6067">
        <v>-0.42864000000000002</v>
      </c>
      <c r="U6067">
        <v>3.4021910000000002</v>
      </c>
      <c r="V6067">
        <v>-0.1265733</v>
      </c>
      <c r="W6067">
        <v>0.37720480000000001</v>
      </c>
      <c r="X6067">
        <v>0.91743980000000003</v>
      </c>
      <c r="Y6067">
        <v>-9.1482939999999999E-2</v>
      </c>
      <c r="Z6067">
        <v>-0.1168857</v>
      </c>
      <c r="AA6067">
        <v>0.988923</v>
      </c>
      <c r="AB6067">
        <v>37</v>
      </c>
      <c r="AC6067">
        <v>-0.25569999999998999</v>
      </c>
      <c r="AD6067">
        <v>-1.1094749326569999</v>
      </c>
      <c r="AE6067">
        <v>8.4283549999999998</v>
      </c>
      <c r="AF6067">
        <v>-0.79415641381865099</v>
      </c>
      <c r="AG6067">
        <v>-1.1094749326569999</v>
      </c>
      <c r="AH6067">
        <v>8.2506049855801997</v>
      </c>
      <c r="AI6067">
        <v>97.623913456201606</v>
      </c>
      <c r="AJ6067">
        <v>95.498028777711596</v>
      </c>
      <c r="AK6067">
        <v>8.3626611592174704</v>
      </c>
      <c r="AL6067">
        <v>67.839351910547194</v>
      </c>
      <c r="AM6067">
        <v>97.855144472903703</v>
      </c>
      <c r="AN6067">
        <v>1.00000002401998</v>
      </c>
    </row>
    <row r="6068" spans="1:40" x14ac:dyDescent="0.25">
      <c r="A6068" t="str">
        <f>"20190304164527786"</f>
        <v>20190304164527786</v>
      </c>
      <c r="B6068" t="str">
        <f>"1551689127776082"</f>
        <v>1551689127776082</v>
      </c>
      <c r="C6068" t="s">
        <v>40</v>
      </c>
      <c r="D6068">
        <v>5.335159</v>
      </c>
      <c r="E6068">
        <v>0.53609980000000002</v>
      </c>
      <c r="F6068" t="s">
        <v>42</v>
      </c>
      <c r="G6068">
        <v>-188.29660000000001</v>
      </c>
      <c r="H6068" s="1">
        <v>-4.1037369999999997E-6</v>
      </c>
      <c r="I6068">
        <v>-1.505628</v>
      </c>
      <c r="J6068">
        <v>-188.04409999999999</v>
      </c>
      <c r="K6068">
        <v>1.109558</v>
      </c>
      <c r="L6068">
        <v>-9.9488219999999998</v>
      </c>
      <c r="M6068">
        <v>6.5696089999999999E-2</v>
      </c>
      <c r="N6068">
        <v>-7.4694380000000001E-3</v>
      </c>
      <c r="O6068">
        <v>0.99781169999999997</v>
      </c>
      <c r="P6068">
        <v>-6.6863430000000001E-2</v>
      </c>
      <c r="Q6068">
        <v>0.37086989999999997</v>
      </c>
      <c r="R6068">
        <v>0.92627470000000001</v>
      </c>
      <c r="S6068">
        <v>-8.7982179999999993E-2</v>
      </c>
      <c r="T6068">
        <v>-0.42822120000000002</v>
      </c>
      <c r="U6068">
        <v>3.4025569999999998</v>
      </c>
      <c r="V6068">
        <v>-0.12735769999999999</v>
      </c>
      <c r="W6068">
        <v>0.37780360000000002</v>
      </c>
      <c r="X6068">
        <v>0.91708480000000003</v>
      </c>
      <c r="Y6068">
        <v>-9.1245489999999999E-2</v>
      </c>
      <c r="Z6068">
        <v>-0.11676209999999999</v>
      </c>
      <c r="AA6068">
        <v>0.98895949999999999</v>
      </c>
      <c r="AB6068">
        <v>37</v>
      </c>
      <c r="AC6068">
        <v>-0.25250000000002598</v>
      </c>
      <c r="AD6068">
        <v>-1.109562103737</v>
      </c>
      <c r="AE6068">
        <v>8.4431940000000001</v>
      </c>
      <c r="AF6068">
        <v>-0.79297249253584401</v>
      </c>
      <c r="AG6068">
        <v>-1.109562103737</v>
      </c>
      <c r="AH6068">
        <v>8.2657432760925396</v>
      </c>
      <c r="AI6068">
        <v>97.610934175942603</v>
      </c>
      <c r="AJ6068">
        <v>95.479889293334793</v>
      </c>
      <c r="AK6068">
        <v>8.3774963647999794</v>
      </c>
      <c r="AL6068">
        <v>67.802302086950505</v>
      </c>
      <c r="AM6068">
        <v>97.906231718767799</v>
      </c>
      <c r="AN6068">
        <v>1.00000003715664</v>
      </c>
    </row>
    <row r="6069" spans="1:40" x14ac:dyDescent="0.25">
      <c r="A6069" t="str">
        <f>"20190304164527809"</f>
        <v>20190304164527809</v>
      </c>
      <c r="B6069" t="str">
        <f>"1551689127806339"</f>
        <v>1551689127806339</v>
      </c>
      <c r="C6069" t="s">
        <v>40</v>
      </c>
      <c r="D6069">
        <v>5.2931809999999997</v>
      </c>
      <c r="E6069">
        <v>0.52929680000000001</v>
      </c>
      <c r="F6069" t="s">
        <v>42</v>
      </c>
      <c r="G6069">
        <v>-188.27449999999999</v>
      </c>
      <c r="H6069" s="1">
        <v>-4.2867080000000002E-6</v>
      </c>
      <c r="I6069">
        <v>-1.0882540000000001</v>
      </c>
      <c r="J6069">
        <v>-188.01929999999999</v>
      </c>
      <c r="K6069">
        <v>1.109648</v>
      </c>
      <c r="L6069">
        <v>-9.5721439999999998</v>
      </c>
      <c r="M6069">
        <v>6.5677340000000001E-2</v>
      </c>
      <c r="N6069">
        <v>-7.4628999999999902E-3</v>
      </c>
      <c r="O6069">
        <v>0.99781299999999995</v>
      </c>
      <c r="P6069">
        <v>-6.7829559999999997E-2</v>
      </c>
      <c r="Q6069">
        <v>0.37096570000000001</v>
      </c>
      <c r="R6069">
        <v>0.92616609999999999</v>
      </c>
      <c r="S6069">
        <v>-8.8500980000000007E-2</v>
      </c>
      <c r="T6069">
        <v>-0.42614170000000001</v>
      </c>
      <c r="U6069">
        <v>3.4030149999999999</v>
      </c>
      <c r="V6069">
        <v>-0.128384199999999</v>
      </c>
      <c r="W6069">
        <v>0.3778627</v>
      </c>
      <c r="X6069">
        <v>0.91691730000000005</v>
      </c>
      <c r="Y6069">
        <v>-9.1376040000000006E-2</v>
      </c>
      <c r="Z6069">
        <v>-0.1161571</v>
      </c>
      <c r="AA6069">
        <v>0.98901870000000003</v>
      </c>
      <c r="AB6069">
        <v>37</v>
      </c>
      <c r="AC6069">
        <v>-0.25520000000000198</v>
      </c>
      <c r="AD6069">
        <v>-1.1096522867080001</v>
      </c>
      <c r="AE6069">
        <v>8.4838899999999899</v>
      </c>
      <c r="AF6069">
        <v>-0.79822068985910399</v>
      </c>
      <c r="AG6069">
        <v>-1.1096522867080001</v>
      </c>
      <c r="AH6069">
        <v>8.3068304717898904</v>
      </c>
      <c r="AI6069">
        <v>97.574223488356495</v>
      </c>
      <c r="AJ6069">
        <v>95.488818505771803</v>
      </c>
      <c r="AK6069">
        <v>8.4185460118818902</v>
      </c>
      <c r="AL6069">
        <v>67.798644613915201</v>
      </c>
      <c r="AM6069">
        <v>97.970577365576801</v>
      </c>
      <c r="AN6069">
        <v>1.0000000289501001</v>
      </c>
    </row>
    <row r="6070" spans="1:40" x14ac:dyDescent="0.25">
      <c r="A6070" t="str">
        <f>"20190304164527835"</f>
        <v>20190304164527835</v>
      </c>
      <c r="B6070" t="str">
        <f>"1551689127826365"</f>
        <v>1551689127826365</v>
      </c>
      <c r="C6070" t="s">
        <v>40</v>
      </c>
      <c r="D6070">
        <v>5.2931150000000002</v>
      </c>
      <c r="E6070">
        <v>0.52925749999999905</v>
      </c>
      <c r="F6070" t="s">
        <v>42</v>
      </c>
      <c r="G6070">
        <v>-188.428</v>
      </c>
      <c r="H6070" s="1">
        <v>-6.7556059999999995E-7</v>
      </c>
      <c r="I6070">
        <v>0.4041225</v>
      </c>
      <c r="J6070">
        <v>-187.9924</v>
      </c>
      <c r="K6070">
        <v>1.1097629999999901</v>
      </c>
      <c r="L6070">
        <v>-9.1615599999999997</v>
      </c>
      <c r="M6070">
        <v>6.5491919999999995E-2</v>
      </c>
      <c r="N6070">
        <v>-7.4579969999999897E-3</v>
      </c>
      <c r="O6070">
        <v>0.99782519999999997</v>
      </c>
      <c r="P6070">
        <v>-6.8580650000000007E-2</v>
      </c>
      <c r="Q6070">
        <v>0.37090770000000001</v>
      </c>
      <c r="R6070">
        <v>0.92613400000000001</v>
      </c>
      <c r="S6070">
        <v>-0.13844300000000001</v>
      </c>
      <c r="T6070">
        <v>-0.37590669999999998</v>
      </c>
      <c r="U6070">
        <v>3.379578</v>
      </c>
      <c r="V6070">
        <v>-0.1290724</v>
      </c>
      <c r="W6070">
        <v>0.37776199999999999</v>
      </c>
      <c r="X6070">
        <v>0.91686210000000001</v>
      </c>
      <c r="Y6070">
        <v>-0.1060176</v>
      </c>
      <c r="Z6070">
        <v>-0.102409</v>
      </c>
      <c r="AA6070">
        <v>0.98907670000000003</v>
      </c>
      <c r="AB6070">
        <v>37</v>
      </c>
      <c r="AC6070">
        <v>-0.43559999999999299</v>
      </c>
      <c r="AD6070">
        <v>-1.10976367556059</v>
      </c>
      <c r="AE6070">
        <v>9.5656824999999994</v>
      </c>
      <c r="AF6070">
        <v>-1.04709292480366</v>
      </c>
      <c r="AG6070">
        <v>-1.10976367556059</v>
      </c>
      <c r="AH6070">
        <v>9.3904859745207307</v>
      </c>
      <c r="AI6070">
        <v>96.698794157356602</v>
      </c>
      <c r="AJ6070">
        <v>96.362524627796205</v>
      </c>
      <c r="AK6070">
        <v>9.5136326314630306</v>
      </c>
      <c r="AL6070">
        <v>67.804874596994296</v>
      </c>
      <c r="AM6070">
        <v>98.013226113843302</v>
      </c>
      <c r="AN6070">
        <v>0.99999996175108397</v>
      </c>
    </row>
    <row r="6071" spans="1:40" x14ac:dyDescent="0.25">
      <c r="A6071" t="str">
        <f>"20190304164527854"</f>
        <v>20190304164527854</v>
      </c>
      <c r="B6071" t="str">
        <f>"1551689127845885"</f>
        <v>1551689127845885</v>
      </c>
      <c r="C6071" t="s">
        <v>40</v>
      </c>
      <c r="D6071">
        <v>5.2894249999999996</v>
      </c>
      <c r="E6071">
        <v>0.52926870000000004</v>
      </c>
      <c r="F6071" t="s">
        <v>42</v>
      </c>
      <c r="G6071">
        <v>-188.40950000000001</v>
      </c>
      <c r="H6071" s="1">
        <v>-8.7818769999999997E-7</v>
      </c>
      <c r="I6071">
        <v>0.98510500000000001</v>
      </c>
      <c r="J6071">
        <v>-187.97040000000001</v>
      </c>
      <c r="K6071">
        <v>1.1098790000000001</v>
      </c>
      <c r="L6071">
        <v>-8.82254</v>
      </c>
      <c r="M6071">
        <v>6.5187309999999998E-2</v>
      </c>
      <c r="N6071">
        <v>-7.4559300000000004E-3</v>
      </c>
      <c r="O6071">
        <v>0.99784519999999999</v>
      </c>
      <c r="P6071">
        <v>-6.9866990000000004E-2</v>
      </c>
      <c r="Q6071">
        <v>0.37160300000000002</v>
      </c>
      <c r="R6071">
        <v>0.925759</v>
      </c>
      <c r="S6071">
        <v>-0.13880919999999999</v>
      </c>
      <c r="T6071">
        <v>-0.36934159999999999</v>
      </c>
      <c r="U6071">
        <v>3.3769230000000001</v>
      </c>
      <c r="V6071">
        <v>-0.13015570000000001</v>
      </c>
      <c r="W6071">
        <v>0.37841590000000003</v>
      </c>
      <c r="X6071">
        <v>0.91643929999999996</v>
      </c>
      <c r="Y6071">
        <v>-0.10586139999999999</v>
      </c>
      <c r="Z6071">
        <v>-0.100602</v>
      </c>
      <c r="AA6071">
        <v>0.98927889999999996</v>
      </c>
      <c r="AB6071">
        <v>37</v>
      </c>
      <c r="AC6071">
        <v>-0.43909999999999599</v>
      </c>
      <c r="AD6071">
        <v>-1.1098798781877</v>
      </c>
      <c r="AE6071">
        <v>9.8076449999999902</v>
      </c>
      <c r="AF6071">
        <v>-1.0639201745870099</v>
      </c>
      <c r="AG6071">
        <v>-1.1098798781877</v>
      </c>
      <c r="AH6071">
        <v>9.6350171312239308</v>
      </c>
      <c r="AI6071">
        <v>96.531716860889802</v>
      </c>
      <c r="AJ6071">
        <v>96.301200733892102</v>
      </c>
      <c r="AK6071">
        <v>9.7569111198615399</v>
      </c>
      <c r="AL6071">
        <v>67.764406732291604</v>
      </c>
      <c r="AM6071">
        <v>98.083274673964297</v>
      </c>
      <c r="AN6071">
        <v>1.00000004509989</v>
      </c>
    </row>
    <row r="6072" spans="1:40" x14ac:dyDescent="0.25">
      <c r="A6072" t="str">
        <f>"20190304164527876"</f>
        <v>20190304164527876</v>
      </c>
      <c r="B6072" t="str">
        <f>"1551689127866381"</f>
        <v>1551689127866381</v>
      </c>
      <c r="C6072" t="s">
        <v>40</v>
      </c>
      <c r="D6072">
        <v>5.3444320000000003</v>
      </c>
      <c r="E6072">
        <v>0.5296111</v>
      </c>
      <c r="F6072" t="s">
        <v>42</v>
      </c>
      <c r="G6072">
        <v>-188.39779999999999</v>
      </c>
      <c r="H6072" s="1">
        <v>-1.0255289999999999E-6</v>
      </c>
      <c r="I6072">
        <v>1.3608100000000001</v>
      </c>
      <c r="J6072">
        <v>-187.94749999999999</v>
      </c>
      <c r="K6072">
        <v>1.1099950000000001</v>
      </c>
      <c r="L6072">
        <v>-8.4671629999999993</v>
      </c>
      <c r="M6072">
        <v>6.4750370000000002E-2</v>
      </c>
      <c r="N6072">
        <v>-7.4551000000000001E-3</v>
      </c>
      <c r="O6072">
        <v>0.99787369999999997</v>
      </c>
      <c r="P6072">
        <v>-7.0327829999999994E-2</v>
      </c>
      <c r="Q6072">
        <v>0.37145620000000001</v>
      </c>
      <c r="R6072">
        <v>0.92578309999999997</v>
      </c>
      <c r="S6072">
        <v>-0.1417542</v>
      </c>
      <c r="T6072">
        <v>-0.3681296</v>
      </c>
      <c r="U6072">
        <v>3.3776549999999999</v>
      </c>
      <c r="V6072">
        <v>-0.13032360000000001</v>
      </c>
      <c r="W6072">
        <v>0.37823180000000001</v>
      </c>
      <c r="X6072">
        <v>0.91649139999999996</v>
      </c>
      <c r="Y6072">
        <v>-0.10627979999999999</v>
      </c>
      <c r="Z6072">
        <v>-0.1002292</v>
      </c>
      <c r="AA6072">
        <v>0.98927180000000003</v>
      </c>
      <c r="AB6072">
        <v>37</v>
      </c>
      <c r="AC6072">
        <v>-0.45029999999999798</v>
      </c>
      <c r="AD6072">
        <v>-1.109996025529</v>
      </c>
      <c r="AE6072">
        <v>9.8279730000000001</v>
      </c>
      <c r="AF6072">
        <v>-1.07209057600012</v>
      </c>
      <c r="AG6072">
        <v>-1.109996025529</v>
      </c>
      <c r="AH6072">
        <v>9.6552849625445205</v>
      </c>
      <c r="AI6072">
        <v>96.518365860419493</v>
      </c>
      <c r="AJ6072">
        <v>96.335977895085506</v>
      </c>
      <c r="AK6072">
        <v>9.7778319216366594</v>
      </c>
      <c r="AL6072">
        <v>67.775801042046595</v>
      </c>
      <c r="AM6072">
        <v>98.093109970695807</v>
      </c>
      <c r="AN6072">
        <v>1.00000001076108</v>
      </c>
    </row>
    <row r="6073" spans="1:40" x14ac:dyDescent="0.25">
      <c r="A6073" t="str">
        <f>"20190304164527898"</f>
        <v>20190304164527898</v>
      </c>
      <c r="B6073" t="str">
        <f>"1551689127885901"</f>
        <v>1551689127885901</v>
      </c>
      <c r="C6073" t="s">
        <v>40</v>
      </c>
      <c r="D6073">
        <v>5.3187449999999998</v>
      </c>
      <c r="E6073">
        <v>0.52973149999999902</v>
      </c>
      <c r="F6073" t="s">
        <v>42</v>
      </c>
      <c r="G6073">
        <v>-188.36779999999999</v>
      </c>
      <c r="H6073" s="1">
        <v>-1.1481249999999999E-6</v>
      </c>
      <c r="I6073">
        <v>1.6342049999999999</v>
      </c>
      <c r="J6073">
        <v>-187.92400000000001</v>
      </c>
      <c r="K6073">
        <v>1.1101019999999999</v>
      </c>
      <c r="L6073">
        <v>-8.0981749999999995</v>
      </c>
      <c r="M6073">
        <v>6.4172460000000001E-2</v>
      </c>
      <c r="N6073">
        <v>-7.4553110000000001E-3</v>
      </c>
      <c r="O6073">
        <v>0.99791099999999999</v>
      </c>
      <c r="P6073">
        <v>-7.0970770000000002E-2</v>
      </c>
      <c r="Q6073">
        <v>0.37049209999999999</v>
      </c>
      <c r="R6073">
        <v>0.92612030000000001</v>
      </c>
      <c r="S6073">
        <v>-0.14057919999999999</v>
      </c>
      <c r="T6073">
        <v>-0.3712801</v>
      </c>
      <c r="U6073">
        <v>3.378784</v>
      </c>
      <c r="V6073">
        <v>-0.13056329999999999</v>
      </c>
      <c r="W6073">
        <v>0.37723259999999997</v>
      </c>
      <c r="X6073">
        <v>0.91686900000000005</v>
      </c>
      <c r="Y6073">
        <v>-0.10534300000000001</v>
      </c>
      <c r="Z6073">
        <v>-0.10111680000000001</v>
      </c>
      <c r="AA6073">
        <v>0.98928170000000004</v>
      </c>
      <c r="AB6073">
        <v>37</v>
      </c>
      <c r="AC6073">
        <v>-0.44379999999998099</v>
      </c>
      <c r="AD6073">
        <v>-1.1101031481250001</v>
      </c>
      <c r="AE6073">
        <v>9.7323799999999991</v>
      </c>
      <c r="AF6073">
        <v>-1.0537718293937399</v>
      </c>
      <c r="AG6073">
        <v>-1.1101031481250001</v>
      </c>
      <c r="AH6073">
        <v>9.5597210959810894</v>
      </c>
      <c r="AI6073">
        <v>96.584162450429503</v>
      </c>
      <c r="AJ6073">
        <v>96.290340987112899</v>
      </c>
      <c r="AK6073">
        <v>9.68147878688203</v>
      </c>
      <c r="AL6073">
        <v>67.837631154430895</v>
      </c>
      <c r="AM6073">
        <v>98.104502909256595</v>
      </c>
      <c r="AN6073">
        <v>0.99999998648532495</v>
      </c>
    </row>
    <row r="6074" spans="1:40" x14ac:dyDescent="0.25">
      <c r="A6074" t="str">
        <f>"20190304164527919"</f>
        <v>20190304164527919</v>
      </c>
      <c r="B6074" t="str">
        <f>"1551689127916159"</f>
        <v>1551689127916159</v>
      </c>
      <c r="C6074" t="s">
        <v>40</v>
      </c>
      <c r="D6074">
        <v>5.2902509999999996</v>
      </c>
      <c r="E6074">
        <v>0.52982390000000001</v>
      </c>
      <c r="F6074" t="s">
        <v>42</v>
      </c>
      <c r="G6074">
        <v>-188.34059999999999</v>
      </c>
      <c r="H6074" s="1">
        <v>-1.2381339999999999E-6</v>
      </c>
      <c r="I6074">
        <v>1.8327830000000001</v>
      </c>
      <c r="J6074">
        <v>-187.90190000000001</v>
      </c>
      <c r="K6074">
        <v>1.110212</v>
      </c>
      <c r="L6074">
        <v>-7.7449339999999998</v>
      </c>
      <c r="M6074">
        <v>6.3503420000000005E-2</v>
      </c>
      <c r="N6074">
        <v>-7.4563800000000003E-3</v>
      </c>
      <c r="O6074">
        <v>0.9979538</v>
      </c>
      <c r="P6074">
        <v>-7.1768219999999994E-2</v>
      </c>
      <c r="Q6074">
        <v>0.36999090000000001</v>
      </c>
      <c r="R6074">
        <v>0.92625919999999895</v>
      </c>
      <c r="S6074">
        <v>-0.14176939999999999</v>
      </c>
      <c r="T6074">
        <v>-0.37777630000000001</v>
      </c>
      <c r="U6074">
        <v>3.379578</v>
      </c>
      <c r="V6074">
        <v>-0.13085330000000001</v>
      </c>
      <c r="W6074">
        <v>0.37669829999999999</v>
      </c>
      <c r="X6074">
        <v>0.91704739999999996</v>
      </c>
      <c r="Y6074">
        <v>-0.1050058</v>
      </c>
      <c r="Z6074">
        <v>-0.10297580000000001</v>
      </c>
      <c r="AA6074">
        <v>0.98912580000000005</v>
      </c>
      <c r="AB6074">
        <v>37</v>
      </c>
      <c r="AC6074">
        <v>-0.43869999999998199</v>
      </c>
      <c r="AD6074">
        <v>-1.110213238134</v>
      </c>
      <c r="AE6074">
        <v>9.5777169999999998</v>
      </c>
      <c r="AF6074">
        <v>-1.03220883945685</v>
      </c>
      <c r="AG6074">
        <v>-1.110213238134</v>
      </c>
      <c r="AH6074">
        <v>9.4044259572888595</v>
      </c>
      <c r="AI6074">
        <v>96.6929067263804</v>
      </c>
      <c r="AJ6074">
        <v>96.263585407315901</v>
      </c>
      <c r="AK6074">
        <v>9.5258204952911694</v>
      </c>
      <c r="AL6074">
        <v>67.870684402910499</v>
      </c>
      <c r="AM6074">
        <v>98.120705237213599</v>
      </c>
      <c r="AN6074">
        <v>1.00000006459526</v>
      </c>
    </row>
    <row r="6075" spans="1:40" x14ac:dyDescent="0.25">
      <c r="A6075" t="str">
        <f>"20190304164527942"</f>
        <v>20190304164527942</v>
      </c>
      <c r="B6075" t="str">
        <f>"1551689127935678"</f>
        <v>1551689127935678</v>
      </c>
      <c r="C6075" t="s">
        <v>40</v>
      </c>
      <c r="D6075">
        <v>5.3048830000000002</v>
      </c>
      <c r="E6075">
        <v>0.52993040000000002</v>
      </c>
      <c r="F6075" t="s">
        <v>42</v>
      </c>
      <c r="G6075">
        <v>-188.3186</v>
      </c>
      <c r="H6075" s="1">
        <v>-1.3540629999999999E-6</v>
      </c>
      <c r="I6075">
        <v>2.0939269999999999</v>
      </c>
      <c r="J6075">
        <v>-187.87799999999999</v>
      </c>
      <c r="K6075">
        <v>1.11032999999999</v>
      </c>
      <c r="L6075">
        <v>-7.3599240000000004</v>
      </c>
      <c r="M6075">
        <v>6.2646469999999996E-2</v>
      </c>
      <c r="N6075">
        <v>-7.4586299999999999E-3</v>
      </c>
      <c r="O6075">
        <v>0.99800789999999995</v>
      </c>
      <c r="P6075">
        <v>-7.2904159999999996E-2</v>
      </c>
      <c r="Q6075">
        <v>0.36982579999999998</v>
      </c>
      <c r="R6075">
        <v>0.92623639999999996</v>
      </c>
      <c r="S6075">
        <v>-0.1431885</v>
      </c>
      <c r="T6075">
        <v>-0.38140879999999999</v>
      </c>
      <c r="U6075">
        <v>3.380096</v>
      </c>
      <c r="V6075">
        <v>-0.1313066</v>
      </c>
      <c r="W6075">
        <v>0.37649589999999999</v>
      </c>
      <c r="X6075">
        <v>0.91706569999999998</v>
      </c>
      <c r="Y6075">
        <v>-0.1045552</v>
      </c>
      <c r="Z6075">
        <v>-0.1040166</v>
      </c>
      <c r="AA6075">
        <v>0.98906459999999996</v>
      </c>
      <c r="AB6075">
        <v>38</v>
      </c>
      <c r="AC6075">
        <v>-0.44060000000001698</v>
      </c>
      <c r="AD6075">
        <v>-1.11033135406299</v>
      </c>
      <c r="AE6075">
        <v>9.4538510000000002</v>
      </c>
      <c r="AF6075">
        <v>-1.01798975522186</v>
      </c>
      <c r="AG6075">
        <v>-1.11033135406299</v>
      </c>
      <c r="AH6075">
        <v>9.2799482991176703</v>
      </c>
      <c r="AI6075">
        <v>96.782610574596404</v>
      </c>
      <c r="AJ6075">
        <v>96.260189188087296</v>
      </c>
      <c r="AK6075">
        <v>9.4014136858160295</v>
      </c>
      <c r="AL6075">
        <v>67.8832021748958</v>
      </c>
      <c r="AM6075">
        <v>98.148299288097803</v>
      </c>
      <c r="AN6075">
        <v>1.0000000420184201</v>
      </c>
    </row>
    <row r="6076" spans="1:40" x14ac:dyDescent="0.25">
      <c r="A6076" t="str">
        <f>"20190304164527964"</f>
        <v>20190304164527964</v>
      </c>
      <c r="B6076" t="str">
        <f>"1551689127956174"</f>
        <v>1551689127956174</v>
      </c>
      <c r="C6076" t="s">
        <v>40</v>
      </c>
      <c r="D6076">
        <v>5.2732199999999896</v>
      </c>
      <c r="E6076">
        <v>0.53009580000000001</v>
      </c>
      <c r="F6076" t="s">
        <v>42</v>
      </c>
      <c r="G6076">
        <v>-188.30189999999999</v>
      </c>
      <c r="H6076" s="1">
        <v>-1.5079579999999999E-6</v>
      </c>
      <c r="I6076">
        <v>2.4457369999999998</v>
      </c>
      <c r="J6076">
        <v>-187.8545</v>
      </c>
      <c r="K6076">
        <v>1.1104480000000001</v>
      </c>
      <c r="L6076">
        <v>-6.97250399999999</v>
      </c>
      <c r="M6076">
        <v>6.1662380000000003E-2</v>
      </c>
      <c r="N6076">
        <v>-7.4618729999999999E-3</v>
      </c>
      <c r="O6076">
        <v>0.99806919999999999</v>
      </c>
      <c r="P6076">
        <v>-7.3835049999999999E-2</v>
      </c>
      <c r="Q6076">
        <v>0.37005749999999998</v>
      </c>
      <c r="R6076">
        <v>0.92607010000000001</v>
      </c>
      <c r="S6076">
        <v>-0.1461182</v>
      </c>
      <c r="T6076">
        <v>-0.38275809999999999</v>
      </c>
      <c r="U6076">
        <v>3.3802490000000001</v>
      </c>
      <c r="V6076">
        <v>-0.13142999999999999</v>
      </c>
      <c r="W6076">
        <v>0.3766911</v>
      </c>
      <c r="X6076">
        <v>0.9169678</v>
      </c>
      <c r="Y6076">
        <v>-0.10442659999999999</v>
      </c>
      <c r="Z6076">
        <v>-0.104407</v>
      </c>
      <c r="AA6076">
        <v>0.98903700000000005</v>
      </c>
      <c r="AB6076">
        <v>38</v>
      </c>
      <c r="AC6076">
        <v>-0.44739999999998697</v>
      </c>
      <c r="AD6076">
        <v>-1.1104495079579999</v>
      </c>
      <c r="AE6076">
        <v>9.4182409999999894</v>
      </c>
      <c r="AF6076">
        <v>-1.0132618592698199</v>
      </c>
      <c r="AG6076">
        <v>-1.1104495079579999</v>
      </c>
      <c r="AH6076">
        <v>9.2445070878322202</v>
      </c>
      <c r="AI6076">
        <v>96.809153951945703</v>
      </c>
      <c r="AJ6076">
        <v>96.255044422678296</v>
      </c>
      <c r="AK6076">
        <v>9.3659334293040608</v>
      </c>
      <c r="AL6076">
        <v>67.871127951814998</v>
      </c>
      <c r="AM6076">
        <v>98.156713005051003</v>
      </c>
      <c r="AN6076">
        <v>0.99999998797802403</v>
      </c>
    </row>
    <row r="6077" spans="1:40" x14ac:dyDescent="0.25">
      <c r="A6077" t="str">
        <f>"20190304164527987"</f>
        <v>20190304164527987</v>
      </c>
      <c r="B6077" t="str">
        <f>"1551689127975693"</f>
        <v>1551689127975693</v>
      </c>
      <c r="C6077" t="s">
        <v>40</v>
      </c>
      <c r="D6077">
        <v>5.2957839999999896</v>
      </c>
      <c r="E6077">
        <v>0.53012879999999996</v>
      </c>
      <c r="F6077" t="s">
        <v>42</v>
      </c>
      <c r="G6077">
        <v>-188.28380000000001</v>
      </c>
      <c r="H6077" s="1">
        <v>-1.686643E-6</v>
      </c>
      <c r="I6077">
        <v>2.8547729999999998</v>
      </c>
      <c r="J6077">
        <v>-187.83199999999999</v>
      </c>
      <c r="K6077">
        <v>1.1105579999999999</v>
      </c>
      <c r="L6077">
        <v>-6.5945130000000001</v>
      </c>
      <c r="M6077">
        <v>6.059718E-2</v>
      </c>
      <c r="N6077">
        <v>-7.4658060000000002E-3</v>
      </c>
      <c r="O6077">
        <v>0.99813439999999998</v>
      </c>
      <c r="P6077">
        <v>-7.4367429999999998E-2</v>
      </c>
      <c r="Q6077">
        <v>0.37020019999999998</v>
      </c>
      <c r="R6077">
        <v>0.92597050000000003</v>
      </c>
      <c r="S6077">
        <v>-0.14767459999999999</v>
      </c>
      <c r="T6077">
        <v>-0.3819671</v>
      </c>
      <c r="U6077">
        <v>3.380341</v>
      </c>
      <c r="V6077">
        <v>-0.131079</v>
      </c>
      <c r="W6077">
        <v>0.37680160000000001</v>
      </c>
      <c r="X6077">
        <v>0.91697260000000003</v>
      </c>
      <c r="Y6077">
        <v>-0.10382</v>
      </c>
      <c r="Z6077">
        <v>-0.10418520000000001</v>
      </c>
      <c r="AA6077">
        <v>0.98912429999999996</v>
      </c>
      <c r="AB6077">
        <v>38</v>
      </c>
      <c r="AC6077">
        <v>-0.45180000000002002</v>
      </c>
      <c r="AD6077">
        <v>-1.1105596866430001</v>
      </c>
      <c r="AE6077">
        <v>9.4492860000000007</v>
      </c>
      <c r="AF6077">
        <v>-1.00967100950841</v>
      </c>
      <c r="AG6077">
        <v>-1.1105596866430001</v>
      </c>
      <c r="AH6077">
        <v>9.2766954528732004</v>
      </c>
      <c r="AI6077">
        <v>96.786972073379999</v>
      </c>
      <c r="AJ6077">
        <v>96.211594111023899</v>
      </c>
      <c r="AK6077">
        <v>9.3973324348134302</v>
      </c>
      <c r="AL6077">
        <v>67.8642922611497</v>
      </c>
      <c r="AM6077">
        <v>98.135179459963595</v>
      </c>
      <c r="AN6077">
        <v>0.99999994957715799</v>
      </c>
    </row>
    <row r="6078" spans="1:40" x14ac:dyDescent="0.25">
      <c r="A6078" t="str">
        <f>"20190304164528008"</f>
        <v>20190304164528008</v>
      </c>
      <c r="B6078" t="str">
        <f>"1551689128005949"</f>
        <v>1551689128005949</v>
      </c>
      <c r="C6078" t="s">
        <v>40</v>
      </c>
      <c r="D6078">
        <v>5.2787629999999996</v>
      </c>
      <c r="E6078">
        <v>0.53027630000000003</v>
      </c>
      <c r="F6078" t="s">
        <v>42</v>
      </c>
      <c r="G6078">
        <v>-188.2689</v>
      </c>
      <c r="H6078" s="1">
        <v>-1.8607160000000001E-6</v>
      </c>
      <c r="I6078">
        <v>3.2543660000000001</v>
      </c>
      <c r="J6078">
        <v>-187.81100000000001</v>
      </c>
      <c r="K6078">
        <v>1.11066</v>
      </c>
      <c r="L6078">
        <v>-6.2345889999999997</v>
      </c>
      <c r="M6078">
        <v>5.9498059999999998E-2</v>
      </c>
      <c r="N6078">
        <v>-7.4700819999999899E-3</v>
      </c>
      <c r="O6078">
        <v>0.99820050000000005</v>
      </c>
      <c r="P6078">
        <v>-7.5356469999999995E-2</v>
      </c>
      <c r="Q6078">
        <v>0.36996099999999998</v>
      </c>
      <c r="R6078">
        <v>0.92598610000000003</v>
      </c>
      <c r="S6078">
        <v>-0.1499481</v>
      </c>
      <c r="T6078">
        <v>-0.38115009999999999</v>
      </c>
      <c r="U6078">
        <v>3.3801879999999902</v>
      </c>
      <c r="V6078">
        <v>-0.13114870000000001</v>
      </c>
      <c r="W6078">
        <v>0.37653389999999998</v>
      </c>
      <c r="X6078">
        <v>0.91707269999999996</v>
      </c>
      <c r="Y6078">
        <v>-0.1033921</v>
      </c>
      <c r="Z6078">
        <v>-0.103961999999999</v>
      </c>
      <c r="AA6078">
        <v>0.98919259999999998</v>
      </c>
      <c r="AB6078">
        <v>38</v>
      </c>
      <c r="AC6078">
        <v>-0.45790000000002301</v>
      </c>
      <c r="AD6078">
        <v>-1.1106618607159999</v>
      </c>
      <c r="AE6078">
        <v>9.4889550000000007</v>
      </c>
      <c r="AF6078">
        <v>-1.0079025120776099</v>
      </c>
      <c r="AG6078">
        <v>-1.1106618607159999</v>
      </c>
      <c r="AH6078">
        <v>9.3175430621516497</v>
      </c>
      <c r="AI6078">
        <v>96.758588978400297</v>
      </c>
      <c r="AJ6078">
        <v>96.173825389367806</v>
      </c>
      <c r="AK6078">
        <v>9.4374809116496703</v>
      </c>
      <c r="AL6078">
        <v>67.8808521308179</v>
      </c>
      <c r="AM6078">
        <v>98.138570782321196</v>
      </c>
      <c r="AN6078">
        <v>1.00000004822309</v>
      </c>
    </row>
    <row r="6079" spans="1:40" x14ac:dyDescent="0.25">
      <c r="A6079" t="str">
        <f>"20190304164528033"</f>
        <v>20190304164528033</v>
      </c>
      <c r="B6079" t="str">
        <f>"1551689128026445"</f>
        <v>1551689128026445</v>
      </c>
      <c r="C6079" t="s">
        <v>40</v>
      </c>
      <c r="D6079">
        <v>5.2698850000000004</v>
      </c>
      <c r="E6079">
        <v>0.53034059999999905</v>
      </c>
      <c r="F6079" t="s">
        <v>42</v>
      </c>
      <c r="G6079">
        <v>-188.25460000000001</v>
      </c>
      <c r="H6079" s="1">
        <v>-2.0165289999999998E-6</v>
      </c>
      <c r="I6079">
        <v>3.6116790000000001</v>
      </c>
      <c r="J6079">
        <v>-187.78790000000001</v>
      </c>
      <c r="K6079">
        <v>1.1107590000000001</v>
      </c>
      <c r="L6079">
        <v>-5.8304749999999999</v>
      </c>
      <c r="M6079">
        <v>5.8186010000000003E-2</v>
      </c>
      <c r="N6079">
        <v>-7.4752069999999898E-3</v>
      </c>
      <c r="O6079">
        <v>0.99827779999999999</v>
      </c>
      <c r="P6079">
        <v>-7.6564430000000003E-2</v>
      </c>
      <c r="Q6079">
        <v>0.36995139999999999</v>
      </c>
      <c r="R6079">
        <v>0.92589089999999996</v>
      </c>
      <c r="S6079">
        <v>-0.15228269999999999</v>
      </c>
      <c r="T6079">
        <v>-0.38123109999999999</v>
      </c>
      <c r="U6079">
        <v>3.3797000000000001</v>
      </c>
      <c r="V6079">
        <v>-0.13123570000000001</v>
      </c>
      <c r="W6079">
        <v>0.37649589999999999</v>
      </c>
      <c r="X6079">
        <v>0.9170758</v>
      </c>
      <c r="Y6079">
        <v>-0.10277310000000001</v>
      </c>
      <c r="Z6079">
        <v>-0.1040111</v>
      </c>
      <c r="AA6079">
        <v>0.98925189999999996</v>
      </c>
      <c r="AB6079">
        <v>38</v>
      </c>
      <c r="AC6079">
        <v>-0.466700000000003</v>
      </c>
      <c r="AD6079">
        <v>-1.1107610165290001</v>
      </c>
      <c r="AE6079">
        <v>9.4421539999999897</v>
      </c>
      <c r="AF6079">
        <v>-1.0015000526220701</v>
      </c>
      <c r="AG6079">
        <v>-1.1107610165290001</v>
      </c>
      <c r="AH6079">
        <v>9.2710124477881699</v>
      </c>
      <c r="AI6079">
        <v>96.7929006764344</v>
      </c>
      <c r="AJ6079">
        <v>96.165461800306304</v>
      </c>
      <c r="AK6079">
        <v>9.3908713226348599</v>
      </c>
      <c r="AL6079">
        <v>67.883201133825594</v>
      </c>
      <c r="AM6079">
        <v>98.143870099892098</v>
      </c>
      <c r="AN6079">
        <v>0.999999997308469</v>
      </c>
    </row>
    <row r="6080" spans="1:40" x14ac:dyDescent="0.25">
      <c r="A6080" t="str">
        <f>"20190304164528057"</f>
        <v>20190304164528057</v>
      </c>
      <c r="B6080" t="str">
        <f>"1551689128045965"</f>
        <v>1551689128045965</v>
      </c>
      <c r="C6080" t="s">
        <v>40</v>
      </c>
      <c r="D6080">
        <v>5.2629519999999896</v>
      </c>
      <c r="E6080">
        <v>0.53036419999999995</v>
      </c>
      <c r="F6080" t="s">
        <v>42</v>
      </c>
      <c r="G6080">
        <v>-188.244</v>
      </c>
      <c r="H6080" s="1">
        <v>-2.194619E-6</v>
      </c>
      <c r="I6080">
        <v>4.0224289999999998</v>
      </c>
      <c r="J6080">
        <v>-187.7654</v>
      </c>
      <c r="K6080">
        <v>1.1108439999999999</v>
      </c>
      <c r="L6080">
        <v>-5.4251709999999997</v>
      </c>
      <c r="M6080">
        <v>5.6803010000000001E-2</v>
      </c>
      <c r="N6080">
        <v>-7.4805840000000002E-3</v>
      </c>
      <c r="O6080">
        <v>0.99835739999999995</v>
      </c>
      <c r="P6080">
        <v>-7.8197580000000003E-2</v>
      </c>
      <c r="Q6080">
        <v>0.36995289999999997</v>
      </c>
      <c r="R6080">
        <v>0.92575370000000001</v>
      </c>
      <c r="S6080">
        <v>-0.15643309999999999</v>
      </c>
      <c r="T6080">
        <v>-0.38097409999999998</v>
      </c>
      <c r="U6080">
        <v>3.3793950000000001</v>
      </c>
      <c r="V6080">
        <v>-0.13166329999999901</v>
      </c>
      <c r="W6080">
        <v>0.37647380000000003</v>
      </c>
      <c r="X6080">
        <v>0.91702360000000005</v>
      </c>
      <c r="Y6080">
        <v>-0.10261199999999999</v>
      </c>
      <c r="Z6080">
        <v>-0.10395260000000001</v>
      </c>
      <c r="AA6080">
        <v>0.98927480000000001</v>
      </c>
      <c r="AB6080">
        <v>38</v>
      </c>
      <c r="AC6080">
        <v>-0.478600000000028</v>
      </c>
      <c r="AD6080">
        <v>-1.110846194619</v>
      </c>
      <c r="AE6080">
        <v>9.4475999999999996</v>
      </c>
      <c r="AF6080">
        <v>-1.0006951452553401</v>
      </c>
      <c r="AG6080">
        <v>-1.110846194619</v>
      </c>
      <c r="AH6080">
        <v>9.2772291121411108</v>
      </c>
      <c r="AI6080">
        <v>96.789021167931693</v>
      </c>
      <c r="AJ6080">
        <v>96.156448261274093</v>
      </c>
      <c r="AK6080">
        <v>9.3969330124778292</v>
      </c>
      <c r="AL6080">
        <v>67.884568343455399</v>
      </c>
      <c r="AM6080">
        <v>98.170506069439895</v>
      </c>
      <c r="AN6080">
        <v>1.00000001480514</v>
      </c>
    </row>
    <row r="6081" spans="1:40" x14ac:dyDescent="0.25">
      <c r="A6081" t="str">
        <f>"20190304164528077"</f>
        <v>20190304164528077</v>
      </c>
      <c r="B6081" t="str">
        <f>"1551689128066461"</f>
        <v>1551689128066461</v>
      </c>
      <c r="C6081" t="s">
        <v>40</v>
      </c>
      <c r="D6081">
        <v>5.2539989999999896</v>
      </c>
      <c r="E6081">
        <v>0.5304584</v>
      </c>
      <c r="F6081" t="s">
        <v>42</v>
      </c>
      <c r="G6081">
        <v>-188.23480000000001</v>
      </c>
      <c r="H6081" s="1">
        <v>-2.3871209999999999E-6</v>
      </c>
      <c r="I6081">
        <v>4.4673249999999998</v>
      </c>
      <c r="J6081">
        <v>-187.7467</v>
      </c>
      <c r="K6081">
        <v>1.110903</v>
      </c>
      <c r="L6081">
        <v>-5.0789489999999997</v>
      </c>
      <c r="M6081">
        <v>5.5588640000000002E-2</v>
      </c>
      <c r="N6081">
        <v>-7.4853200000000002E-3</v>
      </c>
      <c r="O6081">
        <v>0.99842569999999997</v>
      </c>
      <c r="P6081">
        <v>-8.0067570000000005E-2</v>
      </c>
      <c r="Q6081">
        <v>0.37013819999999997</v>
      </c>
      <c r="R6081">
        <v>0.9255198</v>
      </c>
      <c r="S6081">
        <v>-0.16029360000000001</v>
      </c>
      <c r="T6081">
        <v>-0.3793995</v>
      </c>
      <c r="U6081">
        <v>3.3786930000000002</v>
      </c>
      <c r="V6081">
        <v>-0.13245379999999901</v>
      </c>
      <c r="W6081">
        <v>0.37664029999999998</v>
      </c>
      <c r="X6081">
        <v>0.91684129999999997</v>
      </c>
      <c r="Y6081">
        <v>-0.1025418</v>
      </c>
      <c r="Z6081">
        <v>-0.1035244</v>
      </c>
      <c r="AA6081">
        <v>0.98932699999999996</v>
      </c>
      <c r="AB6081">
        <v>38</v>
      </c>
      <c r="AC6081">
        <v>-0.48810000000000198</v>
      </c>
      <c r="AD6081">
        <v>-1.110905387121</v>
      </c>
      <c r="AE6081">
        <v>9.5462740000000004</v>
      </c>
      <c r="AF6081">
        <v>-1.00445748402645</v>
      </c>
      <c r="AG6081">
        <v>-1.110905387121</v>
      </c>
      <c r="AH6081">
        <v>9.3777157959451998</v>
      </c>
      <c r="AI6081">
        <v>96.717830225476604</v>
      </c>
      <c r="AJ6081">
        <v>96.113704839624802</v>
      </c>
      <c r="AK6081">
        <v>9.4965572270097596</v>
      </c>
      <c r="AL6081">
        <v>67.874269037581101</v>
      </c>
      <c r="AM6081">
        <v>98.220505038051201</v>
      </c>
      <c r="AN6081">
        <v>0.99999994705210804</v>
      </c>
    </row>
    <row r="6082" spans="1:40" x14ac:dyDescent="0.25">
      <c r="A6082" t="str">
        <f>"20190304164528099"</f>
        <v>20190304164528099</v>
      </c>
      <c r="B6082" t="str">
        <f>"1551689128095741"</f>
        <v>1551689128095741</v>
      </c>
      <c r="C6082" t="s">
        <v>40</v>
      </c>
      <c r="D6082">
        <v>5.2859879999999997</v>
      </c>
      <c r="E6082">
        <v>0.53059789999999996</v>
      </c>
      <c r="F6082" t="s">
        <v>42</v>
      </c>
      <c r="G6082">
        <v>-188.23269999999999</v>
      </c>
      <c r="H6082" s="1">
        <v>-2.5495860000000002E-6</v>
      </c>
      <c r="I6082">
        <v>4.8451599999999999</v>
      </c>
      <c r="J6082">
        <v>-187.72720000000001</v>
      </c>
      <c r="K6082">
        <v>1.1109500000000001</v>
      </c>
      <c r="L6082">
        <v>-4.7102050000000002</v>
      </c>
      <c r="M6082">
        <v>5.4274000000000003E-2</v>
      </c>
      <c r="N6082">
        <v>-7.4905419999999898E-3</v>
      </c>
      <c r="O6082">
        <v>0.998498</v>
      </c>
      <c r="P6082">
        <v>-8.1445920000000005E-2</v>
      </c>
      <c r="Q6082">
        <v>0.37037769999999998</v>
      </c>
      <c r="R6082">
        <v>0.92530369999999995</v>
      </c>
      <c r="S6082">
        <v>-0.16543579999999999</v>
      </c>
      <c r="T6082">
        <v>-0.3781736</v>
      </c>
      <c r="U6082">
        <v>3.3783569999999998</v>
      </c>
      <c r="V6082">
        <v>-0.13265479999999999</v>
      </c>
      <c r="W6082">
        <v>0.37686700000000001</v>
      </c>
      <c r="X6082">
        <v>0.91671910000000001</v>
      </c>
      <c r="Y6082">
        <v>-0.102740899999999</v>
      </c>
      <c r="Z6082">
        <v>-0.1031825</v>
      </c>
      <c r="AA6082">
        <v>0.98934200000000005</v>
      </c>
      <c r="AB6082">
        <v>38</v>
      </c>
      <c r="AC6082">
        <v>-0.50549999999998296</v>
      </c>
      <c r="AD6082">
        <v>-1.110952549586</v>
      </c>
      <c r="AE6082">
        <v>9.5553650000000001</v>
      </c>
      <c r="AF6082">
        <v>-1.0097658938910401</v>
      </c>
      <c r="AG6082">
        <v>-1.110952549586</v>
      </c>
      <c r="AH6082">
        <v>9.3873053064157208</v>
      </c>
      <c r="AI6082">
        <v>96.710990795039905</v>
      </c>
      <c r="AJ6082">
        <v>96.139538073604598</v>
      </c>
      <c r="AK6082">
        <v>9.5065947448998802</v>
      </c>
      <c r="AL6082">
        <v>67.860247370948301</v>
      </c>
      <c r="AM6082">
        <v>98.233891264496805</v>
      </c>
      <c r="AN6082">
        <v>0.999999969978424</v>
      </c>
    </row>
    <row r="6083" spans="1:40" x14ac:dyDescent="0.25">
      <c r="A6083" t="str">
        <f>"20190304164528121"</f>
        <v>20190304164528121</v>
      </c>
      <c r="B6083" t="str">
        <f>"1551689128116238"</f>
        <v>1551689128116238</v>
      </c>
      <c r="C6083" t="s">
        <v>40</v>
      </c>
      <c r="D6083">
        <v>5.2287460000000001</v>
      </c>
      <c r="E6083">
        <v>0.5306959</v>
      </c>
      <c r="F6083" t="s">
        <v>42</v>
      </c>
      <c r="G6083">
        <v>-188.22470000000001</v>
      </c>
      <c r="H6083" s="1">
        <v>-2.7063030000000001E-6</v>
      </c>
      <c r="I6083">
        <v>5.2072010000000004</v>
      </c>
      <c r="J6083">
        <v>-187.70760000000001</v>
      </c>
      <c r="K6083">
        <v>1.1109910000000001</v>
      </c>
      <c r="L6083">
        <v>-4.3285220000000004</v>
      </c>
      <c r="M6083">
        <v>5.2900469999999998E-2</v>
      </c>
      <c r="N6083">
        <v>-7.4961709999999898E-3</v>
      </c>
      <c r="O6083">
        <v>0.9985716</v>
      </c>
      <c r="P6083">
        <v>-8.2328139999999994E-2</v>
      </c>
      <c r="Q6083">
        <v>0.37066060000000001</v>
      </c>
      <c r="R6083">
        <v>0.9251123</v>
      </c>
      <c r="S6083">
        <v>-0.16950989999999999</v>
      </c>
      <c r="T6083">
        <v>-0.37848969999999998</v>
      </c>
      <c r="U6083">
        <v>3.3787539999999998</v>
      </c>
      <c r="V6083">
        <v>-0.1323009</v>
      </c>
      <c r="W6083">
        <v>0.37714209999999998</v>
      </c>
      <c r="X6083">
        <v>0.9166571</v>
      </c>
      <c r="Y6083">
        <v>-0.1025567</v>
      </c>
      <c r="Z6083">
        <v>-0.1032655</v>
      </c>
      <c r="AA6083">
        <v>0.98935249999999997</v>
      </c>
      <c r="AB6083">
        <v>38</v>
      </c>
      <c r="AC6083">
        <v>-0.517099999999999</v>
      </c>
      <c r="AD6083">
        <v>-1.110993706303</v>
      </c>
      <c r="AE6083">
        <v>9.5357229999999902</v>
      </c>
      <c r="AF6083">
        <v>-1.00720240590857</v>
      </c>
      <c r="AG6083">
        <v>-1.110993706303</v>
      </c>
      <c r="AH6083">
        <v>9.3682208815036194</v>
      </c>
      <c r="AI6083">
        <v>96.724822432118899</v>
      </c>
      <c r="AJ6083">
        <v>96.136450776624002</v>
      </c>
      <c r="AK6083">
        <v>9.4874826053360106</v>
      </c>
      <c r="AL6083">
        <v>67.843229474875201</v>
      </c>
      <c r="AM6083">
        <v>98.212772551359393</v>
      </c>
      <c r="AN6083">
        <v>0.99999996535681401</v>
      </c>
    </row>
    <row r="6084" spans="1:40" x14ac:dyDescent="0.25">
      <c r="A6084" t="str">
        <f>"20190304164528143"</f>
        <v>20190304164528143</v>
      </c>
      <c r="B6084" t="str">
        <f>"1551689128135758"</f>
        <v>1551689128135758</v>
      </c>
      <c r="C6084" t="s">
        <v>40</v>
      </c>
      <c r="D6084">
        <v>5.1421799999999998</v>
      </c>
      <c r="E6084">
        <v>0.5254373</v>
      </c>
      <c r="F6084" t="s">
        <v>42</v>
      </c>
      <c r="G6084">
        <v>-188.21610000000001</v>
      </c>
      <c r="H6084" s="1">
        <v>-2.8630349999999999E-6</v>
      </c>
      <c r="I6084">
        <v>5.5689820000000001</v>
      </c>
      <c r="J6084">
        <v>-187.68790000000001</v>
      </c>
      <c r="K6084">
        <v>1.1110260000000001</v>
      </c>
      <c r="L6084">
        <v>-3.9363709999999998</v>
      </c>
      <c r="M6084">
        <v>5.1483719999999997E-2</v>
      </c>
      <c r="N6084">
        <v>-7.5022079999999998E-3</v>
      </c>
      <c r="O6084">
        <v>0.99864569999999997</v>
      </c>
      <c r="P6084">
        <v>-8.3069550000000006E-2</v>
      </c>
      <c r="Q6084">
        <v>0.37076389999999998</v>
      </c>
      <c r="R6084">
        <v>0.92500470000000001</v>
      </c>
      <c r="S6084">
        <v>-0.17364499999999999</v>
      </c>
      <c r="T6084">
        <v>-0.37933660000000002</v>
      </c>
      <c r="U6084">
        <v>3.3793950000000001</v>
      </c>
      <c r="V6084">
        <v>-0.13176450000000001</v>
      </c>
      <c r="W6084">
        <v>0.37724150000000001</v>
      </c>
      <c r="X6084">
        <v>0.91669350000000005</v>
      </c>
      <c r="Y6084">
        <v>-0.1023424</v>
      </c>
      <c r="Z6084">
        <v>-0.1034938</v>
      </c>
      <c r="AA6084">
        <v>0.98935090000000003</v>
      </c>
      <c r="AB6084">
        <v>38</v>
      </c>
      <c r="AC6084">
        <v>-0.528199999999998</v>
      </c>
      <c r="AD6084">
        <v>-1.111028863035</v>
      </c>
      <c r="AE6084">
        <v>9.5053529999999995</v>
      </c>
      <c r="AF6084">
        <v>-1.00322036078396</v>
      </c>
      <c r="AG6084">
        <v>-1.111028863035</v>
      </c>
      <c r="AH6084">
        <v>9.3383641877857606</v>
      </c>
      <c r="AI6084">
        <v>96.746395461723395</v>
      </c>
      <c r="AJ6084">
        <v>96.1317677950709</v>
      </c>
      <c r="AK6084">
        <v>9.4575833028585006</v>
      </c>
      <c r="AL6084">
        <v>67.837080923076499</v>
      </c>
      <c r="AM6084">
        <v>98.179605835702006</v>
      </c>
      <c r="AN6084">
        <v>1.0000000028623699</v>
      </c>
    </row>
    <row r="6085" spans="1:40" x14ac:dyDescent="0.25">
      <c r="A6085" t="str">
        <f>"20190304164528278"</f>
        <v>20190304164528278</v>
      </c>
      <c r="B6085" t="str">
        <f>"1551689128266541"</f>
        <v>1551689128266541</v>
      </c>
      <c r="C6085" t="s">
        <v>40</v>
      </c>
      <c r="D6085">
        <v>4.7924439999999997</v>
      </c>
      <c r="E6085">
        <v>0.51589079999999998</v>
      </c>
      <c r="F6085" t="s">
        <v>42</v>
      </c>
      <c r="G6085">
        <v>-188.10290000000001</v>
      </c>
      <c r="H6085" s="1">
        <v>-1.24369E-6</v>
      </c>
      <c r="I6085">
        <v>1.74741699999999</v>
      </c>
      <c r="J6085">
        <v>-187.58330000000001</v>
      </c>
      <c r="K6085">
        <v>1.1111409999999999</v>
      </c>
      <c r="L6085">
        <v>-1.623291</v>
      </c>
      <c r="M6085">
        <v>4.3153860000000002E-2</v>
      </c>
      <c r="N6085">
        <v>-7.5423280000000001E-3</v>
      </c>
      <c r="O6085">
        <v>0.99903989999999998</v>
      </c>
      <c r="P6085">
        <v>-8.6646009999999996E-2</v>
      </c>
      <c r="Q6085">
        <v>0.37039050000000001</v>
      </c>
      <c r="R6085">
        <v>0.92482609999999998</v>
      </c>
      <c r="S6085">
        <v>-0.2550964</v>
      </c>
      <c r="T6085">
        <v>-0.68299809999999905</v>
      </c>
      <c r="U6085">
        <v>3.4940799999999999</v>
      </c>
      <c r="V6085">
        <v>-0.12776970000000001</v>
      </c>
      <c r="W6085">
        <v>0.37688460000000001</v>
      </c>
      <c r="X6085">
        <v>0.91740549999999998</v>
      </c>
      <c r="Y6085">
        <v>-0.1144623</v>
      </c>
      <c r="Z6085">
        <v>-0.18327879999999999</v>
      </c>
      <c r="AA6085">
        <v>0.97637459999999998</v>
      </c>
      <c r="AB6085">
        <v>39</v>
      </c>
      <c r="AC6085">
        <v>-0.51959999999999695</v>
      </c>
      <c r="AD6085">
        <v>-1.11114224369</v>
      </c>
      <c r="AE6085">
        <v>3.370708</v>
      </c>
      <c r="AF6085">
        <v>-0.60080677034898</v>
      </c>
      <c r="AG6085">
        <v>-1.11114224369</v>
      </c>
      <c r="AH6085">
        <v>3.0241475935236002</v>
      </c>
      <c r="AI6085">
        <v>109.818151847853</v>
      </c>
      <c r="AJ6085">
        <v>101.236629760795</v>
      </c>
      <c r="AK6085">
        <v>3.2773578578519902</v>
      </c>
      <c r="AL6085">
        <v>67.859158799904904</v>
      </c>
      <c r="AM6085">
        <v>97.928745896654704</v>
      </c>
      <c r="AN6085">
        <v>0.99999997469274904</v>
      </c>
    </row>
    <row r="6086" spans="1:40" x14ac:dyDescent="0.25">
      <c r="A6086" t="str">
        <f>"20190304164528299"</f>
        <v>20190304164528299</v>
      </c>
      <c r="B6086" t="str">
        <f>"1551689128295822"</f>
        <v>1551689128295822</v>
      </c>
      <c r="C6086" t="s">
        <v>40</v>
      </c>
      <c r="D6086">
        <v>5.0711940000000002</v>
      </c>
      <c r="E6086">
        <v>0.52780369999999999</v>
      </c>
      <c r="F6086" t="s">
        <v>42</v>
      </c>
      <c r="G6086">
        <v>-187.9117</v>
      </c>
      <c r="H6086" s="1">
        <v>-1.1008779999999999E-6</v>
      </c>
      <c r="I6086">
        <v>1.2503120000000001</v>
      </c>
      <c r="J6086">
        <v>-187.56819999999999</v>
      </c>
      <c r="K6086">
        <v>1.111145</v>
      </c>
      <c r="L6086">
        <v>-1.2478940000000001</v>
      </c>
      <c r="M6086">
        <v>4.1805050000000003E-2</v>
      </c>
      <c r="N6086">
        <v>-7.5493879999999998E-3</v>
      </c>
      <c r="O6086">
        <v>0.99909729999999997</v>
      </c>
      <c r="P6086">
        <v>-8.7222980000000006E-2</v>
      </c>
      <c r="Q6086">
        <v>0.37054120000000002</v>
      </c>
      <c r="R6086">
        <v>0.92471150000000002</v>
      </c>
      <c r="S6086">
        <v>-0.433197</v>
      </c>
      <c r="T6086">
        <v>-1.4655739999999999</v>
      </c>
      <c r="U6086">
        <v>3.790222</v>
      </c>
      <c r="V6086">
        <v>-0.12710869999999999</v>
      </c>
      <c r="W6086">
        <v>0.37704090000000001</v>
      </c>
      <c r="X6086">
        <v>0.9174331</v>
      </c>
      <c r="Y6086">
        <v>-0.14755929999999901</v>
      </c>
      <c r="Z6086">
        <v>-0.35010550000000001</v>
      </c>
      <c r="AA6086">
        <v>0.92501489999999997</v>
      </c>
      <c r="AB6086">
        <v>39</v>
      </c>
      <c r="AC6086">
        <v>-0.34350000000000502</v>
      </c>
      <c r="AD6086">
        <v>-1.1111461008779999</v>
      </c>
      <c r="AE6086">
        <v>2.4982060000000001</v>
      </c>
      <c r="AF6086">
        <v>-0.37485900526989402</v>
      </c>
      <c r="AG6086">
        <v>-1.1111461008779999</v>
      </c>
      <c r="AH6086">
        <v>2.0781711788811599</v>
      </c>
      <c r="AI6086">
        <v>117.752598242663</v>
      </c>
      <c r="AJ6086">
        <v>100.225021060671</v>
      </c>
      <c r="AK6086">
        <v>2.38620208282128</v>
      </c>
      <c r="AL6086">
        <v>67.849490265393896</v>
      </c>
      <c r="AM6086">
        <v>97.888010913504203</v>
      </c>
      <c r="AN6086">
        <v>0.99999997743205404</v>
      </c>
    </row>
    <row r="6087" spans="1:40" x14ac:dyDescent="0.25">
      <c r="A6087" t="str">
        <f>"20190304164528323"</f>
        <v>20190304164528323</v>
      </c>
      <c r="B6087" t="str">
        <f>"1551689128316318"</f>
        <v>1551689128316318</v>
      </c>
      <c r="C6087" t="s">
        <v>40</v>
      </c>
      <c r="D6087">
        <v>5.0286099999999996</v>
      </c>
      <c r="E6087">
        <v>0.53107260000000001</v>
      </c>
      <c r="F6087" t="s">
        <v>42</v>
      </c>
      <c r="G6087">
        <v>-188.13730000000001</v>
      </c>
      <c r="H6087" s="1">
        <v>-3.7442449999999998E-6</v>
      </c>
      <c r="I6087">
        <v>7.5905240000000003</v>
      </c>
      <c r="J6087">
        <v>-187.55250000000001</v>
      </c>
      <c r="K6087">
        <v>1.1111489999999999</v>
      </c>
      <c r="L6087">
        <v>-0.84539789999999904</v>
      </c>
      <c r="M6087">
        <v>4.0359470000000001E-2</v>
      </c>
      <c r="N6087">
        <v>-7.5568569999999897E-3</v>
      </c>
      <c r="O6087">
        <v>0.99915670000000001</v>
      </c>
      <c r="P6087">
        <v>-8.7614709999999998E-2</v>
      </c>
      <c r="Q6087">
        <v>0.37025989999999998</v>
      </c>
      <c r="R6087">
        <v>0.92478720000000003</v>
      </c>
      <c r="S6087">
        <v>-0.2185974</v>
      </c>
      <c r="T6087">
        <v>-0.42676930000000002</v>
      </c>
      <c r="U6087">
        <v>3.3946529999999999</v>
      </c>
      <c r="V6087">
        <v>-0.12617970000000001</v>
      </c>
      <c r="W6087">
        <v>0.37676890000000002</v>
      </c>
      <c r="X6087">
        <v>0.91767310000000002</v>
      </c>
      <c r="Y6087">
        <v>-0.1039945</v>
      </c>
      <c r="Z6087">
        <v>-0.11660769999999999</v>
      </c>
      <c r="AA6087">
        <v>0.98771850000000005</v>
      </c>
      <c r="AB6087">
        <v>39</v>
      </c>
      <c r="AC6087">
        <v>-0.58480000000000099</v>
      </c>
      <c r="AD6087">
        <v>-1.111152744245</v>
      </c>
      <c r="AE6087">
        <v>8.4359219000000003</v>
      </c>
      <c r="AF6087">
        <v>-0.90910560382390604</v>
      </c>
      <c r="AG6087">
        <v>-1.111152744245</v>
      </c>
      <c r="AH6087">
        <v>8.2627772876404393</v>
      </c>
      <c r="AI6087">
        <v>97.613610983352103</v>
      </c>
      <c r="AJ6087">
        <v>96.278669446633799</v>
      </c>
      <c r="AK6087">
        <v>8.3865739086407594</v>
      </c>
      <c r="AL6087">
        <v>67.866316531899699</v>
      </c>
      <c r="AM6087">
        <v>97.829054986368007</v>
      </c>
      <c r="AN6087">
        <v>1.00000001958145</v>
      </c>
    </row>
    <row r="6088" spans="1:40" x14ac:dyDescent="0.25">
      <c r="A6088" t="str">
        <f>"20190304164528344"</f>
        <v>20190304164528344</v>
      </c>
      <c r="B6088" t="str">
        <f>"1551689128335839"</f>
        <v>1551689128335839</v>
      </c>
      <c r="C6088" t="s">
        <v>40</v>
      </c>
      <c r="D6088">
        <v>5.0526600000000004</v>
      </c>
      <c r="E6088">
        <v>0.53113949999999999</v>
      </c>
      <c r="F6088" t="s">
        <v>42</v>
      </c>
      <c r="G6088">
        <v>-188.07159999999999</v>
      </c>
      <c r="H6088" s="1">
        <v>-4.0589950000000001E-6</v>
      </c>
      <c r="I6088">
        <v>8.2970269999999999</v>
      </c>
      <c r="J6088">
        <v>-187.53790000000001</v>
      </c>
      <c r="K6088">
        <v>1.1111489999999999</v>
      </c>
      <c r="L6088">
        <v>-0.45529170000000002</v>
      </c>
      <c r="M6088">
        <v>3.8958659999999999E-2</v>
      </c>
      <c r="N6088">
        <v>-7.5640300000000002E-3</v>
      </c>
      <c r="O6088">
        <v>0.99921219999999999</v>
      </c>
      <c r="P6088">
        <v>-8.8035639999999998E-2</v>
      </c>
      <c r="Q6088">
        <v>0.36982359999999997</v>
      </c>
      <c r="R6088">
        <v>0.92492180000000002</v>
      </c>
      <c r="S6088">
        <v>-0.19250490000000001</v>
      </c>
      <c r="T6088">
        <v>-0.4121051</v>
      </c>
      <c r="U6088">
        <v>3.3907470000000002</v>
      </c>
      <c r="V6088">
        <v>-0.1253205</v>
      </c>
      <c r="W6088">
        <v>0.3763417</v>
      </c>
      <c r="X6088">
        <v>0.91796610000000001</v>
      </c>
      <c r="Y6088">
        <v>-9.5128480000000001E-2</v>
      </c>
      <c r="Z6088">
        <v>-0.1126233</v>
      </c>
      <c r="AA6088">
        <v>0.9890736</v>
      </c>
      <c r="AB6088">
        <v>39</v>
      </c>
      <c r="AC6088">
        <v>-0.53369999999998097</v>
      </c>
      <c r="AD6088">
        <v>-1.1111530589949901</v>
      </c>
      <c r="AE6088">
        <v>8.7523186999999893</v>
      </c>
      <c r="AF6088">
        <v>-0.86046586135286396</v>
      </c>
      <c r="AG6088">
        <v>-1.1111530589949901</v>
      </c>
      <c r="AH6088">
        <v>8.58699158669938</v>
      </c>
      <c r="AI6088">
        <v>97.336739931737</v>
      </c>
      <c r="AJ6088">
        <v>95.722264319381793</v>
      </c>
      <c r="AK6088">
        <v>8.7012348048488892</v>
      </c>
      <c r="AL6088">
        <v>67.892738353255396</v>
      </c>
      <c r="AM6088">
        <v>97.773947045530903</v>
      </c>
      <c r="AN6088">
        <v>1.00000003181417</v>
      </c>
    </row>
    <row r="6089" spans="1:40" x14ac:dyDescent="0.25">
      <c r="A6089" t="str">
        <f>"20190304164528377"</f>
        <v>20190304164528377</v>
      </c>
      <c r="B6089" t="str">
        <f>"1551689128366093"</f>
        <v>1551689128366093</v>
      </c>
      <c r="C6089" t="s">
        <v>40</v>
      </c>
      <c r="D6089">
        <v>5.1466570000000003</v>
      </c>
      <c r="E6089">
        <v>0.53148629999999997</v>
      </c>
      <c r="F6089" t="s">
        <v>42</v>
      </c>
      <c r="G6089">
        <v>-188.06710000000001</v>
      </c>
      <c r="H6089" s="1">
        <v>-4.2981969999999999E-6</v>
      </c>
      <c r="I6089">
        <v>8.8527729999999991</v>
      </c>
      <c r="J6089">
        <v>-187.51740000000001</v>
      </c>
      <c r="K6089">
        <v>1.111154</v>
      </c>
      <c r="L6089">
        <v>0.11569210000000001</v>
      </c>
      <c r="M6089">
        <v>3.6909570000000003E-2</v>
      </c>
      <c r="N6089">
        <v>-7.5746529999999998E-3</v>
      </c>
      <c r="O6089">
        <v>0.99928989999999995</v>
      </c>
      <c r="P6089">
        <v>-9.0248889999999998E-2</v>
      </c>
      <c r="Q6089">
        <v>0.36952430000000003</v>
      </c>
      <c r="R6089">
        <v>0.92482810000000004</v>
      </c>
      <c r="S6089">
        <v>-0.19256590000000001</v>
      </c>
      <c r="T6089">
        <v>-0.40430529999999998</v>
      </c>
      <c r="U6089">
        <v>3.386841</v>
      </c>
      <c r="V6089">
        <v>-0.1256496</v>
      </c>
      <c r="W6089">
        <v>0.3760484</v>
      </c>
      <c r="X6089">
        <v>0.91804129999999995</v>
      </c>
      <c r="Y6089">
        <v>-9.3184489999999995E-2</v>
      </c>
      <c r="Z6089">
        <v>-0.110528</v>
      </c>
      <c r="AA6089">
        <v>0.98949489999999996</v>
      </c>
      <c r="AB6089">
        <v>39</v>
      </c>
      <c r="AC6089">
        <v>-0.54970000000000097</v>
      </c>
      <c r="AD6089">
        <v>-1.1111582981970001</v>
      </c>
      <c r="AE6089">
        <v>8.7370808999999898</v>
      </c>
      <c r="AF6089">
        <v>-0.85799403431377397</v>
      </c>
      <c r="AG6089">
        <v>-1.1111582981970001</v>
      </c>
      <c r="AH6089">
        <v>8.5727282588615292</v>
      </c>
      <c r="AI6089">
        <v>97.348935407841395</v>
      </c>
      <c r="AJ6089">
        <v>95.715365565395899</v>
      </c>
      <c r="AK6089">
        <v>8.6869152365412905</v>
      </c>
      <c r="AL6089">
        <v>67.910875391988895</v>
      </c>
      <c r="AM6089">
        <v>97.793480753980006</v>
      </c>
      <c r="AN6089">
        <v>1.0000000248142</v>
      </c>
    </row>
    <row r="6090" spans="1:40" x14ac:dyDescent="0.25">
      <c r="A6090" t="str">
        <f>"20190304164528399"</f>
        <v>20190304164528399</v>
      </c>
      <c r="B6090" t="str">
        <f>"1551689128396350"</f>
        <v>1551689128396350</v>
      </c>
      <c r="C6090" t="s">
        <v>40</v>
      </c>
      <c r="D6090">
        <v>5.113156</v>
      </c>
      <c r="E6090">
        <v>0.53153159999999999</v>
      </c>
      <c r="F6090" t="s">
        <v>42</v>
      </c>
      <c r="G6090">
        <v>-188.072</v>
      </c>
      <c r="H6090" s="1">
        <v>-4.6070650000000004E-6</v>
      </c>
      <c r="I6090">
        <v>9.5747800000000005</v>
      </c>
      <c r="J6090">
        <v>-187.5042</v>
      </c>
      <c r="K6090">
        <v>1.1111610000000001</v>
      </c>
      <c r="L6090">
        <v>0.50454709999999903</v>
      </c>
      <c r="M6090">
        <v>3.551493E-2</v>
      </c>
      <c r="N6090">
        <v>-7.5819879999999996E-3</v>
      </c>
      <c r="O6090">
        <v>0.99934040000000002</v>
      </c>
      <c r="P6090">
        <v>-9.191038E-2</v>
      </c>
      <c r="Q6090">
        <v>0.36969180000000001</v>
      </c>
      <c r="R6090">
        <v>0.92459740000000001</v>
      </c>
      <c r="S6090">
        <v>-0.19837949999999999</v>
      </c>
      <c r="T6090">
        <v>-0.39743610000000001</v>
      </c>
      <c r="U6090">
        <v>3.3833009999999999</v>
      </c>
      <c r="V6090">
        <v>-0.12602369999999999</v>
      </c>
      <c r="W6090">
        <v>0.37621850000000001</v>
      </c>
      <c r="X6090">
        <v>0.91792030000000002</v>
      </c>
      <c r="Y6090">
        <v>-9.3560870000000004E-2</v>
      </c>
      <c r="Z6090">
        <v>-0.10866149999999999</v>
      </c>
      <c r="AA6090">
        <v>0.98966609999999999</v>
      </c>
      <c r="AB6090">
        <v>39</v>
      </c>
      <c r="AC6090">
        <v>-0.56780000000000497</v>
      </c>
      <c r="AD6090">
        <v>-1.111165607065</v>
      </c>
      <c r="AE6090">
        <v>9.0702329000000006</v>
      </c>
      <c r="AF6090">
        <v>-0.87647696626355198</v>
      </c>
      <c r="AG6090">
        <v>-1.111165607065</v>
      </c>
      <c r="AH6090">
        <v>8.9111290933557399</v>
      </c>
      <c r="AI6090">
        <v>97.073974111896206</v>
      </c>
      <c r="AJ6090">
        <v>95.617405246815807</v>
      </c>
      <c r="AK6090">
        <v>9.0228112358158992</v>
      </c>
      <c r="AL6090">
        <v>67.900356502066998</v>
      </c>
      <c r="AM6090">
        <v>97.817415706052302</v>
      </c>
      <c r="AN6090">
        <v>1.00000000492801</v>
      </c>
    </row>
    <row r="6091" spans="1:40" x14ac:dyDescent="0.25">
      <c r="A6091" t="str">
        <f>"20190304164528422"</f>
        <v>20190304164528422</v>
      </c>
      <c r="B6091" t="str">
        <f>"1551689128415870"</f>
        <v>1551689128415870</v>
      </c>
      <c r="C6091" t="s">
        <v>40</v>
      </c>
      <c r="D6091">
        <v>4.9478429999999998</v>
      </c>
      <c r="E6091">
        <v>0.5256847</v>
      </c>
      <c r="F6091" t="s">
        <v>42</v>
      </c>
      <c r="G6091">
        <v>-188.09030000000001</v>
      </c>
      <c r="H6091" s="1">
        <v>-7.1082539999999996E-7</v>
      </c>
      <c r="I6091">
        <v>10.243729999999999</v>
      </c>
      <c r="J6091">
        <v>-187.49090000000001</v>
      </c>
      <c r="K6091">
        <v>1.1111719999999901</v>
      </c>
      <c r="L6091">
        <v>0.9113464</v>
      </c>
      <c r="M6091">
        <v>3.4056490000000002E-2</v>
      </c>
      <c r="N6091">
        <v>-7.5896540000000004E-3</v>
      </c>
      <c r="O6091">
        <v>0.99939109999999998</v>
      </c>
      <c r="P6091">
        <v>-9.3763910000000006E-2</v>
      </c>
      <c r="Q6091">
        <v>0.3699441</v>
      </c>
      <c r="R6091">
        <v>0.92431039999999998</v>
      </c>
      <c r="S6091">
        <v>-0.20333860000000001</v>
      </c>
      <c r="T6091">
        <v>-0.38546750000000002</v>
      </c>
      <c r="U6091">
        <v>3.378571</v>
      </c>
      <c r="V6091">
        <v>-0.12652910000000001</v>
      </c>
      <c r="W6091">
        <v>0.37647249999999999</v>
      </c>
      <c r="X6091">
        <v>0.91774659999999997</v>
      </c>
      <c r="Y6091">
        <v>-9.3659000000000006E-2</v>
      </c>
      <c r="Z6091">
        <v>-0.10535600000000001</v>
      </c>
      <c r="AA6091">
        <v>0.99001419999999996</v>
      </c>
      <c r="AB6091">
        <v>39</v>
      </c>
      <c r="AC6091">
        <v>-0.59940000000000204</v>
      </c>
      <c r="AD6091">
        <v>-1.1111727108253999</v>
      </c>
      <c r="AE6091">
        <v>9.3323836</v>
      </c>
      <c r="AF6091">
        <v>-0.90412472393822796</v>
      </c>
      <c r="AG6091">
        <v>-1.1111727108253999</v>
      </c>
      <c r="AH6091">
        <v>9.1769898251351094</v>
      </c>
      <c r="AI6091">
        <v>96.870961638307904</v>
      </c>
      <c r="AJ6091">
        <v>95.626670248947804</v>
      </c>
      <c r="AK6091">
        <v>9.2881262136317293</v>
      </c>
      <c r="AL6091">
        <v>67.884648144843197</v>
      </c>
      <c r="AM6091">
        <v>97.849843329504395</v>
      </c>
      <c r="AN6091">
        <v>0.99999998910730903</v>
      </c>
    </row>
    <row r="6092" spans="1:40" x14ac:dyDescent="0.25">
      <c r="A6092" t="str">
        <f>"20190304164528447"</f>
        <v>20190304164528447</v>
      </c>
      <c r="B6092" t="str">
        <f>"1551689128436366"</f>
        <v>1551689128436366</v>
      </c>
      <c r="C6092" t="s">
        <v>40</v>
      </c>
      <c r="D6092">
        <v>4.9362199999999996</v>
      </c>
      <c r="E6092">
        <v>0.52516289999999999</v>
      </c>
      <c r="F6092" t="s">
        <v>42</v>
      </c>
      <c r="G6092">
        <v>-188.67580000000001</v>
      </c>
      <c r="H6092" s="1">
        <v>-3.619232E-6</v>
      </c>
      <c r="I6092">
        <v>17.52176</v>
      </c>
      <c r="J6092">
        <v>-187.47749999999999</v>
      </c>
      <c r="K6092">
        <v>1.111178</v>
      </c>
      <c r="L6092">
        <v>1.3400570000000001</v>
      </c>
      <c r="M6092">
        <v>3.2520319999999998E-2</v>
      </c>
      <c r="N6092">
        <v>-7.5977919999999999E-3</v>
      </c>
      <c r="O6092">
        <v>0.99944219999999895</v>
      </c>
      <c r="P6092">
        <v>-9.5411399999999993E-2</v>
      </c>
      <c r="Q6092">
        <v>0.37029669999999998</v>
      </c>
      <c r="R6092">
        <v>0.92400059999999995</v>
      </c>
      <c r="S6092">
        <v>-0.23614499999999999</v>
      </c>
      <c r="T6092">
        <v>-0.22144900000000001</v>
      </c>
      <c r="U6092">
        <v>3.310333</v>
      </c>
      <c r="V6092">
        <v>-0.12675829999999999</v>
      </c>
      <c r="W6092">
        <v>0.37682860000000001</v>
      </c>
      <c r="X6092">
        <v>0.91756890000000002</v>
      </c>
      <c r="Y6092">
        <v>-0.10340340000000001</v>
      </c>
      <c r="Z6092">
        <v>-5.8839610000000001E-2</v>
      </c>
      <c r="AA6092">
        <v>0.99289760000000005</v>
      </c>
      <c r="AB6092">
        <v>39</v>
      </c>
      <c r="AC6092">
        <v>-1.1983000000000099</v>
      </c>
      <c r="AD6092">
        <v>-1.1111816192319901</v>
      </c>
      <c r="AE6092">
        <v>16.181702999999999</v>
      </c>
      <c r="AF6092">
        <v>-1.71586856225393</v>
      </c>
      <c r="AG6092">
        <v>-1.1111816192319901</v>
      </c>
      <c r="AH6092">
        <v>16.058861861883301</v>
      </c>
      <c r="AI6092">
        <v>93.935899346448295</v>
      </c>
      <c r="AJ6092">
        <v>96.098840537792697</v>
      </c>
      <c r="AK6092">
        <v>16.188451865848702</v>
      </c>
      <c r="AL6092">
        <v>67.862625054453801</v>
      </c>
      <c r="AM6092">
        <v>97.865389002259505</v>
      </c>
      <c r="AN6092">
        <v>1.00000007332202</v>
      </c>
    </row>
    <row r="6093" spans="1:40" x14ac:dyDescent="0.25">
      <c r="A6093" t="str">
        <f>"20190304164528469"</f>
        <v>20190304164528469</v>
      </c>
      <c r="B6093" t="str">
        <f>"1551689128455885"</f>
        <v>1551689128455885</v>
      </c>
      <c r="C6093" t="s">
        <v>40</v>
      </c>
      <c r="D6093">
        <v>5.0951519999999997</v>
      </c>
      <c r="E6093">
        <v>0.52524959999999998</v>
      </c>
      <c r="F6093" t="s">
        <v>42</v>
      </c>
      <c r="G6093">
        <v>-188.75399999999999</v>
      </c>
      <c r="H6093" s="1">
        <v>-4.0439240000000002E-6</v>
      </c>
      <c r="I6093">
        <v>18.544039999999999</v>
      </c>
      <c r="J6093">
        <v>-187.4658</v>
      </c>
      <c r="K6093">
        <v>1.1111869999999999</v>
      </c>
      <c r="L6093">
        <v>1.734375</v>
      </c>
      <c r="M6093">
        <v>3.1108440000000001E-2</v>
      </c>
      <c r="N6093">
        <v>-7.6053219999999899E-3</v>
      </c>
      <c r="O6093">
        <v>0.99948709999999996</v>
      </c>
      <c r="P6093">
        <v>-9.6170679999999995E-2</v>
      </c>
      <c r="Q6093">
        <v>0.3703902</v>
      </c>
      <c r="R6093">
        <v>0.92388440000000005</v>
      </c>
      <c r="S6093">
        <v>-0.2453613</v>
      </c>
      <c r="T6093">
        <v>-0.21359520000000001</v>
      </c>
      <c r="U6093">
        <v>3.307007</v>
      </c>
      <c r="V6093">
        <v>-0.12621940000000001</v>
      </c>
      <c r="W6093">
        <v>0.37692930000000002</v>
      </c>
      <c r="X6093">
        <v>0.91760180000000002</v>
      </c>
      <c r="Y6093">
        <v>-0.10483199999999999</v>
      </c>
      <c r="Z6093">
        <v>-5.654203E-2</v>
      </c>
      <c r="AA6093">
        <v>0.99288129999999997</v>
      </c>
      <c r="AB6093">
        <v>40</v>
      </c>
      <c r="AC6093">
        <v>-1.28820000000001</v>
      </c>
      <c r="AD6093">
        <v>-1.111191043924</v>
      </c>
      <c r="AE6093">
        <v>16.809664999999999</v>
      </c>
      <c r="AF6093">
        <v>-1.8026827329291399</v>
      </c>
      <c r="AG6093">
        <v>-1.111191043924</v>
      </c>
      <c r="AH6093">
        <v>16.688952634007599</v>
      </c>
      <c r="AI6093">
        <v>93.787304265594798</v>
      </c>
      <c r="AJ6093">
        <v>96.164988553176599</v>
      </c>
      <c r="AK6093">
        <v>16.8227688146704</v>
      </c>
      <c r="AL6093">
        <v>67.856395486614304</v>
      </c>
      <c r="AM6093">
        <v>97.832088660241695</v>
      </c>
      <c r="AN6093">
        <v>1.0000000487490399</v>
      </c>
    </row>
    <row r="6094" spans="1:40" x14ac:dyDescent="0.25">
      <c r="A6094" t="str">
        <f>"20190304164528490"</f>
        <v>20190304164528490</v>
      </c>
      <c r="B6094" t="str">
        <f>"1551689128476382"</f>
        <v>1551689128476382</v>
      </c>
      <c r="C6094" t="s">
        <v>40</v>
      </c>
      <c r="D6094">
        <v>4.9831789999999998</v>
      </c>
      <c r="E6094">
        <v>0.53078930000000002</v>
      </c>
      <c r="F6094" t="s">
        <v>42</v>
      </c>
      <c r="G6094">
        <v>-188.7713</v>
      </c>
      <c r="H6094" s="1">
        <v>-4.2821330000000003E-6</v>
      </c>
      <c r="I6094">
        <v>19.1065</v>
      </c>
      <c r="J6094">
        <v>-187.4556</v>
      </c>
      <c r="K6094">
        <v>1.1111839999999999</v>
      </c>
      <c r="L6094">
        <v>2.0929869999999999</v>
      </c>
      <c r="M6094">
        <v>2.9825210000000001E-2</v>
      </c>
      <c r="N6094">
        <v>-7.6121369999999997E-3</v>
      </c>
      <c r="O6094">
        <v>0.99952609999999997</v>
      </c>
      <c r="P6094">
        <v>-9.7220520000000005E-2</v>
      </c>
      <c r="Q6094">
        <v>0.37040640000000002</v>
      </c>
      <c r="R6094">
        <v>0.92376800000000003</v>
      </c>
      <c r="S6094">
        <v>-0.24845890000000001</v>
      </c>
      <c r="T6094">
        <v>-0.21146889999999999</v>
      </c>
      <c r="U6094">
        <v>3.3060610000000001</v>
      </c>
      <c r="V6094">
        <v>-0.1260887</v>
      </c>
      <c r="W6094">
        <v>0.37695040000000002</v>
      </c>
      <c r="X6094">
        <v>0.91761110000000001</v>
      </c>
      <c r="Y6094">
        <v>-0.10450420000000001</v>
      </c>
      <c r="Z6094">
        <v>-5.5919980000000001E-2</v>
      </c>
      <c r="AA6094">
        <v>0.99295109999999998</v>
      </c>
      <c r="AB6094">
        <v>40</v>
      </c>
      <c r="AC6094">
        <v>-1.3156999999999901</v>
      </c>
      <c r="AD6094">
        <v>-1.1111882821329999</v>
      </c>
      <c r="AE6094">
        <v>17.013513</v>
      </c>
      <c r="AF6094">
        <v>-1.81486537673371</v>
      </c>
      <c r="AG6094">
        <v>-1.1111882821329999</v>
      </c>
      <c r="AH6094">
        <v>16.8950612506884</v>
      </c>
      <c r="AI6094">
        <v>93.741461424254794</v>
      </c>
      <c r="AJ6094">
        <v>96.131194954244705</v>
      </c>
      <c r="AK6094">
        <v>17.028551623626999</v>
      </c>
      <c r="AL6094">
        <v>67.855090242876898</v>
      </c>
      <c r="AM6094">
        <v>97.824000727190594</v>
      </c>
      <c r="AN6094">
        <v>1.00000004758552</v>
      </c>
    </row>
    <row r="6095" spans="1:40" x14ac:dyDescent="0.25">
      <c r="A6095" t="str">
        <f>"20190304164528513"</f>
        <v>20190304164528513</v>
      </c>
      <c r="B6095" t="str">
        <f>"1551689128506637"</f>
        <v>1551689128506637</v>
      </c>
      <c r="C6095" t="s">
        <v>40</v>
      </c>
      <c r="D6095">
        <v>5.0916220000000001</v>
      </c>
      <c r="E6095">
        <v>0.53203239999999996</v>
      </c>
      <c r="F6095" t="s">
        <v>42</v>
      </c>
      <c r="G6095">
        <v>-188.21969999999999</v>
      </c>
      <c r="H6095" s="1">
        <v>-2.0069159999999998E-6</v>
      </c>
      <c r="I6095">
        <v>13.5748</v>
      </c>
      <c r="J6095">
        <v>-187.44409999999999</v>
      </c>
      <c r="K6095">
        <v>1.1111850000000001</v>
      </c>
      <c r="L6095">
        <v>2.5169980000000001</v>
      </c>
      <c r="M6095">
        <v>2.8308679999999999E-2</v>
      </c>
      <c r="N6095">
        <v>-7.6202600000000002E-3</v>
      </c>
      <c r="O6095">
        <v>0.99957019999999996</v>
      </c>
      <c r="P6095">
        <v>-9.791213E-2</v>
      </c>
      <c r="Q6095">
        <v>0.36990729999999999</v>
      </c>
      <c r="R6095">
        <v>0.92389489999999996</v>
      </c>
      <c r="S6095">
        <v>-0.2232056</v>
      </c>
      <c r="T6095">
        <v>-0.3246173</v>
      </c>
      <c r="U6095">
        <v>3.3542480000000001</v>
      </c>
      <c r="V6095">
        <v>-0.12539139999999999</v>
      </c>
      <c r="W6095">
        <v>0.37646190000000002</v>
      </c>
      <c r="X6095">
        <v>0.91790709999999998</v>
      </c>
      <c r="Y6095">
        <v>-9.4320210000000002E-2</v>
      </c>
      <c r="Z6095">
        <v>-8.835527E-2</v>
      </c>
      <c r="AA6095">
        <v>0.99161330000000003</v>
      </c>
      <c r="AB6095">
        <v>40</v>
      </c>
      <c r="AC6095">
        <v>-0.77559999999999696</v>
      </c>
      <c r="AD6095">
        <v>-1.1111870069159999</v>
      </c>
      <c r="AE6095">
        <v>11.057802000000001</v>
      </c>
      <c r="AF6095">
        <v>-1.07750261871788</v>
      </c>
      <c r="AG6095">
        <v>-1.1111870069159999</v>
      </c>
      <c r="AH6095">
        <v>10.9216658525359</v>
      </c>
      <c r="AI6095">
        <v>95.781493672133905</v>
      </c>
      <c r="AJ6095">
        <v>95.634416584756394</v>
      </c>
      <c r="AK6095">
        <v>11.030799311569901</v>
      </c>
      <c r="AL6095">
        <v>67.885304075168804</v>
      </c>
      <c r="AM6095">
        <v>97.778785169262207</v>
      </c>
      <c r="AN6095">
        <v>1.00000000478799</v>
      </c>
    </row>
    <row r="6096" spans="1:40" x14ac:dyDescent="0.25">
      <c r="A6096" t="str">
        <f>"20190304164528537"</f>
        <v>20190304164528537</v>
      </c>
      <c r="B6096" t="str">
        <f>"1551689128526159"</f>
        <v>1551689128526159</v>
      </c>
      <c r="C6096" t="s">
        <v>40</v>
      </c>
      <c r="D6096">
        <v>5.0580249999999998</v>
      </c>
      <c r="E6096">
        <v>0.53191949999999999</v>
      </c>
      <c r="F6096" t="s">
        <v>42</v>
      </c>
      <c r="G6096">
        <v>-188.17429999999999</v>
      </c>
      <c r="H6096" s="1">
        <v>-2.0742800000000001E-6</v>
      </c>
      <c r="I6096">
        <v>13.71306</v>
      </c>
      <c r="J6096">
        <v>-187.43350000000001</v>
      </c>
      <c r="K6096">
        <v>1.1111839999999999</v>
      </c>
      <c r="L6096">
        <v>2.936401</v>
      </c>
      <c r="M6096">
        <v>2.6812860000000001E-2</v>
      </c>
      <c r="N6096">
        <v>-7.62832599999999E-3</v>
      </c>
      <c r="O6096">
        <v>0.99961140000000004</v>
      </c>
      <c r="P6096">
        <v>-9.8543619999999998E-2</v>
      </c>
      <c r="Q6096">
        <v>0.36940410000000001</v>
      </c>
      <c r="R6096">
        <v>0.92402910000000005</v>
      </c>
      <c r="S6096">
        <v>-0.21894839999999999</v>
      </c>
      <c r="T6096">
        <v>-0.33320870000000002</v>
      </c>
      <c r="U6096">
        <v>3.3573300000000001</v>
      </c>
      <c r="V6096">
        <v>-0.124651</v>
      </c>
      <c r="W6096">
        <v>0.37596930000000001</v>
      </c>
      <c r="X6096">
        <v>0.91820979999999996</v>
      </c>
      <c r="Y6096">
        <v>-9.1503780000000007E-2</v>
      </c>
      <c r="Z6096">
        <v>-9.0798299999999998E-2</v>
      </c>
      <c r="AA6096">
        <v>0.99165650000000005</v>
      </c>
      <c r="AB6096">
        <v>40</v>
      </c>
      <c r="AC6096">
        <v>-0.74079999999997803</v>
      </c>
      <c r="AD6096">
        <v>-1.1111860742799999</v>
      </c>
      <c r="AE6096">
        <v>10.776659</v>
      </c>
      <c r="AF6096">
        <v>-1.0187152899613301</v>
      </c>
      <c r="AG6096">
        <v>-1.1111860742799999</v>
      </c>
      <c r="AH6096">
        <v>10.640327307200501</v>
      </c>
      <c r="AI6096">
        <v>95.934933787987106</v>
      </c>
      <c r="AJ6096">
        <v>95.468884458451697</v>
      </c>
      <c r="AK6096">
        <v>10.7465845987472</v>
      </c>
      <c r="AL6096">
        <v>67.915766102482493</v>
      </c>
      <c r="AM6096">
        <v>97.730892541961197</v>
      </c>
      <c r="AN6096">
        <v>1.00000001157976</v>
      </c>
    </row>
    <row r="6097" spans="1:40" x14ac:dyDescent="0.25">
      <c r="A6097" t="str">
        <f>"20190304164528559"</f>
        <v>20190304164528559</v>
      </c>
      <c r="B6097" t="str">
        <f>"1551689128546654"</f>
        <v>1551689128546654</v>
      </c>
      <c r="C6097" t="s">
        <v>40</v>
      </c>
      <c r="D6097">
        <v>5.0869589999999896</v>
      </c>
      <c r="E6097">
        <v>0.53207079999999995</v>
      </c>
      <c r="F6097" t="s">
        <v>42</v>
      </c>
      <c r="G6097">
        <v>-188.18350000000001</v>
      </c>
      <c r="H6097" s="1">
        <v>-2.2515E-6</v>
      </c>
      <c r="I6097">
        <v>14.129960000000001</v>
      </c>
      <c r="J6097">
        <v>-187.4239</v>
      </c>
      <c r="K6097">
        <v>1.111189</v>
      </c>
      <c r="L6097">
        <v>3.3341370000000001</v>
      </c>
      <c r="M6097">
        <v>2.5401839999999998E-2</v>
      </c>
      <c r="N6097">
        <v>-7.63593E-3</v>
      </c>
      <c r="O6097">
        <v>0.99964819999999999</v>
      </c>
      <c r="P6097">
        <v>-9.9443320000000002E-2</v>
      </c>
      <c r="Q6097">
        <v>0.36922860000000002</v>
      </c>
      <c r="R6097">
        <v>0.92400280000000001</v>
      </c>
      <c r="S6097">
        <v>-0.22485350000000001</v>
      </c>
      <c r="T6097">
        <v>-0.33313419999999999</v>
      </c>
      <c r="U6097">
        <v>3.3558349999999999</v>
      </c>
      <c r="V6097">
        <v>-0.12425070000000001</v>
      </c>
      <c r="W6097">
        <v>0.37580229999999998</v>
      </c>
      <c r="X6097">
        <v>0.91833240000000005</v>
      </c>
      <c r="Y6097">
        <v>-9.1864029999999999E-2</v>
      </c>
      <c r="Z6097">
        <v>-9.0810589999999997E-2</v>
      </c>
      <c r="AA6097">
        <v>0.99162209999999995</v>
      </c>
      <c r="AB6097">
        <v>40</v>
      </c>
      <c r="AC6097">
        <v>-0.75960000000000505</v>
      </c>
      <c r="AD6097">
        <v>-1.1111912515</v>
      </c>
      <c r="AE6097">
        <v>10.795823</v>
      </c>
      <c r="AF6097">
        <v>-1.0228141642159301</v>
      </c>
      <c r="AG6097">
        <v>-1.1111912515</v>
      </c>
      <c r="AH6097">
        <v>10.660659162950401</v>
      </c>
      <c r="AI6097">
        <v>95.923609965330698</v>
      </c>
      <c r="AJ6097">
        <v>95.480346627013603</v>
      </c>
      <c r="AK6097">
        <v>10.767104931249101</v>
      </c>
      <c r="AL6097">
        <v>67.926091470637601</v>
      </c>
      <c r="AM6097">
        <v>97.705348165247798</v>
      </c>
      <c r="AN6097">
        <v>1.0000000010127701</v>
      </c>
    </row>
    <row r="6098" spans="1:40" x14ac:dyDescent="0.25">
      <c r="A6098" t="str">
        <f>"20190304164528580"</f>
        <v>20190304164528580</v>
      </c>
      <c r="B6098" t="str">
        <f>"1551689128575934"</f>
        <v>1551689128575934</v>
      </c>
      <c r="C6098" t="s">
        <v>40</v>
      </c>
      <c r="D6098">
        <v>5.0738279999999998</v>
      </c>
      <c r="E6098">
        <v>0.53221969999999996</v>
      </c>
      <c r="F6098" t="s">
        <v>42</v>
      </c>
      <c r="G6098">
        <v>-188.18170000000001</v>
      </c>
      <c r="H6098" s="1">
        <v>-2.3889749999999999E-6</v>
      </c>
      <c r="I6098">
        <v>14.449680000000001</v>
      </c>
      <c r="J6098">
        <v>-187.41550000000001</v>
      </c>
      <c r="K6098">
        <v>1.111191</v>
      </c>
      <c r="L6098">
        <v>3.7054749999999999</v>
      </c>
      <c r="M6098">
        <v>2.4092430000000001E-2</v>
      </c>
      <c r="N6098">
        <v>-7.6429849999999997E-3</v>
      </c>
      <c r="O6098">
        <v>0.99968049999999997</v>
      </c>
      <c r="P6098">
        <v>-9.9739060000000004E-2</v>
      </c>
      <c r="Q6098">
        <v>0.36914130000000001</v>
      </c>
      <c r="R6098">
        <v>0.92400590000000005</v>
      </c>
      <c r="S6098">
        <v>-0.22880549999999999</v>
      </c>
      <c r="T6098">
        <v>-0.33551039999999999</v>
      </c>
      <c r="U6098">
        <v>3.356201</v>
      </c>
      <c r="V6098">
        <v>-0.12333909999999999</v>
      </c>
      <c r="W6098">
        <v>0.37572630000000001</v>
      </c>
      <c r="X6098">
        <v>0.91848640000000004</v>
      </c>
      <c r="Y6098">
        <v>-9.1710459999999994E-2</v>
      </c>
      <c r="Z6098">
        <v>-9.1490340000000003E-2</v>
      </c>
      <c r="AA6098">
        <v>0.99157390000000001</v>
      </c>
      <c r="AB6098">
        <v>40</v>
      </c>
      <c r="AC6098">
        <v>-0.76619999999999699</v>
      </c>
      <c r="AD6098">
        <v>-1.1111933889749901</v>
      </c>
      <c r="AE6098">
        <v>10.744204999999999</v>
      </c>
      <c r="AF6098">
        <v>-1.0140475540135401</v>
      </c>
      <c r="AG6098">
        <v>-1.1111933889749901</v>
      </c>
      <c r="AH6098">
        <v>10.6097162367472</v>
      </c>
      <c r="AI6098">
        <v>95.952065070430905</v>
      </c>
      <c r="AJ6098">
        <v>95.459589162124402</v>
      </c>
      <c r="AK6098">
        <v>10.715835096426201</v>
      </c>
      <c r="AL6098">
        <v>67.930790895553301</v>
      </c>
      <c r="AM6098">
        <v>97.6482201531811</v>
      </c>
      <c r="AN6098">
        <v>1.00000002654272</v>
      </c>
    </row>
    <row r="6099" spans="1:40" x14ac:dyDescent="0.25">
      <c r="A6099" t="str">
        <f>"20190304164528601"</f>
        <v>20190304164528601</v>
      </c>
      <c r="B6099" t="str">
        <f>"1551689128596430"</f>
        <v>1551689128596430</v>
      </c>
      <c r="C6099" t="s">
        <v>40</v>
      </c>
      <c r="D6099">
        <v>5.1283219999999998</v>
      </c>
      <c r="E6099">
        <v>0.5323135</v>
      </c>
      <c r="F6099" t="s">
        <v>42</v>
      </c>
      <c r="G6099">
        <v>-188.1832</v>
      </c>
      <c r="H6099" s="1">
        <v>-2.5861940000000002E-6</v>
      </c>
      <c r="I6099">
        <v>14.91005</v>
      </c>
      <c r="J6099">
        <v>-187.40710000000001</v>
      </c>
      <c r="K6099">
        <v>1.1111839999999999</v>
      </c>
      <c r="L6099">
        <v>4.0948180000000001</v>
      </c>
      <c r="M6099">
        <v>2.2733799999999998E-2</v>
      </c>
      <c r="N6099">
        <v>-7.6503269999999898E-3</v>
      </c>
      <c r="O6099">
        <v>0.9997123</v>
      </c>
      <c r="P6099">
        <v>-0.1003245</v>
      </c>
      <c r="Q6099">
        <v>0.36920330000000001</v>
      </c>
      <c r="R6099">
        <v>0.92391769999999995</v>
      </c>
      <c r="S6099">
        <v>-0.22988890000000001</v>
      </c>
      <c r="T6099">
        <v>-0.33270909999999998</v>
      </c>
      <c r="U6099">
        <v>3.3548279999999999</v>
      </c>
      <c r="V6099">
        <v>-0.1226672</v>
      </c>
      <c r="W6099">
        <v>0.37579960000000001</v>
      </c>
      <c r="X6099">
        <v>0.91854639999999999</v>
      </c>
      <c r="Y6099">
        <v>-9.0708949999999997E-2</v>
      </c>
      <c r="Z6099">
        <v>-9.0711280000000005E-2</v>
      </c>
      <c r="AA6099">
        <v>0.99173750000000005</v>
      </c>
      <c r="AB6099">
        <v>40</v>
      </c>
      <c r="AC6099">
        <v>-0.77609999999998502</v>
      </c>
      <c r="AD6099">
        <v>-1.111186586194</v>
      </c>
      <c r="AE6099">
        <v>10.815232</v>
      </c>
      <c r="AF6099">
        <v>-1.01115874030301</v>
      </c>
      <c r="AG6099">
        <v>-1.111186586194</v>
      </c>
      <c r="AH6099">
        <v>10.6826038516722</v>
      </c>
      <c r="AI6099">
        <v>95.912217148005993</v>
      </c>
      <c r="AJ6099">
        <v>95.407204996891494</v>
      </c>
      <c r="AK6099">
        <v>10.787733899164801</v>
      </c>
      <c r="AL6099">
        <v>67.9262591983112</v>
      </c>
      <c r="AM6099">
        <v>97.6065539680814</v>
      </c>
      <c r="AN6099">
        <v>1.00000003513447</v>
      </c>
    </row>
    <row r="6100" spans="1:40" x14ac:dyDescent="0.25">
      <c r="A6100" t="str">
        <f>"20190304164528625"</f>
        <v>20190304164528625</v>
      </c>
      <c r="B6100" t="str">
        <f>"1551689128615950"</f>
        <v>1551689128615950</v>
      </c>
      <c r="C6100" t="s">
        <v>40</v>
      </c>
      <c r="D6100">
        <v>5.1049519999999999</v>
      </c>
      <c r="E6100">
        <v>0.53248300000000004</v>
      </c>
      <c r="F6100" t="s">
        <v>42</v>
      </c>
      <c r="G6100">
        <v>-188.18709999999999</v>
      </c>
      <c r="H6100" s="1">
        <v>-2.7856489999999999E-6</v>
      </c>
      <c r="I6100">
        <v>15.376569999999999</v>
      </c>
      <c r="J6100">
        <v>-187.39850000000001</v>
      </c>
      <c r="K6100">
        <v>1.1111660000000001</v>
      </c>
      <c r="L6100">
        <v>4.5196230000000002</v>
      </c>
      <c r="M6100">
        <v>2.1278749999999999E-2</v>
      </c>
      <c r="N6100">
        <v>-7.6582480000000003E-3</v>
      </c>
      <c r="O6100">
        <v>0.99974419999999997</v>
      </c>
      <c r="P6100">
        <v>-0.10030840000000001</v>
      </c>
      <c r="Q6100">
        <v>0.36883660000000001</v>
      </c>
      <c r="R6100">
        <v>0.9240659</v>
      </c>
      <c r="S6100">
        <v>-0.23187260000000001</v>
      </c>
      <c r="T6100">
        <v>-0.33033790000000002</v>
      </c>
      <c r="U6100">
        <v>3.353882</v>
      </c>
      <c r="V6100">
        <v>-0.1213011</v>
      </c>
      <c r="W6100">
        <v>0.37545050000000002</v>
      </c>
      <c r="X6100">
        <v>0.91887050000000003</v>
      </c>
      <c r="Y6100">
        <v>-8.9867139999999998E-2</v>
      </c>
      <c r="Z6100">
        <v>-9.0042869999999997E-2</v>
      </c>
      <c r="AA6100">
        <v>0.99187510000000001</v>
      </c>
      <c r="AB6100">
        <v>40</v>
      </c>
      <c r="AC6100">
        <v>-0.78859999999997399</v>
      </c>
      <c r="AD6100">
        <v>-1.11116878564899</v>
      </c>
      <c r="AE6100">
        <v>10.856947</v>
      </c>
      <c r="AF6100">
        <v>-1.00893755679065</v>
      </c>
      <c r="AG6100">
        <v>-1.11116878564899</v>
      </c>
      <c r="AH6100">
        <v>10.7259455306014</v>
      </c>
      <c r="AI6100">
        <v>95.888723865301102</v>
      </c>
      <c r="AJ6100">
        <v>95.373723336500802</v>
      </c>
      <c r="AK6100">
        <v>10.8304459090626</v>
      </c>
      <c r="AL6100">
        <v>67.947841135596306</v>
      </c>
      <c r="AM6100">
        <v>97.520195081065694</v>
      </c>
      <c r="AN6100">
        <v>1.0000000152908499</v>
      </c>
    </row>
    <row r="6101" spans="1:40" x14ac:dyDescent="0.25">
      <c r="A6101" t="str">
        <f>"20190304164528649"</f>
        <v>20190304164528649</v>
      </c>
      <c r="B6101" t="str">
        <f>"1551689128636446"</f>
        <v>1551689128636446</v>
      </c>
      <c r="C6101" t="s">
        <v>40</v>
      </c>
      <c r="D6101">
        <v>5.1319460000000001</v>
      </c>
      <c r="E6101">
        <v>0.532335</v>
      </c>
      <c r="F6101" t="s">
        <v>42</v>
      </c>
      <c r="G6101">
        <v>-188.1737</v>
      </c>
      <c r="H6101" s="1">
        <v>-2.9560690000000002E-6</v>
      </c>
      <c r="I6101">
        <v>15.7683</v>
      </c>
      <c r="J6101">
        <v>-187.39060000000001</v>
      </c>
      <c r="K6101">
        <v>1.1111390000000001</v>
      </c>
      <c r="L6101">
        <v>4.9450379999999896</v>
      </c>
      <c r="M6101">
        <v>1.9862660000000001E-2</v>
      </c>
      <c r="N6101">
        <v>-7.666033E-3</v>
      </c>
      <c r="O6101">
        <v>0.99977329999999998</v>
      </c>
      <c r="P6101">
        <v>-0.10043680000000001</v>
      </c>
      <c r="Q6101">
        <v>0.36828480000000002</v>
      </c>
      <c r="R6101">
        <v>0.92427210000000004</v>
      </c>
      <c r="S6101">
        <v>-0.2311096</v>
      </c>
      <c r="T6101">
        <v>-0.33128289999999999</v>
      </c>
      <c r="U6101">
        <v>3.3536679999999999</v>
      </c>
      <c r="V6101">
        <v>-0.1201068</v>
      </c>
      <c r="W6101">
        <v>0.3749188</v>
      </c>
      <c r="X6101">
        <v>0.91924439999999996</v>
      </c>
      <c r="Y6101">
        <v>-8.8234889999999996E-2</v>
      </c>
      <c r="Z6101">
        <v>-9.0330789999999994E-2</v>
      </c>
      <c r="AA6101">
        <v>0.99199550000000003</v>
      </c>
      <c r="AB6101">
        <v>40</v>
      </c>
      <c r="AC6101">
        <v>-0.78309999999999003</v>
      </c>
      <c r="AD6101">
        <v>-1.1111419560689999</v>
      </c>
      <c r="AE6101">
        <v>10.823262</v>
      </c>
      <c r="AF6101">
        <v>-0.98757617640402995</v>
      </c>
      <c r="AG6101">
        <v>-1.1111419560689999</v>
      </c>
      <c r="AH6101">
        <v>10.693454295677</v>
      </c>
      <c r="AI6101">
        <v>95.907276129519005</v>
      </c>
      <c r="AJ6101">
        <v>95.276489036238303</v>
      </c>
      <c r="AK6101">
        <v>10.796291396793199</v>
      </c>
      <c r="AL6101">
        <v>67.980705924775606</v>
      </c>
      <c r="AM6101">
        <v>97.443993199113706</v>
      </c>
      <c r="AN6101">
        <v>1.0000000084655101</v>
      </c>
    </row>
    <row r="6102" spans="1:40" x14ac:dyDescent="0.25">
      <c r="A6102" t="str">
        <f>"20190304164528692"</f>
        <v>20190304164528692</v>
      </c>
      <c r="B6102" t="str">
        <f>"1551689128686223"</f>
        <v>1551689128686223</v>
      </c>
      <c r="C6102" t="s">
        <v>40</v>
      </c>
      <c r="D6102">
        <v>5.0725119999999997</v>
      </c>
      <c r="E6102">
        <v>0.50753950000000003</v>
      </c>
      <c r="F6102" t="s">
        <v>42</v>
      </c>
      <c r="G6102">
        <v>-188.1694</v>
      </c>
      <c r="H6102" s="1">
        <v>-3.1206830000000002E-6</v>
      </c>
      <c r="I6102">
        <v>16.150230000000001</v>
      </c>
      <c r="J6102">
        <v>-187.37729999999999</v>
      </c>
      <c r="K6102">
        <v>1.1110660000000001</v>
      </c>
      <c r="L6102">
        <v>5.7255859999999998</v>
      </c>
      <c r="M6102">
        <v>1.74173E-2</v>
      </c>
      <c r="N6102">
        <v>-7.67993199999999E-3</v>
      </c>
      <c r="O6102">
        <v>0.99981880000000001</v>
      </c>
      <c r="P6102">
        <v>-0.1003618</v>
      </c>
      <c r="Q6102">
        <v>0.36794270000000001</v>
      </c>
      <c r="R6102">
        <v>0.92441640000000003</v>
      </c>
      <c r="S6102">
        <v>-0.23304749999999999</v>
      </c>
      <c r="T6102">
        <v>-0.33249069999999997</v>
      </c>
      <c r="U6102">
        <v>3.3529659999999999</v>
      </c>
      <c r="V6102">
        <v>-0.11771619999999999</v>
      </c>
      <c r="W6102">
        <v>0.37462030000000002</v>
      </c>
      <c r="X6102">
        <v>0.91967520000000003</v>
      </c>
      <c r="Y6102">
        <v>-8.6381589999999994E-2</v>
      </c>
      <c r="Z6102">
        <v>-9.0704699999999999E-2</v>
      </c>
      <c r="AA6102">
        <v>0.99212440000000002</v>
      </c>
      <c r="AB6102">
        <v>40</v>
      </c>
      <c r="AC6102">
        <v>-0.79210000000000402</v>
      </c>
      <c r="AD6102">
        <v>-1.1110691206829999</v>
      </c>
      <c r="AE6102">
        <v>10.424644000000001</v>
      </c>
      <c r="AF6102">
        <v>-0.962681527294179</v>
      </c>
      <c r="AG6102">
        <v>-1.1110691206829999</v>
      </c>
      <c r="AH6102">
        <v>10.293013480910499</v>
      </c>
      <c r="AI6102">
        <v>96.134315383927003</v>
      </c>
      <c r="AJ6102">
        <v>95.343196970688197</v>
      </c>
      <c r="AK6102">
        <v>10.3974687704332</v>
      </c>
      <c r="AL6102">
        <v>67.999152372097996</v>
      </c>
      <c r="AM6102">
        <v>97.294059888686206</v>
      </c>
      <c r="AN6102">
        <v>0.99999997320478395</v>
      </c>
    </row>
    <row r="6103" spans="1:40" x14ac:dyDescent="0.25">
      <c r="A6103" t="str">
        <f>"20190304164528714"</f>
        <v>20190304164528714</v>
      </c>
      <c r="B6103" t="str">
        <f>"1551689128705742"</f>
        <v>1551689128705742</v>
      </c>
      <c r="C6103" t="s">
        <v>40</v>
      </c>
      <c r="D6103">
        <v>5.0129169999999998</v>
      </c>
      <c r="E6103">
        <v>0.50487079999999995</v>
      </c>
      <c r="F6103" t="s">
        <v>42</v>
      </c>
      <c r="G6103">
        <v>-189.36879999999999</v>
      </c>
      <c r="H6103" s="1">
        <v>-8.5744659999999999E-7</v>
      </c>
      <c r="I6103">
        <v>21.3705</v>
      </c>
      <c r="J6103">
        <v>-187.37119999999999</v>
      </c>
      <c r="K6103">
        <v>1.1110199999999999</v>
      </c>
      <c r="L6103">
        <v>6.1272580000000003</v>
      </c>
      <c r="M6103">
        <v>1.625683E-2</v>
      </c>
      <c r="N6103">
        <v>-7.6868880000000002E-3</v>
      </c>
      <c r="O6103">
        <v>0.99983829999999996</v>
      </c>
      <c r="P6103">
        <v>-0.1008665</v>
      </c>
      <c r="Q6103">
        <v>0.3686372</v>
      </c>
      <c r="R6103">
        <v>0.92408469999999998</v>
      </c>
      <c r="S6103">
        <v>-0.41914370000000001</v>
      </c>
      <c r="T6103">
        <v>-0.23385059999999999</v>
      </c>
      <c r="U6103">
        <v>3.2928470000000001</v>
      </c>
      <c r="V6103">
        <v>-0.1171016</v>
      </c>
      <c r="W6103">
        <v>0.375336</v>
      </c>
      <c r="X6103">
        <v>0.9194618</v>
      </c>
      <c r="Y6103">
        <v>-0.1420912</v>
      </c>
      <c r="Z6103">
        <v>-6.2506480000000003E-2</v>
      </c>
      <c r="AA6103">
        <v>0.98787800000000003</v>
      </c>
      <c r="AB6103">
        <v>40</v>
      </c>
      <c r="AC6103">
        <v>-1.9976</v>
      </c>
      <c r="AD6103">
        <v>-1.1110208574466001</v>
      </c>
      <c r="AE6103">
        <v>15.243242</v>
      </c>
      <c r="AF6103">
        <v>-2.2334853032886999</v>
      </c>
      <c r="AG6103">
        <v>-1.1110208574466001</v>
      </c>
      <c r="AH6103">
        <v>15.1297338875205</v>
      </c>
      <c r="AI6103">
        <v>94.154990139411893</v>
      </c>
      <c r="AJ6103">
        <v>98.397481952276195</v>
      </c>
      <c r="AK6103">
        <v>15.3340037646035</v>
      </c>
      <c r="AL6103">
        <v>67.954917624965802</v>
      </c>
      <c r="AM6103">
        <v>97.258050528319202</v>
      </c>
      <c r="AN6103">
        <v>0.99999994963889804</v>
      </c>
    </row>
    <row r="6104" spans="1:40" x14ac:dyDescent="0.25">
      <c r="A6104" t="str">
        <f>"20190304164528736"</f>
        <v>20190304164528736</v>
      </c>
      <c r="B6104" t="str">
        <f>"1551689128726238"</f>
        <v>1551689128726238</v>
      </c>
      <c r="C6104" t="s">
        <v>40</v>
      </c>
      <c r="D6104">
        <v>5.0065</v>
      </c>
      <c r="E6104">
        <v>0.50417809999999996</v>
      </c>
      <c r="F6104" t="s">
        <v>42</v>
      </c>
      <c r="G6104">
        <v>-189.53450000000001</v>
      </c>
      <c r="H6104" s="1">
        <v>-1.176828E-6</v>
      </c>
      <c r="I6104">
        <v>22.183509999999998</v>
      </c>
      <c r="J6104">
        <v>-187.36539999999999</v>
      </c>
      <c r="K6104">
        <v>1.1109610000000001</v>
      </c>
      <c r="L6104">
        <v>6.5373539999999997</v>
      </c>
      <c r="M6104">
        <v>1.515993E-2</v>
      </c>
      <c r="N6104">
        <v>-7.6939269999999997E-3</v>
      </c>
      <c r="O6104">
        <v>0.99985550000000001</v>
      </c>
      <c r="P6104">
        <v>-0.1014568</v>
      </c>
      <c r="Q6104">
        <v>0.3687474</v>
      </c>
      <c r="R6104">
        <v>0.92397609999999997</v>
      </c>
      <c r="S6104">
        <v>-0.44311519999999999</v>
      </c>
      <c r="T6104">
        <v>-0.22757579999999999</v>
      </c>
      <c r="U6104">
        <v>3.2888790000000001</v>
      </c>
      <c r="V6104">
        <v>-0.1166238</v>
      </c>
      <c r="W6104">
        <v>0.37547130000000001</v>
      </c>
      <c r="X6104">
        <v>0.91946729999999999</v>
      </c>
      <c r="Y6104">
        <v>-0.14824479999999901</v>
      </c>
      <c r="Z6104">
        <v>-6.0644410000000003E-2</v>
      </c>
      <c r="AA6104">
        <v>0.98708949999999995</v>
      </c>
      <c r="AB6104">
        <v>41</v>
      </c>
      <c r="AC6104">
        <v>-2.16910000000001</v>
      </c>
      <c r="AD6104">
        <v>-1.110962176828</v>
      </c>
      <c r="AE6104">
        <v>15.646156</v>
      </c>
      <c r="AF6104">
        <v>-2.3942089308924901</v>
      </c>
      <c r="AG6104">
        <v>-1.110962176828</v>
      </c>
      <c r="AH6104">
        <v>15.5346283572239</v>
      </c>
      <c r="AI6104">
        <v>94.042981459634305</v>
      </c>
      <c r="AJ6104">
        <v>98.761532343176398</v>
      </c>
      <c r="AK6104">
        <v>15.757257107763801</v>
      </c>
      <c r="AL6104">
        <v>67.946554068782007</v>
      </c>
      <c r="AM6104">
        <v>97.228707215230997</v>
      </c>
      <c r="AN6104">
        <v>0.99999996180970896</v>
      </c>
    </row>
    <row r="6105" spans="1:40" x14ac:dyDescent="0.25">
      <c r="A6105" t="str">
        <f>"20190304164528760"</f>
        <v>20190304164528760</v>
      </c>
      <c r="B6105" t="str">
        <f>"1551689128756493"</f>
        <v>1551689128756493</v>
      </c>
      <c r="C6105" t="s">
        <v>40</v>
      </c>
      <c r="D6105">
        <v>5.360652</v>
      </c>
      <c r="E6105">
        <v>0.50406410000000001</v>
      </c>
      <c r="F6105" t="s">
        <v>42</v>
      </c>
      <c r="G6105">
        <v>-189.83359999999999</v>
      </c>
      <c r="H6105" s="1">
        <v>-2.1559719999999998E-6</v>
      </c>
      <c r="I6105">
        <v>24.589600000000001</v>
      </c>
      <c r="J6105">
        <v>-187.3597</v>
      </c>
      <c r="K6105">
        <v>1.110887</v>
      </c>
      <c r="L6105">
        <v>6.9657899999999904</v>
      </c>
      <c r="M6105">
        <v>1.4104999999999999E-2</v>
      </c>
      <c r="N6105">
        <v>-7.7012679999999998E-3</v>
      </c>
      <c r="O6105">
        <v>0.99987079999999995</v>
      </c>
      <c r="P6105">
        <v>-0.10199039999999999</v>
      </c>
      <c r="Q6105">
        <v>0.3691218</v>
      </c>
      <c r="R6105">
        <v>0.92376789999999998</v>
      </c>
      <c r="S6105">
        <v>-0.44821169999999999</v>
      </c>
      <c r="T6105">
        <v>-0.20174159999999999</v>
      </c>
      <c r="U6105">
        <v>3.2781370000000001</v>
      </c>
      <c r="V6105">
        <v>-0.1161194</v>
      </c>
      <c r="W6105">
        <v>0.3758726</v>
      </c>
      <c r="X6105">
        <v>0.9193673</v>
      </c>
      <c r="Y6105">
        <v>-0.14919849999999901</v>
      </c>
      <c r="Z6105">
        <v>-5.3094629999999997E-2</v>
      </c>
      <c r="AA6105">
        <v>0.9873807</v>
      </c>
      <c r="AB6105">
        <v>41</v>
      </c>
      <c r="AC6105">
        <v>-2.47389999999998</v>
      </c>
      <c r="AD6105">
        <v>-1.110889155972</v>
      </c>
      <c r="AE6105">
        <v>17.623809999999999</v>
      </c>
      <c r="AF6105">
        <v>-2.7116792238854499</v>
      </c>
      <c r="AG6105">
        <v>-1.110889155972</v>
      </c>
      <c r="AH6105">
        <v>17.518900004776899</v>
      </c>
      <c r="AI6105">
        <v>93.5857318034451</v>
      </c>
      <c r="AJ6105">
        <v>98.798755032147596</v>
      </c>
      <c r="AK6105">
        <v>17.762295355822701</v>
      </c>
      <c r="AL6105">
        <v>67.921746733711203</v>
      </c>
      <c r="AM6105">
        <v>97.198546218100503</v>
      </c>
      <c r="AN6105">
        <v>1.0000000793982</v>
      </c>
    </row>
    <row r="6106" spans="1:40" x14ac:dyDescent="0.25">
      <c r="A6106" t="str">
        <f>"20190304164528778"</f>
        <v>20190304164528778</v>
      </c>
      <c r="B6106" t="str">
        <f>"1551689128776014"</f>
        <v>1551689128776014</v>
      </c>
      <c r="C6106" t="s">
        <v>40</v>
      </c>
      <c r="D6106">
        <v>4.959676</v>
      </c>
      <c r="E6106">
        <v>0.50427109999999997</v>
      </c>
      <c r="F6106" t="s">
        <v>42</v>
      </c>
      <c r="G6106">
        <v>-190.06190000000001</v>
      </c>
      <c r="H6106" s="1">
        <v>-3.014728E-6</v>
      </c>
      <c r="I6106">
        <v>26.57809</v>
      </c>
      <c r="J6106">
        <v>-187.3553</v>
      </c>
      <c r="K6106">
        <v>1.1108389999999999</v>
      </c>
      <c r="L6106">
        <v>7.3197939999999999</v>
      </c>
      <c r="M6106">
        <v>1.329259E-2</v>
      </c>
      <c r="N6106">
        <v>-7.7074169999999899E-3</v>
      </c>
      <c r="O6106">
        <v>0.99988189999999999</v>
      </c>
      <c r="P6106">
        <v>-0.1022425</v>
      </c>
      <c r="Q6106">
        <v>0.36878159999999999</v>
      </c>
      <c r="R6106">
        <v>0.92387589999999997</v>
      </c>
      <c r="S6106">
        <v>-0.45080569999999998</v>
      </c>
      <c r="T6106">
        <v>-0.18532570000000001</v>
      </c>
      <c r="U6106">
        <v>3.2718509999999998</v>
      </c>
      <c r="V6106">
        <v>-0.1155711</v>
      </c>
      <c r="W6106">
        <v>0.37555660000000002</v>
      </c>
      <c r="X6106">
        <v>0.91956539999999998</v>
      </c>
      <c r="Y6106">
        <v>-0.14945429999999901</v>
      </c>
      <c r="Z6106">
        <v>-4.8259379999999998E-2</v>
      </c>
      <c r="AA6106">
        <v>0.98759019999999997</v>
      </c>
      <c r="AB6106">
        <v>41</v>
      </c>
      <c r="AC6106">
        <v>-2.7065999999999999</v>
      </c>
      <c r="AD6106">
        <v>-1.11084201472799</v>
      </c>
      <c r="AE6106">
        <v>19.258295999999898</v>
      </c>
      <c r="AF6106">
        <v>-2.9527273046653701</v>
      </c>
      <c r="AG6106">
        <v>-1.11084201472799</v>
      </c>
      <c r="AH6106">
        <v>19.158108875809098</v>
      </c>
      <c r="AI6106">
        <v>93.279817660257393</v>
      </c>
      <c r="AJ6106">
        <v>98.761721511962094</v>
      </c>
      <c r="AK6106">
        <v>19.416119700258299</v>
      </c>
      <c r="AL6106">
        <v>67.941281292302193</v>
      </c>
      <c r="AM6106">
        <v>97.163382253942601</v>
      </c>
      <c r="AN6106">
        <v>0.99999998191796402</v>
      </c>
    </row>
    <row r="6107" spans="1:40" x14ac:dyDescent="0.25">
      <c r="A6107" t="str">
        <f>"20190304164528802"</f>
        <v>20190304164528802</v>
      </c>
      <c r="B6107" t="str">
        <f>"1551689128796510"</f>
        <v>1551689128796510</v>
      </c>
      <c r="C6107" t="s">
        <v>40</v>
      </c>
      <c r="D6107">
        <v>4.9407030000000001</v>
      </c>
      <c r="E6107">
        <v>0.50439239999999996</v>
      </c>
      <c r="F6107" t="s">
        <v>42</v>
      </c>
      <c r="G6107">
        <v>-190.08750000000001</v>
      </c>
      <c r="H6107" s="1">
        <v>-3.2730970000000002E-6</v>
      </c>
      <c r="I6107">
        <v>27.16452</v>
      </c>
      <c r="J6107">
        <v>-187.35040000000001</v>
      </c>
      <c r="K6107">
        <v>1.110768</v>
      </c>
      <c r="L6107">
        <v>7.7378850000000003</v>
      </c>
      <c r="M6107">
        <v>1.241159E-2</v>
      </c>
      <c r="N6107">
        <v>-7.7147959999999899E-3</v>
      </c>
      <c r="O6107">
        <v>0.99989320000000004</v>
      </c>
      <c r="P6107">
        <v>-0.1025964</v>
      </c>
      <c r="Q6107">
        <v>0.3689962</v>
      </c>
      <c r="R6107">
        <v>0.92375090000000004</v>
      </c>
      <c r="S6107">
        <v>-0.45027159999999999</v>
      </c>
      <c r="T6107">
        <v>-0.18306890000000001</v>
      </c>
      <c r="U6107">
        <v>3.2704469999999999</v>
      </c>
      <c r="V6107">
        <v>-0.11505029999999999</v>
      </c>
      <c r="W6107">
        <v>0.37579780000000002</v>
      </c>
      <c r="X6107">
        <v>0.91953220000000002</v>
      </c>
      <c r="Y6107">
        <v>-0.14848699999999901</v>
      </c>
      <c r="Z6107">
        <v>-4.7601879999999999E-2</v>
      </c>
      <c r="AA6107">
        <v>0.98776799999999998</v>
      </c>
      <c r="AB6107">
        <v>41</v>
      </c>
      <c r="AC6107">
        <v>-2.7370999999999901</v>
      </c>
      <c r="AD6107">
        <v>-1.1107712730970001</v>
      </c>
      <c r="AE6107">
        <v>19.426635000000001</v>
      </c>
      <c r="AF6107">
        <v>-2.9684957795615801</v>
      </c>
      <c r="AG6107">
        <v>-1.1107712730970001</v>
      </c>
      <c r="AH6107">
        <v>19.3292029332213</v>
      </c>
      <c r="AI6107">
        <v>93.250909426782798</v>
      </c>
      <c r="AJ6107">
        <v>98.731023804989604</v>
      </c>
      <c r="AK6107">
        <v>19.587339432604502</v>
      </c>
      <c r="AL6107">
        <v>67.926369960477899</v>
      </c>
      <c r="AM6107">
        <v>97.131689716908298</v>
      </c>
      <c r="AN6107">
        <v>1.0000000124258801</v>
      </c>
    </row>
    <row r="6108" spans="1:40" x14ac:dyDescent="0.25">
      <c r="A6108" t="str">
        <f>"20190304164528826"</f>
        <v>20190304164528826</v>
      </c>
      <c r="B6108" t="str">
        <f>"1551689128816030"</f>
        <v>1551689128816030</v>
      </c>
      <c r="C6108" t="s">
        <v>40</v>
      </c>
      <c r="D6108">
        <v>4.86904</v>
      </c>
      <c r="E6108">
        <v>0.50456939999999995</v>
      </c>
      <c r="F6108" t="s">
        <v>42</v>
      </c>
      <c r="G6108">
        <v>-190.15260000000001</v>
      </c>
      <c r="H6108" s="1">
        <v>-3.6920599999999999E-6</v>
      </c>
      <c r="I6108">
        <v>28.100729999999999</v>
      </c>
      <c r="J6108">
        <v>-187.34549999999999</v>
      </c>
      <c r="K6108">
        <v>1.1106879999999999</v>
      </c>
      <c r="L6108">
        <v>8.1790769999999995</v>
      </c>
      <c r="M6108">
        <v>1.1578E-2</v>
      </c>
      <c r="N6108">
        <v>-7.7225879999999998E-3</v>
      </c>
      <c r="O6108">
        <v>0.99990310000000004</v>
      </c>
      <c r="P6108">
        <v>-0.1023077</v>
      </c>
      <c r="Q6108">
        <v>0.36893490000000001</v>
      </c>
      <c r="R6108">
        <v>0.92380739999999995</v>
      </c>
      <c r="S6108">
        <v>-0.44984439999999998</v>
      </c>
      <c r="T6108">
        <v>-0.17831440000000001</v>
      </c>
      <c r="U6108">
        <v>3.2688899999999999</v>
      </c>
      <c r="V6108">
        <v>-0.1139231</v>
      </c>
      <c r="W6108">
        <v>0.37576870000000001</v>
      </c>
      <c r="X6108">
        <v>0.91968439999999996</v>
      </c>
      <c r="Y6108">
        <v>-0.1476094</v>
      </c>
      <c r="Z6108">
        <v>-4.6191919999999997E-2</v>
      </c>
      <c r="AA6108">
        <v>0.98796649999999997</v>
      </c>
      <c r="AB6108">
        <v>41</v>
      </c>
      <c r="AC6108">
        <v>-2.8071000000000201</v>
      </c>
      <c r="AD6108">
        <v>-1.1106916920599901</v>
      </c>
      <c r="AE6108">
        <v>19.921652999999999</v>
      </c>
      <c r="AF6108">
        <v>-3.02834160082184</v>
      </c>
      <c r="AG6108">
        <v>-1.1106916920599901</v>
      </c>
      <c r="AH6108">
        <v>19.827384547696401</v>
      </c>
      <c r="AI6108">
        <v>93.169567105810401</v>
      </c>
      <c r="AJ6108">
        <v>98.683976488607797</v>
      </c>
      <c r="AK6108">
        <v>20.088047861559598</v>
      </c>
      <c r="AL6108">
        <v>67.928168661332904</v>
      </c>
      <c r="AM6108">
        <v>97.061369379893705</v>
      </c>
      <c r="AN6108">
        <v>0.99999999210832902</v>
      </c>
    </row>
    <row r="6109" spans="1:40" x14ac:dyDescent="0.25">
      <c r="A6109" t="str">
        <f>"20190304164528871"</f>
        <v>20190304164528871</v>
      </c>
      <c r="B6109" t="str">
        <f>"1551689128865806"</f>
        <v>1551689128865806</v>
      </c>
      <c r="C6109" t="s">
        <v>40</v>
      </c>
      <c r="D6109">
        <v>4.892379</v>
      </c>
      <c r="E6109">
        <v>0.50482349999999998</v>
      </c>
      <c r="F6109" t="s">
        <v>42</v>
      </c>
      <c r="G6109">
        <v>-190.18680000000001</v>
      </c>
      <c r="H6109" s="1">
        <v>-4.0176209999999901E-6</v>
      </c>
      <c r="I6109">
        <v>28.838439999999999</v>
      </c>
      <c r="J6109">
        <v>-187.33709999999999</v>
      </c>
      <c r="K6109">
        <v>1.1104989999999999</v>
      </c>
      <c r="L6109">
        <v>9.0198669999999996</v>
      </c>
      <c r="M6109">
        <v>1.028422E-2</v>
      </c>
      <c r="N6109">
        <v>-7.73742099999999E-3</v>
      </c>
      <c r="O6109">
        <v>0.99991719999999895</v>
      </c>
      <c r="P6109">
        <v>-0.1017711</v>
      </c>
      <c r="Q6109">
        <v>0.36904310000000001</v>
      </c>
      <c r="R6109">
        <v>0.92382350000000002</v>
      </c>
      <c r="S6109">
        <v>-0.44941710000000001</v>
      </c>
      <c r="T6109">
        <v>-0.17568520000000001</v>
      </c>
      <c r="U6109">
        <v>3.2678219999999998</v>
      </c>
      <c r="V6109">
        <v>-0.1120365</v>
      </c>
      <c r="W6109">
        <v>0.37594319999999998</v>
      </c>
      <c r="X6109">
        <v>0.91984489999999997</v>
      </c>
      <c r="Y6109">
        <v>-0.14625199999999999</v>
      </c>
      <c r="Z6109">
        <v>-4.5408980000000002E-2</v>
      </c>
      <c r="AA6109">
        <v>0.98820459999999999</v>
      </c>
      <c r="AB6109">
        <v>41</v>
      </c>
      <c r="AC6109">
        <v>-2.8497000000000101</v>
      </c>
      <c r="AD6109">
        <v>-1.110503017621</v>
      </c>
      <c r="AE6109">
        <v>19.818573000000001</v>
      </c>
      <c r="AF6109">
        <v>-3.0440101269820299</v>
      </c>
      <c r="AG6109">
        <v>-1.110503017621</v>
      </c>
      <c r="AH6109">
        <v>19.727532244541301</v>
      </c>
      <c r="AI6109">
        <v>93.184290021911096</v>
      </c>
      <c r="AJ6109">
        <v>98.771709996616494</v>
      </c>
      <c r="AK6109">
        <v>19.991866922944801</v>
      </c>
      <c r="AL6109">
        <v>67.917380890438096</v>
      </c>
      <c r="AM6109">
        <v>96.944382672309601</v>
      </c>
      <c r="AN6109">
        <v>1.00000005350724</v>
      </c>
    </row>
    <row r="6110" spans="1:40" x14ac:dyDescent="0.25">
      <c r="A6110" t="str">
        <f>"20190304164528892"</f>
        <v>20190304164528892</v>
      </c>
      <c r="B6110" t="str">
        <f>"1551689128886302"</f>
        <v>1551689128886302</v>
      </c>
      <c r="C6110" t="s">
        <v>40</v>
      </c>
      <c r="D6110">
        <v>4.8899900000000001</v>
      </c>
      <c r="E6110">
        <v>0.50493559999999904</v>
      </c>
      <c r="F6110" t="s">
        <v>42</v>
      </c>
      <c r="G6110">
        <v>-190.089</v>
      </c>
      <c r="H6110" s="1">
        <v>-4.1478089999999999E-6</v>
      </c>
      <c r="I6110">
        <v>29.202559999999998</v>
      </c>
      <c r="J6110">
        <v>-187.33359999999999</v>
      </c>
      <c r="K6110">
        <v>1.1104160000000001</v>
      </c>
      <c r="L6110">
        <v>9.3883969999999994</v>
      </c>
      <c r="M6110">
        <v>9.8538400000000009E-3</v>
      </c>
      <c r="N6110">
        <v>-7.7436559999999998E-3</v>
      </c>
      <c r="O6110">
        <v>0.99992139999999996</v>
      </c>
      <c r="P6110">
        <v>-0.1016286</v>
      </c>
      <c r="Q6110">
        <v>0.3687434</v>
      </c>
      <c r="R6110">
        <v>0.92395879999999997</v>
      </c>
      <c r="S6110">
        <v>-0.44587710000000003</v>
      </c>
      <c r="T6110">
        <v>-0.17993149999999999</v>
      </c>
      <c r="U6110">
        <v>3.2701419999999999</v>
      </c>
      <c r="V6110">
        <v>-0.1114175</v>
      </c>
      <c r="W6110">
        <v>0.3756755</v>
      </c>
      <c r="X6110">
        <v>0.9200294</v>
      </c>
      <c r="Y6110">
        <v>-0.1446732</v>
      </c>
      <c r="Z6110">
        <v>-4.6656709999999997E-2</v>
      </c>
      <c r="AA6110">
        <v>0.98837889999999995</v>
      </c>
      <c r="AB6110">
        <v>41</v>
      </c>
      <c r="AC6110">
        <v>-2.75540000000003</v>
      </c>
      <c r="AD6110">
        <v>-1.1104201478089999</v>
      </c>
      <c r="AE6110">
        <v>19.814163000000001</v>
      </c>
      <c r="AF6110">
        <v>-2.9414547784518899</v>
      </c>
      <c r="AG6110">
        <v>-1.1104201478089999</v>
      </c>
      <c r="AH6110">
        <v>19.725273462099899</v>
      </c>
      <c r="AI6110">
        <v>93.186859572678202</v>
      </c>
      <c r="AJ6110">
        <v>98.481510974823095</v>
      </c>
      <c r="AK6110">
        <v>19.974273510517499</v>
      </c>
      <c r="AL6110">
        <v>67.9339314251541</v>
      </c>
      <c r="AM6110">
        <v>96.9050150286714</v>
      </c>
      <c r="AN6110">
        <v>1.0000000187354201</v>
      </c>
    </row>
    <row r="6111" spans="1:40" x14ac:dyDescent="0.25">
      <c r="A6111" t="str">
        <f>"20190304164528915"</f>
        <v>20190304164528915</v>
      </c>
      <c r="B6111" t="str">
        <f>"1551689128905822"</f>
        <v>1551689128905822</v>
      </c>
      <c r="C6111" t="s">
        <v>40</v>
      </c>
      <c r="D6111">
        <v>4.8477319999999997</v>
      </c>
      <c r="E6111">
        <v>0.50506399999999996</v>
      </c>
      <c r="F6111" t="s">
        <v>42</v>
      </c>
      <c r="G6111">
        <v>-190.01400000000001</v>
      </c>
      <c r="H6111" s="1">
        <v>-4.0811480000000002E-6</v>
      </c>
      <c r="I6111">
        <v>29.093699999999998</v>
      </c>
      <c r="J6111">
        <v>-187.3297</v>
      </c>
      <c r="K6111">
        <v>1.1103000000000001</v>
      </c>
      <c r="L6111">
        <v>9.8182980000000004</v>
      </c>
      <c r="M6111">
        <v>9.4584930000000001E-3</v>
      </c>
      <c r="N6111">
        <v>-7.7510469999999996E-3</v>
      </c>
      <c r="O6111">
        <v>0.99992530000000002</v>
      </c>
      <c r="P6111">
        <v>-0.1015522</v>
      </c>
      <c r="Q6111">
        <v>0.36883169999999998</v>
      </c>
      <c r="R6111">
        <v>0.92393199999999998</v>
      </c>
      <c r="S6111">
        <v>-0.4449921</v>
      </c>
      <c r="T6111">
        <v>-0.1843542</v>
      </c>
      <c r="U6111">
        <v>3.271515</v>
      </c>
      <c r="V6111">
        <v>-0.11087660000000001</v>
      </c>
      <c r="W6111">
        <v>0.37580089999999999</v>
      </c>
      <c r="X6111">
        <v>0.92004350000000001</v>
      </c>
      <c r="Y6111">
        <v>-0.143955</v>
      </c>
      <c r="Z6111">
        <v>-4.7964109999999997E-2</v>
      </c>
      <c r="AA6111">
        <v>0.98842110000000005</v>
      </c>
      <c r="AB6111">
        <v>41</v>
      </c>
      <c r="AC6111">
        <v>-2.6842999999999999</v>
      </c>
      <c r="AD6111">
        <v>-1.1103040811480001</v>
      </c>
      <c r="AE6111">
        <v>19.275402</v>
      </c>
      <c r="AF6111">
        <v>-2.8572017832152801</v>
      </c>
      <c r="AG6111">
        <v>-1.1103040811480001</v>
      </c>
      <c r="AH6111">
        <v>19.186699090692599</v>
      </c>
      <c r="AI6111">
        <v>93.275879303750997</v>
      </c>
      <c r="AJ6111">
        <v>98.470000313747605</v>
      </c>
      <c r="AK6111">
        <v>19.430023138931301</v>
      </c>
      <c r="AL6111">
        <v>67.926177759200201</v>
      </c>
      <c r="AM6111">
        <v>96.871710167438707</v>
      </c>
      <c r="AN6111">
        <v>0.99999998938030898</v>
      </c>
    </row>
    <row r="6112" spans="1:40" x14ac:dyDescent="0.25">
      <c r="A6112" t="str">
        <f>"20190304164528938"</f>
        <v>20190304164528938</v>
      </c>
      <c r="B6112" t="str">
        <f>"1551689128926318"</f>
        <v>1551689128926318</v>
      </c>
      <c r="C6112" t="s">
        <v>40</v>
      </c>
      <c r="D6112">
        <v>5.2507859999999997</v>
      </c>
      <c r="E6112">
        <v>0.50511740000000005</v>
      </c>
      <c r="F6112" t="s">
        <v>42</v>
      </c>
      <c r="G6112">
        <v>-189.99090000000001</v>
      </c>
      <c r="H6112" s="1">
        <v>-4.2101569999999998E-6</v>
      </c>
      <c r="I6112">
        <v>29.408729999999998</v>
      </c>
      <c r="J6112">
        <v>-187.32589999999999</v>
      </c>
      <c r="K6112">
        <v>1.11019</v>
      </c>
      <c r="L6112">
        <v>10.24527</v>
      </c>
      <c r="M6112">
        <v>9.1839339999999995E-3</v>
      </c>
      <c r="N6112">
        <v>-7.7585329999999997E-3</v>
      </c>
      <c r="O6112">
        <v>0.99992769999999997</v>
      </c>
      <c r="P6112">
        <v>-0.10172150000000001</v>
      </c>
      <c r="Q6112">
        <v>0.36819160000000001</v>
      </c>
      <c r="R6112">
        <v>0.92416860000000001</v>
      </c>
      <c r="S6112">
        <v>-0.44448850000000001</v>
      </c>
      <c r="T6112">
        <v>-0.18545220000000001</v>
      </c>
      <c r="U6112">
        <v>3.2721559999999998</v>
      </c>
      <c r="V6112">
        <v>-0.11069379999999999</v>
      </c>
      <c r="W6112">
        <v>0.375199</v>
      </c>
      <c r="X6112">
        <v>0.9203112</v>
      </c>
      <c r="Y6112">
        <v>-0.14350589999999999</v>
      </c>
      <c r="Z6112">
        <v>-4.8279460000000003E-2</v>
      </c>
      <c r="AA6112">
        <v>0.98847110000000005</v>
      </c>
      <c r="AB6112">
        <v>41</v>
      </c>
      <c r="AC6112">
        <v>-2.66500000000002</v>
      </c>
      <c r="AD6112">
        <v>-1.1101942101569999</v>
      </c>
      <c r="AE6112">
        <v>19.163460000000001</v>
      </c>
      <c r="AF6112">
        <v>-2.8315658091576599</v>
      </c>
      <c r="AG6112">
        <v>-1.1101942101569999</v>
      </c>
      <c r="AH6112">
        <v>19.0753694098496</v>
      </c>
      <c r="AI6112">
        <v>93.294858054586797</v>
      </c>
      <c r="AJ6112">
        <v>98.443383904103996</v>
      </c>
      <c r="AK6112">
        <v>19.316314716790099</v>
      </c>
      <c r="AL6112">
        <v>67.963388513222696</v>
      </c>
      <c r="AM6112">
        <v>96.858512415756707</v>
      </c>
      <c r="AN6112">
        <v>1.00000005590243</v>
      </c>
    </row>
    <row r="6113" spans="1:40" x14ac:dyDescent="0.25">
      <c r="A6113" t="str">
        <f>"20190304164528958"</f>
        <v>20190304164528958</v>
      </c>
      <c r="B6113" t="str">
        <f>"1551689128945961"</f>
        <v>1551689128945961</v>
      </c>
      <c r="C6113" t="s">
        <v>40</v>
      </c>
      <c r="D6113">
        <v>4.8246859999999998</v>
      </c>
      <c r="E6113">
        <v>0.50512590000000002</v>
      </c>
      <c r="F6113" t="s">
        <v>42</v>
      </c>
      <c r="G6113">
        <v>-189.99680000000001</v>
      </c>
      <c r="H6113" s="1">
        <v>-1.548637E-7</v>
      </c>
      <c r="I6113">
        <v>29.952059999999999</v>
      </c>
      <c r="J6113">
        <v>-187.32249999999999</v>
      </c>
      <c r="K6113">
        <v>1.1100969999999999</v>
      </c>
      <c r="L6113">
        <v>10.63406</v>
      </c>
      <c r="M6113">
        <v>9.0103739999999998E-3</v>
      </c>
      <c r="N6113">
        <v>-7.7654539999999998E-3</v>
      </c>
      <c r="O6113">
        <v>0.99992919999999996</v>
      </c>
      <c r="P6113">
        <v>-0.1023149</v>
      </c>
      <c r="Q6113">
        <v>0.36740479999999998</v>
      </c>
      <c r="R6113">
        <v>0.92441620000000002</v>
      </c>
      <c r="S6113">
        <v>-0.44329829999999998</v>
      </c>
      <c r="T6113">
        <v>-0.1842608</v>
      </c>
      <c r="U6113">
        <v>3.2707820000000001</v>
      </c>
      <c r="V6113">
        <v>-0.1110445</v>
      </c>
      <c r="W6113">
        <v>0.37444519999999998</v>
      </c>
      <c r="X6113">
        <v>0.9205759</v>
      </c>
      <c r="Y6113">
        <v>-0.14303879999999999</v>
      </c>
      <c r="Z6113">
        <v>-4.7940139999999999E-2</v>
      </c>
      <c r="AA6113">
        <v>0.98855530000000003</v>
      </c>
      <c r="AB6113">
        <v>41</v>
      </c>
      <c r="AC6113">
        <v>-2.6743000000000099</v>
      </c>
      <c r="AD6113">
        <v>-1.1100971548637</v>
      </c>
      <c r="AE6113">
        <v>19.318000000000001</v>
      </c>
      <c r="AF6113">
        <v>-2.8390603616002901</v>
      </c>
      <c r="AG6113">
        <v>-1.1100971548637</v>
      </c>
      <c r="AH6113">
        <v>19.230809555708301</v>
      </c>
      <c r="AI6113">
        <v>93.268381713938894</v>
      </c>
      <c r="AJ6113">
        <v>98.397963226252202</v>
      </c>
      <c r="AK6113">
        <v>19.470917174030799</v>
      </c>
      <c r="AL6113">
        <v>68.009973918756202</v>
      </c>
      <c r="AM6113">
        <v>96.878074285552003</v>
      </c>
      <c r="AN6113">
        <v>1.00000003822204</v>
      </c>
    </row>
    <row r="6114" spans="1:40" x14ac:dyDescent="0.25">
      <c r="A6114" t="str">
        <f>"20190304164528982"</f>
        <v>20190304164528982</v>
      </c>
      <c r="B6114" t="str">
        <f>"1551689128976218"</f>
        <v>1551689128976218</v>
      </c>
      <c r="C6114" t="s">
        <v>40</v>
      </c>
      <c r="D6114">
        <v>4.8136640000000002</v>
      </c>
      <c r="E6114">
        <v>0.50513359999999996</v>
      </c>
      <c r="F6114" t="s">
        <v>42</v>
      </c>
      <c r="G6114">
        <v>-189.9974</v>
      </c>
      <c r="H6114" s="1">
        <v>-3.357943E-7</v>
      </c>
      <c r="I6114">
        <v>30.373480000000001</v>
      </c>
      <c r="J6114">
        <v>-187.31890000000001</v>
      </c>
      <c r="K6114">
        <v>1.1100099999999999</v>
      </c>
      <c r="L6114">
        <v>11.04364</v>
      </c>
      <c r="M6114">
        <v>8.8913039999999992E-3</v>
      </c>
      <c r="N6114">
        <v>-7.7727880000000001E-3</v>
      </c>
      <c r="O6114">
        <v>0.99993030000000005</v>
      </c>
      <c r="P6114">
        <v>-0.1028608</v>
      </c>
      <c r="Q6114">
        <v>0.36680669999999999</v>
      </c>
      <c r="R6114">
        <v>0.9245932</v>
      </c>
      <c r="S6114">
        <v>-0.44302370000000002</v>
      </c>
      <c r="T6114">
        <v>-0.18385850000000001</v>
      </c>
      <c r="U6114">
        <v>3.2693180000000002</v>
      </c>
      <c r="V6114">
        <v>-0.11140609999999999</v>
      </c>
      <c r="W6114">
        <v>0.37387700000000001</v>
      </c>
      <c r="X6114">
        <v>0.92076309999999995</v>
      </c>
      <c r="Y6114">
        <v>-0.1428991</v>
      </c>
      <c r="Z6114">
        <v>-4.7837169999999998E-2</v>
      </c>
      <c r="AA6114">
        <v>0.98858049999999997</v>
      </c>
      <c r="AB6114">
        <v>42</v>
      </c>
      <c r="AC6114">
        <v>-2.6784999999999801</v>
      </c>
      <c r="AD6114">
        <v>-1.1100103357943001</v>
      </c>
      <c r="AE6114">
        <v>19.329840000000001</v>
      </c>
      <c r="AF6114">
        <v>-2.8410745690048702</v>
      </c>
      <c r="AG6114">
        <v>-1.1100103357943001</v>
      </c>
      <c r="AH6114">
        <v>19.242999615192399</v>
      </c>
      <c r="AI6114">
        <v>93.266055591634498</v>
      </c>
      <c r="AJ6114">
        <v>98.398588503014196</v>
      </c>
      <c r="AK6114">
        <v>19.483245670126699</v>
      </c>
      <c r="AL6114">
        <v>68.045078613113105</v>
      </c>
      <c r="AM6114">
        <v>96.898866756322604</v>
      </c>
      <c r="AN6114">
        <v>1.0000000082839</v>
      </c>
    </row>
    <row r="6115" spans="1:40" x14ac:dyDescent="0.25">
      <c r="A6115" t="str">
        <f>"20190304164529005"</f>
        <v>20190304164529005</v>
      </c>
      <c r="B6115" t="str">
        <f>"1551689128996714"</f>
        <v>1551689128996714</v>
      </c>
      <c r="C6115" t="s">
        <v>40</v>
      </c>
      <c r="D6115">
        <v>4.8302949999999996</v>
      </c>
      <c r="E6115">
        <v>0.50513319999999995</v>
      </c>
      <c r="F6115" t="s">
        <v>42</v>
      </c>
      <c r="G6115">
        <v>-189.97790000000001</v>
      </c>
      <c r="H6115" s="1">
        <v>-4.3633790000000001E-7</v>
      </c>
      <c r="I6115">
        <v>30.619959999999999</v>
      </c>
      <c r="J6115">
        <v>-187.31489999999999</v>
      </c>
      <c r="K6115">
        <v>1.1099300000000001</v>
      </c>
      <c r="L6115">
        <v>11.49994</v>
      </c>
      <c r="M6115">
        <v>8.8164469999999998E-3</v>
      </c>
      <c r="N6115">
        <v>-7.781049E-3</v>
      </c>
      <c r="O6115">
        <v>0.99993089999999996</v>
      </c>
      <c r="P6115">
        <v>-0.1035418</v>
      </c>
      <c r="Q6115">
        <v>0.36645759999999999</v>
      </c>
      <c r="R6115">
        <v>0.92465560000000002</v>
      </c>
      <c r="S6115">
        <v>-0.44398500000000002</v>
      </c>
      <c r="T6115">
        <v>-0.1853465</v>
      </c>
      <c r="U6115">
        <v>3.268799</v>
      </c>
      <c r="V6115">
        <v>-0.1119494</v>
      </c>
      <c r="W6115">
        <v>0.37355640000000001</v>
      </c>
      <c r="X6115">
        <v>0.92082730000000002</v>
      </c>
      <c r="Y6115">
        <v>-0.14312800000000001</v>
      </c>
      <c r="Z6115">
        <v>-4.8284519999999997E-2</v>
      </c>
      <c r="AA6115">
        <v>0.9885256</v>
      </c>
      <c r="AB6115">
        <v>42</v>
      </c>
      <c r="AC6115">
        <v>-2.66300000000001</v>
      </c>
      <c r="AD6115">
        <v>-1.1099304363378999</v>
      </c>
      <c r="AE6115">
        <v>19.12002</v>
      </c>
      <c r="AF6115">
        <v>-2.8221429161222198</v>
      </c>
      <c r="AG6115">
        <v>-1.1099304363378999</v>
      </c>
      <c r="AH6115">
        <v>19.032879864126599</v>
      </c>
      <c r="AI6115">
        <v>93.301492769209403</v>
      </c>
      <c r="AJ6115">
        <v>98.434206515762</v>
      </c>
      <c r="AK6115">
        <v>19.272959091296901</v>
      </c>
      <c r="AL6115">
        <v>68.064882024093905</v>
      </c>
      <c r="AM6115">
        <v>96.931705625332199</v>
      </c>
      <c r="AN6115">
        <v>0.99999998428330406</v>
      </c>
    </row>
    <row r="6116" spans="1:40" x14ac:dyDescent="0.25">
      <c r="A6116" t="str">
        <f>"20190304164529026"</f>
        <v>20190304164529026</v>
      </c>
      <c r="B6116" t="str">
        <f>"1551689129016233"</f>
        <v>1551689129016233</v>
      </c>
      <c r="C6116" t="s">
        <v>40</v>
      </c>
      <c r="D6116">
        <v>4.8859209999999997</v>
      </c>
      <c r="E6116">
        <v>0.5265647</v>
      </c>
      <c r="F6116" t="s">
        <v>42</v>
      </c>
      <c r="G6116">
        <v>-189.9342</v>
      </c>
      <c r="H6116" s="1">
        <v>-4.5790199999999999E-7</v>
      </c>
      <c r="I6116">
        <v>30.67296</v>
      </c>
      <c r="J6116">
        <v>-187.31139999999999</v>
      </c>
      <c r="K6116">
        <v>1.109869</v>
      </c>
      <c r="L6116">
        <v>11.903499999999999</v>
      </c>
      <c r="M6116">
        <v>8.7908469999999992E-3</v>
      </c>
      <c r="N6116">
        <v>-7.7883429999999997E-3</v>
      </c>
      <c r="O6116">
        <v>0.99993100000000001</v>
      </c>
      <c r="P6116">
        <v>-0.1045309</v>
      </c>
      <c r="Q6116">
        <v>0.3662281</v>
      </c>
      <c r="R6116">
        <v>0.92463519999999999</v>
      </c>
      <c r="S6116">
        <v>-0.44665529999999998</v>
      </c>
      <c r="T6116">
        <v>-0.18926850000000001</v>
      </c>
      <c r="U6116">
        <v>3.2694399999999999</v>
      </c>
      <c r="V6116">
        <v>-0.1128623</v>
      </c>
      <c r="W6116">
        <v>0.37334850000000003</v>
      </c>
      <c r="X6116">
        <v>0.92080019999999996</v>
      </c>
      <c r="Y6116">
        <v>-0.14386099999999999</v>
      </c>
      <c r="Z6116">
        <v>-4.9442800000000002E-2</v>
      </c>
      <c r="AA6116">
        <v>0.98836199999999996</v>
      </c>
      <c r="AB6116">
        <v>42</v>
      </c>
      <c r="AC6116">
        <v>-2.62280000000001</v>
      </c>
      <c r="AD6116">
        <v>-1.1098694579019901</v>
      </c>
      <c r="AE6116">
        <v>18.769459999999899</v>
      </c>
      <c r="AF6116">
        <v>-2.7781751185454202</v>
      </c>
      <c r="AG6116">
        <v>-1.1098694579019901</v>
      </c>
      <c r="AH6116">
        <v>18.6816071900877</v>
      </c>
      <c r="AI6116">
        <v>93.363033753410903</v>
      </c>
      <c r="AJ6116">
        <v>98.458566786459201</v>
      </c>
      <c r="AK6116">
        <v>18.919633041040399</v>
      </c>
      <c r="AL6116">
        <v>68.077723332399401</v>
      </c>
      <c r="AM6116">
        <v>96.987877769399603</v>
      </c>
      <c r="AN6116">
        <v>1.0000000047667801</v>
      </c>
    </row>
    <row r="6117" spans="1:40" x14ac:dyDescent="0.25">
      <c r="A6117" t="str">
        <f>"20190304164529050"</f>
        <v>20190304164529050</v>
      </c>
      <c r="B6117" t="str">
        <f>"1551689129046489"</f>
        <v>1551689129046489</v>
      </c>
      <c r="C6117" t="s">
        <v>40</v>
      </c>
      <c r="D6117">
        <v>4.8021560000000001</v>
      </c>
      <c r="E6117">
        <v>0.54048399999999996</v>
      </c>
      <c r="F6117" t="s">
        <v>42</v>
      </c>
      <c r="G6117">
        <v>-189.08699999999999</v>
      </c>
      <c r="H6117" s="1">
        <v>-1.5901180000000001E-6</v>
      </c>
      <c r="I6117">
        <v>32.961849999999998</v>
      </c>
      <c r="J6117">
        <v>-187.30770000000001</v>
      </c>
      <c r="K6117">
        <v>1.109818</v>
      </c>
      <c r="L6117">
        <v>12.330870000000001</v>
      </c>
      <c r="M6117">
        <v>8.794863E-3</v>
      </c>
      <c r="N6117">
        <v>-7.7960529999999998E-3</v>
      </c>
      <c r="O6117">
        <v>0.99993089999999996</v>
      </c>
      <c r="P6117">
        <v>-0.10541</v>
      </c>
      <c r="Q6117">
        <v>0.3663303</v>
      </c>
      <c r="R6117">
        <v>0.92449490000000001</v>
      </c>
      <c r="S6117">
        <v>-0.27670289999999997</v>
      </c>
      <c r="T6117">
        <v>-0.17296239999999999</v>
      </c>
      <c r="U6117">
        <v>3.2817379999999998</v>
      </c>
      <c r="V6117">
        <v>-0.113695699999999</v>
      </c>
      <c r="W6117">
        <v>0.373471</v>
      </c>
      <c r="X6117">
        <v>0.92064800000000002</v>
      </c>
      <c r="Y6117">
        <v>-9.2673110000000003E-2</v>
      </c>
      <c r="Z6117">
        <v>-4.4632659999999998E-2</v>
      </c>
      <c r="AA6117">
        <v>0.99469569999999996</v>
      </c>
      <c r="AB6117">
        <v>42</v>
      </c>
      <c r="AC6117">
        <v>-1.7793000000000001</v>
      </c>
      <c r="AD6117">
        <v>-1.1098195901179999</v>
      </c>
      <c r="AE6117">
        <v>20.630979999999902</v>
      </c>
      <c r="AF6117">
        <v>-1.95506758411256</v>
      </c>
      <c r="AG6117">
        <v>-1.1098195901179999</v>
      </c>
      <c r="AH6117">
        <v>20.555489030605401</v>
      </c>
      <c r="AI6117">
        <v>93.076620845658994</v>
      </c>
      <c r="AJ6117">
        <v>95.433155343274294</v>
      </c>
      <c r="AK6117">
        <v>20.678058856391601</v>
      </c>
      <c r="AL6117">
        <v>68.070157674380397</v>
      </c>
      <c r="AM6117">
        <v>97.040114022940401</v>
      </c>
      <c r="AN6117">
        <v>1.00000001997174</v>
      </c>
    </row>
    <row r="6118" spans="1:40" x14ac:dyDescent="0.25">
      <c r="A6118" t="str">
        <f>"20190304164529072"</f>
        <v>20190304164529072</v>
      </c>
      <c r="B6118" t="str">
        <f>"1551689129066010"</f>
        <v>1551689129066010</v>
      </c>
      <c r="C6118" t="s">
        <v>40</v>
      </c>
      <c r="D6118">
        <v>4.7363960000000001</v>
      </c>
      <c r="E6118">
        <v>0.544382699999999</v>
      </c>
      <c r="F6118" t="s">
        <v>42</v>
      </c>
      <c r="G6118">
        <v>-188.21090000000001</v>
      </c>
      <c r="H6118" s="1">
        <v>-4.5769430000000003E-6</v>
      </c>
      <c r="I6118">
        <v>29.561990000000002</v>
      </c>
      <c r="J6118">
        <v>-187.304</v>
      </c>
      <c r="K6118">
        <v>1.109772</v>
      </c>
      <c r="L6118">
        <v>12.759919999999999</v>
      </c>
      <c r="M6118">
        <v>8.82141E-3</v>
      </c>
      <c r="N6118">
        <v>-7.8038880000000001E-3</v>
      </c>
      <c r="O6118">
        <v>0.9999306</v>
      </c>
      <c r="P6118">
        <v>-0.10645979999999999</v>
      </c>
      <c r="Q6118">
        <v>0.36736079999999999</v>
      </c>
      <c r="R6118">
        <v>0.92396560000000005</v>
      </c>
      <c r="S6118">
        <v>-0.17349239999999999</v>
      </c>
      <c r="T6118">
        <v>-0.2131709</v>
      </c>
      <c r="U6118">
        <v>3.3096920000000001</v>
      </c>
      <c r="V6118">
        <v>-0.11472160000000001</v>
      </c>
      <c r="W6118">
        <v>0.3745174</v>
      </c>
      <c r="X6118">
        <v>0.92009549999999996</v>
      </c>
      <c r="Y6118">
        <v>-6.1054730000000001E-2</v>
      </c>
      <c r="Z6118">
        <v>-5.6375790000000002E-2</v>
      </c>
      <c r="AA6118">
        <v>0.99654109999999996</v>
      </c>
      <c r="AB6118">
        <v>42</v>
      </c>
      <c r="AC6118">
        <v>-0.90690000000000703</v>
      </c>
      <c r="AD6118">
        <v>-1.1097765769429999</v>
      </c>
      <c r="AE6118">
        <v>16.802070000000001</v>
      </c>
      <c r="AF6118">
        <v>-1.0505175024649001</v>
      </c>
      <c r="AG6118">
        <v>-1.1097765769429999</v>
      </c>
      <c r="AH6118">
        <v>16.7206820502692</v>
      </c>
      <c r="AI6118">
        <v>93.789786466245204</v>
      </c>
      <c r="AJ6118">
        <v>93.595021426032602</v>
      </c>
      <c r="AK6118">
        <v>16.7903662646147</v>
      </c>
      <c r="AL6118">
        <v>68.005512309327898</v>
      </c>
      <c r="AM6118">
        <v>97.107214040140406</v>
      </c>
      <c r="AN6118">
        <v>1.0000000287647799</v>
      </c>
    </row>
    <row r="6119" spans="1:40" x14ac:dyDescent="0.25">
      <c r="A6119" t="str">
        <f>"20190304164529093"</f>
        <v>20190304164529093</v>
      </c>
      <c r="B6119" t="str">
        <f>"1551689129086505"</f>
        <v>1551689129086505</v>
      </c>
      <c r="C6119" t="s">
        <v>40</v>
      </c>
      <c r="D6119">
        <v>4.7006899999999998</v>
      </c>
      <c r="E6119">
        <v>0.54597189999999995</v>
      </c>
      <c r="F6119" t="s">
        <v>42</v>
      </c>
      <c r="G6119">
        <v>-187.9597</v>
      </c>
      <c r="H6119" s="1">
        <v>-3.647936E-6</v>
      </c>
      <c r="I6119">
        <v>27.292560000000002</v>
      </c>
      <c r="J6119">
        <v>-187.3006</v>
      </c>
      <c r="K6119">
        <v>1.1097379999999999</v>
      </c>
      <c r="L6119">
        <v>13.14542</v>
      </c>
      <c r="M6119">
        <v>8.8578159999999993E-3</v>
      </c>
      <c r="N6119">
        <v>-7.8110209999999996E-3</v>
      </c>
      <c r="O6119">
        <v>0.99993030000000005</v>
      </c>
      <c r="P6119">
        <v>-0.1064271</v>
      </c>
      <c r="Q6119">
        <v>0.36859189999999997</v>
      </c>
      <c r="R6119">
        <v>0.92347889999999999</v>
      </c>
      <c r="S6119">
        <v>-0.1502838</v>
      </c>
      <c r="T6119">
        <v>-0.25434590000000001</v>
      </c>
      <c r="U6119">
        <v>3.3306879999999999</v>
      </c>
      <c r="V6119">
        <v>-0.11468339999999901</v>
      </c>
      <c r="W6119">
        <v>0.37576199999999998</v>
      </c>
      <c r="X6119">
        <v>0.91959259999999998</v>
      </c>
      <c r="Y6119">
        <v>-5.3799590000000001E-2</v>
      </c>
      <c r="Z6119">
        <v>-6.8252339999999995E-2</v>
      </c>
      <c r="AA6119">
        <v>0.99621649999999995</v>
      </c>
      <c r="AB6119">
        <v>42</v>
      </c>
      <c r="AC6119">
        <v>-0.65909999999999502</v>
      </c>
      <c r="AD6119">
        <v>-1.1097416479359901</v>
      </c>
      <c r="AE6119">
        <v>14.147139999999901</v>
      </c>
      <c r="AF6119">
        <v>-0.77960399265935598</v>
      </c>
      <c r="AG6119">
        <v>-1.1097416479359901</v>
      </c>
      <c r="AH6119">
        <v>14.054452952490699</v>
      </c>
      <c r="AI6119">
        <v>94.5078147836997</v>
      </c>
      <c r="AJ6119">
        <v>93.1749573808722</v>
      </c>
      <c r="AK6119">
        <v>14.1197364247463</v>
      </c>
      <c r="AL6119">
        <v>67.928582071703303</v>
      </c>
      <c r="AM6119">
        <v>97.108717388592098</v>
      </c>
      <c r="AN6119">
        <v>0.999999956427158</v>
      </c>
    </row>
    <row r="6120" spans="1:40" x14ac:dyDescent="0.25">
      <c r="A6120" t="str">
        <f>"20190304164529115"</f>
        <v>20190304164529115</v>
      </c>
      <c r="B6120" t="str">
        <f>"1551689129106025"</f>
        <v>1551689129106025</v>
      </c>
      <c r="C6120" t="s">
        <v>40</v>
      </c>
      <c r="D6120">
        <v>4.7817850000000002</v>
      </c>
      <c r="E6120">
        <v>0.54691210000000001</v>
      </c>
      <c r="F6120" t="s">
        <v>42</v>
      </c>
      <c r="G6120">
        <v>-187.8622</v>
      </c>
      <c r="H6120" s="1">
        <v>-3.423394E-6</v>
      </c>
      <c r="I6120">
        <v>26.728829999999999</v>
      </c>
      <c r="J6120">
        <v>-187.29689999999999</v>
      </c>
      <c r="K6120">
        <v>1.1097060000000001</v>
      </c>
      <c r="L6120">
        <v>13.566739999999999</v>
      </c>
      <c r="M6120">
        <v>8.9059280000000005E-3</v>
      </c>
      <c r="N6120">
        <v>-7.8188140000000003E-3</v>
      </c>
      <c r="O6120">
        <v>0.99992979999999998</v>
      </c>
      <c r="P6120">
        <v>-0.10632560000000001</v>
      </c>
      <c r="Q6120">
        <v>0.36953999999999998</v>
      </c>
      <c r="R6120">
        <v>0.92311160000000003</v>
      </c>
      <c r="S6120">
        <v>-0.1381531</v>
      </c>
      <c r="T6120">
        <v>-0.27300659999999999</v>
      </c>
      <c r="U6120">
        <v>3.3416440000000001</v>
      </c>
      <c r="V6120">
        <v>-0.11458939999999999</v>
      </c>
      <c r="W6120">
        <v>0.37672470000000002</v>
      </c>
      <c r="X6120">
        <v>0.91921039999999998</v>
      </c>
      <c r="Y6120">
        <v>-5.0075120000000001E-2</v>
      </c>
      <c r="Z6120">
        <v>-7.3539740000000006E-2</v>
      </c>
      <c r="AA6120">
        <v>0.99603430000000004</v>
      </c>
      <c r="AB6120">
        <v>42</v>
      </c>
      <c r="AC6120">
        <v>-0.56530000000000702</v>
      </c>
      <c r="AD6120">
        <v>-1.1097094233939999</v>
      </c>
      <c r="AE6120">
        <v>13.162089999999999</v>
      </c>
      <c r="AF6120">
        <v>-0.677693373240424</v>
      </c>
      <c r="AG6120">
        <v>-1.1097094233939999</v>
      </c>
      <c r="AH6120">
        <v>13.063841916984</v>
      </c>
      <c r="AI6120">
        <v>94.848851451845903</v>
      </c>
      <c r="AJ6120">
        <v>92.969585517327999</v>
      </c>
      <c r="AK6120">
        <v>13.128392473736101</v>
      </c>
      <c r="AL6120">
        <v>67.869049873744999</v>
      </c>
      <c r="AM6120">
        <v>97.1058734451302</v>
      </c>
      <c r="AN6120">
        <v>0.99999999482530399</v>
      </c>
    </row>
    <row r="6121" spans="1:40" x14ac:dyDescent="0.25">
      <c r="A6121" t="str">
        <f>"20190304164529138"</f>
        <v>20190304164529138</v>
      </c>
      <c r="B6121" t="str">
        <f>"1551689129126521"</f>
        <v>1551689129126521</v>
      </c>
      <c r="C6121" t="s">
        <v>40</v>
      </c>
      <c r="D6121">
        <v>4.7280239999999996</v>
      </c>
      <c r="E6121">
        <v>0.54781840000000004</v>
      </c>
      <c r="F6121" t="s">
        <v>42</v>
      </c>
      <c r="G6121">
        <v>-187.80289999999999</v>
      </c>
      <c r="H6121" s="1">
        <v>-3.4256930000000001E-6</v>
      </c>
      <c r="I6121">
        <v>26.709689999999998</v>
      </c>
      <c r="J6121">
        <v>-187.29310000000001</v>
      </c>
      <c r="K6121">
        <v>1.1096779999999999</v>
      </c>
      <c r="L6121">
        <v>13.98846</v>
      </c>
      <c r="M6121">
        <v>8.960104E-3</v>
      </c>
      <c r="N6121">
        <v>-7.8266180000000005E-3</v>
      </c>
      <c r="O6121">
        <v>0.99992919999999996</v>
      </c>
      <c r="P6121">
        <v>-0.10598150000000001</v>
      </c>
      <c r="Q6121">
        <v>0.36965120000000001</v>
      </c>
      <c r="R6121">
        <v>0.92310669999999995</v>
      </c>
      <c r="S6121">
        <v>-0.12892149999999999</v>
      </c>
      <c r="T6121">
        <v>-0.2827017</v>
      </c>
      <c r="U6121">
        <v>3.3482059999999998</v>
      </c>
      <c r="V6121">
        <v>-0.1142666</v>
      </c>
      <c r="W6121">
        <v>0.3768514</v>
      </c>
      <c r="X6121">
        <v>0.91919859999999998</v>
      </c>
      <c r="Y6121">
        <v>-4.7299239999999999E-2</v>
      </c>
      <c r="Z6121">
        <v>-7.6248560000000007E-2</v>
      </c>
      <c r="AA6121">
        <v>0.99596629999999997</v>
      </c>
      <c r="AB6121">
        <v>42</v>
      </c>
      <c r="AC6121">
        <v>-0.50979999999998404</v>
      </c>
      <c r="AD6121">
        <v>-1.1096814256929901</v>
      </c>
      <c r="AE6121">
        <v>12.72123</v>
      </c>
      <c r="AF6121">
        <v>-0.61906355312994199</v>
      </c>
      <c r="AG6121">
        <v>-1.1096814256929901</v>
      </c>
      <c r="AH6121">
        <v>12.620275209825</v>
      </c>
      <c r="AI6121">
        <v>95.019002522871105</v>
      </c>
      <c r="AJ6121">
        <v>92.808284296388607</v>
      </c>
      <c r="AK6121">
        <v>12.6840836847233</v>
      </c>
      <c r="AL6121">
        <v>67.861211863070196</v>
      </c>
      <c r="AM6121">
        <v>97.086149914056506</v>
      </c>
      <c r="AN6121">
        <v>0.99999994989973795</v>
      </c>
    </row>
    <row r="6122" spans="1:40" x14ac:dyDescent="0.25">
      <c r="A6122" t="str">
        <f>"20190304164529158"</f>
        <v>20190304164529158</v>
      </c>
      <c r="B6122" t="str">
        <f>"1551689129146041"</f>
        <v>1551689129146041</v>
      </c>
      <c r="C6122" t="s">
        <v>40</v>
      </c>
      <c r="D6122">
        <v>4.7119269999999904</v>
      </c>
      <c r="E6122">
        <v>0.54846169999999905</v>
      </c>
      <c r="F6122" t="s">
        <v>41</v>
      </c>
      <c r="G6122">
        <v>-187.32980000000001</v>
      </c>
      <c r="H6122">
        <v>1.0188729999999999</v>
      </c>
      <c r="I6122">
        <v>15.02603</v>
      </c>
      <c r="J6122">
        <v>-187.28960000000001</v>
      </c>
      <c r="K6122">
        <v>1.109645</v>
      </c>
      <c r="L6122">
        <v>14.3772</v>
      </c>
      <c r="M6122">
        <v>9.0139120000000007E-3</v>
      </c>
      <c r="N6122">
        <v>-7.8338969999999994E-3</v>
      </c>
      <c r="O6122">
        <v>0.9999287</v>
      </c>
      <c r="P6122">
        <v>-0.1056827</v>
      </c>
      <c r="Q6122">
        <v>0.36887379999999997</v>
      </c>
      <c r="R6122">
        <v>0.92345180000000004</v>
      </c>
      <c r="S6122">
        <v>-0.1193085</v>
      </c>
      <c r="T6122">
        <v>-0.29350589999999999</v>
      </c>
      <c r="U6122">
        <v>3.353729</v>
      </c>
      <c r="V6122">
        <v>-0.11399960000000001</v>
      </c>
      <c r="W6122">
        <v>0.37608989999999998</v>
      </c>
      <c r="X6122">
        <v>0.91954360000000002</v>
      </c>
      <c r="Y6122">
        <v>-4.4430850000000001E-2</v>
      </c>
      <c r="Z6122">
        <v>-7.9299330000000001E-2</v>
      </c>
      <c r="AA6122">
        <v>0.99586019999999997</v>
      </c>
      <c r="AB6122">
        <v>42</v>
      </c>
      <c r="AC6122">
        <v>-4.0199999999998598E-2</v>
      </c>
      <c r="AD6122">
        <v>-9.0772000000000005E-2</v>
      </c>
      <c r="AE6122">
        <v>0.64882999999999802</v>
      </c>
      <c r="AF6122">
        <v>-4.5166412391190999E-2</v>
      </c>
      <c r="AG6122">
        <v>-9.0772000000000005E-2</v>
      </c>
      <c r="AH6122">
        <v>0.63604010298240699</v>
      </c>
      <c r="AI6122">
        <v>98.101949762952003</v>
      </c>
      <c r="AJ6122">
        <v>94.061863408635901</v>
      </c>
      <c r="AK6122">
        <v>0.64407031711930496</v>
      </c>
      <c r="AL6122">
        <v>67.908308127955095</v>
      </c>
      <c r="AM6122">
        <v>97.067134223654307</v>
      </c>
      <c r="AN6122">
        <v>0.99999997699156395</v>
      </c>
    </row>
    <row r="6123" spans="1:40" x14ac:dyDescent="0.25">
      <c r="A6123" t="str">
        <f>"20190304164529182"</f>
        <v>20190304164529182</v>
      </c>
      <c r="B6123" t="str">
        <f>"1551689129176298"</f>
        <v>1551689129176298</v>
      </c>
      <c r="C6123" t="s">
        <v>40</v>
      </c>
      <c r="D6123">
        <v>4.7099589999999996</v>
      </c>
      <c r="E6123">
        <v>0.54922369999999898</v>
      </c>
      <c r="F6123" t="s">
        <v>41</v>
      </c>
      <c r="G6123">
        <v>-187.32409999999999</v>
      </c>
      <c r="H6123">
        <v>1.0175419999999999</v>
      </c>
      <c r="I6123">
        <v>15.39716</v>
      </c>
      <c r="J6123">
        <v>-187.28569999999999</v>
      </c>
      <c r="K6123">
        <v>1.1096170000000001</v>
      </c>
      <c r="L6123">
        <v>14.816380000000001</v>
      </c>
      <c r="M6123">
        <v>9.0783510000000001E-3</v>
      </c>
      <c r="N6123">
        <v>-7.8421500000000009E-3</v>
      </c>
      <c r="O6123">
        <v>0.99992809999999999</v>
      </c>
      <c r="P6123">
        <v>-0.1056489</v>
      </c>
      <c r="Q6123">
        <v>0.36842469999999999</v>
      </c>
      <c r="R6123">
        <v>0.92363499999999998</v>
      </c>
      <c r="S6123">
        <v>-0.1137543</v>
      </c>
      <c r="T6123">
        <v>-0.30311579999999999</v>
      </c>
      <c r="U6123">
        <v>3.3567499999999999</v>
      </c>
      <c r="V6123">
        <v>-0.1140081</v>
      </c>
      <c r="W6123">
        <v>0.37565549999999998</v>
      </c>
      <c r="X6123">
        <v>0.91972010000000004</v>
      </c>
      <c r="Y6123">
        <v>-4.281012E-2</v>
      </c>
      <c r="Z6123">
        <v>-8.2047739999999994E-2</v>
      </c>
      <c r="AA6123">
        <v>0.9957085</v>
      </c>
      <c r="AB6123">
        <v>42</v>
      </c>
      <c r="AC6123">
        <v>-3.8399999999995701E-2</v>
      </c>
      <c r="AD6123">
        <v>-9.2075000000000101E-2</v>
      </c>
      <c r="AE6123">
        <v>0.58078000000000196</v>
      </c>
      <c r="AF6123">
        <v>-4.26049359717686E-2</v>
      </c>
      <c r="AG6123">
        <v>-9.2075000000000101E-2</v>
      </c>
      <c r="AH6123">
        <v>0.56623762183825199</v>
      </c>
      <c r="AI6123">
        <v>99.210351030372493</v>
      </c>
      <c r="AJ6123">
        <v>94.302949636025005</v>
      </c>
      <c r="AK6123">
        <v>0.57525475276541405</v>
      </c>
      <c r="AL6123">
        <v>67.935167051946607</v>
      </c>
      <c r="AM6123">
        <v>97.066313218050098</v>
      </c>
      <c r="AN6123">
        <v>0.999999981944935</v>
      </c>
    </row>
    <row r="6124" spans="1:40" x14ac:dyDescent="0.25">
      <c r="A6124" t="str">
        <f>"20190304164529204"</f>
        <v>20190304164529204</v>
      </c>
      <c r="B6124" t="str">
        <f>"1551689129195817"</f>
        <v>1551689129195817</v>
      </c>
      <c r="C6124" t="s">
        <v>40</v>
      </c>
      <c r="D6124">
        <v>4.6750569999999998</v>
      </c>
      <c r="E6124">
        <v>0.54948399999999997</v>
      </c>
      <c r="F6124" t="s">
        <v>41</v>
      </c>
      <c r="G6124">
        <v>-187.31659999999999</v>
      </c>
      <c r="H6124">
        <v>1.019973</v>
      </c>
      <c r="I6124">
        <v>15.77764</v>
      </c>
      <c r="J6124">
        <v>-187.2816</v>
      </c>
      <c r="K6124">
        <v>1.10959599999999</v>
      </c>
      <c r="L6124">
        <v>15.25409</v>
      </c>
      <c r="M6124">
        <v>9.1450539999999997E-3</v>
      </c>
      <c r="N6124">
        <v>-7.8504319999999992E-3</v>
      </c>
      <c r="O6124">
        <v>0.99992729999999996</v>
      </c>
      <c r="P6124">
        <v>-0.1062023</v>
      </c>
      <c r="Q6124">
        <v>0.36782769999999998</v>
      </c>
      <c r="R6124">
        <v>0.9238094</v>
      </c>
      <c r="S6124">
        <v>-0.10847469999999999</v>
      </c>
      <c r="T6124">
        <v>-0.313395599999999</v>
      </c>
      <c r="U6124">
        <v>3.3606259999999999</v>
      </c>
      <c r="V6124">
        <v>-0.11460910000000001</v>
      </c>
      <c r="W6124">
        <v>0.37507220000000002</v>
      </c>
      <c r="X6124">
        <v>0.91988349999999997</v>
      </c>
      <c r="Y6124">
        <v>-4.1267499999999999E-2</v>
      </c>
      <c r="Z6124">
        <v>-8.4962380000000004E-2</v>
      </c>
      <c r="AA6124">
        <v>0.9955292</v>
      </c>
      <c r="AB6124">
        <v>42</v>
      </c>
      <c r="AC6124">
        <v>-3.4999999999996499E-2</v>
      </c>
      <c r="AD6124">
        <v>-8.9622999999999703E-2</v>
      </c>
      <c r="AE6124">
        <v>0.52354999999999996</v>
      </c>
      <c r="AF6124">
        <v>-3.8658771982458699E-2</v>
      </c>
      <c r="AG6124">
        <v>-8.9622999999999703E-2</v>
      </c>
      <c r="AH6124">
        <v>0.50837696815483902</v>
      </c>
      <c r="AI6124">
        <v>99.969874401633803</v>
      </c>
      <c r="AJ6124">
        <v>94.348603296584798</v>
      </c>
      <c r="AK6124">
        <v>0.51766197902733602</v>
      </c>
      <c r="AL6124">
        <v>67.971225325651204</v>
      </c>
      <c r="AM6124">
        <v>97.101935288301902</v>
      </c>
      <c r="AN6124">
        <v>1.00000002729394</v>
      </c>
    </row>
    <row r="6125" spans="1:40" x14ac:dyDescent="0.25">
      <c r="A6125" t="str">
        <f>"20190304164529227"</f>
        <v>20190304164529227</v>
      </c>
      <c r="B6125" t="str">
        <f>"1551689129216313"</f>
        <v>1551689129216313</v>
      </c>
      <c r="C6125" t="s">
        <v>40</v>
      </c>
      <c r="D6125">
        <v>4.6951010000000002</v>
      </c>
      <c r="E6125">
        <v>0.54977049999999905</v>
      </c>
      <c r="F6125" t="s">
        <v>41</v>
      </c>
      <c r="G6125">
        <v>-187.3109</v>
      </c>
      <c r="H6125">
        <v>1.0234540000000001</v>
      </c>
      <c r="I6125">
        <v>16.160160000000001</v>
      </c>
      <c r="J6125">
        <v>-187.27770000000001</v>
      </c>
      <c r="K6125">
        <v>1.1095729999999999</v>
      </c>
      <c r="L6125">
        <v>15.68216</v>
      </c>
      <c r="M6125">
        <v>9.2119349999999992E-3</v>
      </c>
      <c r="N6125">
        <v>-7.8561329999999995E-3</v>
      </c>
      <c r="O6125">
        <v>0.99992669999999995</v>
      </c>
      <c r="P6125">
        <v>-0.10689319999999999</v>
      </c>
      <c r="Q6125">
        <v>0.36684689999999998</v>
      </c>
      <c r="R6125">
        <v>0.92411969999999999</v>
      </c>
      <c r="S6125">
        <v>-0.1088715</v>
      </c>
      <c r="T6125">
        <v>-0.3196486</v>
      </c>
      <c r="U6125">
        <v>3.3621829999999999</v>
      </c>
      <c r="V6125">
        <v>-0.1153531</v>
      </c>
      <c r="W6125">
        <v>0.37410300000000002</v>
      </c>
      <c r="X6125">
        <v>0.92018509999999998</v>
      </c>
      <c r="Y6125">
        <v>-4.1431450000000002E-2</v>
      </c>
      <c r="Z6125">
        <v>-8.6748800000000001E-2</v>
      </c>
      <c r="AA6125">
        <v>0.99536829999999998</v>
      </c>
      <c r="AB6125">
        <v>42</v>
      </c>
      <c r="AC6125">
        <v>-3.3199999999993603E-2</v>
      </c>
      <c r="AD6125">
        <v>-8.6118999999999807E-2</v>
      </c>
      <c r="AE6125">
        <v>0.47799999999999898</v>
      </c>
      <c r="AF6125">
        <v>-3.6425358661565002E-2</v>
      </c>
      <c r="AG6125">
        <v>-8.6118999999999807E-2</v>
      </c>
      <c r="AH6125">
        <v>0.46272611143380799</v>
      </c>
      <c r="AI6125">
        <v>100.511035903161</v>
      </c>
      <c r="AJ6125">
        <v>94.500987419741904</v>
      </c>
      <c r="AK6125">
        <v>0.47207917039123498</v>
      </c>
      <c r="AL6125">
        <v>68.031116510978194</v>
      </c>
      <c r="AM6125">
        <v>97.145244652073899</v>
      </c>
      <c r="AN6125">
        <v>1.00000000527531</v>
      </c>
    </row>
    <row r="6126" spans="1:40" x14ac:dyDescent="0.25">
      <c r="A6126" t="str">
        <f>"20190304164529250"</f>
        <v>20190304164529250</v>
      </c>
      <c r="B6126" t="str">
        <f>"1551689129245884"</f>
        <v>1551689129245884</v>
      </c>
      <c r="C6126" t="s">
        <v>40</v>
      </c>
      <c r="D6126">
        <v>4.6458050000000002</v>
      </c>
      <c r="E6126">
        <v>0.55009730000000001</v>
      </c>
      <c r="F6126" t="s">
        <v>41</v>
      </c>
      <c r="G6126">
        <v>-187.30609999999999</v>
      </c>
      <c r="H6126">
        <v>1.0256449999999999</v>
      </c>
      <c r="I6126">
        <v>16.543379999999999</v>
      </c>
      <c r="J6126">
        <v>-187.27359999999999</v>
      </c>
      <c r="K6126">
        <v>1.1095549999999901</v>
      </c>
      <c r="L6126">
        <v>16.119289999999999</v>
      </c>
      <c r="M6126">
        <v>9.2811579999999994E-3</v>
      </c>
      <c r="N6126">
        <v>-7.8580279999999995E-3</v>
      </c>
      <c r="O6126">
        <v>0.99992599999999998</v>
      </c>
      <c r="P6126">
        <v>-0.1078471</v>
      </c>
      <c r="Q6126">
        <v>0.36661640000000001</v>
      </c>
      <c r="R6126">
        <v>0.92410029999999999</v>
      </c>
      <c r="S6126">
        <v>-0.1117706</v>
      </c>
      <c r="T6126">
        <v>-0.32777669999999998</v>
      </c>
      <c r="U6126">
        <v>3.3635250000000001</v>
      </c>
      <c r="V6126">
        <v>-0.1163613</v>
      </c>
      <c r="W6126">
        <v>0.3738766</v>
      </c>
      <c r="X6126">
        <v>0.92015020000000003</v>
      </c>
      <c r="Y6126">
        <v>-4.2337159999999999E-2</v>
      </c>
      <c r="Z6126">
        <v>-8.9089440000000006E-2</v>
      </c>
      <c r="AA6126">
        <v>0.99512339999999999</v>
      </c>
      <c r="AB6126">
        <v>43</v>
      </c>
      <c r="AC6126">
        <v>-3.2499999999998801E-2</v>
      </c>
      <c r="AD6126">
        <v>-8.3909999999999693E-2</v>
      </c>
      <c r="AE6126">
        <v>0.42408999999999902</v>
      </c>
      <c r="AF6126">
        <v>-3.5069863359842197E-2</v>
      </c>
      <c r="AG6126">
        <v>-8.3909999999999693E-2</v>
      </c>
      <c r="AH6126">
        <v>0.40789497967572302</v>
      </c>
      <c r="AI6126">
        <v>101.58284804866</v>
      </c>
      <c r="AJ6126">
        <v>94.914073337510402</v>
      </c>
      <c r="AK6126">
        <v>0.41791039453540302</v>
      </c>
      <c r="AL6126">
        <v>68.045103764112</v>
      </c>
      <c r="AM6126">
        <v>97.207311572115898</v>
      </c>
      <c r="AN6126">
        <v>1.0000000273626399</v>
      </c>
    </row>
    <row r="6127" spans="1:40" x14ac:dyDescent="0.25">
      <c r="A6127" t="str">
        <f>"20190304164529273"</f>
        <v>20190304164529273</v>
      </c>
      <c r="B6127" t="str">
        <f>"1551689129266380"</f>
        <v>1551689129266380</v>
      </c>
      <c r="C6127" t="s">
        <v>40</v>
      </c>
      <c r="D6127">
        <v>4.6318159999999997</v>
      </c>
      <c r="E6127">
        <v>0.55034289999999997</v>
      </c>
      <c r="F6127" t="s">
        <v>42</v>
      </c>
      <c r="G6127">
        <v>-187.6574</v>
      </c>
      <c r="H6127" s="1">
        <v>-3.7342749999999999E-6</v>
      </c>
      <c r="I6127">
        <v>27.368839999999999</v>
      </c>
      <c r="J6127">
        <v>-187.2696</v>
      </c>
      <c r="K6127">
        <v>1.1095410000000001</v>
      </c>
      <c r="L6127">
        <v>16.550049999999999</v>
      </c>
      <c r="M6127">
        <v>9.3497979999999994E-3</v>
      </c>
      <c r="N6127">
        <v>-7.8585730000000006E-3</v>
      </c>
      <c r="O6127">
        <v>0.99992539999999996</v>
      </c>
      <c r="P6127">
        <v>-0.1087683</v>
      </c>
      <c r="Q6127">
        <v>0.36657820000000002</v>
      </c>
      <c r="R6127">
        <v>0.92400749999999998</v>
      </c>
      <c r="S6127">
        <v>-0.1147919</v>
      </c>
      <c r="T6127">
        <v>-0.33186070000000001</v>
      </c>
      <c r="U6127">
        <v>3.364655</v>
      </c>
      <c r="V6127">
        <v>-0.117338</v>
      </c>
      <c r="W6127">
        <v>0.37384079999999997</v>
      </c>
      <c r="X6127">
        <v>0.92004070000000004</v>
      </c>
      <c r="Y6127">
        <v>-4.3283019999999998E-2</v>
      </c>
      <c r="Z6127">
        <v>-9.0249529999999994E-2</v>
      </c>
      <c r="AA6127">
        <v>0.99497820000000003</v>
      </c>
      <c r="AB6127">
        <v>43</v>
      </c>
      <c r="AC6127">
        <v>-0.38779999999999798</v>
      </c>
      <c r="AD6127">
        <v>-1.10954473427499</v>
      </c>
      <c r="AE6127">
        <v>10.81879</v>
      </c>
      <c r="AF6127">
        <v>-0.483857007029733</v>
      </c>
      <c r="AG6127">
        <v>-1.10954473427499</v>
      </c>
      <c r="AH6127">
        <v>10.702269329791701</v>
      </c>
      <c r="AI6127">
        <v>95.912927457630602</v>
      </c>
      <c r="AJ6127">
        <v>92.588619107454605</v>
      </c>
      <c r="AK6127">
        <v>10.770504905899701</v>
      </c>
      <c r="AL6127">
        <v>68.047315148502193</v>
      </c>
      <c r="AM6127">
        <v>97.268019051159797</v>
      </c>
      <c r="AN6127">
        <v>1.00000001982256</v>
      </c>
    </row>
    <row r="6128" spans="1:40" x14ac:dyDescent="0.25">
      <c r="A6128" t="str">
        <f>"20190304164529293"</f>
        <v>20190304164529293</v>
      </c>
      <c r="B6128" t="str">
        <f>"1551689129285900"</f>
        <v>1551689129285900</v>
      </c>
      <c r="C6128" t="s">
        <v>40</v>
      </c>
      <c r="D6128">
        <v>4.5967609999999999</v>
      </c>
      <c r="E6128">
        <v>0.55052199999999996</v>
      </c>
      <c r="F6128" t="s">
        <v>42</v>
      </c>
      <c r="G6128">
        <v>-187.66239999999999</v>
      </c>
      <c r="H6128" s="1">
        <v>-3.9104489999999997E-6</v>
      </c>
      <c r="I6128">
        <v>27.781580000000002</v>
      </c>
      <c r="J6128">
        <v>-187.26570000000001</v>
      </c>
      <c r="K6128">
        <v>1.109532</v>
      </c>
      <c r="L6128">
        <v>16.95682</v>
      </c>
      <c r="M6128">
        <v>9.4127450000000001E-3</v>
      </c>
      <c r="N6128">
        <v>-7.8594240000000003E-3</v>
      </c>
      <c r="O6128">
        <v>0.99992479999999995</v>
      </c>
      <c r="P6128">
        <v>-0.1094359</v>
      </c>
      <c r="Q6128">
        <v>0.36652400000000002</v>
      </c>
      <c r="R6128">
        <v>0.92395020000000005</v>
      </c>
      <c r="S6128">
        <v>-0.117691</v>
      </c>
      <c r="T6128">
        <v>-0.33239770000000002</v>
      </c>
      <c r="U6128">
        <v>3.3647459999999998</v>
      </c>
      <c r="V6128">
        <v>-0.118058</v>
      </c>
      <c r="W6128">
        <v>0.37378810000000001</v>
      </c>
      <c r="X6128">
        <v>0.91996999999999995</v>
      </c>
      <c r="Y6128">
        <v>-4.4200360000000001E-2</v>
      </c>
      <c r="Z6128">
        <v>-9.0399779999999999E-2</v>
      </c>
      <c r="AA6128">
        <v>0.99492420000000004</v>
      </c>
      <c r="AB6128">
        <v>43</v>
      </c>
      <c r="AC6128">
        <v>-0.39669999999998101</v>
      </c>
      <c r="AD6128">
        <v>-1.1095359104489999</v>
      </c>
      <c r="AE6128">
        <v>10.8247599999999</v>
      </c>
      <c r="AF6128">
        <v>-0.493399471651774</v>
      </c>
      <c r="AG6128">
        <v>-1.1095359104489999</v>
      </c>
      <c r="AH6128">
        <v>10.708194599176799</v>
      </c>
      <c r="AI6128">
        <v>95.909400612190197</v>
      </c>
      <c r="AJ6128">
        <v>92.638140940593104</v>
      </c>
      <c r="AK6128">
        <v>10.776824418586401</v>
      </c>
      <c r="AL6128">
        <v>68.050570605851206</v>
      </c>
      <c r="AM6128">
        <v>97.312691123049703</v>
      </c>
      <c r="AN6128">
        <v>1.0000000179827999</v>
      </c>
    </row>
    <row r="6129" spans="1:40" x14ac:dyDescent="0.25">
      <c r="A6129" t="str">
        <f>"20190304164529317"</f>
        <v>20190304164529317</v>
      </c>
      <c r="B6129" t="str">
        <f>"1551689129306396"</f>
        <v>1551689129306396</v>
      </c>
      <c r="C6129" t="s">
        <v>40</v>
      </c>
      <c r="D6129">
        <v>4.5661800000000001</v>
      </c>
      <c r="E6129">
        <v>0.550701</v>
      </c>
      <c r="F6129" t="s">
        <v>42</v>
      </c>
      <c r="G6129">
        <v>-187.6662</v>
      </c>
      <c r="H6129" s="1">
        <v>-4.072286E-6</v>
      </c>
      <c r="I6129">
        <v>28.16037</v>
      </c>
      <c r="J6129">
        <v>-187.26150000000001</v>
      </c>
      <c r="K6129">
        <v>1.109532</v>
      </c>
      <c r="L6129">
        <v>17.404019999999999</v>
      </c>
      <c r="M6129">
        <v>9.472711E-3</v>
      </c>
      <c r="N6129">
        <v>-7.8610009999999994E-3</v>
      </c>
      <c r="O6129">
        <v>0.99992420000000004</v>
      </c>
      <c r="P6129">
        <v>-0.109117699999999</v>
      </c>
      <c r="Q6129">
        <v>0.36657679999999998</v>
      </c>
      <c r="R6129">
        <v>0.92396690000000004</v>
      </c>
      <c r="S6129">
        <v>-0.1202698</v>
      </c>
      <c r="T6129">
        <v>-0.33323730000000001</v>
      </c>
      <c r="U6129">
        <v>3.364868</v>
      </c>
      <c r="V6129">
        <v>-0.1177955</v>
      </c>
      <c r="W6129">
        <v>0.37384250000000002</v>
      </c>
      <c r="X6129">
        <v>0.91998150000000001</v>
      </c>
      <c r="Y6129">
        <v>-4.501935E-2</v>
      </c>
      <c r="Z6129">
        <v>-9.0637300000000004E-2</v>
      </c>
      <c r="AA6129">
        <v>0.99486589999999997</v>
      </c>
      <c r="AB6129">
        <v>43</v>
      </c>
      <c r="AC6129">
        <v>-0.40469999999999101</v>
      </c>
      <c r="AD6129">
        <v>-1.1095360722859999</v>
      </c>
      <c r="AE6129">
        <v>10.7563499999999</v>
      </c>
      <c r="AF6129">
        <v>-0.50125087814056601</v>
      </c>
      <c r="AG6129">
        <v>-1.1095360722859999</v>
      </c>
      <c r="AH6129">
        <v>10.6389918217101</v>
      </c>
      <c r="AI6129">
        <v>95.947280435098094</v>
      </c>
      <c r="AJ6129">
        <v>92.697467785877294</v>
      </c>
      <c r="AK6129">
        <v>10.7084298438639</v>
      </c>
      <c r="AL6129">
        <v>68.047209153374993</v>
      </c>
      <c r="AM6129">
        <v>97.296516671026595</v>
      </c>
      <c r="AN6129">
        <v>0.99999997748437397</v>
      </c>
    </row>
    <row r="6130" spans="1:40" x14ac:dyDescent="0.25">
      <c r="A6130" t="str">
        <f>"20190304164529339"</f>
        <v>20190304164529339</v>
      </c>
      <c r="B6130" t="str">
        <f>"1551689129325915"</f>
        <v>1551689129325915</v>
      </c>
      <c r="C6130" t="s">
        <v>40</v>
      </c>
      <c r="D6130">
        <v>4.5447749999999996</v>
      </c>
      <c r="E6130">
        <v>0.55068450000000002</v>
      </c>
      <c r="F6130" t="s">
        <v>41</v>
      </c>
      <c r="G6130">
        <v>-187.29810000000001</v>
      </c>
      <c r="H6130">
        <v>1.006256</v>
      </c>
      <c r="I6130">
        <v>18.44641</v>
      </c>
      <c r="J6130">
        <v>-187.25749999999999</v>
      </c>
      <c r="K6130">
        <v>1.109537</v>
      </c>
      <c r="L6130">
        <v>17.817229999999999</v>
      </c>
      <c r="M6130">
        <v>9.5154249999999992E-3</v>
      </c>
      <c r="N6130">
        <v>-7.8628550000000002E-3</v>
      </c>
      <c r="O6130">
        <v>0.99992380000000003</v>
      </c>
      <c r="P6130">
        <v>-0.1087646</v>
      </c>
      <c r="Q6130">
        <v>0.36582330000000002</v>
      </c>
      <c r="R6130">
        <v>0.92430699999999999</v>
      </c>
      <c r="S6130">
        <v>-0.1185455</v>
      </c>
      <c r="T6130">
        <v>-0.33340370000000003</v>
      </c>
      <c r="U6130">
        <v>3.3651430000000002</v>
      </c>
      <c r="V6130">
        <v>-0.11748980000000001</v>
      </c>
      <c r="W6130">
        <v>0.37309179999999997</v>
      </c>
      <c r="X6130">
        <v>0.92032530000000001</v>
      </c>
      <c r="Y6130">
        <v>-4.4550090000000001E-2</v>
      </c>
      <c r="Z6130">
        <v>-9.0678129999999996E-2</v>
      </c>
      <c r="AA6130">
        <v>0.99488330000000003</v>
      </c>
      <c r="AB6130">
        <v>43</v>
      </c>
      <c r="AC6130">
        <v>-4.0600000000011897E-2</v>
      </c>
      <c r="AD6130">
        <v>-0.103280999999999</v>
      </c>
      <c r="AE6130">
        <v>0.62918000000000096</v>
      </c>
      <c r="AF6130">
        <v>-4.5367858102932403E-2</v>
      </c>
      <c r="AG6130">
        <v>-0.103280999999999</v>
      </c>
      <c r="AH6130">
        <v>0.61233377223910701</v>
      </c>
      <c r="AI6130">
        <v>99.548157542505393</v>
      </c>
      <c r="AJ6130">
        <v>94.237306859082494</v>
      </c>
      <c r="AK6130">
        <v>0.62263782099581899</v>
      </c>
      <c r="AL6130">
        <v>68.093576592104398</v>
      </c>
      <c r="AM6130">
        <v>97.275094628708004</v>
      </c>
      <c r="AN6130">
        <v>1.00000000107568</v>
      </c>
    </row>
    <row r="6131" spans="1:40" x14ac:dyDescent="0.25">
      <c r="A6131" t="str">
        <f>"20190304164529360"</f>
        <v>20190304164529360</v>
      </c>
      <c r="B6131" t="str">
        <f>"1551689129356677"</f>
        <v>1551689129356677</v>
      </c>
      <c r="C6131" t="s">
        <v>40</v>
      </c>
      <c r="D6131">
        <v>4.4109509999999998</v>
      </c>
      <c r="E6131">
        <v>0.550427</v>
      </c>
      <c r="F6131" t="s">
        <v>41</v>
      </c>
      <c r="G6131">
        <v>-187.2929</v>
      </c>
      <c r="H6131">
        <v>1.008564</v>
      </c>
      <c r="I6131">
        <v>18.832940000000001</v>
      </c>
      <c r="J6131">
        <v>-187.2535</v>
      </c>
      <c r="K6131">
        <v>1.1095389999999901</v>
      </c>
      <c r="L6131">
        <v>18.24164</v>
      </c>
      <c r="M6131">
        <v>9.5476780000000004E-3</v>
      </c>
      <c r="N6131">
        <v>-7.865225E-3</v>
      </c>
      <c r="O6131">
        <v>0.99992349999999997</v>
      </c>
      <c r="P6131">
        <v>-0.1079161</v>
      </c>
      <c r="Q6131">
        <v>0.36522359999999998</v>
      </c>
      <c r="R6131">
        <v>0.92464360000000001</v>
      </c>
      <c r="S6131">
        <v>-0.11763</v>
      </c>
      <c r="T6131">
        <v>-0.3344355</v>
      </c>
      <c r="U6131">
        <v>3.3641969999999999</v>
      </c>
      <c r="V6131">
        <v>-0.1166822</v>
      </c>
      <c r="W6131">
        <v>0.37249450000000001</v>
      </c>
      <c r="X6131">
        <v>0.92066990000000004</v>
      </c>
      <c r="Y6131">
        <v>-4.4320720000000001E-2</v>
      </c>
      <c r="Z6131">
        <v>-9.1006290000000004E-2</v>
      </c>
      <c r="AA6131">
        <v>0.99486359999999996</v>
      </c>
      <c r="AB6131">
        <v>43</v>
      </c>
      <c r="AC6131">
        <v>-3.9400000000000497E-2</v>
      </c>
      <c r="AD6131">
        <v>-0.100974999999999</v>
      </c>
      <c r="AE6131">
        <v>0.59130000000000005</v>
      </c>
      <c r="AF6131">
        <v>-4.3773068562096E-2</v>
      </c>
      <c r="AG6131">
        <v>-0.100974999999999</v>
      </c>
      <c r="AH6131">
        <v>0.57422551768973895</v>
      </c>
      <c r="AI6131">
        <v>99.944970765163802</v>
      </c>
      <c r="AJ6131">
        <v>94.359212325365704</v>
      </c>
      <c r="AK6131">
        <v>0.584676814421772</v>
      </c>
      <c r="AL6131">
        <v>68.130457411973794</v>
      </c>
      <c r="AM6131">
        <v>97.222941565711196</v>
      </c>
      <c r="AN6131">
        <v>0.99999997654654904</v>
      </c>
    </row>
    <row r="6132" spans="1:40" x14ac:dyDescent="0.25">
      <c r="A6132" t="str">
        <f>"20190304164529384"</f>
        <v>20190304164529384</v>
      </c>
      <c r="B6132" t="str">
        <f>"1551689129376197"</f>
        <v>1551689129376197</v>
      </c>
      <c r="C6132" t="s">
        <v>40</v>
      </c>
      <c r="D6132">
        <v>4.461957</v>
      </c>
      <c r="E6132">
        <v>0.55036750000000001</v>
      </c>
      <c r="F6132" t="s">
        <v>41</v>
      </c>
      <c r="G6132">
        <v>-187.28729999999999</v>
      </c>
      <c r="H6132">
        <v>1.0131680000000001</v>
      </c>
      <c r="I6132">
        <v>19.221789999999999</v>
      </c>
      <c r="J6132">
        <v>-187.2491</v>
      </c>
      <c r="K6132">
        <v>1.1095520000000001</v>
      </c>
      <c r="L6132">
        <v>18.69492</v>
      </c>
      <c r="M6132">
        <v>9.5715460000000002E-3</v>
      </c>
      <c r="N6132">
        <v>-7.8684830000000008E-3</v>
      </c>
      <c r="O6132">
        <v>0.99992320000000001</v>
      </c>
      <c r="P6132">
        <v>-0.1065285</v>
      </c>
      <c r="Q6132">
        <v>0.36496970000000001</v>
      </c>
      <c r="R6132">
        <v>0.92490479999999997</v>
      </c>
      <c r="S6132">
        <v>-0.1160736</v>
      </c>
      <c r="T6132">
        <v>-0.33050559999999901</v>
      </c>
      <c r="U6132">
        <v>3.3614809999999999</v>
      </c>
      <c r="V6132">
        <v>-0.1153267</v>
      </c>
      <c r="W6132">
        <v>0.3722432</v>
      </c>
      <c r="X6132">
        <v>0.92094229999999999</v>
      </c>
      <c r="Y6132">
        <v>-4.3916280000000002E-2</v>
      </c>
      <c r="Z6132">
        <v>-8.9931759999999999E-2</v>
      </c>
      <c r="AA6132">
        <v>0.99497919999999995</v>
      </c>
      <c r="AB6132">
        <v>43</v>
      </c>
      <c r="AC6132">
        <v>-3.8199999999989097E-2</v>
      </c>
      <c r="AD6132">
        <v>-9.6383999999999997E-2</v>
      </c>
      <c r="AE6132">
        <v>0.52686999999999795</v>
      </c>
      <c r="AF6132">
        <v>-4.1848201168271398E-2</v>
      </c>
      <c r="AG6132">
        <v>-9.6383999999999997E-2</v>
      </c>
      <c r="AH6132">
        <v>0.50951789407496995</v>
      </c>
      <c r="AI6132">
        <v>100.67677798250401</v>
      </c>
      <c r="AJ6132">
        <v>94.695331630133296</v>
      </c>
      <c r="AK6132">
        <v>0.52023997518415799</v>
      </c>
      <c r="AL6132">
        <v>68.145971710093505</v>
      </c>
      <c r="AM6132">
        <v>97.137813376969007</v>
      </c>
      <c r="AN6132">
        <v>0.99999998380420896</v>
      </c>
    </row>
    <row r="6133" spans="1:40" x14ac:dyDescent="0.25">
      <c r="A6133" t="str">
        <f>"20190304164529406"</f>
        <v>20190304164529406</v>
      </c>
      <c r="B6133" t="str">
        <f>"1551689129396694"</f>
        <v>1551689129396694</v>
      </c>
      <c r="C6133" t="s">
        <v>40</v>
      </c>
      <c r="D6133">
        <v>4.4296569999999997</v>
      </c>
      <c r="E6133">
        <v>0.55024130000000004</v>
      </c>
      <c r="F6133" t="s">
        <v>41</v>
      </c>
      <c r="G6133">
        <v>-187.27959999999999</v>
      </c>
      <c r="H6133">
        <v>1.0196050000000001</v>
      </c>
      <c r="I6133">
        <v>19.612159999999999</v>
      </c>
      <c r="J6133">
        <v>-187.245</v>
      </c>
      <c r="K6133">
        <v>1.109558</v>
      </c>
      <c r="L6133">
        <v>19.120090000000001</v>
      </c>
      <c r="M6133">
        <v>9.5857879999999996E-3</v>
      </c>
      <c r="N6133">
        <v>-7.8721539999999993E-3</v>
      </c>
      <c r="O6133">
        <v>0.99992309999999995</v>
      </c>
      <c r="P6133">
        <v>-0.10463699999999999</v>
      </c>
      <c r="Q6133">
        <v>0.36593490000000001</v>
      </c>
      <c r="R6133">
        <v>0.92473930000000004</v>
      </c>
      <c r="S6133">
        <v>-0.11242679999999999</v>
      </c>
      <c r="T6133">
        <v>-0.3295534</v>
      </c>
      <c r="U6133">
        <v>3.3606569999999998</v>
      </c>
      <c r="V6133">
        <v>-0.1134531</v>
      </c>
      <c r="W6133">
        <v>0.37320829999999999</v>
      </c>
      <c r="X6133">
        <v>0.92078439999999995</v>
      </c>
      <c r="Y6133">
        <v>-4.2861669999999998E-2</v>
      </c>
      <c r="Z6133">
        <v>-8.9676599999999995E-2</v>
      </c>
      <c r="AA6133">
        <v>0.99504820000000005</v>
      </c>
      <c r="AB6133">
        <v>43</v>
      </c>
      <c r="AC6133">
        <v>-3.4599999999983297E-2</v>
      </c>
      <c r="AD6133">
        <v>-8.9953000000000102E-2</v>
      </c>
      <c r="AE6133">
        <v>0.49206999999999801</v>
      </c>
      <c r="AF6133">
        <v>-3.8050139829604E-2</v>
      </c>
      <c r="AG6133">
        <v>-8.9953000000000102E-2</v>
      </c>
      <c r="AH6133">
        <v>0.47589074457331698</v>
      </c>
      <c r="AI6133">
        <v>100.670511339841</v>
      </c>
      <c r="AJ6133">
        <v>94.571394669928196</v>
      </c>
      <c r="AK6133">
        <v>0.48581000002120101</v>
      </c>
      <c r="AL6133">
        <v>68.086381400075894</v>
      </c>
      <c r="AM6133">
        <v>97.0242120506867</v>
      </c>
      <c r="AN6133">
        <v>0.99999997618592895</v>
      </c>
    </row>
    <row r="6134" spans="1:40" x14ac:dyDescent="0.25">
      <c r="A6134" t="str">
        <f>"20190304164529438"</f>
        <v>20190304164529438</v>
      </c>
      <c r="B6134" t="str">
        <f>"1551689129425973"</f>
        <v>1551689129425973</v>
      </c>
      <c r="C6134" t="s">
        <v>40</v>
      </c>
      <c r="D6134">
        <v>4.3852919999999997</v>
      </c>
      <c r="E6134">
        <v>0.55006669999999902</v>
      </c>
      <c r="F6134" t="s">
        <v>41</v>
      </c>
      <c r="G6134">
        <v>-187.27330000000001</v>
      </c>
      <c r="H6134">
        <v>1.024804</v>
      </c>
      <c r="I6134">
        <v>20.002579999999998</v>
      </c>
      <c r="J6134">
        <v>-187.239</v>
      </c>
      <c r="K6134">
        <v>1.1095649999999999</v>
      </c>
      <c r="L6134">
        <v>19.743289999999998</v>
      </c>
      <c r="M6134">
        <v>9.5859220000000002E-3</v>
      </c>
      <c r="N6134">
        <v>-7.8780659999999995E-3</v>
      </c>
      <c r="O6134">
        <v>0.99992300000000001</v>
      </c>
      <c r="P6134">
        <v>-0.1036759</v>
      </c>
      <c r="Q6134">
        <v>0.36663259999999998</v>
      </c>
      <c r="R6134">
        <v>0.92457120000000004</v>
      </c>
      <c r="S6134">
        <v>-0.10768129999999999</v>
      </c>
      <c r="T6134">
        <v>-0.32265509999999997</v>
      </c>
      <c r="U6134">
        <v>3.3596499999999998</v>
      </c>
      <c r="V6134">
        <v>-0.1125008</v>
      </c>
      <c r="W6134">
        <v>0.37390709999999999</v>
      </c>
      <c r="X6134">
        <v>0.92061780000000004</v>
      </c>
      <c r="Y6134">
        <v>-4.1474329999999997E-2</v>
      </c>
      <c r="Z6134">
        <v>-8.7680259999999996E-2</v>
      </c>
      <c r="AA6134">
        <v>0.99528490000000003</v>
      </c>
      <c r="AB6134">
        <v>43</v>
      </c>
      <c r="AC6134">
        <v>-3.4300000000001697E-2</v>
      </c>
      <c r="AD6134">
        <v>-8.4760999999999795E-2</v>
      </c>
      <c r="AE6134">
        <v>0.25929000000000002</v>
      </c>
      <c r="AF6134">
        <v>-3.32880108802453E-2</v>
      </c>
      <c r="AG6134">
        <v>-8.4760999999999795E-2</v>
      </c>
      <c r="AH6134">
        <v>0.23433825128671201</v>
      </c>
      <c r="AI6134">
        <v>109.70288467854201</v>
      </c>
      <c r="AJ6134">
        <v>98.084839140511207</v>
      </c>
      <c r="AK6134">
        <v>0.25140989400872299</v>
      </c>
      <c r="AL6134">
        <v>68.043219915747201</v>
      </c>
      <c r="AM6134">
        <v>96.967082252008694</v>
      </c>
      <c r="AN6134">
        <v>1.0000000415539401</v>
      </c>
    </row>
    <row r="6135" spans="1:40" x14ac:dyDescent="0.25">
      <c r="A6135" t="str">
        <f>"20190304164529463"</f>
        <v>20190304164529463</v>
      </c>
      <c r="B6135" t="str">
        <f>"1551689129456230"</f>
        <v>1551689129456230</v>
      </c>
      <c r="C6135" t="s">
        <v>40</v>
      </c>
      <c r="D6135">
        <v>4.4181860000000004</v>
      </c>
      <c r="E6135">
        <v>0.54993939999999997</v>
      </c>
      <c r="F6135" t="s">
        <v>41</v>
      </c>
      <c r="G6135">
        <v>-187.2714</v>
      </c>
      <c r="H6135">
        <v>1.013101</v>
      </c>
      <c r="I6135">
        <v>20.771609999999999</v>
      </c>
      <c r="J6135">
        <v>-187.2346</v>
      </c>
      <c r="K6135">
        <v>1.109575</v>
      </c>
      <c r="L6135">
        <v>20.211490000000001</v>
      </c>
      <c r="M6135">
        <v>9.5641749999999994E-3</v>
      </c>
      <c r="N6135">
        <v>-7.8830819999999996E-3</v>
      </c>
      <c r="O6135">
        <v>0.99992320000000001</v>
      </c>
      <c r="P6135">
        <v>-0.1033642</v>
      </c>
      <c r="Q6135">
        <v>0.36592229999999998</v>
      </c>
      <c r="R6135">
        <v>0.92488740000000003</v>
      </c>
      <c r="S6135">
        <v>-0.105896</v>
      </c>
      <c r="T6135">
        <v>-0.31498159999999997</v>
      </c>
      <c r="U6135">
        <v>3.3577880000000002</v>
      </c>
      <c r="V6135">
        <v>-0.11218359999999999</v>
      </c>
      <c r="W6135">
        <v>0.37320019999999998</v>
      </c>
      <c r="X6135">
        <v>0.92094319999999996</v>
      </c>
      <c r="Y6135">
        <v>-4.0948239999999997E-2</v>
      </c>
      <c r="Z6135">
        <v>-8.5474949999999994E-2</v>
      </c>
      <c r="AA6135">
        <v>0.99549849999999995</v>
      </c>
      <c r="AB6135">
        <v>43</v>
      </c>
      <c r="AC6135">
        <v>-3.67999999999995E-2</v>
      </c>
      <c r="AD6135">
        <v>-9.6473999999999893E-2</v>
      </c>
      <c r="AE6135">
        <v>0.56012000000000095</v>
      </c>
      <c r="AF6135">
        <v>-4.0946084684521197E-2</v>
      </c>
      <c r="AG6135">
        <v>-9.6473999999999893E-2</v>
      </c>
      <c r="AH6135">
        <v>0.54368285456447396</v>
      </c>
      <c r="AI6135">
        <v>100.034297361054</v>
      </c>
      <c r="AJ6135">
        <v>94.306954517376198</v>
      </c>
      <c r="AK6135">
        <v>0.55369202710023502</v>
      </c>
      <c r="AL6135">
        <v>68.086881346319004</v>
      </c>
      <c r="AM6135">
        <v>96.945199727894902</v>
      </c>
      <c r="AN6135">
        <v>0.99999996350761899</v>
      </c>
    </row>
    <row r="6136" spans="1:40" x14ac:dyDescent="0.25">
      <c r="A6136" t="str">
        <f>"20190304164529484"</f>
        <v>20190304164529484</v>
      </c>
      <c r="B6136" t="str">
        <f>"1551689129476726"</f>
        <v>1551689129476726</v>
      </c>
      <c r="C6136" t="s">
        <v>40</v>
      </c>
      <c r="D6136">
        <v>4.4344710000000003</v>
      </c>
      <c r="E6136">
        <v>0.54986239999999997</v>
      </c>
      <c r="F6136" t="s">
        <v>41</v>
      </c>
      <c r="G6136">
        <v>-187.26439999999999</v>
      </c>
      <c r="H6136">
        <v>1.0201070000000001</v>
      </c>
      <c r="I6136">
        <v>21.165240000000001</v>
      </c>
      <c r="J6136">
        <v>-187.23050000000001</v>
      </c>
      <c r="K6136">
        <v>1.109585</v>
      </c>
      <c r="L6136">
        <v>20.64301</v>
      </c>
      <c r="M6136">
        <v>9.5303530000000001E-3</v>
      </c>
      <c r="N6136">
        <v>-7.8882359999999999E-3</v>
      </c>
      <c r="O6136">
        <v>0.99992349999999997</v>
      </c>
      <c r="P6136">
        <v>-0.1032694</v>
      </c>
      <c r="Q6136">
        <v>0.36547770000000002</v>
      </c>
      <c r="R6136">
        <v>0.9250737</v>
      </c>
      <c r="S6136">
        <v>-0.105545</v>
      </c>
      <c r="T6136">
        <v>-0.31485269999999999</v>
      </c>
      <c r="U6136">
        <v>3.3564150000000001</v>
      </c>
      <c r="V6136">
        <v>-0.11207110000000001</v>
      </c>
      <c r="W6136">
        <v>0.37275829999999999</v>
      </c>
      <c r="X6136">
        <v>0.92113590000000001</v>
      </c>
      <c r="Y6136">
        <v>-4.082334E-2</v>
      </c>
      <c r="Z6136">
        <v>-8.547022E-2</v>
      </c>
      <c r="AA6136">
        <v>0.99550400000000006</v>
      </c>
      <c r="AB6136">
        <v>43</v>
      </c>
      <c r="AC6136">
        <v>-3.3899999999988398E-2</v>
      </c>
      <c r="AD6136">
        <v>-8.9478000000000099E-2</v>
      </c>
      <c r="AE6136">
        <v>0.52222999999999997</v>
      </c>
      <c r="AF6136">
        <v>-3.7771454658695303E-2</v>
      </c>
      <c r="AG6136">
        <v>-8.9478000000000099E-2</v>
      </c>
      <c r="AH6136">
        <v>0.50705998961625398</v>
      </c>
      <c r="AI6136">
        <v>99.980537846801695</v>
      </c>
      <c r="AJ6136">
        <v>94.260157309098403</v>
      </c>
      <c r="AK6136">
        <v>0.51627785962664496</v>
      </c>
      <c r="AL6136">
        <v>68.114170634017199</v>
      </c>
      <c r="AM6136">
        <v>96.9368655266953</v>
      </c>
      <c r="AN6136">
        <v>1.00000001397145</v>
      </c>
    </row>
    <row r="6137" spans="1:40" x14ac:dyDescent="0.25">
      <c r="A6137" t="str">
        <f>"20190304164529507"</f>
        <v>20190304164529507</v>
      </c>
      <c r="B6137" t="str">
        <f>"1551689129496246"</f>
        <v>1551689129496246</v>
      </c>
      <c r="C6137" t="s">
        <v>40</v>
      </c>
      <c r="D6137">
        <v>4.4275140000000004</v>
      </c>
      <c r="E6137">
        <v>0.54977860000000001</v>
      </c>
      <c r="F6137" t="s">
        <v>41</v>
      </c>
      <c r="G6137">
        <v>-187.25919999999999</v>
      </c>
      <c r="H6137">
        <v>1.023641</v>
      </c>
      <c r="I6137">
        <v>21.557400000000001</v>
      </c>
      <c r="J6137">
        <v>-187.22620000000001</v>
      </c>
      <c r="K6137">
        <v>1.10959599999999</v>
      </c>
      <c r="L6137">
        <v>21.089479999999998</v>
      </c>
      <c r="M6137">
        <v>9.4824190000000006E-3</v>
      </c>
      <c r="N6137">
        <v>-7.8940829999999997E-3</v>
      </c>
      <c r="O6137">
        <v>0.99992389999999998</v>
      </c>
      <c r="P6137">
        <v>-0.1036748</v>
      </c>
      <c r="Q6137">
        <v>0.36533379999999999</v>
      </c>
      <c r="R6137">
        <v>0.9250853</v>
      </c>
      <c r="S6137">
        <v>-0.10565190000000001</v>
      </c>
      <c r="T6137">
        <v>-0.31541730000000001</v>
      </c>
      <c r="U6137">
        <v>3.355804</v>
      </c>
      <c r="V6137">
        <v>-0.1124452</v>
      </c>
      <c r="W6137">
        <v>0.37261620000000001</v>
      </c>
      <c r="X6137">
        <v>0.92114779999999996</v>
      </c>
      <c r="Y6137">
        <v>-4.0812269999999998E-2</v>
      </c>
      <c r="Z6137">
        <v>-8.5647299999999996E-2</v>
      </c>
      <c r="AA6137">
        <v>0.99548930000000002</v>
      </c>
      <c r="AB6137">
        <v>44</v>
      </c>
      <c r="AC6137">
        <v>-3.2999999999986998E-2</v>
      </c>
      <c r="AD6137">
        <v>-8.5954999999999698E-2</v>
      </c>
      <c r="AE6137">
        <v>0.467920000000003</v>
      </c>
      <c r="AF6137">
        <v>-3.6219518270226299E-2</v>
      </c>
      <c r="AG6137">
        <v>-8.5954999999999698E-2</v>
      </c>
      <c r="AH6137">
        <v>0.452395850315645</v>
      </c>
      <c r="AI6137">
        <v>100.724424764513</v>
      </c>
      <c r="AJ6137">
        <v>94.577426036056593</v>
      </c>
      <c r="AK6137">
        <v>0.461911377768011</v>
      </c>
      <c r="AL6137">
        <v>68.122944422146205</v>
      </c>
      <c r="AM6137">
        <v>96.959705431285698</v>
      </c>
      <c r="AN6137">
        <v>1.00000001247516</v>
      </c>
    </row>
    <row r="6138" spans="1:40" x14ac:dyDescent="0.25">
      <c r="A6138" t="str">
        <f>"20190304164529530"</f>
        <v>20190304164529530</v>
      </c>
      <c r="B6138" t="str">
        <f>"1551689129526502"</f>
        <v>1551689129526502</v>
      </c>
      <c r="C6138" t="s">
        <v>40</v>
      </c>
      <c r="D6138">
        <v>4.4263709999999996</v>
      </c>
      <c r="E6138">
        <v>0.54968309999999998</v>
      </c>
      <c r="F6138" t="s">
        <v>42</v>
      </c>
      <c r="G6138">
        <v>-187.60679999999999</v>
      </c>
      <c r="H6138" s="1">
        <v>-1.830158E-6</v>
      </c>
      <c r="I6138">
        <v>32.909379999999999</v>
      </c>
      <c r="J6138">
        <v>-187.22219999999999</v>
      </c>
      <c r="K6138">
        <v>1.109604</v>
      </c>
      <c r="L6138">
        <v>21.52139</v>
      </c>
      <c r="M6138">
        <v>9.4254330000000004E-3</v>
      </c>
      <c r="N6138">
        <v>-7.9001980000000006E-3</v>
      </c>
      <c r="O6138">
        <v>0.99992440000000005</v>
      </c>
      <c r="P6138">
        <v>-0.10448109999999999</v>
      </c>
      <c r="Q6138">
        <v>0.36514370000000002</v>
      </c>
      <c r="R6138">
        <v>0.92506960000000005</v>
      </c>
      <c r="S6138">
        <v>-0.1080475</v>
      </c>
      <c r="T6138">
        <v>-0.3149729</v>
      </c>
      <c r="U6138">
        <v>3.3552249999999999</v>
      </c>
      <c r="V6138">
        <v>-0.1132108</v>
      </c>
      <c r="W6138">
        <v>0.37242769999999997</v>
      </c>
      <c r="X6138">
        <v>0.92113020000000001</v>
      </c>
      <c r="Y6138">
        <v>-4.1470859999999998E-2</v>
      </c>
      <c r="Z6138">
        <v>-8.5524260000000005E-2</v>
      </c>
      <c r="AA6138">
        <v>0.99547260000000004</v>
      </c>
      <c r="AB6138">
        <v>44</v>
      </c>
      <c r="AC6138">
        <v>-0.38460000000000599</v>
      </c>
      <c r="AD6138">
        <v>-1.1096058301580001</v>
      </c>
      <c r="AE6138">
        <v>11.38799</v>
      </c>
      <c r="AF6138">
        <v>-0.48730188796755303</v>
      </c>
      <c r="AG6138">
        <v>-1.1096058301580001</v>
      </c>
      <c r="AH6138">
        <v>11.2769193355279</v>
      </c>
      <c r="AI6138">
        <v>95.614390774928793</v>
      </c>
      <c r="AJ6138">
        <v>92.474344415070803</v>
      </c>
      <c r="AK6138">
        <v>11.341851609342299</v>
      </c>
      <c r="AL6138">
        <v>68.134581154080806</v>
      </c>
      <c r="AM6138">
        <v>97.006754727168598</v>
      </c>
      <c r="AN6138">
        <v>0.99999996115798395</v>
      </c>
    </row>
    <row r="6139" spans="1:40" x14ac:dyDescent="0.25">
      <c r="A6139" t="str">
        <f>"20190304164529552"</f>
        <v>20190304164529552</v>
      </c>
      <c r="B6139" t="str">
        <f>"1551689129546022"</f>
        <v>1551689129546022</v>
      </c>
      <c r="C6139" t="s">
        <v>40</v>
      </c>
      <c r="D6139">
        <v>4.4394280000000004</v>
      </c>
      <c r="E6139">
        <v>0.54963809999999902</v>
      </c>
      <c r="F6139" t="s">
        <v>42</v>
      </c>
      <c r="G6139">
        <v>-187.61879999999999</v>
      </c>
      <c r="H6139" s="1">
        <v>-2.023269E-6</v>
      </c>
      <c r="I6139">
        <v>33.364460000000001</v>
      </c>
      <c r="J6139">
        <v>-187.21799999999999</v>
      </c>
      <c r="K6139">
        <v>1.109604</v>
      </c>
      <c r="L6139">
        <v>21.962160000000001</v>
      </c>
      <c r="M6139">
        <v>9.3584519999999997E-3</v>
      </c>
      <c r="N6139">
        <v>-7.9067330000000009E-3</v>
      </c>
      <c r="O6139">
        <v>0.99992499999999995</v>
      </c>
      <c r="P6139">
        <v>-0.1051209</v>
      </c>
      <c r="Q6139">
        <v>0.36573129999999998</v>
      </c>
      <c r="R6139">
        <v>0.92476499999999995</v>
      </c>
      <c r="S6139">
        <v>-0.112335199999999</v>
      </c>
      <c r="T6139">
        <v>-0.31427939999999999</v>
      </c>
      <c r="U6139">
        <v>3.3543699999999999</v>
      </c>
      <c r="V6139">
        <v>-0.1137963</v>
      </c>
      <c r="W6139">
        <v>0.37301580000000001</v>
      </c>
      <c r="X6139">
        <v>0.92082010000000003</v>
      </c>
      <c r="Y6139">
        <v>-4.2683230000000003E-2</v>
      </c>
      <c r="Z6139">
        <v>-8.5333019999999996E-2</v>
      </c>
      <c r="AA6139">
        <v>0.99543780000000004</v>
      </c>
      <c r="AB6139">
        <v>44</v>
      </c>
      <c r="AC6139">
        <v>-0.40080000000000299</v>
      </c>
      <c r="AD6139">
        <v>-1.1096060232689999</v>
      </c>
      <c r="AE6139">
        <v>11.4023</v>
      </c>
      <c r="AF6139">
        <v>-0.50273856618499302</v>
      </c>
      <c r="AG6139">
        <v>-1.1096060232689999</v>
      </c>
      <c r="AH6139">
        <v>11.2912527889457</v>
      </c>
      <c r="AI6139">
        <v>95.606990000547</v>
      </c>
      <c r="AJ6139">
        <v>92.549388149327996</v>
      </c>
      <c r="AK6139">
        <v>11.356776000990701</v>
      </c>
      <c r="AL6139">
        <v>68.098270334514098</v>
      </c>
      <c r="AM6139">
        <v>97.044976945740999</v>
      </c>
      <c r="AN6139">
        <v>1.0000000207536699</v>
      </c>
    </row>
    <row r="6140" spans="1:40" x14ac:dyDescent="0.25">
      <c r="A6140" t="str">
        <f>"20190304164529573"</f>
        <v>20190304164529573</v>
      </c>
      <c r="B6140" t="str">
        <f>"1551689129566518"</f>
        <v>1551689129566518</v>
      </c>
      <c r="C6140" t="s">
        <v>40</v>
      </c>
      <c r="D6140">
        <v>4.4429970000000001</v>
      </c>
      <c r="E6140">
        <v>0.54959579999999997</v>
      </c>
      <c r="F6140" t="s">
        <v>42</v>
      </c>
      <c r="G6140">
        <v>-187.6258</v>
      </c>
      <c r="H6140" s="1">
        <v>-2.25931E-6</v>
      </c>
      <c r="I6140">
        <v>33.917589999999997</v>
      </c>
      <c r="J6140">
        <v>-187.2141</v>
      </c>
      <c r="K6140">
        <v>1.109613</v>
      </c>
      <c r="L6140">
        <v>22.391850000000002</v>
      </c>
      <c r="M6140">
        <v>9.2852999999999998E-3</v>
      </c>
      <c r="N6140">
        <v>-7.9132879999999992E-3</v>
      </c>
      <c r="O6140">
        <v>0.99992559999999997</v>
      </c>
      <c r="P6140">
        <v>-0.1062945</v>
      </c>
      <c r="Q6140">
        <v>0.36548350000000002</v>
      </c>
      <c r="R6140">
        <v>0.92472880000000002</v>
      </c>
      <c r="S6140">
        <v>-0.1144104</v>
      </c>
      <c r="T6140">
        <v>-0.31130839999999999</v>
      </c>
      <c r="U6140">
        <v>3.354187</v>
      </c>
      <c r="V6140">
        <v>-0.1149109</v>
      </c>
      <c r="W6140">
        <v>0.37277110000000002</v>
      </c>
      <c r="X6140">
        <v>0.92078079999999995</v>
      </c>
      <c r="Y6140">
        <v>-4.3229579999999997E-2</v>
      </c>
      <c r="Z6140">
        <v>-8.4455329999999995E-2</v>
      </c>
      <c r="AA6140">
        <v>0.99548910000000002</v>
      </c>
      <c r="AB6140">
        <v>44</v>
      </c>
      <c r="AC6140">
        <v>-0.41169999999999601</v>
      </c>
      <c r="AD6140">
        <v>-1.1096152593099999</v>
      </c>
      <c r="AE6140">
        <v>11.525740000000001</v>
      </c>
      <c r="AF6140">
        <v>-0.51394811973501897</v>
      </c>
      <c r="AG6140">
        <v>-1.1096152593099999</v>
      </c>
      <c r="AH6140">
        <v>11.415748734028901</v>
      </c>
      <c r="AI6140">
        <v>95.546149212862701</v>
      </c>
      <c r="AJ6140">
        <v>92.577771086134902</v>
      </c>
      <c r="AK6140">
        <v>11.4810586555403</v>
      </c>
      <c r="AL6140">
        <v>68.113380993696097</v>
      </c>
      <c r="AM6140">
        <v>97.113577346657607</v>
      </c>
      <c r="AN6140">
        <v>1.00000004479132</v>
      </c>
    </row>
    <row r="6141" spans="1:40" x14ac:dyDescent="0.25">
      <c r="A6141" t="str">
        <f>"20190304164529595"</f>
        <v>20190304164529595</v>
      </c>
      <c r="B6141" t="str">
        <f>"1551689129586038"</f>
        <v>1551689129586038</v>
      </c>
      <c r="C6141" t="s">
        <v>40</v>
      </c>
      <c r="D6141">
        <v>4.4330309999999997</v>
      </c>
      <c r="E6141">
        <v>0.5495719</v>
      </c>
      <c r="F6141" t="s">
        <v>42</v>
      </c>
      <c r="G6141">
        <v>-187.63900000000001</v>
      </c>
      <c r="H6141" s="1">
        <v>-2.4367980000000001E-6</v>
      </c>
      <c r="I6141">
        <v>34.336779999999997</v>
      </c>
      <c r="J6141">
        <v>-187.21010000000001</v>
      </c>
      <c r="K6141">
        <v>1.1096239999999999</v>
      </c>
      <c r="L6141">
        <v>22.82281</v>
      </c>
      <c r="M6141">
        <v>9.2018810000000003E-3</v>
      </c>
      <c r="N6141">
        <v>-7.9201340000000005E-3</v>
      </c>
      <c r="O6141">
        <v>0.99992630000000005</v>
      </c>
      <c r="P6141">
        <v>-0.1065213</v>
      </c>
      <c r="Q6141">
        <v>0.36505539999999997</v>
      </c>
      <c r="R6141">
        <v>0.92487169999999996</v>
      </c>
      <c r="S6141">
        <v>-0.1193085</v>
      </c>
      <c r="T6141">
        <v>-0.31153069999999999</v>
      </c>
      <c r="U6141">
        <v>3.3536069999999998</v>
      </c>
      <c r="V6141">
        <v>-0.1150716</v>
      </c>
      <c r="W6141">
        <v>0.3723477</v>
      </c>
      <c r="X6141">
        <v>0.92093199999999997</v>
      </c>
      <c r="Y6141">
        <v>-4.4603450000000003E-2</v>
      </c>
      <c r="Z6141">
        <v>-8.4524710000000003E-2</v>
      </c>
      <c r="AA6141">
        <v>0.99542260000000005</v>
      </c>
      <c r="AB6141">
        <v>44</v>
      </c>
      <c r="AC6141">
        <v>-0.42889999999999801</v>
      </c>
      <c r="AD6141">
        <v>-1.109626436798</v>
      </c>
      <c r="AE6141">
        <v>11.513969999999899</v>
      </c>
      <c r="AF6141">
        <v>-0.52992047608269199</v>
      </c>
      <c r="AG6141">
        <v>-1.109626436798</v>
      </c>
      <c r="AH6141">
        <v>11.403768820341201</v>
      </c>
      <c r="AI6141">
        <v>95.551630096804402</v>
      </c>
      <c r="AJ6141">
        <v>92.660557331331603</v>
      </c>
      <c r="AK6141">
        <v>11.469874883711601</v>
      </c>
      <c r="AL6141">
        <v>68.139521288735693</v>
      </c>
      <c r="AM6141">
        <v>97.122265855340601</v>
      </c>
      <c r="AN6141">
        <v>1.0000000157229201</v>
      </c>
    </row>
    <row r="6142" spans="1:40" x14ac:dyDescent="0.25">
      <c r="A6142" t="str">
        <f>"20190304164529618"</f>
        <v>20190304164529618</v>
      </c>
      <c r="B6142" t="str">
        <f>"1551689129606534"</f>
        <v>1551689129606534</v>
      </c>
      <c r="C6142" t="s">
        <v>40</v>
      </c>
      <c r="D6142">
        <v>4.4487680000000003</v>
      </c>
      <c r="E6142">
        <v>0.54955580000000004</v>
      </c>
      <c r="F6142" t="s">
        <v>41</v>
      </c>
      <c r="G6142">
        <v>-187.2491</v>
      </c>
      <c r="H6142">
        <v>1.0090030000000001</v>
      </c>
      <c r="I6142">
        <v>23.902830000000002</v>
      </c>
      <c r="J6142">
        <v>-187.2062</v>
      </c>
      <c r="K6142">
        <v>1.1096360000000001</v>
      </c>
      <c r="L6142">
        <v>23.2547</v>
      </c>
      <c r="M6142">
        <v>9.1069700000000007E-3</v>
      </c>
      <c r="N6142">
        <v>-7.9272270000000002E-3</v>
      </c>
      <c r="O6142">
        <v>0.99992709999999996</v>
      </c>
      <c r="P6142">
        <v>-0.1060371</v>
      </c>
      <c r="Q6142">
        <v>0.3649695</v>
      </c>
      <c r="R6142">
        <v>0.92496129999999999</v>
      </c>
      <c r="S6142">
        <v>-0.12123109999999999</v>
      </c>
      <c r="T6142">
        <v>-0.31239529999999999</v>
      </c>
      <c r="U6142">
        <v>3.3530269999999902</v>
      </c>
      <c r="V6142">
        <v>-0.1145113</v>
      </c>
      <c r="W6142">
        <v>0.37226579999999998</v>
      </c>
      <c r="X6142">
        <v>0.92103489999999999</v>
      </c>
      <c r="Y6142">
        <v>-4.5083709999999999E-2</v>
      </c>
      <c r="Z6142">
        <v>-8.4786159999999999E-2</v>
      </c>
      <c r="AA6142">
        <v>0.99537869999999995</v>
      </c>
      <c r="AB6142">
        <v>44</v>
      </c>
      <c r="AC6142">
        <v>-4.2900000000002998E-2</v>
      </c>
      <c r="AD6142">
        <v>-0.100632999999999</v>
      </c>
      <c r="AE6142">
        <v>0.64812999999999799</v>
      </c>
      <c r="AF6142">
        <v>-4.7657015247818298E-2</v>
      </c>
      <c r="AG6142">
        <v>-0.100632999999999</v>
      </c>
      <c r="AH6142">
        <v>0.63253006250534405</v>
      </c>
      <c r="AI6142">
        <v>99.014638142755899</v>
      </c>
      <c r="AJ6142">
        <v>94.308722622561405</v>
      </c>
      <c r="AK6142">
        <v>0.642255768183008</v>
      </c>
      <c r="AL6142">
        <v>68.144576362411499</v>
      </c>
      <c r="AM6142">
        <v>97.087156283118802</v>
      </c>
      <c r="AN6142">
        <v>0.99999997534766905</v>
      </c>
    </row>
    <row r="6143" spans="1:40" x14ac:dyDescent="0.25">
      <c r="A6143" t="str">
        <f>"20190304164529639"</f>
        <v>20190304164529639</v>
      </c>
      <c r="B6143" t="str">
        <f>"1551689129635814"</f>
        <v>1551689129635814</v>
      </c>
      <c r="C6143" t="s">
        <v>40</v>
      </c>
      <c r="D6143">
        <v>4.4637229999999999</v>
      </c>
      <c r="E6143">
        <v>0.54952650000000003</v>
      </c>
      <c r="F6143" t="s">
        <v>41</v>
      </c>
      <c r="G6143">
        <v>-187.2439</v>
      </c>
      <c r="H6143">
        <v>1.012238</v>
      </c>
      <c r="I6143">
        <v>24.299399999999999</v>
      </c>
      <c r="J6143">
        <v>-187.20240000000001</v>
      </c>
      <c r="K6143">
        <v>1.1096469999999901</v>
      </c>
      <c r="L6143">
        <v>23.67755</v>
      </c>
      <c r="M6143">
        <v>9.003502E-3</v>
      </c>
      <c r="N6143">
        <v>-7.9344719999999997E-3</v>
      </c>
      <c r="O6143">
        <v>0.99992800000000004</v>
      </c>
      <c r="P6143">
        <v>-0.10506219999999999</v>
      </c>
      <c r="Q6143">
        <v>0.36506270000000002</v>
      </c>
      <c r="R6143">
        <v>0.92503579999999996</v>
      </c>
      <c r="S6143">
        <v>-0.1214447</v>
      </c>
      <c r="T6143">
        <v>-0.31259239999999999</v>
      </c>
      <c r="U6143">
        <v>3.352814</v>
      </c>
      <c r="V6143">
        <v>-0.11345379999999999</v>
      </c>
      <c r="W6143">
        <v>0.37236269999999999</v>
      </c>
      <c r="X6143">
        <v>0.92112660000000002</v>
      </c>
      <c r="Y6143">
        <v>-4.5045780000000001E-2</v>
      </c>
      <c r="Z6143">
        <v>-8.4842909999999994E-2</v>
      </c>
      <c r="AA6143">
        <v>0.99537560000000003</v>
      </c>
      <c r="AB6143">
        <v>44</v>
      </c>
      <c r="AC6143">
        <v>-4.1499999999984903E-2</v>
      </c>
      <c r="AD6143">
        <v>-9.7408999999999801E-2</v>
      </c>
      <c r="AE6143">
        <v>0.62184999999999802</v>
      </c>
      <c r="AF6143">
        <v>-4.5974239596925801E-2</v>
      </c>
      <c r="AG6143">
        <v>-9.7408999999999801E-2</v>
      </c>
      <c r="AH6143">
        <v>0.60663202079238898</v>
      </c>
      <c r="AI6143">
        <v>99.096662470592094</v>
      </c>
      <c r="AJ6143">
        <v>94.333935648386102</v>
      </c>
      <c r="AK6143">
        <v>0.61612056664111903</v>
      </c>
      <c r="AL6143">
        <v>68.138594421151595</v>
      </c>
      <c r="AM6143">
        <v>97.021671489215706</v>
      </c>
      <c r="AN6143">
        <v>0.99999997915664396</v>
      </c>
    </row>
    <row r="6144" spans="1:40" x14ac:dyDescent="0.25">
      <c r="A6144" t="str">
        <f>"20190304164529664"</f>
        <v>20190304164529664</v>
      </c>
      <c r="B6144" t="str">
        <f>"1551689129656310"</f>
        <v>1551689129656310</v>
      </c>
      <c r="C6144" t="s">
        <v>40</v>
      </c>
      <c r="D6144">
        <v>4.463546</v>
      </c>
      <c r="E6144">
        <v>0.549508199999999</v>
      </c>
      <c r="F6144" t="s">
        <v>41</v>
      </c>
      <c r="G6144">
        <v>-187.23830000000001</v>
      </c>
      <c r="H6144">
        <v>1.014993</v>
      </c>
      <c r="I6144">
        <v>24.696120000000001</v>
      </c>
      <c r="J6144">
        <v>-187.19820000000001</v>
      </c>
      <c r="K6144">
        <v>1.109661</v>
      </c>
      <c r="L6144">
        <v>24.16028</v>
      </c>
      <c r="M6144">
        <v>8.8639989999999991E-3</v>
      </c>
      <c r="N6144">
        <v>-7.9429219999999998E-3</v>
      </c>
      <c r="O6144">
        <v>0.99992919999999996</v>
      </c>
      <c r="P6144">
        <v>-0.104004</v>
      </c>
      <c r="Q6144">
        <v>0.36457270000000003</v>
      </c>
      <c r="R6144">
        <v>0.92534859999999997</v>
      </c>
      <c r="S6144">
        <v>-0.11836240000000001</v>
      </c>
      <c r="T6144">
        <v>-0.31155860000000002</v>
      </c>
      <c r="U6144">
        <v>3.3526310000000001</v>
      </c>
      <c r="V6144">
        <v>-0.1122869</v>
      </c>
      <c r="W6144">
        <v>0.37187799999999999</v>
      </c>
      <c r="X6144">
        <v>0.92146530000000004</v>
      </c>
      <c r="Y6144">
        <v>-4.3995779999999998E-2</v>
      </c>
      <c r="Z6144">
        <v>-8.4539080000000003E-2</v>
      </c>
      <c r="AA6144">
        <v>0.99544840000000001</v>
      </c>
      <c r="AB6144">
        <v>44</v>
      </c>
      <c r="AC6144">
        <v>-4.0099999999995299E-2</v>
      </c>
      <c r="AD6144">
        <v>-9.4667999999999905E-2</v>
      </c>
      <c r="AE6144">
        <v>0.53583999999999998</v>
      </c>
      <c r="AF6144">
        <v>-4.34981122393438E-2</v>
      </c>
      <c r="AG6144">
        <v>-9.4667999999999905E-2</v>
      </c>
      <c r="AH6144">
        <v>0.51934347698366001</v>
      </c>
      <c r="AI6144">
        <v>100.295405592533</v>
      </c>
      <c r="AJ6144">
        <v>94.787688657157801</v>
      </c>
      <c r="AK6144">
        <v>0.52969025201325304</v>
      </c>
      <c r="AL6144">
        <v>68.168513666352396</v>
      </c>
      <c r="AM6144">
        <v>96.9476321893912</v>
      </c>
      <c r="AN6144">
        <v>0.99999994694984795</v>
      </c>
    </row>
    <row r="6145" spans="1:40" x14ac:dyDescent="0.25">
      <c r="A6145" t="str">
        <f>"20190304164529687"</f>
        <v>20190304164529687</v>
      </c>
      <c r="B6145" t="str">
        <f>"1551689129675830"</f>
        <v>1551689129675830</v>
      </c>
      <c r="C6145" t="s">
        <v>40</v>
      </c>
      <c r="D6145">
        <v>4.4810990000000004</v>
      </c>
      <c r="E6145">
        <v>0.54947919999999995</v>
      </c>
      <c r="F6145" t="s">
        <v>41</v>
      </c>
      <c r="G6145">
        <v>-187.22970000000001</v>
      </c>
      <c r="H6145">
        <v>1.02237</v>
      </c>
      <c r="I6145">
        <v>25.096119999999999</v>
      </c>
      <c r="J6145">
        <v>-187.1942</v>
      </c>
      <c r="K6145">
        <v>1.1096870000000001</v>
      </c>
      <c r="L6145">
        <v>24.62604</v>
      </c>
      <c r="M6145">
        <v>8.6983010000000003E-3</v>
      </c>
      <c r="N6145">
        <v>-7.9512929999999999E-3</v>
      </c>
      <c r="O6145">
        <v>0.9999306</v>
      </c>
      <c r="P6145">
        <v>-0.102509</v>
      </c>
      <c r="Q6145">
        <v>0.3639734</v>
      </c>
      <c r="R6145">
        <v>0.9257512</v>
      </c>
      <c r="S6145">
        <v>-0.113205</v>
      </c>
      <c r="T6145">
        <v>-0.3127105</v>
      </c>
      <c r="U6145">
        <v>3.3525089999999902</v>
      </c>
      <c r="V6145">
        <v>-0.1106656</v>
      </c>
      <c r="W6145">
        <v>0.37128359999999999</v>
      </c>
      <c r="X6145">
        <v>0.92190110000000003</v>
      </c>
      <c r="Y6145">
        <v>-4.230151E-2</v>
      </c>
      <c r="Z6145">
        <v>-8.4879319999999994E-2</v>
      </c>
      <c r="AA6145">
        <v>0.99549290000000001</v>
      </c>
      <c r="AB6145">
        <v>44</v>
      </c>
      <c r="AC6145">
        <v>-3.5500000000013097E-2</v>
      </c>
      <c r="AD6145">
        <v>-8.7317000000000006E-2</v>
      </c>
      <c r="AE6145">
        <v>0.470080000000002</v>
      </c>
      <c r="AF6145">
        <v>-3.8274592298878002E-2</v>
      </c>
      <c r="AG6145">
        <v>-8.7317000000000006E-2</v>
      </c>
      <c r="AH6145">
        <v>0.45417207979810797</v>
      </c>
      <c r="AI6145">
        <v>100.845107077558</v>
      </c>
      <c r="AJ6145">
        <v>94.817123765347503</v>
      </c>
      <c r="AK6145">
        <v>0.46407055602869801</v>
      </c>
      <c r="AL6145">
        <v>68.205198267920906</v>
      </c>
      <c r="AM6145">
        <v>96.845068966464794</v>
      </c>
      <c r="AN6145">
        <v>1.0000000124167601</v>
      </c>
    </row>
    <row r="6146" spans="1:40" x14ac:dyDescent="0.25">
      <c r="A6146" t="str">
        <f>"20190304164529708"</f>
        <v>20190304164529708</v>
      </c>
      <c r="B6146" t="str">
        <f>"1551689129696326"</f>
        <v>1551689129696326</v>
      </c>
      <c r="C6146" t="s">
        <v>40</v>
      </c>
      <c r="D6146">
        <v>4.5052500000000002</v>
      </c>
      <c r="E6146">
        <v>0.54952429999999997</v>
      </c>
      <c r="F6146" t="s">
        <v>42</v>
      </c>
      <c r="G6146">
        <v>-187.56970000000001</v>
      </c>
      <c r="H6146" s="1">
        <v>-3.362799E-6</v>
      </c>
      <c r="I6146">
        <v>36.466670000000001</v>
      </c>
      <c r="J6146">
        <v>-187.19069999999999</v>
      </c>
      <c r="K6146">
        <v>1.10971</v>
      </c>
      <c r="L6146">
        <v>25.0336</v>
      </c>
      <c r="M6146">
        <v>8.5203169999999995E-3</v>
      </c>
      <c r="N6146">
        <v>-7.9587819999999993E-3</v>
      </c>
      <c r="O6146">
        <v>0.99993209999999999</v>
      </c>
      <c r="P6146">
        <v>-0.1015747</v>
      </c>
      <c r="Q6146">
        <v>0.36321940000000003</v>
      </c>
      <c r="R6146">
        <v>0.92615020000000003</v>
      </c>
      <c r="S6146">
        <v>-0.1063385</v>
      </c>
      <c r="T6146">
        <v>-0.31417889999999998</v>
      </c>
      <c r="U6146">
        <v>3.3523559999999999</v>
      </c>
      <c r="V6146">
        <v>-0.1095962</v>
      </c>
      <c r="W6146">
        <v>0.37053249999999999</v>
      </c>
      <c r="X6146">
        <v>0.92233089999999995</v>
      </c>
      <c r="Y6146">
        <v>-4.0087890000000001E-2</v>
      </c>
      <c r="Z6146">
        <v>-8.5316020000000006E-2</v>
      </c>
      <c r="AA6146">
        <v>0.99554719999999997</v>
      </c>
      <c r="AB6146">
        <v>44</v>
      </c>
      <c r="AC6146">
        <v>-0.37900000000001899</v>
      </c>
      <c r="AD6146">
        <v>-1.1097133627989999</v>
      </c>
      <c r="AE6146">
        <v>11.433069999999899</v>
      </c>
      <c r="AF6146">
        <v>-0.47196124603808798</v>
      </c>
      <c r="AG6146">
        <v>-1.1097133627989999</v>
      </c>
      <c r="AH6146">
        <v>11.322870268606801</v>
      </c>
      <c r="AI6146">
        <v>95.592649678794601</v>
      </c>
      <c r="AJ6146">
        <v>92.386827950330698</v>
      </c>
      <c r="AK6146">
        <v>11.386904859751599</v>
      </c>
      <c r="AL6146">
        <v>68.251537745320803</v>
      </c>
      <c r="AM6146">
        <v>96.7764114962674</v>
      </c>
      <c r="AN6146">
        <v>0.99999997485274905</v>
      </c>
    </row>
    <row r="6147" spans="1:40" x14ac:dyDescent="0.25">
      <c r="A6147" t="str">
        <f>"20190304164529728"</f>
        <v>20190304164529728</v>
      </c>
      <c r="B6147" t="str">
        <f>"1551689129715846"</f>
        <v>1551689129715846</v>
      </c>
      <c r="C6147" t="s">
        <v>40</v>
      </c>
      <c r="D6147">
        <v>4.6534279999999999</v>
      </c>
      <c r="E6147">
        <v>0.56594129999999998</v>
      </c>
      <c r="F6147" t="s">
        <v>41</v>
      </c>
      <c r="G6147">
        <v>-187.2165</v>
      </c>
      <c r="H6147">
        <v>1.027987</v>
      </c>
      <c r="I6147">
        <v>25.900659999999998</v>
      </c>
      <c r="J6147">
        <v>-187.18729999999999</v>
      </c>
      <c r="K6147">
        <v>1.109731</v>
      </c>
      <c r="L6147">
        <v>25.45065</v>
      </c>
      <c r="M6147">
        <v>8.30322E-3</v>
      </c>
      <c r="N6147">
        <v>-7.9665719999999999E-3</v>
      </c>
      <c r="O6147">
        <v>0.99993379999999998</v>
      </c>
      <c r="P6147">
        <v>-0.1011528</v>
      </c>
      <c r="Q6147">
        <v>0.36279460000000002</v>
      </c>
      <c r="R6147">
        <v>0.92636289999999999</v>
      </c>
      <c r="S6147">
        <v>-0.1003723</v>
      </c>
      <c r="T6147">
        <v>-0.31597199999999998</v>
      </c>
      <c r="U6147">
        <v>3.352112</v>
      </c>
      <c r="V6147">
        <v>-0.1090047</v>
      </c>
      <c r="W6147">
        <v>0.3701082</v>
      </c>
      <c r="X6147">
        <v>0.92257140000000004</v>
      </c>
      <c r="Y6147">
        <v>-3.8102289999999997E-2</v>
      </c>
      <c r="Z6147">
        <v>-8.5849430000000004E-2</v>
      </c>
      <c r="AA6147">
        <v>0.99557929999999994</v>
      </c>
      <c r="AB6147">
        <v>44</v>
      </c>
      <c r="AC6147">
        <v>-2.9200000000002901E-2</v>
      </c>
      <c r="AD6147">
        <v>-8.1743999999999997E-2</v>
      </c>
      <c r="AE6147">
        <v>0.45001000000000202</v>
      </c>
      <c r="AF6147">
        <v>-3.18878684623016E-2</v>
      </c>
      <c r="AG6147">
        <v>-8.1743999999999997E-2</v>
      </c>
      <c r="AH6147">
        <v>0.43544414757801803</v>
      </c>
      <c r="AI6147">
        <v>100.60439027555501</v>
      </c>
      <c r="AJ6147">
        <v>94.188332266672006</v>
      </c>
      <c r="AK6147">
        <v>0.44419649182655202</v>
      </c>
      <c r="AL6147">
        <v>68.277710644356603</v>
      </c>
      <c r="AM6147">
        <v>96.738435110474697</v>
      </c>
      <c r="AN6147">
        <v>1.00000004621364</v>
      </c>
    </row>
    <row r="6148" spans="1:40" x14ac:dyDescent="0.25">
      <c r="A6148" t="str">
        <f>"20190304164529751"</f>
        <v>20190304164529751</v>
      </c>
      <c r="B6148" t="str">
        <f>"1551689129746102"</f>
        <v>1551689129746102</v>
      </c>
      <c r="C6148" t="s">
        <v>40</v>
      </c>
      <c r="D6148">
        <v>4.6257769999999896</v>
      </c>
      <c r="E6148">
        <v>0.56889489999999998</v>
      </c>
      <c r="F6148" t="s">
        <v>41</v>
      </c>
      <c r="G6148">
        <v>-187.18039999999999</v>
      </c>
      <c r="H6148">
        <v>1.021506</v>
      </c>
      <c r="I6148">
        <v>26.282419999999998</v>
      </c>
      <c r="J6148">
        <v>-187.18369999999999</v>
      </c>
      <c r="K6148">
        <v>1.109761</v>
      </c>
      <c r="L6148">
        <v>25.912320000000001</v>
      </c>
      <c r="M6148">
        <v>8.0239939999999996E-3</v>
      </c>
      <c r="N6148">
        <v>-7.975322E-3</v>
      </c>
      <c r="O6148">
        <v>0.99993600000000005</v>
      </c>
      <c r="P6148">
        <v>-0.1012743</v>
      </c>
      <c r="Q6148">
        <v>0.36262860000000002</v>
      </c>
      <c r="R6148">
        <v>0.92641459999999998</v>
      </c>
      <c r="S6148">
        <v>2.7786249999999998E-2</v>
      </c>
      <c r="T6148">
        <v>-0.35873529999999998</v>
      </c>
      <c r="U6148">
        <v>3.3819889999999999</v>
      </c>
      <c r="V6148">
        <v>-0.1089039</v>
      </c>
      <c r="W6148">
        <v>0.36994070000000001</v>
      </c>
      <c r="X6148">
        <v>0.92265050000000004</v>
      </c>
      <c r="Y6148">
        <v>1.5216709999999999E-4</v>
      </c>
      <c r="Z6148">
        <v>-9.7539799999999996E-2</v>
      </c>
      <c r="AA6148">
        <v>0.99523159999999999</v>
      </c>
      <c r="AB6148">
        <v>44</v>
      </c>
      <c r="AC6148">
        <v>3.2999999999958601E-3</v>
      </c>
      <c r="AD6148">
        <v>-8.8254999999999903E-2</v>
      </c>
      <c r="AE6148">
        <v>0.37009999999999998</v>
      </c>
      <c r="AF6148">
        <v>3.1235845599928899E-4</v>
      </c>
      <c r="AG6148">
        <v>-8.8254999999999903E-2</v>
      </c>
      <c r="AH6148">
        <v>0.350202114398521</v>
      </c>
      <c r="AI6148">
        <v>104.14466377517201</v>
      </c>
      <c r="AJ6148">
        <v>89.948895749790694</v>
      </c>
      <c r="AK6148">
        <v>0.36115171814903502</v>
      </c>
      <c r="AL6148">
        <v>68.288041292370593</v>
      </c>
      <c r="AM6148">
        <v>96.731689225306994</v>
      </c>
      <c r="AN6148">
        <v>1.00000006305097</v>
      </c>
    </row>
    <row r="6149" spans="1:40" x14ac:dyDescent="0.25">
      <c r="A6149" t="str">
        <f>"20190304164529775"</f>
        <v>20190304164529775</v>
      </c>
      <c r="B6149" t="str">
        <f>"1551689129766598"</f>
        <v>1551689129766598</v>
      </c>
      <c r="C6149" t="s">
        <v>40</v>
      </c>
      <c r="D6149">
        <v>4.6355380000000004</v>
      </c>
      <c r="E6149">
        <v>0.56909030000000005</v>
      </c>
      <c r="F6149" t="s">
        <v>41</v>
      </c>
      <c r="G6149">
        <v>-187.1721</v>
      </c>
      <c r="H6149">
        <v>1.023655</v>
      </c>
      <c r="I6149">
        <v>26.681789999999999</v>
      </c>
      <c r="J6149">
        <v>-187.18020000000001</v>
      </c>
      <c r="K6149">
        <v>1.109796</v>
      </c>
      <c r="L6149">
        <v>26.36984</v>
      </c>
      <c r="M6149">
        <v>7.71114E-3</v>
      </c>
      <c r="N6149">
        <v>-7.9840120000000004E-3</v>
      </c>
      <c r="O6149">
        <v>0.99993840000000001</v>
      </c>
      <c r="P6149">
        <v>-0.1021629</v>
      </c>
      <c r="Q6149">
        <v>0.3624907</v>
      </c>
      <c r="R6149">
        <v>0.92637100000000006</v>
      </c>
      <c r="S6149">
        <v>5.0064089999999999E-2</v>
      </c>
      <c r="T6149">
        <v>-0.3796368</v>
      </c>
      <c r="U6149">
        <v>3.3923649999999999</v>
      </c>
      <c r="V6149">
        <v>-0.1095356</v>
      </c>
      <c r="W6149">
        <v>0.36979980000000001</v>
      </c>
      <c r="X6149">
        <v>0.92263209999999996</v>
      </c>
      <c r="Y6149">
        <v>6.9630300000000003E-3</v>
      </c>
      <c r="Z6149">
        <v>-0.1032651</v>
      </c>
      <c r="AA6149">
        <v>0.99462950000000006</v>
      </c>
      <c r="AB6149">
        <v>45</v>
      </c>
      <c r="AC6149">
        <v>8.1000000000130898E-3</v>
      </c>
      <c r="AD6149">
        <v>-8.6140999999999995E-2</v>
      </c>
      <c r="AE6149">
        <v>0.31194999999999901</v>
      </c>
      <c r="AF6149">
        <v>5.2910150307386699E-3</v>
      </c>
      <c r="AG6149">
        <v>-8.6140999999999995E-2</v>
      </c>
      <c r="AH6149">
        <v>0.28991179823062702</v>
      </c>
      <c r="AI6149">
        <v>106.545569922019</v>
      </c>
      <c r="AJ6149">
        <v>88.954443450353295</v>
      </c>
      <c r="AK6149">
        <v>0.30248490453966698</v>
      </c>
      <c r="AL6149">
        <v>68.296728257549404</v>
      </c>
      <c r="AM6149">
        <v>96.770508901015006</v>
      </c>
      <c r="AN6149">
        <v>0.99999996584890405</v>
      </c>
    </row>
    <row r="6150" spans="1:40" x14ac:dyDescent="0.25">
      <c r="A6150" t="str">
        <f>"20190304164529796"</f>
        <v>20190304164529796</v>
      </c>
      <c r="B6150" t="str">
        <f>"1551689129786118"</f>
        <v>1551689129786118</v>
      </c>
      <c r="C6150" t="s">
        <v>40</v>
      </c>
      <c r="D6150">
        <v>4.6318109999999999</v>
      </c>
      <c r="E6150">
        <v>0.56921569999999899</v>
      </c>
      <c r="F6150" t="s">
        <v>41</v>
      </c>
      <c r="G6150">
        <v>-187.16409999999999</v>
      </c>
      <c r="H6150">
        <v>0.98642300000000005</v>
      </c>
      <c r="I6150">
        <v>27.462820000000001</v>
      </c>
      <c r="J6150">
        <v>-187.1771</v>
      </c>
      <c r="K6150">
        <v>1.109836</v>
      </c>
      <c r="L6150">
        <v>26.809449999999998</v>
      </c>
      <c r="M6150">
        <v>7.38267099999999E-3</v>
      </c>
      <c r="N6150">
        <v>-7.992397E-3</v>
      </c>
      <c r="O6150">
        <v>0.99994079999999996</v>
      </c>
      <c r="P6150">
        <v>-0.1038684</v>
      </c>
      <c r="Q6150">
        <v>0.36204120000000001</v>
      </c>
      <c r="R6150">
        <v>0.92635710000000004</v>
      </c>
      <c r="S6150">
        <v>4.9636840000000002E-2</v>
      </c>
      <c r="T6150">
        <v>-0.38309870000000001</v>
      </c>
      <c r="U6150">
        <v>3.3938290000000002</v>
      </c>
      <c r="V6150">
        <v>-0.1109634</v>
      </c>
      <c r="W6150">
        <v>0.3693496</v>
      </c>
      <c r="X6150">
        <v>0.92264179999999996</v>
      </c>
      <c r="Y6150">
        <v>7.1584209999999999E-3</v>
      </c>
      <c r="Z6150">
        <v>-0.1042116</v>
      </c>
      <c r="AA6150">
        <v>0.99452940000000001</v>
      </c>
      <c r="AB6150">
        <v>45</v>
      </c>
      <c r="AC6150">
        <v>1.30000000000052E-2</v>
      </c>
      <c r="AD6150">
        <v>-0.12341299999999999</v>
      </c>
      <c r="AE6150">
        <v>0.653370000000002</v>
      </c>
      <c r="AF6150">
        <v>7.8943314382844392E-3</v>
      </c>
      <c r="AG6150">
        <v>-0.12341299999999999</v>
      </c>
      <c r="AH6150">
        <v>0.63094603414050998</v>
      </c>
      <c r="AI6150">
        <v>101.066474748114</v>
      </c>
      <c r="AJ6150">
        <v>89.283158545323502</v>
      </c>
      <c r="AK6150">
        <v>0.64295099893809604</v>
      </c>
      <c r="AL6150">
        <v>68.324487767784603</v>
      </c>
      <c r="AM6150">
        <v>96.857856110724597</v>
      </c>
      <c r="AN6150">
        <v>0.99999994713347795</v>
      </c>
    </row>
    <row r="6151" spans="1:40" x14ac:dyDescent="0.25">
      <c r="A6151" t="str">
        <f>"20190304164529819"</f>
        <v>20190304164529819</v>
      </c>
      <c r="B6151" t="str">
        <f>"1551689129816374"</f>
        <v>1551689129816374</v>
      </c>
      <c r="C6151" t="s">
        <v>40</v>
      </c>
      <c r="D6151">
        <v>4.6212439999999999</v>
      </c>
      <c r="E6151">
        <v>0.56955230000000001</v>
      </c>
      <c r="F6151" t="s">
        <v>41</v>
      </c>
      <c r="G6151">
        <v>-187.16200000000001</v>
      </c>
      <c r="H6151">
        <v>0.99190409999999996</v>
      </c>
      <c r="I6151">
        <v>27.865929999999999</v>
      </c>
      <c r="J6151">
        <v>-187.17400000000001</v>
      </c>
      <c r="K6151">
        <v>1.1098520000000001</v>
      </c>
      <c r="L6151">
        <v>27.258970000000001</v>
      </c>
      <c r="M6151">
        <v>7.0281249999999997E-3</v>
      </c>
      <c r="N6151">
        <v>-8.0009260000000002E-3</v>
      </c>
      <c r="O6151">
        <v>0.99994329999999998</v>
      </c>
      <c r="P6151">
        <v>-0.1054466</v>
      </c>
      <c r="Q6151">
        <v>0.36239280000000001</v>
      </c>
      <c r="R6151">
        <v>0.92604129999999996</v>
      </c>
      <c r="S6151">
        <v>4.8172E-2</v>
      </c>
      <c r="T6151">
        <v>-0.37862899999999999</v>
      </c>
      <c r="U6151">
        <v>3.3918759999999999</v>
      </c>
      <c r="V6151">
        <v>-0.11223470000000001</v>
      </c>
      <c r="W6151">
        <v>0.36969879999999999</v>
      </c>
      <c r="X6151">
        <v>0.92234819999999995</v>
      </c>
      <c r="Y6151">
        <v>7.0938329999999999E-3</v>
      </c>
      <c r="Z6151">
        <v>-0.10297340000000001</v>
      </c>
      <c r="AA6151">
        <v>0.99465879999999995</v>
      </c>
      <c r="AB6151">
        <v>45</v>
      </c>
      <c r="AC6151">
        <v>1.2000000000000399E-2</v>
      </c>
      <c r="AD6151">
        <v>-0.11794789999999999</v>
      </c>
      <c r="AE6151">
        <v>0.60695999999999695</v>
      </c>
      <c r="AF6151">
        <v>7.45246296483502E-3</v>
      </c>
      <c r="AG6151">
        <v>-0.11794789999999999</v>
      </c>
      <c r="AH6151">
        <v>0.58494887097509596</v>
      </c>
      <c r="AI6151">
        <v>101.39924202595</v>
      </c>
      <c r="AJ6151">
        <v>89.270070265153294</v>
      </c>
      <c r="AK6151">
        <v>0.59676832018270898</v>
      </c>
      <c r="AL6151">
        <v>68.302957669371096</v>
      </c>
      <c r="AM6151">
        <v>96.937851308776999</v>
      </c>
      <c r="AN6151">
        <v>1.0000000163243801</v>
      </c>
    </row>
    <row r="6152" spans="1:40" x14ac:dyDescent="0.25">
      <c r="A6152" t="str">
        <f>"20190304164529841"</f>
        <v>20190304164529841</v>
      </c>
      <c r="B6152" t="str">
        <f>"1551689129835894"</f>
        <v>1551689129835894</v>
      </c>
      <c r="C6152" t="s">
        <v>40</v>
      </c>
      <c r="D6152">
        <v>4.6210199999999997</v>
      </c>
      <c r="E6152">
        <v>0.56966879999999998</v>
      </c>
      <c r="F6152" t="s">
        <v>41</v>
      </c>
      <c r="G6152">
        <v>-187.16</v>
      </c>
      <c r="H6152">
        <v>0.99719369999999996</v>
      </c>
      <c r="I6152">
        <v>28.26962</v>
      </c>
      <c r="J6152">
        <v>-187.1711</v>
      </c>
      <c r="K6152">
        <v>1.109872</v>
      </c>
      <c r="L6152">
        <v>27.71097</v>
      </c>
      <c r="M6152">
        <v>6.6587039999999997E-3</v>
      </c>
      <c r="N6152">
        <v>-8.0095410000000002E-3</v>
      </c>
      <c r="O6152">
        <v>0.9999458</v>
      </c>
      <c r="P6152">
        <v>-0.1063067</v>
      </c>
      <c r="Q6152">
        <v>0.36271730000000002</v>
      </c>
      <c r="R6152">
        <v>0.92581590000000002</v>
      </c>
      <c r="S6152">
        <v>4.6371460000000003E-2</v>
      </c>
      <c r="T6152">
        <v>-0.37823020000000002</v>
      </c>
      <c r="U6152">
        <v>3.3928829999999999</v>
      </c>
      <c r="V6152">
        <v>-0.11277089999999899</v>
      </c>
      <c r="W6152">
        <v>0.37002350000000001</v>
      </c>
      <c r="X6152">
        <v>0.92215250000000004</v>
      </c>
      <c r="Y6152">
        <v>6.9316269999999897E-3</v>
      </c>
      <c r="Z6152">
        <v>-0.102817699999999</v>
      </c>
      <c r="AA6152">
        <v>0.99467609999999995</v>
      </c>
      <c r="AB6152">
        <v>45</v>
      </c>
      <c r="AC6152">
        <v>1.1099999999999E-2</v>
      </c>
      <c r="AD6152">
        <v>-0.1126783</v>
      </c>
      <c r="AE6152">
        <v>0.55864999999999998</v>
      </c>
      <c r="AF6152">
        <v>7.0913732477800402E-3</v>
      </c>
      <c r="AG6152">
        <v>-0.1126783</v>
      </c>
      <c r="AH6152">
        <v>0.53687890672939398</v>
      </c>
      <c r="AI6152">
        <v>101.85200069538</v>
      </c>
      <c r="AJ6152">
        <v>89.243251826928102</v>
      </c>
      <c r="AK6152">
        <v>0.54862158848916898</v>
      </c>
      <c r="AL6152">
        <v>68.282932259444905</v>
      </c>
      <c r="AM6152">
        <v>96.972136239954395</v>
      </c>
      <c r="AN6152">
        <v>0.99999994984765395</v>
      </c>
    </row>
    <row r="6153" spans="1:40" x14ac:dyDescent="0.25">
      <c r="A6153" t="str">
        <f>"20190304164529865"</f>
        <v>20190304164529865</v>
      </c>
      <c r="B6153" t="str">
        <f>"1551689129856391"</f>
        <v>1551689129856391</v>
      </c>
      <c r="C6153" t="s">
        <v>40</v>
      </c>
      <c r="D6153">
        <v>4.640002</v>
      </c>
      <c r="E6153">
        <v>0.56979599999999997</v>
      </c>
      <c r="F6153" t="s">
        <v>41</v>
      </c>
      <c r="G6153">
        <v>-187.15889999999999</v>
      </c>
      <c r="H6153">
        <v>1.0023919999999999</v>
      </c>
      <c r="I6153">
        <v>28.673929999999999</v>
      </c>
      <c r="J6153">
        <v>-187.16820000000001</v>
      </c>
      <c r="K6153">
        <v>1.1098969999999999</v>
      </c>
      <c r="L6153">
        <v>28.187930000000001</v>
      </c>
      <c r="M6153">
        <v>6.2605389999999999E-3</v>
      </c>
      <c r="N6153">
        <v>-8.0186800000000003E-3</v>
      </c>
      <c r="O6153">
        <v>0.99994830000000001</v>
      </c>
      <c r="P6153">
        <v>-0.107297699999999</v>
      </c>
      <c r="Q6153">
        <v>0.36301820000000001</v>
      </c>
      <c r="R6153">
        <v>0.92558359999999995</v>
      </c>
      <c r="S6153">
        <v>4.263306E-2</v>
      </c>
      <c r="T6153">
        <v>-0.3787876</v>
      </c>
      <c r="U6153">
        <v>3.3936769999999998</v>
      </c>
      <c r="V6153">
        <v>-0.1134096</v>
      </c>
      <c r="W6153">
        <v>0.37032569999999998</v>
      </c>
      <c r="X6153">
        <v>0.92195289999999996</v>
      </c>
      <c r="Y6153">
        <v>6.2312599999999998E-3</v>
      </c>
      <c r="Z6153">
        <v>-0.1029458</v>
      </c>
      <c r="AA6153">
        <v>0.99466750000000004</v>
      </c>
      <c r="AB6153">
        <v>45</v>
      </c>
      <c r="AC6153">
        <v>9.3000000000245091E-3</v>
      </c>
      <c r="AD6153">
        <v>-0.107504999999999</v>
      </c>
      <c r="AE6153">
        <v>0.48599999999999999</v>
      </c>
      <c r="AF6153">
        <v>5.9653156189926502E-3</v>
      </c>
      <c r="AG6153">
        <v>-0.107504999999999</v>
      </c>
      <c r="AH6153">
        <v>0.46338316171648503</v>
      </c>
      <c r="AI6153">
        <v>103.060518502748</v>
      </c>
      <c r="AJ6153">
        <v>89.262449398874296</v>
      </c>
      <c r="AK6153">
        <v>0.475727721052495</v>
      </c>
      <c r="AL6153">
        <v>68.264294685242703</v>
      </c>
      <c r="AM6153">
        <v>97.012735159093907</v>
      </c>
      <c r="AN6153">
        <v>1.0000000056355201</v>
      </c>
    </row>
    <row r="6154" spans="1:40" x14ac:dyDescent="0.25">
      <c r="A6154" t="str">
        <f>"20190304164529888"</f>
        <v>20190304164529888</v>
      </c>
      <c r="B6154" t="str">
        <f>"1551689129875911"</f>
        <v>1551689129875911</v>
      </c>
      <c r="C6154" t="s">
        <v>40</v>
      </c>
      <c r="D6154">
        <v>4.6178249999999998</v>
      </c>
      <c r="E6154">
        <v>0.56986099999999995</v>
      </c>
      <c r="F6154" t="s">
        <v>41</v>
      </c>
      <c r="G6154">
        <v>-187.15780000000001</v>
      </c>
      <c r="H6154">
        <v>1.0101119999999999</v>
      </c>
      <c r="I6154">
        <v>29.080120000000001</v>
      </c>
      <c r="J6154">
        <v>-187.16550000000001</v>
      </c>
      <c r="K6154">
        <v>1.109915</v>
      </c>
      <c r="L6154">
        <v>28.64554</v>
      </c>
      <c r="M6154">
        <v>5.8748180000000004E-3</v>
      </c>
      <c r="N6154">
        <v>-8.0275889999999999E-3</v>
      </c>
      <c r="O6154">
        <v>0.99995049999999996</v>
      </c>
      <c r="P6154">
        <v>-0.108404</v>
      </c>
      <c r="Q6154">
        <v>0.3632745</v>
      </c>
      <c r="R6154">
        <v>0.92535409999999996</v>
      </c>
      <c r="S6154">
        <v>3.9199829999999998E-2</v>
      </c>
      <c r="T6154">
        <v>-0.37967030000000002</v>
      </c>
      <c r="U6154">
        <v>3.3946529999999999</v>
      </c>
      <c r="V6154">
        <v>-0.11417289999999999</v>
      </c>
      <c r="W6154">
        <v>0.37058340000000001</v>
      </c>
      <c r="X6154">
        <v>0.92175510000000005</v>
      </c>
      <c r="Y6154">
        <v>5.607608E-3</v>
      </c>
      <c r="Z6154">
        <v>-0.103162</v>
      </c>
      <c r="AA6154">
        <v>0.9946488</v>
      </c>
      <c r="AB6154">
        <v>45</v>
      </c>
      <c r="AC6154">
        <v>7.6999999999998103E-3</v>
      </c>
      <c r="AD6154">
        <v>-9.9802999999999795E-2</v>
      </c>
      <c r="AE6154">
        <v>0.43457999999999603</v>
      </c>
      <c r="AF6154">
        <v>4.88894009849653E-3</v>
      </c>
      <c r="AG6154">
        <v>-9.9802999999999795E-2</v>
      </c>
      <c r="AH6154">
        <v>0.41285045719948998</v>
      </c>
      <c r="AI6154">
        <v>103.58911309768401</v>
      </c>
      <c r="AJ6154">
        <v>89.321539951027006</v>
      </c>
      <c r="AK6154">
        <v>0.42477057402098201</v>
      </c>
      <c r="AL6154">
        <v>68.248398112386894</v>
      </c>
      <c r="AM6154">
        <v>97.060959104294795</v>
      </c>
      <c r="AN6154">
        <v>0.999999985912989</v>
      </c>
    </row>
    <row r="6155" spans="1:40" x14ac:dyDescent="0.25">
      <c r="A6155" t="str">
        <f>"20190304164529908"</f>
        <v>20190304164529908</v>
      </c>
      <c r="B6155" t="str">
        <f>"1551689129896406"</f>
        <v>1551689129896406</v>
      </c>
      <c r="C6155" t="s">
        <v>40</v>
      </c>
      <c r="D6155">
        <v>4.610544</v>
      </c>
      <c r="E6155">
        <v>0.57007750000000001</v>
      </c>
      <c r="F6155" t="s">
        <v>41</v>
      </c>
      <c r="G6155">
        <v>-187.15649999999999</v>
      </c>
      <c r="H6155">
        <v>1.0161560000000001</v>
      </c>
      <c r="I6155">
        <v>29.486149999999999</v>
      </c>
      <c r="J6155">
        <v>-187.1634</v>
      </c>
      <c r="K6155">
        <v>1.109928</v>
      </c>
      <c r="L6155">
        <v>29.049040000000002</v>
      </c>
      <c r="M6155">
        <v>5.5335690000000003E-3</v>
      </c>
      <c r="N6155">
        <v>-8.0354620000000002E-3</v>
      </c>
      <c r="O6155">
        <v>0.99995239999999996</v>
      </c>
      <c r="P6155">
        <v>-0.109552</v>
      </c>
      <c r="Q6155">
        <v>0.36331049999999998</v>
      </c>
      <c r="R6155">
        <v>0.92520480000000005</v>
      </c>
      <c r="S6155">
        <v>3.6376949999999998E-2</v>
      </c>
      <c r="T6155">
        <v>-0.37865939999999998</v>
      </c>
      <c r="U6155">
        <v>3.3949280000000002</v>
      </c>
      <c r="V6155">
        <v>-0.1150157</v>
      </c>
      <c r="W6155">
        <v>0.37062149999999999</v>
      </c>
      <c r="X6155">
        <v>0.92163499999999998</v>
      </c>
      <c r="Y6155">
        <v>5.1215729999999999E-3</v>
      </c>
      <c r="Z6155">
        <v>-0.10285370000000001</v>
      </c>
      <c r="AA6155">
        <v>0.99468330000000005</v>
      </c>
      <c r="AB6155">
        <v>45</v>
      </c>
      <c r="AC6155">
        <v>6.90000000000168E-3</v>
      </c>
      <c r="AD6155">
        <v>-9.3771999999999897E-2</v>
      </c>
      <c r="AE6155">
        <v>0.437109999999997</v>
      </c>
      <c r="AF6155">
        <v>4.28393217138732E-3</v>
      </c>
      <c r="AG6155">
        <v>-9.3771999999999897E-2</v>
      </c>
      <c r="AH6155">
        <v>0.41791311150824001</v>
      </c>
      <c r="AI6155">
        <v>102.646009945914</v>
      </c>
      <c r="AJ6155">
        <v>89.412694577600604</v>
      </c>
      <c r="AK6155">
        <v>0.42832570414270899</v>
      </c>
      <c r="AL6155">
        <v>68.246047881536796</v>
      </c>
      <c r="AM6155">
        <v>97.113467050937302</v>
      </c>
      <c r="AN6155">
        <v>0.99999999036686904</v>
      </c>
    </row>
    <row r="6156" spans="1:40" x14ac:dyDescent="0.25">
      <c r="A6156" t="str">
        <f>"20190304164529929"</f>
        <v>20190304164529929</v>
      </c>
      <c r="B6156" t="str">
        <f>"1551689129926663"</f>
        <v>1551689129926663</v>
      </c>
      <c r="C6156" t="s">
        <v>40</v>
      </c>
      <c r="D6156">
        <v>4.6564110000000003</v>
      </c>
      <c r="E6156">
        <v>0.57022819999999996</v>
      </c>
      <c r="F6156" t="s">
        <v>41</v>
      </c>
      <c r="G6156">
        <v>-187.15440000000001</v>
      </c>
      <c r="H6156">
        <v>1.0163719999999901</v>
      </c>
      <c r="I6156">
        <v>29.89001</v>
      </c>
      <c r="J6156">
        <v>-187.1611</v>
      </c>
      <c r="K6156">
        <v>1.109937</v>
      </c>
      <c r="L6156">
        <v>29.48715</v>
      </c>
      <c r="M6156">
        <v>5.1633260000000002E-3</v>
      </c>
      <c r="N6156">
        <v>-8.0438679999999992E-3</v>
      </c>
      <c r="O6156">
        <v>0.99995429999999996</v>
      </c>
      <c r="P6156">
        <v>-0.1098542</v>
      </c>
      <c r="Q6156">
        <v>0.36310900000000002</v>
      </c>
      <c r="R6156">
        <v>0.92524799999999996</v>
      </c>
      <c r="S6156">
        <v>3.5629269999999998E-2</v>
      </c>
      <c r="T6156">
        <v>-0.37771369999999999</v>
      </c>
      <c r="U6156">
        <v>3.3950499999999999</v>
      </c>
      <c r="V6156">
        <v>-0.1149872</v>
      </c>
      <c r="W6156">
        <v>0.37042439999999999</v>
      </c>
      <c r="X6156">
        <v>0.92171780000000003</v>
      </c>
      <c r="Y6156">
        <v>5.2726550000000002E-3</v>
      </c>
      <c r="Z6156">
        <v>-0.1025682</v>
      </c>
      <c r="AA6156">
        <v>0.99471200000000004</v>
      </c>
      <c r="AB6156">
        <v>45</v>
      </c>
      <c r="AC6156">
        <v>6.6999999999950398E-3</v>
      </c>
      <c r="AD6156">
        <v>-9.3565000000000301E-2</v>
      </c>
      <c r="AE6156">
        <v>0.402859999999996</v>
      </c>
      <c r="AF6156">
        <v>4.3833681961477997E-3</v>
      </c>
      <c r="AG6156">
        <v>-9.3565000000000301E-2</v>
      </c>
      <c r="AH6156">
        <v>0.382274669975742</v>
      </c>
      <c r="AI6156">
        <v>103.752380384432</v>
      </c>
      <c r="AJ6156">
        <v>89.343044383654899</v>
      </c>
      <c r="AK6156">
        <v>0.39358296005646098</v>
      </c>
      <c r="AL6156">
        <v>68.258206438260501</v>
      </c>
      <c r="AM6156">
        <v>97.111090118234301</v>
      </c>
      <c r="AN6156">
        <v>0.99999999755801905</v>
      </c>
    </row>
    <row r="6157" spans="1:40" x14ac:dyDescent="0.25">
      <c r="A6157" t="str">
        <f>"20190304164529952"</f>
        <v>20190304164529952</v>
      </c>
      <c r="B6157" t="str">
        <f>"1551689129946182"</f>
        <v>1551689129946182</v>
      </c>
      <c r="C6157" t="s">
        <v>40</v>
      </c>
      <c r="D6157">
        <v>4.6940730000000004</v>
      </c>
      <c r="E6157">
        <v>0.57410869999999903</v>
      </c>
      <c r="F6157" t="s">
        <v>41</v>
      </c>
      <c r="G6157">
        <v>-187.15260000000001</v>
      </c>
      <c r="H6157">
        <v>1.0198719999999999</v>
      </c>
      <c r="I6157">
        <v>30.296119999999998</v>
      </c>
      <c r="J6157">
        <v>-187.15899999999999</v>
      </c>
      <c r="K6157">
        <v>1.1099429999999999</v>
      </c>
      <c r="L6157">
        <v>29.9465</v>
      </c>
      <c r="M6157">
        <v>4.7756780000000002E-3</v>
      </c>
      <c r="N6157">
        <v>-8.0526399999999998E-3</v>
      </c>
      <c r="O6157">
        <v>0.99995619999999996</v>
      </c>
      <c r="P6157">
        <v>-0.1103012</v>
      </c>
      <c r="Q6157">
        <v>0.36273149999999998</v>
      </c>
      <c r="R6157">
        <v>0.92534289999999997</v>
      </c>
      <c r="S6157">
        <v>3.5446169999999999E-2</v>
      </c>
      <c r="T6157">
        <v>-0.37797009999999998</v>
      </c>
      <c r="U6157">
        <v>3.3949280000000002</v>
      </c>
      <c r="V6157">
        <v>-0.11508649999999999</v>
      </c>
      <c r="W6157">
        <v>0.37005280000000002</v>
      </c>
      <c r="X6157">
        <v>0.92185470000000003</v>
      </c>
      <c r="Y6157">
        <v>5.6068069999999897E-3</v>
      </c>
      <c r="Z6157">
        <v>-0.1026378</v>
      </c>
      <c r="AA6157">
        <v>0.994703</v>
      </c>
      <c r="AB6157">
        <v>45</v>
      </c>
      <c r="AC6157">
        <v>6.4000000000134999E-3</v>
      </c>
      <c r="AD6157">
        <v>-9.0071000000000206E-2</v>
      </c>
      <c r="AE6157">
        <v>0.34962000000000099</v>
      </c>
      <c r="AF6157">
        <v>4.4358854756115403E-3</v>
      </c>
      <c r="AG6157">
        <v>-9.0071000000000206E-2</v>
      </c>
      <c r="AH6157">
        <v>0.32789143246626801</v>
      </c>
      <c r="AI6157">
        <v>105.358804577277</v>
      </c>
      <c r="AJ6157">
        <v>89.224920240904297</v>
      </c>
      <c r="AK6157">
        <v>0.34006654290849297</v>
      </c>
      <c r="AL6157">
        <v>68.281127111792003</v>
      </c>
      <c r="AM6157">
        <v>97.116122026153604</v>
      </c>
      <c r="AN6157">
        <v>1.0000000325910801</v>
      </c>
    </row>
    <row r="6158" spans="1:40" x14ac:dyDescent="0.25">
      <c r="A6158" t="str">
        <f>"20190304164529975"</f>
        <v>20190304164529975</v>
      </c>
      <c r="B6158" t="str">
        <f>"1551689129966678"</f>
        <v>1551689129966678</v>
      </c>
      <c r="C6158" t="s">
        <v>40</v>
      </c>
      <c r="D6158">
        <v>4.6640750000000004</v>
      </c>
      <c r="E6158">
        <v>0.57093159999999998</v>
      </c>
      <c r="F6158" t="s">
        <v>41</v>
      </c>
      <c r="G6158">
        <v>-187.14089999999999</v>
      </c>
      <c r="H6158">
        <v>1.0463439999999999</v>
      </c>
      <c r="I6158">
        <v>30.71669</v>
      </c>
      <c r="J6158">
        <v>-187.15700000000001</v>
      </c>
      <c r="K6158">
        <v>1.10995</v>
      </c>
      <c r="L6158">
        <v>30.40213</v>
      </c>
      <c r="M6158">
        <v>4.3915550000000001E-3</v>
      </c>
      <c r="N6158">
        <v>-8.0613130000000005E-3</v>
      </c>
      <c r="O6158">
        <v>0.99995789999999996</v>
      </c>
      <c r="P6158">
        <v>-0.1105811</v>
      </c>
      <c r="Q6158">
        <v>0.3626297</v>
      </c>
      <c r="R6158">
        <v>0.92534939999999999</v>
      </c>
      <c r="S6158">
        <v>7.8445429999999997E-2</v>
      </c>
      <c r="T6158">
        <v>-0.27749879999999999</v>
      </c>
      <c r="U6158">
        <v>3.3601679999999998</v>
      </c>
      <c r="V6158">
        <v>-0.11502</v>
      </c>
      <c r="W6158">
        <v>0.36995670000000003</v>
      </c>
      <c r="X6158">
        <v>0.92190159999999999</v>
      </c>
      <c r="Y6158">
        <v>1.8877270000000002E-2</v>
      </c>
      <c r="Z6158">
        <v>-7.4248739999999994E-2</v>
      </c>
      <c r="AA6158">
        <v>0.99706110000000003</v>
      </c>
      <c r="AB6158">
        <v>45</v>
      </c>
      <c r="AC6158">
        <v>1.6100000000022801E-2</v>
      </c>
      <c r="AD6158">
        <v>-6.3605999999999996E-2</v>
      </c>
      <c r="AE6158">
        <v>0.314560000000003</v>
      </c>
      <c r="AF6158">
        <v>1.4141686752389099E-2</v>
      </c>
      <c r="AG6158">
        <v>-6.3605999999999996E-2</v>
      </c>
      <c r="AH6158">
        <v>0.30229972704525898</v>
      </c>
      <c r="AI6158">
        <v>101.869503868295</v>
      </c>
      <c r="AJ6158">
        <v>87.321636073906106</v>
      </c>
      <c r="AK6158">
        <v>0.30924235724079102</v>
      </c>
      <c r="AL6158">
        <v>68.287054487425806</v>
      </c>
      <c r="AM6158">
        <v>97.111694155791596</v>
      </c>
      <c r="AN6158">
        <v>1.00000006017872</v>
      </c>
    </row>
    <row r="6159" spans="1:40" x14ac:dyDescent="0.25">
      <c r="A6159" t="str">
        <f>"20190304164529996"</f>
        <v>20190304164529996</v>
      </c>
      <c r="B6159" t="str">
        <f>"1551689129986198"</f>
        <v>1551689129986198</v>
      </c>
      <c r="C6159" t="s">
        <v>40</v>
      </c>
      <c r="D6159">
        <v>4.6392179999999996</v>
      </c>
      <c r="E6159">
        <v>0.57157389999999997</v>
      </c>
      <c r="F6159" t="s">
        <v>41</v>
      </c>
      <c r="G6159">
        <v>-187.14590000000001</v>
      </c>
      <c r="H6159">
        <v>0.97853389999999996</v>
      </c>
      <c r="I6159">
        <v>31.493469999999999</v>
      </c>
      <c r="J6159">
        <v>-187.15530000000001</v>
      </c>
      <c r="K6159">
        <v>1.109958</v>
      </c>
      <c r="L6159">
        <v>30.850010000000001</v>
      </c>
      <c r="M6159">
        <v>4.0139779999999996E-3</v>
      </c>
      <c r="N6159">
        <v>-8.0699159999999999E-3</v>
      </c>
      <c r="O6159">
        <v>0.99995940000000005</v>
      </c>
      <c r="P6159">
        <v>-0.11081340000000001</v>
      </c>
      <c r="Q6159">
        <v>0.36263279999999998</v>
      </c>
      <c r="R6159">
        <v>0.92532040000000004</v>
      </c>
      <c r="S6159">
        <v>3.4286499999999998E-2</v>
      </c>
      <c r="T6159">
        <v>-0.41026190000000001</v>
      </c>
      <c r="U6159">
        <v>3.4068909999999999</v>
      </c>
      <c r="V6159">
        <v>-0.1149105</v>
      </c>
      <c r="W6159">
        <v>0.36996590000000001</v>
      </c>
      <c r="X6159">
        <v>0.92191149999999999</v>
      </c>
      <c r="Y6159">
        <v>5.9834569999999898E-3</v>
      </c>
      <c r="Z6159">
        <v>-0.1115362</v>
      </c>
      <c r="AA6159">
        <v>0.99374229999999997</v>
      </c>
      <c r="AB6159">
        <v>45</v>
      </c>
      <c r="AC6159">
        <v>9.3999999999994002E-3</v>
      </c>
      <c r="AD6159">
        <v>-0.13142409999999999</v>
      </c>
      <c r="AE6159">
        <v>0.64346000000000403</v>
      </c>
      <c r="AF6159">
        <v>6.5440691119784903E-3</v>
      </c>
      <c r="AG6159">
        <v>-0.13142409999999999</v>
      </c>
      <c r="AH6159">
        <v>0.617728626906898</v>
      </c>
      <c r="AI6159">
        <v>102.01015650335</v>
      </c>
      <c r="AJ6159">
        <v>89.393044940668503</v>
      </c>
      <c r="AK6159">
        <v>0.63158829580798503</v>
      </c>
      <c r="AL6159">
        <v>68.286485781828503</v>
      </c>
      <c r="AM6159">
        <v>97.104917472470106</v>
      </c>
      <c r="AN6159">
        <v>1.00000000200265</v>
      </c>
    </row>
    <row r="6160" spans="1:40" x14ac:dyDescent="0.25">
      <c r="A6160" t="str">
        <f>"20190304164530020"</f>
        <v>20190304164530020</v>
      </c>
      <c r="B6160" t="str">
        <f>"1551689130016455"</f>
        <v>1551689130016455</v>
      </c>
      <c r="C6160" t="s">
        <v>40</v>
      </c>
      <c r="D6160">
        <v>4.6212</v>
      </c>
      <c r="E6160">
        <v>0.57198700000000002</v>
      </c>
      <c r="F6160" t="s">
        <v>41</v>
      </c>
      <c r="G6160">
        <v>-187.1431</v>
      </c>
      <c r="H6160">
        <v>0.98498609999999998</v>
      </c>
      <c r="I6160">
        <v>31.903559999999999</v>
      </c>
      <c r="J6160">
        <v>-187.15369999999999</v>
      </c>
      <c r="K6160">
        <v>1.10996299999999</v>
      </c>
      <c r="L6160">
        <v>31.313289999999999</v>
      </c>
      <c r="M6160">
        <v>3.6231810000000001E-3</v>
      </c>
      <c r="N6160">
        <v>-8.0789499999999997E-3</v>
      </c>
      <c r="O6160">
        <v>0.99996079999999998</v>
      </c>
      <c r="P6160">
        <v>-0.1107479</v>
      </c>
      <c r="Q6160">
        <v>0.36264740000000001</v>
      </c>
      <c r="R6160">
        <v>0.92532250000000005</v>
      </c>
      <c r="S6160">
        <v>3.9413450000000003E-2</v>
      </c>
      <c r="T6160">
        <v>-0.40392020000000001</v>
      </c>
      <c r="U6160">
        <v>3.405151</v>
      </c>
      <c r="V6160">
        <v>-0.11448999999999999</v>
      </c>
      <c r="W6160">
        <v>0.36998769999999997</v>
      </c>
      <c r="X6160">
        <v>0.92195499999999997</v>
      </c>
      <c r="Y6160">
        <v>7.8767630000000002E-3</v>
      </c>
      <c r="Z6160">
        <v>-0.1097612</v>
      </c>
      <c r="AA6160">
        <v>0.9939268</v>
      </c>
      <c r="AB6160">
        <v>45</v>
      </c>
      <c r="AC6160">
        <v>1.05999999999824E-2</v>
      </c>
      <c r="AD6160">
        <v>-0.124976899999999</v>
      </c>
      <c r="AE6160">
        <v>0.59026999999999596</v>
      </c>
      <c r="AF6160">
        <v>8.0982853892803495E-3</v>
      </c>
      <c r="AG6160">
        <v>-0.124976899999999</v>
      </c>
      <c r="AH6160">
        <v>0.56498504015002204</v>
      </c>
      <c r="AI6160">
        <v>102.471955350972</v>
      </c>
      <c r="AJ6160">
        <v>89.178799846905903</v>
      </c>
      <c r="AK6160">
        <v>0.57869932033239702</v>
      </c>
      <c r="AL6160">
        <v>68.2851399214683</v>
      </c>
      <c r="AM6160">
        <v>97.078851602157002</v>
      </c>
      <c r="AN6160">
        <v>0.99999994013814297</v>
      </c>
    </row>
    <row r="6161" spans="1:40" x14ac:dyDescent="0.25">
      <c r="A6161" t="str">
        <f>"20190304164530041"</f>
        <v>20190304164530041</v>
      </c>
      <c r="B6161" t="str">
        <f>"1551689130035974"</f>
        <v>1551689130035974</v>
      </c>
      <c r="C6161" t="s">
        <v>40</v>
      </c>
      <c r="D6161">
        <v>4.6939789999999997</v>
      </c>
      <c r="E6161">
        <v>0.57198380000000004</v>
      </c>
      <c r="F6161" t="s">
        <v>41</v>
      </c>
      <c r="G6161">
        <v>-187.14070000000001</v>
      </c>
      <c r="H6161">
        <v>0.99307749999999995</v>
      </c>
      <c r="I6161">
        <v>32.315109999999997</v>
      </c>
      <c r="J6161">
        <v>-187.1523</v>
      </c>
      <c r="K6161">
        <v>1.109966</v>
      </c>
      <c r="L6161">
        <v>31.766999999999999</v>
      </c>
      <c r="M6161">
        <v>3.240255E-3</v>
      </c>
      <c r="N6161">
        <v>-8.0877799999999993E-3</v>
      </c>
      <c r="O6161">
        <v>0.99996200000000002</v>
      </c>
      <c r="P6161">
        <v>-0.1111982</v>
      </c>
      <c r="Q6161">
        <v>0.3629308</v>
      </c>
      <c r="R6161">
        <v>0.92515740000000002</v>
      </c>
      <c r="S6161">
        <v>4.379272E-2</v>
      </c>
      <c r="T6161">
        <v>-0.39703860000000002</v>
      </c>
      <c r="U6161">
        <v>3.4029539999999998</v>
      </c>
      <c r="V6161">
        <v>-0.1145915</v>
      </c>
      <c r="W6161">
        <v>0.37027650000000001</v>
      </c>
      <c r="X6161">
        <v>0.92182649999999999</v>
      </c>
      <c r="Y6161">
        <v>9.5479190000000002E-3</v>
      </c>
      <c r="Z6161">
        <v>-0.10784340000000001</v>
      </c>
      <c r="AA6161">
        <v>0.99412199999999995</v>
      </c>
      <c r="AB6161">
        <v>46</v>
      </c>
      <c r="AC6161">
        <v>1.15999999999871E-2</v>
      </c>
      <c r="AD6161">
        <v>-0.11688850000000001</v>
      </c>
      <c r="AE6161">
        <v>0.54810999999999699</v>
      </c>
      <c r="AF6161">
        <v>9.3967060381394407E-3</v>
      </c>
      <c r="AG6161">
        <v>-0.11688850000000001</v>
      </c>
      <c r="AH6161">
        <v>0.52431042518264603</v>
      </c>
      <c r="AI6161">
        <v>102.565906430388</v>
      </c>
      <c r="AJ6161">
        <v>88.973253364930599</v>
      </c>
      <c r="AK6161">
        <v>0.53726403329445405</v>
      </c>
      <c r="AL6161">
        <v>68.267329175404001</v>
      </c>
      <c r="AM6161">
        <v>97.086041135622196</v>
      </c>
      <c r="AN6161">
        <v>0.99999999721337496</v>
      </c>
    </row>
    <row r="6162" spans="1:40" x14ac:dyDescent="0.25">
      <c r="A6162" t="str">
        <f>"20190304164530065"</f>
        <v>20190304164530065</v>
      </c>
      <c r="B6162" t="str">
        <f>"1551689130056470"</f>
        <v>1551689130056470</v>
      </c>
      <c r="C6162" t="s">
        <v>40</v>
      </c>
      <c r="D6162">
        <v>4.6948790000000002</v>
      </c>
      <c r="E6162">
        <v>0.57188700000000003</v>
      </c>
      <c r="F6162" t="s">
        <v>41</v>
      </c>
      <c r="G6162">
        <v>-187.14060000000001</v>
      </c>
      <c r="H6162">
        <v>0.99797740000000001</v>
      </c>
      <c r="I6162">
        <v>32.725850000000001</v>
      </c>
      <c r="J6162">
        <v>-187.15100000000001</v>
      </c>
      <c r="K6162">
        <v>1.1099699999999999</v>
      </c>
      <c r="L6162">
        <v>32.242429999999999</v>
      </c>
      <c r="M6162">
        <v>2.838489E-3</v>
      </c>
      <c r="N6162">
        <v>-8.0969819999999904E-3</v>
      </c>
      <c r="O6162">
        <v>0.99996320000000005</v>
      </c>
      <c r="P6162">
        <v>-0.1115009</v>
      </c>
      <c r="Q6162">
        <v>0.36302410000000002</v>
      </c>
      <c r="R6162">
        <v>0.92508440000000003</v>
      </c>
      <c r="S6162">
        <v>4.118347E-2</v>
      </c>
      <c r="T6162">
        <v>-0.39752769999999998</v>
      </c>
      <c r="U6162">
        <v>3.4035950000000001</v>
      </c>
      <c r="V6162">
        <v>-0.1145263</v>
      </c>
      <c r="W6162">
        <v>0.3703766</v>
      </c>
      <c r="X6162">
        <v>0.92179440000000001</v>
      </c>
      <c r="Y6162">
        <v>9.1853089999999991E-3</v>
      </c>
      <c r="Z6162">
        <v>-0.10795449999999999</v>
      </c>
      <c r="AA6162">
        <v>0.99411340000000004</v>
      </c>
      <c r="AB6162">
        <v>46</v>
      </c>
      <c r="AC6162">
        <v>1.03999999999757E-2</v>
      </c>
      <c r="AD6162">
        <v>-0.1119926</v>
      </c>
      <c r="AE6162">
        <v>0.48342000000000201</v>
      </c>
      <c r="AF6162">
        <v>8.5680960886095493E-3</v>
      </c>
      <c r="AG6162">
        <v>-0.1119926</v>
      </c>
      <c r="AH6162">
        <v>0.45883349498779102</v>
      </c>
      <c r="AI6162">
        <v>103.71432361378299</v>
      </c>
      <c r="AJ6162">
        <v>88.930203003894306</v>
      </c>
      <c r="AK6162">
        <v>0.47238112880179201</v>
      </c>
      <c r="AL6162">
        <v>68.261155122004993</v>
      </c>
      <c r="AM6162">
        <v>97.082294405243303</v>
      </c>
      <c r="AN6162">
        <v>1.0000000075452999</v>
      </c>
    </row>
    <row r="6163" spans="1:40" x14ac:dyDescent="0.25">
      <c r="A6163" t="str">
        <f>"20190304164530088"</f>
        <v>20190304164530088</v>
      </c>
      <c r="B6163" t="str">
        <f>"1551689130075990"</f>
        <v>1551689130075990</v>
      </c>
      <c r="C6163" t="s">
        <v>40</v>
      </c>
      <c r="D6163">
        <v>4.9810179999999997</v>
      </c>
      <c r="E6163">
        <v>0.57130879999999995</v>
      </c>
      <c r="F6163" t="s">
        <v>41</v>
      </c>
      <c r="G6163">
        <v>-187.14070000000001</v>
      </c>
      <c r="H6163">
        <v>1.0048189999999999</v>
      </c>
      <c r="I6163">
        <v>33.138159999999999</v>
      </c>
      <c r="J6163">
        <v>-187.1499</v>
      </c>
      <c r="K6163">
        <v>1.109964</v>
      </c>
      <c r="L6163">
        <v>32.717009999999902</v>
      </c>
      <c r="M6163">
        <v>2.437196E-3</v>
      </c>
      <c r="N6163">
        <v>-8.1062080000000002E-3</v>
      </c>
      <c r="O6163">
        <v>0.99996419999999997</v>
      </c>
      <c r="P6163">
        <v>-0.1115329</v>
      </c>
      <c r="Q6163">
        <v>0.36335390000000001</v>
      </c>
      <c r="R6163">
        <v>0.92495099999999997</v>
      </c>
      <c r="S6163">
        <v>3.8833619999999999E-2</v>
      </c>
      <c r="T6163">
        <v>-0.39967190000000002</v>
      </c>
      <c r="U6163">
        <v>3.40448</v>
      </c>
      <c r="V6163">
        <v>-0.11419070000000001</v>
      </c>
      <c r="W6163">
        <v>0.37071320000000002</v>
      </c>
      <c r="X6163">
        <v>0.92170070000000004</v>
      </c>
      <c r="Y6163">
        <v>8.8968060000000002E-3</v>
      </c>
      <c r="Z6163">
        <v>-0.10853400000000001</v>
      </c>
      <c r="AA6163">
        <v>0.99405290000000002</v>
      </c>
      <c r="AB6163">
        <v>46</v>
      </c>
      <c r="AC6163">
        <v>9.1999999999927695E-3</v>
      </c>
      <c r="AD6163">
        <v>-0.105144999999999</v>
      </c>
      <c r="AE6163">
        <v>0.42115000000000402</v>
      </c>
      <c r="AF6163">
        <v>7.6941585352846001E-3</v>
      </c>
      <c r="AG6163">
        <v>-0.105144999999999</v>
      </c>
      <c r="AH6163">
        <v>0.39647057748422099</v>
      </c>
      <c r="AI6163">
        <v>104.850396566538</v>
      </c>
      <c r="AJ6163">
        <v>88.888221458304898</v>
      </c>
      <c r="AK6163">
        <v>0.410248205250477</v>
      </c>
      <c r="AL6163">
        <v>68.240390797952301</v>
      </c>
      <c r="AM6163">
        <v>97.062461423230701</v>
      </c>
      <c r="AN6163">
        <v>0.99999998650060895</v>
      </c>
    </row>
    <row r="6164" spans="1:40" x14ac:dyDescent="0.25">
      <c r="A6164" t="str">
        <f>"20190304164530109"</f>
        <v>20190304164530109</v>
      </c>
      <c r="B6164" t="str">
        <f>"1551689130106247"</f>
        <v>1551689130106247</v>
      </c>
      <c r="C6164" t="s">
        <v>40</v>
      </c>
      <c r="D6164">
        <v>4.6003740000000004</v>
      </c>
      <c r="E6164">
        <v>0.5373175</v>
      </c>
      <c r="F6164" t="s">
        <v>41</v>
      </c>
      <c r="G6164">
        <v>-187.14169999999999</v>
      </c>
      <c r="H6164">
        <v>1.0119469999999999</v>
      </c>
      <c r="I6164">
        <v>33.551310000000001</v>
      </c>
      <c r="J6164">
        <v>-187.1491</v>
      </c>
      <c r="K6164">
        <v>1.1099680000000001</v>
      </c>
      <c r="L6164">
        <v>33.140259999999998</v>
      </c>
      <c r="M6164">
        <v>2.0791149999999999E-3</v>
      </c>
      <c r="N6164">
        <v>-8.1145279999999993E-3</v>
      </c>
      <c r="O6164">
        <v>0.99996490000000005</v>
      </c>
      <c r="P6164">
        <v>-0.11200400000000001</v>
      </c>
      <c r="Q6164">
        <v>0.36338759999999998</v>
      </c>
      <c r="R6164">
        <v>0.92488090000000001</v>
      </c>
      <c r="S6164">
        <v>3.2760619999999997E-2</v>
      </c>
      <c r="T6164">
        <v>-0.39999259999999998</v>
      </c>
      <c r="U6164">
        <v>3.4045100000000001</v>
      </c>
      <c r="V6164">
        <v>-0.1143337</v>
      </c>
      <c r="W6164">
        <v>0.37075340000000001</v>
      </c>
      <c r="X6164">
        <v>0.92166680000000001</v>
      </c>
      <c r="Y6164">
        <v>7.4823959999999997E-3</v>
      </c>
      <c r="Z6164">
        <v>-0.1086189</v>
      </c>
      <c r="AA6164">
        <v>0.99405529999999998</v>
      </c>
      <c r="AB6164">
        <v>46</v>
      </c>
      <c r="AC6164">
        <v>7.40000000001828E-3</v>
      </c>
      <c r="AD6164">
        <v>-9.8021000000000094E-2</v>
      </c>
      <c r="AE6164">
        <v>0.41105000000000202</v>
      </c>
      <c r="AF6164">
        <v>6.1932664697792097E-3</v>
      </c>
      <c r="AG6164">
        <v>-9.8021000000000094E-2</v>
      </c>
      <c r="AH6164">
        <v>0.38895361701182302</v>
      </c>
      <c r="AI6164">
        <v>104.142972075228</v>
      </c>
      <c r="AJ6164">
        <v>89.087762576438095</v>
      </c>
      <c r="AK6164">
        <v>0.40116254707679999</v>
      </c>
      <c r="AL6164">
        <v>68.237910731770398</v>
      </c>
      <c r="AM6164">
        <v>97.0714736562567</v>
      </c>
      <c r="AN6164">
        <v>0.99999998439474402</v>
      </c>
    </row>
    <row r="6165" spans="1:40" x14ac:dyDescent="0.25">
      <c r="A6165" t="str">
        <f>"20190304164530131"</f>
        <v>20190304164530131</v>
      </c>
      <c r="B6165" t="str">
        <f>"1551689130126743"</f>
        <v>1551689130126743</v>
      </c>
      <c r="C6165" t="s">
        <v>40</v>
      </c>
      <c r="D6165">
        <v>4.5683550000000004</v>
      </c>
      <c r="E6165">
        <v>0.53533540000000002</v>
      </c>
      <c r="F6165" t="s">
        <v>42</v>
      </c>
      <c r="G6165">
        <v>-187.97790000000001</v>
      </c>
      <c r="H6165" s="1">
        <v>-2.8009280000000001E-6</v>
      </c>
      <c r="I6165">
        <v>45.325699999999998</v>
      </c>
      <c r="J6165">
        <v>-187.14830000000001</v>
      </c>
      <c r="K6165">
        <v>1.109977</v>
      </c>
      <c r="L6165">
        <v>33.600279999999998</v>
      </c>
      <c r="M6165">
        <v>1.6878399999999999E-3</v>
      </c>
      <c r="N6165">
        <v>-8.1236090000000004E-3</v>
      </c>
      <c r="O6165">
        <v>0.99996560000000001</v>
      </c>
      <c r="P6165">
        <v>-0.1120318</v>
      </c>
      <c r="Q6165">
        <v>0.36353639999999998</v>
      </c>
      <c r="R6165">
        <v>0.92481899999999995</v>
      </c>
      <c r="S6165">
        <v>-0.2268829</v>
      </c>
      <c r="T6165">
        <v>-0.30383680000000002</v>
      </c>
      <c r="U6165">
        <v>3.3355709999999998</v>
      </c>
      <c r="V6165">
        <v>-0.1140031</v>
      </c>
      <c r="W6165">
        <v>0.37090980000000001</v>
      </c>
      <c r="X6165">
        <v>0.92164480000000004</v>
      </c>
      <c r="Y6165">
        <v>-6.9287609999999999E-2</v>
      </c>
      <c r="Z6165">
        <v>-8.2407800000000003E-2</v>
      </c>
      <c r="AA6165">
        <v>0.99418720000000005</v>
      </c>
      <c r="AB6165">
        <v>46</v>
      </c>
      <c r="AC6165">
        <v>-0.829599999999999</v>
      </c>
      <c r="AD6165">
        <v>-1.109979800928</v>
      </c>
      <c r="AE6165">
        <v>11.72542</v>
      </c>
      <c r="AF6165">
        <v>-0.841883273211395</v>
      </c>
      <c r="AG6165">
        <v>-1.109979800928</v>
      </c>
      <c r="AH6165">
        <v>11.6203873732989</v>
      </c>
      <c r="AI6165">
        <v>95.442162490535395</v>
      </c>
      <c r="AJ6165">
        <v>94.143771357996997</v>
      </c>
      <c r="AK6165">
        <v>11.703598818726901</v>
      </c>
      <c r="AL6165">
        <v>68.228261183215494</v>
      </c>
      <c r="AM6165">
        <v>97.051398984617293</v>
      </c>
      <c r="AN6165">
        <v>0.999999961956344</v>
      </c>
    </row>
    <row r="6166" spans="1:40" x14ac:dyDescent="0.25">
      <c r="A6166" t="str">
        <f>"20190304164530155"</f>
        <v>20190304164530155</v>
      </c>
      <c r="B6166" t="str">
        <f>"1551689130146263"</f>
        <v>1551689130146263</v>
      </c>
      <c r="C6166" t="s">
        <v>40</v>
      </c>
      <c r="D6166">
        <v>4.5633699999999999</v>
      </c>
      <c r="E6166">
        <v>0.53479650000000001</v>
      </c>
      <c r="F6166" t="s">
        <v>42</v>
      </c>
      <c r="G6166">
        <v>-188.10589999999999</v>
      </c>
      <c r="H6166" s="1">
        <v>-3.4584039999999999E-6</v>
      </c>
      <c r="I6166">
        <v>46.911230000000003</v>
      </c>
      <c r="J6166">
        <v>-187.14779999999999</v>
      </c>
      <c r="K6166">
        <v>1.10998</v>
      </c>
      <c r="L6166">
        <v>34.082549999999998</v>
      </c>
      <c r="M6166">
        <v>1.273503E-3</v>
      </c>
      <c r="N6166">
        <v>-8.1331479999999998E-3</v>
      </c>
      <c r="O6166">
        <v>0.99996609999999997</v>
      </c>
      <c r="P6166">
        <v>-0.11190120000000001</v>
      </c>
      <c r="Q6166">
        <v>0.36389139999999998</v>
      </c>
      <c r="R6166">
        <v>0.92469520000000005</v>
      </c>
      <c r="S6166">
        <v>-0.23912050000000001</v>
      </c>
      <c r="T6166">
        <v>-0.27717129999999901</v>
      </c>
      <c r="U6166">
        <v>3.3238530000000002</v>
      </c>
      <c r="V6166">
        <v>-0.113494</v>
      </c>
      <c r="W6166">
        <v>0.3712724</v>
      </c>
      <c r="X6166">
        <v>0.92156170000000004</v>
      </c>
      <c r="Y6166">
        <v>-7.2797600000000004E-2</v>
      </c>
      <c r="Z6166">
        <v>-7.4775250000000001E-2</v>
      </c>
      <c r="AA6166">
        <v>0.99453970000000003</v>
      </c>
      <c r="AB6166">
        <v>46</v>
      </c>
      <c r="AC6166">
        <v>-0.95810000000000095</v>
      </c>
      <c r="AD6166">
        <v>-1.109983458404</v>
      </c>
      <c r="AE6166">
        <v>12.82868</v>
      </c>
      <c r="AF6166">
        <v>-0.96723623934001801</v>
      </c>
      <c r="AG6166">
        <v>-1.109983458404</v>
      </c>
      <c r="AH6166">
        <v>12.732657242015</v>
      </c>
      <c r="AI6166">
        <v>94.967985474178803</v>
      </c>
      <c r="AJ6166">
        <v>94.344130208983003</v>
      </c>
      <c r="AK6166">
        <v>12.8174946718639</v>
      </c>
      <c r="AL6166">
        <v>68.2058896677771</v>
      </c>
      <c r="AM6166">
        <v>97.020851400601401</v>
      </c>
      <c r="AN6166">
        <v>1.00000002497232</v>
      </c>
    </row>
    <row r="6167" spans="1:40" x14ac:dyDescent="0.25">
      <c r="A6167" t="str">
        <f>"20190304164530176"</f>
        <v>20190304164530176</v>
      </c>
      <c r="B6167" t="str">
        <f>"1551689130166758"</f>
        <v>1551689130166758</v>
      </c>
      <c r="C6167" t="s">
        <v>40</v>
      </c>
      <c r="D6167">
        <v>4.5826710000000004</v>
      </c>
      <c r="E6167">
        <v>0.53449250000000004</v>
      </c>
      <c r="F6167" t="s">
        <v>42</v>
      </c>
      <c r="G6167">
        <v>-188.16550000000001</v>
      </c>
      <c r="H6167" s="1">
        <v>-3.9252759999999997E-6</v>
      </c>
      <c r="I6167">
        <v>48.024140000000003</v>
      </c>
      <c r="J6167">
        <v>-187.1474</v>
      </c>
      <c r="K6167">
        <v>1.109979</v>
      </c>
      <c r="L6167">
        <v>34.535400000000003</v>
      </c>
      <c r="M6167">
        <v>8.7492199999999998E-4</v>
      </c>
      <c r="N6167">
        <v>-8.1421489999999996E-3</v>
      </c>
      <c r="O6167">
        <v>0.99996640000000003</v>
      </c>
      <c r="P6167">
        <v>-0.112031199999999</v>
      </c>
      <c r="Q6167">
        <v>0.36376750000000002</v>
      </c>
      <c r="R6167">
        <v>0.9247282</v>
      </c>
      <c r="S6167">
        <v>-0.2422791</v>
      </c>
      <c r="T6167">
        <v>-0.26424550000000002</v>
      </c>
      <c r="U6167">
        <v>3.3189700000000002</v>
      </c>
      <c r="V6167">
        <v>-0.1132624</v>
      </c>
      <c r="W6167">
        <v>0.37115550000000003</v>
      </c>
      <c r="X6167">
        <v>0.92163720000000005</v>
      </c>
      <c r="Y6167">
        <v>-7.3467050000000006E-2</v>
      </c>
      <c r="Z6167">
        <v>-7.1034269999999997E-2</v>
      </c>
      <c r="AA6167">
        <v>0.99476469999999995</v>
      </c>
      <c r="AB6167">
        <v>46</v>
      </c>
      <c r="AC6167">
        <v>-1.0181</v>
      </c>
      <c r="AD6167">
        <v>-1.1099829252760001</v>
      </c>
      <c r="AE6167">
        <v>13.48874</v>
      </c>
      <c r="AF6167">
        <v>-1.0230134245962801</v>
      </c>
      <c r="AG6167">
        <v>-1.1099829252760001</v>
      </c>
      <c r="AH6167">
        <v>13.397634843869</v>
      </c>
      <c r="AI6167">
        <v>94.722406818698502</v>
      </c>
      <c r="AJ6167">
        <v>94.366504387775095</v>
      </c>
      <c r="AK6167">
        <v>13.482404754752</v>
      </c>
      <c r="AL6167">
        <v>68.213101291081301</v>
      </c>
      <c r="AM6167">
        <v>97.0060986714536</v>
      </c>
      <c r="AN6167">
        <v>0.99999995242892303</v>
      </c>
    </row>
    <row r="6168" spans="1:40" x14ac:dyDescent="0.25">
      <c r="A6168" t="str">
        <f>"20190304164530197"</f>
        <v>20190304164530197</v>
      </c>
      <c r="B6168" t="str">
        <f>"1551689130186288"</f>
        <v>1551689130186288</v>
      </c>
      <c r="C6168" t="s">
        <v>40</v>
      </c>
      <c r="D6168">
        <v>4.5915819999999998</v>
      </c>
      <c r="E6168">
        <v>0.53439169999999903</v>
      </c>
      <c r="F6168" t="s">
        <v>42</v>
      </c>
      <c r="G6168">
        <v>-188.20330000000001</v>
      </c>
      <c r="H6168" s="1">
        <v>-4.253861E-6</v>
      </c>
      <c r="I6168">
        <v>48.805720000000001</v>
      </c>
      <c r="J6168">
        <v>-187.1473</v>
      </c>
      <c r="K6168">
        <v>1.109985</v>
      </c>
      <c r="L6168">
        <v>34.971249999999998</v>
      </c>
      <c r="M6168">
        <v>4.8140800000000001E-4</v>
      </c>
      <c r="N6168">
        <v>-8.1508090000000002E-3</v>
      </c>
      <c r="O6168">
        <v>0.99996669999999999</v>
      </c>
      <c r="P6168">
        <v>-0.1116851</v>
      </c>
      <c r="Q6168">
        <v>0.36369899999999999</v>
      </c>
      <c r="R6168">
        <v>0.92479699999999998</v>
      </c>
      <c r="S6168">
        <v>-0.24534610000000001</v>
      </c>
      <c r="T6168">
        <v>-0.25792090000000001</v>
      </c>
      <c r="U6168">
        <v>3.3159179999999999</v>
      </c>
      <c r="V6168">
        <v>-0.1125618</v>
      </c>
      <c r="W6168">
        <v>0.37109360000000002</v>
      </c>
      <c r="X6168">
        <v>0.92174800000000001</v>
      </c>
      <c r="Y6168">
        <v>-7.4065999999999896E-2</v>
      </c>
      <c r="Z6168">
        <v>-6.9207820000000003E-2</v>
      </c>
      <c r="AA6168">
        <v>0.99484899999999998</v>
      </c>
      <c r="AB6168">
        <v>46</v>
      </c>
      <c r="AC6168">
        <v>-1.05600000000001</v>
      </c>
      <c r="AD6168">
        <v>-1.1099892538609999</v>
      </c>
      <c r="AE6168">
        <v>13.83447</v>
      </c>
      <c r="AF6168">
        <v>-1.0559022016027899</v>
      </c>
      <c r="AG6168">
        <v>-1.1099892538609999</v>
      </c>
      <c r="AH6168">
        <v>13.745983796838001</v>
      </c>
      <c r="AI6168">
        <v>94.603119605776698</v>
      </c>
      <c r="AJ6168">
        <v>94.392567843688298</v>
      </c>
      <c r="AK6168">
        <v>13.831090923928199</v>
      </c>
      <c r="AL6168">
        <v>68.216921691907601</v>
      </c>
      <c r="AM6168">
        <v>96.962359452037802</v>
      </c>
      <c r="AN6168">
        <v>0.99999999714209997</v>
      </c>
    </row>
    <row r="6169" spans="1:40" x14ac:dyDescent="0.25">
      <c r="A6169" t="str">
        <f>"20190304164530220"</f>
        <v>20190304164530220</v>
      </c>
      <c r="B6169" t="str">
        <f>"1551689130216535"</f>
        <v>1551689130216535</v>
      </c>
      <c r="C6169" t="s">
        <v>40</v>
      </c>
      <c r="D6169">
        <v>4.6038110000000003</v>
      </c>
      <c r="E6169">
        <v>0.5347847</v>
      </c>
      <c r="F6169" t="s">
        <v>42</v>
      </c>
      <c r="G6169">
        <v>-188.20949999999999</v>
      </c>
      <c r="H6169" s="1">
        <v>-4.48297199999999E-6</v>
      </c>
      <c r="I6169">
        <v>49.34234</v>
      </c>
      <c r="J6169">
        <v>-187.1473</v>
      </c>
      <c r="K6169">
        <v>1.109999</v>
      </c>
      <c r="L6169">
        <v>35.426940000000002</v>
      </c>
      <c r="M6169" s="1">
        <v>5.1893369999999998E-5</v>
      </c>
      <c r="N6169">
        <v>-8.1609070000000002E-3</v>
      </c>
      <c r="O6169">
        <v>0.99996669999999999</v>
      </c>
      <c r="P6169">
        <v>-0.1112262</v>
      </c>
      <c r="Q6169">
        <v>0.36346070000000003</v>
      </c>
      <c r="R6169">
        <v>0.92494600000000005</v>
      </c>
      <c r="S6169">
        <v>-0.24502560000000001</v>
      </c>
      <c r="T6169">
        <v>-0.25604769999999999</v>
      </c>
      <c r="U6169">
        <v>3.3150629999999999</v>
      </c>
      <c r="V6169">
        <v>-0.11171830000000001</v>
      </c>
      <c r="W6169">
        <v>0.37086380000000002</v>
      </c>
      <c r="X6169">
        <v>0.92194310000000002</v>
      </c>
      <c r="Y6169">
        <v>-7.3563980000000001E-2</v>
      </c>
      <c r="Z6169">
        <v>-6.8660559999999995E-2</v>
      </c>
      <c r="AA6169">
        <v>0.99492409999999998</v>
      </c>
      <c r="AB6169">
        <v>46</v>
      </c>
      <c r="AC6169">
        <v>-1.06219999999999</v>
      </c>
      <c r="AD6169">
        <v>-1.110003482972</v>
      </c>
      <c r="AE6169">
        <v>13.915399999999901</v>
      </c>
      <c r="AF6169">
        <v>-1.0562402873313199</v>
      </c>
      <c r="AG6169">
        <v>-1.110003482972</v>
      </c>
      <c r="AH6169">
        <v>13.8278687625521</v>
      </c>
      <c r="AI6169">
        <v>94.576185034684599</v>
      </c>
      <c r="AJ6169">
        <v>94.368049862484199</v>
      </c>
      <c r="AK6169">
        <v>13.9125017804548</v>
      </c>
      <c r="AL6169">
        <v>68.231100259570695</v>
      </c>
      <c r="AM6169">
        <v>96.909244010304207</v>
      </c>
      <c r="AN6169">
        <v>1.0000000081714699</v>
      </c>
    </row>
    <row r="6170" spans="1:40" x14ac:dyDescent="0.25">
      <c r="A6170" t="str">
        <f>"20190304164530244"</f>
        <v>20190304164530244</v>
      </c>
      <c r="B6170" t="str">
        <f>"1551689130236055"</f>
        <v>1551689130236055</v>
      </c>
      <c r="C6170" t="s">
        <v>40</v>
      </c>
      <c r="D6170">
        <v>4.5722239999999896</v>
      </c>
      <c r="E6170">
        <v>0.53483099999999995</v>
      </c>
      <c r="F6170" t="s">
        <v>42</v>
      </c>
      <c r="G6170">
        <v>-188.13749999999999</v>
      </c>
      <c r="H6170" s="1">
        <v>-4.3655610000000002E-6</v>
      </c>
      <c r="I6170">
        <v>49.038879999999999</v>
      </c>
      <c r="J6170">
        <v>-187.14760000000001</v>
      </c>
      <c r="K6170">
        <v>1.1100270000000001</v>
      </c>
      <c r="L6170">
        <v>35.924219999999998</v>
      </c>
      <c r="M6170">
        <v>-4.4801530000000001E-4</v>
      </c>
      <c r="N6170">
        <v>-8.1780009999999903E-3</v>
      </c>
      <c r="O6170">
        <v>0.99996640000000003</v>
      </c>
      <c r="P6170">
        <v>-0.11061020000000001</v>
      </c>
      <c r="Q6170">
        <v>0.36338860000000001</v>
      </c>
      <c r="R6170">
        <v>0.92504819999999999</v>
      </c>
      <c r="S6170">
        <v>-0.2415619</v>
      </c>
      <c r="T6170">
        <v>-0.27079900000000001</v>
      </c>
      <c r="U6170">
        <v>3.3208009999999999</v>
      </c>
      <c r="V6170">
        <v>-0.1106612</v>
      </c>
      <c r="W6170">
        <v>0.37080350000000001</v>
      </c>
      <c r="X6170">
        <v>0.92209479999999999</v>
      </c>
      <c r="Y6170">
        <v>-7.1884119999999996E-2</v>
      </c>
      <c r="Z6170">
        <v>-7.2911429999999999E-2</v>
      </c>
      <c r="AA6170">
        <v>0.99474450000000003</v>
      </c>
      <c r="AB6170">
        <v>46</v>
      </c>
      <c r="AC6170">
        <v>-0.98989999999997702</v>
      </c>
      <c r="AD6170">
        <v>-1.1100313655609999</v>
      </c>
      <c r="AE6170">
        <v>13.114660000000001</v>
      </c>
      <c r="AF6170">
        <v>-0.97706408804756195</v>
      </c>
      <c r="AG6170">
        <v>-1.1100313655609999</v>
      </c>
      <c r="AH6170">
        <v>13.0223384751305</v>
      </c>
      <c r="AI6170">
        <v>94.8585558606934</v>
      </c>
      <c r="AJ6170">
        <v>94.290853974580997</v>
      </c>
      <c r="AK6170">
        <v>13.106033848023801</v>
      </c>
      <c r="AL6170">
        <v>68.234819768033503</v>
      </c>
      <c r="AM6170">
        <v>96.843375175830701</v>
      </c>
      <c r="AN6170">
        <v>0.99999997849236399</v>
      </c>
    </row>
    <row r="6171" spans="1:40" x14ac:dyDescent="0.25">
      <c r="A6171" t="str">
        <f>"20190304164530266"</f>
        <v>20190304164530266</v>
      </c>
      <c r="B6171" t="str">
        <f>"1551689130256019"</f>
        <v>1551689130256019</v>
      </c>
      <c r="C6171" t="s">
        <v>40</v>
      </c>
      <c r="D6171">
        <v>4.6277309999999998</v>
      </c>
      <c r="E6171">
        <v>0.53490780000000004</v>
      </c>
      <c r="F6171" t="s">
        <v>42</v>
      </c>
      <c r="G6171">
        <v>-188.1044</v>
      </c>
      <c r="H6171" s="1">
        <v>-4.4289190000000004E-6</v>
      </c>
      <c r="I6171">
        <v>49.172870000000003</v>
      </c>
      <c r="J6171">
        <v>-187.1481</v>
      </c>
      <c r="K6171">
        <v>1.1100589999999999</v>
      </c>
      <c r="L6171">
        <v>36.386020000000002</v>
      </c>
      <c r="M6171">
        <v>-9.4956049999999996E-4</v>
      </c>
      <c r="N6171">
        <v>-8.2001219999999903E-3</v>
      </c>
      <c r="O6171">
        <v>0.99996589999999996</v>
      </c>
      <c r="P6171">
        <v>-0.1100365</v>
      </c>
      <c r="Q6171">
        <v>0.36382910000000002</v>
      </c>
      <c r="R6171">
        <v>0.92494339999999997</v>
      </c>
      <c r="S6171">
        <v>-0.24002080000000001</v>
      </c>
      <c r="T6171">
        <v>-0.2784797</v>
      </c>
      <c r="U6171">
        <v>3.3237610000000002</v>
      </c>
      <c r="V6171">
        <v>-0.1096509</v>
      </c>
      <c r="W6171">
        <v>0.37125740000000002</v>
      </c>
      <c r="X6171">
        <v>0.92203290000000004</v>
      </c>
      <c r="Y6171">
        <v>-7.0848809999999998E-2</v>
      </c>
      <c r="Z6171">
        <v>-7.51053E-2</v>
      </c>
      <c r="AA6171">
        <v>0.99465550000000003</v>
      </c>
      <c r="AB6171">
        <v>46</v>
      </c>
      <c r="AC6171">
        <v>-0.95629999999999804</v>
      </c>
      <c r="AD6171">
        <v>-1.1100634289189999</v>
      </c>
      <c r="AE6171">
        <v>12.786849999999999</v>
      </c>
      <c r="AF6171">
        <v>-0.93713386698268897</v>
      </c>
      <c r="AG6171">
        <v>-1.1100634289189999</v>
      </c>
      <c r="AH6171">
        <v>12.6926266832532</v>
      </c>
      <c r="AI6171">
        <v>94.984719695948002</v>
      </c>
      <c r="AJ6171">
        <v>94.222653637225704</v>
      </c>
      <c r="AK6171">
        <v>12.775493447272501</v>
      </c>
      <c r="AL6171">
        <v>68.206815209578295</v>
      </c>
      <c r="AM6171">
        <v>96.781932966794599</v>
      </c>
      <c r="AN6171">
        <v>1.00000002280398</v>
      </c>
    </row>
    <row r="6172" spans="1:40" x14ac:dyDescent="0.25">
      <c r="A6172" t="str">
        <f>"20190304164530290"</f>
        <v>20190304164530290</v>
      </c>
      <c r="B6172" t="str">
        <f>"1551689130286277"</f>
        <v>1551689130286277</v>
      </c>
      <c r="C6172" t="s">
        <v>40</v>
      </c>
      <c r="D6172">
        <v>4.6214659999999999</v>
      </c>
      <c r="E6172">
        <v>0.53493169999999901</v>
      </c>
      <c r="F6172" t="s">
        <v>42</v>
      </c>
      <c r="G6172">
        <v>-188.07859999999999</v>
      </c>
      <c r="H6172" s="1">
        <v>-4.5500599999999996E-6</v>
      </c>
      <c r="I6172">
        <v>49.44462</v>
      </c>
      <c r="J6172">
        <v>-187.149</v>
      </c>
      <c r="K6172">
        <v>1.1101000000000001</v>
      </c>
      <c r="L6172">
        <v>36.87744</v>
      </c>
      <c r="M6172">
        <v>-1.5246089999999999E-3</v>
      </c>
      <c r="N6172">
        <v>-8.2285120000000003E-3</v>
      </c>
      <c r="O6172">
        <v>0.99996499999999999</v>
      </c>
      <c r="P6172">
        <v>-0.11036550000000001</v>
      </c>
      <c r="Q6172">
        <v>0.36394769999999999</v>
      </c>
      <c r="R6172">
        <v>0.92485759999999995</v>
      </c>
      <c r="S6172">
        <v>-0.23702999999999999</v>
      </c>
      <c r="T6172">
        <v>-0.28277150000000001</v>
      </c>
      <c r="U6172">
        <v>3.3264770000000001</v>
      </c>
      <c r="V6172">
        <v>-0.10948189999999999</v>
      </c>
      <c r="W6172">
        <v>0.371392</v>
      </c>
      <c r="X6172">
        <v>0.92199869999999995</v>
      </c>
      <c r="Y6172">
        <v>-6.9320809999999997E-2</v>
      </c>
      <c r="Z6172">
        <v>-7.6291049999999999E-2</v>
      </c>
      <c r="AA6172">
        <v>0.99467300000000003</v>
      </c>
      <c r="AB6172">
        <v>46</v>
      </c>
      <c r="AC6172">
        <v>-0.92959999999999299</v>
      </c>
      <c r="AD6172">
        <v>-1.11010455006</v>
      </c>
      <c r="AE6172">
        <v>12.56718</v>
      </c>
      <c r="AF6172">
        <v>-0.90342730775362201</v>
      </c>
      <c r="AG6172">
        <v>-1.11010455006</v>
      </c>
      <c r="AH6172">
        <v>12.471796992808899</v>
      </c>
      <c r="AI6172">
        <v>95.0732234304825</v>
      </c>
      <c r="AJ6172">
        <v>94.143133462713607</v>
      </c>
      <c r="AK6172">
        <v>12.553654178855499</v>
      </c>
      <c r="AL6172">
        <v>68.198507765245097</v>
      </c>
      <c r="AM6172">
        <v>96.771826264041295</v>
      </c>
      <c r="AN6172">
        <v>0.99999995344664805</v>
      </c>
    </row>
    <row r="6173" spans="1:40" x14ac:dyDescent="0.25">
      <c r="A6173" t="str">
        <f>"20190304164530310"</f>
        <v>20190304164530310</v>
      </c>
      <c r="B6173" t="str">
        <f>"1551689130306772"</f>
        <v>1551689130306772</v>
      </c>
      <c r="C6173" t="s">
        <v>40</v>
      </c>
      <c r="D6173">
        <v>4.6430959999999999</v>
      </c>
      <c r="E6173">
        <v>0.53493459999999904</v>
      </c>
      <c r="F6173" t="s">
        <v>42</v>
      </c>
      <c r="G6173">
        <v>-188.06020000000001</v>
      </c>
      <c r="H6173" s="1">
        <v>-5.2755119999999899E-7</v>
      </c>
      <c r="I6173">
        <v>49.681609999999999</v>
      </c>
      <c r="J6173">
        <v>-187.15</v>
      </c>
      <c r="K6173">
        <v>1.110136</v>
      </c>
      <c r="L6173">
        <v>37.304720000000003</v>
      </c>
      <c r="M6173">
        <v>-2.0565620000000001E-3</v>
      </c>
      <c r="N6173">
        <v>-8.2588230000000002E-3</v>
      </c>
      <c r="O6173">
        <v>0.99996379999999996</v>
      </c>
      <c r="P6173">
        <v>-0.1114204</v>
      </c>
      <c r="Q6173">
        <v>0.36407509999999998</v>
      </c>
      <c r="R6173">
        <v>0.92468090000000003</v>
      </c>
      <c r="S6173">
        <v>-0.23690800000000001</v>
      </c>
      <c r="T6173">
        <v>-0.2886225</v>
      </c>
      <c r="U6173">
        <v>3.3290410000000001</v>
      </c>
      <c r="V6173">
        <v>-0.1100751</v>
      </c>
      <c r="W6173">
        <v>0.3715367</v>
      </c>
      <c r="X6173">
        <v>0.92186979999999996</v>
      </c>
      <c r="Y6173">
        <v>-6.869016E-2</v>
      </c>
      <c r="Z6173">
        <v>-7.7933649999999993E-2</v>
      </c>
      <c r="AA6173">
        <v>0.99458939999999996</v>
      </c>
      <c r="AB6173">
        <v>46</v>
      </c>
      <c r="AC6173">
        <v>-0.91020000000000301</v>
      </c>
      <c r="AD6173">
        <v>-1.1101365275511901</v>
      </c>
      <c r="AE6173">
        <v>12.3768899999999</v>
      </c>
      <c r="AF6173">
        <v>-0.87772003176687996</v>
      </c>
      <c r="AG6173">
        <v>-1.1101365275511901</v>
      </c>
      <c r="AH6173">
        <v>12.280469992326401</v>
      </c>
      <c r="AI6173">
        <v>95.152342543530295</v>
      </c>
      <c r="AJ6173">
        <v>94.088140136182901</v>
      </c>
      <c r="AK6173">
        <v>12.361744973764701</v>
      </c>
      <c r="AL6173">
        <v>68.189578908419904</v>
      </c>
      <c r="AM6173">
        <v>96.809117219629599</v>
      </c>
      <c r="AN6173">
        <v>0.99999998761946896</v>
      </c>
    </row>
    <row r="6174" spans="1:40" x14ac:dyDescent="0.25">
      <c r="A6174" t="str">
        <f>"20190304164530333"</f>
        <v>20190304164530333</v>
      </c>
      <c r="B6174" t="str">
        <f>"1551689130326292"</f>
        <v>1551689130326292</v>
      </c>
      <c r="C6174" t="s">
        <v>40</v>
      </c>
      <c r="D6174">
        <v>4.6715519999999904</v>
      </c>
      <c r="E6174">
        <v>0.53511359999999997</v>
      </c>
      <c r="F6174" t="s">
        <v>42</v>
      </c>
      <c r="G6174">
        <v>-188.06460000000001</v>
      </c>
      <c r="H6174" s="1">
        <v>-6.3432069999999897E-7</v>
      </c>
      <c r="I6174">
        <v>49.998820000000002</v>
      </c>
      <c r="J6174">
        <v>-187.15129999999999</v>
      </c>
      <c r="K6174">
        <v>1.110177</v>
      </c>
      <c r="L6174">
        <v>37.77261</v>
      </c>
      <c r="M6174">
        <v>-2.6652239999999999E-3</v>
      </c>
      <c r="N6174">
        <v>-8.3019700000000005E-3</v>
      </c>
      <c r="O6174">
        <v>0.99996200000000002</v>
      </c>
      <c r="P6174">
        <v>-0.1123677</v>
      </c>
      <c r="Q6174">
        <v>0.364033</v>
      </c>
      <c r="R6174">
        <v>0.92458280000000004</v>
      </c>
      <c r="S6174">
        <v>-0.23994450000000001</v>
      </c>
      <c r="T6174">
        <v>-0.29122769999999998</v>
      </c>
      <c r="U6174">
        <v>3.3301090000000002</v>
      </c>
      <c r="V6174">
        <v>-0.11049009999999999</v>
      </c>
      <c r="W6174">
        <v>0.37152479999999999</v>
      </c>
      <c r="X6174">
        <v>0.92182500000000001</v>
      </c>
      <c r="Y6174">
        <v>-6.8958190000000003E-2</v>
      </c>
      <c r="Z6174">
        <v>-7.8631809999999996E-2</v>
      </c>
      <c r="AA6174">
        <v>0.99451579999999995</v>
      </c>
      <c r="AB6174">
        <v>47</v>
      </c>
      <c r="AC6174">
        <v>-0.91330000000001998</v>
      </c>
      <c r="AD6174">
        <v>-1.1101776343206999</v>
      </c>
      <c r="AE6174">
        <v>12.22621</v>
      </c>
      <c r="AF6174">
        <v>-0.87354743910410604</v>
      </c>
      <c r="AG6174">
        <v>-1.1101776343206999</v>
      </c>
      <c r="AH6174">
        <v>12.1291484944598</v>
      </c>
      <c r="AI6174">
        <v>95.216259278367602</v>
      </c>
      <c r="AJ6174">
        <v>94.119358677967995</v>
      </c>
      <c r="AK6174">
        <v>12.211135193288399</v>
      </c>
      <c r="AL6174">
        <v>68.190314379609902</v>
      </c>
      <c r="AM6174">
        <v>96.834875269343996</v>
      </c>
      <c r="AN6174">
        <v>1.0000000349190199</v>
      </c>
    </row>
    <row r="6175" spans="1:40" x14ac:dyDescent="0.25">
      <c r="A6175" t="str">
        <f>"20190304164530355"</f>
        <v>20190304164530355</v>
      </c>
      <c r="B6175" t="str">
        <f>"1551689130346788"</f>
        <v>1551689130346788</v>
      </c>
      <c r="C6175" t="s">
        <v>40</v>
      </c>
      <c r="D6175">
        <v>4.651643</v>
      </c>
      <c r="E6175">
        <v>0.5455044</v>
      </c>
      <c r="F6175" t="s">
        <v>42</v>
      </c>
      <c r="G6175">
        <v>-188.0711</v>
      </c>
      <c r="H6175" s="1">
        <v>-7.6981309999999905E-7</v>
      </c>
      <c r="I6175">
        <v>50.402070000000002</v>
      </c>
      <c r="J6175">
        <v>-187.15299999999999</v>
      </c>
      <c r="K6175">
        <v>1.110212</v>
      </c>
      <c r="L6175">
        <v>38.24689</v>
      </c>
      <c r="M6175">
        <v>-3.3053520000000001E-3</v>
      </c>
      <c r="N6175">
        <v>-8.3614659999999997E-3</v>
      </c>
      <c r="O6175">
        <v>0.99995959999999995</v>
      </c>
      <c r="P6175">
        <v>-0.11346349999999999</v>
      </c>
      <c r="Q6175">
        <v>0.3640388</v>
      </c>
      <c r="R6175">
        <v>0.92444680000000001</v>
      </c>
      <c r="S6175">
        <v>-0.24256900000000001</v>
      </c>
      <c r="T6175">
        <v>-0.29276419999999997</v>
      </c>
      <c r="U6175">
        <v>3.330505</v>
      </c>
      <c r="V6175">
        <v>-0.11102040000000001</v>
      </c>
      <c r="W6175">
        <v>0.37157659999999998</v>
      </c>
      <c r="X6175">
        <v>0.92174040000000002</v>
      </c>
      <c r="Y6175">
        <v>-6.9088109999999994E-2</v>
      </c>
      <c r="Z6175">
        <v>-7.9014609999999999E-2</v>
      </c>
      <c r="AA6175">
        <v>0.99447649999999999</v>
      </c>
      <c r="AB6175">
        <v>47</v>
      </c>
      <c r="AC6175">
        <v>-0.91810000000000902</v>
      </c>
      <c r="AD6175">
        <v>-1.1102127698130999</v>
      </c>
      <c r="AE6175">
        <v>12.15518</v>
      </c>
      <c r="AF6175">
        <v>-0.87069398163614098</v>
      </c>
      <c r="AG6175">
        <v>-1.1102127698130999</v>
      </c>
      <c r="AH6175">
        <v>12.0581255854653</v>
      </c>
      <c r="AI6175">
        <v>95.246907223120203</v>
      </c>
      <c r="AJ6175">
        <v>94.1300496024203</v>
      </c>
      <c r="AK6175">
        <v>12.140390151834699</v>
      </c>
      <c r="AL6175">
        <v>68.187117541784502</v>
      </c>
      <c r="AM6175">
        <v>96.867991173317193</v>
      </c>
      <c r="AN6175">
        <v>1.0000000319379301</v>
      </c>
    </row>
    <row r="6176" spans="1:40" x14ac:dyDescent="0.25">
      <c r="A6176" t="str">
        <f>"20190304164530377"</f>
        <v>20190304164530377</v>
      </c>
      <c r="B6176" t="str">
        <f>"1551689130366314"</f>
        <v>1551689130366314</v>
      </c>
      <c r="C6176" t="s">
        <v>40</v>
      </c>
      <c r="D6176">
        <v>4.6342619999999997</v>
      </c>
      <c r="E6176">
        <v>0.54528359999999998</v>
      </c>
      <c r="F6176" t="s">
        <v>41</v>
      </c>
      <c r="G6176">
        <v>-187.20769999999999</v>
      </c>
      <c r="H6176">
        <v>1.0132890000000001</v>
      </c>
      <c r="I6176">
        <v>39.357810000000001</v>
      </c>
      <c r="J6176">
        <v>-187.15479999999999</v>
      </c>
      <c r="K6176">
        <v>1.1102479999999999</v>
      </c>
      <c r="L6176">
        <v>38.695740000000001</v>
      </c>
      <c r="M6176">
        <v>-3.925937E-3</v>
      </c>
      <c r="N6176">
        <v>-8.4394050000000005E-3</v>
      </c>
      <c r="O6176">
        <v>0.99995670000000003</v>
      </c>
      <c r="P6176">
        <v>-0.1144867</v>
      </c>
      <c r="Q6176">
        <v>0.3644655</v>
      </c>
      <c r="R6176">
        <v>0.92415239999999998</v>
      </c>
      <c r="S6176">
        <v>-0.1648712</v>
      </c>
      <c r="T6176">
        <v>-0.29138019999999998</v>
      </c>
      <c r="U6176">
        <v>3.3396910000000002</v>
      </c>
      <c r="V6176">
        <v>-0.1114926</v>
      </c>
      <c r="W6176">
        <v>0.3720657</v>
      </c>
      <c r="X6176">
        <v>0.92148600000000003</v>
      </c>
      <c r="Y6176">
        <v>-4.5215419999999999E-2</v>
      </c>
      <c r="Z6176">
        <v>-7.8409779999999998E-2</v>
      </c>
      <c r="AA6176">
        <v>0.99589530000000004</v>
      </c>
      <c r="AB6176">
        <v>47</v>
      </c>
      <c r="AC6176">
        <v>-5.2899999999993903E-2</v>
      </c>
      <c r="AD6176">
        <v>-9.6959000000000004E-2</v>
      </c>
      <c r="AE6176">
        <v>0.66206999999999905</v>
      </c>
      <c r="AF6176">
        <v>-4.9250671631386599E-2</v>
      </c>
      <c r="AG6176">
        <v>-9.6959000000000004E-2</v>
      </c>
      <c r="AH6176">
        <v>0.64845337107003098</v>
      </c>
      <c r="AI6176">
        <v>98.479994689953401</v>
      </c>
      <c r="AJ6176">
        <v>94.343332064354001</v>
      </c>
      <c r="AK6176">
        <v>0.65750927810125304</v>
      </c>
      <c r="AL6176">
        <v>68.156928350618799</v>
      </c>
      <c r="AM6176">
        <v>96.898807559076005</v>
      </c>
      <c r="AN6176">
        <v>0.999999966583624</v>
      </c>
    </row>
    <row r="6177" spans="1:40" x14ac:dyDescent="0.25">
      <c r="A6177" t="str">
        <f>"20190304164530398"</f>
        <v>20190304164530398</v>
      </c>
      <c r="B6177" t="str">
        <f>"1551689130386804"</f>
        <v>1551689130386804</v>
      </c>
      <c r="C6177" t="s">
        <v>40</v>
      </c>
      <c r="D6177">
        <v>4.633006</v>
      </c>
      <c r="E6177">
        <v>0.54578660000000001</v>
      </c>
      <c r="F6177" t="s">
        <v>41</v>
      </c>
      <c r="G6177">
        <v>-187.21019999999999</v>
      </c>
      <c r="H6177">
        <v>1.013997</v>
      </c>
      <c r="I6177">
        <v>39.776910000000001</v>
      </c>
      <c r="J6177">
        <v>-187.15700000000001</v>
      </c>
      <c r="K6177">
        <v>1.1102829999999999</v>
      </c>
      <c r="L6177">
        <v>39.148130000000002</v>
      </c>
      <c r="M6177">
        <v>-4.5607950000000003E-3</v>
      </c>
      <c r="N6177">
        <v>-8.5309010000000005E-3</v>
      </c>
      <c r="O6177">
        <v>0.99995319999999999</v>
      </c>
      <c r="P6177">
        <v>-0.11523650000000001</v>
      </c>
      <c r="Q6177">
        <v>0.36476609999999998</v>
      </c>
      <c r="R6177">
        <v>0.9239406</v>
      </c>
      <c r="S6177">
        <v>-0.17153929999999901</v>
      </c>
      <c r="T6177">
        <v>-0.29755999999999999</v>
      </c>
      <c r="U6177">
        <v>3.3423159999999998</v>
      </c>
      <c r="V6177">
        <v>-0.1116752</v>
      </c>
      <c r="W6177">
        <v>0.3724442</v>
      </c>
      <c r="X6177">
        <v>0.92131099999999999</v>
      </c>
      <c r="Y6177">
        <v>-4.651661E-2</v>
      </c>
      <c r="Z6177">
        <v>-8.0070630000000004E-2</v>
      </c>
      <c r="AA6177">
        <v>0.99570320000000001</v>
      </c>
      <c r="AB6177">
        <v>47</v>
      </c>
      <c r="AC6177">
        <v>-5.3199999999975399E-2</v>
      </c>
      <c r="AD6177">
        <v>-9.6285999999999802E-2</v>
      </c>
      <c r="AE6177">
        <v>0.62877999999999901</v>
      </c>
      <c r="AF6177">
        <v>-4.9186419116804297E-2</v>
      </c>
      <c r="AG6177">
        <v>-9.6285999999999802E-2</v>
      </c>
      <c r="AH6177">
        <v>0.61470420651707902</v>
      </c>
      <c r="AI6177">
        <v>98.874444472917105</v>
      </c>
      <c r="AJ6177">
        <v>94.574855067909994</v>
      </c>
      <c r="AK6177">
        <v>0.62414065652809803</v>
      </c>
      <c r="AL6177">
        <v>68.133563279895398</v>
      </c>
      <c r="AM6177">
        <v>96.911296951239805</v>
      </c>
      <c r="AN6177">
        <v>0.99999999556483998</v>
      </c>
    </row>
    <row r="6178" spans="1:40" x14ac:dyDescent="0.25">
      <c r="A6178" t="str">
        <f>"20190304164530421"</f>
        <v>20190304164530421</v>
      </c>
      <c r="B6178" t="str">
        <f>"1551689130416084"</f>
        <v>1551689130416084</v>
      </c>
      <c r="C6178" t="s">
        <v>40</v>
      </c>
      <c r="D6178">
        <v>4.6436089999999997</v>
      </c>
      <c r="E6178">
        <v>0.54629919999999899</v>
      </c>
      <c r="F6178" t="s">
        <v>41</v>
      </c>
      <c r="G6178">
        <v>-187.21039999999999</v>
      </c>
      <c r="H6178">
        <v>1.0170840000000001</v>
      </c>
      <c r="I6178">
        <v>40.201180000000001</v>
      </c>
      <c r="J6178">
        <v>-187.15969999999999</v>
      </c>
      <c r="K6178">
        <v>1.1103270000000001</v>
      </c>
      <c r="L6178">
        <v>39.632599999999996</v>
      </c>
      <c r="M6178">
        <v>-5.2460469999999898E-3</v>
      </c>
      <c r="N6178">
        <v>-8.6515800000000007E-3</v>
      </c>
      <c r="O6178">
        <v>0.99994879999999997</v>
      </c>
      <c r="P6178">
        <v>-0.1153177</v>
      </c>
      <c r="Q6178">
        <v>0.364699</v>
      </c>
      <c r="R6178">
        <v>0.92395700000000003</v>
      </c>
      <c r="S6178">
        <v>-0.16984560000000001</v>
      </c>
      <c r="T6178">
        <v>-0.29583199999999998</v>
      </c>
      <c r="U6178">
        <v>3.3425600000000002</v>
      </c>
      <c r="V6178">
        <v>-0.1111403</v>
      </c>
      <c r="W6178">
        <v>0.37248439999999999</v>
      </c>
      <c r="X6178">
        <v>0.92135940000000005</v>
      </c>
      <c r="Y6178">
        <v>-4.532796E-2</v>
      </c>
      <c r="Z6178">
        <v>-7.9436489999999998E-2</v>
      </c>
      <c r="AA6178">
        <v>0.99580880000000005</v>
      </c>
      <c r="AB6178">
        <v>47</v>
      </c>
      <c r="AC6178">
        <v>-5.0700000000006101E-2</v>
      </c>
      <c r="AD6178">
        <v>-9.3242999999999895E-2</v>
      </c>
      <c r="AE6178">
        <v>0.56858000000000397</v>
      </c>
      <c r="AF6178">
        <v>-4.6476336073607398E-2</v>
      </c>
      <c r="AG6178">
        <v>-9.3242999999999895E-2</v>
      </c>
      <c r="AH6178">
        <v>0.55405515206765599</v>
      </c>
      <c r="AI6178">
        <v>99.520080884846394</v>
      </c>
      <c r="AJ6178">
        <v>94.794970842431596</v>
      </c>
      <c r="AK6178">
        <v>0.56376539304620299</v>
      </c>
      <c r="AL6178">
        <v>68.131080805200895</v>
      </c>
      <c r="AM6178">
        <v>96.878153372639602</v>
      </c>
      <c r="AN6178">
        <v>0.99999996924790402</v>
      </c>
    </row>
    <row r="6179" spans="1:40" x14ac:dyDescent="0.25">
      <c r="A6179" t="str">
        <f>"20190304164530444"</f>
        <v>20190304164530444</v>
      </c>
      <c r="B6179" t="str">
        <f>"1551689130436580"</f>
        <v>1551689130436580</v>
      </c>
      <c r="C6179" t="s">
        <v>40</v>
      </c>
      <c r="D6179">
        <v>4.6536609999999996</v>
      </c>
      <c r="E6179">
        <v>0.54650330000000003</v>
      </c>
      <c r="F6179" t="s">
        <v>41</v>
      </c>
      <c r="G6179">
        <v>-187.2089</v>
      </c>
      <c r="H6179">
        <v>1.021639</v>
      </c>
      <c r="I6179">
        <v>40.62621</v>
      </c>
      <c r="J6179">
        <v>-187.1626</v>
      </c>
      <c r="K6179">
        <v>1.1103620000000001</v>
      </c>
      <c r="L6179">
        <v>40.107819999999997</v>
      </c>
      <c r="M6179">
        <v>-5.9163569999999997E-3</v>
      </c>
      <c r="N6179">
        <v>-8.7934750000000002E-3</v>
      </c>
      <c r="O6179">
        <v>0.9999439</v>
      </c>
      <c r="P6179">
        <v>-0.11585529999999999</v>
      </c>
      <c r="Q6179">
        <v>0.3641472</v>
      </c>
      <c r="R6179">
        <v>0.92410729999999996</v>
      </c>
      <c r="S6179">
        <v>-0.16616819999999999</v>
      </c>
      <c r="T6179">
        <v>-0.29847899999999999</v>
      </c>
      <c r="U6179">
        <v>3.3439640000000002</v>
      </c>
      <c r="V6179">
        <v>-0.111071</v>
      </c>
      <c r="W6179">
        <v>0.37206129999999998</v>
      </c>
      <c r="X6179">
        <v>0.92153870000000004</v>
      </c>
      <c r="Y6179">
        <v>-4.3542579999999997E-2</v>
      </c>
      <c r="Z6179">
        <v>-8.0045939999999996E-2</v>
      </c>
      <c r="AA6179">
        <v>0.99583969999999999</v>
      </c>
      <c r="AB6179">
        <v>47</v>
      </c>
      <c r="AC6179">
        <v>-4.6300000000002201E-2</v>
      </c>
      <c r="AD6179">
        <v>-8.8723000000000093E-2</v>
      </c>
      <c r="AE6179">
        <v>0.51838999999999602</v>
      </c>
      <c r="AF6179">
        <v>-4.2011208918620299E-2</v>
      </c>
      <c r="AG6179">
        <v>-8.8723000000000093E-2</v>
      </c>
      <c r="AH6179">
        <v>0.50400795809107002</v>
      </c>
      <c r="AI6179">
        <v>99.949956964495897</v>
      </c>
      <c r="AJ6179">
        <v>94.764832264237597</v>
      </c>
      <c r="AK6179">
        <v>0.513479049448888</v>
      </c>
      <c r="AL6179">
        <v>68.157200185579299</v>
      </c>
      <c r="AM6179">
        <v>96.872581007796001</v>
      </c>
      <c r="AN6179">
        <v>0.99999997679818897</v>
      </c>
    </row>
    <row r="6180" spans="1:40" x14ac:dyDescent="0.25">
      <c r="A6180" t="str">
        <f>"20190304164530480"</f>
        <v>20190304164530480</v>
      </c>
      <c r="B6180" t="str">
        <f>"1551689130476596"</f>
        <v>1551689130476596</v>
      </c>
      <c r="C6180" t="s">
        <v>40</v>
      </c>
      <c r="D6180">
        <v>4.6326429999999998</v>
      </c>
      <c r="E6180">
        <v>0.54674519999999904</v>
      </c>
      <c r="F6180" t="s">
        <v>42</v>
      </c>
      <c r="G6180">
        <v>-187.76599999999999</v>
      </c>
      <c r="H6180" s="1">
        <v>-1.589147E-6</v>
      </c>
      <c r="I6180">
        <v>52.413400000000003</v>
      </c>
      <c r="J6180">
        <v>-187.16759999999999</v>
      </c>
      <c r="K6180">
        <v>1.110409</v>
      </c>
      <c r="L6180">
        <v>40.842289999999998</v>
      </c>
      <c r="M6180">
        <v>-6.9232719999999899E-3</v>
      </c>
      <c r="N6180">
        <v>-9.0500830000000004E-3</v>
      </c>
      <c r="O6180">
        <v>0.99993509999999997</v>
      </c>
      <c r="P6180">
        <v>-0.11731229999999999</v>
      </c>
      <c r="Q6180">
        <v>0.36337770000000003</v>
      </c>
      <c r="R6180">
        <v>0.9242264</v>
      </c>
      <c r="S6180">
        <v>-0.16403199999999901</v>
      </c>
      <c r="T6180">
        <v>-0.30180289999999999</v>
      </c>
      <c r="U6180">
        <v>3.3447269999999998</v>
      </c>
      <c r="V6180">
        <v>-0.1116056</v>
      </c>
      <c r="W6180">
        <v>0.37152659999999998</v>
      </c>
      <c r="X6180">
        <v>0.92168989999999995</v>
      </c>
      <c r="Y6180">
        <v>-4.1887889999999997E-2</v>
      </c>
      <c r="Z6180">
        <v>-8.0755579999999993E-2</v>
      </c>
      <c r="AA6180">
        <v>0.9958534</v>
      </c>
      <c r="AB6180">
        <v>47</v>
      </c>
      <c r="AC6180">
        <v>-0.59839999999999705</v>
      </c>
      <c r="AD6180">
        <v>-1.110410589147</v>
      </c>
      <c r="AE6180">
        <v>11.5711099999999</v>
      </c>
      <c r="AF6180">
        <v>-0.51355566607499203</v>
      </c>
      <c r="AG6180">
        <v>-1.110410589147</v>
      </c>
      <c r="AH6180">
        <v>11.469632470743001</v>
      </c>
      <c r="AI6180">
        <v>95.524247701041304</v>
      </c>
      <c r="AJ6180">
        <v>92.563720521888897</v>
      </c>
      <c r="AK6180">
        <v>11.534696359790701</v>
      </c>
      <c r="AL6180">
        <v>68.190203598607695</v>
      </c>
      <c r="AM6180">
        <v>96.904219187515693</v>
      </c>
      <c r="AN6180">
        <v>1.0000000481104601</v>
      </c>
    </row>
    <row r="6181" spans="1:40" x14ac:dyDescent="0.25">
      <c r="A6181" t="str">
        <f>"20190304164530501"</f>
        <v>20190304164530501</v>
      </c>
      <c r="B6181" t="str">
        <f>"1551689130496115"</f>
        <v>1551689130496115</v>
      </c>
      <c r="C6181" t="s">
        <v>40</v>
      </c>
      <c r="D6181">
        <v>4.6563990000000004</v>
      </c>
      <c r="E6181">
        <v>0.54678709999999997</v>
      </c>
      <c r="F6181" t="s">
        <v>41</v>
      </c>
      <c r="G6181">
        <v>-187.2184</v>
      </c>
      <c r="H6181">
        <v>1.016065</v>
      </c>
      <c r="I6181">
        <v>41.874670000000002</v>
      </c>
      <c r="J6181">
        <v>-187.1712</v>
      </c>
      <c r="K6181">
        <v>1.1104320000000001</v>
      </c>
      <c r="L6181">
        <v>41.305210000000002</v>
      </c>
      <c r="M6181">
        <v>-7.5227459999999899E-3</v>
      </c>
      <c r="N6181">
        <v>-9.2280260000000003E-3</v>
      </c>
      <c r="O6181">
        <v>0.99992910000000002</v>
      </c>
      <c r="P6181">
        <v>-0.11766310000000001</v>
      </c>
      <c r="Q6181">
        <v>0.36329</v>
      </c>
      <c r="R6181">
        <v>0.92421629999999999</v>
      </c>
      <c r="S6181">
        <v>-0.16471859999999999</v>
      </c>
      <c r="T6181">
        <v>-0.3057048</v>
      </c>
      <c r="U6181">
        <v>3.3452449999999998</v>
      </c>
      <c r="V6181">
        <v>-0.111397</v>
      </c>
      <c r="W6181">
        <v>0.37160490000000002</v>
      </c>
      <c r="X6181">
        <v>0.92168349999999999</v>
      </c>
      <c r="Y6181">
        <v>-4.1480950000000003E-2</v>
      </c>
      <c r="Z6181">
        <v>-8.1716120000000003E-2</v>
      </c>
      <c r="AA6181">
        <v>0.99579200000000001</v>
      </c>
      <c r="AB6181">
        <v>47</v>
      </c>
      <c r="AC6181">
        <v>-4.72000000000036E-2</v>
      </c>
      <c r="AD6181">
        <v>-9.4366999999999798E-2</v>
      </c>
      <c r="AE6181">
        <v>0.56946000000000596</v>
      </c>
      <c r="AF6181">
        <v>-4.1775223427985599E-2</v>
      </c>
      <c r="AG6181">
        <v>-9.4366999999999798E-2</v>
      </c>
      <c r="AH6181">
        <v>0.55467116478802803</v>
      </c>
      <c r="AI6181">
        <v>99.628606826873494</v>
      </c>
      <c r="AJ6181">
        <v>94.307117036156399</v>
      </c>
      <c r="AK6181">
        <v>0.56419003981705196</v>
      </c>
      <c r="AL6181">
        <v>68.185369908727594</v>
      </c>
      <c r="AM6181">
        <v>96.891486243270805</v>
      </c>
      <c r="AN6181">
        <v>0.999999983742629</v>
      </c>
    </row>
    <row r="6182" spans="1:40" x14ac:dyDescent="0.25">
      <c r="A6182" t="str">
        <f>"20190304164530523"</f>
        <v>20190304164530523</v>
      </c>
      <c r="B6182" t="str">
        <f>"1551689130516612"</f>
        <v>1551689130516612</v>
      </c>
      <c r="C6182" t="s">
        <v>40</v>
      </c>
      <c r="D6182">
        <v>4.6164800000000001</v>
      </c>
      <c r="E6182">
        <v>0.54677710000000002</v>
      </c>
      <c r="F6182" t="s">
        <v>41</v>
      </c>
      <c r="G6182">
        <v>-187.2201</v>
      </c>
      <c r="H6182">
        <v>1.019344</v>
      </c>
      <c r="I6182">
        <v>42.297150000000002</v>
      </c>
      <c r="J6182">
        <v>-187.17500000000001</v>
      </c>
      <c r="K6182">
        <v>1.110436</v>
      </c>
      <c r="L6182">
        <v>41.758330000000001</v>
      </c>
      <c r="M6182">
        <v>-8.0757069999999997E-3</v>
      </c>
      <c r="N6182">
        <v>-9.4114579999999993E-3</v>
      </c>
      <c r="O6182">
        <v>0.99992309999999995</v>
      </c>
      <c r="P6182">
        <v>-0.11848119999999999</v>
      </c>
      <c r="Q6182">
        <v>0.36310880000000001</v>
      </c>
      <c r="R6182">
        <v>0.92418299999999998</v>
      </c>
      <c r="S6182">
        <v>-0.1651917</v>
      </c>
      <c r="T6182">
        <v>-0.30724179999999901</v>
      </c>
      <c r="U6182">
        <v>3.3457340000000002</v>
      </c>
      <c r="V6182">
        <v>-0.1116901</v>
      </c>
      <c r="W6182">
        <v>0.3715965</v>
      </c>
      <c r="X6182">
        <v>0.92165140000000001</v>
      </c>
      <c r="Y6182">
        <v>-4.1060369999999999E-2</v>
      </c>
      <c r="Z6182">
        <v>-8.1973740000000003E-2</v>
      </c>
      <c r="AA6182">
        <v>0.99578829999999996</v>
      </c>
      <c r="AB6182">
        <v>47</v>
      </c>
      <c r="AC6182">
        <v>-4.50999999999908E-2</v>
      </c>
      <c r="AD6182">
        <v>-9.1091999999999895E-2</v>
      </c>
      <c r="AE6182">
        <v>0.53882000000000096</v>
      </c>
      <c r="AF6182">
        <v>-3.9622425432311897E-2</v>
      </c>
      <c r="AG6182">
        <v>-9.1091999999999895E-2</v>
      </c>
      <c r="AH6182">
        <v>0.52428642839892703</v>
      </c>
      <c r="AI6182">
        <v>99.828965917700899</v>
      </c>
      <c r="AJ6182">
        <v>94.321856058071106</v>
      </c>
      <c r="AK6182">
        <v>0.53361404410345303</v>
      </c>
      <c r="AL6182">
        <v>68.185888004088298</v>
      </c>
      <c r="AM6182">
        <v>96.909681904003193</v>
      </c>
      <c r="AN6182">
        <v>0.99999997018610898</v>
      </c>
    </row>
    <row r="6183" spans="1:40" x14ac:dyDescent="0.25">
      <c r="A6183" t="str">
        <f>"20190304164530544"</f>
        <v>20190304164530544</v>
      </c>
      <c r="B6183" t="str">
        <f>"1551689130536133"</f>
        <v>1551689130536133</v>
      </c>
      <c r="C6183" t="s">
        <v>40</v>
      </c>
      <c r="D6183">
        <v>5.0334640000000004</v>
      </c>
      <c r="E6183">
        <v>0.54688389999999998</v>
      </c>
      <c r="F6183" t="s">
        <v>41</v>
      </c>
      <c r="G6183">
        <v>-187.22309999999999</v>
      </c>
      <c r="H6183">
        <v>1.0218370000000001</v>
      </c>
      <c r="I6183">
        <v>42.719540000000002</v>
      </c>
      <c r="J6183">
        <v>-187.17920000000001</v>
      </c>
      <c r="K6183">
        <v>1.110444</v>
      </c>
      <c r="L6183">
        <v>42.234589999999997</v>
      </c>
      <c r="M6183">
        <v>-8.6005109999999999E-3</v>
      </c>
      <c r="N6183">
        <v>-9.6321259999999995E-3</v>
      </c>
      <c r="O6183">
        <v>0.99991660000000004</v>
      </c>
      <c r="P6183">
        <v>-0.1189323</v>
      </c>
      <c r="Q6183">
        <v>0.3635198</v>
      </c>
      <c r="R6183">
        <v>0.92396350000000005</v>
      </c>
      <c r="S6183">
        <v>-0.16770940000000001</v>
      </c>
      <c r="T6183">
        <v>-0.30839280000000002</v>
      </c>
      <c r="U6183">
        <v>3.345764</v>
      </c>
      <c r="V6183">
        <v>-0.1116307</v>
      </c>
      <c r="W6183">
        <v>0.37221799999999999</v>
      </c>
      <c r="X6183">
        <v>0.9214078</v>
      </c>
      <c r="Y6183">
        <v>-4.1281829999999999E-2</v>
      </c>
      <c r="Z6183">
        <v>-8.2090070000000001E-2</v>
      </c>
      <c r="AA6183">
        <v>0.99576960000000003</v>
      </c>
      <c r="AB6183">
        <v>47</v>
      </c>
      <c r="AC6183">
        <v>-4.38999999999794E-2</v>
      </c>
      <c r="AD6183">
        <v>-8.8606999999999797E-2</v>
      </c>
      <c r="AE6183">
        <v>0.48494999999999699</v>
      </c>
      <c r="AF6183">
        <v>-3.8454038621509298E-2</v>
      </c>
      <c r="AG6183">
        <v>-8.8606999999999797E-2</v>
      </c>
      <c r="AH6183">
        <v>0.46975468478958099</v>
      </c>
      <c r="AI6183">
        <v>100.647059567909</v>
      </c>
      <c r="AJ6183">
        <v>94.679788245883799</v>
      </c>
      <c r="AK6183">
        <v>0.47958250324325202</v>
      </c>
      <c r="AL6183">
        <v>68.147527570010695</v>
      </c>
      <c r="AM6183">
        <v>96.907850801536497</v>
      </c>
      <c r="AN6183">
        <v>0.99999999330366496</v>
      </c>
    </row>
    <row r="6184" spans="1:40" x14ac:dyDescent="0.25">
      <c r="A6184" t="str">
        <f>"20190304164530571"</f>
        <v>20190304164530571</v>
      </c>
      <c r="B6184" t="str">
        <f>"1551689130566389"</f>
        <v>1551689130566389</v>
      </c>
      <c r="C6184" t="s">
        <v>40</v>
      </c>
      <c r="D6184">
        <v>4.8294800000000002</v>
      </c>
      <c r="E6184">
        <v>0.53881159999999995</v>
      </c>
      <c r="F6184" t="s">
        <v>42</v>
      </c>
      <c r="G6184">
        <v>-187.78630000000001</v>
      </c>
      <c r="H6184" s="1">
        <v>-2.3861299999999999E-6</v>
      </c>
      <c r="I6184">
        <v>54.2795699999999</v>
      </c>
      <c r="J6184">
        <v>-187.18379999999999</v>
      </c>
      <c r="K6184">
        <v>1.1104270000000001</v>
      </c>
      <c r="L6184">
        <v>42.731050000000003</v>
      </c>
      <c r="M6184">
        <v>-9.067093E-3</v>
      </c>
      <c r="N6184">
        <v>-9.8913750000000009E-3</v>
      </c>
      <c r="O6184">
        <v>0.99990999999999997</v>
      </c>
      <c r="P6184">
        <v>-0.1193105</v>
      </c>
      <c r="Q6184">
        <v>0.36307289999999998</v>
      </c>
      <c r="R6184">
        <v>0.92409039999999998</v>
      </c>
      <c r="S6184">
        <v>-0.1686859</v>
      </c>
      <c r="T6184">
        <v>-0.30852459999999998</v>
      </c>
      <c r="U6184">
        <v>3.3465579999999999</v>
      </c>
      <c r="V6184">
        <v>-0.1115293</v>
      </c>
      <c r="W6184">
        <v>0.37202590000000002</v>
      </c>
      <c r="X6184">
        <v>0.92149769999999998</v>
      </c>
      <c r="Y6184">
        <v>-4.1094119999999998E-2</v>
      </c>
      <c r="Z6184">
        <v>-8.1848329999999997E-2</v>
      </c>
      <c r="AA6184">
        <v>0.99579720000000005</v>
      </c>
      <c r="AB6184">
        <v>47</v>
      </c>
      <c r="AC6184">
        <v>-0.60250000000002002</v>
      </c>
      <c r="AD6184">
        <v>-1.1104293861299901</v>
      </c>
      <c r="AE6184">
        <v>11.5485199999999</v>
      </c>
      <c r="AF6184">
        <v>-0.49321101375510401</v>
      </c>
      <c r="AG6184">
        <v>-1.1104293861299901</v>
      </c>
      <c r="AH6184">
        <v>11.4479539489638</v>
      </c>
      <c r="AI6184">
        <v>95.535145101783201</v>
      </c>
      <c r="AJ6184">
        <v>92.466942559637104</v>
      </c>
      <c r="AK6184">
        <v>11.5122526094273</v>
      </c>
      <c r="AL6184">
        <v>68.159386607353994</v>
      </c>
      <c r="AM6184">
        <v>96.900969766868897</v>
      </c>
      <c r="AN6184">
        <v>1.00000003306729</v>
      </c>
    </row>
    <row r="6185" spans="1:40" x14ac:dyDescent="0.25">
      <c r="A6185" t="str">
        <f>"20190304164530588"</f>
        <v>20190304164530588</v>
      </c>
      <c r="B6185" t="str">
        <f>"1551689130576148"</f>
        <v>1551689130576148</v>
      </c>
      <c r="C6185" t="s">
        <v>40</v>
      </c>
      <c r="D6185">
        <v>4.8424889999999996</v>
      </c>
      <c r="E6185">
        <v>0.53611560000000003</v>
      </c>
      <c r="F6185" t="s">
        <v>41</v>
      </c>
      <c r="G6185">
        <v>-187.25579999999999</v>
      </c>
      <c r="H6185">
        <v>0.8643769</v>
      </c>
      <c r="I6185">
        <v>43.488230000000001</v>
      </c>
      <c r="J6185">
        <v>-187.18770000000001</v>
      </c>
      <c r="K6185">
        <v>1.1104099999999999</v>
      </c>
      <c r="L6185">
        <v>43.139310000000002</v>
      </c>
      <c r="M6185">
        <v>-9.3685139999999997E-3</v>
      </c>
      <c r="N6185">
        <v>-1.0126720000000001E-2</v>
      </c>
      <c r="O6185">
        <v>0.99990480000000004</v>
      </c>
      <c r="P6185">
        <v>-0.11926920000000001</v>
      </c>
      <c r="Q6185">
        <v>0.36278260000000001</v>
      </c>
      <c r="R6185">
        <v>0.92420979999999997</v>
      </c>
      <c r="S6185">
        <v>-0.34999079999999999</v>
      </c>
      <c r="T6185">
        <v>-1.1925079999999999</v>
      </c>
      <c r="U6185">
        <v>3.6697690000000001</v>
      </c>
      <c r="V6185">
        <v>-0.1111549</v>
      </c>
      <c r="W6185">
        <v>0.37197059999999998</v>
      </c>
      <c r="X6185">
        <v>0.92156519999999997</v>
      </c>
      <c r="Y6185">
        <v>-8.1148869999999998E-2</v>
      </c>
      <c r="Z6185">
        <v>-0.29824479999999998</v>
      </c>
      <c r="AA6185">
        <v>0.95103360000000003</v>
      </c>
      <c r="AB6185">
        <v>47</v>
      </c>
      <c r="AC6185">
        <v>-6.8099999999986893E-2</v>
      </c>
      <c r="AD6185">
        <v>-0.2460331</v>
      </c>
      <c r="AE6185">
        <v>0.348920000000006</v>
      </c>
      <c r="AF6185">
        <v>-4.3833494022865099E-2</v>
      </c>
      <c r="AG6185">
        <v>-0.2460331</v>
      </c>
      <c r="AH6185">
        <v>0.236343599519972</v>
      </c>
      <c r="AI6185">
        <v>135.66657420808599</v>
      </c>
      <c r="AJ6185">
        <v>100.506983512861</v>
      </c>
      <c r="AK6185">
        <v>0.343965054224872</v>
      </c>
      <c r="AL6185">
        <v>68.162798779845005</v>
      </c>
      <c r="AM6185">
        <v>96.8775267828659</v>
      </c>
      <c r="AN6185">
        <v>0.99999997845470401</v>
      </c>
    </row>
    <row r="6186" spans="1:40" x14ac:dyDescent="0.25">
      <c r="A6186" t="str">
        <f>"20190304164530611"</f>
        <v>20190304164530611</v>
      </c>
      <c r="B6186" t="str">
        <f>"1551689130606404"</f>
        <v>1551689130606404</v>
      </c>
      <c r="C6186" t="s">
        <v>40</v>
      </c>
      <c r="D6186">
        <v>4.6851139999999996</v>
      </c>
      <c r="E6186">
        <v>0.53288819999999903</v>
      </c>
      <c r="F6186" t="s">
        <v>41</v>
      </c>
      <c r="G6186">
        <v>-187.2653</v>
      </c>
      <c r="H6186">
        <v>0.85379090000000002</v>
      </c>
      <c r="I6186">
        <v>43.90484</v>
      </c>
      <c r="J6186">
        <v>-187.19229999999999</v>
      </c>
      <c r="K6186">
        <v>1.110368</v>
      </c>
      <c r="L6186">
        <v>43.621029999999998</v>
      </c>
      <c r="M6186">
        <v>-9.6287509999999996E-3</v>
      </c>
      <c r="N6186">
        <v>-1.042917E-2</v>
      </c>
      <c r="O6186">
        <v>0.99989930000000005</v>
      </c>
      <c r="P6186">
        <v>-0.11914</v>
      </c>
      <c r="Q6186">
        <v>0.36285539999999999</v>
      </c>
      <c r="R6186">
        <v>0.92419790000000002</v>
      </c>
      <c r="S6186">
        <v>-0.37400820000000001</v>
      </c>
      <c r="T6186">
        <v>-1.234362</v>
      </c>
      <c r="U6186">
        <v>3.6822810000000001</v>
      </c>
      <c r="V6186">
        <v>-0.1107112</v>
      </c>
      <c r="W6186">
        <v>0.37234460000000003</v>
      </c>
      <c r="X6186">
        <v>0.92146760000000005</v>
      </c>
      <c r="Y6186">
        <v>-8.6440349999999999E-2</v>
      </c>
      <c r="Z6186">
        <v>-0.306587099999999</v>
      </c>
      <c r="AA6186">
        <v>0.94790949999999996</v>
      </c>
      <c r="AB6186">
        <v>47</v>
      </c>
      <c r="AC6186">
        <v>-7.3000000000007503E-2</v>
      </c>
      <c r="AD6186">
        <v>-0.2565771</v>
      </c>
      <c r="AE6186">
        <v>0.28381000000000201</v>
      </c>
      <c r="AF6186">
        <v>-3.9773840785583298E-2</v>
      </c>
      <c r="AG6186">
        <v>-0.2565771</v>
      </c>
      <c r="AH6186">
        <v>0.16104537452860301</v>
      </c>
      <c r="AI6186">
        <v>147.116211334897</v>
      </c>
      <c r="AJ6186">
        <v>103.872889059602</v>
      </c>
      <c r="AK6186">
        <v>0.30553130659934802</v>
      </c>
      <c r="AL6186">
        <v>68.139712406674704</v>
      </c>
      <c r="AM6186">
        <v>96.8510536456686</v>
      </c>
      <c r="AN6186">
        <v>1.00000000440218</v>
      </c>
    </row>
    <row r="6187" spans="1:40" x14ac:dyDescent="0.25">
      <c r="A6187" t="str">
        <f>"20190304164530635"</f>
        <v>20190304164530635</v>
      </c>
      <c r="B6187" t="str">
        <f>"1551689130625924"</f>
        <v>1551689130625924</v>
      </c>
      <c r="C6187" t="s">
        <v>40</v>
      </c>
      <c r="D6187">
        <v>4.7608899999999998</v>
      </c>
      <c r="E6187">
        <v>0.53251490000000001</v>
      </c>
      <c r="F6187" t="s">
        <v>41</v>
      </c>
      <c r="G6187">
        <v>-187.26949999999999</v>
      </c>
      <c r="H6187">
        <v>0.86455230000000005</v>
      </c>
      <c r="I6187">
        <v>44.330219999999997</v>
      </c>
      <c r="J6187">
        <v>-187.19730000000001</v>
      </c>
      <c r="K6187">
        <v>1.1103259999999999</v>
      </c>
      <c r="L6187">
        <v>44.115259999999999</v>
      </c>
      <c r="M6187">
        <v>-9.8034130000000004E-3</v>
      </c>
      <c r="N6187">
        <v>-1.0761969999999999E-2</v>
      </c>
      <c r="O6187">
        <v>0.99989399999999995</v>
      </c>
      <c r="P6187">
        <v>-0.1192097</v>
      </c>
      <c r="Q6187">
        <v>0.36259209999999997</v>
      </c>
      <c r="R6187">
        <v>0.92429220000000001</v>
      </c>
      <c r="S6187">
        <v>-0.40235900000000002</v>
      </c>
      <c r="T6187">
        <v>-1.2815639999999999</v>
      </c>
      <c r="U6187">
        <v>3.6973569999999998</v>
      </c>
      <c r="V6187">
        <v>-0.11053780000000001</v>
      </c>
      <c r="W6187">
        <v>0.37241360000000001</v>
      </c>
      <c r="X6187">
        <v>0.92146050000000002</v>
      </c>
      <c r="Y6187">
        <v>-9.2717830000000001E-2</v>
      </c>
      <c r="Z6187">
        <v>-0.31573370000000001</v>
      </c>
      <c r="AA6187">
        <v>0.94430700000000001</v>
      </c>
      <c r="AB6187">
        <v>47</v>
      </c>
      <c r="AC6187">
        <v>-7.2199999999980904E-2</v>
      </c>
      <c r="AD6187">
        <v>-0.24577369999999901</v>
      </c>
      <c r="AE6187">
        <v>0.21496000000000401</v>
      </c>
      <c r="AF6187">
        <v>-3.2229048726405002E-2</v>
      </c>
      <c r="AG6187">
        <v>-0.24577369999999901</v>
      </c>
      <c r="AH6187">
        <v>9.9165775394904204E-2</v>
      </c>
      <c r="AI6187">
        <v>157.010502691532</v>
      </c>
      <c r="AJ6187">
        <v>108.004251344943</v>
      </c>
      <c r="AK6187">
        <v>0.26697804067595399</v>
      </c>
      <c r="AL6187">
        <v>68.135451936579301</v>
      </c>
      <c r="AM6187">
        <v>96.840477229457505</v>
      </c>
      <c r="AN6187">
        <v>0.999999973877024</v>
      </c>
    </row>
    <row r="6188" spans="1:40" x14ac:dyDescent="0.25">
      <c r="A6188" t="str">
        <f>"20190304164530659"</f>
        <v>20190304164530659</v>
      </c>
      <c r="B6188" t="str">
        <f>"1551689130646420"</f>
        <v>1551689130646420</v>
      </c>
      <c r="C6188" t="s">
        <v>40</v>
      </c>
      <c r="D6188">
        <v>4.7467189999999997</v>
      </c>
      <c r="E6188">
        <v>0.5325491</v>
      </c>
      <c r="F6188" t="s">
        <v>42</v>
      </c>
      <c r="G6188">
        <v>-187.54730000000001</v>
      </c>
      <c r="H6188" s="1">
        <v>-3.7239110000000001E-6</v>
      </c>
      <c r="I6188">
        <v>47.299160000000001</v>
      </c>
      <c r="J6188">
        <v>-187.20230000000001</v>
      </c>
      <c r="K6188">
        <v>1.110277</v>
      </c>
      <c r="L6188">
        <v>44.620449999999998</v>
      </c>
      <c r="M6188">
        <v>-9.8813589999999993E-3</v>
      </c>
      <c r="N6188">
        <v>-1.110944E-2</v>
      </c>
      <c r="O6188">
        <v>0.99988949999999999</v>
      </c>
      <c r="P6188">
        <v>-0.1187503</v>
      </c>
      <c r="Q6188">
        <v>0.36205229999999999</v>
      </c>
      <c r="R6188">
        <v>0.92456289999999997</v>
      </c>
      <c r="S6188">
        <v>-0.40676879999999999</v>
      </c>
      <c r="T6188">
        <v>-1.290082</v>
      </c>
      <c r="U6188">
        <v>3.699341</v>
      </c>
      <c r="V6188">
        <v>-0.1099204</v>
      </c>
      <c r="W6188">
        <v>0.37222149999999998</v>
      </c>
      <c r="X6188">
        <v>0.92161199999999999</v>
      </c>
      <c r="Y6188">
        <v>-9.3637200000000004E-2</v>
      </c>
      <c r="Z6188">
        <v>-0.31715490000000002</v>
      </c>
      <c r="AA6188">
        <v>0.94373980000000002</v>
      </c>
      <c r="AB6188">
        <v>47</v>
      </c>
      <c r="AC6188">
        <v>-0.34499999999999797</v>
      </c>
      <c r="AD6188">
        <v>-1.110280723911</v>
      </c>
      <c r="AE6188">
        <v>2.6787100000000001</v>
      </c>
      <c r="AF6188">
        <v>-0.27246712369878701</v>
      </c>
      <c r="AG6188">
        <v>-1.110280723911</v>
      </c>
      <c r="AH6188">
        <v>2.2942720146906401</v>
      </c>
      <c r="AI6188">
        <v>115.66702873075801</v>
      </c>
      <c r="AJ6188">
        <v>96.772709668968105</v>
      </c>
      <c r="AK6188">
        <v>2.5633270756533699</v>
      </c>
      <c r="AL6188">
        <v>68.147311869692601</v>
      </c>
      <c r="AM6188">
        <v>96.801521547209703</v>
      </c>
      <c r="AN6188">
        <v>1.0000000089712</v>
      </c>
    </row>
    <row r="6189" spans="1:40" x14ac:dyDescent="0.25">
      <c r="A6189" t="str">
        <f>"20190304164530681"</f>
        <v>20190304164530681</v>
      </c>
      <c r="B6189" t="str">
        <f>"1551689130676675"</f>
        <v>1551689130676675</v>
      </c>
      <c r="C6189" t="s">
        <v>40</v>
      </c>
      <c r="D6189">
        <v>4.7337099999999896</v>
      </c>
      <c r="E6189">
        <v>0.53280590000000005</v>
      </c>
      <c r="F6189" t="s">
        <v>42</v>
      </c>
      <c r="G6189">
        <v>-187.5506</v>
      </c>
      <c r="H6189" s="1">
        <v>-3.937369E-6</v>
      </c>
      <c r="I6189">
        <v>47.798099999999998</v>
      </c>
      <c r="J6189">
        <v>-187.20670000000001</v>
      </c>
      <c r="K6189">
        <v>1.110225</v>
      </c>
      <c r="L6189">
        <v>45.066409999999998</v>
      </c>
      <c r="M6189">
        <v>-9.8827510000000004E-3</v>
      </c>
      <c r="N6189">
        <v>-1.1402320000000001E-2</v>
      </c>
      <c r="O6189">
        <v>0.99988619999999995</v>
      </c>
      <c r="P6189">
        <v>-0.118268</v>
      </c>
      <c r="Q6189">
        <v>0.36148829999999998</v>
      </c>
      <c r="R6189">
        <v>0.92484529999999998</v>
      </c>
      <c r="S6189">
        <v>-0.40550229999999998</v>
      </c>
      <c r="T6189">
        <v>-1.292359</v>
      </c>
      <c r="U6189">
        <v>3.6987610000000002</v>
      </c>
      <c r="V6189">
        <v>-0.10936220000000001</v>
      </c>
      <c r="W6189">
        <v>0.371952</v>
      </c>
      <c r="X6189">
        <v>0.92178720000000003</v>
      </c>
      <c r="Y6189">
        <v>-9.3316819999999995E-2</v>
      </c>
      <c r="Z6189">
        <v>-0.31745129999999999</v>
      </c>
      <c r="AA6189">
        <v>0.94367190000000001</v>
      </c>
      <c r="AB6189">
        <v>47</v>
      </c>
      <c r="AC6189">
        <v>-0.34389999999998999</v>
      </c>
      <c r="AD6189">
        <v>-1.110228937369</v>
      </c>
      <c r="AE6189">
        <v>2.73169</v>
      </c>
      <c r="AF6189">
        <v>-0.27256455783067102</v>
      </c>
      <c r="AG6189">
        <v>-1.110228937369</v>
      </c>
      <c r="AH6189">
        <v>2.3524379922377499</v>
      </c>
      <c r="AI6189">
        <v>115.11774267914601</v>
      </c>
      <c r="AJ6189">
        <v>96.609089443426797</v>
      </c>
      <c r="AK6189">
        <v>2.61550458590317</v>
      </c>
      <c r="AL6189">
        <v>68.163947618700107</v>
      </c>
      <c r="AM6189">
        <v>96.766028754675901</v>
      </c>
      <c r="AN6189">
        <v>1.0000000115883301</v>
      </c>
    </row>
    <row r="6190" spans="1:40" x14ac:dyDescent="0.25">
      <c r="A6190" t="str">
        <f>"20190304164530703"</f>
        <v>20190304164530703</v>
      </c>
      <c r="B6190" t="str">
        <f>"1551689130696196"</f>
        <v>1551689130696196</v>
      </c>
      <c r="C6190" t="s">
        <v>40</v>
      </c>
      <c r="D6190">
        <v>4.7744030000000004</v>
      </c>
      <c r="E6190">
        <v>0.53297850000000002</v>
      </c>
      <c r="F6190" t="s">
        <v>42</v>
      </c>
      <c r="G6190">
        <v>-187.55369999999999</v>
      </c>
      <c r="H6190" s="1">
        <v>-4.1279699999999997E-6</v>
      </c>
      <c r="I6190">
        <v>48.243670000000002</v>
      </c>
      <c r="J6190">
        <v>-187.21129999999999</v>
      </c>
      <c r="K6190">
        <v>1.110171</v>
      </c>
      <c r="L6190">
        <v>45.534970000000001</v>
      </c>
      <c r="M6190">
        <v>-9.8141819999999994E-3</v>
      </c>
      <c r="N6190">
        <v>-1.1689659999999999E-2</v>
      </c>
      <c r="O6190">
        <v>0.99988350000000004</v>
      </c>
      <c r="P6190">
        <v>-0.1179497</v>
      </c>
      <c r="Q6190">
        <v>0.36131069999999998</v>
      </c>
      <c r="R6190">
        <v>0.92495539999999998</v>
      </c>
      <c r="S6190">
        <v>-0.40374759999999998</v>
      </c>
      <c r="T6190">
        <v>-1.2918700000000001</v>
      </c>
      <c r="U6190">
        <v>3.6970830000000001</v>
      </c>
      <c r="V6190">
        <v>-0.1090299</v>
      </c>
      <c r="W6190">
        <v>0.37206349999999999</v>
      </c>
      <c r="X6190">
        <v>0.92178150000000003</v>
      </c>
      <c r="Y6190">
        <v>-9.2993039999999999E-2</v>
      </c>
      <c r="Z6190">
        <v>-0.31721329999999998</v>
      </c>
      <c r="AA6190">
        <v>0.94378390000000001</v>
      </c>
      <c r="AB6190">
        <v>47</v>
      </c>
      <c r="AC6190">
        <v>-0.34239999999999698</v>
      </c>
      <c r="AD6190">
        <v>-1.1101751279700001</v>
      </c>
      <c r="AE6190">
        <v>2.7086999999999999</v>
      </c>
      <c r="AF6190">
        <v>-0.27099229743085301</v>
      </c>
      <c r="AG6190">
        <v>-1.1101751279700001</v>
      </c>
      <c r="AH6190">
        <v>2.3271589449496299</v>
      </c>
      <c r="AI6190">
        <v>115.353924323714</v>
      </c>
      <c r="AJ6190">
        <v>96.642047113976005</v>
      </c>
      <c r="AK6190">
        <v>2.5926037867536098</v>
      </c>
      <c r="AL6190">
        <v>68.157063779973498</v>
      </c>
      <c r="AM6190">
        <v>96.745701061133204</v>
      </c>
      <c r="AN6190">
        <v>0.99999995043425305</v>
      </c>
    </row>
    <row r="6191" spans="1:40" x14ac:dyDescent="0.25">
      <c r="A6191" t="str">
        <f>"20190304164530726"</f>
        <v>20190304164530726</v>
      </c>
      <c r="B6191" t="str">
        <f>"1551689130716692"</f>
        <v>1551689130716692</v>
      </c>
      <c r="C6191" t="s">
        <v>40</v>
      </c>
      <c r="D6191">
        <v>4.6730869999999998</v>
      </c>
      <c r="E6191">
        <v>0.53219499999999997</v>
      </c>
      <c r="F6191" t="s">
        <v>41</v>
      </c>
      <c r="G6191">
        <v>-187.30760000000001</v>
      </c>
      <c r="H6191">
        <v>0.80237099999999995</v>
      </c>
      <c r="I6191">
        <v>46.416849999999997</v>
      </c>
      <c r="J6191">
        <v>-187.21619999999999</v>
      </c>
      <c r="K6191">
        <v>1.1101099999999999</v>
      </c>
      <c r="L6191">
        <v>46.032040000000002</v>
      </c>
      <c r="M6191">
        <v>-9.6670369999999999E-3</v>
      </c>
      <c r="N6191">
        <v>-1.197148E-2</v>
      </c>
      <c r="O6191">
        <v>0.99988160000000004</v>
      </c>
      <c r="P6191">
        <v>-0.1178531</v>
      </c>
      <c r="Q6191">
        <v>0.36128739999999998</v>
      </c>
      <c r="R6191">
        <v>0.92497680000000004</v>
      </c>
      <c r="S6191">
        <v>-0.40388489999999999</v>
      </c>
      <c r="T6191">
        <v>-1.2899210000000001</v>
      </c>
      <c r="U6191">
        <v>3.69577</v>
      </c>
      <c r="V6191">
        <v>-0.1089847</v>
      </c>
      <c r="W6191">
        <v>0.37232510000000002</v>
      </c>
      <c r="X6191">
        <v>0.92168130000000004</v>
      </c>
      <c r="Y6191">
        <v>-9.3227190000000001E-2</v>
      </c>
      <c r="Z6191">
        <v>-0.31660250000000001</v>
      </c>
      <c r="AA6191">
        <v>0.94396590000000002</v>
      </c>
      <c r="AB6191">
        <v>47</v>
      </c>
      <c r="AC6191">
        <v>-9.1400000000021395E-2</v>
      </c>
      <c r="AD6191">
        <v>-0.30773899999999899</v>
      </c>
      <c r="AE6191">
        <v>0.38480999999999399</v>
      </c>
      <c r="AF6191">
        <v>-5.4613093439646501E-2</v>
      </c>
      <c r="AG6191">
        <v>-0.30773899999999899</v>
      </c>
      <c r="AH6191">
        <v>0.240237497226403</v>
      </c>
      <c r="AI6191">
        <v>141.32025174600699</v>
      </c>
      <c r="AJ6191">
        <v>102.807364385962</v>
      </c>
      <c r="AK6191">
        <v>0.39420798719667399</v>
      </c>
      <c r="AL6191">
        <v>68.140916862024994</v>
      </c>
      <c r="AM6191">
        <v>96.743656586129106</v>
      </c>
      <c r="AN6191">
        <v>1.00000003184689</v>
      </c>
    </row>
    <row r="6192" spans="1:40" x14ac:dyDescent="0.25">
      <c r="A6192" t="str">
        <f>"20190304164530747"</f>
        <v>20190304164530747</v>
      </c>
      <c r="B6192" t="str">
        <f>"1551689130736212"</f>
        <v>1551689130736212</v>
      </c>
      <c r="C6192" t="s">
        <v>40</v>
      </c>
      <c r="D6192">
        <v>4.7831979999999996</v>
      </c>
      <c r="E6192">
        <v>0.53170839999999997</v>
      </c>
      <c r="F6192" t="s">
        <v>41</v>
      </c>
      <c r="G6192">
        <v>-187.3057</v>
      </c>
      <c r="H6192">
        <v>0.82831119999999903</v>
      </c>
      <c r="I6192">
        <v>46.836939999999998</v>
      </c>
      <c r="J6192">
        <v>-187.22040000000001</v>
      </c>
      <c r="K6192">
        <v>1.1100429999999999</v>
      </c>
      <c r="L6192">
        <v>46.475099999999998</v>
      </c>
      <c r="M6192">
        <v>-9.4774239999999999E-3</v>
      </c>
      <c r="N6192">
        <v>-1.219989E-2</v>
      </c>
      <c r="O6192">
        <v>0.99988069999999896</v>
      </c>
      <c r="P6192">
        <v>-0.11751540000000001</v>
      </c>
      <c r="Q6192">
        <v>0.36054570000000002</v>
      </c>
      <c r="R6192">
        <v>0.9253091</v>
      </c>
      <c r="S6192">
        <v>-0.41127010000000003</v>
      </c>
      <c r="T6192">
        <v>-1.2941229999999999</v>
      </c>
      <c r="U6192">
        <v>3.6963810000000001</v>
      </c>
      <c r="V6192">
        <v>-0.1087403</v>
      </c>
      <c r="W6192">
        <v>0.3718205</v>
      </c>
      <c r="X6192">
        <v>0.92191380000000001</v>
      </c>
      <c r="Y6192">
        <v>-9.5229789999999995E-2</v>
      </c>
      <c r="Z6192">
        <v>-0.31723170000000001</v>
      </c>
      <c r="AA6192">
        <v>0.94355460000000002</v>
      </c>
      <c r="AB6192">
        <v>47</v>
      </c>
      <c r="AC6192">
        <v>-8.5299999999989495E-2</v>
      </c>
      <c r="AD6192">
        <v>-0.28173179999999998</v>
      </c>
      <c r="AE6192">
        <v>0.36184000000000699</v>
      </c>
      <c r="AF6192">
        <v>-5.2001407120821297E-2</v>
      </c>
      <c r="AG6192">
        <v>-0.28173179999999998</v>
      </c>
      <c r="AH6192">
        <v>0.23034284760163301</v>
      </c>
      <c r="AI6192">
        <v>140.031200305027</v>
      </c>
      <c r="AJ6192">
        <v>102.721635340999</v>
      </c>
      <c r="AK6192">
        <v>0.36760682925513599</v>
      </c>
      <c r="AL6192">
        <v>68.172063783343305</v>
      </c>
      <c r="AM6192">
        <v>96.726991269817304</v>
      </c>
      <c r="AN6192">
        <v>0.99999999584738997</v>
      </c>
    </row>
    <row r="6193" spans="1:40" x14ac:dyDescent="0.25">
      <c r="A6193" t="str">
        <f>"20190304164530779"</f>
        <v>20190304164530779</v>
      </c>
      <c r="B6193" t="str">
        <f>"1551689130766108"</f>
        <v>1551689130766108</v>
      </c>
      <c r="C6193" t="s">
        <v>40</v>
      </c>
      <c r="D6193">
        <v>4.7728830000000002</v>
      </c>
      <c r="E6193">
        <v>0.53125730000000004</v>
      </c>
      <c r="F6193" t="s">
        <v>41</v>
      </c>
      <c r="G6193">
        <v>-187.30850000000001</v>
      </c>
      <c r="H6193">
        <v>0.83410949999999995</v>
      </c>
      <c r="I6193">
        <v>47.258870000000002</v>
      </c>
      <c r="J6193">
        <v>-187.22640000000001</v>
      </c>
      <c r="K6193">
        <v>1.109926</v>
      </c>
      <c r="L6193">
        <v>47.143889999999999</v>
      </c>
      <c r="M6193">
        <v>-9.1031610000000002E-3</v>
      </c>
      <c r="N6193">
        <v>-1.250191E-2</v>
      </c>
      <c r="O6193">
        <v>0.9998804</v>
      </c>
      <c r="P6193">
        <v>-0.1164849</v>
      </c>
      <c r="Q6193">
        <v>0.35975390000000002</v>
      </c>
      <c r="R6193">
        <v>0.92574749999999995</v>
      </c>
      <c r="S6193">
        <v>-0.41610720000000001</v>
      </c>
      <c r="T6193">
        <v>-1.301296</v>
      </c>
      <c r="U6193">
        <v>3.6963499999999998</v>
      </c>
      <c r="V6193">
        <v>-0.10793179999999999</v>
      </c>
      <c r="W6193">
        <v>0.37134719999999999</v>
      </c>
      <c r="X6193">
        <v>0.92219949999999995</v>
      </c>
      <c r="Y6193">
        <v>-9.6763279999999993E-2</v>
      </c>
      <c r="Z6193">
        <v>-0.31853320000000002</v>
      </c>
      <c r="AA6193">
        <v>0.94296000000000002</v>
      </c>
      <c r="AB6193">
        <v>47</v>
      </c>
      <c r="AC6193">
        <v>-8.2099999999996898E-2</v>
      </c>
      <c r="AD6193">
        <v>-0.27581650000000002</v>
      </c>
      <c r="AE6193">
        <v>0.114980000000002</v>
      </c>
      <c r="AF6193">
        <v>-1.6846056932273298E-2</v>
      </c>
      <c r="AG6193">
        <v>-0.27581650000000002</v>
      </c>
      <c r="AH6193">
        <v>2.4052739699889102E-2</v>
      </c>
      <c r="AI6193">
        <v>173.92278404102601</v>
      </c>
      <c r="AJ6193">
        <v>125.006628500202</v>
      </c>
      <c r="AK6193">
        <v>0.27737531540042598</v>
      </c>
      <c r="AL6193">
        <v>68.201272636205303</v>
      </c>
      <c r="AM6193">
        <v>96.675378422144703</v>
      </c>
      <c r="AN6193">
        <v>0.99999996709966399</v>
      </c>
    </row>
    <row r="6194" spans="1:40" x14ac:dyDescent="0.25">
      <c r="A6194" t="str">
        <f>"20190304164530802"</f>
        <v>20190304164530802</v>
      </c>
      <c r="B6194" t="str">
        <f>"1551689130796365"</f>
        <v>1551689130796365</v>
      </c>
      <c r="C6194" t="s">
        <v>40</v>
      </c>
      <c r="D6194">
        <v>4.7935670000000004</v>
      </c>
      <c r="E6194">
        <v>0.53093710000000005</v>
      </c>
      <c r="F6194" t="s">
        <v>42</v>
      </c>
      <c r="G6194">
        <v>-187.57679999999999</v>
      </c>
      <c r="H6194" s="1">
        <v>-8.6053939999999899E-7</v>
      </c>
      <c r="I6194">
        <v>50.28219</v>
      </c>
      <c r="J6194">
        <v>-187.2304</v>
      </c>
      <c r="K6194">
        <v>1.1098490000000001</v>
      </c>
      <c r="L6194">
        <v>47.606630000000003</v>
      </c>
      <c r="M6194">
        <v>-8.7877909999999997E-3</v>
      </c>
      <c r="N6194">
        <v>-1.268173E-2</v>
      </c>
      <c r="O6194">
        <v>0.99988100000000002</v>
      </c>
      <c r="P6194">
        <v>-0.11624279999999999</v>
      </c>
      <c r="Q6194">
        <v>0.35955110000000001</v>
      </c>
      <c r="R6194">
        <v>0.92585669999999998</v>
      </c>
      <c r="S6194">
        <v>-0.41275020000000001</v>
      </c>
      <c r="T6194">
        <v>-1.3074440000000001</v>
      </c>
      <c r="U6194">
        <v>3.696777</v>
      </c>
      <c r="V6194">
        <v>-0.10790660000000001</v>
      </c>
      <c r="W6194">
        <v>0.37133310000000003</v>
      </c>
      <c r="X6194">
        <v>0.92220820000000003</v>
      </c>
      <c r="Y6194">
        <v>-9.6170779999999997E-2</v>
      </c>
      <c r="Z6194">
        <v>-0.31974900000000001</v>
      </c>
      <c r="AA6194">
        <v>0.94260900000000003</v>
      </c>
      <c r="AB6194">
        <v>47</v>
      </c>
      <c r="AC6194">
        <v>-0.346399999999988</v>
      </c>
      <c r="AD6194">
        <v>-1.1098498605393901</v>
      </c>
      <c r="AE6194">
        <v>2.6755599999999999</v>
      </c>
      <c r="AF6194">
        <v>-0.27614088863306402</v>
      </c>
      <c r="AG6194">
        <v>-1.1098498605393901</v>
      </c>
      <c r="AH6194">
        <v>2.2908229007034802</v>
      </c>
      <c r="AI6194">
        <v>115.687301977034</v>
      </c>
      <c r="AJ6194">
        <v>96.873397610173996</v>
      </c>
      <c r="AK6194">
        <v>2.5604472393903901</v>
      </c>
      <c r="AL6194">
        <v>68.202144272048997</v>
      </c>
      <c r="AM6194">
        <v>96.6737715183163</v>
      </c>
      <c r="AN6194">
        <v>1.0000000348132001</v>
      </c>
    </row>
    <row r="6195" spans="1:40" x14ac:dyDescent="0.25">
      <c r="A6195" t="str">
        <f>"20190304164530825"</f>
        <v>20190304164530825</v>
      </c>
      <c r="B6195" t="str">
        <f>"1551689130815884"</f>
        <v>1551689130815884</v>
      </c>
      <c r="C6195" t="s">
        <v>40</v>
      </c>
      <c r="D6195">
        <v>4.7792849999999998</v>
      </c>
      <c r="E6195">
        <v>0.53075640000000002</v>
      </c>
      <c r="F6195" t="s">
        <v>42</v>
      </c>
      <c r="G6195">
        <v>-187.57839999999999</v>
      </c>
      <c r="H6195" s="1">
        <v>-1.0154249999999999E-6</v>
      </c>
      <c r="I6195">
        <v>50.738579999999999</v>
      </c>
      <c r="J6195">
        <v>-187.2345</v>
      </c>
      <c r="K6195">
        <v>1.109793</v>
      </c>
      <c r="L6195">
        <v>48.112209999999997</v>
      </c>
      <c r="M6195">
        <v>-8.397079E-3</v>
      </c>
      <c r="N6195">
        <v>-1.285211E-2</v>
      </c>
      <c r="O6195">
        <v>0.99988220000000005</v>
      </c>
      <c r="P6195">
        <v>-0.1154087</v>
      </c>
      <c r="Q6195">
        <v>0.35952849999999997</v>
      </c>
      <c r="R6195">
        <v>0.92596979999999995</v>
      </c>
      <c r="S6195">
        <v>-0.41085820000000001</v>
      </c>
      <c r="T6195">
        <v>-1.310262</v>
      </c>
      <c r="U6195">
        <v>3.6975099999999999</v>
      </c>
      <c r="V6195">
        <v>-0.1073655</v>
      </c>
      <c r="W6195">
        <v>0.37148799999999998</v>
      </c>
      <c r="X6195">
        <v>0.9222089</v>
      </c>
      <c r="Y6195">
        <v>-9.6043039999999996E-2</v>
      </c>
      <c r="Z6195">
        <v>-0.32017950000000001</v>
      </c>
      <c r="AA6195">
        <v>0.94247590000000003</v>
      </c>
      <c r="AB6195">
        <v>47</v>
      </c>
      <c r="AC6195">
        <v>-0.34389999999998999</v>
      </c>
      <c r="AD6195">
        <v>-1.1097940154249999</v>
      </c>
      <c r="AE6195">
        <v>2.6263700000000001</v>
      </c>
      <c r="AF6195">
        <v>-0.27377264744958402</v>
      </c>
      <c r="AG6195">
        <v>-1.1097940154249999</v>
      </c>
      <c r="AH6195">
        <v>2.2365491409996801</v>
      </c>
      <c r="AI6195">
        <v>116.221717440977</v>
      </c>
      <c r="AJ6195">
        <v>96.978772900696796</v>
      </c>
      <c r="AK6195">
        <v>2.5117217758484101</v>
      </c>
      <c r="AL6195">
        <v>68.192583911675598</v>
      </c>
      <c r="AM6195">
        <v>96.640600383299201</v>
      </c>
      <c r="AN6195">
        <v>0.99999996998672902</v>
      </c>
    </row>
    <row r="6196" spans="1:40" x14ac:dyDescent="0.25">
      <c r="A6196" t="str">
        <f>"20190304164530846"</f>
        <v>20190304164530846</v>
      </c>
      <c r="B6196" t="str">
        <f>"1551689130836383"</f>
        <v>1551689130836383</v>
      </c>
      <c r="C6196" t="s">
        <v>40</v>
      </c>
      <c r="D6196">
        <v>4.804373</v>
      </c>
      <c r="E6196">
        <v>0.53063059999999995</v>
      </c>
      <c r="F6196" t="s">
        <v>41</v>
      </c>
      <c r="G6196">
        <v>-187.32490000000001</v>
      </c>
      <c r="H6196">
        <v>0.8193028</v>
      </c>
      <c r="I6196">
        <v>48.931199999999997</v>
      </c>
      <c r="J6196">
        <v>-187.2379</v>
      </c>
      <c r="K6196">
        <v>1.1097440000000001</v>
      </c>
      <c r="L6196">
        <v>48.552889999999998</v>
      </c>
      <c r="M6196">
        <v>-8.0196769999999994E-3</v>
      </c>
      <c r="N6196">
        <v>-1.297602E-2</v>
      </c>
      <c r="O6196">
        <v>0.99988370000000004</v>
      </c>
      <c r="P6196">
        <v>-0.11444799999999999</v>
      </c>
      <c r="Q6196">
        <v>0.36019390000000001</v>
      </c>
      <c r="R6196">
        <v>0.9258305</v>
      </c>
      <c r="S6196">
        <v>-0.4083405</v>
      </c>
      <c r="T6196">
        <v>-1.311731</v>
      </c>
      <c r="U6196">
        <v>3.6982729999999999</v>
      </c>
      <c r="V6196">
        <v>-0.10670639999999899</v>
      </c>
      <c r="W6196">
        <v>0.37227870000000002</v>
      </c>
      <c r="X6196">
        <v>0.92196659999999997</v>
      </c>
      <c r="Y6196">
        <v>-9.5755140000000002E-2</v>
      </c>
      <c r="Z6196">
        <v>-0.32035079999999999</v>
      </c>
      <c r="AA6196">
        <v>0.94244700000000003</v>
      </c>
      <c r="AB6196">
        <v>47</v>
      </c>
      <c r="AC6196">
        <v>-8.7000000000017494E-2</v>
      </c>
      <c r="AD6196">
        <v>-0.29044120000000001</v>
      </c>
      <c r="AE6196">
        <v>0.37830999999999099</v>
      </c>
      <c r="AF6196">
        <v>-5.3829064602956403E-2</v>
      </c>
      <c r="AG6196">
        <v>-0.29044120000000001</v>
      </c>
      <c r="AH6196">
        <v>0.24297575513115099</v>
      </c>
      <c r="AI6196">
        <v>139.40809957171001</v>
      </c>
      <c r="AJ6196">
        <v>102.491601844174</v>
      </c>
      <c r="AK6196">
        <v>0.38247990330868697</v>
      </c>
      <c r="AL6196">
        <v>68.143781697966801</v>
      </c>
      <c r="AM6196">
        <v>96.601914825968095</v>
      </c>
      <c r="AN6196">
        <v>1.0000000488951</v>
      </c>
    </row>
    <row r="6197" spans="1:40" x14ac:dyDescent="0.25">
      <c r="A6197" t="str">
        <f>"20190304164530868"</f>
        <v>20190304164530868</v>
      </c>
      <c r="B6197" t="str">
        <f>"1551689130856098"</f>
        <v>1551689130856098</v>
      </c>
      <c r="C6197" t="s">
        <v>40</v>
      </c>
      <c r="D6197">
        <v>4.8006830000000003</v>
      </c>
      <c r="E6197">
        <v>0.53049760000000001</v>
      </c>
      <c r="F6197" t="s">
        <v>41</v>
      </c>
      <c r="G6197">
        <v>-187.32550000000001</v>
      </c>
      <c r="H6197">
        <v>0.82693639999999902</v>
      </c>
      <c r="I6197">
        <v>49.351570000000002</v>
      </c>
      <c r="J6197">
        <v>-187.2413</v>
      </c>
      <c r="K6197">
        <v>1.1097049999999999</v>
      </c>
      <c r="L6197">
        <v>49.013890000000004</v>
      </c>
      <c r="M6197">
        <v>-7.5944280000000003E-3</v>
      </c>
      <c r="N6197">
        <v>-1.30834E-2</v>
      </c>
      <c r="O6197">
        <v>0.99988560000000004</v>
      </c>
      <c r="P6197">
        <v>-0.1135343</v>
      </c>
      <c r="Q6197">
        <v>0.36100460000000001</v>
      </c>
      <c r="R6197">
        <v>0.92562719999999998</v>
      </c>
      <c r="S6197">
        <v>-0.40605160000000001</v>
      </c>
      <c r="T6197">
        <v>-1.3100540000000001</v>
      </c>
      <c r="U6197">
        <v>3.6998289999999998</v>
      </c>
      <c r="V6197">
        <v>-0.10614319999999999</v>
      </c>
      <c r="W6197">
        <v>0.37319669999999999</v>
      </c>
      <c r="X6197">
        <v>0.92166040000000005</v>
      </c>
      <c r="Y6197">
        <v>-9.5579570000000003E-2</v>
      </c>
      <c r="Z6197">
        <v>-0.31975900000000002</v>
      </c>
      <c r="AA6197">
        <v>0.9426658</v>
      </c>
      <c r="AB6197">
        <v>47</v>
      </c>
      <c r="AC6197">
        <v>-8.4200000000009795E-2</v>
      </c>
      <c r="AD6197">
        <v>-0.28276859999999998</v>
      </c>
      <c r="AE6197">
        <v>0.33767999999999798</v>
      </c>
      <c r="AF6197">
        <v>-4.9171391255892899E-2</v>
      </c>
      <c r="AG6197">
        <v>-0.28276859999999998</v>
      </c>
      <c r="AH6197">
        <v>0.203780202406525</v>
      </c>
      <c r="AI6197">
        <v>143.44884506699199</v>
      </c>
      <c r="AJ6197">
        <v>103.56593533698</v>
      </c>
      <c r="AK6197">
        <v>0.35199755362337998</v>
      </c>
      <c r="AL6197">
        <v>68.087098900767401</v>
      </c>
      <c r="AM6197">
        <v>96.569537680185803</v>
      </c>
      <c r="AN6197">
        <v>1.0000000243626399</v>
      </c>
    </row>
    <row r="6198" spans="1:40" x14ac:dyDescent="0.25">
      <c r="A6198" t="str">
        <f>"20190304164530892"</f>
        <v>20190304164530892</v>
      </c>
      <c r="B6198" t="str">
        <f>"1551689130886354"</f>
        <v>1551689130886354</v>
      </c>
      <c r="C6198" t="s">
        <v>40</v>
      </c>
      <c r="D6198">
        <v>4.8360479999999999</v>
      </c>
      <c r="E6198">
        <v>0.53039239999999999</v>
      </c>
      <c r="F6198" t="s">
        <v>41</v>
      </c>
      <c r="G6198">
        <v>-187.32429999999999</v>
      </c>
      <c r="H6198">
        <v>0.84054449999999903</v>
      </c>
      <c r="I6198">
        <v>49.775660000000002</v>
      </c>
      <c r="J6198">
        <v>-187.24469999999999</v>
      </c>
      <c r="K6198">
        <v>1.109658</v>
      </c>
      <c r="L6198">
        <v>49.505769999999998</v>
      </c>
      <c r="M6198">
        <v>-7.1157360000000001E-3</v>
      </c>
      <c r="N6198">
        <v>-1.317627E-2</v>
      </c>
      <c r="O6198">
        <v>0.99988790000000005</v>
      </c>
      <c r="P6198">
        <v>-0.1125549</v>
      </c>
      <c r="Q6198">
        <v>0.36077429999999999</v>
      </c>
      <c r="R6198">
        <v>0.92583660000000001</v>
      </c>
      <c r="S6198">
        <v>-0.40383910000000001</v>
      </c>
      <c r="T6198">
        <v>-1.307863</v>
      </c>
      <c r="U6198">
        <v>3.7015989999999999</v>
      </c>
      <c r="V6198">
        <v>-0.1055652</v>
      </c>
      <c r="W6198">
        <v>0.37306539999999999</v>
      </c>
      <c r="X6198">
        <v>0.92177989999999999</v>
      </c>
      <c r="Y6198">
        <v>-9.5475260000000006E-2</v>
      </c>
      <c r="Z6198">
        <v>-0.31904629999999901</v>
      </c>
      <c r="AA6198">
        <v>0.94291780000000003</v>
      </c>
      <c r="AB6198">
        <v>47</v>
      </c>
      <c r="AC6198">
        <v>-7.9599999999999199E-2</v>
      </c>
      <c r="AD6198">
        <v>-0.26911350000000001</v>
      </c>
      <c r="AE6198">
        <v>0.26988999999999602</v>
      </c>
      <c r="AF6198">
        <v>-4.0569186758100603E-2</v>
      </c>
      <c r="AG6198">
        <v>-0.26911350000000001</v>
      </c>
      <c r="AH6198">
        <v>0.14124994234751101</v>
      </c>
      <c r="AI6198">
        <v>151.36142761152999</v>
      </c>
      <c r="AJ6198">
        <v>106.02489122985099</v>
      </c>
      <c r="AK6198">
        <v>0.30662596271294301</v>
      </c>
      <c r="AL6198">
        <v>68.095206749033295</v>
      </c>
      <c r="AM6198">
        <v>96.533233880134901</v>
      </c>
      <c r="AN6198">
        <v>0.99999999408610496</v>
      </c>
    </row>
    <row r="6199" spans="1:40" x14ac:dyDescent="0.25">
      <c r="A6199" t="str">
        <f>"20190304164530915"</f>
        <v>20190304164530915</v>
      </c>
      <c r="B6199" t="str">
        <f>"1551689130905874"</f>
        <v>1551689130905874</v>
      </c>
      <c r="C6199" t="s">
        <v>40</v>
      </c>
      <c r="D6199">
        <v>4.8126600000000002</v>
      </c>
      <c r="E6199">
        <v>0.53038680000000005</v>
      </c>
      <c r="F6199" t="s">
        <v>41</v>
      </c>
      <c r="G6199">
        <v>-187.3202</v>
      </c>
      <c r="H6199">
        <v>0.8628323</v>
      </c>
      <c r="I6199">
        <v>50.203409999999998</v>
      </c>
      <c r="J6199">
        <v>-187.24780000000001</v>
      </c>
      <c r="K6199">
        <v>1.1096159999999999</v>
      </c>
      <c r="L6199">
        <v>49.98856</v>
      </c>
      <c r="M6199">
        <v>-6.6243769999999999E-3</v>
      </c>
      <c r="N6199">
        <v>-1.3248859999999999E-2</v>
      </c>
      <c r="O6199">
        <v>0.99989030000000001</v>
      </c>
      <c r="P6199">
        <v>-0.1119261</v>
      </c>
      <c r="Q6199">
        <v>0.36090489999999997</v>
      </c>
      <c r="R6199">
        <v>0.92586190000000002</v>
      </c>
      <c r="S6199">
        <v>-0.40068049999999999</v>
      </c>
      <c r="T6199">
        <v>-1.3097620000000001</v>
      </c>
      <c r="U6199">
        <v>3.7019959999999998</v>
      </c>
      <c r="V6199">
        <v>-0.1053539</v>
      </c>
      <c r="W6199">
        <v>0.37327280000000002</v>
      </c>
      <c r="X6199">
        <v>0.92172010000000004</v>
      </c>
      <c r="Y6199">
        <v>-9.5144580000000006E-2</v>
      </c>
      <c r="Z6199">
        <v>-0.31939610000000002</v>
      </c>
      <c r="AA6199">
        <v>0.94283280000000003</v>
      </c>
      <c r="AB6199">
        <v>47</v>
      </c>
      <c r="AC6199">
        <v>-7.2399999999987502E-2</v>
      </c>
      <c r="AD6199">
        <v>-0.246783699999999</v>
      </c>
      <c r="AE6199">
        <v>0.21484999999999799</v>
      </c>
      <c r="AF6199">
        <v>-3.2485606026102697E-2</v>
      </c>
      <c r="AG6199">
        <v>-0.246783699999999</v>
      </c>
      <c r="AH6199">
        <v>9.8555224808888398E-2</v>
      </c>
      <c r="AI6199">
        <v>157.193526239183</v>
      </c>
      <c r="AJ6199">
        <v>108.243165829647</v>
      </c>
      <c r="AK6199">
        <v>0.26771373054384701</v>
      </c>
      <c r="AL6199">
        <v>68.082398162704607</v>
      </c>
      <c r="AM6199">
        <v>96.520689020856196</v>
      </c>
      <c r="AN6199">
        <v>0.99999998510452903</v>
      </c>
    </row>
    <row r="6200" spans="1:40" x14ac:dyDescent="0.25">
      <c r="A6200" t="str">
        <f>"20190304164530936"</f>
        <v>20190304164530936</v>
      </c>
      <c r="B6200" t="str">
        <f>"1551689130926371"</f>
        <v>1551689130926371</v>
      </c>
      <c r="C6200" t="s">
        <v>40</v>
      </c>
      <c r="D6200">
        <v>4.8176860000000001</v>
      </c>
      <c r="E6200">
        <v>0.53035739999999998</v>
      </c>
      <c r="F6200" t="s">
        <v>42</v>
      </c>
      <c r="G6200">
        <v>-187.5848</v>
      </c>
      <c r="H6200" s="1">
        <v>-1.9264630000000001E-6</v>
      </c>
      <c r="I6200">
        <v>53.124740000000003</v>
      </c>
      <c r="J6200">
        <v>-187.25040000000001</v>
      </c>
      <c r="K6200">
        <v>1.109588</v>
      </c>
      <c r="L6200">
        <v>50.429409999999997</v>
      </c>
      <c r="M6200">
        <v>-6.1539100000000003E-3</v>
      </c>
      <c r="N6200">
        <v>-1.330367E-2</v>
      </c>
      <c r="O6200">
        <v>0.99989260000000002</v>
      </c>
      <c r="P6200">
        <v>-0.1117163</v>
      </c>
      <c r="Q6200">
        <v>0.36107109999999998</v>
      </c>
      <c r="R6200">
        <v>0.92582240000000005</v>
      </c>
      <c r="S6200">
        <v>-0.39788820000000003</v>
      </c>
      <c r="T6200">
        <v>-1.3100879999999999</v>
      </c>
      <c r="U6200">
        <v>3.7027890000000001</v>
      </c>
      <c r="V6200">
        <v>-0.10554529999999999</v>
      </c>
      <c r="W6200">
        <v>0.373498</v>
      </c>
      <c r="X6200">
        <v>0.92160699999999995</v>
      </c>
      <c r="Y6200">
        <v>-9.4888719999999996E-2</v>
      </c>
      <c r="Z6200">
        <v>-0.31937149999999997</v>
      </c>
      <c r="AA6200">
        <v>0.94286689999999995</v>
      </c>
      <c r="AB6200">
        <v>47</v>
      </c>
      <c r="AC6200">
        <v>-0.33439999999998798</v>
      </c>
      <c r="AD6200">
        <v>-1.109589926463</v>
      </c>
      <c r="AE6200">
        <v>2.6953299999999998</v>
      </c>
      <c r="AF6200">
        <v>-0.27234917009389897</v>
      </c>
      <c r="AG6200">
        <v>-1.109589926463</v>
      </c>
      <c r="AH6200">
        <v>2.3115325850575799</v>
      </c>
      <c r="AI6200">
        <v>115.488348474361</v>
      </c>
      <c r="AJ6200">
        <v>96.719717729089595</v>
      </c>
      <c r="AK6200">
        <v>2.5784776064844901</v>
      </c>
      <c r="AL6200">
        <v>68.068489881743105</v>
      </c>
      <c r="AM6200">
        <v>96.533227808986197</v>
      </c>
      <c r="AN6200">
        <v>1.00000001440254</v>
      </c>
    </row>
    <row r="6201" spans="1:40" x14ac:dyDescent="0.25">
      <c r="A6201" t="str">
        <f>"20190304164530957"</f>
        <v>20190304164530957</v>
      </c>
      <c r="B6201" t="str">
        <f>"1551689130946867"</f>
        <v>1551689130946867</v>
      </c>
      <c r="C6201" t="s">
        <v>40</v>
      </c>
      <c r="D6201">
        <v>4.8256610000000002</v>
      </c>
      <c r="E6201">
        <v>0.53033439999999998</v>
      </c>
      <c r="F6201" t="s">
        <v>42</v>
      </c>
      <c r="G6201">
        <v>-187.58410000000001</v>
      </c>
      <c r="H6201" s="1">
        <v>-2.115674E-6</v>
      </c>
      <c r="I6201">
        <v>53.5655199999999</v>
      </c>
      <c r="J6201">
        <v>-187.2527</v>
      </c>
      <c r="K6201">
        <v>1.1095630000000001</v>
      </c>
      <c r="L6201">
        <v>50.878360000000001</v>
      </c>
      <c r="M6201">
        <v>-5.6548750000000002E-3</v>
      </c>
      <c r="N6201">
        <v>-1.3351160000000001E-2</v>
      </c>
      <c r="O6201">
        <v>0.99989490000000003</v>
      </c>
      <c r="P6201">
        <v>-0.11187709999999999</v>
      </c>
      <c r="Q6201">
        <v>0.36166110000000001</v>
      </c>
      <c r="R6201">
        <v>0.92557270000000003</v>
      </c>
      <c r="S6201">
        <v>-0.39418029999999998</v>
      </c>
      <c r="T6201">
        <v>-1.310476</v>
      </c>
      <c r="U6201">
        <v>3.7038880000000001</v>
      </c>
      <c r="V6201">
        <v>-0.10613499999999999</v>
      </c>
      <c r="W6201">
        <v>0.37413839999999998</v>
      </c>
      <c r="X6201">
        <v>0.92127939999999997</v>
      </c>
      <c r="Y6201">
        <v>-9.4423339999999994E-2</v>
      </c>
      <c r="Z6201">
        <v>-0.31935089999999999</v>
      </c>
      <c r="AA6201">
        <v>0.9429206</v>
      </c>
      <c r="AB6201">
        <v>47</v>
      </c>
      <c r="AC6201">
        <v>-0.33140000000000203</v>
      </c>
      <c r="AD6201">
        <v>-1.1095651156739901</v>
      </c>
      <c r="AE6201">
        <v>2.6871599999999898</v>
      </c>
      <c r="AF6201">
        <v>-0.270730418222702</v>
      </c>
      <c r="AG6201">
        <v>-1.1095651156739901</v>
      </c>
      <c r="AH6201">
        <v>2.30233017279618</v>
      </c>
      <c r="AI6201">
        <v>115.577343321719</v>
      </c>
      <c r="AJ6201">
        <v>96.706597783915001</v>
      </c>
      <c r="AK6201">
        <v>2.5700494022176699</v>
      </c>
      <c r="AL6201">
        <v>68.028928291086899</v>
      </c>
      <c r="AM6201">
        <v>96.571727492684005</v>
      </c>
      <c r="AN6201">
        <v>0.99999995672195896</v>
      </c>
    </row>
    <row r="6202" spans="1:40" x14ac:dyDescent="0.25">
      <c r="A6202" t="str">
        <f>"20190304164530980"</f>
        <v>20190304164530980</v>
      </c>
      <c r="B6202" t="str">
        <f>"1551689130976147"</f>
        <v>1551689130976147</v>
      </c>
      <c r="C6202" t="s">
        <v>40</v>
      </c>
      <c r="D6202">
        <v>4.8055070000000004</v>
      </c>
      <c r="E6202">
        <v>0.53028580000000003</v>
      </c>
      <c r="F6202" t="s">
        <v>42</v>
      </c>
      <c r="G6202">
        <v>-187.58500000000001</v>
      </c>
      <c r="H6202" s="1">
        <v>-2.3103869999999998E-6</v>
      </c>
      <c r="I6202">
        <v>54.019779999999997</v>
      </c>
      <c r="J6202">
        <v>-187.25489999999999</v>
      </c>
      <c r="K6202">
        <v>1.1095330000000001</v>
      </c>
      <c r="L6202">
        <v>51.344819999999999</v>
      </c>
      <c r="M6202">
        <v>-5.1074950000000001E-3</v>
      </c>
      <c r="N6202">
        <v>-1.33931E-2</v>
      </c>
      <c r="O6202">
        <v>0.99989720000000004</v>
      </c>
      <c r="P6202">
        <v>-0.1123305</v>
      </c>
      <c r="Q6202">
        <v>0.3624233</v>
      </c>
      <c r="R6202">
        <v>0.92521949999999997</v>
      </c>
      <c r="S6202">
        <v>-0.39198300000000003</v>
      </c>
      <c r="T6202">
        <v>-1.3087040000000001</v>
      </c>
      <c r="U6202">
        <v>3.7052309999999999</v>
      </c>
      <c r="V6202">
        <v>-0.1070594</v>
      </c>
      <c r="W6202">
        <v>0.37494529999999998</v>
      </c>
      <c r="X6202">
        <v>0.92084440000000001</v>
      </c>
      <c r="Y6202">
        <v>-9.439786E-2</v>
      </c>
      <c r="Z6202">
        <v>-0.31881359999999997</v>
      </c>
      <c r="AA6202">
        <v>0.94310490000000002</v>
      </c>
      <c r="AB6202">
        <v>47</v>
      </c>
      <c r="AC6202">
        <v>-0.33010000000001499</v>
      </c>
      <c r="AD6202">
        <v>-1.109535310387</v>
      </c>
      <c r="AE6202">
        <v>2.67496</v>
      </c>
      <c r="AF6202">
        <v>-0.27057818265783701</v>
      </c>
      <c r="AG6202">
        <v>-1.109535310387</v>
      </c>
      <c r="AH6202">
        <v>2.2887455266524799</v>
      </c>
      <c r="AI6202">
        <v>115.707382801336</v>
      </c>
      <c r="AJ6202">
        <v>96.742279937373695</v>
      </c>
      <c r="AK6202">
        <v>2.55785794048413</v>
      </c>
      <c r="AL6202">
        <v>67.979069099140006</v>
      </c>
      <c r="AM6202">
        <v>96.631561198986503</v>
      </c>
      <c r="AN6202">
        <v>1.0000000510659</v>
      </c>
    </row>
    <row r="6203" spans="1:40" x14ac:dyDescent="0.25">
      <c r="A6203" t="str">
        <f>"20190304164531002"</f>
        <v>20190304164531002</v>
      </c>
      <c r="B6203" t="str">
        <f>"1551689130996643"</f>
        <v>1551689130996643</v>
      </c>
      <c r="C6203" t="s">
        <v>40</v>
      </c>
      <c r="D6203">
        <v>4.790476</v>
      </c>
      <c r="E6203">
        <v>0.53024450000000001</v>
      </c>
      <c r="F6203" t="s">
        <v>42</v>
      </c>
      <c r="G6203">
        <v>-187.5898</v>
      </c>
      <c r="H6203" s="1">
        <v>-2.5121239999999999E-6</v>
      </c>
      <c r="I6203">
        <v>54.491999999999997</v>
      </c>
      <c r="J6203">
        <v>-187.2568</v>
      </c>
      <c r="K6203">
        <v>1.1095010000000001</v>
      </c>
      <c r="L6203">
        <v>51.813139999999997</v>
      </c>
      <c r="M6203">
        <v>-4.517755E-3</v>
      </c>
      <c r="N6203">
        <v>-1.3431770000000001E-2</v>
      </c>
      <c r="O6203">
        <v>0.9998996</v>
      </c>
      <c r="P6203">
        <v>-0.112917</v>
      </c>
      <c r="Q6203">
        <v>0.36336380000000001</v>
      </c>
      <c r="R6203">
        <v>0.92477920000000002</v>
      </c>
      <c r="S6203">
        <v>-0.39436339999999998</v>
      </c>
      <c r="T6203">
        <v>-1.306705</v>
      </c>
      <c r="U6203">
        <v>3.7064509999999999</v>
      </c>
      <c r="V6203">
        <v>-0.10815230000000001</v>
      </c>
      <c r="W6203">
        <v>0.37592769999999998</v>
      </c>
      <c r="X6203">
        <v>0.92031589999999996</v>
      </c>
      <c r="Y6203">
        <v>-9.556974E-2</v>
      </c>
      <c r="Z6203">
        <v>-0.31819969999999997</v>
      </c>
      <c r="AA6203">
        <v>0.94319419999999998</v>
      </c>
      <c r="AB6203">
        <v>47</v>
      </c>
      <c r="AC6203">
        <v>-0.33299999999999802</v>
      </c>
      <c r="AD6203">
        <v>-1.109503512124</v>
      </c>
      <c r="AE6203">
        <v>2.67885999999999</v>
      </c>
      <c r="AF6203">
        <v>-0.274519456026869</v>
      </c>
      <c r="AG6203">
        <v>-1.109503512124</v>
      </c>
      <c r="AH6203">
        <v>2.2929903009824799</v>
      </c>
      <c r="AI6203">
        <v>115.66133691941801</v>
      </c>
      <c r="AJ6203">
        <v>96.827023266115205</v>
      </c>
      <c r="AK6203">
        <v>2.5620623520032701</v>
      </c>
      <c r="AL6203">
        <v>67.918337003304302</v>
      </c>
      <c r="AM6203">
        <v>96.702458136279802</v>
      </c>
      <c r="AN6203">
        <v>0.99999995570769395</v>
      </c>
    </row>
    <row r="6204" spans="1:40" x14ac:dyDescent="0.25">
      <c r="A6204" t="str">
        <f>"20190304164531025"</f>
        <v>20190304164531025</v>
      </c>
      <c r="B6204" t="str">
        <f>"1551689131016164"</f>
        <v>1551689131016164</v>
      </c>
      <c r="C6204" t="s">
        <v>40</v>
      </c>
      <c r="D6204">
        <v>5.3205460000000002</v>
      </c>
      <c r="E6204">
        <v>0.5302325</v>
      </c>
      <c r="F6204" t="s">
        <v>42</v>
      </c>
      <c r="G6204">
        <v>-187.5934</v>
      </c>
      <c r="H6204" s="1">
        <v>-2.7161390000000002E-6</v>
      </c>
      <c r="I6204">
        <v>54.969079999999998</v>
      </c>
      <c r="J6204">
        <v>-187.2585</v>
      </c>
      <c r="K6204">
        <v>1.1094649999999999</v>
      </c>
      <c r="L6204">
        <v>52.294589999999999</v>
      </c>
      <c r="M6204">
        <v>-3.8595859999999999E-3</v>
      </c>
      <c r="N6204">
        <v>-1.347667E-2</v>
      </c>
      <c r="O6204">
        <v>0.9999017</v>
      </c>
      <c r="P6204">
        <v>-0.114803</v>
      </c>
      <c r="Q6204">
        <v>0.3642706</v>
      </c>
      <c r="R6204">
        <v>0.92418999999999996</v>
      </c>
      <c r="S6204">
        <v>-0.39547729999999998</v>
      </c>
      <c r="T6204">
        <v>-1.3035570000000001</v>
      </c>
      <c r="U6204">
        <v>3.707916</v>
      </c>
      <c r="V6204">
        <v>-0.11060109999999999</v>
      </c>
      <c r="W6204">
        <v>0.37688509999999997</v>
      </c>
      <c r="X6204">
        <v>0.91963309999999998</v>
      </c>
      <c r="Y6204">
        <v>-9.6494709999999997E-2</v>
      </c>
      <c r="Z6204">
        <v>-0.31730930000000002</v>
      </c>
      <c r="AA6204">
        <v>0.94340000000000002</v>
      </c>
      <c r="AB6204">
        <v>47</v>
      </c>
      <c r="AC6204">
        <v>-0.33490000000000397</v>
      </c>
      <c r="AD6204">
        <v>-1.1094677161390001</v>
      </c>
      <c r="AE6204">
        <v>2.67449</v>
      </c>
      <c r="AF6204">
        <v>-0.27754900116755199</v>
      </c>
      <c r="AG6204">
        <v>-1.1094677161390001</v>
      </c>
      <c r="AH6204">
        <v>2.2880913335472401</v>
      </c>
      <c r="AI6204">
        <v>115.70427598361201</v>
      </c>
      <c r="AJ6204">
        <v>96.9162761695207</v>
      </c>
      <c r="AK6204">
        <v>2.5579902290387602</v>
      </c>
      <c r="AL6204">
        <v>67.859128700745899</v>
      </c>
      <c r="AM6204">
        <v>96.857828317497393</v>
      </c>
      <c r="AN6204">
        <v>1.00000001026941</v>
      </c>
    </row>
    <row r="6205" spans="1:40" x14ac:dyDescent="0.25">
      <c r="A6205" t="str">
        <f>"20190304164531047"</f>
        <v>20190304164531047</v>
      </c>
      <c r="B6205" t="str">
        <f>"1551689131036659"</f>
        <v>1551689131036659</v>
      </c>
      <c r="C6205" t="s">
        <v>40</v>
      </c>
      <c r="D6205">
        <v>4.7003250000000003</v>
      </c>
      <c r="E6205">
        <v>0.54715000000000003</v>
      </c>
      <c r="F6205" t="s">
        <v>41</v>
      </c>
      <c r="G6205">
        <v>-187.34729999999999</v>
      </c>
      <c r="H6205">
        <v>0.8223144</v>
      </c>
      <c r="I6205">
        <v>53.113689999999998</v>
      </c>
      <c r="J6205">
        <v>-187.25970000000001</v>
      </c>
      <c r="K6205">
        <v>1.109423</v>
      </c>
      <c r="L6205">
        <v>52.748080000000002</v>
      </c>
      <c r="M6205">
        <v>-3.1839500000000001E-3</v>
      </c>
      <c r="N6205">
        <v>-1.3529879999999999E-2</v>
      </c>
      <c r="O6205">
        <v>0.9999034</v>
      </c>
      <c r="P6205">
        <v>-0.1160385</v>
      </c>
      <c r="Q6205">
        <v>0.36490800000000001</v>
      </c>
      <c r="R6205">
        <v>0.92378419999999895</v>
      </c>
      <c r="S6205">
        <v>-0.4028931</v>
      </c>
      <c r="T6205">
        <v>-1.299982</v>
      </c>
      <c r="U6205">
        <v>3.7084350000000001</v>
      </c>
      <c r="V6205">
        <v>-0.1124117</v>
      </c>
      <c r="W6205">
        <v>0.3775828</v>
      </c>
      <c r="X6205">
        <v>0.91912720000000003</v>
      </c>
      <c r="Y6205">
        <v>-9.9046029999999993E-2</v>
      </c>
      <c r="Z6205">
        <v>-0.31633529999999999</v>
      </c>
      <c r="AA6205">
        <v>0.94346269999999999</v>
      </c>
      <c r="AB6205">
        <v>47</v>
      </c>
      <c r="AC6205">
        <v>-8.7599999999980499E-2</v>
      </c>
      <c r="AD6205">
        <v>-0.28710859999999999</v>
      </c>
      <c r="AE6205">
        <v>0.36561000000000299</v>
      </c>
      <c r="AF6205">
        <v>-5.4595531367115403E-2</v>
      </c>
      <c r="AG6205">
        <v>-0.28710859999999999</v>
      </c>
      <c r="AH6205">
        <v>0.23110679054532701</v>
      </c>
      <c r="AI6205">
        <v>140.405800457114</v>
      </c>
      <c r="AJ6205">
        <v>103.291594176712</v>
      </c>
      <c r="AK6205">
        <v>0.37258873959820499</v>
      </c>
      <c r="AL6205">
        <v>67.8159637875887</v>
      </c>
      <c r="AM6205">
        <v>96.972797520848303</v>
      </c>
      <c r="AN6205">
        <v>0.99999998546628399</v>
      </c>
    </row>
    <row r="6206" spans="1:40" x14ac:dyDescent="0.25">
      <c r="A6206" t="str">
        <f>"20190304164531068"</f>
        <v>20190304164531068</v>
      </c>
      <c r="B6206" t="str">
        <f>"1551689131056179"</f>
        <v>1551689131056179</v>
      </c>
      <c r="C6206" t="s">
        <v>40</v>
      </c>
      <c r="D6206">
        <v>4.7420229999999997</v>
      </c>
      <c r="E6206">
        <v>0.52822799999999903</v>
      </c>
      <c r="F6206" t="s">
        <v>41</v>
      </c>
      <c r="G6206">
        <v>-187.31039999999999</v>
      </c>
      <c r="H6206">
        <v>0.90763899999999997</v>
      </c>
      <c r="I6206">
        <v>53.56409</v>
      </c>
      <c r="J6206">
        <v>-187.26060000000001</v>
      </c>
      <c r="K6206">
        <v>1.1093900000000001</v>
      </c>
      <c r="L6206">
        <v>53.199249999999999</v>
      </c>
      <c r="M6206">
        <v>-2.4566900000000001E-3</v>
      </c>
      <c r="N6206">
        <v>-1.3605880000000001E-2</v>
      </c>
      <c r="O6206">
        <v>0.99990440000000003</v>
      </c>
      <c r="P6206">
        <v>-0.11667230000000001</v>
      </c>
      <c r="Q6206">
        <v>0.3657456</v>
      </c>
      <c r="R6206">
        <v>0.923373</v>
      </c>
      <c r="S6206">
        <v>-0.2220154</v>
      </c>
      <c r="T6206">
        <v>-0.88233569999999995</v>
      </c>
      <c r="U6206">
        <v>3.5681759999999998</v>
      </c>
      <c r="V6206">
        <v>-0.113664</v>
      </c>
      <c r="W6206">
        <v>0.3785019</v>
      </c>
      <c r="X6206">
        <v>0.91859500000000005</v>
      </c>
      <c r="Y6206">
        <v>-5.7932110000000002E-2</v>
      </c>
      <c r="Z6206">
        <v>-0.2263985</v>
      </c>
      <c r="AA6206">
        <v>0.97231040000000002</v>
      </c>
      <c r="AB6206">
        <v>47</v>
      </c>
      <c r="AC6206">
        <v>-4.9799999999976301E-2</v>
      </c>
      <c r="AD6206">
        <v>-0.20175099999999899</v>
      </c>
      <c r="AE6206">
        <v>0.36484</v>
      </c>
      <c r="AF6206">
        <v>-3.76122937667119E-2</v>
      </c>
      <c r="AG6206">
        <v>-0.20175099999999899</v>
      </c>
      <c r="AH6206">
        <v>0.28069645070410898</v>
      </c>
      <c r="AI6206">
        <v>125.465483799456</v>
      </c>
      <c r="AJ6206">
        <v>97.631963411281802</v>
      </c>
      <c r="AK6206">
        <v>0.347719208674582</v>
      </c>
      <c r="AL6206">
        <v>67.7590818901365</v>
      </c>
      <c r="AM6206">
        <v>97.053742397318601</v>
      </c>
      <c r="AN6206">
        <v>0.99999998361230402</v>
      </c>
    </row>
    <row r="6207" spans="1:40" x14ac:dyDescent="0.25">
      <c r="A6207" t="str">
        <f>"20190304164531092"</f>
        <v>20190304164531092</v>
      </c>
      <c r="B6207" t="str">
        <f>"1551689131086435"</f>
        <v>1551689131086435</v>
      </c>
      <c r="C6207" t="s">
        <v>40</v>
      </c>
      <c r="D6207">
        <v>4.7118679999999999</v>
      </c>
      <c r="E6207">
        <v>0.52666040000000003</v>
      </c>
      <c r="F6207" t="s">
        <v>42</v>
      </c>
      <c r="G6207">
        <v>-188.2329</v>
      </c>
      <c r="H6207" s="1">
        <v>-2.0490670000000001E-6</v>
      </c>
      <c r="I6207">
        <v>63.678519999999899</v>
      </c>
      <c r="J6207">
        <v>-187.2611</v>
      </c>
      <c r="K6207">
        <v>1.1093660000000001</v>
      </c>
      <c r="L6207">
        <v>53.680689999999998</v>
      </c>
      <c r="M6207">
        <v>-1.624644E-3</v>
      </c>
      <c r="N6207">
        <v>-1.3711660000000001E-2</v>
      </c>
      <c r="O6207">
        <v>0.99990469999999998</v>
      </c>
      <c r="P6207">
        <v>-0.1172977</v>
      </c>
      <c r="Q6207">
        <v>0.36662610000000001</v>
      </c>
      <c r="R6207">
        <v>0.92294449999999995</v>
      </c>
      <c r="S6207">
        <v>-0.31083680000000002</v>
      </c>
      <c r="T6207">
        <v>-0.35466579999999998</v>
      </c>
      <c r="U6207">
        <v>3.3501590000000001</v>
      </c>
      <c r="V6207">
        <v>-0.1150012</v>
      </c>
      <c r="W6207">
        <v>0.37949169999999999</v>
      </c>
      <c r="X6207">
        <v>0.91802010000000001</v>
      </c>
      <c r="Y6207">
        <v>-9.0309230000000004E-2</v>
      </c>
      <c r="Z6207">
        <v>-9.1194620000000004E-2</v>
      </c>
      <c r="AA6207">
        <v>0.99172969999999905</v>
      </c>
      <c r="AB6207">
        <v>47</v>
      </c>
      <c r="AC6207">
        <v>-0.971800000000001</v>
      </c>
      <c r="AD6207">
        <v>-1.1093680490669999</v>
      </c>
      <c r="AE6207">
        <v>9.9978299999999791</v>
      </c>
      <c r="AF6207">
        <v>-0.94403974866264795</v>
      </c>
      <c r="AG6207">
        <v>-1.1093680490669999</v>
      </c>
      <c r="AH6207">
        <v>9.8789020318777698</v>
      </c>
      <c r="AI6207">
        <v>96.378466937577798</v>
      </c>
      <c r="AJ6207">
        <v>95.458677696164202</v>
      </c>
      <c r="AK6207">
        <v>9.9857204983308208</v>
      </c>
      <c r="AL6207">
        <v>67.697800587708699</v>
      </c>
      <c r="AM6207">
        <v>97.140298219792598</v>
      </c>
      <c r="AN6207">
        <v>1.0000000651871599</v>
      </c>
    </row>
    <row r="6208" spans="1:40" x14ac:dyDescent="0.25">
      <c r="A6208" t="str">
        <f>"20190304164531128"</f>
        <v>20190304164531128</v>
      </c>
      <c r="B6208" t="str">
        <f>"1551689131116691"</f>
        <v>1551689131116691</v>
      </c>
      <c r="C6208" t="s">
        <v>40</v>
      </c>
      <c r="D6208">
        <v>4.6959980000000003</v>
      </c>
      <c r="E6208">
        <v>0.52763079999999996</v>
      </c>
      <c r="F6208" t="s">
        <v>42</v>
      </c>
      <c r="G6208">
        <v>-188.483</v>
      </c>
      <c r="H6208" s="1">
        <v>-3.1835960000000002E-6</v>
      </c>
      <c r="I6208">
        <v>66.426540000000003</v>
      </c>
      <c r="J6208">
        <v>-187.261</v>
      </c>
      <c r="K6208">
        <v>1.109324</v>
      </c>
      <c r="L6208">
        <v>54.423949999999998</v>
      </c>
      <c r="M6208">
        <v>-2.396094E-4</v>
      </c>
      <c r="N6208">
        <v>-1.388115E-2</v>
      </c>
      <c r="O6208">
        <v>0.9999036</v>
      </c>
      <c r="P6208">
        <v>-0.116421</v>
      </c>
      <c r="Q6208">
        <v>0.36765720000000002</v>
      </c>
      <c r="R6208">
        <v>0.9226453</v>
      </c>
      <c r="S6208">
        <v>-0.3187256</v>
      </c>
      <c r="T6208">
        <v>-0.28939350000000003</v>
      </c>
      <c r="U6208">
        <v>3.3249209999999998</v>
      </c>
      <c r="V6208">
        <v>-0.1153242</v>
      </c>
      <c r="W6208">
        <v>0.38069609999999998</v>
      </c>
      <c r="X6208">
        <v>0.91748059999999998</v>
      </c>
      <c r="Y6208">
        <v>-9.4866539999999999E-2</v>
      </c>
      <c r="Z6208">
        <v>-7.2480840000000005E-2</v>
      </c>
      <c r="AA6208">
        <v>0.99284790000000001</v>
      </c>
      <c r="AB6208">
        <v>47</v>
      </c>
      <c r="AC6208">
        <v>-1.222</v>
      </c>
      <c r="AD6208">
        <v>-1.1093271835959999</v>
      </c>
      <c r="AE6208">
        <v>12.00259</v>
      </c>
      <c r="AF6208">
        <v>-1.20890301534282</v>
      </c>
      <c r="AG6208">
        <v>-1.1093271835959999</v>
      </c>
      <c r="AH6208">
        <v>11.902254204142</v>
      </c>
      <c r="AI6208">
        <v>95.297662555185596</v>
      </c>
      <c r="AJ6208">
        <v>95.799600343518705</v>
      </c>
      <c r="AK6208">
        <v>12.014812043506399</v>
      </c>
      <c r="AL6208">
        <v>67.623190792790396</v>
      </c>
      <c r="AM6208">
        <v>97.164311672015003</v>
      </c>
      <c r="AN6208">
        <v>0.99999992151860195</v>
      </c>
    </row>
    <row r="6209" spans="1:40" x14ac:dyDescent="0.25">
      <c r="A6209" t="str">
        <f>"20190304164531147"</f>
        <v>20190304164531147</v>
      </c>
      <c r="B6209" t="str">
        <f>"1551689131136211"</f>
        <v>1551689131136211</v>
      </c>
      <c r="C6209" t="s">
        <v>40</v>
      </c>
      <c r="D6209">
        <v>4.7156520000000004</v>
      </c>
      <c r="E6209">
        <v>0.52854380000000001</v>
      </c>
      <c r="F6209" t="s">
        <v>42</v>
      </c>
      <c r="G6209">
        <v>-188.4914</v>
      </c>
      <c r="H6209" s="1">
        <v>-3.754078E-6</v>
      </c>
      <c r="I6209">
        <v>67.759839999999997</v>
      </c>
      <c r="J6209">
        <v>-187.26060000000001</v>
      </c>
      <c r="K6209">
        <v>1.1093010000000001</v>
      </c>
      <c r="L6209">
        <v>54.843020000000003</v>
      </c>
      <c r="M6209">
        <v>5.7568759999999995E-4</v>
      </c>
      <c r="N6209">
        <v>-1.396732E-2</v>
      </c>
      <c r="O6209">
        <v>0.99990230000000002</v>
      </c>
      <c r="P6209">
        <v>-0.1146944</v>
      </c>
      <c r="Q6209">
        <v>0.36740210000000001</v>
      </c>
      <c r="R6209">
        <v>0.92296310000000004</v>
      </c>
      <c r="S6209">
        <v>-0.30657960000000001</v>
      </c>
      <c r="T6209">
        <v>-0.27641890000000002</v>
      </c>
      <c r="U6209">
        <v>3.3229980000000001</v>
      </c>
      <c r="V6209">
        <v>-0.114314</v>
      </c>
      <c r="W6209">
        <v>0.38053209999999998</v>
      </c>
      <c r="X6209">
        <v>0.91767509999999997</v>
      </c>
      <c r="Y6209">
        <v>-9.2164270000000006E-2</v>
      </c>
      <c r="Z6209">
        <v>-6.8618970000000001E-2</v>
      </c>
      <c r="AA6209">
        <v>0.9933767</v>
      </c>
      <c r="AB6209">
        <v>47</v>
      </c>
      <c r="AC6209">
        <v>-1.2307999999999799</v>
      </c>
      <c r="AD6209">
        <v>-1.1093047540780001</v>
      </c>
      <c r="AE6209">
        <v>12.91682</v>
      </c>
      <c r="AF6209">
        <v>-1.2292518245014501</v>
      </c>
      <c r="AG6209">
        <v>-1.1093047540780001</v>
      </c>
      <c r="AH6209">
        <v>12.8223888460565</v>
      </c>
      <c r="AI6209">
        <v>94.922069849148201</v>
      </c>
      <c r="AJ6209">
        <v>95.476074457478802</v>
      </c>
      <c r="AK6209">
        <v>12.928854272708501</v>
      </c>
      <c r="AL6209">
        <v>67.633353468705494</v>
      </c>
      <c r="AM6209">
        <v>97.100708516029101</v>
      </c>
      <c r="AN6209">
        <v>0.99999997944320895</v>
      </c>
    </row>
    <row r="6210" spans="1:40" x14ac:dyDescent="0.25">
      <c r="A6210" t="str">
        <f>"20190304164531169"</f>
        <v>20190304164531169</v>
      </c>
      <c r="B6210" t="str">
        <f>"1551689131166467"</f>
        <v>1551689131166467</v>
      </c>
      <c r="C6210" t="s">
        <v>40</v>
      </c>
      <c r="D6210">
        <v>4.698143</v>
      </c>
      <c r="E6210">
        <v>0.52923599999999904</v>
      </c>
      <c r="F6210" t="s">
        <v>42</v>
      </c>
      <c r="G6210">
        <v>-188.42339999999999</v>
      </c>
      <c r="H6210" s="1">
        <v>-3.9054410000000004E-6</v>
      </c>
      <c r="I6210">
        <v>68.084540000000004</v>
      </c>
      <c r="J6210">
        <v>-187.25970000000001</v>
      </c>
      <c r="K6210">
        <v>1.1092770000000001</v>
      </c>
      <c r="L6210">
        <v>55.288510000000002</v>
      </c>
      <c r="M6210">
        <v>1.4483390000000001E-3</v>
      </c>
      <c r="N6210">
        <v>-1.40508E-2</v>
      </c>
      <c r="O6210">
        <v>0.99990020000000002</v>
      </c>
      <c r="P6210">
        <v>-0.1130193</v>
      </c>
      <c r="Q6210">
        <v>0.3670389</v>
      </c>
      <c r="R6210">
        <v>0.92331419999999997</v>
      </c>
      <c r="S6210">
        <v>-0.29199219999999998</v>
      </c>
      <c r="T6210">
        <v>-0.27855190000000002</v>
      </c>
      <c r="U6210">
        <v>3.3250120000000001</v>
      </c>
      <c r="V6210">
        <v>-0.113416</v>
      </c>
      <c r="W6210">
        <v>0.38025560000000003</v>
      </c>
      <c r="X6210">
        <v>0.91790119999999997</v>
      </c>
      <c r="Y6210">
        <v>-8.8652980000000006E-2</v>
      </c>
      <c r="Z6210">
        <v>-6.9147920000000002E-2</v>
      </c>
      <c r="AA6210">
        <v>0.99365950000000003</v>
      </c>
      <c r="AB6210">
        <v>46</v>
      </c>
      <c r="AC6210">
        <v>-1.16369999999997</v>
      </c>
      <c r="AD6210">
        <v>-1.109280905441</v>
      </c>
      <c r="AE6210">
        <v>12.79603</v>
      </c>
      <c r="AF6210">
        <v>-1.17348710813805</v>
      </c>
      <c r="AG6210">
        <v>-1.109280905441</v>
      </c>
      <c r="AH6210">
        <v>12.6996749832739</v>
      </c>
      <c r="AI6210">
        <v>94.970885981944306</v>
      </c>
      <c r="AJ6210">
        <v>95.279306210938898</v>
      </c>
      <c r="AK6210">
        <v>12.8019264488176</v>
      </c>
      <c r="AL6210">
        <v>67.650485447214507</v>
      </c>
      <c r="AM6210">
        <v>97.043773255519298</v>
      </c>
      <c r="AN6210">
        <v>1.00000006167439</v>
      </c>
    </row>
    <row r="6211" spans="1:40" x14ac:dyDescent="0.25">
      <c r="A6211" t="str">
        <f>"20190304164531191"</f>
        <v>20190304164531191</v>
      </c>
      <c r="B6211" t="str">
        <f>"1551689131185987"</f>
        <v>1551689131185987</v>
      </c>
      <c r="C6211" t="s">
        <v>40</v>
      </c>
      <c r="D6211">
        <v>4.7421879999999996</v>
      </c>
      <c r="E6211">
        <v>0.52950529999999996</v>
      </c>
      <c r="F6211" t="s">
        <v>42</v>
      </c>
      <c r="G6211">
        <v>-188.3622</v>
      </c>
      <c r="H6211" s="1">
        <v>-4.0417790000000001E-6</v>
      </c>
      <c r="I6211">
        <v>68.377030000000005</v>
      </c>
      <c r="J6211">
        <v>-187.25829999999999</v>
      </c>
      <c r="K6211">
        <v>1.109275</v>
      </c>
      <c r="L6211">
        <v>55.745359999999998</v>
      </c>
      <c r="M6211">
        <v>2.3245319999999998E-3</v>
      </c>
      <c r="N6211">
        <v>-1.4128440000000001E-2</v>
      </c>
      <c r="O6211">
        <v>0.99989749999999999</v>
      </c>
      <c r="P6211">
        <v>-0.111371</v>
      </c>
      <c r="Q6211">
        <v>0.36704900000000001</v>
      </c>
      <c r="R6211">
        <v>0.92351039999999995</v>
      </c>
      <c r="S6211">
        <v>-0.28024290000000002</v>
      </c>
      <c r="T6211">
        <v>-0.28196779999999999</v>
      </c>
      <c r="U6211">
        <v>3.326965</v>
      </c>
      <c r="V6211">
        <v>-0.1125617</v>
      </c>
      <c r="W6211">
        <v>0.38034079999999998</v>
      </c>
      <c r="X6211">
        <v>0.91797099999999998</v>
      </c>
      <c r="Y6211">
        <v>-8.5986789999999994E-2</v>
      </c>
      <c r="Z6211">
        <v>-7.0056950000000007E-2</v>
      </c>
      <c r="AA6211">
        <v>0.99383010000000005</v>
      </c>
      <c r="AB6211">
        <v>46</v>
      </c>
      <c r="AC6211">
        <v>-1.1039000000000001</v>
      </c>
      <c r="AD6211">
        <v>-1.1092790417789999</v>
      </c>
      <c r="AE6211">
        <v>12.63167</v>
      </c>
      <c r="AF6211">
        <v>-1.1246552040529201</v>
      </c>
      <c r="AG6211">
        <v>-1.1092790417789999</v>
      </c>
      <c r="AH6211">
        <v>12.5331480455921</v>
      </c>
      <c r="AI6211">
        <v>95.037795607049404</v>
      </c>
      <c r="AJ6211">
        <v>95.127671816951604</v>
      </c>
      <c r="AK6211">
        <v>12.632305777381401</v>
      </c>
      <c r="AL6211">
        <v>67.645206015784794</v>
      </c>
      <c r="AM6211">
        <v>96.990717107420707</v>
      </c>
      <c r="AN6211">
        <v>1.0000000086462599</v>
      </c>
    </row>
    <row r="6212" spans="1:40" x14ac:dyDescent="0.25">
      <c r="A6212" t="str">
        <f>"20190304164531215"</f>
        <v>20190304164531215</v>
      </c>
      <c r="B6212" t="str">
        <f>"1551689131206483"</f>
        <v>1551689131206483</v>
      </c>
      <c r="C6212" t="s">
        <v>40</v>
      </c>
      <c r="D6212">
        <v>4.7412029999999996</v>
      </c>
      <c r="E6212">
        <v>0.52966169999999901</v>
      </c>
      <c r="F6212" t="s">
        <v>42</v>
      </c>
      <c r="G6212">
        <v>-188.31479999999999</v>
      </c>
      <c r="H6212" s="1">
        <v>-4.1757630000000004E-6</v>
      </c>
      <c r="I6212">
        <v>68.669780000000003</v>
      </c>
      <c r="J6212">
        <v>-187.25649999999999</v>
      </c>
      <c r="K6212">
        <v>1.1092979999999999</v>
      </c>
      <c r="L6212">
        <v>56.234470000000002</v>
      </c>
      <c r="M6212">
        <v>3.2126949999999998E-3</v>
      </c>
      <c r="N6212">
        <v>-1.4202630000000001E-2</v>
      </c>
      <c r="O6212">
        <v>0.99989399999999995</v>
      </c>
      <c r="P6212">
        <v>-0.1103155</v>
      </c>
      <c r="Q6212">
        <v>0.36675439999999998</v>
      </c>
      <c r="R6212">
        <v>0.92375419999999997</v>
      </c>
      <c r="S6212">
        <v>-0.27214050000000001</v>
      </c>
      <c r="T6212">
        <v>-0.28574110000000003</v>
      </c>
      <c r="U6212">
        <v>3.329224</v>
      </c>
      <c r="V6212">
        <v>-0.1123349</v>
      </c>
      <c r="W6212">
        <v>0.3801136</v>
      </c>
      <c r="X6212">
        <v>0.91809280000000004</v>
      </c>
      <c r="Y6212">
        <v>-8.4407399999999994E-2</v>
      </c>
      <c r="Z6212">
        <v>-7.1058259999999998E-2</v>
      </c>
      <c r="AA6212">
        <v>0.99389439999999996</v>
      </c>
      <c r="AB6212">
        <v>46</v>
      </c>
      <c r="AC6212">
        <v>-1.0583</v>
      </c>
      <c r="AD6212">
        <v>-1.1093021757629999</v>
      </c>
      <c r="AE6212">
        <v>12.435309999999999</v>
      </c>
      <c r="AF6212">
        <v>-1.0896407620669699</v>
      </c>
      <c r="AG6212">
        <v>-1.1093021757629999</v>
      </c>
      <c r="AH6212">
        <v>12.334398063882</v>
      </c>
      <c r="AI6212">
        <v>95.119276831462699</v>
      </c>
      <c r="AJ6212">
        <v>95.048496229591706</v>
      </c>
      <c r="AK6212">
        <v>12.432024931836599</v>
      </c>
      <c r="AL6212">
        <v>67.659278967543003</v>
      </c>
      <c r="AM6212">
        <v>96.975854044760993</v>
      </c>
      <c r="AN6212">
        <v>0.99999993403740195</v>
      </c>
    </row>
    <row r="6213" spans="1:40" x14ac:dyDescent="0.25">
      <c r="A6213" t="str">
        <f>"20190304164531237"</f>
        <v>20190304164531237</v>
      </c>
      <c r="B6213" t="str">
        <f>"1551689131226003"</f>
        <v>1551689131226003</v>
      </c>
      <c r="C6213" t="s">
        <v>40</v>
      </c>
      <c r="D6213">
        <v>4.7547160000000002</v>
      </c>
      <c r="E6213">
        <v>0.52966289999999905</v>
      </c>
      <c r="F6213" t="s">
        <v>42</v>
      </c>
      <c r="G6213">
        <v>-188.28</v>
      </c>
      <c r="H6213" s="1">
        <v>-4.3083680000000001E-6</v>
      </c>
      <c r="I6213">
        <v>68.964510000000004</v>
      </c>
      <c r="J6213">
        <v>-187.2544</v>
      </c>
      <c r="K6213">
        <v>1.1093379999999999</v>
      </c>
      <c r="L6213">
        <v>56.703220000000002</v>
      </c>
      <c r="M6213">
        <v>3.9833339999999998E-3</v>
      </c>
      <c r="N6213">
        <v>-1.426468E-2</v>
      </c>
      <c r="O6213">
        <v>0.99989030000000001</v>
      </c>
      <c r="P6213">
        <v>-0.1092113</v>
      </c>
      <c r="Q6213">
        <v>0.36688860000000001</v>
      </c>
      <c r="R6213">
        <v>0.92383210000000004</v>
      </c>
      <c r="S6213">
        <v>-0.26780700000000002</v>
      </c>
      <c r="T6213">
        <v>-0.29025390000000001</v>
      </c>
      <c r="U6213">
        <v>3.3308719999999998</v>
      </c>
      <c r="V6213">
        <v>-0.1119744</v>
      </c>
      <c r="W6213">
        <v>0.38029400000000002</v>
      </c>
      <c r="X6213">
        <v>0.91806220000000005</v>
      </c>
      <c r="Y6213">
        <v>-8.3842949999999999E-2</v>
      </c>
      <c r="Z6213">
        <v>-7.2297100000000003E-2</v>
      </c>
      <c r="AA6213">
        <v>0.99385290000000004</v>
      </c>
      <c r="AB6213">
        <v>46</v>
      </c>
      <c r="AC6213">
        <v>-1.0255999999999901</v>
      </c>
      <c r="AD6213">
        <v>-1.1093423083680001</v>
      </c>
      <c r="AE6213">
        <v>12.261290000000001</v>
      </c>
      <c r="AF6213">
        <v>-1.06577409357856</v>
      </c>
      <c r="AG6213">
        <v>-1.1093423083680001</v>
      </c>
      <c r="AH6213">
        <v>12.158273803477201</v>
      </c>
      <c r="AI6213">
        <v>95.193526903759604</v>
      </c>
      <c r="AJ6213">
        <v>95.009647731258596</v>
      </c>
      <c r="AK6213">
        <v>12.255208552121699</v>
      </c>
      <c r="AL6213">
        <v>67.648105070107803</v>
      </c>
      <c r="AM6213">
        <v>96.953916486930893</v>
      </c>
      <c r="AN6213">
        <v>0.99999999788009997</v>
      </c>
    </row>
    <row r="6214" spans="1:40" x14ac:dyDescent="0.25">
      <c r="A6214" t="str">
        <f>"20190304164531259"</f>
        <v>20190304164531259</v>
      </c>
      <c r="B6214" t="str">
        <f>"1551689131246499"</f>
        <v>1551689131246499</v>
      </c>
      <c r="C6214" t="s">
        <v>40</v>
      </c>
      <c r="D6214">
        <v>4.7780019999999999</v>
      </c>
      <c r="E6214">
        <v>0.52983369999999996</v>
      </c>
      <c r="F6214" t="s">
        <v>42</v>
      </c>
      <c r="G6214">
        <v>-188.251</v>
      </c>
      <c r="H6214" s="1">
        <v>-4.4369190000000001E-6</v>
      </c>
      <c r="I6214">
        <v>69.252160000000003</v>
      </c>
      <c r="J6214">
        <v>-187.25219999999999</v>
      </c>
      <c r="K6214">
        <v>1.109389</v>
      </c>
      <c r="L6214">
        <v>57.13843</v>
      </c>
      <c r="M6214">
        <v>4.6330690000000001E-3</v>
      </c>
      <c r="N6214">
        <v>-1.4315649999999999E-2</v>
      </c>
      <c r="O6214">
        <v>0.99988679999999996</v>
      </c>
      <c r="P6214">
        <v>-0.1086411</v>
      </c>
      <c r="Q6214">
        <v>0.3667203</v>
      </c>
      <c r="R6214">
        <v>0.92396610000000001</v>
      </c>
      <c r="S6214">
        <v>-0.26469419999999999</v>
      </c>
      <c r="T6214">
        <v>-0.29464469999999998</v>
      </c>
      <c r="U6214">
        <v>3.3330380000000002</v>
      </c>
      <c r="V6214">
        <v>-0.11204749999999999</v>
      </c>
      <c r="W6214">
        <v>0.38016119999999998</v>
      </c>
      <c r="X6214">
        <v>0.91810829999999999</v>
      </c>
      <c r="Y6214">
        <v>-8.3508849999999996E-2</v>
      </c>
      <c r="Z6214">
        <v>-7.3493749999999997E-2</v>
      </c>
      <c r="AA6214">
        <v>0.99379320000000004</v>
      </c>
      <c r="AB6214">
        <v>46</v>
      </c>
      <c r="AC6214">
        <v>-0.99879999999998803</v>
      </c>
      <c r="AD6214">
        <v>-1.1093934369189999</v>
      </c>
      <c r="AE6214">
        <v>12.113729999999901</v>
      </c>
      <c r="AF6214">
        <v>-1.0462033420711701</v>
      </c>
      <c r="AG6214">
        <v>-1.1093934369189999</v>
      </c>
      <c r="AH6214">
        <v>12.008931147903301</v>
      </c>
      <c r="AI6214">
        <v>95.258239297134196</v>
      </c>
      <c r="AJ6214">
        <v>94.978967123688605</v>
      </c>
      <c r="AK6214">
        <v>12.105359248940999</v>
      </c>
      <c r="AL6214">
        <v>67.656332250144104</v>
      </c>
      <c r="AM6214">
        <v>96.958065733765295</v>
      </c>
      <c r="AN6214">
        <v>1.0000000153852799</v>
      </c>
    </row>
    <row r="6215" spans="1:40" x14ac:dyDescent="0.25">
      <c r="A6215" t="str">
        <f>"20190304164531281"</f>
        <v>20190304164531281</v>
      </c>
      <c r="B6215" t="str">
        <f>"1551689131276755"</f>
        <v>1551689131276755</v>
      </c>
      <c r="C6215" t="s">
        <v>40</v>
      </c>
      <c r="D6215">
        <v>4.7525659999999998</v>
      </c>
      <c r="E6215">
        <v>0.53000959999999997</v>
      </c>
      <c r="F6215" t="s">
        <v>42</v>
      </c>
      <c r="G6215">
        <v>-188.2278</v>
      </c>
      <c r="H6215" s="1">
        <v>-4.5665390000000003E-6</v>
      </c>
      <c r="I6215">
        <v>69.544690000000003</v>
      </c>
      <c r="J6215">
        <v>-187.24959999999999</v>
      </c>
      <c r="K6215">
        <v>1.109469</v>
      </c>
      <c r="L6215">
        <v>57.604680000000002</v>
      </c>
      <c r="M6215">
        <v>5.2403340000000001E-3</v>
      </c>
      <c r="N6215">
        <v>-1.4363570000000001E-2</v>
      </c>
      <c r="O6215">
        <v>0.99988310000000002</v>
      </c>
      <c r="P6215">
        <v>-0.10784630000000001</v>
      </c>
      <c r="Q6215">
        <v>0.3672127</v>
      </c>
      <c r="R6215">
        <v>0.92386360000000001</v>
      </c>
      <c r="S6215">
        <v>-0.26219179999999997</v>
      </c>
      <c r="T6215">
        <v>-0.29816710000000002</v>
      </c>
      <c r="U6215">
        <v>3.334381</v>
      </c>
      <c r="V6215">
        <v>-0.11187039999999999</v>
      </c>
      <c r="W6215">
        <v>0.38067719999999999</v>
      </c>
      <c r="X6215">
        <v>0.91791610000000001</v>
      </c>
      <c r="Y6215">
        <v>-8.333496E-2</v>
      </c>
      <c r="Z6215">
        <v>-7.4455250000000001E-2</v>
      </c>
      <c r="AA6215">
        <v>0.99373619999999996</v>
      </c>
      <c r="AB6215">
        <v>46</v>
      </c>
      <c r="AC6215">
        <v>-0.97820000000001495</v>
      </c>
      <c r="AD6215">
        <v>-1.1094735665389901</v>
      </c>
      <c r="AE6215">
        <v>11.940009999999999</v>
      </c>
      <c r="AF6215">
        <v>-1.03191227815621</v>
      </c>
      <c r="AG6215">
        <v>-1.1094735665389901</v>
      </c>
      <c r="AH6215">
        <v>11.833229545883601</v>
      </c>
      <c r="AI6215">
        <v>95.336210838979994</v>
      </c>
      <c r="AJ6215">
        <v>94.983848692634695</v>
      </c>
      <c r="AK6215">
        <v>11.9298405701934</v>
      </c>
      <c r="AL6215">
        <v>67.624364697161894</v>
      </c>
      <c r="AM6215">
        <v>96.948615946029307</v>
      </c>
      <c r="AN6215">
        <v>1.0000000418176</v>
      </c>
    </row>
    <row r="6216" spans="1:40" x14ac:dyDescent="0.25">
      <c r="A6216" t="str">
        <f>"20190304164531306"</f>
        <v>20190304164531306</v>
      </c>
      <c r="B6216" t="str">
        <f>"1551689131296275"</f>
        <v>1551689131296275</v>
      </c>
      <c r="C6216" t="s">
        <v>40</v>
      </c>
      <c r="D6216">
        <v>4.8138940000000003</v>
      </c>
      <c r="E6216">
        <v>0.53046319999999902</v>
      </c>
      <c r="F6216" t="s">
        <v>42</v>
      </c>
      <c r="G6216">
        <v>-188.20580000000001</v>
      </c>
      <c r="H6216" s="1">
        <v>-5.7488719999999898E-7</v>
      </c>
      <c r="I6216">
        <v>69.934539999999998</v>
      </c>
      <c r="J6216">
        <v>-187.2465</v>
      </c>
      <c r="K6216">
        <v>1.1095630000000001</v>
      </c>
      <c r="L6216">
        <v>58.111690000000003</v>
      </c>
      <c r="M6216">
        <v>5.7784219999999897E-3</v>
      </c>
      <c r="N6216">
        <v>-1.440872E-2</v>
      </c>
      <c r="O6216">
        <v>0.99987950000000003</v>
      </c>
      <c r="P6216">
        <v>-0.1065333</v>
      </c>
      <c r="Q6216">
        <v>0.36809259999999999</v>
      </c>
      <c r="R6216">
        <v>0.92366579999999998</v>
      </c>
      <c r="S6216">
        <v>-0.25872800000000001</v>
      </c>
      <c r="T6216">
        <v>-0.30021360000000002</v>
      </c>
      <c r="U6216">
        <v>3.3363649999999998</v>
      </c>
      <c r="V6216">
        <v>-0.1111297</v>
      </c>
      <c r="W6216">
        <v>0.38156990000000002</v>
      </c>
      <c r="X6216">
        <v>0.91763530000000004</v>
      </c>
      <c r="Y6216">
        <v>-8.2796480000000006E-2</v>
      </c>
      <c r="Z6216">
        <v>-7.496767E-2</v>
      </c>
      <c r="AA6216">
        <v>0.99374269999999998</v>
      </c>
      <c r="AB6216">
        <v>46</v>
      </c>
      <c r="AC6216">
        <v>-0.95930000000001303</v>
      </c>
      <c r="AD6216">
        <v>-1.1095635748871999</v>
      </c>
      <c r="AE6216">
        <v>11.822849999999899</v>
      </c>
      <c r="AF6216">
        <v>-1.01869486634411</v>
      </c>
      <c r="AG6216">
        <v>-1.1095635748871999</v>
      </c>
      <c r="AH6216">
        <v>11.7146054618264</v>
      </c>
      <c r="AI6216">
        <v>95.390477837984506</v>
      </c>
      <c r="AJ6216">
        <v>94.969903451932794</v>
      </c>
      <c r="AK6216">
        <v>11.811047865608099</v>
      </c>
      <c r="AL6216">
        <v>67.569039493785695</v>
      </c>
      <c r="AM6216">
        <v>96.905146134695499</v>
      </c>
      <c r="AN6216">
        <v>0.99999997130709395</v>
      </c>
    </row>
    <row r="6217" spans="1:40" x14ac:dyDescent="0.25">
      <c r="A6217" t="str">
        <f>"20190304164531329"</f>
        <v>20190304164531329</v>
      </c>
      <c r="B6217" t="str">
        <f>"1551689131316771"</f>
        <v>1551689131316771</v>
      </c>
      <c r="C6217" t="s">
        <v>40</v>
      </c>
      <c r="D6217">
        <v>4.7874499999999998</v>
      </c>
      <c r="E6217">
        <v>0.54340889999999997</v>
      </c>
      <c r="F6217" t="s">
        <v>42</v>
      </c>
      <c r="G6217">
        <v>-188.1788</v>
      </c>
      <c r="H6217" s="1">
        <v>-7.7211869999999995E-7</v>
      </c>
      <c r="I6217">
        <v>70.49306</v>
      </c>
      <c r="J6217">
        <v>-187.24350000000001</v>
      </c>
      <c r="K6217">
        <v>1.109667</v>
      </c>
      <c r="L6217">
        <v>58.58896</v>
      </c>
      <c r="M6217">
        <v>6.1623420000000003E-3</v>
      </c>
      <c r="N6217">
        <v>-1.444545E-2</v>
      </c>
      <c r="O6217">
        <v>0.99987669999999995</v>
      </c>
      <c r="P6217">
        <v>-0.1053336</v>
      </c>
      <c r="Q6217">
        <v>0.36864799999999998</v>
      </c>
      <c r="R6217">
        <v>0.92358189999999996</v>
      </c>
      <c r="S6217">
        <v>-0.25135800000000003</v>
      </c>
      <c r="T6217">
        <v>-0.2991492</v>
      </c>
      <c r="U6217">
        <v>3.3381349999999999</v>
      </c>
      <c r="V6217">
        <v>-0.11037039999999999</v>
      </c>
      <c r="W6217">
        <v>0.3821309</v>
      </c>
      <c r="X6217">
        <v>0.91749349999999996</v>
      </c>
      <c r="Y6217">
        <v>-8.0960660000000004E-2</v>
      </c>
      <c r="Z6217">
        <v>-7.4583430000000006E-2</v>
      </c>
      <c r="AA6217">
        <v>0.99392290000000005</v>
      </c>
      <c r="AB6217">
        <v>46</v>
      </c>
      <c r="AC6217">
        <v>-0.93529999999998303</v>
      </c>
      <c r="AD6217">
        <v>-1.1096677721187</v>
      </c>
      <c r="AE6217">
        <v>11.9041</v>
      </c>
      <c r="AF6217">
        <v>-1.0000107843379999</v>
      </c>
      <c r="AG6217">
        <v>-1.1096677721187</v>
      </c>
      <c r="AH6217">
        <v>11.7962356478772</v>
      </c>
      <c r="AI6217">
        <v>95.3548846311852</v>
      </c>
      <c r="AJ6217">
        <v>94.845590815066203</v>
      </c>
      <c r="AK6217">
        <v>11.890439840204399</v>
      </c>
      <c r="AL6217">
        <v>67.534261558847305</v>
      </c>
      <c r="AM6217">
        <v>96.859467122264306</v>
      </c>
      <c r="AN6217">
        <v>0.99999998623660902</v>
      </c>
    </row>
    <row r="6218" spans="1:40" x14ac:dyDescent="0.25">
      <c r="A6218" t="str">
        <f>"20190304164531348"</f>
        <v>20190304164531348</v>
      </c>
      <c r="B6218" t="str">
        <f>"1551689131336294"</f>
        <v>1551689131336294</v>
      </c>
      <c r="C6218" t="s">
        <v>40</v>
      </c>
      <c r="D6218">
        <v>4.7787199999999999</v>
      </c>
      <c r="E6218">
        <v>0.54353750000000001</v>
      </c>
      <c r="F6218" t="s">
        <v>42</v>
      </c>
      <c r="G6218">
        <v>-187.76580000000001</v>
      </c>
      <c r="H6218" s="1">
        <v>-9.4042589999999996E-7</v>
      </c>
      <c r="I6218">
        <v>70.664659999999998</v>
      </c>
      <c r="J6218">
        <v>-187.24080000000001</v>
      </c>
      <c r="K6218">
        <v>1.1097570000000001</v>
      </c>
      <c r="L6218">
        <v>58.990630000000003</v>
      </c>
      <c r="M6218">
        <v>6.3941459999999999E-3</v>
      </c>
      <c r="N6218">
        <v>-1.4472179999999999E-2</v>
      </c>
      <c r="O6218">
        <v>0.99987479999999995</v>
      </c>
      <c r="P6218">
        <v>-0.10494630000000001</v>
      </c>
      <c r="Q6218">
        <v>0.3693148</v>
      </c>
      <c r="R6218">
        <v>0.92335959999999995</v>
      </c>
      <c r="S6218">
        <v>-0.1450958</v>
      </c>
      <c r="T6218">
        <v>-0.30827280000000001</v>
      </c>
      <c r="U6218">
        <v>3.3547060000000002</v>
      </c>
      <c r="V6218">
        <v>-0.1102742</v>
      </c>
      <c r="W6218">
        <v>0.38279540000000001</v>
      </c>
      <c r="X6218">
        <v>0.91722800000000004</v>
      </c>
      <c r="Y6218">
        <v>-4.9432690000000001E-2</v>
      </c>
      <c r="Z6218">
        <v>-7.6982919999999996E-2</v>
      </c>
      <c r="AA6218">
        <v>0.99580619999999997</v>
      </c>
      <c r="AB6218">
        <v>46</v>
      </c>
      <c r="AC6218">
        <v>-0.52500000000000502</v>
      </c>
      <c r="AD6218">
        <v>-1.1097579404258999</v>
      </c>
      <c r="AE6218">
        <v>11.674029999999901</v>
      </c>
      <c r="AF6218">
        <v>-0.59428295808132803</v>
      </c>
      <c r="AG6218">
        <v>-1.1097579404258999</v>
      </c>
      <c r="AH6218">
        <v>11.566124174256901</v>
      </c>
      <c r="AI6218">
        <v>95.473518038780796</v>
      </c>
      <c r="AJ6218">
        <v>92.941347317617002</v>
      </c>
      <c r="AK6218">
        <v>11.6344300820854</v>
      </c>
      <c r="AL6218">
        <v>67.493055051661898</v>
      </c>
      <c r="AM6218">
        <v>96.855510174367296</v>
      </c>
      <c r="AN6218">
        <v>0.99999996071539898</v>
      </c>
    </row>
    <row r="6219" spans="1:40" x14ac:dyDescent="0.25">
      <c r="A6219" t="str">
        <f>"20190304164531371"</f>
        <v>20190304164531371</v>
      </c>
      <c r="B6219" t="str">
        <f>"1551689131366547"</f>
        <v>1551689131366547</v>
      </c>
      <c r="C6219" t="s">
        <v>40</v>
      </c>
      <c r="D6219">
        <v>4.7853750000000002</v>
      </c>
      <c r="E6219">
        <v>0.541390699999999</v>
      </c>
      <c r="F6219" t="s">
        <v>42</v>
      </c>
      <c r="G6219">
        <v>-187.75110000000001</v>
      </c>
      <c r="H6219" s="1">
        <v>-1.095685E-6</v>
      </c>
      <c r="I6219">
        <v>71.109440000000006</v>
      </c>
      <c r="J6219">
        <v>-187.23759999999999</v>
      </c>
      <c r="K6219">
        <v>1.1098629999999901</v>
      </c>
      <c r="L6219">
        <v>59.470550000000003</v>
      </c>
      <c r="M6219">
        <v>6.5865719999999997E-3</v>
      </c>
      <c r="N6219">
        <v>-1.449984E-2</v>
      </c>
      <c r="O6219">
        <v>0.99987320000000002</v>
      </c>
      <c r="P6219">
        <v>-0.10477259999999999</v>
      </c>
      <c r="Q6219">
        <v>0.36943310000000001</v>
      </c>
      <c r="R6219">
        <v>0.92333200000000004</v>
      </c>
      <c r="S6219">
        <v>-0.14129639999999999</v>
      </c>
      <c r="T6219">
        <v>-0.30730760000000001</v>
      </c>
      <c r="U6219">
        <v>3.3558650000000001</v>
      </c>
      <c r="V6219">
        <v>-0.1103716</v>
      </c>
      <c r="W6219">
        <v>0.3829111</v>
      </c>
      <c r="X6219">
        <v>0.91716799999999998</v>
      </c>
      <c r="Y6219">
        <v>-4.8486500000000002E-2</v>
      </c>
      <c r="Z6219">
        <v>-7.664406E-2</v>
      </c>
      <c r="AA6219">
        <v>0.99587890000000001</v>
      </c>
      <c r="AB6219">
        <v>46</v>
      </c>
      <c r="AC6219">
        <v>-0.51350000000002105</v>
      </c>
      <c r="AD6219">
        <v>-1.1098640956850001</v>
      </c>
      <c r="AE6219">
        <v>11.63889</v>
      </c>
      <c r="AF6219">
        <v>-0.58484948593452601</v>
      </c>
      <c r="AG6219">
        <v>-1.1098640956850001</v>
      </c>
      <c r="AH6219">
        <v>11.530608549728001</v>
      </c>
      <c r="AI6219">
        <v>95.490979592493503</v>
      </c>
      <c r="AJ6219">
        <v>92.903638184505795</v>
      </c>
      <c r="AK6219">
        <v>11.598654265006299</v>
      </c>
      <c r="AL6219">
        <v>67.485879425392994</v>
      </c>
      <c r="AM6219">
        <v>96.861952212508001</v>
      </c>
      <c r="AN6219">
        <v>0.99999997040688404</v>
      </c>
    </row>
    <row r="6220" spans="1:40" x14ac:dyDescent="0.25">
      <c r="A6220" t="str">
        <f>"20190304164531393"</f>
        <v>20190304164531393</v>
      </c>
      <c r="B6220" t="str">
        <f>"1551689131386067"</f>
        <v>1551689131386067</v>
      </c>
      <c r="C6220" t="s">
        <v>40</v>
      </c>
      <c r="D6220">
        <v>4.7598440000000002</v>
      </c>
      <c r="E6220">
        <v>0.54120179999999996</v>
      </c>
      <c r="F6220" t="s">
        <v>42</v>
      </c>
      <c r="G6220">
        <v>-187.98339999999999</v>
      </c>
      <c r="H6220" s="1">
        <v>-3.2155130000000001E-6</v>
      </c>
      <c r="I6220">
        <v>76.294359999999998</v>
      </c>
      <c r="J6220">
        <v>-187.2345</v>
      </c>
      <c r="K6220">
        <v>1.109955</v>
      </c>
      <c r="L6220">
        <v>59.934939999999997</v>
      </c>
      <c r="M6220">
        <v>6.7033090000000002E-3</v>
      </c>
      <c r="N6220">
        <v>-1.452259E-2</v>
      </c>
      <c r="O6220">
        <v>0.99987210000000004</v>
      </c>
      <c r="P6220">
        <v>-0.105466</v>
      </c>
      <c r="Q6220">
        <v>0.36948180000000003</v>
      </c>
      <c r="R6220">
        <v>0.92323350000000004</v>
      </c>
      <c r="S6220">
        <v>-0.147171</v>
      </c>
      <c r="T6220">
        <v>-0.21902260000000001</v>
      </c>
      <c r="U6220">
        <v>3.3200379999999998</v>
      </c>
      <c r="V6220">
        <v>-0.11125359999999999</v>
      </c>
      <c r="W6220">
        <v>0.38295610000000002</v>
      </c>
      <c r="X6220">
        <v>0.91704269999999999</v>
      </c>
      <c r="Y6220">
        <v>-5.0893140000000003E-2</v>
      </c>
      <c r="Z6220">
        <v>-5.1249629999999997E-2</v>
      </c>
      <c r="AA6220">
        <v>0.99738819999999995</v>
      </c>
      <c r="AB6220">
        <v>46</v>
      </c>
      <c r="AC6220">
        <v>-0.74889999999999102</v>
      </c>
      <c r="AD6220">
        <v>-1.1099582155129999</v>
      </c>
      <c r="AE6220">
        <v>16.359419999999901</v>
      </c>
      <c r="AF6220">
        <v>-0.85463101117368601</v>
      </c>
      <c r="AG6220">
        <v>-1.1099582155129999</v>
      </c>
      <c r="AH6220">
        <v>16.279248770648799</v>
      </c>
      <c r="AI6220">
        <v>93.895179364809096</v>
      </c>
      <c r="AJ6220">
        <v>93.005165645084702</v>
      </c>
      <c r="AK6220">
        <v>16.339410697516499</v>
      </c>
      <c r="AL6220">
        <v>67.483089685889894</v>
      </c>
      <c r="AM6220">
        <v>96.917194142022197</v>
      </c>
      <c r="AN6220">
        <v>1.0000000258317201</v>
      </c>
    </row>
    <row r="6221" spans="1:40" x14ac:dyDescent="0.25">
      <c r="A6221" t="str">
        <f>"20190304164531416"</f>
        <v>20190304164531416</v>
      </c>
      <c r="B6221" t="str">
        <f>"1551689131406562"</f>
        <v>1551689131406562</v>
      </c>
      <c r="C6221" t="s">
        <v>40</v>
      </c>
      <c r="D6221">
        <v>4.7811909999999997</v>
      </c>
      <c r="E6221">
        <v>0.54093059999999904</v>
      </c>
      <c r="F6221" t="s">
        <v>42</v>
      </c>
      <c r="G6221">
        <v>-187.9958</v>
      </c>
      <c r="H6221" s="1">
        <v>-3.2869050000000002E-6</v>
      </c>
      <c r="I6221">
        <v>76.465909999999994</v>
      </c>
      <c r="J6221">
        <v>-187.2313</v>
      </c>
      <c r="K6221">
        <v>1.110031</v>
      </c>
      <c r="L6221">
        <v>60.389470000000003</v>
      </c>
      <c r="M6221">
        <v>6.7674329999999998E-3</v>
      </c>
      <c r="N6221">
        <v>-1.4541190000000001E-2</v>
      </c>
      <c r="O6221">
        <v>0.99987139999999997</v>
      </c>
      <c r="P6221">
        <v>-0.1068726</v>
      </c>
      <c r="Q6221">
        <v>0.36935400000000002</v>
      </c>
      <c r="R6221">
        <v>0.92312289999999997</v>
      </c>
      <c r="S6221">
        <v>-0.15295410000000001</v>
      </c>
      <c r="T6221">
        <v>-0.22300110000000001</v>
      </c>
      <c r="U6221">
        <v>3.3212280000000001</v>
      </c>
      <c r="V6221">
        <v>-0.1127866</v>
      </c>
      <c r="W6221">
        <v>0.38282529999999998</v>
      </c>
      <c r="X6221">
        <v>0.91691009999999995</v>
      </c>
      <c r="Y6221">
        <v>-5.26702E-2</v>
      </c>
      <c r="Z6221">
        <v>-5.2391350000000003E-2</v>
      </c>
      <c r="AA6221">
        <v>0.99723669999999998</v>
      </c>
      <c r="AB6221">
        <v>46</v>
      </c>
      <c r="AC6221">
        <v>-0.76449999999999796</v>
      </c>
      <c r="AD6221">
        <v>-1.1100342869049999</v>
      </c>
      <c r="AE6221">
        <v>16.076439999999899</v>
      </c>
      <c r="AF6221">
        <v>-0.869155847928887</v>
      </c>
      <c r="AG6221">
        <v>-1.1100342869049999</v>
      </c>
      <c r="AH6221">
        <v>15.994813905371499</v>
      </c>
      <c r="AI6221">
        <v>93.964111352791093</v>
      </c>
      <c r="AJ6221">
        <v>93.110385215650496</v>
      </c>
      <c r="AK6221">
        <v>16.056826581661799</v>
      </c>
      <c r="AL6221">
        <v>67.491203472150602</v>
      </c>
      <c r="AM6221">
        <v>97.012569927886105</v>
      </c>
      <c r="AN6221">
        <v>1.0000000794708199</v>
      </c>
    </row>
    <row r="6222" spans="1:40" x14ac:dyDescent="0.25">
      <c r="A6222" t="str">
        <f>"20190304164531437"</f>
        <v>20190304164531437</v>
      </c>
      <c r="B6222" t="str">
        <f>"1551689131426083"</f>
        <v>1551689131426083</v>
      </c>
      <c r="C6222" t="s">
        <v>40</v>
      </c>
      <c r="D6222">
        <v>4.7778499999999999</v>
      </c>
      <c r="E6222">
        <v>0.54084670000000001</v>
      </c>
      <c r="F6222" t="s">
        <v>42</v>
      </c>
      <c r="G6222">
        <v>-188.0121</v>
      </c>
      <c r="H6222" s="1">
        <v>-3.3373709999999998E-6</v>
      </c>
      <c r="I6222">
        <v>76.590280000000007</v>
      </c>
      <c r="J6222">
        <v>-187.22829999999999</v>
      </c>
      <c r="K6222">
        <v>1.1100989999999999</v>
      </c>
      <c r="L6222">
        <v>60.830959999999997</v>
      </c>
      <c r="M6222">
        <v>6.801784E-3</v>
      </c>
      <c r="N6222">
        <v>-1.4556599999999999E-2</v>
      </c>
      <c r="O6222">
        <v>0.99987090000000001</v>
      </c>
      <c r="P6222">
        <v>-0.10796699999999999</v>
      </c>
      <c r="Q6222">
        <v>0.3690832</v>
      </c>
      <c r="R6222">
        <v>0.92310380000000003</v>
      </c>
      <c r="S6222">
        <v>-0.16011049999999999</v>
      </c>
      <c r="T6222">
        <v>-0.2276407</v>
      </c>
      <c r="U6222">
        <v>3.3223880000000001</v>
      </c>
      <c r="V6222">
        <v>-0.11396829999999999</v>
      </c>
      <c r="W6222">
        <v>0.38255260000000002</v>
      </c>
      <c r="X6222">
        <v>0.91687770000000002</v>
      </c>
      <c r="Y6222">
        <v>-5.4826369999999999E-2</v>
      </c>
      <c r="Z6222">
        <v>-5.3731550000000003E-2</v>
      </c>
      <c r="AA6222">
        <v>0.99704919999999997</v>
      </c>
      <c r="AB6222">
        <v>46</v>
      </c>
      <c r="AC6222">
        <v>-0.78380000000001304</v>
      </c>
      <c r="AD6222">
        <v>-1.1101023373709999</v>
      </c>
      <c r="AE6222">
        <v>15.759320000000001</v>
      </c>
      <c r="AF6222">
        <v>-0.88659633707128505</v>
      </c>
      <c r="AG6222">
        <v>-1.1101023373709999</v>
      </c>
      <c r="AH6222">
        <v>15.676032046862</v>
      </c>
      <c r="AI6222">
        <v>94.044212130202297</v>
      </c>
      <c r="AJ6222">
        <v>93.237054395478694</v>
      </c>
      <c r="AK6222">
        <v>15.7402783011797</v>
      </c>
      <c r="AL6222">
        <v>67.508113313727307</v>
      </c>
      <c r="AM6222">
        <v>97.085547670482498</v>
      </c>
      <c r="AN6222">
        <v>0.99999999096447001</v>
      </c>
    </row>
    <row r="6223" spans="1:40" x14ac:dyDescent="0.25">
      <c r="A6223" t="str">
        <f>"20190304164531460"</f>
        <v>20190304164531460</v>
      </c>
      <c r="B6223" t="str">
        <f>"1551689131456339"</f>
        <v>1551689131456339</v>
      </c>
      <c r="C6223" t="s">
        <v>40</v>
      </c>
      <c r="D6223">
        <v>4.7572460000000003</v>
      </c>
      <c r="E6223">
        <v>0.54105400000000003</v>
      </c>
      <c r="F6223" t="s">
        <v>42</v>
      </c>
      <c r="G6223">
        <v>-188.02260000000001</v>
      </c>
      <c r="H6223" s="1">
        <v>-3.428051E-6</v>
      </c>
      <c r="I6223">
        <v>76.806030000000007</v>
      </c>
      <c r="J6223">
        <v>-187.22499999999999</v>
      </c>
      <c r="K6223">
        <v>1.1101589999999999</v>
      </c>
      <c r="L6223">
        <v>61.294829999999997</v>
      </c>
      <c r="M6223">
        <v>6.8203659999999996E-3</v>
      </c>
      <c r="N6223">
        <v>-1.457015E-2</v>
      </c>
      <c r="O6223">
        <v>0.99987060000000005</v>
      </c>
      <c r="P6223">
        <v>-0.1090004</v>
      </c>
      <c r="Q6223">
        <v>0.36941839999999998</v>
      </c>
      <c r="R6223">
        <v>0.92284829999999995</v>
      </c>
      <c r="S6223">
        <v>-0.16523740000000001</v>
      </c>
      <c r="T6223">
        <v>-0.23090769999999999</v>
      </c>
      <c r="U6223">
        <v>3.3229060000000001</v>
      </c>
      <c r="V6223">
        <v>-0.1150656</v>
      </c>
      <c r="W6223">
        <v>0.3828821</v>
      </c>
      <c r="X6223">
        <v>0.9166031</v>
      </c>
      <c r="Y6223">
        <v>-5.6368130000000002E-2</v>
      </c>
      <c r="Z6223">
        <v>-5.4677459999999997E-2</v>
      </c>
      <c r="AA6223">
        <v>0.99691180000000001</v>
      </c>
      <c r="AB6223">
        <v>46</v>
      </c>
      <c r="AC6223">
        <v>-0.79760000000001696</v>
      </c>
      <c r="AD6223">
        <v>-1.1101624280509901</v>
      </c>
      <c r="AE6223">
        <v>15.511200000000001</v>
      </c>
      <c r="AF6223">
        <v>-0.89879280796806404</v>
      </c>
      <c r="AG6223">
        <v>-1.1101624280509901</v>
      </c>
      <c r="AH6223">
        <v>15.426584310792901</v>
      </c>
      <c r="AI6223">
        <v>94.109206841737901</v>
      </c>
      <c r="AJ6223">
        <v>93.334431167814998</v>
      </c>
      <c r="AK6223">
        <v>15.4925721759271</v>
      </c>
      <c r="AL6223">
        <v>67.487679226833905</v>
      </c>
      <c r="AM6223">
        <v>97.155185541207601</v>
      </c>
      <c r="AN6223">
        <v>1.00000001886669</v>
      </c>
    </row>
    <row r="6224" spans="1:40" x14ac:dyDescent="0.25">
      <c r="A6224" t="str">
        <f>"20190304164531483"</f>
        <v>20190304164531483</v>
      </c>
      <c r="B6224" t="str">
        <f>"1551689131476836"</f>
        <v>1551689131476836</v>
      </c>
      <c r="C6224" t="s">
        <v>40</v>
      </c>
      <c r="D6224">
        <v>4.753342</v>
      </c>
      <c r="E6224">
        <v>0.54115619999999998</v>
      </c>
      <c r="F6224" t="s">
        <v>42</v>
      </c>
      <c r="G6224">
        <v>-188.0258</v>
      </c>
      <c r="H6224" s="1">
        <v>-3.5413030000000002E-6</v>
      </c>
      <c r="I6224">
        <v>77.071340000000006</v>
      </c>
      <c r="J6224">
        <v>-187.2218</v>
      </c>
      <c r="K6224">
        <v>1.1102179999999999</v>
      </c>
      <c r="L6224">
        <v>61.766419999999997</v>
      </c>
      <c r="M6224">
        <v>6.8305179999999998E-3</v>
      </c>
      <c r="N6224">
        <v>-1.4581770000000001E-2</v>
      </c>
      <c r="O6224">
        <v>0.99987040000000005</v>
      </c>
      <c r="P6224">
        <v>-0.109626</v>
      </c>
      <c r="Q6224">
        <v>0.36975049999999998</v>
      </c>
      <c r="R6224">
        <v>0.92264120000000005</v>
      </c>
      <c r="S6224">
        <v>-0.16874690000000001</v>
      </c>
      <c r="T6224">
        <v>-0.23394019999999999</v>
      </c>
      <c r="U6224">
        <v>3.3245239999999998</v>
      </c>
      <c r="V6224">
        <v>-0.11574130000000001</v>
      </c>
      <c r="W6224">
        <v>0.38320939999999998</v>
      </c>
      <c r="X6224">
        <v>0.91638120000000001</v>
      </c>
      <c r="Y6224">
        <v>-5.7400479999999997E-2</v>
      </c>
      <c r="Z6224">
        <v>-5.5533440000000003E-2</v>
      </c>
      <c r="AA6224">
        <v>0.99680550000000001</v>
      </c>
      <c r="AB6224">
        <v>46</v>
      </c>
      <c r="AC6224">
        <v>-0.80400000000000205</v>
      </c>
      <c r="AD6224">
        <v>-1.1102215413030001</v>
      </c>
      <c r="AE6224">
        <v>15.304919999999999</v>
      </c>
      <c r="AF6224">
        <v>-0.90379015730576095</v>
      </c>
      <c r="AG6224">
        <v>-1.1102215413030001</v>
      </c>
      <c r="AH6224">
        <v>15.2192063315553</v>
      </c>
      <c r="AI6224">
        <v>94.164951406932502</v>
      </c>
      <c r="AJ6224">
        <v>93.398509525640506</v>
      </c>
      <c r="AK6224">
        <v>15.2863883858049</v>
      </c>
      <c r="AL6224">
        <v>67.467377435242298</v>
      </c>
      <c r="AM6224">
        <v>97.198488071846896</v>
      </c>
      <c r="AN6224">
        <v>0.99999999824374497</v>
      </c>
    </row>
    <row r="6225" spans="1:40" x14ac:dyDescent="0.25">
      <c r="A6225" t="str">
        <f>"20190304164531508"</f>
        <v>20190304164531508</v>
      </c>
      <c r="B6225" t="str">
        <f>"1551689131496355"</f>
        <v>1551689131496355</v>
      </c>
      <c r="C6225" t="s">
        <v>40</v>
      </c>
      <c r="D6225">
        <v>4.7987979999999997</v>
      </c>
      <c r="E6225">
        <v>0.5412669</v>
      </c>
      <c r="F6225" t="s">
        <v>42</v>
      </c>
      <c r="G6225">
        <v>-188.03100000000001</v>
      </c>
      <c r="H6225" s="1">
        <v>-3.7272449999999998E-6</v>
      </c>
      <c r="I6225">
        <v>77.506900000000002</v>
      </c>
      <c r="J6225">
        <v>-187.2183</v>
      </c>
      <c r="K6225">
        <v>1.1102669999999999</v>
      </c>
      <c r="L6225">
        <v>62.259549999999997</v>
      </c>
      <c r="M6225">
        <v>6.8385649999999996E-3</v>
      </c>
      <c r="N6225">
        <v>-1.4591750000000001E-2</v>
      </c>
      <c r="O6225">
        <v>0.99987009999999998</v>
      </c>
      <c r="P6225">
        <v>-0.1103157</v>
      </c>
      <c r="Q6225">
        <v>0.37021150000000003</v>
      </c>
      <c r="R6225">
        <v>0.92237400000000003</v>
      </c>
      <c r="S6225">
        <v>-0.17094419999999999</v>
      </c>
      <c r="T6225">
        <v>-0.23453550000000001</v>
      </c>
      <c r="U6225">
        <v>3.3251949999999999</v>
      </c>
      <c r="V6225">
        <v>-0.1164734</v>
      </c>
      <c r="W6225">
        <v>0.38366519999999998</v>
      </c>
      <c r="X6225">
        <v>0.91609770000000001</v>
      </c>
      <c r="Y6225">
        <v>-5.8054370000000001E-2</v>
      </c>
      <c r="Z6225">
        <v>-5.568443E-2</v>
      </c>
      <c r="AA6225">
        <v>0.99675919999999896</v>
      </c>
      <c r="AB6225">
        <v>46</v>
      </c>
      <c r="AC6225">
        <v>-0.812699999999978</v>
      </c>
      <c r="AD6225">
        <v>-1.1102707272450001</v>
      </c>
      <c r="AE6225">
        <v>15.247350000000001</v>
      </c>
      <c r="AF6225">
        <v>-0.912139306334527</v>
      </c>
      <c r="AG6225">
        <v>-1.1102707272450001</v>
      </c>
      <c r="AH6225">
        <v>15.161272347646801</v>
      </c>
      <c r="AI6225">
        <v>94.180801732252505</v>
      </c>
      <c r="AJ6225">
        <v>93.442904647352194</v>
      </c>
      <c r="AK6225">
        <v>15.2292113519203</v>
      </c>
      <c r="AL6225">
        <v>67.439101196508503</v>
      </c>
      <c r="AM6225">
        <v>97.245756444708604</v>
      </c>
      <c r="AN6225">
        <v>1.0000000172719401</v>
      </c>
    </row>
    <row r="6226" spans="1:40" x14ac:dyDescent="0.25">
      <c r="A6226" t="str">
        <f>"20190304164531529"</f>
        <v>20190304164531529</v>
      </c>
      <c r="B6226" t="str">
        <f>"1551689131516852"</f>
        <v>1551689131516852</v>
      </c>
      <c r="C6226" t="s">
        <v>40</v>
      </c>
      <c r="D6226">
        <v>5.3186349999999996</v>
      </c>
      <c r="E6226">
        <v>0.54122019999999904</v>
      </c>
      <c r="F6226" t="s">
        <v>42</v>
      </c>
      <c r="G6226">
        <v>-188.0273</v>
      </c>
      <c r="H6226" s="1">
        <v>-3.9342079999999998E-6</v>
      </c>
      <c r="I6226">
        <v>77.987819999999999</v>
      </c>
      <c r="J6226">
        <v>-187.21520000000001</v>
      </c>
      <c r="K6226">
        <v>1.110312</v>
      </c>
      <c r="L6226">
        <v>62.712249999999997</v>
      </c>
      <c r="M6226">
        <v>6.846001E-3</v>
      </c>
      <c r="N6226">
        <v>-1.4599239999999999E-2</v>
      </c>
      <c r="O6226">
        <v>0.99987000000000004</v>
      </c>
      <c r="P6226">
        <v>-0.11073089999999999</v>
      </c>
      <c r="Q6226">
        <v>0.37074020000000002</v>
      </c>
      <c r="R6226">
        <v>0.92211189999999998</v>
      </c>
      <c r="S6226">
        <v>-0.1710815</v>
      </c>
      <c r="T6226">
        <v>-0.2348036</v>
      </c>
      <c r="U6226">
        <v>3.3262629999999902</v>
      </c>
      <c r="V6226">
        <v>-0.116922</v>
      </c>
      <c r="W6226">
        <v>0.38418780000000002</v>
      </c>
      <c r="X6226">
        <v>0.91582149999999996</v>
      </c>
      <c r="Y6226">
        <v>-5.8086209999999999E-2</v>
      </c>
      <c r="Z6226">
        <v>-5.5734310000000002E-2</v>
      </c>
      <c r="AA6226">
        <v>0.99675460000000005</v>
      </c>
      <c r="AB6226">
        <v>46</v>
      </c>
      <c r="AC6226">
        <v>-0.81209999999998606</v>
      </c>
      <c r="AD6226">
        <v>-1.110315934208</v>
      </c>
      <c r="AE6226">
        <v>15.27557</v>
      </c>
      <c r="AF6226">
        <v>-0.91186467825456397</v>
      </c>
      <c r="AG6226">
        <v>-1.110315934208</v>
      </c>
      <c r="AH6226">
        <v>15.189627826956601</v>
      </c>
      <c r="AI6226">
        <v>94.173226532500905</v>
      </c>
      <c r="AJ6226">
        <v>93.435460782135493</v>
      </c>
      <c r="AK6226">
        <v>15.2574274432704</v>
      </c>
      <c r="AL6226">
        <v>67.406673324419202</v>
      </c>
      <c r="AM6226">
        <v>97.275535412000806</v>
      </c>
      <c r="AN6226">
        <v>1.0000000198075401</v>
      </c>
    </row>
    <row r="6227" spans="1:40" x14ac:dyDescent="0.25">
      <c r="A6227" t="str">
        <f>"20190304164531551"</f>
        <v>20190304164531551</v>
      </c>
      <c r="B6227" t="str">
        <f>"1551689131546132"</f>
        <v>1551689131546132</v>
      </c>
      <c r="C6227" t="s">
        <v>40</v>
      </c>
      <c r="D6227">
        <v>4.6809149999999997</v>
      </c>
      <c r="E6227">
        <v>0.54077369999999902</v>
      </c>
      <c r="F6227" t="s">
        <v>42</v>
      </c>
      <c r="G6227">
        <v>-188.03870000000001</v>
      </c>
      <c r="H6227" s="1">
        <v>-4.1753779999999997E-6</v>
      </c>
      <c r="I6227">
        <v>78.554689999999994</v>
      </c>
      <c r="J6227">
        <v>-187.21209999999999</v>
      </c>
      <c r="K6227">
        <v>1.1103419999999999</v>
      </c>
      <c r="L6227">
        <v>63.162869999999998</v>
      </c>
      <c r="M6227">
        <v>6.8536430000000004E-3</v>
      </c>
      <c r="N6227">
        <v>-1.460533E-2</v>
      </c>
      <c r="O6227">
        <v>0.99986980000000003</v>
      </c>
      <c r="P6227">
        <v>-0.1111803</v>
      </c>
      <c r="Q6227">
        <v>0.37195139999999999</v>
      </c>
      <c r="R6227">
        <v>0.92156990000000005</v>
      </c>
      <c r="S6227">
        <v>-0.1728973</v>
      </c>
      <c r="T6227">
        <v>-0.23312939999999999</v>
      </c>
      <c r="U6227">
        <v>3.3263850000000001</v>
      </c>
      <c r="V6227">
        <v>-0.117398</v>
      </c>
      <c r="W6227">
        <v>0.3853898</v>
      </c>
      <c r="X6227">
        <v>0.91525540000000005</v>
      </c>
      <c r="Y6227">
        <v>-5.8635930000000003E-2</v>
      </c>
      <c r="Z6227">
        <v>-5.5224250000000003E-2</v>
      </c>
      <c r="AA6227">
        <v>0.99675080000000005</v>
      </c>
      <c r="AB6227">
        <v>46</v>
      </c>
      <c r="AC6227">
        <v>-0.82660000000001299</v>
      </c>
      <c r="AD6227">
        <v>-1.110346175378</v>
      </c>
      <c r="AE6227">
        <v>15.391819999999999</v>
      </c>
      <c r="AF6227">
        <v>-0.92727024721792894</v>
      </c>
      <c r="AG6227">
        <v>-1.110346175378</v>
      </c>
      <c r="AH6227">
        <v>15.306367411866599</v>
      </c>
      <c r="AI6227">
        <v>94.141485428012999</v>
      </c>
      <c r="AJ6227">
        <v>93.466780753935595</v>
      </c>
      <c r="AK6227">
        <v>15.374575834396399</v>
      </c>
      <c r="AL6227">
        <v>67.332058773394806</v>
      </c>
      <c r="AM6227">
        <v>97.3093047954236</v>
      </c>
      <c r="AN6227">
        <v>1.0000000177885999</v>
      </c>
    </row>
    <row r="6228" spans="1:40" x14ac:dyDescent="0.25">
      <c r="A6228" t="str">
        <f>"20190304164531575"</f>
        <v>20190304164531575</v>
      </c>
      <c r="B6228" t="str">
        <f>"1551689131566629"</f>
        <v>1551689131566629</v>
      </c>
      <c r="C6228" t="s">
        <v>40</v>
      </c>
      <c r="D6228">
        <v>4.6549040000000002</v>
      </c>
      <c r="E6228">
        <v>0.54051289999999996</v>
      </c>
      <c r="F6228" t="s">
        <v>42</v>
      </c>
      <c r="G6228">
        <v>-188.0789</v>
      </c>
      <c r="H6228" s="1">
        <v>-4.5094319999999996E-6</v>
      </c>
      <c r="I6228">
        <v>79.350030000000004</v>
      </c>
      <c r="J6228">
        <v>-187.2089</v>
      </c>
      <c r="K6228">
        <v>1.1103719999999999</v>
      </c>
      <c r="L6228">
        <v>63.626950000000001</v>
      </c>
      <c r="M6228">
        <v>6.8608790000000003E-3</v>
      </c>
      <c r="N6228">
        <v>-1.461027E-2</v>
      </c>
      <c r="O6228">
        <v>0.99986969999999997</v>
      </c>
      <c r="P6228">
        <v>-0.1114223</v>
      </c>
      <c r="Q6228">
        <v>0.37347459999999999</v>
      </c>
      <c r="R6228">
        <v>0.92092450000000003</v>
      </c>
      <c r="S6228">
        <v>-0.1781006</v>
      </c>
      <c r="T6228">
        <v>-0.2281376</v>
      </c>
      <c r="U6228">
        <v>3.3258969999999999</v>
      </c>
      <c r="V6228">
        <v>-0.11766069999999999</v>
      </c>
      <c r="W6228">
        <v>0.38690200000000002</v>
      </c>
      <c r="X6228">
        <v>0.91458340000000005</v>
      </c>
      <c r="Y6228">
        <v>-6.0209739999999998E-2</v>
      </c>
      <c r="Z6228">
        <v>-5.3734259999999999E-2</v>
      </c>
      <c r="AA6228">
        <v>0.99673840000000002</v>
      </c>
      <c r="AB6228">
        <v>46</v>
      </c>
      <c r="AC6228">
        <v>-0.87000000000000399</v>
      </c>
      <c r="AD6228">
        <v>-1.1103765094319999</v>
      </c>
      <c r="AE6228">
        <v>15.72308</v>
      </c>
      <c r="AF6228">
        <v>-0.97302722272143505</v>
      </c>
      <c r="AG6228">
        <v>-1.1103765094319999</v>
      </c>
      <c r="AH6228">
        <v>15.638982073872899</v>
      </c>
      <c r="AI6228">
        <v>94.053405598237802</v>
      </c>
      <c r="AJ6228">
        <v>93.560243333415698</v>
      </c>
      <c r="AK6228">
        <v>15.708516106742101</v>
      </c>
      <c r="AL6228">
        <v>67.238130309953405</v>
      </c>
      <c r="AM6228">
        <v>97.330807215992394</v>
      </c>
      <c r="AN6228">
        <v>0.999999996742025</v>
      </c>
    </row>
    <row r="6229" spans="1:40" x14ac:dyDescent="0.25">
      <c r="A6229" t="str">
        <f>"20190304164531594"</f>
        <v>20190304164531594</v>
      </c>
      <c r="B6229" t="str">
        <f>"1551689131586148"</f>
        <v>1551689131586148</v>
      </c>
      <c r="C6229" t="s">
        <v>40</v>
      </c>
      <c r="D6229">
        <v>4.6782529999999998</v>
      </c>
      <c r="E6229">
        <v>0.54030219999999995</v>
      </c>
      <c r="F6229" t="s">
        <v>42</v>
      </c>
      <c r="G6229">
        <v>-188.11189999999999</v>
      </c>
      <c r="H6229" s="1">
        <v>-6.9619429999999997E-7</v>
      </c>
      <c r="I6229">
        <v>80.217609999999993</v>
      </c>
      <c r="J6229">
        <v>-187.20590000000001</v>
      </c>
      <c r="K6229">
        <v>1.1104000000000001</v>
      </c>
      <c r="L6229">
        <v>64.054900000000004</v>
      </c>
      <c r="M6229">
        <v>6.8663319999999898E-3</v>
      </c>
      <c r="N6229">
        <v>-1.4613849999999999E-2</v>
      </c>
      <c r="O6229">
        <v>0.99986960000000003</v>
      </c>
      <c r="P6229">
        <v>-0.11185299999999999</v>
      </c>
      <c r="Q6229">
        <v>0.37454349999999997</v>
      </c>
      <c r="R6229">
        <v>0.92043799999999998</v>
      </c>
      <c r="S6229">
        <v>-0.18103030000000001</v>
      </c>
      <c r="T6229">
        <v>-0.2226003</v>
      </c>
      <c r="U6229">
        <v>3.3259889999999999</v>
      </c>
      <c r="V6229">
        <v>-0.1181064</v>
      </c>
      <c r="W6229">
        <v>0.38796269999999999</v>
      </c>
      <c r="X6229">
        <v>0.91407649999999996</v>
      </c>
      <c r="Y6229">
        <v>-6.1094089999999997E-2</v>
      </c>
      <c r="Z6229">
        <v>-5.2073210000000002E-2</v>
      </c>
      <c r="AA6229">
        <v>0.99677280000000001</v>
      </c>
      <c r="AB6229">
        <v>46</v>
      </c>
      <c r="AC6229">
        <v>-0.90599999999997705</v>
      </c>
      <c r="AD6229">
        <v>-1.1104006961943</v>
      </c>
      <c r="AE6229">
        <v>16.162709999999901</v>
      </c>
      <c r="AF6229">
        <v>-1.0122064970887501</v>
      </c>
      <c r="AG6229">
        <v>-1.1104006961943</v>
      </c>
      <c r="AH6229">
        <v>16.080447276235802</v>
      </c>
      <c r="AI6229">
        <v>93.942388281437999</v>
      </c>
      <c r="AJ6229">
        <v>93.601811799112895</v>
      </c>
      <c r="AK6229">
        <v>16.150490280566</v>
      </c>
      <c r="AL6229">
        <v>67.172208411456495</v>
      </c>
      <c r="AM6229">
        <v>97.362308391145703</v>
      </c>
      <c r="AN6229">
        <v>1.00000001308225</v>
      </c>
    </row>
    <row r="6230" spans="1:40" x14ac:dyDescent="0.25">
      <c r="A6230" t="str">
        <f>"20190304164531618"</f>
        <v>20190304164531618</v>
      </c>
      <c r="B6230" t="str">
        <f>"1551689131606643"</f>
        <v>1551689131606643</v>
      </c>
      <c r="C6230" t="s">
        <v>40</v>
      </c>
      <c r="D6230">
        <v>4.7127559999999997</v>
      </c>
      <c r="E6230">
        <v>0.54054089999999999</v>
      </c>
      <c r="F6230" t="s">
        <v>42</v>
      </c>
      <c r="G6230">
        <v>-188.14060000000001</v>
      </c>
      <c r="H6230" s="1">
        <v>-8.88717E-7</v>
      </c>
      <c r="I6230">
        <v>80.805759999999907</v>
      </c>
      <c r="J6230">
        <v>-187.20269999999999</v>
      </c>
      <c r="K6230">
        <v>1.1104130000000001</v>
      </c>
      <c r="L6230">
        <v>64.517880000000005</v>
      </c>
      <c r="M6230">
        <v>6.8708469999999898E-3</v>
      </c>
      <c r="N6230">
        <v>-1.4616830000000001E-2</v>
      </c>
      <c r="O6230">
        <v>0.99986960000000003</v>
      </c>
      <c r="P6230">
        <v>-0.112425</v>
      </c>
      <c r="Q6230">
        <v>0.3752682</v>
      </c>
      <c r="R6230">
        <v>0.92007300000000003</v>
      </c>
      <c r="S6230">
        <v>-0.18560789999999999</v>
      </c>
      <c r="T6230">
        <v>-0.2205117</v>
      </c>
      <c r="U6230">
        <v>3.326508</v>
      </c>
      <c r="V6230">
        <v>-0.118691</v>
      </c>
      <c r="W6230">
        <v>0.3886812</v>
      </c>
      <c r="X6230">
        <v>0.91369549999999999</v>
      </c>
      <c r="Y6230">
        <v>-6.2458949999999999E-2</v>
      </c>
      <c r="Z6230">
        <v>-5.1431339999999999E-2</v>
      </c>
      <c r="AA6230">
        <v>0.99672139999999998</v>
      </c>
      <c r="AB6230">
        <v>46</v>
      </c>
      <c r="AC6230">
        <v>-0.93790000000001295</v>
      </c>
      <c r="AD6230">
        <v>-1.1104138887170001</v>
      </c>
      <c r="AE6230">
        <v>16.287879999999902</v>
      </c>
      <c r="AF6230">
        <v>-1.0449606985989399</v>
      </c>
      <c r="AG6230">
        <v>-1.1104138887170001</v>
      </c>
      <c r="AH6230">
        <v>16.205978544933402</v>
      </c>
      <c r="AI6230">
        <v>93.911612636237706</v>
      </c>
      <c r="AJ6230">
        <v>93.689321711532997</v>
      </c>
      <c r="AK6230">
        <v>16.277552102964201</v>
      </c>
      <c r="AL6230">
        <v>67.127536479670397</v>
      </c>
      <c r="AM6230">
        <v>97.401398230699101</v>
      </c>
      <c r="AN6230">
        <v>1.0000000477173401</v>
      </c>
    </row>
    <row r="6231" spans="1:40" x14ac:dyDescent="0.25">
      <c r="A6231" t="str">
        <f>"20190304164531638"</f>
        <v>20190304164531638</v>
      </c>
      <c r="B6231" t="str">
        <f>"1551689131626163"</f>
        <v>1551689131626163</v>
      </c>
      <c r="C6231" t="s">
        <v>40</v>
      </c>
      <c r="D6231">
        <v>4.7287720000000002</v>
      </c>
      <c r="E6231">
        <v>0.54062100000000002</v>
      </c>
      <c r="F6231" t="s">
        <v>42</v>
      </c>
      <c r="G6231">
        <v>-188.11320000000001</v>
      </c>
      <c r="H6231" s="1">
        <v>-8.8837749999999995E-7</v>
      </c>
      <c r="I6231">
        <v>80.783369999999906</v>
      </c>
      <c r="J6231">
        <v>-187.19980000000001</v>
      </c>
      <c r="K6231">
        <v>1.1104210000000001</v>
      </c>
      <c r="L6231">
        <v>64.939669999999893</v>
      </c>
      <c r="M6231">
        <v>6.8736480000000004E-3</v>
      </c>
      <c r="N6231">
        <v>-1.4618890000000001E-2</v>
      </c>
      <c r="O6231">
        <v>0.99986949999999997</v>
      </c>
      <c r="P6231">
        <v>-0.1131035</v>
      </c>
      <c r="Q6231">
        <v>0.37548949999999998</v>
      </c>
      <c r="R6231">
        <v>0.91989960000000004</v>
      </c>
      <c r="S6231">
        <v>-0.18643190000000001</v>
      </c>
      <c r="T6231">
        <v>-0.2273715</v>
      </c>
      <c r="U6231">
        <v>3.3305660000000001</v>
      </c>
      <c r="V6231">
        <v>-0.11937879999999999</v>
      </c>
      <c r="W6231">
        <v>0.38889950000000001</v>
      </c>
      <c r="X6231">
        <v>0.91351289999999996</v>
      </c>
      <c r="Y6231">
        <v>-6.2633229999999998E-2</v>
      </c>
      <c r="Z6231">
        <v>-5.339228E-2</v>
      </c>
      <c r="AA6231">
        <v>0.99660740000000003</v>
      </c>
      <c r="AB6231">
        <v>46</v>
      </c>
      <c r="AC6231">
        <v>-0.91339999999999499</v>
      </c>
      <c r="AD6231">
        <v>-1.1104218883775001</v>
      </c>
      <c r="AE6231">
        <v>15.843699999999901</v>
      </c>
      <c r="AF6231">
        <v>-1.01731353251555</v>
      </c>
      <c r="AG6231">
        <v>-1.1104218883775001</v>
      </c>
      <c r="AH6231">
        <v>15.7598896383825</v>
      </c>
      <c r="AI6231">
        <v>94.021984376345202</v>
      </c>
      <c r="AJ6231">
        <v>93.6933644233672</v>
      </c>
      <c r="AK6231">
        <v>15.831679791090499</v>
      </c>
      <c r="AL6231">
        <v>67.113958848375106</v>
      </c>
      <c r="AM6231">
        <v>97.445280033352105</v>
      </c>
      <c r="AN6231">
        <v>0.99999996872804897</v>
      </c>
    </row>
    <row r="6232" spans="1:40" x14ac:dyDescent="0.25">
      <c r="A6232" t="str">
        <f>"20190304164531661"</f>
        <v>20190304164531661</v>
      </c>
      <c r="B6232" t="str">
        <f>"1551689131656420"</f>
        <v>1551689131656420</v>
      </c>
      <c r="C6232" t="s">
        <v>40</v>
      </c>
      <c r="D6232">
        <v>4.7276769999999999</v>
      </c>
      <c r="E6232">
        <v>0.54393179999999997</v>
      </c>
      <c r="F6232" t="s">
        <v>42</v>
      </c>
      <c r="G6232">
        <v>-188.107</v>
      </c>
      <c r="H6232" s="1">
        <v>-9.4809540000000002E-7</v>
      </c>
      <c r="I6232">
        <v>80.953990000000005</v>
      </c>
      <c r="J6232">
        <v>-187.19669999999999</v>
      </c>
      <c r="K6232">
        <v>1.1104259999999999</v>
      </c>
      <c r="L6232">
        <v>65.395600000000002</v>
      </c>
      <c r="M6232">
        <v>6.8752190000000001E-3</v>
      </c>
      <c r="N6232">
        <v>-1.462039E-2</v>
      </c>
      <c r="O6232">
        <v>0.99986949999999997</v>
      </c>
      <c r="P6232">
        <v>-0.11399479999999999</v>
      </c>
      <c r="Q6232">
        <v>0.37529299999999999</v>
      </c>
      <c r="R6232">
        <v>0.91986979999999996</v>
      </c>
      <c r="S6232">
        <v>-0.1887665</v>
      </c>
      <c r="T6232">
        <v>-0.23106180000000001</v>
      </c>
      <c r="U6232">
        <v>3.3323360000000002</v>
      </c>
      <c r="V6232">
        <v>-0.1202782</v>
      </c>
      <c r="W6232">
        <v>0.38870179999999999</v>
      </c>
      <c r="X6232">
        <v>0.91347909999999999</v>
      </c>
      <c r="Y6232">
        <v>-6.3297119999999998E-2</v>
      </c>
      <c r="Z6232">
        <v>-5.445067E-2</v>
      </c>
      <c r="AA6232">
        <v>0.99650819999999996</v>
      </c>
      <c r="AB6232">
        <v>46</v>
      </c>
      <c r="AC6232">
        <v>-0.91030000000000599</v>
      </c>
      <c r="AD6232">
        <v>-1.1104269480954001</v>
      </c>
      <c r="AE6232">
        <v>15.558389999999999</v>
      </c>
      <c r="AF6232">
        <v>-1.0121192031598101</v>
      </c>
      <c r="AG6232">
        <v>-1.1104269480954001</v>
      </c>
      <c r="AH6232">
        <v>15.4732128750531</v>
      </c>
      <c r="AI6232">
        <v>94.096040867068794</v>
      </c>
      <c r="AJ6232">
        <v>93.742446068473697</v>
      </c>
      <c r="AK6232">
        <v>15.545988227358601</v>
      </c>
      <c r="AL6232">
        <v>67.126254314199798</v>
      </c>
      <c r="AM6232">
        <v>97.501010814181299</v>
      </c>
      <c r="AN6232">
        <v>1.0000000004276399</v>
      </c>
    </row>
    <row r="6233" spans="1:40" x14ac:dyDescent="0.25">
      <c r="A6233" t="str">
        <f>"20190304164531684"</f>
        <v>20190304164531684</v>
      </c>
      <c r="B6233" t="str">
        <f>"1551689131675940"</f>
        <v>1551689131675940</v>
      </c>
      <c r="C6233" t="s">
        <v>40</v>
      </c>
      <c r="D6233">
        <v>4.750146</v>
      </c>
      <c r="E6233">
        <v>0.54407320000000003</v>
      </c>
      <c r="F6233" t="s">
        <v>42</v>
      </c>
      <c r="G6233">
        <v>-187.7604</v>
      </c>
      <c r="H6233" s="1">
        <v>-3.1337230000000002E-6</v>
      </c>
      <c r="I6233">
        <v>76.011519999999905</v>
      </c>
      <c r="J6233">
        <v>-187.19329999999999</v>
      </c>
      <c r="K6233">
        <v>1.1104369999999999</v>
      </c>
      <c r="L6233">
        <v>65.882289999999998</v>
      </c>
      <c r="M6233">
        <v>6.8693039999999997E-3</v>
      </c>
      <c r="N6233">
        <v>-1.462133E-2</v>
      </c>
      <c r="O6233">
        <v>0.99986949999999997</v>
      </c>
      <c r="P6233">
        <v>-0.1141374</v>
      </c>
      <c r="Q6233">
        <v>0.37549110000000002</v>
      </c>
      <c r="R6233">
        <v>0.91977129999999996</v>
      </c>
      <c r="S6233">
        <v>-0.1796722</v>
      </c>
      <c r="T6233">
        <v>-0.35391040000000001</v>
      </c>
      <c r="U6233">
        <v>3.3834529999999998</v>
      </c>
      <c r="V6233">
        <v>-0.1204234</v>
      </c>
      <c r="W6233">
        <v>0.38889689999999999</v>
      </c>
      <c r="X6233">
        <v>0.91337690000000005</v>
      </c>
      <c r="Y6233">
        <v>-5.962373E-2</v>
      </c>
      <c r="Z6233">
        <v>-8.9308349999999995E-2</v>
      </c>
      <c r="AA6233">
        <v>0.99421780000000004</v>
      </c>
      <c r="AB6233">
        <v>46</v>
      </c>
      <c r="AC6233">
        <v>-0.56710000000001004</v>
      </c>
      <c r="AD6233">
        <v>-1.1104401337230001</v>
      </c>
      <c r="AE6233">
        <v>10.1292299999999</v>
      </c>
      <c r="AF6233">
        <v>-0.629137378244636</v>
      </c>
      <c r="AG6233">
        <v>-1.1104401337230001</v>
      </c>
      <c r="AH6233">
        <v>10.005226427381499</v>
      </c>
      <c r="AI6233">
        <v>96.320728713230295</v>
      </c>
      <c r="AJ6233">
        <v>93.598071395651203</v>
      </c>
      <c r="AK6233">
        <v>10.086299965520499</v>
      </c>
      <c r="AL6233">
        <v>67.114120764955899</v>
      </c>
      <c r="AM6233">
        <v>97.510793462157594</v>
      </c>
      <c r="AN6233">
        <v>0.99999997777538896</v>
      </c>
    </row>
    <row r="6234" spans="1:40" x14ac:dyDescent="0.25">
      <c r="A6234" t="str">
        <f>"20190304164531728"</f>
        <v>20190304164531728</v>
      </c>
      <c r="B6234" t="str">
        <f>"1551689131715955"</f>
        <v>1551689131715955</v>
      </c>
      <c r="C6234" t="s">
        <v>40</v>
      </c>
      <c r="D6234">
        <v>4.7441129999999996</v>
      </c>
      <c r="E6234">
        <v>0.54422630000000005</v>
      </c>
      <c r="F6234" t="s">
        <v>42</v>
      </c>
      <c r="G6234">
        <v>-187.7568</v>
      </c>
      <c r="H6234" s="1">
        <v>-3.3202680000000002E-6</v>
      </c>
      <c r="I6234">
        <v>76.444859999999906</v>
      </c>
      <c r="J6234">
        <v>-187.18729999999999</v>
      </c>
      <c r="K6234">
        <v>1.110498</v>
      </c>
      <c r="L6234">
        <v>66.763729999999995</v>
      </c>
      <c r="M6234">
        <v>6.7838200000000003E-3</v>
      </c>
      <c r="N6234">
        <v>-1.462169E-2</v>
      </c>
      <c r="O6234">
        <v>0.99987009999999998</v>
      </c>
      <c r="P6234">
        <v>-0.11275780000000001</v>
      </c>
      <c r="Q6234">
        <v>0.37727729999999998</v>
      </c>
      <c r="R6234">
        <v>0.91921030000000004</v>
      </c>
      <c r="S6234">
        <v>-0.18054200000000001</v>
      </c>
      <c r="T6234">
        <v>-0.3558173</v>
      </c>
      <c r="U6234">
        <v>3.3845519999999998</v>
      </c>
      <c r="V6234">
        <v>-0.11899999999999999</v>
      </c>
      <c r="W6234">
        <v>0.3906635</v>
      </c>
      <c r="X6234">
        <v>0.91280939999999999</v>
      </c>
      <c r="Y6234">
        <v>-5.977321E-2</v>
      </c>
      <c r="Z6234">
        <v>-8.982772E-2</v>
      </c>
      <c r="AA6234">
        <v>0.99416199999999999</v>
      </c>
      <c r="AB6234">
        <v>46</v>
      </c>
      <c r="AC6234">
        <v>-0.569500000000005</v>
      </c>
      <c r="AD6234">
        <v>-1.1105013202680001</v>
      </c>
      <c r="AE6234">
        <v>9.68112999999998</v>
      </c>
      <c r="AF6234">
        <v>-0.62694809441934496</v>
      </c>
      <c r="AG6234">
        <v>-1.1105013202680001</v>
      </c>
      <c r="AH6234">
        <v>9.5517953886352398</v>
      </c>
      <c r="AI6234">
        <v>96.617380918736998</v>
      </c>
      <c r="AJ6234">
        <v>93.755317816199295</v>
      </c>
      <c r="AK6234">
        <v>9.6365487723440992</v>
      </c>
      <c r="AL6234">
        <v>67.004209039845705</v>
      </c>
      <c r="AM6234">
        <v>97.427575482267997</v>
      </c>
      <c r="AN6234">
        <v>0.999999985480304</v>
      </c>
    </row>
    <row r="6235" spans="1:40" x14ac:dyDescent="0.25">
      <c r="A6235" t="str">
        <f>"20190304164531749"</f>
        <v>20190304164531749</v>
      </c>
      <c r="B6235" t="str">
        <f>"1551689131746211"</f>
        <v>1551689131746211</v>
      </c>
      <c r="C6235" t="s">
        <v>40</v>
      </c>
      <c r="D6235">
        <v>4.7296129999999996</v>
      </c>
      <c r="E6235">
        <v>0.54430630000000002</v>
      </c>
      <c r="F6235" t="s">
        <v>42</v>
      </c>
      <c r="G6235">
        <v>-187.73310000000001</v>
      </c>
      <c r="H6235" s="1">
        <v>-3.7148239999999998E-6</v>
      </c>
      <c r="I6235">
        <v>77.354799999999997</v>
      </c>
      <c r="J6235">
        <v>-187.18450000000001</v>
      </c>
      <c r="K6235">
        <v>1.1105370000000001</v>
      </c>
      <c r="L6235">
        <v>67.194459999999907</v>
      </c>
      <c r="M6235">
        <v>6.686755E-3</v>
      </c>
      <c r="N6235">
        <v>-1.462138E-2</v>
      </c>
      <c r="O6235">
        <v>0.9998707</v>
      </c>
      <c r="P6235">
        <v>-0.11192199999999999</v>
      </c>
      <c r="Q6235">
        <v>0.37693670000000001</v>
      </c>
      <c r="R6235">
        <v>0.91945209999999999</v>
      </c>
      <c r="S6235">
        <v>-0.1745911</v>
      </c>
      <c r="T6235">
        <v>-0.35524739999999999</v>
      </c>
      <c r="U6235">
        <v>3.3880620000000001</v>
      </c>
      <c r="V6235">
        <v>-0.1181087</v>
      </c>
      <c r="W6235">
        <v>0.3903163</v>
      </c>
      <c r="X6235">
        <v>0.91307369999999999</v>
      </c>
      <c r="Y6235">
        <v>-5.788302E-2</v>
      </c>
      <c r="Z6235">
        <v>-8.9566400000000004E-2</v>
      </c>
      <c r="AA6235">
        <v>0.9942974</v>
      </c>
      <c r="AB6235">
        <v>45</v>
      </c>
      <c r="AC6235">
        <v>-0.54859999999999298</v>
      </c>
      <c r="AD6235">
        <v>-1.1105407148240001</v>
      </c>
      <c r="AE6235">
        <v>10.16034</v>
      </c>
      <c r="AF6235">
        <v>-0.60927693758517198</v>
      </c>
      <c r="AG6235">
        <v>-1.1105407148240001</v>
      </c>
      <c r="AH6235">
        <v>10.0368837287474</v>
      </c>
      <c r="AI6235">
        <v>96.302357017035604</v>
      </c>
      <c r="AJ6235">
        <v>93.473808531063995</v>
      </c>
      <c r="AK6235">
        <v>10.116499100496601</v>
      </c>
      <c r="AL6235">
        <v>67.025818797192699</v>
      </c>
      <c r="AM6235">
        <v>97.370447277062397</v>
      </c>
      <c r="AN6235">
        <v>1.00000003034653</v>
      </c>
    </row>
    <row r="6236" spans="1:40" x14ac:dyDescent="0.25">
      <c r="A6236" t="str">
        <f>"20190304164531773"</f>
        <v>20190304164531773</v>
      </c>
      <c r="B6236" t="str">
        <f>"1551689131766708"</f>
        <v>1551689131766708</v>
      </c>
      <c r="C6236" t="s">
        <v>40</v>
      </c>
      <c r="D6236">
        <v>4.7608639999999998</v>
      </c>
      <c r="E6236">
        <v>0.54419269999999997</v>
      </c>
      <c r="F6236" t="s">
        <v>42</v>
      </c>
      <c r="G6236">
        <v>-187.70949999999999</v>
      </c>
      <c r="H6236" s="1">
        <v>-3.855119E-6</v>
      </c>
      <c r="I6236">
        <v>77.672049999999999</v>
      </c>
      <c r="J6236">
        <v>-187.18129999999999</v>
      </c>
      <c r="K6236">
        <v>1.110589</v>
      </c>
      <c r="L6236">
        <v>67.685209999999998</v>
      </c>
      <c r="M6236">
        <v>6.5197249999999997E-3</v>
      </c>
      <c r="N6236">
        <v>-1.462075E-2</v>
      </c>
      <c r="O6236">
        <v>0.99987190000000004</v>
      </c>
      <c r="P6236">
        <v>-0.1104681</v>
      </c>
      <c r="Q6236">
        <v>0.37677440000000001</v>
      </c>
      <c r="R6236">
        <v>0.91969440000000002</v>
      </c>
      <c r="S6236">
        <v>-0.16983029999999999</v>
      </c>
      <c r="T6236">
        <v>-0.35924970000000001</v>
      </c>
      <c r="U6236">
        <v>3.3894039999999999</v>
      </c>
      <c r="V6236">
        <v>-0.116550399999999</v>
      </c>
      <c r="W6236">
        <v>0.39014369999999998</v>
      </c>
      <c r="X6236">
        <v>0.91334760000000004</v>
      </c>
      <c r="Y6236">
        <v>-5.629874E-2</v>
      </c>
      <c r="Z6236">
        <v>-9.0696349999999995E-2</v>
      </c>
      <c r="AA6236">
        <v>0.994286</v>
      </c>
      <c r="AB6236">
        <v>45</v>
      </c>
      <c r="AC6236">
        <v>-0.528199999999998</v>
      </c>
      <c r="AD6236">
        <v>-1.1105928551189901</v>
      </c>
      <c r="AE6236">
        <v>9.9868399999999902</v>
      </c>
      <c r="AF6236">
        <v>-0.58607953191944595</v>
      </c>
      <c r="AG6236">
        <v>-1.1105928551189901</v>
      </c>
      <c r="AH6236">
        <v>9.8615688153220002</v>
      </c>
      <c r="AI6236">
        <v>96.414255497409499</v>
      </c>
      <c r="AJ6236">
        <v>93.401125427927198</v>
      </c>
      <c r="AK6236">
        <v>9.9411993847275593</v>
      </c>
      <c r="AL6236">
        <v>67.036558152530105</v>
      </c>
      <c r="AM6236">
        <v>97.272093588022599</v>
      </c>
      <c r="AN6236">
        <v>0.99999997040780397</v>
      </c>
    </row>
    <row r="6237" spans="1:40" x14ac:dyDescent="0.25">
      <c r="A6237" t="str">
        <f>"20190304164531795"</f>
        <v>20190304164531795</v>
      </c>
      <c r="B6237" t="str">
        <f>"1551689131786227"</f>
        <v>1551689131786227</v>
      </c>
      <c r="C6237" t="s">
        <v>40</v>
      </c>
      <c r="D6237">
        <v>4.7728299999999999</v>
      </c>
      <c r="E6237">
        <v>0.5441184</v>
      </c>
      <c r="F6237" t="s">
        <v>42</v>
      </c>
      <c r="G6237">
        <v>-187.6952</v>
      </c>
      <c r="H6237" s="1">
        <v>-4.0700790000000003E-6</v>
      </c>
      <c r="I6237">
        <v>78.167240000000007</v>
      </c>
      <c r="J6237">
        <v>-187.17859999999999</v>
      </c>
      <c r="K6237">
        <v>1.1106419999999999</v>
      </c>
      <c r="L6237">
        <v>68.132779999999997</v>
      </c>
      <c r="M6237">
        <v>6.3009700000000004E-3</v>
      </c>
      <c r="N6237">
        <v>-1.461993E-2</v>
      </c>
      <c r="O6237">
        <v>0.99987329999999996</v>
      </c>
      <c r="P6237">
        <v>-0.10976470000000001</v>
      </c>
      <c r="Q6237">
        <v>0.37647120000000001</v>
      </c>
      <c r="R6237">
        <v>0.91990280000000002</v>
      </c>
      <c r="S6237">
        <v>-0.166153</v>
      </c>
      <c r="T6237">
        <v>-0.35908230000000002</v>
      </c>
      <c r="U6237">
        <v>3.3890989999999999</v>
      </c>
      <c r="V6237">
        <v>-0.11569740000000001</v>
      </c>
      <c r="W6237">
        <v>0.38982889999999998</v>
      </c>
      <c r="X6237">
        <v>0.91359049999999997</v>
      </c>
      <c r="Y6237">
        <v>-5.5009820000000001E-2</v>
      </c>
      <c r="Z6237">
        <v>-9.0664900000000007E-2</v>
      </c>
      <c r="AA6237">
        <v>0.99436100000000005</v>
      </c>
      <c r="AB6237">
        <v>45</v>
      </c>
      <c r="AC6237">
        <v>-0.51660000000001005</v>
      </c>
      <c r="AD6237">
        <v>-1.110646070079</v>
      </c>
      <c r="AE6237">
        <v>10.0344599999999</v>
      </c>
      <c r="AF6237">
        <v>-0.572824342079577</v>
      </c>
      <c r="AG6237">
        <v>-1.110646070079</v>
      </c>
      <c r="AH6237">
        <v>9.9099220894465301</v>
      </c>
      <c r="AI6237">
        <v>96.384122768925906</v>
      </c>
      <c r="AJ6237">
        <v>93.308193225070298</v>
      </c>
      <c r="AK6237">
        <v>9.9884041887961796</v>
      </c>
      <c r="AL6237">
        <v>67.056147263380794</v>
      </c>
      <c r="AM6237">
        <v>97.217535520136394</v>
      </c>
      <c r="AN6237">
        <v>1.0000000306661001</v>
      </c>
    </row>
    <row r="6238" spans="1:40" x14ac:dyDescent="0.25">
      <c r="A6238" t="str">
        <f>"20190304164531818"</f>
        <v>20190304164531818</v>
      </c>
      <c r="B6238" t="str">
        <f>"1551689131806723"</f>
        <v>1551689131806723</v>
      </c>
      <c r="C6238" t="s">
        <v>40</v>
      </c>
      <c r="D6238">
        <v>4.8122299999999996</v>
      </c>
      <c r="E6238">
        <v>0.54414439999999997</v>
      </c>
      <c r="F6238" t="s">
        <v>41</v>
      </c>
      <c r="G6238">
        <v>-187.23179999999999</v>
      </c>
      <c r="H6238">
        <v>0.99489090000000002</v>
      </c>
      <c r="I6238">
        <v>69.21951</v>
      </c>
      <c r="J6238">
        <v>-187.17590000000001</v>
      </c>
      <c r="K6238">
        <v>1.1106959999999999</v>
      </c>
      <c r="L6238">
        <v>68.587919999999997</v>
      </c>
      <c r="M6238">
        <v>6.0258949999999999E-3</v>
      </c>
      <c r="N6238">
        <v>-1.461896E-2</v>
      </c>
      <c r="O6238">
        <v>0.99987499999999996</v>
      </c>
      <c r="P6238">
        <v>-0.11004650000000001</v>
      </c>
      <c r="Q6238">
        <v>0.37705870000000002</v>
      </c>
      <c r="R6238">
        <v>0.91962849999999996</v>
      </c>
      <c r="S6238">
        <v>-0.1660461</v>
      </c>
      <c r="T6238">
        <v>-0.3609887</v>
      </c>
      <c r="U6238">
        <v>3.3891300000000002</v>
      </c>
      <c r="V6238">
        <v>-0.11577510000000001</v>
      </c>
      <c r="W6238">
        <v>0.39039659999999998</v>
      </c>
      <c r="X6238">
        <v>0.91333819999999999</v>
      </c>
      <c r="Y6238">
        <v>-5.4700989999999998E-2</v>
      </c>
      <c r="Z6238">
        <v>-9.1219430000000004E-2</v>
      </c>
      <c r="AA6238">
        <v>0.99432730000000003</v>
      </c>
      <c r="AB6238">
        <v>45</v>
      </c>
      <c r="AC6238">
        <v>-5.5899999999979799E-2</v>
      </c>
      <c r="AD6238">
        <v>-0.11580509999999999</v>
      </c>
      <c r="AE6238">
        <v>0.63159000000000198</v>
      </c>
      <c r="AF6238">
        <v>-5.77779470789875E-2</v>
      </c>
      <c r="AG6238">
        <v>-0.11580509999999999</v>
      </c>
      <c r="AH6238">
        <v>0.61086460796722897</v>
      </c>
      <c r="AI6238">
        <v>100.68790789421401</v>
      </c>
      <c r="AJ6238">
        <v>95.403183117213302</v>
      </c>
      <c r="AK6238">
        <v>0.624423479396498</v>
      </c>
      <c r="AL6238">
        <v>67.020821307382406</v>
      </c>
      <c r="AM6238">
        <v>97.224305519953404</v>
      </c>
      <c r="AN6238">
        <v>1.0000000233254001</v>
      </c>
    </row>
    <row r="6239" spans="1:40" x14ac:dyDescent="0.25">
      <c r="A6239" t="str">
        <f>"20190304164531838"</f>
        <v>20190304164531838</v>
      </c>
      <c r="B6239" t="str">
        <f>"1551689131826243"</f>
        <v>1551689131826243</v>
      </c>
      <c r="C6239" t="s">
        <v>40</v>
      </c>
      <c r="D6239">
        <v>4.7943059999999997</v>
      </c>
      <c r="E6239">
        <v>0.54399759999999997</v>
      </c>
      <c r="F6239" t="s">
        <v>41</v>
      </c>
      <c r="G6239">
        <v>-187.2268</v>
      </c>
      <c r="H6239">
        <v>1.0002070000000001</v>
      </c>
      <c r="I6239">
        <v>69.627420000000001</v>
      </c>
      <c r="J6239">
        <v>-187.17359999999999</v>
      </c>
      <c r="K6239">
        <v>1.110743</v>
      </c>
      <c r="L6239">
        <v>69.009919999999994</v>
      </c>
      <c r="M6239">
        <v>5.7342590000000002E-3</v>
      </c>
      <c r="N6239">
        <v>-1.4618000000000001E-2</v>
      </c>
      <c r="O6239">
        <v>0.99987669999999995</v>
      </c>
      <c r="P6239">
        <v>-0.11146540000000001</v>
      </c>
      <c r="Q6239">
        <v>0.37738880000000002</v>
      </c>
      <c r="R6239">
        <v>0.91932210000000003</v>
      </c>
      <c r="S6239">
        <v>-0.16633609999999999</v>
      </c>
      <c r="T6239">
        <v>-0.36037390000000002</v>
      </c>
      <c r="U6239">
        <v>3.3900450000000002</v>
      </c>
      <c r="V6239">
        <v>-0.116965899999999</v>
      </c>
      <c r="W6239">
        <v>0.39070870000000002</v>
      </c>
      <c r="X6239">
        <v>0.91305289999999995</v>
      </c>
      <c r="Y6239">
        <v>-5.4482669999999997E-2</v>
      </c>
      <c r="Z6239">
        <v>-9.1014559999999994E-2</v>
      </c>
      <c r="AA6239">
        <v>0.99435810000000002</v>
      </c>
      <c r="AB6239">
        <v>45</v>
      </c>
      <c r="AC6239">
        <v>-5.3200000000003897E-2</v>
      </c>
      <c r="AD6239">
        <v>-0.110535999999999</v>
      </c>
      <c r="AE6239">
        <v>0.61750000000000604</v>
      </c>
      <c r="AF6239">
        <v>-5.4991303268509602E-2</v>
      </c>
      <c r="AG6239">
        <v>-0.110535999999999</v>
      </c>
      <c r="AH6239">
        <v>0.59815913698486101</v>
      </c>
      <c r="AI6239">
        <v>100.426784991277</v>
      </c>
      <c r="AJ6239">
        <v>95.252678544389497</v>
      </c>
      <c r="AK6239">
        <v>0.61076722561843699</v>
      </c>
      <c r="AL6239">
        <v>67.001394912596595</v>
      </c>
      <c r="AM6239">
        <v>97.300069513961901</v>
      </c>
      <c r="AN6239">
        <v>0.99999995410845299</v>
      </c>
    </row>
    <row r="6240" spans="1:40" x14ac:dyDescent="0.25">
      <c r="A6240" t="str">
        <f>"20190304164531861"</f>
        <v>20190304164531861</v>
      </c>
      <c r="B6240" t="str">
        <f>"1551689131856499"</f>
        <v>1551689131856499</v>
      </c>
      <c r="C6240" t="s">
        <v>40</v>
      </c>
      <c r="D6240">
        <v>4.8235939999999999</v>
      </c>
      <c r="E6240">
        <v>0.54383669999999995</v>
      </c>
      <c r="F6240" t="s">
        <v>41</v>
      </c>
      <c r="G6240">
        <v>-187.22540000000001</v>
      </c>
      <c r="H6240">
        <v>1.0025139999999999</v>
      </c>
      <c r="I6240">
        <v>70.033690000000007</v>
      </c>
      <c r="J6240">
        <v>-187.1713</v>
      </c>
      <c r="K6240">
        <v>1.110776</v>
      </c>
      <c r="L6240">
        <v>69.459810000000004</v>
      </c>
      <c r="M6240">
        <v>5.3930280000000002E-3</v>
      </c>
      <c r="N6240">
        <v>-1.4616479999999999E-2</v>
      </c>
      <c r="O6240">
        <v>0.99987859999999995</v>
      </c>
      <c r="P6240">
        <v>-0.1129151</v>
      </c>
      <c r="Q6240">
        <v>0.37713180000000002</v>
      </c>
      <c r="R6240">
        <v>0.91925069999999998</v>
      </c>
      <c r="S6240">
        <v>-0.17153929999999901</v>
      </c>
      <c r="T6240">
        <v>-0.35835029999999901</v>
      </c>
      <c r="U6240">
        <v>3.3895569999999999</v>
      </c>
      <c r="V6240">
        <v>-0.1181382</v>
      </c>
      <c r="W6240">
        <v>0.3904379</v>
      </c>
      <c r="X6240">
        <v>0.91301790000000005</v>
      </c>
      <c r="Y6240">
        <v>-5.567337E-2</v>
      </c>
      <c r="Z6240">
        <v>-9.0436920000000004E-2</v>
      </c>
      <c r="AA6240">
        <v>0.99434480000000003</v>
      </c>
      <c r="AB6240">
        <v>45</v>
      </c>
      <c r="AC6240">
        <v>-5.4100000000005297E-2</v>
      </c>
      <c r="AD6240">
        <v>-0.108262</v>
      </c>
      <c r="AE6240">
        <v>0.57388000000000206</v>
      </c>
      <c r="AF6240">
        <v>-5.5245700897024998E-2</v>
      </c>
      <c r="AG6240">
        <v>-0.108262</v>
      </c>
      <c r="AH6240">
        <v>0.55403621364230904</v>
      </c>
      <c r="AI6240">
        <v>101.003390230514</v>
      </c>
      <c r="AJ6240">
        <v>95.694422997824901</v>
      </c>
      <c r="AK6240">
        <v>0.56721148978023195</v>
      </c>
      <c r="AL6240">
        <v>67.018251337249694</v>
      </c>
      <c r="AM6240">
        <v>97.372713550304297</v>
      </c>
      <c r="AN6240">
        <v>1.00000003688802</v>
      </c>
    </row>
    <row r="6241" spans="1:40" x14ac:dyDescent="0.25">
      <c r="A6241" t="str">
        <f>"20190304164531884"</f>
        <v>20190304164531884</v>
      </c>
      <c r="B6241" t="str">
        <f>"1551689131876019"</f>
        <v>1551689131876019</v>
      </c>
      <c r="C6241" t="s">
        <v>40</v>
      </c>
      <c r="D6241">
        <v>4.8096610000000002</v>
      </c>
      <c r="E6241">
        <v>0.54376119999999994</v>
      </c>
      <c r="F6241" t="s">
        <v>41</v>
      </c>
      <c r="G6241">
        <v>-187.2236</v>
      </c>
      <c r="H6241">
        <v>1.005565</v>
      </c>
      <c r="I6241">
        <v>70.446950000000001</v>
      </c>
      <c r="J6241">
        <v>-187.16900000000001</v>
      </c>
      <c r="K6241">
        <v>1.110808</v>
      </c>
      <c r="L6241">
        <v>69.947050000000004</v>
      </c>
      <c r="M6241">
        <v>4.9989650000000002E-3</v>
      </c>
      <c r="N6241">
        <v>-1.461441E-2</v>
      </c>
      <c r="O6241">
        <v>0.99988069999999896</v>
      </c>
      <c r="P6241">
        <v>-0.1134918</v>
      </c>
      <c r="Q6241">
        <v>0.37673499999999999</v>
      </c>
      <c r="R6241">
        <v>0.91934229999999995</v>
      </c>
      <c r="S6241">
        <v>-0.17990110000000001</v>
      </c>
      <c r="T6241">
        <v>-0.36130610000000002</v>
      </c>
      <c r="U6241">
        <v>3.3896480000000002</v>
      </c>
      <c r="V6241">
        <v>-0.118385</v>
      </c>
      <c r="W6241">
        <v>0.39003130000000003</v>
      </c>
      <c r="X6241">
        <v>0.91315970000000002</v>
      </c>
      <c r="Y6241">
        <v>-5.7718499999999902E-2</v>
      </c>
      <c r="Z6241">
        <v>-9.1281230000000005E-2</v>
      </c>
      <c r="AA6241">
        <v>0.99415109999999995</v>
      </c>
      <c r="AB6241">
        <v>45</v>
      </c>
      <c r="AC6241">
        <v>-5.4599999999993501E-2</v>
      </c>
      <c r="AD6241">
        <v>-0.105242999999999</v>
      </c>
      <c r="AE6241">
        <v>0.49989999999999601</v>
      </c>
      <c r="AF6241">
        <v>-5.4702615575324201E-2</v>
      </c>
      <c r="AG6241">
        <v>-0.105242999999999</v>
      </c>
      <c r="AH6241">
        <v>0.47865585440736202</v>
      </c>
      <c r="AI6241">
        <v>102.322683619947</v>
      </c>
      <c r="AJ6241">
        <v>96.519694151811095</v>
      </c>
      <c r="AK6241">
        <v>0.49313273279941899</v>
      </c>
      <c r="AL6241">
        <v>67.043553746623502</v>
      </c>
      <c r="AM6241">
        <v>97.386811181115505</v>
      </c>
      <c r="AN6241">
        <v>1.0000000304543799</v>
      </c>
    </row>
    <row r="6242" spans="1:40" x14ac:dyDescent="0.25">
      <c r="A6242" t="str">
        <f>"20190304164531908"</f>
        <v>20190304164531908</v>
      </c>
      <c r="B6242" t="str">
        <f>"1551689131896515"</f>
        <v>1551689131896515</v>
      </c>
      <c r="C6242" t="s">
        <v>40</v>
      </c>
      <c r="D6242">
        <v>5.0523509999999998</v>
      </c>
      <c r="E6242">
        <v>0.54386409999999996</v>
      </c>
      <c r="F6242" t="s">
        <v>42</v>
      </c>
      <c r="G6242">
        <v>-187.73670000000001</v>
      </c>
      <c r="H6242" s="1">
        <v>-8.1328869999999999E-7</v>
      </c>
      <c r="I6242">
        <v>80.268369999999905</v>
      </c>
      <c r="J6242">
        <v>-187.1671</v>
      </c>
      <c r="K6242">
        <v>1.1108279999999999</v>
      </c>
      <c r="L6242">
        <v>70.392030000000005</v>
      </c>
      <c r="M6242">
        <v>4.6260470000000003E-3</v>
      </c>
      <c r="N6242">
        <v>-1.461228E-2</v>
      </c>
      <c r="O6242">
        <v>0.99988250000000001</v>
      </c>
      <c r="P6242">
        <v>-0.114175</v>
      </c>
      <c r="Q6242">
        <v>0.37608920000000001</v>
      </c>
      <c r="R6242">
        <v>0.91952210000000001</v>
      </c>
      <c r="S6242">
        <v>-0.1864471</v>
      </c>
      <c r="T6242">
        <v>-0.36480679999999999</v>
      </c>
      <c r="U6242">
        <v>3.3896790000000001</v>
      </c>
      <c r="V6242">
        <v>-0.1187493</v>
      </c>
      <c r="W6242">
        <v>0.3893797</v>
      </c>
      <c r="X6242">
        <v>0.91339049999999999</v>
      </c>
      <c r="Y6242">
        <v>-5.9253010000000002E-2</v>
      </c>
      <c r="Z6242">
        <v>-9.2287629999999996E-2</v>
      </c>
      <c r="AA6242">
        <v>0.99396779999999996</v>
      </c>
      <c r="AB6242">
        <v>45</v>
      </c>
      <c r="AC6242">
        <v>-0.56960000000000799</v>
      </c>
      <c r="AD6242">
        <v>-1.1108288132887001</v>
      </c>
      <c r="AE6242">
        <v>9.8763399999999795</v>
      </c>
      <c r="AF6242">
        <v>-0.60762600379138298</v>
      </c>
      <c r="AG6242">
        <v>-1.1108288132887001</v>
      </c>
      <c r="AH6242">
        <v>9.75065879238403</v>
      </c>
      <c r="AI6242">
        <v>96.486837510705499</v>
      </c>
      <c r="AJ6242">
        <v>93.565855976112601</v>
      </c>
      <c r="AK6242">
        <v>9.8325224077248805</v>
      </c>
      <c r="AL6242">
        <v>67.084093814819894</v>
      </c>
      <c r="AM6242">
        <v>97.407438619434302</v>
      </c>
      <c r="AN6242">
        <v>1.0000000762564101</v>
      </c>
    </row>
    <row r="6243" spans="1:40" x14ac:dyDescent="0.25">
      <c r="A6243" t="str">
        <f>"20190304164531930"</f>
        <v>20190304164531930</v>
      </c>
      <c r="B6243" t="str">
        <f>"1551689131926772"</f>
        <v>1551689131926772</v>
      </c>
      <c r="C6243" t="s">
        <v>40</v>
      </c>
      <c r="D6243">
        <v>4.8684949999999896</v>
      </c>
      <c r="E6243">
        <v>0.54378930000000003</v>
      </c>
      <c r="F6243" t="s">
        <v>42</v>
      </c>
      <c r="G6243">
        <v>-187.73750000000001</v>
      </c>
      <c r="H6243" s="1">
        <v>-9.2695229999999995E-7</v>
      </c>
      <c r="I6243">
        <v>80.602940000000004</v>
      </c>
      <c r="J6243">
        <v>-187.1652</v>
      </c>
      <c r="K6243">
        <v>1.1108610000000001</v>
      </c>
      <c r="L6243">
        <v>70.859309999999994</v>
      </c>
      <c r="M6243">
        <v>4.2281619999999997E-3</v>
      </c>
      <c r="N6243">
        <v>-1.460999E-2</v>
      </c>
      <c r="O6243">
        <v>0.99988429999999995</v>
      </c>
      <c r="P6243">
        <v>-0.1146213</v>
      </c>
      <c r="Q6243">
        <v>0.3757858</v>
      </c>
      <c r="R6243">
        <v>0.91959069999999998</v>
      </c>
      <c r="S6243">
        <v>-0.18936159999999999</v>
      </c>
      <c r="T6243">
        <v>-0.36878129999999998</v>
      </c>
      <c r="U6243">
        <v>3.3898929999999998</v>
      </c>
      <c r="V6243">
        <v>-0.1188507</v>
      </c>
      <c r="W6243">
        <v>0.38906960000000002</v>
      </c>
      <c r="X6243">
        <v>0.91350940000000003</v>
      </c>
      <c r="Y6243">
        <v>-5.9697430000000003E-2</v>
      </c>
      <c r="Z6243">
        <v>-9.3431700000000006E-2</v>
      </c>
      <c r="AA6243">
        <v>0.99383440000000001</v>
      </c>
      <c r="AB6243">
        <v>45</v>
      </c>
      <c r="AC6243">
        <v>-0.57230000000001202</v>
      </c>
      <c r="AD6243">
        <v>-1.1108619269522999</v>
      </c>
      <c r="AE6243">
        <v>9.7436300000000102</v>
      </c>
      <c r="AF6243">
        <v>-0.60565169521538897</v>
      </c>
      <c r="AG6243">
        <v>-1.1108619269522999</v>
      </c>
      <c r="AH6243">
        <v>9.6165560039496008</v>
      </c>
      <c r="AI6243">
        <v>96.576433677773196</v>
      </c>
      <c r="AJ6243">
        <v>93.6037344400183</v>
      </c>
      <c r="AK6243">
        <v>9.6994318170585991</v>
      </c>
      <c r="AL6243">
        <v>67.103381225063501</v>
      </c>
      <c r="AM6243">
        <v>97.412739280030905</v>
      </c>
      <c r="AN6243">
        <v>1.0000000332115</v>
      </c>
    </row>
    <row r="6244" spans="1:40" x14ac:dyDescent="0.25">
      <c r="A6244" t="str">
        <f>"20190304164531951"</f>
        <v>20190304164531951</v>
      </c>
      <c r="B6244" t="str">
        <f>"1551689131946292"</f>
        <v>1551689131946292</v>
      </c>
      <c r="C6244" t="s">
        <v>40</v>
      </c>
      <c r="D6244">
        <v>5.1433839999999904</v>
      </c>
      <c r="E6244">
        <v>0.54380490000000004</v>
      </c>
      <c r="F6244" t="s">
        <v>42</v>
      </c>
      <c r="G6244">
        <v>-187.7379</v>
      </c>
      <c r="H6244" s="1">
        <v>-1.0627589999999999E-6</v>
      </c>
      <c r="I6244">
        <v>81.002359999999996</v>
      </c>
      <c r="J6244">
        <v>-187.16370000000001</v>
      </c>
      <c r="K6244">
        <v>1.1108720000000001</v>
      </c>
      <c r="L6244">
        <v>71.272890000000004</v>
      </c>
      <c r="M6244">
        <v>3.874747E-3</v>
      </c>
      <c r="N6244">
        <v>-1.4608029999999999E-2</v>
      </c>
      <c r="O6244">
        <v>0.99988580000000005</v>
      </c>
      <c r="P6244">
        <v>-0.1145422</v>
      </c>
      <c r="Q6244">
        <v>0.376448</v>
      </c>
      <c r="R6244">
        <v>0.91932959999999997</v>
      </c>
      <c r="S6244">
        <v>-0.19142149999999999</v>
      </c>
      <c r="T6244">
        <v>-0.37129289999999998</v>
      </c>
      <c r="U6244">
        <v>3.3901979999999998</v>
      </c>
      <c r="V6244">
        <v>-0.11846279999999999</v>
      </c>
      <c r="W6244">
        <v>0.38972180000000001</v>
      </c>
      <c r="X6244">
        <v>0.91328169999999997</v>
      </c>
      <c r="Y6244">
        <v>-5.9937249999999997E-2</v>
      </c>
      <c r="Z6244">
        <v>-9.4149490000000002E-2</v>
      </c>
      <c r="AA6244">
        <v>0.99375219999999997</v>
      </c>
      <c r="AB6244">
        <v>45</v>
      </c>
      <c r="AC6244">
        <v>-0.57419999999999005</v>
      </c>
      <c r="AD6244">
        <v>-1.11087306275899</v>
      </c>
      <c r="AE6244">
        <v>9.7294699999999903</v>
      </c>
      <c r="AF6244">
        <v>-0.60405174728668498</v>
      </c>
      <c r="AG6244">
        <v>-1.11087306275899</v>
      </c>
      <c r="AH6244">
        <v>9.6024272934931805</v>
      </c>
      <c r="AI6244">
        <v>96.586120795829899</v>
      </c>
      <c r="AJ6244">
        <v>93.599514013780805</v>
      </c>
      <c r="AK6244">
        <v>9.6853253637545098</v>
      </c>
      <c r="AL6244">
        <v>67.062809661650505</v>
      </c>
      <c r="AM6244">
        <v>97.3906354787336</v>
      </c>
      <c r="AN6244">
        <v>0.99999998996698403</v>
      </c>
    </row>
    <row r="6245" spans="1:40" x14ac:dyDescent="0.25">
      <c r="A6245" t="str">
        <f>"20190304164531974"</f>
        <v>20190304164531974</v>
      </c>
      <c r="B6245" t="str">
        <f>"1551689131966788"</f>
        <v>1551689131966788</v>
      </c>
      <c r="C6245" t="s">
        <v>40</v>
      </c>
      <c r="D6245">
        <v>4.993188</v>
      </c>
      <c r="E6245">
        <v>0.56807919999999901</v>
      </c>
      <c r="F6245" t="s">
        <v>42</v>
      </c>
      <c r="G6245">
        <v>-187.73</v>
      </c>
      <c r="H6245" s="1">
        <v>-1.2257890000000001E-6</v>
      </c>
      <c r="I6245">
        <v>81.475269999999995</v>
      </c>
      <c r="J6245">
        <v>-187.16220000000001</v>
      </c>
      <c r="K6245">
        <v>1.110897</v>
      </c>
      <c r="L6245">
        <v>71.742949999999993</v>
      </c>
      <c r="M6245">
        <v>3.4737879999999998E-3</v>
      </c>
      <c r="N6245">
        <v>-1.4605709999999999E-2</v>
      </c>
      <c r="O6245">
        <v>0.99988730000000003</v>
      </c>
      <c r="P6245">
        <v>-0.1137271</v>
      </c>
      <c r="Q6245">
        <v>0.3771987</v>
      </c>
      <c r="R6245">
        <v>0.91912309999999997</v>
      </c>
      <c r="S6245">
        <v>-0.18823239999999999</v>
      </c>
      <c r="T6245">
        <v>-0.36922369999999999</v>
      </c>
      <c r="U6245">
        <v>3.3909910000000001</v>
      </c>
      <c r="V6245">
        <v>-0.1172947</v>
      </c>
      <c r="W6245">
        <v>0.3904646</v>
      </c>
      <c r="X6245">
        <v>0.91311520000000002</v>
      </c>
      <c r="Y6245">
        <v>-5.8596879999999997E-2</v>
      </c>
      <c r="Z6245">
        <v>-9.3534850000000003E-2</v>
      </c>
      <c r="AA6245">
        <v>0.99389019999999995</v>
      </c>
      <c r="AB6245">
        <v>45</v>
      </c>
      <c r="AC6245">
        <v>-0.56779999999997699</v>
      </c>
      <c r="AD6245">
        <v>-1.1108982257889899</v>
      </c>
      <c r="AE6245">
        <v>9.7323199999999996</v>
      </c>
      <c r="AF6245">
        <v>-0.59389648404626005</v>
      </c>
      <c r="AG6245">
        <v>-1.1108982257889899</v>
      </c>
      <c r="AH6245">
        <v>9.60556097239051</v>
      </c>
      <c r="AI6245">
        <v>96.584575853196398</v>
      </c>
      <c r="AJ6245">
        <v>93.538002766589898</v>
      </c>
      <c r="AK6245">
        <v>9.6878072594439804</v>
      </c>
      <c r="AL6245">
        <v>67.016588974611096</v>
      </c>
      <c r="AM6245">
        <v>97.3198742390951</v>
      </c>
      <c r="AN6245">
        <v>1.0000000094861401</v>
      </c>
    </row>
    <row r="6246" spans="1:40" x14ac:dyDescent="0.25">
      <c r="A6246" t="str">
        <f>"20190304164531997"</f>
        <v>20190304164531997</v>
      </c>
      <c r="B6246" t="str">
        <f>"1551689131986310"</f>
        <v>1551689131986310</v>
      </c>
      <c r="C6246" t="s">
        <v>40</v>
      </c>
      <c r="D6246">
        <v>4.9893000000000001</v>
      </c>
      <c r="E6246">
        <v>0.57199089999999997</v>
      </c>
      <c r="F6246" t="s">
        <v>41</v>
      </c>
      <c r="G6246">
        <v>-187.1619</v>
      </c>
      <c r="H6246">
        <v>0.97790960000000005</v>
      </c>
      <c r="I6246">
        <v>72.838709999999907</v>
      </c>
      <c r="J6246">
        <v>-187.1609</v>
      </c>
      <c r="K6246">
        <v>1.1109199999999999</v>
      </c>
      <c r="L6246">
        <v>72.189210000000003</v>
      </c>
      <c r="M6246">
        <v>3.094051E-3</v>
      </c>
      <c r="N6246">
        <v>-1.4603440000000001E-2</v>
      </c>
      <c r="O6246">
        <v>0.99988860000000002</v>
      </c>
      <c r="P6246">
        <v>-0.11276079999999999</v>
      </c>
      <c r="Q6246">
        <v>0.3773744</v>
      </c>
      <c r="R6246">
        <v>0.91917000000000004</v>
      </c>
      <c r="S6246">
        <v>5.4931640000000002E-4</v>
      </c>
      <c r="T6246">
        <v>-0.41693989999999997</v>
      </c>
      <c r="U6246">
        <v>3.4351500000000001</v>
      </c>
      <c r="V6246">
        <v>-0.11599230000000001</v>
      </c>
      <c r="W6246">
        <v>0.39063720000000002</v>
      </c>
      <c r="X6246">
        <v>0.91320780000000001</v>
      </c>
      <c r="Y6246">
        <v>-2.93247E-3</v>
      </c>
      <c r="Z6246">
        <v>-0.1059793</v>
      </c>
      <c r="AA6246">
        <v>0.99436400000000003</v>
      </c>
      <c r="AB6246">
        <v>45</v>
      </c>
      <c r="AC6246">
        <v>-1.0000000000047701E-3</v>
      </c>
      <c r="AD6246">
        <v>-0.1330104</v>
      </c>
      <c r="AE6246">
        <v>0.64949999999998898</v>
      </c>
      <c r="AF6246">
        <v>-2.88865023809545E-3</v>
      </c>
      <c r="AG6246">
        <v>-0.1330104</v>
      </c>
      <c r="AH6246">
        <v>0.62335143421236205</v>
      </c>
      <c r="AI6246">
        <v>102.044978052125</v>
      </c>
      <c r="AJ6246">
        <v>90.265510390016402</v>
      </c>
      <c r="AK6246">
        <v>0.63739087014403195</v>
      </c>
      <c r="AL6246">
        <v>67.005847824625107</v>
      </c>
      <c r="AM6246">
        <v>97.238737632834301</v>
      </c>
      <c r="AN6246">
        <v>1.0000000608319799</v>
      </c>
    </row>
    <row r="6247" spans="1:40" x14ac:dyDescent="0.25">
      <c r="A6247" t="str">
        <f>"20190304164532018"</f>
        <v>20190304164532018</v>
      </c>
      <c r="B6247" t="str">
        <f>"1551689132006803"</f>
        <v>1551689132006803</v>
      </c>
      <c r="C6247" t="s">
        <v>40</v>
      </c>
      <c r="D6247">
        <v>5.0019229999999997</v>
      </c>
      <c r="E6247">
        <v>0.57402919999999902</v>
      </c>
      <c r="F6247" t="s">
        <v>41</v>
      </c>
      <c r="G6247">
        <v>-187.15100000000001</v>
      </c>
      <c r="H6247">
        <v>0.97910399999999997</v>
      </c>
      <c r="I6247">
        <v>73.240919999999903</v>
      </c>
      <c r="J6247">
        <v>-187.15989999999999</v>
      </c>
      <c r="K6247">
        <v>1.1109329999999999</v>
      </c>
      <c r="L6247">
        <v>72.625369999999904</v>
      </c>
      <c r="M6247">
        <v>2.7229730000000001E-3</v>
      </c>
      <c r="N6247">
        <v>-1.4601070000000001E-2</v>
      </c>
      <c r="O6247">
        <v>0.99988969999999999</v>
      </c>
      <c r="P6247">
        <v>-0.11213099999999999</v>
      </c>
      <c r="Q6247">
        <v>0.37701050000000003</v>
      </c>
      <c r="R6247">
        <v>0.9193964</v>
      </c>
      <c r="S6247">
        <v>3.2547E-2</v>
      </c>
      <c r="T6247">
        <v>-0.4317802</v>
      </c>
      <c r="U6247">
        <v>3.445068</v>
      </c>
      <c r="V6247">
        <v>-0.1150308</v>
      </c>
      <c r="W6247">
        <v>0.39027319999999999</v>
      </c>
      <c r="X6247">
        <v>0.91348490000000004</v>
      </c>
      <c r="Y6247">
        <v>6.6598009999999999E-3</v>
      </c>
      <c r="Z6247">
        <v>-0.1098543</v>
      </c>
      <c r="AA6247">
        <v>0.99392539999999996</v>
      </c>
      <c r="AB6247">
        <v>45</v>
      </c>
      <c r="AC6247">
        <v>8.9000000000112305E-3</v>
      </c>
      <c r="AD6247">
        <v>-0.131828999999999</v>
      </c>
      <c r="AE6247">
        <v>0.61554999999999804</v>
      </c>
      <c r="AF6247">
        <v>6.9069319650403097E-3</v>
      </c>
      <c r="AG6247">
        <v>-0.131828999999999</v>
      </c>
      <c r="AH6247">
        <v>0.58858144813279001</v>
      </c>
      <c r="AI6247">
        <v>102.623767887753</v>
      </c>
      <c r="AJ6247">
        <v>89.327671831338193</v>
      </c>
      <c r="AK6247">
        <v>0.60320370691521896</v>
      </c>
      <c r="AL6247">
        <v>67.028499236893197</v>
      </c>
      <c r="AM6247">
        <v>97.177206838350003</v>
      </c>
      <c r="AN6247">
        <v>0.99999995905744399</v>
      </c>
    </row>
    <row r="6248" spans="1:40" x14ac:dyDescent="0.25">
      <c r="A6248" t="str">
        <f>"20190304164532040"</f>
        <v>20190304164532040</v>
      </c>
      <c r="B6248" t="str">
        <f>"1551689132036084"</f>
        <v>1551689132036084</v>
      </c>
      <c r="C6248" t="s">
        <v>40</v>
      </c>
      <c r="D6248">
        <v>4.9924790000000003</v>
      </c>
      <c r="E6248">
        <v>0.57549969999999995</v>
      </c>
      <c r="F6248" t="s">
        <v>41</v>
      </c>
      <c r="G6248">
        <v>-187.14529999999999</v>
      </c>
      <c r="H6248">
        <v>0.98174799999999995</v>
      </c>
      <c r="I6248">
        <v>73.643730000000005</v>
      </c>
      <c r="J6248">
        <v>-187.15899999999999</v>
      </c>
      <c r="K6248">
        <v>1.110943</v>
      </c>
      <c r="L6248">
        <v>73.072940000000003</v>
      </c>
      <c r="M6248">
        <v>2.3414989999999999E-3</v>
      </c>
      <c r="N6248">
        <v>-1.459862E-2</v>
      </c>
      <c r="O6248">
        <v>0.99989070000000002</v>
      </c>
      <c r="P6248">
        <v>-0.1118077</v>
      </c>
      <c r="Q6248">
        <v>0.37748559999999998</v>
      </c>
      <c r="R6248">
        <v>0.91924079999999997</v>
      </c>
      <c r="S6248">
        <v>4.8965450000000001E-2</v>
      </c>
      <c r="T6248">
        <v>-0.4374673</v>
      </c>
      <c r="U6248">
        <v>3.4483640000000002</v>
      </c>
      <c r="V6248">
        <v>-0.1143648</v>
      </c>
      <c r="W6248">
        <v>0.3907429</v>
      </c>
      <c r="X6248">
        <v>0.9133677</v>
      </c>
      <c r="Y6248">
        <v>1.175615E-2</v>
      </c>
      <c r="Z6248">
        <v>-0.11134670000000001</v>
      </c>
      <c r="AA6248">
        <v>0.99371209999999999</v>
      </c>
      <c r="AB6248">
        <v>45</v>
      </c>
      <c r="AC6248">
        <v>1.37000000000284E-2</v>
      </c>
      <c r="AD6248">
        <v>-0.129195</v>
      </c>
      <c r="AE6248">
        <v>0.57079000000000202</v>
      </c>
      <c r="AF6248">
        <v>1.17611205978474E-2</v>
      </c>
      <c r="AG6248">
        <v>-0.129195</v>
      </c>
      <c r="AH6248">
        <v>0.54301686154550499</v>
      </c>
      <c r="AI6248">
        <v>103.380013325143</v>
      </c>
      <c r="AJ6248">
        <v>88.759233314797996</v>
      </c>
      <c r="AK6248">
        <v>0.558298292945131</v>
      </c>
      <c r="AL6248">
        <v>66.999265795277594</v>
      </c>
      <c r="AM6248">
        <v>97.136988441038795</v>
      </c>
      <c r="AN6248">
        <v>0.99999993839136803</v>
      </c>
    </row>
    <row r="6249" spans="1:40" x14ac:dyDescent="0.25">
      <c r="A6249" t="str">
        <f>"20190304164532062"</f>
        <v>20190304164532062</v>
      </c>
      <c r="B6249" t="str">
        <f>"1551689132056580"</f>
        <v>1551689132056580</v>
      </c>
      <c r="C6249" t="s">
        <v>40</v>
      </c>
      <c r="D6249">
        <v>4.9897960000000001</v>
      </c>
      <c r="E6249">
        <v>0.57599309999999904</v>
      </c>
      <c r="F6249" t="s">
        <v>41</v>
      </c>
      <c r="G6249">
        <v>-187.14160000000001</v>
      </c>
      <c r="H6249">
        <v>0.9869734</v>
      </c>
      <c r="I6249">
        <v>74.047550000000001</v>
      </c>
      <c r="J6249">
        <v>-187.15819999999999</v>
      </c>
      <c r="K6249">
        <v>1.1109599999999999</v>
      </c>
      <c r="L6249">
        <v>73.520569999999907</v>
      </c>
      <c r="M6249">
        <v>1.9590609999999998E-3</v>
      </c>
      <c r="N6249">
        <v>-1.459617E-2</v>
      </c>
      <c r="O6249">
        <v>0.99989159999999999</v>
      </c>
      <c r="P6249">
        <v>-0.1124954</v>
      </c>
      <c r="Q6249">
        <v>0.3778301</v>
      </c>
      <c r="R6249">
        <v>0.91901540000000004</v>
      </c>
      <c r="S6249">
        <v>6.1355590000000002E-2</v>
      </c>
      <c r="T6249">
        <v>-0.43899700000000003</v>
      </c>
      <c r="U6249">
        <v>3.4512939999999999</v>
      </c>
      <c r="V6249">
        <v>-0.11470669999999999</v>
      </c>
      <c r="W6249">
        <v>0.39108039999999999</v>
      </c>
      <c r="X6249">
        <v>0.9131804</v>
      </c>
      <c r="Y6249">
        <v>1.5688290000000001E-2</v>
      </c>
      <c r="Z6249">
        <v>-0.11167050000000001</v>
      </c>
      <c r="AA6249">
        <v>0.99362150000000005</v>
      </c>
      <c r="AB6249">
        <v>45</v>
      </c>
      <c r="AC6249">
        <v>1.6599999999982601E-2</v>
      </c>
      <c r="AD6249">
        <v>-0.123986599999999</v>
      </c>
      <c r="AE6249">
        <v>0.526980000000008</v>
      </c>
      <c r="AF6249">
        <v>1.4751693472650099E-2</v>
      </c>
      <c r="AG6249">
        <v>-0.123986599999999</v>
      </c>
      <c r="AH6249">
        <v>0.49939464621464402</v>
      </c>
      <c r="AI6249">
        <v>103.937276825919</v>
      </c>
      <c r="AJ6249">
        <v>88.308023365475805</v>
      </c>
      <c r="AK6249">
        <v>0.51476723099641797</v>
      </c>
      <c r="AL6249">
        <v>66.978257621834999</v>
      </c>
      <c r="AM6249">
        <v>97.159556816860501</v>
      </c>
      <c r="AN6249">
        <v>0.99999997461660395</v>
      </c>
    </row>
    <row r="6250" spans="1:40" x14ac:dyDescent="0.25">
      <c r="A6250" t="str">
        <f>"20190304164532084"</f>
        <v>20190304164532084</v>
      </c>
      <c r="B6250" t="str">
        <f>"1551689132076099"</f>
        <v>1551689132076099</v>
      </c>
      <c r="C6250" t="s">
        <v>40</v>
      </c>
      <c r="D6250">
        <v>5.014729</v>
      </c>
      <c r="E6250">
        <v>0.57632260000000002</v>
      </c>
      <c r="F6250" t="s">
        <v>41</v>
      </c>
      <c r="G6250">
        <v>-187.14089999999999</v>
      </c>
      <c r="H6250">
        <v>0.99263080000000004</v>
      </c>
      <c r="I6250">
        <v>74.451350000000005</v>
      </c>
      <c r="J6250">
        <v>-187.1576</v>
      </c>
      <c r="K6250">
        <v>1.1109659999999999</v>
      </c>
      <c r="L6250">
        <v>73.97372</v>
      </c>
      <c r="M6250">
        <v>1.5709630000000001E-3</v>
      </c>
      <c r="N6250">
        <v>-1.459362E-2</v>
      </c>
      <c r="O6250">
        <v>0.99989229999999996</v>
      </c>
      <c r="P6250">
        <v>-0.11324099999999999</v>
      </c>
      <c r="Q6250">
        <v>0.37819550000000002</v>
      </c>
      <c r="R6250">
        <v>0.91877339999999996</v>
      </c>
      <c r="S6250">
        <v>6.3674930000000005E-2</v>
      </c>
      <c r="T6250">
        <v>-0.43894270000000002</v>
      </c>
      <c r="U6250">
        <v>3.4526059999999998</v>
      </c>
      <c r="V6250">
        <v>-0.11509999999999999</v>
      </c>
      <c r="W6250">
        <v>0.39143899999999998</v>
      </c>
      <c r="X6250">
        <v>0.91297729999999999</v>
      </c>
      <c r="Y6250">
        <v>1.6735969999999999E-2</v>
      </c>
      <c r="Z6250">
        <v>-0.11160870000000001</v>
      </c>
      <c r="AA6250">
        <v>0.99361129999999998</v>
      </c>
      <c r="AB6250">
        <v>45</v>
      </c>
      <c r="AC6250">
        <v>1.6700000000014301E-2</v>
      </c>
      <c r="AD6250">
        <v>-0.118335199999999</v>
      </c>
      <c r="AE6250">
        <v>0.477630000000004</v>
      </c>
      <c r="AF6250">
        <v>1.5028216973457501E-2</v>
      </c>
      <c r="AG6250">
        <v>-0.118335199999999</v>
      </c>
      <c r="AH6250">
        <v>0.45006335759634197</v>
      </c>
      <c r="AI6250">
        <v>104.723506225867</v>
      </c>
      <c r="AJ6250">
        <v>88.087527931163606</v>
      </c>
      <c r="AK6250">
        <v>0.465602934607734</v>
      </c>
      <c r="AL6250">
        <v>66.955932765544802</v>
      </c>
      <c r="AM6250">
        <v>97.185430482623602</v>
      </c>
      <c r="AN6250">
        <v>1.00000002551814</v>
      </c>
    </row>
    <row r="6251" spans="1:40" x14ac:dyDescent="0.25">
      <c r="A6251" t="str">
        <f>"20190304164532107"</f>
        <v>20190304164532107</v>
      </c>
      <c r="B6251" t="str">
        <f>"1551689132096596"</f>
        <v>1551689132096596</v>
      </c>
      <c r="C6251" t="s">
        <v>40</v>
      </c>
      <c r="D6251">
        <v>5.0324489999999997</v>
      </c>
      <c r="E6251">
        <v>0.57655369999999995</v>
      </c>
      <c r="F6251" t="s">
        <v>41</v>
      </c>
      <c r="G6251">
        <v>-187.1414</v>
      </c>
      <c r="H6251">
        <v>0.99899789999999999</v>
      </c>
      <c r="I6251">
        <v>74.855239999999995</v>
      </c>
      <c r="J6251">
        <v>-187.15719999999999</v>
      </c>
      <c r="K6251">
        <v>1.110968</v>
      </c>
      <c r="L6251">
        <v>74.416600000000003</v>
      </c>
      <c r="M6251">
        <v>1.19118E-3</v>
      </c>
      <c r="N6251">
        <v>-1.4591120000000001E-2</v>
      </c>
      <c r="O6251">
        <v>0.99989280000000003</v>
      </c>
      <c r="P6251">
        <v>-0.1142594</v>
      </c>
      <c r="Q6251">
        <v>0.37768299999999999</v>
      </c>
      <c r="R6251">
        <v>0.91885819999999996</v>
      </c>
      <c r="S6251">
        <v>6.3491820000000004E-2</v>
      </c>
      <c r="T6251">
        <v>-0.43867119999999998</v>
      </c>
      <c r="U6251">
        <v>3.4536129999999998</v>
      </c>
      <c r="V6251">
        <v>-0.11577179999999999</v>
      </c>
      <c r="W6251">
        <v>0.3909242</v>
      </c>
      <c r="X6251">
        <v>0.91311290000000001</v>
      </c>
      <c r="Y6251">
        <v>1.7057650000000001E-2</v>
      </c>
      <c r="Z6251">
        <v>-0.11149779999999999</v>
      </c>
      <c r="AA6251">
        <v>0.99361820000000001</v>
      </c>
      <c r="AB6251">
        <v>45</v>
      </c>
      <c r="AC6251">
        <v>1.5799999999984399E-2</v>
      </c>
      <c r="AD6251">
        <v>-0.1119701</v>
      </c>
      <c r="AE6251">
        <v>0.43864000000000603</v>
      </c>
      <c r="AF6251">
        <v>1.43439773317627E-2</v>
      </c>
      <c r="AG6251">
        <v>-0.1119701</v>
      </c>
      <c r="AH6251">
        <v>0.41185632129058702</v>
      </c>
      <c r="AI6251">
        <v>105.200436333288</v>
      </c>
      <c r="AJ6251">
        <v>88.005330328505806</v>
      </c>
      <c r="AK6251">
        <v>0.42704646394358498</v>
      </c>
      <c r="AL6251">
        <v>66.987982044853695</v>
      </c>
      <c r="AM6251">
        <v>97.225865402561197</v>
      </c>
      <c r="AN6251">
        <v>1.0000000039836401</v>
      </c>
    </row>
    <row r="6252" spans="1:40" x14ac:dyDescent="0.25">
      <c r="A6252" t="str">
        <f>"20190304164532130"</f>
        <v>20190304164532130</v>
      </c>
      <c r="B6252" t="str">
        <f>"1551689132126852"</f>
        <v>1551689132126852</v>
      </c>
      <c r="C6252" t="s">
        <v>40</v>
      </c>
      <c r="D6252">
        <v>4.9601980000000001</v>
      </c>
      <c r="E6252">
        <v>0.57679829999999999</v>
      </c>
      <c r="F6252" t="s">
        <v>41</v>
      </c>
      <c r="G6252">
        <v>-187.1422</v>
      </c>
      <c r="H6252">
        <v>1.0032209999999999</v>
      </c>
      <c r="I6252">
        <v>75.25779</v>
      </c>
      <c r="J6252">
        <v>-187.15700000000001</v>
      </c>
      <c r="K6252">
        <v>1.110967</v>
      </c>
      <c r="L6252">
        <v>74.885159999999999</v>
      </c>
      <c r="M6252">
        <v>7.8885830000000002E-4</v>
      </c>
      <c r="N6252">
        <v>-1.4588469999999999E-2</v>
      </c>
      <c r="O6252">
        <v>0.99989320000000004</v>
      </c>
      <c r="P6252">
        <v>-0.1152997</v>
      </c>
      <c r="Q6252">
        <v>0.37681619999999999</v>
      </c>
      <c r="R6252">
        <v>0.91908409999999996</v>
      </c>
      <c r="S6252">
        <v>6.1019900000000002E-2</v>
      </c>
      <c r="T6252">
        <v>-0.44250610000000001</v>
      </c>
      <c r="U6252">
        <v>3.4544069999999998</v>
      </c>
      <c r="V6252">
        <v>-0.1164444</v>
      </c>
      <c r="W6252">
        <v>0.39005810000000002</v>
      </c>
      <c r="X6252">
        <v>0.91339769999999998</v>
      </c>
      <c r="Y6252">
        <v>1.6743060000000001E-2</v>
      </c>
      <c r="Z6252">
        <v>-0.1125584</v>
      </c>
      <c r="AA6252">
        <v>0.99350400000000005</v>
      </c>
      <c r="AB6252">
        <v>45</v>
      </c>
      <c r="AC6252">
        <v>1.48000000000081E-2</v>
      </c>
      <c r="AD6252">
        <v>-0.10774599999999999</v>
      </c>
      <c r="AE6252">
        <v>0.37263000000000002</v>
      </c>
      <c r="AF6252">
        <v>1.3388400439064399E-2</v>
      </c>
      <c r="AG6252">
        <v>-0.10774599999999999</v>
      </c>
      <c r="AH6252">
        <v>0.34393150182009502</v>
      </c>
      <c r="AI6252">
        <v>107.382228434949</v>
      </c>
      <c r="AJ6252">
        <v>87.770742974767501</v>
      </c>
      <c r="AK6252">
        <v>0.36066234586735402</v>
      </c>
      <c r="AL6252">
        <v>67.041885132662898</v>
      </c>
      <c r="AM6252">
        <v>97.265156226894206</v>
      </c>
      <c r="AN6252">
        <v>0.99999998901612897</v>
      </c>
    </row>
    <row r="6253" spans="1:40" x14ac:dyDescent="0.25">
      <c r="A6253" t="str">
        <f>"20190304164532155"</f>
        <v>20190304164532155</v>
      </c>
      <c r="B6253" t="str">
        <f>"1551689132146372"</f>
        <v>1551689132146372</v>
      </c>
      <c r="C6253" t="s">
        <v>40</v>
      </c>
      <c r="D6253">
        <v>5.0906900000000004</v>
      </c>
      <c r="E6253">
        <v>0.57687109999999997</v>
      </c>
      <c r="F6253" t="s">
        <v>41</v>
      </c>
      <c r="G6253">
        <v>-187.14359999999999</v>
      </c>
      <c r="H6253">
        <v>1.011414</v>
      </c>
      <c r="I6253">
        <v>75.662009999999995</v>
      </c>
      <c r="J6253">
        <v>-187.15700000000001</v>
      </c>
      <c r="K6253">
        <v>1.1109639999999901</v>
      </c>
      <c r="L6253">
        <v>75.356110000000001</v>
      </c>
      <c r="M6253">
        <v>3.8409689999999999E-4</v>
      </c>
      <c r="N6253">
        <v>-1.4585799999999999E-2</v>
      </c>
      <c r="O6253">
        <v>0.99989349999999999</v>
      </c>
      <c r="P6253">
        <v>-0.11601160000000001</v>
      </c>
      <c r="Q6253">
        <v>0.3759152</v>
      </c>
      <c r="R6253">
        <v>0.91936340000000005</v>
      </c>
      <c r="S6253">
        <v>5.9310910000000001E-2</v>
      </c>
      <c r="T6253">
        <v>-0.44251950000000001</v>
      </c>
      <c r="U6253">
        <v>3.4530029999999998</v>
      </c>
      <c r="V6253">
        <v>-0.11678479999999999</v>
      </c>
      <c r="W6253">
        <v>0.38915870000000002</v>
      </c>
      <c r="X6253">
        <v>0.91373780000000004</v>
      </c>
      <c r="Y6253">
        <v>1.6663339999999999E-2</v>
      </c>
      <c r="Z6253">
        <v>-0.1126163</v>
      </c>
      <c r="AA6253">
        <v>0.99349880000000002</v>
      </c>
      <c r="AB6253">
        <v>45</v>
      </c>
      <c r="AC6253">
        <v>1.34000000000185E-2</v>
      </c>
      <c r="AD6253">
        <v>-9.9549999999999805E-2</v>
      </c>
      <c r="AE6253">
        <v>0.30589999999999401</v>
      </c>
      <c r="AF6253">
        <v>1.2012701836611E-2</v>
      </c>
      <c r="AG6253">
        <v>-9.9549999999999805E-2</v>
      </c>
      <c r="AH6253">
        <v>0.27666098041918402</v>
      </c>
      <c r="AI6253">
        <v>109.772900166963</v>
      </c>
      <c r="AJ6253">
        <v>87.513761926208403</v>
      </c>
      <c r="AK6253">
        <v>0.29427165271551298</v>
      </c>
      <c r="AL6253">
        <v>67.097838015423406</v>
      </c>
      <c r="AM6253">
        <v>97.283483597635097</v>
      </c>
      <c r="AN6253">
        <v>0.99999997522278405</v>
      </c>
    </row>
    <row r="6254" spans="1:40" x14ac:dyDescent="0.25">
      <c r="A6254" t="str">
        <f>"20190304164532175"</f>
        <v>20190304164532175</v>
      </c>
      <c r="B6254" t="str">
        <f>"1551689132166869"</f>
        <v>1551689132166869</v>
      </c>
      <c r="C6254" t="s">
        <v>40</v>
      </c>
      <c r="D6254">
        <v>5.100841</v>
      </c>
      <c r="E6254">
        <v>0.57692060000000001</v>
      </c>
      <c r="F6254" t="s">
        <v>41</v>
      </c>
      <c r="G6254">
        <v>-187.13919999999999</v>
      </c>
      <c r="H6254">
        <v>0.97022260000000005</v>
      </c>
      <c r="I6254">
        <v>76.441209999999998</v>
      </c>
      <c r="J6254">
        <v>-187.15710000000001</v>
      </c>
      <c r="K6254">
        <v>1.110968</v>
      </c>
      <c r="L6254">
        <v>75.772490000000005</v>
      </c>
      <c r="M6254" s="1">
        <v>2.5984000000000001E-5</v>
      </c>
      <c r="N6254">
        <v>-1.458335E-2</v>
      </c>
      <c r="O6254">
        <v>0.9998937</v>
      </c>
      <c r="P6254">
        <v>-0.1162318</v>
      </c>
      <c r="Q6254">
        <v>0.37502239999999998</v>
      </c>
      <c r="R6254">
        <v>0.91970010000000002</v>
      </c>
      <c r="S6254">
        <v>5.6381229999999997E-2</v>
      </c>
      <c r="T6254">
        <v>-0.4479322</v>
      </c>
      <c r="U6254">
        <v>3.4533999999999998</v>
      </c>
      <c r="V6254">
        <v>-0.1166755</v>
      </c>
      <c r="W6254">
        <v>0.38826909999999998</v>
      </c>
      <c r="X6254">
        <v>0.9141302</v>
      </c>
      <c r="Y6254">
        <v>1.617439E-2</v>
      </c>
      <c r="Z6254">
        <v>-0.1141374</v>
      </c>
      <c r="AA6254">
        <v>0.99333329999999997</v>
      </c>
      <c r="AB6254">
        <v>45</v>
      </c>
      <c r="AC6254">
        <v>1.7900000000025701E-2</v>
      </c>
      <c r="AD6254">
        <v>-0.14074539999999899</v>
      </c>
      <c r="AE6254">
        <v>0.66871999999999299</v>
      </c>
      <c r="AF6254">
        <v>1.7124587820719399E-2</v>
      </c>
      <c r="AG6254">
        <v>-0.14074539999999899</v>
      </c>
      <c r="AH6254">
        <v>0.64037378011396795</v>
      </c>
      <c r="AI6254">
        <v>102.391447620243</v>
      </c>
      <c r="AJ6254">
        <v>88.468187083961496</v>
      </c>
      <c r="AK6254">
        <v>0.65588192335712503</v>
      </c>
      <c r="AL6254">
        <v>67.153160529719798</v>
      </c>
      <c r="AM6254">
        <v>97.273649857168394</v>
      </c>
      <c r="AN6254">
        <v>1.00000004443354</v>
      </c>
    </row>
    <row r="6255" spans="1:40" x14ac:dyDescent="0.25">
      <c r="A6255" t="str">
        <f>"20190304164532195"</f>
        <v>20190304164532195</v>
      </c>
      <c r="B6255" t="str">
        <f>"1551689132186388"</f>
        <v>1551689132186388</v>
      </c>
      <c r="C6255" t="s">
        <v>40</v>
      </c>
      <c r="D6255">
        <v>5.1453449999999998</v>
      </c>
      <c r="E6255">
        <v>0.57694849999999998</v>
      </c>
      <c r="F6255" t="s">
        <v>41</v>
      </c>
      <c r="G6255">
        <v>-187.13980000000001</v>
      </c>
      <c r="H6255">
        <v>0.97079629999999995</v>
      </c>
      <c r="I6255">
        <v>76.840739999999997</v>
      </c>
      <c r="J6255">
        <v>-187.1574</v>
      </c>
      <c r="K6255">
        <v>1.110973</v>
      </c>
      <c r="L6255">
        <v>76.178309999999996</v>
      </c>
      <c r="M6255">
        <v>-3.2321800000000001E-4</v>
      </c>
      <c r="N6255">
        <v>-1.458096E-2</v>
      </c>
      <c r="O6255">
        <v>0.9998937</v>
      </c>
      <c r="P6255">
        <v>-0.11637110000000001</v>
      </c>
      <c r="Q6255">
        <v>0.37491960000000002</v>
      </c>
      <c r="R6255">
        <v>0.91972449999999994</v>
      </c>
      <c r="S6255">
        <v>5.5435180000000001E-2</v>
      </c>
      <c r="T6255">
        <v>-0.4532118</v>
      </c>
      <c r="U6255">
        <v>3.453735</v>
      </c>
      <c r="V6255">
        <v>-0.116494</v>
      </c>
      <c r="W6255">
        <v>0.38816489999999998</v>
      </c>
      <c r="X6255">
        <v>0.91419760000000005</v>
      </c>
      <c r="Y6255">
        <v>1.6246980000000001E-2</v>
      </c>
      <c r="Z6255">
        <v>-0.1156205</v>
      </c>
      <c r="AA6255">
        <v>0.99316059999999995</v>
      </c>
      <c r="AB6255">
        <v>45</v>
      </c>
      <c r="AC6255">
        <v>1.75999999999874E-2</v>
      </c>
      <c r="AD6255">
        <v>-0.14017669999999999</v>
      </c>
      <c r="AE6255">
        <v>0.66242999999999996</v>
      </c>
      <c r="AF6255">
        <v>1.7051141434380499E-2</v>
      </c>
      <c r="AG6255">
        <v>-0.14017669999999999</v>
      </c>
      <c r="AH6255">
        <v>0.63405225542421495</v>
      </c>
      <c r="AI6255">
        <v>102.462100061879</v>
      </c>
      <c r="AJ6255">
        <v>88.459554362259695</v>
      </c>
      <c r="AK6255">
        <v>0.64958641554118002</v>
      </c>
      <c r="AL6255">
        <v>67.159638913523693</v>
      </c>
      <c r="AM6255">
        <v>97.261926175391096</v>
      </c>
      <c r="AN6255">
        <v>1.0000000467368799</v>
      </c>
    </row>
    <row r="6256" spans="1:40" x14ac:dyDescent="0.25">
      <c r="A6256" t="str">
        <f>"20190304164532220"</f>
        <v>20190304164532220</v>
      </c>
      <c r="B6256" t="str">
        <f>"1551689132216644"</f>
        <v>1551689132216644</v>
      </c>
      <c r="C6256" t="s">
        <v>40</v>
      </c>
      <c r="D6256">
        <v>5.1572360000000002</v>
      </c>
      <c r="E6256">
        <v>0.57693369999999999</v>
      </c>
      <c r="F6256" t="s">
        <v>41</v>
      </c>
      <c r="G6256">
        <v>-187.14</v>
      </c>
      <c r="H6256">
        <v>0.97132229999999997</v>
      </c>
      <c r="I6256">
        <v>77.239949999999993</v>
      </c>
      <c r="J6256">
        <v>-187.15790000000001</v>
      </c>
      <c r="K6256">
        <v>1.110973</v>
      </c>
      <c r="L6256">
        <v>76.658450000000002</v>
      </c>
      <c r="M6256">
        <v>-7.3635679999999905E-4</v>
      </c>
      <c r="N6256">
        <v>-1.457816E-2</v>
      </c>
      <c r="O6256">
        <v>0.99989349999999999</v>
      </c>
      <c r="P6256">
        <v>-0.11673210000000001</v>
      </c>
      <c r="Q6256">
        <v>0.37519809999999998</v>
      </c>
      <c r="R6256">
        <v>0.91956510000000002</v>
      </c>
      <c r="S6256">
        <v>5.6564330000000003E-2</v>
      </c>
      <c r="T6256">
        <v>-0.45438020000000001</v>
      </c>
      <c r="U6256">
        <v>3.454224</v>
      </c>
      <c r="V6256">
        <v>-0.1164755</v>
      </c>
      <c r="W6256">
        <v>0.38843860000000002</v>
      </c>
      <c r="X6256">
        <v>0.9140836</v>
      </c>
      <c r="Y6256">
        <v>1.6981E-2</v>
      </c>
      <c r="Z6256">
        <v>-0.1159342</v>
      </c>
      <c r="AA6256">
        <v>0.99311170000000004</v>
      </c>
      <c r="AB6256">
        <v>45</v>
      </c>
      <c r="AC6256">
        <v>1.7900000000025701E-2</v>
      </c>
      <c r="AD6256">
        <v>-0.13965069999999999</v>
      </c>
      <c r="AE6256">
        <v>0.58149999999999102</v>
      </c>
      <c r="AF6256">
        <v>1.7329690266641998E-2</v>
      </c>
      <c r="AG6256">
        <v>-0.13965069999999999</v>
      </c>
      <c r="AH6256">
        <v>0.54980663984358602</v>
      </c>
      <c r="AI6256">
        <v>104.244936955385</v>
      </c>
      <c r="AJ6256">
        <v>88.194657139768694</v>
      </c>
      <c r="AK6256">
        <v>0.56752971498532301</v>
      </c>
      <c r="AL6256">
        <v>67.142619617558495</v>
      </c>
      <c r="AM6256">
        <v>97.261681106616393</v>
      </c>
      <c r="AN6256">
        <v>0.99999995792958396</v>
      </c>
    </row>
    <row r="6257" spans="1:40" x14ac:dyDescent="0.25">
      <c r="A6257" t="str">
        <f>"20190304164532242"</f>
        <v>20190304164532242</v>
      </c>
      <c r="B6257" t="str">
        <f>"1551689132236165"</f>
        <v>1551689132236165</v>
      </c>
      <c r="C6257" t="s">
        <v>40</v>
      </c>
      <c r="D6257">
        <v>5.1509090000000004</v>
      </c>
      <c r="E6257">
        <v>0.57698179999999999</v>
      </c>
      <c r="F6257" t="s">
        <v>41</v>
      </c>
      <c r="G6257">
        <v>-187.14150000000001</v>
      </c>
      <c r="H6257">
        <v>0.98125229999999997</v>
      </c>
      <c r="I6257">
        <v>77.643479999999997</v>
      </c>
      <c r="J6257">
        <v>-187.15860000000001</v>
      </c>
      <c r="K6257">
        <v>1.1109819999999999</v>
      </c>
      <c r="L6257">
        <v>77.129459999999995</v>
      </c>
      <c r="M6257">
        <v>-1.141095E-3</v>
      </c>
      <c r="N6257">
        <v>-1.4575400000000001E-2</v>
      </c>
      <c r="O6257">
        <v>0.99989309999999998</v>
      </c>
      <c r="P6257">
        <v>-0.1167613</v>
      </c>
      <c r="Q6257">
        <v>0.37533709999999998</v>
      </c>
      <c r="R6257">
        <v>0.91950469999999895</v>
      </c>
      <c r="S6257">
        <v>5.7083130000000003E-2</v>
      </c>
      <c r="T6257">
        <v>-0.45506219999999997</v>
      </c>
      <c r="U6257">
        <v>3.4553219999999998</v>
      </c>
      <c r="V6257">
        <v>-0.1161331</v>
      </c>
      <c r="W6257">
        <v>0.38857570000000002</v>
      </c>
      <c r="X6257">
        <v>0.91406889999999996</v>
      </c>
      <c r="Y6257">
        <v>1.7528720000000001E-2</v>
      </c>
      <c r="Z6257">
        <v>-0.11608789999999999</v>
      </c>
      <c r="AA6257">
        <v>0.99308430000000003</v>
      </c>
      <c r="AB6257">
        <v>45</v>
      </c>
      <c r="AC6257">
        <v>1.7099999999999199E-2</v>
      </c>
      <c r="AD6257">
        <v>-0.129729699999999</v>
      </c>
      <c r="AE6257">
        <v>0.51402000000001602</v>
      </c>
      <c r="AF6257">
        <v>1.6628577697592399E-2</v>
      </c>
      <c r="AG6257">
        <v>-0.129729699999999</v>
      </c>
      <c r="AH6257">
        <v>0.48325246030443397</v>
      </c>
      <c r="AI6257">
        <v>105.018345944825</v>
      </c>
      <c r="AJ6257">
        <v>88.0292463258033</v>
      </c>
      <c r="AK6257">
        <v>0.50063883693599198</v>
      </c>
      <c r="AL6257">
        <v>67.134094813062106</v>
      </c>
      <c r="AM6257">
        <v>97.240676212511502</v>
      </c>
      <c r="AN6257">
        <v>0.99999996274665404</v>
      </c>
    </row>
    <row r="6258" spans="1:40" x14ac:dyDescent="0.25">
      <c r="A6258" t="str">
        <f>"20190304164532264"</f>
        <v>20190304164532264</v>
      </c>
      <c r="B6258" t="str">
        <f>"1551689132256661"</f>
        <v>1551689132256661</v>
      </c>
      <c r="C6258" t="s">
        <v>40</v>
      </c>
      <c r="D6258">
        <v>5.1533160000000002</v>
      </c>
      <c r="E6258">
        <v>0.57698539999999998</v>
      </c>
      <c r="F6258" t="s">
        <v>41</v>
      </c>
      <c r="G6258">
        <v>-187.14269999999999</v>
      </c>
      <c r="H6258">
        <v>0.99030359999999995</v>
      </c>
      <c r="I6258">
        <v>78.046260000000004</v>
      </c>
      <c r="J6258">
        <v>-187.1593</v>
      </c>
      <c r="K6258">
        <v>1.110984</v>
      </c>
      <c r="L6258">
        <v>77.545289999999994</v>
      </c>
      <c r="M6258">
        <v>-1.4981879999999999E-3</v>
      </c>
      <c r="N6258">
        <v>-1.457292E-2</v>
      </c>
      <c r="O6258">
        <v>0.99989269999999997</v>
      </c>
      <c r="P6258">
        <v>-0.11658689999999999</v>
      </c>
      <c r="Q6258">
        <v>0.37583169999999999</v>
      </c>
      <c r="R6258">
        <v>0.91932480000000005</v>
      </c>
      <c r="S6258">
        <v>5.960083E-2</v>
      </c>
      <c r="T6258">
        <v>-0.45492169999999998</v>
      </c>
      <c r="U6258">
        <v>3.4558719999999998</v>
      </c>
      <c r="V6258">
        <v>-0.1156302</v>
      </c>
      <c r="W6258">
        <v>0.38906649999999998</v>
      </c>
      <c r="X6258">
        <v>0.91392390000000001</v>
      </c>
      <c r="Y6258">
        <v>1.8605449999999999E-2</v>
      </c>
      <c r="Z6258">
        <v>-0.11602800000000001</v>
      </c>
      <c r="AA6258">
        <v>0.9930717</v>
      </c>
      <c r="AB6258">
        <v>45</v>
      </c>
      <c r="AC6258">
        <v>1.6600000000010998E-2</v>
      </c>
      <c r="AD6258">
        <v>-0.12068039999999999</v>
      </c>
      <c r="AE6258">
        <v>0.50096999999999503</v>
      </c>
      <c r="AF6258">
        <v>1.63999675125127E-2</v>
      </c>
      <c r="AG6258">
        <v>-0.12068039999999999</v>
      </c>
      <c r="AH6258">
        <v>0.47349778446119001</v>
      </c>
      <c r="AI6258">
        <v>104.290342406161</v>
      </c>
      <c r="AJ6258">
        <v>88.016308676399007</v>
      </c>
      <c r="AK6258">
        <v>0.488909878984079</v>
      </c>
      <c r="AL6258">
        <v>67.103572982633096</v>
      </c>
      <c r="AM6258">
        <v>97.210783815803296</v>
      </c>
      <c r="AN6258">
        <v>0.99999998978274995</v>
      </c>
    </row>
    <row r="6259" spans="1:40" x14ac:dyDescent="0.25">
      <c r="A6259" t="str">
        <f>"20190304164532286"</f>
        <v>20190304164532286</v>
      </c>
      <c r="B6259" t="str">
        <f>"1551689132276180"</f>
        <v>1551689132276180</v>
      </c>
      <c r="C6259" t="s">
        <v>40</v>
      </c>
      <c r="D6259">
        <v>5.1664209999999997</v>
      </c>
      <c r="E6259">
        <v>0.57700969999999996</v>
      </c>
      <c r="F6259" t="s">
        <v>41</v>
      </c>
      <c r="G6259">
        <v>-187.1438</v>
      </c>
      <c r="H6259">
        <v>0.99246849999999998</v>
      </c>
      <c r="I6259">
        <v>78.44538</v>
      </c>
      <c r="J6259">
        <v>-187.16040000000001</v>
      </c>
      <c r="K6259">
        <v>1.1109880000000001</v>
      </c>
      <c r="L6259">
        <v>78.00076</v>
      </c>
      <c r="M6259">
        <v>-1.889178E-3</v>
      </c>
      <c r="N6259">
        <v>-1.457023E-2</v>
      </c>
      <c r="O6259">
        <v>0.99989209999999995</v>
      </c>
      <c r="P6259">
        <v>-0.11685429999999999</v>
      </c>
      <c r="Q6259">
        <v>0.37618010000000002</v>
      </c>
      <c r="R6259">
        <v>0.91914830000000003</v>
      </c>
      <c r="S6259">
        <v>5.9448239999999999E-2</v>
      </c>
      <c r="T6259">
        <v>-0.45519270000000001</v>
      </c>
      <c r="U6259">
        <v>3.4568789999999998</v>
      </c>
      <c r="V6259">
        <v>-0.1155383</v>
      </c>
      <c r="W6259">
        <v>0.3894108</v>
      </c>
      <c r="X6259">
        <v>0.91378890000000002</v>
      </c>
      <c r="Y6259">
        <v>1.8947160000000001E-2</v>
      </c>
      <c r="Z6259">
        <v>-0.1160692</v>
      </c>
      <c r="AA6259">
        <v>0.99306039999999995</v>
      </c>
      <c r="AB6259">
        <v>45</v>
      </c>
      <c r="AC6259">
        <v>1.6600000000010998E-2</v>
      </c>
      <c r="AD6259">
        <v>-0.118519499999999</v>
      </c>
      <c r="AE6259">
        <v>0.44462000000000002</v>
      </c>
      <c r="AF6259">
        <v>1.6284521240998901E-2</v>
      </c>
      <c r="AG6259">
        <v>-0.118519499999999</v>
      </c>
      <c r="AH6259">
        <v>0.41513127539833899</v>
      </c>
      <c r="AI6259">
        <v>105.922358678419</v>
      </c>
      <c r="AJ6259">
        <v>87.7535872285724</v>
      </c>
      <c r="AK6259">
        <v>0.432025500782246</v>
      </c>
      <c r="AL6259">
        <v>67.082157659820695</v>
      </c>
      <c r="AM6259">
        <v>97.206166385417205</v>
      </c>
      <c r="AN6259">
        <v>1.0000000118433601</v>
      </c>
    </row>
    <row r="6260" spans="1:40" x14ac:dyDescent="0.25">
      <c r="A6260" t="str">
        <f>"20190304164532308"</f>
        <v>20190304164532308</v>
      </c>
      <c r="B6260" t="str">
        <f>"1551689132296676"</f>
        <v>1551689132296676</v>
      </c>
      <c r="C6260" t="s">
        <v>40</v>
      </c>
      <c r="D6260">
        <v>5.1709610000000001</v>
      </c>
      <c r="E6260">
        <v>0.57697580000000004</v>
      </c>
      <c r="F6260" t="s">
        <v>41</v>
      </c>
      <c r="G6260">
        <v>-187.14619999999999</v>
      </c>
      <c r="H6260">
        <v>0.99959310000000001</v>
      </c>
      <c r="I6260">
        <v>78.846639999999994</v>
      </c>
      <c r="J6260">
        <v>-187.16149999999999</v>
      </c>
      <c r="K6260">
        <v>1.1109849999999999</v>
      </c>
      <c r="L6260">
        <v>78.41919</v>
      </c>
      <c r="M6260">
        <v>-2.2482280000000001E-3</v>
      </c>
      <c r="N6260">
        <v>-1.4567760000000001E-2</v>
      </c>
      <c r="O6260">
        <v>0.99989130000000004</v>
      </c>
      <c r="P6260">
        <v>-0.1173593</v>
      </c>
      <c r="Q6260">
        <v>0.37634899999999999</v>
      </c>
      <c r="R6260">
        <v>0.91901480000000002</v>
      </c>
      <c r="S6260">
        <v>5.755615E-2</v>
      </c>
      <c r="T6260">
        <v>-0.45534799999999997</v>
      </c>
      <c r="U6260">
        <v>3.4575499999999999</v>
      </c>
      <c r="V6260">
        <v>-0.11571339999999999</v>
      </c>
      <c r="W6260">
        <v>0.38957639999999999</v>
      </c>
      <c r="X6260">
        <v>0.91369610000000001</v>
      </c>
      <c r="Y6260">
        <v>1.875974E-2</v>
      </c>
      <c r="Z6260">
        <v>-0.11609120000000001</v>
      </c>
      <c r="AA6260">
        <v>0.99306139999999998</v>
      </c>
      <c r="AB6260">
        <v>45</v>
      </c>
      <c r="AC6260">
        <v>1.5299999999996299E-2</v>
      </c>
      <c r="AD6260">
        <v>-0.1113919</v>
      </c>
      <c r="AE6260">
        <v>0.42745000000000699</v>
      </c>
      <c r="AF6260">
        <v>1.5228235423155601E-2</v>
      </c>
      <c r="AG6260">
        <v>-0.1113919</v>
      </c>
      <c r="AH6260">
        <v>0.40026698934969801</v>
      </c>
      <c r="AI6260">
        <v>105.54086656737501</v>
      </c>
      <c r="AJ6260">
        <v>87.821221739098505</v>
      </c>
      <c r="AK6260">
        <v>0.41575680066931398</v>
      </c>
      <c r="AL6260">
        <v>67.0718547543662</v>
      </c>
      <c r="AM6260">
        <v>97.217697639462301</v>
      </c>
      <c r="AN6260">
        <v>0.999999962765864</v>
      </c>
    </row>
    <row r="6261" spans="1:40" x14ac:dyDescent="0.25">
      <c r="A6261" t="str">
        <f>"20190304164532332"</f>
        <v>20190304164532332</v>
      </c>
      <c r="B6261" t="str">
        <f>"1551689132325957"</f>
        <v>1551689132325957</v>
      </c>
      <c r="C6261" t="s">
        <v>40</v>
      </c>
      <c r="D6261">
        <v>5.1033770000000001</v>
      </c>
      <c r="E6261">
        <v>0.57702180000000003</v>
      </c>
      <c r="F6261" t="s">
        <v>41</v>
      </c>
      <c r="G6261">
        <v>-187.1482</v>
      </c>
      <c r="H6261">
        <v>1.0018400000000001</v>
      </c>
      <c r="I6261">
        <v>79.245219999999904</v>
      </c>
      <c r="J6261">
        <v>-187.16290000000001</v>
      </c>
      <c r="K6261">
        <v>1.1109869999999999</v>
      </c>
      <c r="L6261">
        <v>78.907439999999994</v>
      </c>
      <c r="M6261">
        <v>-2.6669430000000002E-3</v>
      </c>
      <c r="N6261">
        <v>-1.4565E-2</v>
      </c>
      <c r="O6261">
        <v>0.99989039999999996</v>
      </c>
      <c r="P6261">
        <v>-0.1182462</v>
      </c>
      <c r="Q6261">
        <v>0.376415</v>
      </c>
      <c r="R6261">
        <v>0.91887410000000003</v>
      </c>
      <c r="S6261">
        <v>5.4672239999999997E-2</v>
      </c>
      <c r="T6261">
        <v>-0.45706370000000002</v>
      </c>
      <c r="U6261">
        <v>3.4585270000000001</v>
      </c>
      <c r="V6261">
        <v>-0.1162151</v>
      </c>
      <c r="W6261">
        <v>0.38963789999999998</v>
      </c>
      <c r="X6261">
        <v>0.91360620000000003</v>
      </c>
      <c r="Y6261">
        <v>1.8345460000000001E-2</v>
      </c>
      <c r="Z6261">
        <v>-0.11654299999999999</v>
      </c>
      <c r="AA6261">
        <v>0.99301620000000002</v>
      </c>
      <c r="AB6261">
        <v>45</v>
      </c>
      <c r="AC6261">
        <v>1.47000000000048E-2</v>
      </c>
      <c r="AD6261">
        <v>-0.10914699999999999</v>
      </c>
      <c r="AE6261">
        <v>0.33777999999997999</v>
      </c>
      <c r="AF6261">
        <v>1.41284718177913E-2</v>
      </c>
      <c r="AG6261">
        <v>-0.10914699999999999</v>
      </c>
      <c r="AH6261">
        <v>0.30586372609066298</v>
      </c>
      <c r="AI6261">
        <v>109.61954283665099</v>
      </c>
      <c r="AJ6261">
        <v>87.355270576408103</v>
      </c>
      <c r="AK6261">
        <v>0.32506199449177398</v>
      </c>
      <c r="AL6261">
        <v>67.068028805655999</v>
      </c>
      <c r="AM6261">
        <v>97.249365045675802</v>
      </c>
      <c r="AN6261">
        <v>0.99999996563142901</v>
      </c>
    </row>
    <row r="6262" spans="1:40" x14ac:dyDescent="0.25">
      <c r="A6262" t="str">
        <f>"20190304164532355"</f>
        <v>20190304164532355</v>
      </c>
      <c r="B6262" t="str">
        <f>"1551689132346452"</f>
        <v>1551689132346452</v>
      </c>
      <c r="C6262" t="s">
        <v>40</v>
      </c>
      <c r="D6262">
        <v>5.1225440000000004</v>
      </c>
      <c r="E6262">
        <v>0.5770478</v>
      </c>
      <c r="F6262" t="s">
        <v>41</v>
      </c>
      <c r="G6262">
        <v>-187.15180000000001</v>
      </c>
      <c r="H6262">
        <v>1.0128790000000001</v>
      </c>
      <c r="I6262">
        <v>79.647869999999998</v>
      </c>
      <c r="J6262">
        <v>-187.1644</v>
      </c>
      <c r="K6262">
        <v>1.110984</v>
      </c>
      <c r="L6262">
        <v>79.350679999999997</v>
      </c>
      <c r="M6262">
        <v>-3.0472350000000001E-3</v>
      </c>
      <c r="N6262">
        <v>-1.456228E-2</v>
      </c>
      <c r="O6262">
        <v>0.99988929999999998</v>
      </c>
      <c r="P6262">
        <v>-0.11860030000000001</v>
      </c>
      <c r="Q6262">
        <v>0.37547910000000001</v>
      </c>
      <c r="R6262">
        <v>0.91921129999999995</v>
      </c>
      <c r="S6262">
        <v>5.1315310000000003E-2</v>
      </c>
      <c r="T6262">
        <v>-0.45839580000000002</v>
      </c>
      <c r="U6262">
        <v>3.4592589999999999</v>
      </c>
      <c r="V6262">
        <v>-0.1162173</v>
      </c>
      <c r="W6262">
        <v>0.38870529999999998</v>
      </c>
      <c r="X6262">
        <v>0.91400309999999996</v>
      </c>
      <c r="Y6262">
        <v>1.7758960000000001E-2</v>
      </c>
      <c r="Z6262">
        <v>-0.11689570000000001</v>
      </c>
      <c r="AA6262">
        <v>0.99298540000000002</v>
      </c>
      <c r="AB6262">
        <v>44</v>
      </c>
      <c r="AC6262">
        <v>1.2599999999991901E-2</v>
      </c>
      <c r="AD6262">
        <v>-9.8104999999999803E-2</v>
      </c>
      <c r="AE6262">
        <v>0.29718999999998602</v>
      </c>
      <c r="AF6262">
        <v>1.21806773175874E-2</v>
      </c>
      <c r="AG6262">
        <v>-9.8104999999999803E-2</v>
      </c>
      <c r="AH6262">
        <v>0.26799837170488</v>
      </c>
      <c r="AI6262">
        <v>110.086866793355</v>
      </c>
      <c r="AJ6262">
        <v>87.397665410924304</v>
      </c>
      <c r="AK6262">
        <v>0.28565028822212302</v>
      </c>
      <c r="AL6262">
        <v>67.126035902394605</v>
      </c>
      <c r="AM6262">
        <v>97.246386239479904</v>
      </c>
      <c r="AN6262">
        <v>0.99999996893849397</v>
      </c>
    </row>
    <row r="6263" spans="1:40" x14ac:dyDescent="0.25">
      <c r="A6263" t="str">
        <f>"20190304164532376"</f>
        <v>20190304164532376</v>
      </c>
      <c r="B6263" t="str">
        <f>"1551689132365972"</f>
        <v>1551689132365972</v>
      </c>
      <c r="C6263" t="s">
        <v>40</v>
      </c>
      <c r="D6263">
        <v>5.1198610000000002</v>
      </c>
      <c r="E6263">
        <v>0.5771307</v>
      </c>
      <c r="F6263" t="s">
        <v>41</v>
      </c>
      <c r="G6263">
        <v>-187.1489</v>
      </c>
      <c r="H6263">
        <v>0.96780010000000005</v>
      </c>
      <c r="I6263">
        <v>80.419159999999906</v>
      </c>
      <c r="J6263">
        <v>-187.166</v>
      </c>
      <c r="K6263">
        <v>1.110978</v>
      </c>
      <c r="L6263">
        <v>79.771119999999996</v>
      </c>
      <c r="M6263">
        <v>-3.4083099999999999E-3</v>
      </c>
      <c r="N6263">
        <v>-1.455942E-2</v>
      </c>
      <c r="O6263">
        <v>0.9998882</v>
      </c>
      <c r="P6263">
        <v>-0.1195856</v>
      </c>
      <c r="Q6263">
        <v>0.37460260000000001</v>
      </c>
      <c r="R6263">
        <v>0.91944119999999996</v>
      </c>
      <c r="S6263">
        <v>5.0033569999999999E-2</v>
      </c>
      <c r="T6263">
        <v>-0.46362500000000001</v>
      </c>
      <c r="U6263">
        <v>3.4595030000000002</v>
      </c>
      <c r="V6263">
        <v>-0.1168681</v>
      </c>
      <c r="W6263">
        <v>0.3878296</v>
      </c>
      <c r="X6263">
        <v>0.91429210000000005</v>
      </c>
      <c r="Y6263">
        <v>1.7748469999999999E-2</v>
      </c>
      <c r="Z6263">
        <v>-0.1183641</v>
      </c>
      <c r="AA6263">
        <v>0.99281160000000002</v>
      </c>
      <c r="AB6263">
        <v>44</v>
      </c>
      <c r="AC6263">
        <v>1.7099999999999199E-2</v>
      </c>
      <c r="AD6263">
        <v>-0.143177899999999</v>
      </c>
      <c r="AE6263">
        <v>0.64803999999999395</v>
      </c>
      <c r="AF6263">
        <v>1.84107698263919E-2</v>
      </c>
      <c r="AG6263">
        <v>-0.143177899999999</v>
      </c>
      <c r="AH6263">
        <v>0.61783944288603299</v>
      </c>
      <c r="AI6263">
        <v>103.04180454773901</v>
      </c>
      <c r="AJ6263">
        <v>88.293169263873295</v>
      </c>
      <c r="AK6263">
        <v>0.63447966451237403</v>
      </c>
      <c r="AL6263">
        <v>67.180481930561498</v>
      </c>
      <c r="AM6263">
        <v>97.284251562423904</v>
      </c>
      <c r="AN6263">
        <v>0.99999999777809001</v>
      </c>
    </row>
    <row r="6264" spans="1:40" x14ac:dyDescent="0.25">
      <c r="A6264" t="str">
        <f>"20190304164532399"</f>
        <v>20190304164532399</v>
      </c>
      <c r="B6264" t="str">
        <f>"1551689132386468"</f>
        <v>1551689132386468</v>
      </c>
      <c r="C6264" t="s">
        <v>40</v>
      </c>
      <c r="D6264">
        <v>5.1209680000000004</v>
      </c>
      <c r="E6264">
        <v>0.57715300000000003</v>
      </c>
      <c r="F6264" t="s">
        <v>41</v>
      </c>
      <c r="G6264">
        <v>-187.15129999999999</v>
      </c>
      <c r="H6264">
        <v>0.96971879999999999</v>
      </c>
      <c r="I6264">
        <v>80.816379999999995</v>
      </c>
      <c r="J6264">
        <v>-187.1678</v>
      </c>
      <c r="K6264">
        <v>1.1109719999999901</v>
      </c>
      <c r="L6264">
        <v>80.212890000000002</v>
      </c>
      <c r="M6264">
        <v>-3.7876759999999998E-3</v>
      </c>
      <c r="N6264">
        <v>-1.455643E-2</v>
      </c>
      <c r="O6264">
        <v>0.99988690000000002</v>
      </c>
      <c r="P6264">
        <v>-0.1203861</v>
      </c>
      <c r="Q6264">
        <v>0.37334440000000002</v>
      </c>
      <c r="R6264">
        <v>0.91984840000000001</v>
      </c>
      <c r="S6264">
        <v>4.8126219999999997E-2</v>
      </c>
      <c r="T6264">
        <v>-0.46758260000000001</v>
      </c>
      <c r="U6264">
        <v>3.459625</v>
      </c>
      <c r="V6264">
        <v>-0.11731569999999999</v>
      </c>
      <c r="W6264">
        <v>0.38657530000000001</v>
      </c>
      <c r="X6264">
        <v>0.91476579999999996</v>
      </c>
      <c r="Y6264">
        <v>1.7578259999999998E-2</v>
      </c>
      <c r="Z6264">
        <v>-0.119478399999999</v>
      </c>
      <c r="AA6264">
        <v>0.99268120000000004</v>
      </c>
      <c r="AB6264">
        <v>44</v>
      </c>
      <c r="AC6264">
        <v>1.6500000000007699E-2</v>
      </c>
      <c r="AD6264">
        <v>-0.141253199999999</v>
      </c>
      <c r="AE6264">
        <v>0.60349000000000697</v>
      </c>
      <c r="AF6264">
        <v>1.7810917842543902E-2</v>
      </c>
      <c r="AG6264">
        <v>-0.141253199999999</v>
      </c>
      <c r="AH6264">
        <v>0.57210422614547796</v>
      </c>
      <c r="AI6264">
        <v>103.862558906929</v>
      </c>
      <c r="AJ6264">
        <v>88.216826806337096</v>
      </c>
      <c r="AK6264">
        <v>0.58955317052675504</v>
      </c>
      <c r="AL6264">
        <v>67.258427172051697</v>
      </c>
      <c r="AM6264">
        <v>97.308103192995304</v>
      </c>
      <c r="AN6264">
        <v>0.99999995244310802</v>
      </c>
    </row>
    <row r="6265" spans="1:40" x14ac:dyDescent="0.25">
      <c r="A6265" t="str">
        <f>"20190304164532422"</f>
        <v>20190304164532422</v>
      </c>
      <c r="B6265" t="str">
        <f>"1551689132416724"</f>
        <v>1551689132416724</v>
      </c>
      <c r="C6265" t="s">
        <v>40</v>
      </c>
      <c r="D6265">
        <v>5.1210019999999998</v>
      </c>
      <c r="E6265">
        <v>0.57716769999999995</v>
      </c>
      <c r="F6265" t="s">
        <v>41</v>
      </c>
      <c r="G6265">
        <v>-187.15430000000001</v>
      </c>
      <c r="H6265">
        <v>0.97390379999999999</v>
      </c>
      <c r="I6265">
        <v>81.214419999999905</v>
      </c>
      <c r="J6265">
        <v>-187.16990000000001</v>
      </c>
      <c r="K6265">
        <v>1.1109690000000001</v>
      </c>
      <c r="L6265">
        <v>80.669799999999995</v>
      </c>
      <c r="M6265">
        <v>-4.180118E-3</v>
      </c>
      <c r="N6265">
        <v>-1.4553450000000001E-2</v>
      </c>
      <c r="O6265">
        <v>0.99988540000000004</v>
      </c>
      <c r="P6265">
        <v>-0.12122529999999999</v>
      </c>
      <c r="Q6265">
        <v>0.37232330000000002</v>
      </c>
      <c r="R6265">
        <v>0.92015199999999997</v>
      </c>
      <c r="S6265">
        <v>4.6463009999999999E-2</v>
      </c>
      <c r="T6265">
        <v>-0.47351379999999998</v>
      </c>
      <c r="U6265">
        <v>3.4596559999999998</v>
      </c>
      <c r="V6265">
        <v>-0.1177906</v>
      </c>
      <c r="W6265">
        <v>0.38555650000000002</v>
      </c>
      <c r="X6265">
        <v>0.91513469999999997</v>
      </c>
      <c r="Y6265">
        <v>1.7490579999999999E-2</v>
      </c>
      <c r="Z6265">
        <v>-0.1211512</v>
      </c>
      <c r="AA6265">
        <v>0.99248000000000003</v>
      </c>
      <c r="AB6265">
        <v>44</v>
      </c>
      <c r="AC6265">
        <v>1.5600000000006199E-2</v>
      </c>
      <c r="AD6265">
        <v>-0.1370652</v>
      </c>
      <c r="AE6265">
        <v>0.544619999999994</v>
      </c>
      <c r="AF6265">
        <v>1.68126658455219E-2</v>
      </c>
      <c r="AG6265">
        <v>-0.1370652</v>
      </c>
      <c r="AH6265">
        <v>0.51213856808553004</v>
      </c>
      <c r="AI6265">
        <v>104.975393064965</v>
      </c>
      <c r="AJ6265">
        <v>88.119749163491505</v>
      </c>
      <c r="AK6265">
        <v>0.53042949362245095</v>
      </c>
      <c r="AL6265">
        <v>67.321706706916601</v>
      </c>
      <c r="AM6265">
        <v>97.334439475503402</v>
      </c>
      <c r="AN6265">
        <v>0.99999997964234899</v>
      </c>
    </row>
    <row r="6266" spans="1:40" x14ac:dyDescent="0.25">
      <c r="A6266" t="str">
        <f>"20190304164532443"</f>
        <v>20190304164532443</v>
      </c>
      <c r="B6266" t="str">
        <f>"1551689132436244"</f>
        <v>1551689132436244</v>
      </c>
      <c r="C6266" t="s">
        <v>40</v>
      </c>
      <c r="D6266">
        <v>5.1353460000000002</v>
      </c>
      <c r="E6266">
        <v>0.57727489999999904</v>
      </c>
      <c r="F6266" t="s">
        <v>41</v>
      </c>
      <c r="G6266">
        <v>-187.15780000000001</v>
      </c>
      <c r="H6266">
        <v>0.98020719999999995</v>
      </c>
      <c r="I6266">
        <v>81.613190000000003</v>
      </c>
      <c r="J6266">
        <v>-187.172</v>
      </c>
      <c r="K6266">
        <v>1.110965</v>
      </c>
      <c r="L6266">
        <v>81.091340000000002</v>
      </c>
      <c r="M6266">
        <v>-4.5421480000000002E-3</v>
      </c>
      <c r="N6266">
        <v>-1.45507999999999E-2</v>
      </c>
      <c r="O6266">
        <v>0.99988379999999999</v>
      </c>
      <c r="P6266">
        <v>-0.1223289</v>
      </c>
      <c r="Q6266">
        <v>0.37123859999999997</v>
      </c>
      <c r="R6266">
        <v>0.92044429999999999</v>
      </c>
      <c r="S6266">
        <v>4.322815E-2</v>
      </c>
      <c r="T6266">
        <v>-0.4796821</v>
      </c>
      <c r="U6266">
        <v>3.4601139999999999</v>
      </c>
      <c r="V6266">
        <v>-0.1185585</v>
      </c>
      <c r="W6266">
        <v>0.38447399999999998</v>
      </c>
      <c r="X6266">
        <v>0.9154909</v>
      </c>
      <c r="Y6266">
        <v>1.6920890000000001E-2</v>
      </c>
      <c r="Z6266">
        <v>-0.1228735</v>
      </c>
      <c r="AA6266">
        <v>0.99227810000000005</v>
      </c>
      <c r="AB6266">
        <v>44</v>
      </c>
      <c r="AC6266">
        <v>1.4199999999988199E-2</v>
      </c>
      <c r="AD6266">
        <v>-0.13075779999999901</v>
      </c>
      <c r="AE6266">
        <v>0.52185000000000004</v>
      </c>
      <c r="AF6266">
        <v>1.55922184772062E-2</v>
      </c>
      <c r="AG6266">
        <v>-0.13075779999999901</v>
      </c>
      <c r="AH6266">
        <v>0.490977736516017</v>
      </c>
      <c r="AI6266">
        <v>104.905758224856</v>
      </c>
      <c r="AJ6266">
        <v>88.181041429699903</v>
      </c>
      <c r="AK6266">
        <v>0.50833046071652199</v>
      </c>
      <c r="AL6266">
        <v>67.388910129077303</v>
      </c>
      <c r="AM6266">
        <v>97.378888020496802</v>
      </c>
      <c r="AN6266">
        <v>0.99999998129052903</v>
      </c>
    </row>
    <row r="6267" spans="1:40" x14ac:dyDescent="0.25">
      <c r="A6267" t="str">
        <f>"20190304164532466"</f>
        <v>20190304164532466</v>
      </c>
      <c r="B6267" t="str">
        <f>"1551689132456742"</f>
        <v>1551689132456742</v>
      </c>
      <c r="C6267" t="s">
        <v>40</v>
      </c>
      <c r="D6267">
        <v>4.9592839999999896</v>
      </c>
      <c r="E6267">
        <v>0.57319699999999996</v>
      </c>
      <c r="F6267" t="s">
        <v>41</v>
      </c>
      <c r="G6267">
        <v>-187.161</v>
      </c>
      <c r="H6267">
        <v>0.98251690000000003</v>
      </c>
      <c r="I6267">
        <v>82.009709999999998</v>
      </c>
      <c r="J6267">
        <v>-187.17439999999999</v>
      </c>
      <c r="K6267">
        <v>1.1109639999999901</v>
      </c>
      <c r="L6267">
        <v>81.552369999999996</v>
      </c>
      <c r="M6267">
        <v>-4.9384199999999998E-3</v>
      </c>
      <c r="N6267">
        <v>-1.454799E-2</v>
      </c>
      <c r="O6267">
        <v>0.99988200000000005</v>
      </c>
      <c r="P6267">
        <v>-0.1233518</v>
      </c>
      <c r="Q6267">
        <v>0.3705521</v>
      </c>
      <c r="R6267">
        <v>0.92058430000000002</v>
      </c>
      <c r="S6267">
        <v>4.0954589999999999E-2</v>
      </c>
      <c r="T6267">
        <v>-0.4839309</v>
      </c>
      <c r="U6267">
        <v>3.4599299999999999</v>
      </c>
      <c r="V6267">
        <v>-0.119214</v>
      </c>
      <c r="W6267">
        <v>0.3837872</v>
      </c>
      <c r="X6267">
        <v>0.91569389999999995</v>
      </c>
      <c r="Y6267">
        <v>1.6664229999999999E-2</v>
      </c>
      <c r="Z6267">
        <v>-0.1240792</v>
      </c>
      <c r="AA6267">
        <v>0.99213240000000003</v>
      </c>
      <c r="AB6267">
        <v>44</v>
      </c>
      <c r="AC6267">
        <v>1.34000000000185E-2</v>
      </c>
      <c r="AD6267">
        <v>-0.12844709999999901</v>
      </c>
      <c r="AE6267">
        <v>0.45734000000000202</v>
      </c>
      <c r="AF6267">
        <v>1.4514668760793501E-2</v>
      </c>
      <c r="AG6267">
        <v>-0.12844709999999901</v>
      </c>
      <c r="AH6267">
        <v>0.42386239627768801</v>
      </c>
      <c r="AI6267">
        <v>106.84957152982101</v>
      </c>
      <c r="AJ6267">
        <v>88.038739860466904</v>
      </c>
      <c r="AK6267">
        <v>0.443135040462734</v>
      </c>
      <c r="AL6267">
        <v>67.431530169656</v>
      </c>
      <c r="AM6267">
        <v>97.417605528231704</v>
      </c>
      <c r="AN6267">
        <v>0.99999995558852395</v>
      </c>
    </row>
    <row r="6268" spans="1:40" x14ac:dyDescent="0.25">
      <c r="A6268" t="str">
        <f>"20190304164532487"</f>
        <v>20190304164532487</v>
      </c>
      <c r="B6268" t="str">
        <f>"1551689132476272"</f>
        <v>1551689132476272</v>
      </c>
      <c r="C6268" t="s">
        <v>40</v>
      </c>
      <c r="D6268">
        <v>5.0672199999999998</v>
      </c>
      <c r="E6268">
        <v>0.55630249999999903</v>
      </c>
      <c r="F6268" t="s">
        <v>41</v>
      </c>
      <c r="G6268">
        <v>-187.16909999999999</v>
      </c>
      <c r="H6268">
        <v>1.0181559999999901</v>
      </c>
      <c r="I6268">
        <v>82.422309999999996</v>
      </c>
      <c r="J6268">
        <v>-187.17679999999999</v>
      </c>
      <c r="K6268">
        <v>1.110978</v>
      </c>
      <c r="L6268">
        <v>81.96866</v>
      </c>
      <c r="M6268">
        <v>-5.2963430000000002E-3</v>
      </c>
      <c r="N6268">
        <v>-1.454545E-2</v>
      </c>
      <c r="O6268">
        <v>0.9998802</v>
      </c>
      <c r="P6268">
        <v>-0.123266899999999</v>
      </c>
      <c r="Q6268">
        <v>0.37156159999999999</v>
      </c>
      <c r="R6268">
        <v>0.92018869999999997</v>
      </c>
      <c r="S6268">
        <v>2.012634E-2</v>
      </c>
      <c r="T6268">
        <v>-0.36363299999999998</v>
      </c>
      <c r="U6268">
        <v>3.407867</v>
      </c>
      <c r="V6268">
        <v>-0.1188018</v>
      </c>
      <c r="W6268">
        <v>0.38478950000000001</v>
      </c>
      <c r="X6268">
        <v>0.9153268</v>
      </c>
      <c r="Y6268">
        <v>1.116778E-2</v>
      </c>
      <c r="Z6268">
        <v>-9.1620419999999994E-2</v>
      </c>
      <c r="AA6268">
        <v>0.99573140000000004</v>
      </c>
      <c r="AB6268">
        <v>44</v>
      </c>
      <c r="AC6268">
        <v>7.6999999999998103E-3</v>
      </c>
      <c r="AD6268">
        <v>-9.2822000000000099E-2</v>
      </c>
      <c r="AE6268">
        <v>0.453649999999996</v>
      </c>
      <c r="AF6268">
        <v>9.6969768029055593E-3</v>
      </c>
      <c r="AG6268">
        <v>-9.2822000000000099E-2</v>
      </c>
      <c r="AH6268">
        <v>0.43538051980630199</v>
      </c>
      <c r="AI6268">
        <v>102.03222921401201</v>
      </c>
      <c r="AJ6268">
        <v>88.724095412698702</v>
      </c>
      <c r="AK6268">
        <v>0.44527087494009898</v>
      </c>
      <c r="AL6268">
        <v>67.369326945521195</v>
      </c>
      <c r="AM6268">
        <v>97.395174130782806</v>
      </c>
      <c r="AN6268">
        <v>0.99999998889586394</v>
      </c>
    </row>
    <row r="6269" spans="1:40" x14ac:dyDescent="0.25">
      <c r="A6269" t="str">
        <f>"20190304164532511"</f>
        <v>20190304164532511</v>
      </c>
      <c r="B6269" t="str">
        <f>"1551689132506520"</f>
        <v>1551689132506520</v>
      </c>
      <c r="C6269" t="s">
        <v>40</v>
      </c>
      <c r="D6269">
        <v>5.0473140000000001</v>
      </c>
      <c r="E6269">
        <v>0.5478343</v>
      </c>
      <c r="F6269" t="s">
        <v>41</v>
      </c>
      <c r="G6269">
        <v>-187.2056</v>
      </c>
      <c r="H6269">
        <v>1.0212490000000001</v>
      </c>
      <c r="I6269">
        <v>82.820509999999999</v>
      </c>
      <c r="J6269">
        <v>-187.17949999999999</v>
      </c>
      <c r="K6269">
        <v>1.111</v>
      </c>
      <c r="L6269">
        <v>82.420839999999998</v>
      </c>
      <c r="M6269">
        <v>-5.6852659999999996E-3</v>
      </c>
      <c r="N6269">
        <v>-1.4542619999999999E-2</v>
      </c>
      <c r="O6269">
        <v>0.99987809999999999</v>
      </c>
      <c r="P6269">
        <v>-0.122641899999999</v>
      </c>
      <c r="Q6269">
        <v>0.37336170000000002</v>
      </c>
      <c r="R6269">
        <v>0.91954340000000001</v>
      </c>
      <c r="S6269">
        <v>-0.1151886</v>
      </c>
      <c r="T6269">
        <v>-0.35698869999999999</v>
      </c>
      <c r="U6269">
        <v>3.388916</v>
      </c>
      <c r="V6269">
        <v>-0.1178236</v>
      </c>
      <c r="W6269">
        <v>0.38657930000000001</v>
      </c>
      <c r="X6269">
        <v>0.91469889999999998</v>
      </c>
      <c r="Y6269">
        <v>-2.8123909999999998E-2</v>
      </c>
      <c r="Z6269">
        <v>-9.0235010000000004E-2</v>
      </c>
      <c r="AA6269">
        <v>0.9955233</v>
      </c>
      <c r="AB6269">
        <v>44</v>
      </c>
      <c r="AC6269">
        <v>-2.6100000000013699E-2</v>
      </c>
      <c r="AD6269">
        <v>-8.97509999999999E-2</v>
      </c>
      <c r="AE6269">
        <v>0.39967000000000003</v>
      </c>
      <c r="AF6269">
        <v>-2.26878530886911E-2</v>
      </c>
      <c r="AG6269">
        <v>-8.97509999999999E-2</v>
      </c>
      <c r="AH6269">
        <v>0.38069558171426299</v>
      </c>
      <c r="AI6269">
        <v>103.242888588638</v>
      </c>
      <c r="AJ6269">
        <v>93.410553226281493</v>
      </c>
      <c r="AK6269">
        <v>0.39178962035196202</v>
      </c>
      <c r="AL6269">
        <v>67.258180214823597</v>
      </c>
      <c r="AM6269">
        <v>97.339929182923001</v>
      </c>
      <c r="AN6269">
        <v>1.0000000167833201</v>
      </c>
    </row>
    <row r="6270" spans="1:40" x14ac:dyDescent="0.25">
      <c r="A6270" t="str">
        <f>"20190304164532533"</f>
        <v>20190304164532533</v>
      </c>
      <c r="B6270" t="str">
        <f>"1551689132526039"</f>
        <v>1551689132526039</v>
      </c>
      <c r="C6270" t="s">
        <v>40</v>
      </c>
      <c r="D6270">
        <v>5.087879</v>
      </c>
      <c r="E6270">
        <v>0.54600769999999998</v>
      </c>
      <c r="F6270" t="s">
        <v>42</v>
      </c>
      <c r="G6270">
        <v>-187.73679999999999</v>
      </c>
      <c r="H6270" s="1">
        <v>-1.66597E-6</v>
      </c>
      <c r="I6270">
        <v>92.580399999999997</v>
      </c>
      <c r="J6270">
        <v>-187.1824</v>
      </c>
      <c r="K6270">
        <v>1.1110120000000001</v>
      </c>
      <c r="L6270">
        <v>82.874510000000001</v>
      </c>
      <c r="M6270">
        <v>-6.0753619999999999E-3</v>
      </c>
      <c r="N6270">
        <v>-1.4539679999999999E-2</v>
      </c>
      <c r="O6270">
        <v>0.99987579999999998</v>
      </c>
      <c r="P6270">
        <v>-0.1220378</v>
      </c>
      <c r="Q6270">
        <v>0.3746891</v>
      </c>
      <c r="R6270">
        <v>0.91908369999999995</v>
      </c>
      <c r="S6270">
        <v>-0.18586730000000001</v>
      </c>
      <c r="T6270">
        <v>-0.37050899999999998</v>
      </c>
      <c r="U6270">
        <v>3.3881230000000002</v>
      </c>
      <c r="V6270">
        <v>-0.11686439999999999</v>
      </c>
      <c r="W6270">
        <v>0.38789899999999999</v>
      </c>
      <c r="X6270">
        <v>0.9142631</v>
      </c>
      <c r="Y6270">
        <v>-4.8421569999999997E-2</v>
      </c>
      <c r="Z6270">
        <v>-9.4097169999999994E-2</v>
      </c>
      <c r="AA6270">
        <v>0.99438479999999996</v>
      </c>
      <c r="AB6270">
        <v>44</v>
      </c>
      <c r="AC6270">
        <v>-0.55439999999998602</v>
      </c>
      <c r="AD6270">
        <v>-1.1110136659700001</v>
      </c>
      <c r="AE6270">
        <v>9.7058899999999895</v>
      </c>
      <c r="AF6270">
        <v>-0.489029854624425</v>
      </c>
      <c r="AG6270">
        <v>-1.1110136659700001</v>
      </c>
      <c r="AH6270">
        <v>9.5839105537831397</v>
      </c>
      <c r="AI6270">
        <v>96.603975216554801</v>
      </c>
      <c r="AJ6270">
        <v>92.921048440038803</v>
      </c>
      <c r="AK6270">
        <v>9.6604784078016603</v>
      </c>
      <c r="AL6270">
        <v>67.176167193405604</v>
      </c>
      <c r="AM6270">
        <v>97.284251986910107</v>
      </c>
      <c r="AN6270">
        <v>0.99999996910498401</v>
      </c>
    </row>
    <row r="6271" spans="1:40" x14ac:dyDescent="0.25">
      <c r="A6271" t="str">
        <f>"20190304164532557"</f>
        <v>20190304164532557</v>
      </c>
      <c r="B6271" t="str">
        <f>"1551689132546537"</f>
        <v>1551689132546537</v>
      </c>
      <c r="C6271" t="s">
        <v>40</v>
      </c>
      <c r="D6271">
        <v>5.07592</v>
      </c>
      <c r="E6271">
        <v>0.54498409999999997</v>
      </c>
      <c r="F6271" t="s">
        <v>42</v>
      </c>
      <c r="G6271">
        <v>-187.77119999999999</v>
      </c>
      <c r="H6271" s="1">
        <v>-1.806338E-6</v>
      </c>
      <c r="I6271">
        <v>92.921809999999994</v>
      </c>
      <c r="J6271">
        <v>-187.18559999999999</v>
      </c>
      <c r="K6271">
        <v>1.111008</v>
      </c>
      <c r="L6271">
        <v>83.343109999999996</v>
      </c>
      <c r="M6271">
        <v>-6.4785509999999999E-3</v>
      </c>
      <c r="N6271">
        <v>-1.453669E-2</v>
      </c>
      <c r="O6271">
        <v>0.99987329999999996</v>
      </c>
      <c r="P6271">
        <v>-0.12141540000000001</v>
      </c>
      <c r="Q6271">
        <v>0.37399900000000003</v>
      </c>
      <c r="R6271">
        <v>0.91944720000000002</v>
      </c>
      <c r="S6271">
        <v>-0.19869999999999999</v>
      </c>
      <c r="T6271">
        <v>-0.37492320000000001</v>
      </c>
      <c r="U6271">
        <v>3.3905639999999999</v>
      </c>
      <c r="V6271">
        <v>-0.115866899999999</v>
      </c>
      <c r="W6271">
        <v>0.38721329999999998</v>
      </c>
      <c r="X6271">
        <v>0.91468070000000001</v>
      </c>
      <c r="Y6271">
        <v>-5.1720870000000002E-2</v>
      </c>
      <c r="Z6271">
        <v>-9.5280989999999996E-2</v>
      </c>
      <c r="AA6271">
        <v>0.99410589999999999</v>
      </c>
      <c r="AB6271">
        <v>44</v>
      </c>
      <c r="AC6271">
        <v>-0.58559999999999901</v>
      </c>
      <c r="AD6271">
        <v>-1.1110098063380001</v>
      </c>
      <c r="AE6271">
        <v>9.5786999999999907</v>
      </c>
      <c r="AF6271">
        <v>-0.51660103993421602</v>
      </c>
      <c r="AG6271">
        <v>-1.1110098063380001</v>
      </c>
      <c r="AH6271">
        <v>9.4555601762853598</v>
      </c>
      <c r="AI6271">
        <v>96.691526412236996</v>
      </c>
      <c r="AJ6271">
        <v>93.127224708122299</v>
      </c>
      <c r="AK6271">
        <v>9.5346126125603092</v>
      </c>
      <c r="AL6271">
        <v>67.218787195343594</v>
      </c>
      <c r="AM6271">
        <v>97.219473630759197</v>
      </c>
      <c r="AN6271">
        <v>1.0000000305824901</v>
      </c>
    </row>
    <row r="6272" spans="1:40" x14ac:dyDescent="0.25">
      <c r="A6272" t="str">
        <f>"20190304164532578"</f>
        <v>20190304164532578</v>
      </c>
      <c r="B6272" t="str">
        <f>"1551689132566733"</f>
        <v>1551689132566733</v>
      </c>
      <c r="C6272" t="s">
        <v>40</v>
      </c>
      <c r="D6272">
        <v>5.0270630000000001</v>
      </c>
      <c r="E6272">
        <v>0.54418129999999998</v>
      </c>
      <c r="F6272" t="s">
        <v>41</v>
      </c>
      <c r="G6272">
        <v>-187.24780000000001</v>
      </c>
      <c r="H6272">
        <v>0.99383600000000005</v>
      </c>
      <c r="I6272">
        <v>84.382900000000006</v>
      </c>
      <c r="J6272">
        <v>-187.18860000000001</v>
      </c>
      <c r="K6272">
        <v>1.1109960000000001</v>
      </c>
      <c r="L6272">
        <v>83.758480000000006</v>
      </c>
      <c r="M6272">
        <v>-6.8360319999999997E-3</v>
      </c>
      <c r="N6272">
        <v>-1.4534E-2</v>
      </c>
      <c r="O6272">
        <v>0.99987099999999995</v>
      </c>
      <c r="P6272">
        <v>-0.1208443</v>
      </c>
      <c r="Q6272">
        <v>0.37296299999999999</v>
      </c>
      <c r="R6272">
        <v>0.91994310000000001</v>
      </c>
      <c r="S6272">
        <v>-0.2032166</v>
      </c>
      <c r="T6272">
        <v>-0.38218439999999998</v>
      </c>
      <c r="U6272">
        <v>3.3914490000000002</v>
      </c>
      <c r="V6272">
        <v>-0.11496199999999999</v>
      </c>
      <c r="W6272">
        <v>0.38618390000000002</v>
      </c>
      <c r="X6272">
        <v>0.91522990000000004</v>
      </c>
      <c r="Y6272">
        <v>-5.2654300000000001E-2</v>
      </c>
      <c r="Z6272">
        <v>-9.7349710000000006E-2</v>
      </c>
      <c r="AA6272">
        <v>0.99385639999999997</v>
      </c>
      <c r="AB6272">
        <v>44</v>
      </c>
      <c r="AC6272">
        <v>-5.9200000000004097E-2</v>
      </c>
      <c r="AD6272">
        <v>-0.117159999999999</v>
      </c>
      <c r="AE6272">
        <v>0.62441999999999998</v>
      </c>
      <c r="AF6272">
        <v>-5.3077654668996402E-2</v>
      </c>
      <c r="AG6272">
        <v>-0.117159999999999</v>
      </c>
      <c r="AH6272">
        <v>0.60374462409054297</v>
      </c>
      <c r="AI6272">
        <v>100.940894501684</v>
      </c>
      <c r="AJ6272">
        <v>95.024188661440803</v>
      </c>
      <c r="AK6272">
        <v>0.617293507290813</v>
      </c>
      <c r="AL6272">
        <v>67.282742525062901</v>
      </c>
      <c r="AM6272">
        <v>97.159424778445597</v>
      </c>
      <c r="AN6272">
        <v>1.0000000179586099</v>
      </c>
    </row>
    <row r="6273" spans="1:40" x14ac:dyDescent="0.25">
      <c r="A6273" t="str">
        <f>"20190304164532600"</f>
        <v>20190304164532600</v>
      </c>
      <c r="B6273" t="str">
        <f>"1551689132596013"</f>
        <v>1551689132596013</v>
      </c>
      <c r="C6273" t="s">
        <v>40</v>
      </c>
      <c r="D6273">
        <v>5.0212890000000003</v>
      </c>
      <c r="E6273">
        <v>0.54347230000000002</v>
      </c>
      <c r="F6273" t="s">
        <v>41</v>
      </c>
      <c r="G6273">
        <v>-187.25040000000001</v>
      </c>
      <c r="H6273">
        <v>0.99417299999999997</v>
      </c>
      <c r="I6273">
        <v>84.776259999999994</v>
      </c>
      <c r="J6273">
        <v>-187.1918</v>
      </c>
      <c r="K6273">
        <v>1.110984</v>
      </c>
      <c r="L6273">
        <v>84.1875</v>
      </c>
      <c r="M6273">
        <v>-7.2055840000000001E-3</v>
      </c>
      <c r="N6273">
        <v>-1.453133E-2</v>
      </c>
      <c r="O6273">
        <v>0.99986850000000005</v>
      </c>
      <c r="P6273">
        <v>-0.12109780000000001</v>
      </c>
      <c r="Q6273">
        <v>0.37254680000000001</v>
      </c>
      <c r="R6273">
        <v>0.92007839999999996</v>
      </c>
      <c r="S6273">
        <v>-0.2067261</v>
      </c>
      <c r="T6273">
        <v>-0.38937060000000001</v>
      </c>
      <c r="U6273">
        <v>3.391785</v>
      </c>
      <c r="V6273">
        <v>-0.11487319999999999</v>
      </c>
      <c r="W6273">
        <v>0.38576820000000001</v>
      </c>
      <c r="X6273">
        <v>0.91541629999999996</v>
      </c>
      <c r="Y6273">
        <v>-5.3290129999999998E-2</v>
      </c>
      <c r="Z6273">
        <v>-9.9413940000000006E-2</v>
      </c>
      <c r="AA6273">
        <v>0.99361809999999995</v>
      </c>
      <c r="AB6273">
        <v>44</v>
      </c>
      <c r="AC6273">
        <v>-5.86000000000126E-2</v>
      </c>
      <c r="AD6273">
        <v>-0.116810999999999</v>
      </c>
      <c r="AE6273">
        <v>0.58875999999999296</v>
      </c>
      <c r="AF6273">
        <v>-5.2316523598715602E-2</v>
      </c>
      <c r="AG6273">
        <v>-0.116810999999999</v>
      </c>
      <c r="AH6273">
        <v>0.56706446471099203</v>
      </c>
      <c r="AI6273">
        <v>101.591798155501</v>
      </c>
      <c r="AJ6273">
        <v>95.271101915337596</v>
      </c>
      <c r="AK6273">
        <v>0.581329455214871</v>
      </c>
      <c r="AL6273">
        <v>67.308560164944396</v>
      </c>
      <c r="AM6273">
        <v>97.152510327437</v>
      </c>
      <c r="AN6273">
        <v>0.99999997925758399</v>
      </c>
    </row>
    <row r="6274" spans="1:40" x14ac:dyDescent="0.25">
      <c r="A6274" t="str">
        <f>"20190304164532622"</f>
        <v>20190304164532622</v>
      </c>
      <c r="B6274" t="str">
        <f>"1551689132616512"</f>
        <v>1551689132616512</v>
      </c>
      <c r="C6274" t="s">
        <v>40</v>
      </c>
      <c r="D6274">
        <v>4.9672099999999997</v>
      </c>
      <c r="E6274">
        <v>0.54277149999999996</v>
      </c>
      <c r="F6274" t="s">
        <v>41</v>
      </c>
      <c r="G6274">
        <v>-187.25319999999999</v>
      </c>
      <c r="H6274">
        <v>0.99655760000000004</v>
      </c>
      <c r="I6274">
        <v>85.170940000000002</v>
      </c>
      <c r="J6274">
        <v>-187.1952</v>
      </c>
      <c r="K6274">
        <v>1.1109719999999901</v>
      </c>
      <c r="L6274">
        <v>84.615719999999996</v>
      </c>
      <c r="M6274">
        <v>-7.5744489999999996E-3</v>
      </c>
      <c r="N6274">
        <v>-1.45287E-2</v>
      </c>
      <c r="O6274">
        <v>0.99986580000000003</v>
      </c>
      <c r="P6274">
        <v>-0.1213588</v>
      </c>
      <c r="Q6274">
        <v>0.37273640000000002</v>
      </c>
      <c r="R6274">
        <v>0.91996719999999998</v>
      </c>
      <c r="S6274">
        <v>-0.21243290000000001</v>
      </c>
      <c r="T6274">
        <v>-0.39477259999999997</v>
      </c>
      <c r="U6274">
        <v>3.392487</v>
      </c>
      <c r="V6274">
        <v>-0.11479499999999999</v>
      </c>
      <c r="W6274">
        <v>0.38595429999999997</v>
      </c>
      <c r="X6274">
        <v>0.91534769999999999</v>
      </c>
      <c r="Y6274">
        <v>-5.4562869999999999E-2</v>
      </c>
      <c r="Z6274">
        <v>-0.10094409999999999</v>
      </c>
      <c r="AA6274">
        <v>0.99339480000000002</v>
      </c>
      <c r="AB6274">
        <v>44</v>
      </c>
      <c r="AC6274">
        <v>-5.7999999999992703E-2</v>
      </c>
      <c r="AD6274">
        <v>-0.114414399999999</v>
      </c>
      <c r="AE6274">
        <v>0.55522000000000504</v>
      </c>
      <c r="AF6274">
        <v>-5.1623863228536897E-2</v>
      </c>
      <c r="AG6274">
        <v>-0.114414399999999</v>
      </c>
      <c r="AH6274">
        <v>0.53324367691789099</v>
      </c>
      <c r="AI6274">
        <v>102.05524833734199</v>
      </c>
      <c r="AJ6274">
        <v>95.5296304562372</v>
      </c>
      <c r="AK6274">
        <v>0.54781794161464903</v>
      </c>
      <c r="AL6274">
        <v>67.2970031500343</v>
      </c>
      <c r="AM6274">
        <v>97.148221765998301</v>
      </c>
      <c r="AN6274">
        <v>1.00000001280439</v>
      </c>
    </row>
    <row r="6275" spans="1:40" x14ac:dyDescent="0.25">
      <c r="A6275" t="str">
        <f>"20190304164532643"</f>
        <v>20190304164532643</v>
      </c>
      <c r="B6275" t="str">
        <f>"1551689132636030"</f>
        <v>1551689132636030</v>
      </c>
      <c r="C6275" t="s">
        <v>40</v>
      </c>
      <c r="D6275">
        <v>5.0332610000000004</v>
      </c>
      <c r="E6275">
        <v>0.54230780000000001</v>
      </c>
      <c r="F6275" t="s">
        <v>41</v>
      </c>
      <c r="G6275">
        <v>-187.25649999999999</v>
      </c>
      <c r="H6275">
        <v>1.0009619999999999</v>
      </c>
      <c r="I6275">
        <v>85.566969999999998</v>
      </c>
      <c r="J6275">
        <v>-187.19880000000001</v>
      </c>
      <c r="K6275">
        <v>1.1109690000000001</v>
      </c>
      <c r="L6275">
        <v>85.055019999999999</v>
      </c>
      <c r="M6275">
        <v>-7.9528669999999902E-3</v>
      </c>
      <c r="N6275">
        <v>-1.4525929999999999E-2</v>
      </c>
      <c r="O6275">
        <v>0.99986280000000005</v>
      </c>
      <c r="P6275">
        <v>-0.12145010000000001</v>
      </c>
      <c r="Q6275">
        <v>0.37354029999999999</v>
      </c>
      <c r="R6275">
        <v>0.91962900000000003</v>
      </c>
      <c r="S6275">
        <v>-0.2189941</v>
      </c>
      <c r="T6275">
        <v>-0.3921887</v>
      </c>
      <c r="U6275">
        <v>3.3909910000000001</v>
      </c>
      <c r="V6275">
        <v>-0.1145409</v>
      </c>
      <c r="W6275">
        <v>0.3867525</v>
      </c>
      <c r="X6275">
        <v>0.91504260000000004</v>
      </c>
      <c r="Y6275">
        <v>-5.6130039999999999E-2</v>
      </c>
      <c r="Z6275">
        <v>-0.1002381</v>
      </c>
      <c r="AA6275">
        <v>0.99337889999999995</v>
      </c>
      <c r="AB6275">
        <v>44</v>
      </c>
      <c r="AC6275">
        <v>-5.7699999999982703E-2</v>
      </c>
      <c r="AD6275">
        <v>-0.11000699999999899</v>
      </c>
      <c r="AE6275">
        <v>0.51194999999999802</v>
      </c>
      <c r="AF6275">
        <v>-5.1287877444333697E-2</v>
      </c>
      <c r="AG6275">
        <v>-0.11000699999999899</v>
      </c>
      <c r="AH6275">
        <v>0.49004962470430002</v>
      </c>
      <c r="AI6275">
        <v>102.58556314495701</v>
      </c>
      <c r="AJ6275">
        <v>95.974741297028203</v>
      </c>
      <c r="AK6275">
        <v>0.50485703035074303</v>
      </c>
      <c r="AL6275">
        <v>67.247420109856506</v>
      </c>
      <c r="AM6275">
        <v>97.134915922371803</v>
      </c>
      <c r="AN6275">
        <v>1.0000000369219</v>
      </c>
    </row>
    <row r="6276" spans="1:40" x14ac:dyDescent="0.25">
      <c r="A6276" t="str">
        <f>"20190304164532667"</f>
        <v>20190304164532667</v>
      </c>
      <c r="B6276" t="str">
        <f>"1551689132656365"</f>
        <v>1551689132656365</v>
      </c>
      <c r="C6276" t="s">
        <v>40</v>
      </c>
      <c r="D6276">
        <v>5.072743</v>
      </c>
      <c r="E6276">
        <v>0.54218529999999998</v>
      </c>
      <c r="F6276" t="s">
        <v>41</v>
      </c>
      <c r="G6276">
        <v>-187.2585</v>
      </c>
      <c r="H6276">
        <v>1.006904</v>
      </c>
      <c r="I6276">
        <v>85.963489999999993</v>
      </c>
      <c r="J6276">
        <v>-187.20269999999999</v>
      </c>
      <c r="K6276">
        <v>1.1109610000000001</v>
      </c>
      <c r="L6276">
        <v>85.502899999999997</v>
      </c>
      <c r="M6276">
        <v>-8.3389459999999999E-3</v>
      </c>
      <c r="N6276">
        <v>-1.452316E-2</v>
      </c>
      <c r="O6276">
        <v>0.99985979999999997</v>
      </c>
      <c r="P6276">
        <v>-0.1212326</v>
      </c>
      <c r="Q6276">
        <v>0.37379849999999998</v>
      </c>
      <c r="R6276">
        <v>0.91955279999999995</v>
      </c>
      <c r="S6276">
        <v>-0.22303770000000001</v>
      </c>
      <c r="T6276">
        <v>-0.38842019999999999</v>
      </c>
      <c r="U6276">
        <v>3.3905029999999998</v>
      </c>
      <c r="V6276">
        <v>-0.11396829999999999</v>
      </c>
      <c r="W6276">
        <v>0.38700800000000002</v>
      </c>
      <c r="X6276">
        <v>0.91500599999999999</v>
      </c>
      <c r="Y6276">
        <v>-5.694022E-2</v>
      </c>
      <c r="Z6276">
        <v>-9.9160490000000004E-2</v>
      </c>
      <c r="AA6276">
        <v>0.99344100000000002</v>
      </c>
      <c r="AB6276">
        <v>44</v>
      </c>
      <c r="AC6276">
        <v>-5.5800000000004901E-2</v>
      </c>
      <c r="AD6276">
        <v>-0.104057</v>
      </c>
      <c r="AE6276">
        <v>0.46059000000000999</v>
      </c>
      <c r="AF6276">
        <v>-4.94684543241539E-2</v>
      </c>
      <c r="AG6276">
        <v>-0.104057</v>
      </c>
      <c r="AH6276">
        <v>0.438958813049938</v>
      </c>
      <c r="AI6276">
        <v>103.255117056497</v>
      </c>
      <c r="AJ6276">
        <v>96.429818356678695</v>
      </c>
      <c r="AK6276">
        <v>0.45382797046505502</v>
      </c>
      <c r="AL6276">
        <v>67.231543287032693</v>
      </c>
      <c r="AM6276">
        <v>97.099893817097197</v>
      </c>
      <c r="AN6276">
        <v>0.99999997275244401</v>
      </c>
    </row>
    <row r="6277" spans="1:40" x14ac:dyDescent="0.25">
      <c r="A6277" t="str">
        <f>"20190304164532688"</f>
        <v>20190304164532688</v>
      </c>
      <c r="B6277" t="str">
        <f>"1551689132676861"</f>
        <v>1551689132676861</v>
      </c>
      <c r="C6277" t="s">
        <v>40</v>
      </c>
      <c r="D6277">
        <v>5.1595789999999999</v>
      </c>
      <c r="E6277">
        <v>0.54212360000000004</v>
      </c>
      <c r="F6277" t="s">
        <v>41</v>
      </c>
      <c r="G6277">
        <v>-187.25980000000001</v>
      </c>
      <c r="H6277">
        <v>1.0119689999999999</v>
      </c>
      <c r="I6277">
        <v>86.363650000000007</v>
      </c>
      <c r="J6277">
        <v>-187.20650000000001</v>
      </c>
      <c r="K6277">
        <v>1.110957</v>
      </c>
      <c r="L6277">
        <v>85.916380000000004</v>
      </c>
      <c r="M6277">
        <v>-8.6961620000000003E-3</v>
      </c>
      <c r="N6277">
        <v>-1.452062E-2</v>
      </c>
      <c r="O6277">
        <v>0.99985679999999999</v>
      </c>
      <c r="P6277">
        <v>-0.12121899999999999</v>
      </c>
      <c r="Q6277">
        <v>0.37212079999999997</v>
      </c>
      <c r="R6277">
        <v>0.92023480000000002</v>
      </c>
      <c r="S6277">
        <v>-0.224884</v>
      </c>
      <c r="T6277">
        <v>-0.39006580000000002</v>
      </c>
      <c r="U6277">
        <v>3.3913880000000001</v>
      </c>
      <c r="V6277">
        <v>-0.1136175</v>
      </c>
      <c r="W6277">
        <v>0.38533919999999999</v>
      </c>
      <c r="X6277">
        <v>0.9157537</v>
      </c>
      <c r="Y6277">
        <v>-5.7101760000000001E-2</v>
      </c>
      <c r="Z6277">
        <v>-9.9606559999999997E-2</v>
      </c>
      <c r="AA6277">
        <v>0.99338709999999997</v>
      </c>
      <c r="AB6277">
        <v>44</v>
      </c>
      <c r="AC6277">
        <v>-5.3300000000007203E-2</v>
      </c>
      <c r="AD6277">
        <v>-9.8987999999999798E-2</v>
      </c>
      <c r="AE6277">
        <v>0.447270000000003</v>
      </c>
      <c r="AF6277">
        <v>-4.7131813987770999E-2</v>
      </c>
      <c r="AG6277">
        <v>-9.8987999999999798E-2</v>
      </c>
      <c r="AH6277">
        <v>0.42709033842029798</v>
      </c>
      <c r="AI6277">
        <v>102.97313838829901</v>
      </c>
      <c r="AJ6277">
        <v>96.297428962898394</v>
      </c>
      <c r="AK6277">
        <v>0.44093785186321</v>
      </c>
      <c r="AL6277">
        <v>67.335201065331205</v>
      </c>
      <c r="AM6277">
        <v>97.072541259900206</v>
      </c>
      <c r="AN6277">
        <v>1.00000003721328</v>
      </c>
    </row>
    <row r="6278" spans="1:40" x14ac:dyDescent="0.25">
      <c r="A6278" t="str">
        <f>"20190304164532711"</f>
        <v>20190304164532711</v>
      </c>
      <c r="B6278" t="str">
        <f>"1551689132706142"</f>
        <v>1551689132706142</v>
      </c>
      <c r="C6278" t="s">
        <v>40</v>
      </c>
      <c r="D6278">
        <v>5.1532099999999996</v>
      </c>
      <c r="E6278">
        <v>0.54155129999999996</v>
      </c>
      <c r="F6278" t="s">
        <v>41</v>
      </c>
      <c r="G6278">
        <v>-187.2621</v>
      </c>
      <c r="H6278">
        <v>1.012648</v>
      </c>
      <c r="I6278">
        <v>86.752459999999999</v>
      </c>
      <c r="J6278">
        <v>-187.2106</v>
      </c>
      <c r="K6278">
        <v>1.110959</v>
      </c>
      <c r="L6278">
        <v>86.353849999999994</v>
      </c>
      <c r="M6278">
        <v>-9.074927E-3</v>
      </c>
      <c r="N6278">
        <v>-1.451795E-2</v>
      </c>
      <c r="O6278">
        <v>0.9998534</v>
      </c>
      <c r="P6278">
        <v>-0.120864899999999</v>
      </c>
      <c r="Q6278">
        <v>0.37070560000000002</v>
      </c>
      <c r="R6278">
        <v>0.92085229999999996</v>
      </c>
      <c r="S6278">
        <v>-0.22566220000000001</v>
      </c>
      <c r="T6278">
        <v>-0.39880369999999998</v>
      </c>
      <c r="U6278">
        <v>3.3916019999999998</v>
      </c>
      <c r="V6278">
        <v>-0.1129071</v>
      </c>
      <c r="W6278">
        <v>0.383932</v>
      </c>
      <c r="X6278">
        <v>0.91643229999999998</v>
      </c>
      <c r="Y6278">
        <v>-5.6928520000000003E-2</v>
      </c>
      <c r="Z6278">
        <v>-0.10212549999999999</v>
      </c>
      <c r="AA6278">
        <v>0.99314119999999995</v>
      </c>
      <c r="AB6278">
        <v>44</v>
      </c>
      <c r="AC6278">
        <v>-5.1500000000004299E-2</v>
      </c>
      <c r="AD6278">
        <v>-9.8310999999999996E-2</v>
      </c>
      <c r="AE6278">
        <v>0.39861000000000502</v>
      </c>
      <c r="AF6278">
        <v>-4.5177193837771801E-2</v>
      </c>
      <c r="AG6278">
        <v>-9.8310999999999996E-2</v>
      </c>
      <c r="AH6278">
        <v>0.37653305526714398</v>
      </c>
      <c r="AI6278">
        <v>104.53320626929499</v>
      </c>
      <c r="AJ6278">
        <v>96.841757446822399</v>
      </c>
      <c r="AK6278">
        <v>0.39176928577016501</v>
      </c>
      <c r="AL6278">
        <v>67.422545946980804</v>
      </c>
      <c r="AM6278">
        <v>97.023610828880393</v>
      </c>
      <c r="AN6278">
        <v>0.99999997716884903</v>
      </c>
    </row>
    <row r="6279" spans="1:40" x14ac:dyDescent="0.25">
      <c r="A6279" t="str">
        <f>"20190304164532736"</f>
        <v>20190304164532736</v>
      </c>
      <c r="B6279" t="str">
        <f>"1551689132726637"</f>
        <v>1551689132726637</v>
      </c>
      <c r="C6279" t="s">
        <v>40</v>
      </c>
      <c r="D6279">
        <v>5.0695489999999896</v>
      </c>
      <c r="E6279">
        <v>0.54141110000000003</v>
      </c>
      <c r="F6279" t="s">
        <v>42</v>
      </c>
      <c r="G6279">
        <v>-187.8424</v>
      </c>
      <c r="H6279" s="1">
        <v>-2.998802E-6</v>
      </c>
      <c r="I6279">
        <v>95.730919999999998</v>
      </c>
      <c r="J6279">
        <v>-187.21539999999999</v>
      </c>
      <c r="K6279">
        <v>1.11097</v>
      </c>
      <c r="L6279">
        <v>86.843809999999905</v>
      </c>
      <c r="M6279">
        <v>-9.5056029999999996E-3</v>
      </c>
      <c r="N6279">
        <v>-1.451495E-2</v>
      </c>
      <c r="O6279">
        <v>0.99984949999999995</v>
      </c>
      <c r="P6279">
        <v>-0.12047190000000001</v>
      </c>
      <c r="Q6279">
        <v>0.37006159999999999</v>
      </c>
      <c r="R6279">
        <v>0.92116279999999995</v>
      </c>
      <c r="S6279">
        <v>-0.2283936</v>
      </c>
      <c r="T6279">
        <v>-0.40158250000000001</v>
      </c>
      <c r="U6279">
        <v>3.3895569999999999</v>
      </c>
      <c r="V6279">
        <v>-0.1121161</v>
      </c>
      <c r="W6279">
        <v>0.38329089999999999</v>
      </c>
      <c r="X6279">
        <v>0.9167978</v>
      </c>
      <c r="Y6279">
        <v>-5.7328099999999903E-2</v>
      </c>
      <c r="Z6279">
        <v>-0.10299560000000001</v>
      </c>
      <c r="AA6279">
        <v>0.99302840000000003</v>
      </c>
      <c r="AB6279">
        <v>44</v>
      </c>
      <c r="AC6279">
        <v>-0.62700000000000899</v>
      </c>
      <c r="AD6279">
        <v>-1.1109729988020001</v>
      </c>
      <c r="AE6279">
        <v>8.8871099999999998</v>
      </c>
      <c r="AF6279">
        <v>-0.53417896276985199</v>
      </c>
      <c r="AG6279">
        <v>-1.1109729988020001</v>
      </c>
      <c r="AH6279">
        <v>8.7565056464869908</v>
      </c>
      <c r="AI6279">
        <v>97.217437602241802</v>
      </c>
      <c r="AJ6279">
        <v>93.490926563549806</v>
      </c>
      <c r="AK6279">
        <v>8.8428501799641204</v>
      </c>
      <c r="AL6279">
        <v>67.462323510399898</v>
      </c>
      <c r="AM6279">
        <v>96.972138168434597</v>
      </c>
      <c r="AN6279">
        <v>1.0000000699934199</v>
      </c>
    </row>
    <row r="6280" spans="1:40" x14ac:dyDescent="0.25">
      <c r="A6280" t="str">
        <f>"20190304164532757"</f>
        <v>20190304164532757</v>
      </c>
      <c r="B6280" t="str">
        <f>"1551689132746158"</f>
        <v>1551689132746158</v>
      </c>
      <c r="C6280" t="s">
        <v>40</v>
      </c>
      <c r="D6280">
        <v>5.1457920000000001</v>
      </c>
      <c r="E6280">
        <v>0.54130919999999905</v>
      </c>
      <c r="F6280" t="s">
        <v>41</v>
      </c>
      <c r="G6280">
        <v>-187.2876</v>
      </c>
      <c r="H6280">
        <v>0.98362819999999995</v>
      </c>
      <c r="I6280">
        <v>87.906899999999993</v>
      </c>
      <c r="J6280">
        <v>-187.21979999999999</v>
      </c>
      <c r="K6280">
        <v>1.1109830000000001</v>
      </c>
      <c r="L6280">
        <v>87.27655</v>
      </c>
      <c r="M6280">
        <v>-9.9001579999999992E-3</v>
      </c>
      <c r="N6280">
        <v>-1.451234E-2</v>
      </c>
      <c r="O6280">
        <v>0.99984569999999995</v>
      </c>
      <c r="P6280">
        <v>-0.118891</v>
      </c>
      <c r="Q6280">
        <v>0.37080619999999997</v>
      </c>
      <c r="R6280">
        <v>0.92106880000000002</v>
      </c>
      <c r="S6280">
        <v>-0.23089599999999999</v>
      </c>
      <c r="T6280">
        <v>-0.40609909999999999</v>
      </c>
      <c r="U6280">
        <v>3.3897089999999999</v>
      </c>
      <c r="V6280">
        <v>-0.1101796</v>
      </c>
      <c r="W6280">
        <v>0.38403199999999998</v>
      </c>
      <c r="X6280">
        <v>0.91672240000000005</v>
      </c>
      <c r="Y6280">
        <v>-5.7650849999999997E-2</v>
      </c>
      <c r="Z6280">
        <v>-0.1042927</v>
      </c>
      <c r="AA6280">
        <v>0.99287429999999999</v>
      </c>
      <c r="AB6280">
        <v>44</v>
      </c>
      <c r="AC6280">
        <v>-6.7800000000005398E-2</v>
      </c>
      <c r="AD6280">
        <v>-0.12735479999999999</v>
      </c>
      <c r="AE6280">
        <v>0.63034999999999197</v>
      </c>
      <c r="AF6280">
        <v>-5.9167876716923203E-2</v>
      </c>
      <c r="AG6280">
        <v>-0.12735479999999999</v>
      </c>
      <c r="AH6280">
        <v>0.60651590424758905</v>
      </c>
      <c r="AI6280">
        <v>101.804101880442</v>
      </c>
      <c r="AJ6280">
        <v>95.571785447657803</v>
      </c>
      <c r="AK6280">
        <v>0.62256053908314701</v>
      </c>
      <c r="AL6280">
        <v>67.416342173041599</v>
      </c>
      <c r="AM6280">
        <v>96.853426880177693</v>
      </c>
      <c r="AN6280">
        <v>1.0000000399709501</v>
      </c>
    </row>
    <row r="6281" spans="1:40" x14ac:dyDescent="0.25">
      <c r="A6281" t="str">
        <f>"20190304164532788"</f>
        <v>20190304164532788</v>
      </c>
      <c r="B6281" t="str">
        <f>"1551689132776417"</f>
        <v>1551689132776417</v>
      </c>
      <c r="C6281" t="s">
        <v>40</v>
      </c>
      <c r="D6281">
        <v>5.2337999999999996</v>
      </c>
      <c r="E6281">
        <v>0.54105819999999905</v>
      </c>
      <c r="F6281" t="s">
        <v>41</v>
      </c>
      <c r="G6281">
        <v>-187.28919999999999</v>
      </c>
      <c r="H6281">
        <v>0.98851299999999998</v>
      </c>
      <c r="I6281">
        <v>88.299729999999997</v>
      </c>
      <c r="J6281">
        <v>-187.22630000000001</v>
      </c>
      <c r="K6281">
        <v>1.1109910000000001</v>
      </c>
      <c r="L6281">
        <v>87.873230000000007</v>
      </c>
      <c r="M6281">
        <v>-1.0472230000000001E-2</v>
      </c>
      <c r="N6281">
        <v>-1.4508760000000001E-2</v>
      </c>
      <c r="O6281">
        <v>0.9998399</v>
      </c>
      <c r="P6281">
        <v>-0.1172212</v>
      </c>
      <c r="Q6281">
        <v>0.37163380000000001</v>
      </c>
      <c r="R6281">
        <v>0.92094920000000002</v>
      </c>
      <c r="S6281">
        <v>-0.23034669999999999</v>
      </c>
      <c r="T6281">
        <v>-0.4058911</v>
      </c>
      <c r="U6281">
        <v>3.3907470000000002</v>
      </c>
      <c r="V6281">
        <v>-0.108001399999999</v>
      </c>
      <c r="W6281">
        <v>0.38485249999999999</v>
      </c>
      <c r="X6281">
        <v>0.91663749999999999</v>
      </c>
      <c r="Y6281">
        <v>-5.6900340000000001E-2</v>
      </c>
      <c r="Z6281">
        <v>-0.1042028</v>
      </c>
      <c r="AA6281">
        <v>0.99292709999999995</v>
      </c>
      <c r="AB6281">
        <v>44</v>
      </c>
      <c r="AC6281">
        <v>-6.2899999999984801E-2</v>
      </c>
      <c r="AD6281">
        <v>-0.122478</v>
      </c>
      <c r="AE6281">
        <v>0.42650000000000399</v>
      </c>
      <c r="AF6281">
        <v>-5.4065950479230997E-2</v>
      </c>
      <c r="AG6281">
        <v>-0.122478</v>
      </c>
      <c r="AH6281">
        <v>0.39523548225890198</v>
      </c>
      <c r="AI6281">
        <v>107.067890169286</v>
      </c>
      <c r="AJ6281">
        <v>97.789387853194299</v>
      </c>
      <c r="AK6281">
        <v>0.417294948353859</v>
      </c>
      <c r="AL6281">
        <v>67.365417074447606</v>
      </c>
      <c r="AM6281">
        <v>96.719805554458901</v>
      </c>
      <c r="AN6281">
        <v>1.0000000277822201</v>
      </c>
    </row>
    <row r="6282" spans="1:40" x14ac:dyDescent="0.25">
      <c r="A6282" t="str">
        <f>"20190304164532811"</f>
        <v>20190304164532811</v>
      </c>
      <c r="B6282" t="str">
        <f>"1551689132806670"</f>
        <v>1551689132806670</v>
      </c>
      <c r="C6282" t="s">
        <v>40</v>
      </c>
      <c r="D6282">
        <v>5.1272029999999997</v>
      </c>
      <c r="E6282">
        <v>0.44262679999999999</v>
      </c>
      <c r="F6282" t="s">
        <v>41</v>
      </c>
      <c r="G6282">
        <v>-187.28210000000001</v>
      </c>
      <c r="H6282">
        <v>1.0121249999999999</v>
      </c>
      <c r="I6282">
        <v>88.704390000000004</v>
      </c>
      <c r="J6282">
        <v>-187.23140000000001</v>
      </c>
      <c r="K6282">
        <v>1.1110070000000001</v>
      </c>
      <c r="L6282">
        <v>88.32629</v>
      </c>
      <c r="M6282">
        <v>-1.095078E-2</v>
      </c>
      <c r="N6282">
        <v>-1.4506069999999999E-2</v>
      </c>
      <c r="O6282">
        <v>0.99983480000000002</v>
      </c>
      <c r="P6282">
        <v>-0.1167542</v>
      </c>
      <c r="Q6282">
        <v>0.37065229999999999</v>
      </c>
      <c r="R6282">
        <v>0.921404</v>
      </c>
      <c r="S6282">
        <v>-0.2281647</v>
      </c>
      <c r="T6282">
        <v>-0.40345320000000001</v>
      </c>
      <c r="U6282">
        <v>3.3912659999999999</v>
      </c>
      <c r="V6282">
        <v>-0.1071112</v>
      </c>
      <c r="W6282">
        <v>0.3838704</v>
      </c>
      <c r="X6282">
        <v>0.91715360000000001</v>
      </c>
      <c r="Y6282">
        <v>-5.5782619999999998E-2</v>
      </c>
      <c r="Z6282">
        <v>-0.1034896</v>
      </c>
      <c r="AA6282">
        <v>0.99306510000000003</v>
      </c>
      <c r="AB6282">
        <v>44</v>
      </c>
      <c r="AC6282">
        <v>-5.0700000000006101E-2</v>
      </c>
      <c r="AD6282">
        <v>-9.8882000000000095E-2</v>
      </c>
      <c r="AE6282">
        <v>0.37810000000000299</v>
      </c>
      <c r="AF6282">
        <v>-4.3625023434225599E-2</v>
      </c>
      <c r="AG6282">
        <v>-9.8882000000000095E-2</v>
      </c>
      <c r="AH6282">
        <v>0.354795161457087</v>
      </c>
      <c r="AI6282">
        <v>105.46242567490501</v>
      </c>
      <c r="AJ6282">
        <v>97.009808617895402</v>
      </c>
      <c r="AK6282">
        <v>0.37089135766016101</v>
      </c>
      <c r="AL6282">
        <v>67.426369026499302</v>
      </c>
      <c r="AM6282">
        <v>96.6612012312102</v>
      </c>
      <c r="AN6282">
        <v>1.0000000095772801</v>
      </c>
    </row>
    <row r="6283" spans="1:40" x14ac:dyDescent="0.25">
      <c r="A6283" t="str">
        <f>"20190304164532834"</f>
        <v>20190304164532834</v>
      </c>
      <c r="B6283" t="str">
        <f>"1551689132826190"</f>
        <v>1551689132826190</v>
      </c>
      <c r="C6283" t="s">
        <v>40</v>
      </c>
      <c r="D6283">
        <v>5.0660639999999999</v>
      </c>
      <c r="E6283">
        <v>0.43573899999999999</v>
      </c>
      <c r="F6283" t="s">
        <v>42</v>
      </c>
      <c r="G6283">
        <v>-192.45609999999999</v>
      </c>
      <c r="H6283" s="1">
        <v>-3.1691240000000001E-6</v>
      </c>
      <c r="I6283">
        <v>105.45310000000001</v>
      </c>
      <c r="J6283">
        <v>-187.23670000000001</v>
      </c>
      <c r="K6283">
        <v>1.1110439999999999</v>
      </c>
      <c r="L6283">
        <v>88.774349999999998</v>
      </c>
      <c r="M6283">
        <v>-1.149029E-2</v>
      </c>
      <c r="N6283">
        <v>-1.4503769999999999E-2</v>
      </c>
      <c r="O6283">
        <v>0.99982879999999996</v>
      </c>
      <c r="P6283">
        <v>-0.11494269999999999</v>
      </c>
      <c r="Q6283">
        <v>0.36909789999999998</v>
      </c>
      <c r="R6283">
        <v>0.92225539999999995</v>
      </c>
      <c r="S6283">
        <v>-0.98092650000000003</v>
      </c>
      <c r="T6283">
        <v>-0.20858969999999999</v>
      </c>
      <c r="U6283">
        <v>3.2155149999999999</v>
      </c>
      <c r="V6283">
        <v>-0.1048306</v>
      </c>
      <c r="W6283">
        <v>0.3823182</v>
      </c>
      <c r="X6283">
        <v>0.91806500000000002</v>
      </c>
      <c r="Y6283">
        <v>-0.2802925</v>
      </c>
      <c r="Z6283">
        <v>-4.7568729999999997E-2</v>
      </c>
      <c r="AA6283">
        <v>0.95873529999999996</v>
      </c>
      <c r="AB6283">
        <v>44</v>
      </c>
      <c r="AC6283">
        <v>-5.2193999999999701</v>
      </c>
      <c r="AD6283">
        <v>-1.111047169124</v>
      </c>
      <c r="AE6283">
        <v>16.678750000000001</v>
      </c>
      <c r="AF6283">
        <v>-5.0071541453288004</v>
      </c>
      <c r="AG6283">
        <v>-1.111047169124</v>
      </c>
      <c r="AH6283">
        <v>16.6702513756155</v>
      </c>
      <c r="AI6283">
        <v>93.6523074397698</v>
      </c>
      <c r="AJ6283">
        <v>106.718409878483</v>
      </c>
      <c r="AK6283">
        <v>17.441424809152299</v>
      </c>
      <c r="AL6283">
        <v>67.522648640085393</v>
      </c>
      <c r="AM6283">
        <v>96.514188624963396</v>
      </c>
      <c r="AN6283">
        <v>1.0000000024863001</v>
      </c>
    </row>
    <row r="6284" spans="1:40" x14ac:dyDescent="0.25">
      <c r="A6284" t="str">
        <f>"20190304164532857"</f>
        <v>20190304164532857</v>
      </c>
      <c r="B6284" t="str">
        <f>"1551689132846685"</f>
        <v>1551689132846685</v>
      </c>
      <c r="C6284" t="s">
        <v>40</v>
      </c>
      <c r="D6284">
        <v>5.0255850000000004</v>
      </c>
      <c r="E6284">
        <v>0.43291659999999998</v>
      </c>
      <c r="F6284" t="s">
        <v>42</v>
      </c>
      <c r="G6284">
        <v>-192.55590000000001</v>
      </c>
      <c r="H6284" s="1">
        <v>-3.1610190000000002E-6</v>
      </c>
      <c r="I6284">
        <v>105.3723</v>
      </c>
      <c r="J6284">
        <v>-187.2422</v>
      </c>
      <c r="K6284">
        <v>1.111102</v>
      </c>
      <c r="L6284">
        <v>89.209590000000006</v>
      </c>
      <c r="M6284">
        <v>-1.209818E-2</v>
      </c>
      <c r="N6284">
        <v>-1.450156E-2</v>
      </c>
      <c r="O6284">
        <v>0.99982170000000004</v>
      </c>
      <c r="P6284">
        <v>-0.1130767</v>
      </c>
      <c r="Q6284">
        <v>0.36886039999999998</v>
      </c>
      <c r="R6284">
        <v>0.92258099999999998</v>
      </c>
      <c r="S6284">
        <v>-1.0289459999999999</v>
      </c>
      <c r="T6284">
        <v>-0.21492059999999999</v>
      </c>
      <c r="U6284">
        <v>3.210693</v>
      </c>
      <c r="V6284">
        <v>-0.1024552</v>
      </c>
      <c r="W6284">
        <v>0.38207219999999997</v>
      </c>
      <c r="X6284">
        <v>0.91843549999999996</v>
      </c>
      <c r="Y6284">
        <v>-0.29310849999999999</v>
      </c>
      <c r="Z6284">
        <v>-4.9276630000000002E-2</v>
      </c>
      <c r="AA6284">
        <v>0.95480849999999995</v>
      </c>
      <c r="AB6284">
        <v>44</v>
      </c>
      <c r="AC6284">
        <v>-5.3137000000000096</v>
      </c>
      <c r="AD6284">
        <v>-1.1111051610189999</v>
      </c>
      <c r="AE6284">
        <v>16.162709999999901</v>
      </c>
      <c r="AF6284">
        <v>-5.09601709811274</v>
      </c>
      <c r="AG6284">
        <v>-1.1111051610189999</v>
      </c>
      <c r="AH6284">
        <v>16.1569121128604</v>
      </c>
      <c r="AI6284">
        <v>93.752354159138207</v>
      </c>
      <c r="AJ6284">
        <v>107.505684127828</v>
      </c>
      <c r="AK6284">
        <v>16.97791960064</v>
      </c>
      <c r="AL6284">
        <v>67.537901325058897</v>
      </c>
      <c r="AM6284">
        <v>96.365259579469694</v>
      </c>
      <c r="AN6284">
        <v>1.00000000084006</v>
      </c>
    </row>
    <row r="6285" spans="1:40" x14ac:dyDescent="0.25">
      <c r="A6285" t="str">
        <f>"20190304164532888"</f>
        <v>20190304164532888</v>
      </c>
      <c r="B6285" t="str">
        <f>"1551689132876941"</f>
        <v>1551689132876941</v>
      </c>
      <c r="C6285" t="s">
        <v>40</v>
      </c>
      <c r="D6285">
        <v>5.0374600000000003</v>
      </c>
      <c r="E6285">
        <v>0.43001489999999998</v>
      </c>
      <c r="F6285" t="s">
        <v>42</v>
      </c>
      <c r="G6285">
        <v>-192.61850000000001</v>
      </c>
      <c r="H6285" s="1">
        <v>-3.3211779999999999E-6</v>
      </c>
      <c r="I6285">
        <v>105.7068</v>
      </c>
      <c r="J6285">
        <v>-187.25069999999999</v>
      </c>
      <c r="K6285">
        <v>1.111208</v>
      </c>
      <c r="L6285">
        <v>89.831419999999994</v>
      </c>
      <c r="M6285">
        <v>-1.308689E-2</v>
      </c>
      <c r="N6285">
        <v>-1.449842E-2</v>
      </c>
      <c r="O6285">
        <v>0.99980930000000001</v>
      </c>
      <c r="P6285">
        <v>-0.1110072</v>
      </c>
      <c r="Q6285">
        <v>0.37046600000000002</v>
      </c>
      <c r="R6285">
        <v>0.92218889999999998</v>
      </c>
      <c r="S6285">
        <v>-1.046082</v>
      </c>
      <c r="T6285">
        <v>-0.21619430000000001</v>
      </c>
      <c r="U6285">
        <v>3.2099609999999998</v>
      </c>
      <c r="V6285">
        <v>-9.9568649999999995E-2</v>
      </c>
      <c r="W6285">
        <v>0.38365159999999998</v>
      </c>
      <c r="X6285">
        <v>0.91809450000000004</v>
      </c>
      <c r="Y6285">
        <v>-0.29683179999999998</v>
      </c>
      <c r="Z6285">
        <v>-4.9582729999999998E-2</v>
      </c>
      <c r="AA6285">
        <v>0.95364170000000004</v>
      </c>
      <c r="AB6285">
        <v>44</v>
      </c>
      <c r="AC6285">
        <v>-5.3678000000000097</v>
      </c>
      <c r="AD6285">
        <v>-1.1112113211779999</v>
      </c>
      <c r="AE6285">
        <v>15.87538</v>
      </c>
      <c r="AF6285">
        <v>-5.1369729986894903</v>
      </c>
      <c r="AG6285">
        <v>-1.1112113211779999</v>
      </c>
      <c r="AH6285">
        <v>15.874479092946199</v>
      </c>
      <c r="AI6285">
        <v>93.810250147690397</v>
      </c>
      <c r="AJ6285">
        <v>107.931553311982</v>
      </c>
      <c r="AK6285">
        <v>16.721912829038601</v>
      </c>
      <c r="AL6285">
        <v>67.439944307575402</v>
      </c>
      <c r="AM6285">
        <v>96.189617328216002</v>
      </c>
      <c r="AN6285">
        <v>0.99999998858781602</v>
      </c>
    </row>
    <row r="6286" spans="1:40" x14ac:dyDescent="0.25">
      <c r="A6286" t="str">
        <f>"20190304164532912"</f>
        <v>20190304164532912</v>
      </c>
      <c r="B6286" t="str">
        <f>"1551689132906222"</f>
        <v>1551689132906222</v>
      </c>
      <c r="C6286" t="s">
        <v>40</v>
      </c>
      <c r="D6286">
        <v>5.038119</v>
      </c>
      <c r="E6286">
        <v>0.42824489999999998</v>
      </c>
      <c r="F6286" t="s">
        <v>42</v>
      </c>
      <c r="G6286">
        <v>-192.95959999999999</v>
      </c>
      <c r="H6286" s="1">
        <v>-3.9648230000000001E-6</v>
      </c>
      <c r="I6286">
        <v>107.0949</v>
      </c>
      <c r="J6286">
        <v>-187.25720000000001</v>
      </c>
      <c r="K6286">
        <v>1.1112789999999999</v>
      </c>
      <c r="L6286">
        <v>90.277469999999994</v>
      </c>
      <c r="M6286">
        <v>-1.387913E-2</v>
      </c>
      <c r="N6286">
        <v>-1.4496129999999999E-2</v>
      </c>
      <c r="O6286">
        <v>0.99979859999999998</v>
      </c>
      <c r="P6286">
        <v>-0.1100986</v>
      </c>
      <c r="Q6286">
        <v>0.37134610000000001</v>
      </c>
      <c r="R6286">
        <v>0.92194379999999998</v>
      </c>
      <c r="S6286">
        <v>-1.060989</v>
      </c>
      <c r="T6286">
        <v>-0.2065159</v>
      </c>
      <c r="U6286">
        <v>3.2083740000000001</v>
      </c>
      <c r="V6286">
        <v>-9.7995109999999996E-2</v>
      </c>
      <c r="W6286">
        <v>0.38451400000000002</v>
      </c>
      <c r="X6286">
        <v>0.91790300000000002</v>
      </c>
      <c r="Y6286">
        <v>-0.30026029999999998</v>
      </c>
      <c r="Z6286">
        <v>-4.6681109999999998E-2</v>
      </c>
      <c r="AA6286">
        <v>0.95271430000000001</v>
      </c>
      <c r="AB6286">
        <v>44</v>
      </c>
      <c r="AC6286">
        <v>-5.7023999999999804</v>
      </c>
      <c r="AD6286">
        <v>-1.111282964823</v>
      </c>
      <c r="AE6286">
        <v>16.817429999999899</v>
      </c>
      <c r="AF6286">
        <v>-5.4470829001115399</v>
      </c>
      <c r="AG6286">
        <v>-1.111282964823</v>
      </c>
      <c r="AH6286">
        <v>16.829056401245499</v>
      </c>
      <c r="AI6286">
        <v>93.594864584566395</v>
      </c>
      <c r="AJ6286">
        <v>107.935279785207</v>
      </c>
      <c r="AK6286">
        <v>17.723509847231</v>
      </c>
      <c r="AL6286">
        <v>67.386427598363895</v>
      </c>
      <c r="AM6286">
        <v>96.093802324136803</v>
      </c>
      <c r="AN6286">
        <v>0.99999998759445596</v>
      </c>
    </row>
    <row r="6287" spans="1:40" x14ac:dyDescent="0.25">
      <c r="A6287" t="str">
        <f>"20190304164532936"</f>
        <v>20190304164532936</v>
      </c>
      <c r="B6287" t="str">
        <f>"1551689132926718"</f>
        <v>1551689132926718</v>
      </c>
      <c r="C6287" t="s">
        <v>40</v>
      </c>
      <c r="D6287">
        <v>5.0459389999999997</v>
      </c>
      <c r="E6287">
        <v>0.42729440000000002</v>
      </c>
      <c r="F6287" t="s">
        <v>42</v>
      </c>
      <c r="G6287">
        <v>-193.09739999999999</v>
      </c>
      <c r="H6287" s="1">
        <v>-4.2226120000000004E-6</v>
      </c>
      <c r="I6287">
        <v>107.78060000000001</v>
      </c>
      <c r="J6287">
        <v>-187.26419999999999</v>
      </c>
      <c r="K6287">
        <v>1.1113440000000001</v>
      </c>
      <c r="L6287">
        <v>90.733519999999999</v>
      </c>
      <c r="M6287">
        <v>-1.4758800000000001E-2</v>
      </c>
      <c r="N6287">
        <v>-1.4493799999999999E-2</v>
      </c>
      <c r="O6287">
        <v>0.99978599999999995</v>
      </c>
      <c r="P6287">
        <v>-0.1084933</v>
      </c>
      <c r="Q6287">
        <v>0.37078440000000001</v>
      </c>
      <c r="R6287">
        <v>0.92236010000000002</v>
      </c>
      <c r="S6287">
        <v>-1.070465</v>
      </c>
      <c r="T6287">
        <v>-0.2036896</v>
      </c>
      <c r="U6287">
        <v>3.2081909999999998</v>
      </c>
      <c r="V6287">
        <v>-9.5628569999999996E-2</v>
      </c>
      <c r="W6287">
        <v>0.38394699999999998</v>
      </c>
      <c r="X6287">
        <v>0.91838989999999998</v>
      </c>
      <c r="Y6287">
        <v>-0.3019849</v>
      </c>
      <c r="Z6287">
        <v>-4.5809820000000001E-2</v>
      </c>
      <c r="AA6287">
        <v>0.95221140000000004</v>
      </c>
      <c r="AB6287">
        <v>44</v>
      </c>
      <c r="AC6287">
        <v>-5.8331999999999997</v>
      </c>
      <c r="AD6287">
        <v>-1.1113482226119999</v>
      </c>
      <c r="AE6287">
        <v>17.047080000000001</v>
      </c>
      <c r="AF6287">
        <v>-5.5597906850324001</v>
      </c>
      <c r="AG6287">
        <v>-1.1113482226119999</v>
      </c>
      <c r="AH6287">
        <v>17.066391611452499</v>
      </c>
      <c r="AI6287">
        <v>93.543024603215997</v>
      </c>
      <c r="AJ6287">
        <v>108.044274974074</v>
      </c>
      <c r="AK6287">
        <v>17.983550538442898</v>
      </c>
      <c r="AL6287">
        <v>67.421617274271796</v>
      </c>
      <c r="AM6287">
        <v>95.944576744378296</v>
      </c>
      <c r="AN6287">
        <v>1.00000006531562</v>
      </c>
    </row>
    <row r="6288" spans="1:40" x14ac:dyDescent="0.25">
      <c r="A6288" t="str">
        <f>"20190304164532960"</f>
        <v>20190304164532960</v>
      </c>
      <c r="B6288" t="str">
        <f>"1551689132955997"</f>
        <v>1551689132955997</v>
      </c>
      <c r="C6288" t="s">
        <v>40</v>
      </c>
      <c r="D6288">
        <v>5.1880559999999996</v>
      </c>
      <c r="E6288">
        <v>0.42609819999999998</v>
      </c>
      <c r="F6288" t="s">
        <v>42</v>
      </c>
      <c r="G6288">
        <v>-193.00630000000001</v>
      </c>
      <c r="H6288" s="1">
        <v>-4.2633670000000003E-6</v>
      </c>
      <c r="I6288">
        <v>107.9479</v>
      </c>
      <c r="J6288">
        <v>-187.27189999999999</v>
      </c>
      <c r="K6288">
        <v>1.111402</v>
      </c>
      <c r="L6288">
        <v>91.192599999999999</v>
      </c>
      <c r="M6288">
        <v>-1.5699270000000001E-2</v>
      </c>
      <c r="N6288">
        <v>-1.449136E-2</v>
      </c>
      <c r="O6288">
        <v>0.99977169999999904</v>
      </c>
      <c r="P6288">
        <v>-0.10642799999999999</v>
      </c>
      <c r="Q6288">
        <v>0.37105630000000001</v>
      </c>
      <c r="R6288">
        <v>0.92249139999999996</v>
      </c>
      <c r="S6288">
        <v>-1.070694</v>
      </c>
      <c r="T6288">
        <v>-0.20722930000000001</v>
      </c>
      <c r="U6288">
        <v>3.2099000000000002</v>
      </c>
      <c r="V6288">
        <v>-9.2742889999999994E-2</v>
      </c>
      <c r="W6288">
        <v>0.38421329999999998</v>
      </c>
      <c r="X6288">
        <v>0.91857429999999995</v>
      </c>
      <c r="Y6288">
        <v>-0.30098039999999998</v>
      </c>
      <c r="Z6288">
        <v>-4.6835290000000002E-2</v>
      </c>
      <c r="AA6288">
        <v>0.95247950000000003</v>
      </c>
      <c r="AB6288">
        <v>43</v>
      </c>
      <c r="AC6288">
        <v>-5.7344000000000204</v>
      </c>
      <c r="AD6288">
        <v>-1.1114062633670001</v>
      </c>
      <c r="AE6288">
        <v>16.755299999999998</v>
      </c>
      <c r="AF6288">
        <v>-5.4491577030953904</v>
      </c>
      <c r="AG6288">
        <v>-1.1114062633670001</v>
      </c>
      <c r="AH6288">
        <v>16.7771920399218</v>
      </c>
      <c r="AI6288">
        <v>93.605161161457403</v>
      </c>
      <c r="AJ6288">
        <v>107.99356714204499</v>
      </c>
      <c r="AK6288">
        <v>17.674917716919399</v>
      </c>
      <c r="AL6288">
        <v>67.405088542196296</v>
      </c>
      <c r="AM6288">
        <v>95.765271353458502</v>
      </c>
      <c r="AN6288">
        <v>0.99999992408146299</v>
      </c>
    </row>
    <row r="6289" spans="1:40" x14ac:dyDescent="0.25">
      <c r="A6289" t="str">
        <f>"20190304164532979"</f>
        <v>20190304164532979</v>
      </c>
      <c r="B6289" t="str">
        <f>"1551689132976494"</f>
        <v>1551689132976494</v>
      </c>
      <c r="C6289" t="s">
        <v>40</v>
      </c>
      <c r="D6289">
        <v>5.6521710000000001</v>
      </c>
      <c r="E6289">
        <v>0.49437320000000001</v>
      </c>
      <c r="F6289" t="s">
        <v>42</v>
      </c>
      <c r="G6289">
        <v>-193.01759999999999</v>
      </c>
      <c r="H6289" s="1">
        <v>-4.4176610000000001E-6</v>
      </c>
      <c r="I6289">
        <v>108.39530000000001</v>
      </c>
      <c r="J6289">
        <v>-187.27860000000001</v>
      </c>
      <c r="K6289">
        <v>1.11144</v>
      </c>
      <c r="L6289">
        <v>91.583590000000001</v>
      </c>
      <c r="M6289">
        <v>-1.6527119999999999E-2</v>
      </c>
      <c r="N6289">
        <v>-1.448931E-2</v>
      </c>
      <c r="O6289">
        <v>0.99975840000000005</v>
      </c>
      <c r="P6289">
        <v>-0.10361960000000001</v>
      </c>
      <c r="Q6289">
        <v>0.37134669999999997</v>
      </c>
      <c r="R6289">
        <v>0.92269420000000002</v>
      </c>
      <c r="S6289">
        <v>-1.0727390000000001</v>
      </c>
      <c r="T6289">
        <v>-0.20750009999999999</v>
      </c>
      <c r="U6289">
        <v>3.2117610000000001</v>
      </c>
      <c r="V6289">
        <v>-8.9202329999999996E-2</v>
      </c>
      <c r="W6289">
        <v>0.38450430000000002</v>
      </c>
      <c r="X6289">
        <v>0.91880320000000004</v>
      </c>
      <c r="Y6289">
        <v>-0.30057020000000001</v>
      </c>
      <c r="Z6289">
        <v>-4.6882340000000002E-2</v>
      </c>
      <c r="AA6289">
        <v>0.95260670000000003</v>
      </c>
      <c r="AB6289">
        <v>43</v>
      </c>
      <c r="AC6289">
        <v>-5.7389999999999697</v>
      </c>
      <c r="AD6289">
        <v>-1.1114444176610001</v>
      </c>
      <c r="AE6289">
        <v>16.811710000000001</v>
      </c>
      <c r="AF6289">
        <v>-5.4390463262238704</v>
      </c>
      <c r="AG6289">
        <v>-1.1114444176610001</v>
      </c>
      <c r="AH6289">
        <v>16.838358097715702</v>
      </c>
      <c r="AI6289">
        <v>93.594092969965999</v>
      </c>
      <c r="AJ6289">
        <v>107.901247432087</v>
      </c>
      <c r="AK6289">
        <v>17.729885421492899</v>
      </c>
      <c r="AL6289">
        <v>67.387029145966693</v>
      </c>
      <c r="AM6289">
        <v>95.5452021460206</v>
      </c>
      <c r="AN6289">
        <v>0.99999996636307797</v>
      </c>
    </row>
    <row r="6290" spans="1:40" x14ac:dyDescent="0.25">
      <c r="A6290" t="str">
        <f>"20190304164533000"</f>
        <v>20190304164533000</v>
      </c>
      <c r="B6290" t="str">
        <f>"1551689132996990"</f>
        <v>1551689132996990</v>
      </c>
      <c r="C6290" t="s">
        <v>40</v>
      </c>
      <c r="D6290">
        <v>5.1838600000000001</v>
      </c>
      <c r="E6290">
        <v>0.52425089999999996</v>
      </c>
      <c r="F6290" t="s">
        <v>42</v>
      </c>
      <c r="G6290">
        <v>-188.89879999999999</v>
      </c>
      <c r="H6290" s="1">
        <v>-1.0332609999999999E-6</v>
      </c>
      <c r="I6290">
        <v>101.586</v>
      </c>
      <c r="J6290">
        <v>-187.28620000000001</v>
      </c>
      <c r="K6290">
        <v>1.1114740000000001</v>
      </c>
      <c r="L6290">
        <v>91.998170000000002</v>
      </c>
      <c r="M6290">
        <v>-1.742291E-2</v>
      </c>
      <c r="N6290">
        <v>-1.4487069999999999E-2</v>
      </c>
      <c r="O6290">
        <v>0.99974320000000005</v>
      </c>
      <c r="P6290">
        <v>-0.100157</v>
      </c>
      <c r="Q6290">
        <v>0.3728148</v>
      </c>
      <c r="R6290">
        <v>0.92248450000000004</v>
      </c>
      <c r="S6290">
        <v>-0.54101560000000004</v>
      </c>
      <c r="T6290">
        <v>-0.3711238</v>
      </c>
      <c r="U6290">
        <v>3.3399350000000001</v>
      </c>
      <c r="V6290">
        <v>-8.4950960000000006E-2</v>
      </c>
      <c r="W6290">
        <v>0.38596960000000002</v>
      </c>
      <c r="X6290">
        <v>0.91859170000000001</v>
      </c>
      <c r="Y6290">
        <v>-0.1418286</v>
      </c>
      <c r="Z6290">
        <v>-9.4761219999999993E-2</v>
      </c>
      <c r="AA6290">
        <v>0.98534509999999997</v>
      </c>
      <c r="AB6290">
        <v>43</v>
      </c>
      <c r="AC6290">
        <v>-1.61259999999998</v>
      </c>
      <c r="AD6290">
        <v>-1.1114750332609999</v>
      </c>
      <c r="AE6290">
        <v>9.5878299999999896</v>
      </c>
      <c r="AF6290">
        <v>-1.4266448513697301</v>
      </c>
      <c r="AG6290">
        <v>-1.1114750332609999</v>
      </c>
      <c r="AH6290">
        <v>9.4904425066635802</v>
      </c>
      <c r="AI6290">
        <v>96.606219768137294</v>
      </c>
      <c r="AJ6290">
        <v>98.548941172272805</v>
      </c>
      <c r="AK6290">
        <v>9.6612210022227103</v>
      </c>
      <c r="AL6290">
        <v>67.296051496509804</v>
      </c>
      <c r="AM6290">
        <v>95.283660132838094</v>
      </c>
      <c r="AN6290">
        <v>0.99999995451898405</v>
      </c>
    </row>
    <row r="6291" spans="1:40" x14ac:dyDescent="0.25">
      <c r="A6291" t="str">
        <f>"20190304164533024"</f>
        <v>20190304164533024</v>
      </c>
      <c r="B6291" t="str">
        <f>"1551689133016510"</f>
        <v>1551689133016510</v>
      </c>
      <c r="C6291" t="s">
        <v>40</v>
      </c>
      <c r="D6291">
        <v>5.2996379999999998</v>
      </c>
      <c r="E6291">
        <v>0.53765680000000005</v>
      </c>
      <c r="F6291" t="s">
        <v>41</v>
      </c>
      <c r="G6291">
        <v>-187.37110000000001</v>
      </c>
      <c r="H6291">
        <v>0.99614060000000004</v>
      </c>
      <c r="I6291">
        <v>92.97054</v>
      </c>
      <c r="J6291">
        <v>-187.29490000000001</v>
      </c>
      <c r="K6291">
        <v>1.111505</v>
      </c>
      <c r="L6291">
        <v>92.451809999999995</v>
      </c>
      <c r="M6291">
        <v>-1.841483E-2</v>
      </c>
      <c r="N6291">
        <v>-1.448437E-2</v>
      </c>
      <c r="O6291">
        <v>0.99972550000000004</v>
      </c>
      <c r="P6291">
        <v>-9.7753610000000005E-2</v>
      </c>
      <c r="Q6291">
        <v>0.3746814</v>
      </c>
      <c r="R6291">
        <v>0.92198590000000002</v>
      </c>
      <c r="S6291">
        <v>-0.2956085</v>
      </c>
      <c r="T6291">
        <v>-0.40118619999999999</v>
      </c>
      <c r="U6291">
        <v>3.3821409999999998</v>
      </c>
      <c r="V6291">
        <v>-8.167373E-2</v>
      </c>
      <c r="W6291">
        <v>0.38782870000000003</v>
      </c>
      <c r="X6291">
        <v>0.91810579999999997</v>
      </c>
      <c r="Y6291">
        <v>-6.8180359999999995E-2</v>
      </c>
      <c r="Z6291">
        <v>-0.10302119999999999</v>
      </c>
      <c r="AA6291">
        <v>0.99233970000000005</v>
      </c>
      <c r="AB6291">
        <v>43</v>
      </c>
      <c r="AC6291">
        <v>-7.6200000000000004E-2</v>
      </c>
      <c r="AD6291">
        <v>-0.11536440000000001</v>
      </c>
      <c r="AE6291">
        <v>0.51873000000000502</v>
      </c>
      <c r="AF6291">
        <v>-6.35565924047828E-2</v>
      </c>
      <c r="AG6291">
        <v>-0.11536440000000001</v>
      </c>
      <c r="AH6291">
        <v>0.49602960345366598</v>
      </c>
      <c r="AI6291">
        <v>102.99028896084501</v>
      </c>
      <c r="AJ6291">
        <v>97.301560859485093</v>
      </c>
      <c r="AK6291">
        <v>0.51321901048954599</v>
      </c>
      <c r="AL6291">
        <v>67.180537431354594</v>
      </c>
      <c r="AM6291">
        <v>95.083590699332603</v>
      </c>
      <c r="AN6291">
        <v>0.99999997935472096</v>
      </c>
    </row>
    <row r="6292" spans="1:40" x14ac:dyDescent="0.25">
      <c r="A6292" t="str">
        <f>"20190304164533046"</f>
        <v>20190304164533046</v>
      </c>
      <c r="B6292" t="str">
        <f>"1551689133036029"</f>
        <v>1551689133036029</v>
      </c>
      <c r="C6292" t="s">
        <v>40</v>
      </c>
      <c r="D6292">
        <v>5.1523399999999997</v>
      </c>
      <c r="E6292">
        <v>0.54395660000000001</v>
      </c>
      <c r="F6292" t="s">
        <v>41</v>
      </c>
      <c r="G6292">
        <v>-187.34350000000001</v>
      </c>
      <c r="H6292">
        <v>1.000993</v>
      </c>
      <c r="I6292">
        <v>93.353790000000004</v>
      </c>
      <c r="J6292">
        <v>-187.30359999999999</v>
      </c>
      <c r="K6292">
        <v>1.111534</v>
      </c>
      <c r="L6292">
        <v>92.885710000000003</v>
      </c>
      <c r="M6292">
        <v>-1.9368690000000001E-2</v>
      </c>
      <c r="N6292">
        <v>-1.448176E-2</v>
      </c>
      <c r="O6292">
        <v>0.99970749999999997</v>
      </c>
      <c r="P6292">
        <v>-9.5786930000000006E-2</v>
      </c>
      <c r="Q6292">
        <v>0.37535249999999998</v>
      </c>
      <c r="R6292">
        <v>0.92191939999999994</v>
      </c>
      <c r="S6292">
        <v>-0.1837616</v>
      </c>
      <c r="T6292">
        <v>-0.4170933</v>
      </c>
      <c r="U6292">
        <v>3.4038699999999902</v>
      </c>
      <c r="V6292">
        <v>-7.8852179999999994E-2</v>
      </c>
      <c r="W6292">
        <v>0.38849889999999998</v>
      </c>
      <c r="X6292">
        <v>0.91806909999999997</v>
      </c>
      <c r="Y6292">
        <v>-3.4210810000000001E-2</v>
      </c>
      <c r="Z6292">
        <v>-0.10708910000000001</v>
      </c>
      <c r="AA6292">
        <v>0.99366069999999995</v>
      </c>
      <c r="AB6292">
        <v>43</v>
      </c>
      <c r="AC6292">
        <v>-3.9900000000017102E-2</v>
      </c>
      <c r="AD6292">
        <v>-0.110541</v>
      </c>
      <c r="AE6292">
        <v>0.46808</v>
      </c>
      <c r="AF6292">
        <v>-2.9208250569857999E-2</v>
      </c>
      <c r="AG6292">
        <v>-0.110541</v>
      </c>
      <c r="AH6292">
        <v>0.44417195368970602</v>
      </c>
      <c r="AI6292">
        <v>103.94634082829801</v>
      </c>
      <c r="AJ6292">
        <v>93.762289573918295</v>
      </c>
      <c r="AK6292">
        <v>0.45865145702034099</v>
      </c>
      <c r="AL6292">
        <v>67.138870429286996</v>
      </c>
      <c r="AM6292">
        <v>94.909038551291701</v>
      </c>
      <c r="AN6292">
        <v>0.999999966983385</v>
      </c>
    </row>
    <row r="6293" spans="1:40" x14ac:dyDescent="0.25">
      <c r="A6293" t="str">
        <f>"20190304164533068"</f>
        <v>20190304164533068</v>
      </c>
      <c r="B6293" t="str">
        <f>"1551689133056529"</f>
        <v>1551689133056529</v>
      </c>
      <c r="C6293" t="s">
        <v>40</v>
      </c>
      <c r="D6293">
        <v>5.2996359999999996</v>
      </c>
      <c r="E6293">
        <v>0.5468885</v>
      </c>
      <c r="F6293" t="s">
        <v>41</v>
      </c>
      <c r="G6293">
        <v>-187.3357</v>
      </c>
      <c r="H6293">
        <v>1.00481</v>
      </c>
      <c r="I6293">
        <v>93.741699999999994</v>
      </c>
      <c r="J6293">
        <v>-187.31219999999999</v>
      </c>
      <c r="K6293">
        <v>1.1115619999999999</v>
      </c>
      <c r="L6293">
        <v>93.291899999999998</v>
      </c>
      <c r="M6293">
        <v>-2.026304E-2</v>
      </c>
      <c r="N6293">
        <v>-1.447934E-2</v>
      </c>
      <c r="O6293">
        <v>0.99968979999999996</v>
      </c>
      <c r="P6293">
        <v>-9.4081979999999996E-2</v>
      </c>
      <c r="Q6293">
        <v>0.3755309</v>
      </c>
      <c r="R6293">
        <v>0.92202229999999996</v>
      </c>
      <c r="S6293">
        <v>-0.12800599999999901</v>
      </c>
      <c r="T6293">
        <v>-0.42569780000000002</v>
      </c>
      <c r="U6293">
        <v>3.4140929999999998</v>
      </c>
      <c r="V6293">
        <v>-7.6338030000000001E-2</v>
      </c>
      <c r="W6293">
        <v>0.38867950000000001</v>
      </c>
      <c r="X6293">
        <v>0.91820520000000005</v>
      </c>
      <c r="Y6293">
        <v>-1.6966829999999999E-2</v>
      </c>
      <c r="Z6293">
        <v>-0.1092651</v>
      </c>
      <c r="AA6293">
        <v>0.99386779999999997</v>
      </c>
      <c r="AB6293">
        <v>43</v>
      </c>
      <c r="AC6293">
        <v>-2.3500000000012702E-2</v>
      </c>
      <c r="AD6293">
        <v>-0.106752</v>
      </c>
      <c r="AE6293">
        <v>0.44979999999999598</v>
      </c>
      <c r="AF6293">
        <v>-1.3615098886568399E-2</v>
      </c>
      <c r="AG6293">
        <v>-0.106752</v>
      </c>
      <c r="AH6293">
        <v>0.42624055666907301</v>
      </c>
      <c r="AI6293">
        <v>104.05363055148101</v>
      </c>
      <c r="AJ6293">
        <v>91.829536264384501</v>
      </c>
      <c r="AK6293">
        <v>0.43961616504770601</v>
      </c>
      <c r="AL6293">
        <v>67.1276414986758</v>
      </c>
      <c r="AM6293">
        <v>94.752544649180706</v>
      </c>
      <c r="AN6293">
        <v>1.0000000189257801</v>
      </c>
    </row>
    <row r="6294" spans="1:40" x14ac:dyDescent="0.25">
      <c r="A6294" t="str">
        <f>"20190304164533089"</f>
        <v>20190304164533089</v>
      </c>
      <c r="B6294" t="str">
        <f>"1551689133086782"</f>
        <v>1551689133086782</v>
      </c>
      <c r="C6294" t="s">
        <v>40</v>
      </c>
      <c r="D6294">
        <v>5.1867619999999999</v>
      </c>
      <c r="E6294">
        <v>0.549317099999999</v>
      </c>
      <c r="F6294" t="s">
        <v>41</v>
      </c>
      <c r="G6294">
        <v>-187.33680000000001</v>
      </c>
      <c r="H6294">
        <v>1.0057579999999999</v>
      </c>
      <c r="I6294">
        <v>94.128029999999995</v>
      </c>
      <c r="J6294">
        <v>-187.32149999999999</v>
      </c>
      <c r="K6294">
        <v>1.1115820000000001</v>
      </c>
      <c r="L6294">
        <v>93.710880000000003</v>
      </c>
      <c r="M6294">
        <v>-2.118596E-2</v>
      </c>
      <c r="N6294">
        <v>-1.4476899999999999E-2</v>
      </c>
      <c r="O6294">
        <v>0.99967070000000002</v>
      </c>
      <c r="P6294">
        <v>-9.1860639999999993E-2</v>
      </c>
      <c r="Q6294">
        <v>0.37559680000000001</v>
      </c>
      <c r="R6294">
        <v>0.92221949999999997</v>
      </c>
      <c r="S6294">
        <v>-0.1009521</v>
      </c>
      <c r="T6294">
        <v>-0.43278810000000001</v>
      </c>
      <c r="U6294">
        <v>3.4196780000000002</v>
      </c>
      <c r="V6294">
        <v>-7.3276069999999999E-2</v>
      </c>
      <c r="W6294">
        <v>0.3887506</v>
      </c>
      <c r="X6294">
        <v>0.91842449999999998</v>
      </c>
      <c r="Y6294">
        <v>-8.1312989999999998E-3</v>
      </c>
      <c r="Z6294">
        <v>-0.11111459999999999</v>
      </c>
      <c r="AA6294">
        <v>0.99377439999999995</v>
      </c>
      <c r="AB6294">
        <v>43</v>
      </c>
      <c r="AC6294">
        <v>-1.53000000000247E-2</v>
      </c>
      <c r="AD6294">
        <v>-0.105824</v>
      </c>
      <c r="AE6294">
        <v>0.41715000000000602</v>
      </c>
      <c r="AF6294">
        <v>-6.0679366245962596E-3</v>
      </c>
      <c r="AG6294">
        <v>-0.105824</v>
      </c>
      <c r="AH6294">
        <v>0.39217586894358097</v>
      </c>
      <c r="AI6294">
        <v>105.09920533120101</v>
      </c>
      <c r="AJ6294">
        <v>90.886437557382195</v>
      </c>
      <c r="AK6294">
        <v>0.40624801662596799</v>
      </c>
      <c r="AL6294">
        <v>67.123219281789801</v>
      </c>
      <c r="AM6294">
        <v>94.5616542186917</v>
      </c>
      <c r="AN6294">
        <v>0.99999998681762703</v>
      </c>
    </row>
    <row r="6295" spans="1:40" x14ac:dyDescent="0.25">
      <c r="A6295" t="str">
        <f>"20190304164533113"</f>
        <v>20190304164533113</v>
      </c>
      <c r="B6295" t="str">
        <f>"1551689133106302"</f>
        <v>1551689133106302</v>
      </c>
      <c r="C6295" t="s">
        <v>40</v>
      </c>
      <c r="D6295">
        <v>5.2050140000000003</v>
      </c>
      <c r="E6295">
        <v>0.5504888</v>
      </c>
      <c r="F6295" t="s">
        <v>41</v>
      </c>
      <c r="G6295">
        <v>-187.33930000000001</v>
      </c>
      <c r="H6295">
        <v>1.008186</v>
      </c>
      <c r="I6295">
        <v>94.514799999999994</v>
      </c>
      <c r="J6295">
        <v>-187.33179999999999</v>
      </c>
      <c r="K6295">
        <v>1.1116010000000001</v>
      </c>
      <c r="L6295">
        <v>94.159850000000006</v>
      </c>
      <c r="M6295">
        <v>-2.2174929999999999E-2</v>
      </c>
      <c r="N6295">
        <v>-1.4474320000000001E-2</v>
      </c>
      <c r="O6295">
        <v>0.99964929999999996</v>
      </c>
      <c r="P6295">
        <v>-9.0146939999999995E-2</v>
      </c>
      <c r="Q6295">
        <v>0.3754885</v>
      </c>
      <c r="R6295">
        <v>0.92243260000000005</v>
      </c>
      <c r="S6295">
        <v>-7.582092E-2</v>
      </c>
      <c r="T6295">
        <v>-0.44047160000000002</v>
      </c>
      <c r="U6295">
        <v>3.4248349999999999</v>
      </c>
      <c r="V6295">
        <v>-7.0657609999999996E-2</v>
      </c>
      <c r="W6295">
        <v>0.38864779999999999</v>
      </c>
      <c r="X6295">
        <v>0.91867319999999997</v>
      </c>
      <c r="Y6295">
        <v>1.862136E-4</v>
      </c>
      <c r="Z6295">
        <v>-0.11313230000000001</v>
      </c>
      <c r="AA6295">
        <v>0.99357989999999996</v>
      </c>
      <c r="AB6295">
        <v>43</v>
      </c>
      <c r="AC6295">
        <v>-7.5000000000215996E-3</v>
      </c>
      <c r="AD6295">
        <v>-0.10341500000000001</v>
      </c>
      <c r="AE6295">
        <v>0.354949999999988</v>
      </c>
      <c r="AF6295">
        <v>3.4443626293351599E-4</v>
      </c>
      <c r="AG6295">
        <v>-0.10341500000000001</v>
      </c>
      <c r="AH6295">
        <v>0.327261705810524</v>
      </c>
      <c r="AI6295">
        <v>107.536574962458</v>
      </c>
      <c r="AJ6295">
        <v>89.939697384264093</v>
      </c>
      <c r="AK6295">
        <v>0.34321276921372501</v>
      </c>
      <c r="AL6295">
        <v>67.129613007501206</v>
      </c>
      <c r="AM6295">
        <v>94.398112671736698</v>
      </c>
      <c r="AN6295">
        <v>1.0000000293469899</v>
      </c>
    </row>
    <row r="6296" spans="1:40" x14ac:dyDescent="0.25">
      <c r="A6296" t="str">
        <f>"20190304164533136"</f>
        <v>20190304164533136</v>
      </c>
      <c r="B6296" t="str">
        <f>"1551689133126798"</f>
        <v>1551689133126798</v>
      </c>
      <c r="C6296" t="s">
        <v>40</v>
      </c>
      <c r="D6296">
        <v>5.1463919999999996</v>
      </c>
      <c r="E6296">
        <v>0.55153609999999997</v>
      </c>
      <c r="F6296" t="s">
        <v>41</v>
      </c>
      <c r="G6296">
        <v>-187.34530000000001</v>
      </c>
      <c r="H6296">
        <v>1.015191</v>
      </c>
      <c r="I6296">
        <v>94.903540000000007</v>
      </c>
      <c r="J6296">
        <v>-187.3425</v>
      </c>
      <c r="K6296">
        <v>1.111612</v>
      </c>
      <c r="L6296">
        <v>94.608949999999993</v>
      </c>
      <c r="M6296">
        <v>-2.3164589999999999E-2</v>
      </c>
      <c r="N6296">
        <v>-1.447183E-2</v>
      </c>
      <c r="O6296">
        <v>0.99962689999999998</v>
      </c>
      <c r="P6296">
        <v>-8.8747419999999994E-2</v>
      </c>
      <c r="Q6296">
        <v>0.3759171</v>
      </c>
      <c r="R6296">
        <v>0.92239369999999998</v>
      </c>
      <c r="S6296">
        <v>-6.3110349999999996E-2</v>
      </c>
      <c r="T6296">
        <v>-0.4443145</v>
      </c>
      <c r="U6296">
        <v>3.4269409999999998</v>
      </c>
      <c r="V6296">
        <v>-6.8355940000000004E-2</v>
      </c>
      <c r="W6296">
        <v>0.38907829999999999</v>
      </c>
      <c r="X6296">
        <v>0.91866510000000001</v>
      </c>
      <c r="Y6296">
        <v>4.8706590000000003E-3</v>
      </c>
      <c r="Z6296">
        <v>-0.11415210000000001</v>
      </c>
      <c r="AA6296">
        <v>0.99345139999999998</v>
      </c>
      <c r="AB6296">
        <v>43</v>
      </c>
      <c r="AC6296">
        <v>-2.80000000000768E-3</v>
      </c>
      <c r="AD6296">
        <v>-9.6421000000000007E-2</v>
      </c>
      <c r="AE6296">
        <v>0.29459000000001301</v>
      </c>
      <c r="AF6296">
        <v>3.6360332587840102E-3</v>
      </c>
      <c r="AG6296">
        <v>-9.6421000000000007E-2</v>
      </c>
      <c r="AH6296">
        <v>0.26607410992526698</v>
      </c>
      <c r="AI6296">
        <v>109.91799256876401</v>
      </c>
      <c r="AJ6296">
        <v>89.217073794930997</v>
      </c>
      <c r="AK6296">
        <v>0.28302943654571</v>
      </c>
      <c r="AL6296">
        <v>67.102839602896395</v>
      </c>
      <c r="AM6296">
        <v>94.255416716199207</v>
      </c>
      <c r="AN6296">
        <v>1.0000000120110899</v>
      </c>
    </row>
    <row r="6297" spans="1:40" x14ac:dyDescent="0.25">
      <c r="A6297" t="str">
        <f>"20190304164533159"</f>
        <v>20190304164533159</v>
      </c>
      <c r="B6297" t="str">
        <f>"1551689133146318"</f>
        <v>1551689133146318</v>
      </c>
      <c r="C6297" t="s">
        <v>40</v>
      </c>
      <c r="D6297">
        <v>5.1457739999999896</v>
      </c>
      <c r="E6297">
        <v>0.55236209999999997</v>
      </c>
      <c r="F6297" t="s">
        <v>41</v>
      </c>
      <c r="G6297">
        <v>-187.3579</v>
      </c>
      <c r="H6297">
        <v>0.9759736</v>
      </c>
      <c r="I6297">
        <v>95.654210000000006</v>
      </c>
      <c r="J6297">
        <v>-187.3537</v>
      </c>
      <c r="K6297">
        <v>1.111607</v>
      </c>
      <c r="L6297">
        <v>95.053830000000005</v>
      </c>
      <c r="M6297">
        <v>-2.4145929999999999E-2</v>
      </c>
      <c r="N6297">
        <v>-1.4469360000000001E-2</v>
      </c>
      <c r="O6297">
        <v>0.99960369999999998</v>
      </c>
      <c r="P6297">
        <v>-8.7622340000000007E-2</v>
      </c>
      <c r="Q6297">
        <v>0.37636439999999999</v>
      </c>
      <c r="R6297">
        <v>0.92231890000000005</v>
      </c>
      <c r="S6297">
        <v>-5.085754E-2</v>
      </c>
      <c r="T6297">
        <v>-0.44501780000000002</v>
      </c>
      <c r="U6297">
        <v>3.4288639999999999</v>
      </c>
      <c r="V6297">
        <v>-6.6333649999999994E-2</v>
      </c>
      <c r="W6297">
        <v>0.38952680000000001</v>
      </c>
      <c r="X6297">
        <v>0.91862330000000003</v>
      </c>
      <c r="Y6297">
        <v>9.4070779999999993E-3</v>
      </c>
      <c r="Z6297">
        <v>-0.11428049999999999</v>
      </c>
      <c r="AA6297">
        <v>0.99340399999999995</v>
      </c>
      <c r="AB6297">
        <v>43</v>
      </c>
      <c r="AC6297">
        <v>-4.1999999999973101E-3</v>
      </c>
      <c r="AD6297">
        <v>-0.13563339999999999</v>
      </c>
      <c r="AE6297">
        <v>0.60037999999998704</v>
      </c>
      <c r="AF6297">
        <v>9.7993751014792407E-3</v>
      </c>
      <c r="AG6297">
        <v>-0.13563339999999999</v>
      </c>
      <c r="AH6297">
        <v>0.57115787182183098</v>
      </c>
      <c r="AI6297">
        <v>103.35674736975299</v>
      </c>
      <c r="AJ6297">
        <v>89.017070793983095</v>
      </c>
      <c r="AK6297">
        <v>0.58712329326299295</v>
      </c>
      <c r="AL6297">
        <v>67.074941862849798</v>
      </c>
      <c r="AM6297">
        <v>94.130150991476697</v>
      </c>
      <c r="AN6297">
        <v>1.00000002417172</v>
      </c>
    </row>
    <row r="6298" spans="1:40" x14ac:dyDescent="0.25">
      <c r="A6298" t="str">
        <f>"20190304164533179"</f>
        <v>20190304164533179</v>
      </c>
      <c r="B6298" t="str">
        <f>"1551689133166814"</f>
        <v>1551689133166814</v>
      </c>
      <c r="C6298" t="s">
        <v>40</v>
      </c>
      <c r="D6298">
        <v>5.1522199999999998</v>
      </c>
      <c r="E6298">
        <v>0.5528014</v>
      </c>
      <c r="F6298" t="s">
        <v>41</v>
      </c>
      <c r="G6298">
        <v>-187.3648</v>
      </c>
      <c r="H6298">
        <v>0.98377380000000003</v>
      </c>
      <c r="I6298">
        <v>96.042439999999999</v>
      </c>
      <c r="J6298">
        <v>-187.3638</v>
      </c>
      <c r="K6298">
        <v>1.111612</v>
      </c>
      <c r="L6298">
        <v>95.442599999999999</v>
      </c>
      <c r="M6298">
        <v>-2.5004169999999999E-2</v>
      </c>
      <c r="N6298">
        <v>-1.446713E-2</v>
      </c>
      <c r="O6298">
        <v>0.99958259999999999</v>
      </c>
      <c r="P6298">
        <v>-8.5417779999999999E-2</v>
      </c>
      <c r="Q6298">
        <v>0.37531609999999999</v>
      </c>
      <c r="R6298">
        <v>0.92295269999999996</v>
      </c>
      <c r="S6298">
        <v>-3.8620000000000002E-2</v>
      </c>
      <c r="T6298">
        <v>-0.4435308</v>
      </c>
      <c r="U6298">
        <v>3.4299930000000001</v>
      </c>
      <c r="V6298">
        <v>-6.3322920000000005E-2</v>
      </c>
      <c r="W6298">
        <v>0.38849230000000001</v>
      </c>
      <c r="X6298">
        <v>0.91927360000000002</v>
      </c>
      <c r="Y6298">
        <v>1.3808870000000001E-2</v>
      </c>
      <c r="Z6298">
        <v>-0.1138127</v>
      </c>
      <c r="AA6298">
        <v>0.99340620000000002</v>
      </c>
      <c r="AB6298">
        <v>43</v>
      </c>
      <c r="AC6298">
        <v>-1.0000000000047701E-3</v>
      </c>
      <c r="AD6298">
        <v>-0.12783819999999901</v>
      </c>
      <c r="AE6298">
        <v>0.59984000000000004</v>
      </c>
      <c r="AF6298">
        <v>1.33921120832104E-2</v>
      </c>
      <c r="AG6298">
        <v>-0.12783819999999901</v>
      </c>
      <c r="AH6298">
        <v>0.57362332746862399</v>
      </c>
      <c r="AI6298">
        <v>102.560359470048</v>
      </c>
      <c r="AJ6298">
        <v>88.662585533696301</v>
      </c>
      <c r="AK6298">
        <v>0.58784834427041199</v>
      </c>
      <c r="AL6298">
        <v>67.139281747764898</v>
      </c>
      <c r="AM6298">
        <v>93.940517702789194</v>
      </c>
      <c r="AN6298">
        <v>1.0000000055067799</v>
      </c>
    </row>
    <row r="6299" spans="1:40" x14ac:dyDescent="0.25">
      <c r="A6299" t="str">
        <f>"20190304164533202"</f>
        <v>20190304164533202</v>
      </c>
      <c r="B6299" t="str">
        <f>"1551689133196094"</f>
        <v>1551689133196094</v>
      </c>
      <c r="C6299" t="s">
        <v>40</v>
      </c>
      <c r="D6299">
        <v>5.1760950000000001</v>
      </c>
      <c r="E6299">
        <v>0.55331669999999999</v>
      </c>
      <c r="F6299" t="s">
        <v>41</v>
      </c>
      <c r="G6299">
        <v>-187.3715</v>
      </c>
      <c r="H6299">
        <v>0.98261449999999995</v>
      </c>
      <c r="I6299">
        <v>96.426010000000005</v>
      </c>
      <c r="J6299">
        <v>-187.3759</v>
      </c>
      <c r="K6299">
        <v>1.111621</v>
      </c>
      <c r="L6299">
        <v>95.894069999999999</v>
      </c>
      <c r="M6299">
        <v>-2.6000929999999998E-2</v>
      </c>
      <c r="N6299">
        <v>-1.446452E-2</v>
      </c>
      <c r="O6299">
        <v>0.99955729999999998</v>
      </c>
      <c r="P6299">
        <v>-8.3298979999999995E-2</v>
      </c>
      <c r="Q6299">
        <v>0.37527460000000001</v>
      </c>
      <c r="R6299">
        <v>0.92316319999999996</v>
      </c>
      <c r="S6299">
        <v>-2.7404789999999998E-2</v>
      </c>
      <c r="T6299">
        <v>-0.45010830000000002</v>
      </c>
      <c r="U6299">
        <v>3.430939</v>
      </c>
      <c r="V6299">
        <v>-6.0280510000000002E-2</v>
      </c>
      <c r="W6299">
        <v>0.3884589</v>
      </c>
      <c r="X6299">
        <v>0.91949219999999998</v>
      </c>
      <c r="Y6299">
        <v>1.805292E-2</v>
      </c>
      <c r="Z6299">
        <v>-0.11564430000000001</v>
      </c>
      <c r="AA6299">
        <v>0.99312659999999997</v>
      </c>
      <c r="AB6299">
        <v>43</v>
      </c>
      <c r="AC6299">
        <v>4.4000000000039502E-3</v>
      </c>
      <c r="AD6299">
        <v>-0.129006499999999</v>
      </c>
      <c r="AE6299">
        <v>0.53193999999999098</v>
      </c>
      <c r="AF6299">
        <v>1.7218248641818701E-2</v>
      </c>
      <c r="AG6299">
        <v>-0.129006499999999</v>
      </c>
      <c r="AH6299">
        <v>0.50211515923039896</v>
      </c>
      <c r="AI6299">
        <v>104.40101233211399</v>
      </c>
      <c r="AJ6299">
        <v>88.036015158250606</v>
      </c>
      <c r="AK6299">
        <v>0.51870876053669102</v>
      </c>
      <c r="AL6299">
        <v>67.141357957065907</v>
      </c>
      <c r="AM6299">
        <v>93.750856677670498</v>
      </c>
      <c r="AN6299">
        <v>0.99999998136795398</v>
      </c>
    </row>
    <row r="6300" spans="1:40" x14ac:dyDescent="0.25">
      <c r="A6300" t="str">
        <f>"20190304164533225"</f>
        <v>20190304164533225</v>
      </c>
      <c r="B6300" t="str">
        <f>"1551689133216590"</f>
        <v>1551689133216590</v>
      </c>
      <c r="C6300" t="s">
        <v>40</v>
      </c>
      <c r="D6300">
        <v>5.1661049999999999</v>
      </c>
      <c r="E6300">
        <v>0.55349219999999999</v>
      </c>
      <c r="F6300" t="s">
        <v>41</v>
      </c>
      <c r="G6300">
        <v>-187.3809</v>
      </c>
      <c r="H6300">
        <v>0.99035530000000005</v>
      </c>
      <c r="I6300">
        <v>96.813640000000007</v>
      </c>
      <c r="J6300">
        <v>-187.38759999999999</v>
      </c>
      <c r="K6300">
        <v>1.1116330000000001</v>
      </c>
      <c r="L6300">
        <v>96.317080000000004</v>
      </c>
      <c r="M6300">
        <v>-2.6930579999999999E-2</v>
      </c>
      <c r="N6300">
        <v>-1.4462020000000001E-2</v>
      </c>
      <c r="O6300">
        <v>0.99953270000000005</v>
      </c>
      <c r="P6300">
        <v>-8.0567840000000002E-2</v>
      </c>
      <c r="Q6300">
        <v>0.37537409999999999</v>
      </c>
      <c r="R6300">
        <v>0.92336510000000005</v>
      </c>
      <c r="S6300">
        <v>-1.844788E-2</v>
      </c>
      <c r="T6300">
        <v>-0.45255079999999998</v>
      </c>
      <c r="U6300">
        <v>3.432007</v>
      </c>
      <c r="V6300">
        <v>-5.6685470000000002E-2</v>
      </c>
      <c r="W6300">
        <v>0.38856829999999998</v>
      </c>
      <c r="X6300">
        <v>0.91967460000000001</v>
      </c>
      <c r="Y6300">
        <v>2.157353E-2</v>
      </c>
      <c r="Z6300">
        <v>-0.1162926</v>
      </c>
      <c r="AA6300">
        <v>0.99298070000000005</v>
      </c>
      <c r="AB6300">
        <v>43</v>
      </c>
      <c r="AC6300">
        <v>6.6999999999950398E-3</v>
      </c>
      <c r="AD6300">
        <v>-0.1212777</v>
      </c>
      <c r="AE6300">
        <v>0.496560000000002</v>
      </c>
      <c r="AF6300">
        <v>1.8941916317728801E-2</v>
      </c>
      <c r="AG6300">
        <v>-0.1212777</v>
      </c>
      <c r="AH6300">
        <v>0.46827158001974201</v>
      </c>
      <c r="AI6300">
        <v>104.508639582234</v>
      </c>
      <c r="AJ6300">
        <v>87.683608085835303</v>
      </c>
      <c r="AK6300">
        <v>0.48409229426346301</v>
      </c>
      <c r="AL6300">
        <v>67.134555089883506</v>
      </c>
      <c r="AM6300">
        <v>93.527046022023896</v>
      </c>
      <c r="AN6300">
        <v>0.99999996807958402</v>
      </c>
    </row>
    <row r="6301" spans="1:40" x14ac:dyDescent="0.25">
      <c r="A6301" t="str">
        <f>"20190304164533246"</f>
        <v>20190304164533246</v>
      </c>
      <c r="B6301" t="str">
        <f>"1551689133236110"</f>
        <v>1551689133236110</v>
      </c>
      <c r="C6301" t="s">
        <v>40</v>
      </c>
      <c r="D6301">
        <v>5.1483349999999897</v>
      </c>
      <c r="E6301">
        <v>0.55382869999999995</v>
      </c>
      <c r="F6301" t="s">
        <v>41</v>
      </c>
      <c r="G6301">
        <v>-187.39009999999999</v>
      </c>
      <c r="H6301">
        <v>0.99457609999999996</v>
      </c>
      <c r="I6301">
        <v>97.199299999999994</v>
      </c>
      <c r="J6301">
        <v>-187.39959999999999</v>
      </c>
      <c r="K6301">
        <v>1.111632</v>
      </c>
      <c r="L6301">
        <v>96.733369999999994</v>
      </c>
      <c r="M6301">
        <v>-2.7833219999999999E-2</v>
      </c>
      <c r="N6301">
        <v>-1.445956E-2</v>
      </c>
      <c r="O6301">
        <v>0.99950799999999995</v>
      </c>
      <c r="P6301">
        <v>-7.7274560000000006E-2</v>
      </c>
      <c r="Q6301">
        <v>0.3757414</v>
      </c>
      <c r="R6301">
        <v>0.92349720000000002</v>
      </c>
      <c r="S6301">
        <v>-9.9792479999999996E-3</v>
      </c>
      <c r="T6301">
        <v>-0.45560250000000002</v>
      </c>
      <c r="U6301">
        <v>3.433319</v>
      </c>
      <c r="V6301">
        <v>-5.2549640000000002E-2</v>
      </c>
      <c r="W6301">
        <v>0.38894610000000002</v>
      </c>
      <c r="X6301">
        <v>0.91976060000000004</v>
      </c>
      <c r="Y6301">
        <v>2.4924120000000001E-2</v>
      </c>
      <c r="Z6301">
        <v>-0.1171032</v>
      </c>
      <c r="AA6301">
        <v>0.992807</v>
      </c>
      <c r="AB6301">
        <v>43</v>
      </c>
      <c r="AC6301">
        <v>9.5000000000027198E-3</v>
      </c>
      <c r="AD6301">
        <v>-0.11705589999999901</v>
      </c>
      <c r="AE6301">
        <v>0.46593000000000001</v>
      </c>
      <c r="AF6301">
        <v>2.11327298812682E-2</v>
      </c>
      <c r="AG6301">
        <v>-0.11705589999999901</v>
      </c>
      <c r="AH6301">
        <v>0.43786014324543898</v>
      </c>
      <c r="AI6301">
        <v>104.950607723871</v>
      </c>
      <c r="AJ6301">
        <v>87.236840548726406</v>
      </c>
      <c r="AK6301">
        <v>0.45372919350639201</v>
      </c>
      <c r="AL6301">
        <v>67.111062595907001</v>
      </c>
      <c r="AM6301">
        <v>93.269984449701298</v>
      </c>
      <c r="AN6301">
        <v>1.0000000473408399</v>
      </c>
    </row>
    <row r="6302" spans="1:40" x14ac:dyDescent="0.25">
      <c r="A6302" t="str">
        <f>"20190304164533268"</f>
        <v>20190304164533268</v>
      </c>
      <c r="B6302" t="str">
        <f>"1551689133256606"</f>
        <v>1551689133256606</v>
      </c>
      <c r="C6302" t="s">
        <v>40</v>
      </c>
      <c r="D6302">
        <v>5.3051089999999999</v>
      </c>
      <c r="E6302">
        <v>0.55377690000000002</v>
      </c>
      <c r="F6302" t="s">
        <v>41</v>
      </c>
      <c r="G6302">
        <v>-187.3989</v>
      </c>
      <c r="H6302">
        <v>0.9989806</v>
      </c>
      <c r="I6302">
        <v>97.58475</v>
      </c>
      <c r="J6302">
        <v>-187.4118</v>
      </c>
      <c r="K6302">
        <v>1.1116189999999999</v>
      </c>
      <c r="L6302">
        <v>97.145870000000002</v>
      </c>
      <c r="M6302">
        <v>-2.8704319999999998E-2</v>
      </c>
      <c r="N6302">
        <v>-1.4456999999999999E-2</v>
      </c>
      <c r="O6302">
        <v>0.99948340000000002</v>
      </c>
      <c r="P6302">
        <v>-7.4246789999999993E-2</v>
      </c>
      <c r="Q6302">
        <v>0.37653880000000001</v>
      </c>
      <c r="R6302">
        <v>0.92342080000000004</v>
      </c>
      <c r="S6302">
        <v>2.8381349999999999E-3</v>
      </c>
      <c r="T6302">
        <v>-0.45431650000000001</v>
      </c>
      <c r="U6302">
        <v>3.433624</v>
      </c>
      <c r="V6302">
        <v>-4.87077E-2</v>
      </c>
      <c r="W6302">
        <v>0.38975070000000001</v>
      </c>
      <c r="X6302">
        <v>0.91963139999999999</v>
      </c>
      <c r="Y6302">
        <v>2.9496629999999999E-2</v>
      </c>
      <c r="Z6302">
        <v>-0.1167154</v>
      </c>
      <c r="AA6302">
        <v>0.99272729999999998</v>
      </c>
      <c r="AB6302">
        <v>43</v>
      </c>
      <c r="AC6302">
        <v>1.29000000000019E-2</v>
      </c>
      <c r="AD6302">
        <v>-0.1126384</v>
      </c>
      <c r="AE6302">
        <v>0.43887999999999699</v>
      </c>
      <c r="AF6302">
        <v>2.3919553859025899E-2</v>
      </c>
      <c r="AG6302">
        <v>-0.1126384</v>
      </c>
      <c r="AH6302">
        <v>0.41126269820243599</v>
      </c>
      <c r="AI6302">
        <v>105.292174314611</v>
      </c>
      <c r="AJ6302">
        <v>86.671355592747801</v>
      </c>
      <c r="AK6302">
        <v>0.42707910408274802</v>
      </c>
      <c r="AL6302">
        <v>67.061011396572894</v>
      </c>
      <c r="AM6302">
        <v>93.031802162252802</v>
      </c>
      <c r="AN6302">
        <v>0.99999998002786905</v>
      </c>
    </row>
    <row r="6303" spans="1:40" x14ac:dyDescent="0.25">
      <c r="A6303" t="str">
        <f>"20190304164533291"</f>
        <v>20190304164533291</v>
      </c>
      <c r="B6303" t="str">
        <f>"1551689133286862"</f>
        <v>1551689133286862</v>
      </c>
      <c r="C6303" t="s">
        <v>40</v>
      </c>
      <c r="D6303">
        <v>5.1005919999999998</v>
      </c>
      <c r="E6303">
        <v>0.55410709999999996</v>
      </c>
      <c r="F6303" t="s">
        <v>41</v>
      </c>
      <c r="G6303">
        <v>-187.4091</v>
      </c>
      <c r="H6303">
        <v>1.002561</v>
      </c>
      <c r="I6303">
        <v>97.96951</v>
      </c>
      <c r="J6303">
        <v>-187.42509999999999</v>
      </c>
      <c r="K6303">
        <v>1.111594</v>
      </c>
      <c r="L6303">
        <v>97.585080000000005</v>
      </c>
      <c r="M6303">
        <v>-2.9597160000000001E-2</v>
      </c>
      <c r="N6303">
        <v>-1.4454120000000001E-2</v>
      </c>
      <c r="O6303">
        <v>0.99945740000000005</v>
      </c>
      <c r="P6303">
        <v>-7.0903729999999998E-2</v>
      </c>
      <c r="Q6303">
        <v>0.37788660000000002</v>
      </c>
      <c r="R6303">
        <v>0.92313290000000003</v>
      </c>
      <c r="S6303">
        <v>1.100159E-2</v>
      </c>
      <c r="T6303">
        <v>-0.45486660000000001</v>
      </c>
      <c r="U6303">
        <v>3.4351500000000001</v>
      </c>
      <c r="V6303">
        <v>-4.4527150000000001E-2</v>
      </c>
      <c r="W6303">
        <v>0.39110420000000001</v>
      </c>
      <c r="X6303">
        <v>0.91926870000000005</v>
      </c>
      <c r="Y6303">
        <v>3.2744660000000002E-2</v>
      </c>
      <c r="Z6303">
        <v>-0.11680450000000001</v>
      </c>
      <c r="AA6303">
        <v>0.99261500000000003</v>
      </c>
      <c r="AB6303">
        <v>43</v>
      </c>
      <c r="AC6303">
        <v>1.5999999999991101E-2</v>
      </c>
      <c r="AD6303">
        <v>-0.10903299999999901</v>
      </c>
      <c r="AE6303">
        <v>0.384429999999994</v>
      </c>
      <c r="AF6303">
        <v>2.5337542824956202E-2</v>
      </c>
      <c r="AG6303">
        <v>-0.10903299999999901</v>
      </c>
      <c r="AH6303">
        <v>0.35525966224247002</v>
      </c>
      <c r="AI6303">
        <v>107.02108387694599</v>
      </c>
      <c r="AJ6303">
        <v>85.920504385178404</v>
      </c>
      <c r="AK6303">
        <v>0.37247766883672501</v>
      </c>
      <c r="AL6303">
        <v>66.976777868976697</v>
      </c>
      <c r="AM6303">
        <v>92.773101435095199</v>
      </c>
      <c r="AN6303">
        <v>1.0000000525722199</v>
      </c>
    </row>
    <row r="6304" spans="1:40" x14ac:dyDescent="0.25">
      <c r="A6304" t="str">
        <f>"20190304164533313"</f>
        <v>20190304164533313</v>
      </c>
      <c r="B6304" t="str">
        <f>"1551689133306382"</f>
        <v>1551689133306382</v>
      </c>
      <c r="C6304" t="s">
        <v>40</v>
      </c>
      <c r="D6304">
        <v>5.1098140000000001</v>
      </c>
      <c r="E6304">
        <v>0.55430440000000003</v>
      </c>
      <c r="F6304" t="s">
        <v>41</v>
      </c>
      <c r="G6304">
        <v>-187.4194</v>
      </c>
      <c r="H6304">
        <v>1.010445</v>
      </c>
      <c r="I6304">
        <v>98.356110000000001</v>
      </c>
      <c r="J6304">
        <v>-187.43860000000001</v>
      </c>
      <c r="K6304">
        <v>1.1115649999999999</v>
      </c>
      <c r="L6304">
        <v>98.018889999999999</v>
      </c>
      <c r="M6304">
        <v>-3.0429680000000001E-2</v>
      </c>
      <c r="N6304">
        <v>-1.447903E-2</v>
      </c>
      <c r="O6304">
        <v>0.99943199999999999</v>
      </c>
      <c r="P6304">
        <v>-6.7873359999999994E-2</v>
      </c>
      <c r="Q6304">
        <v>0.37965179999999998</v>
      </c>
      <c r="R6304">
        <v>0.92263629999999996</v>
      </c>
      <c r="S6304">
        <v>2.478027E-2</v>
      </c>
      <c r="T6304">
        <v>-0.450847</v>
      </c>
      <c r="U6304">
        <v>3.4362490000000001</v>
      </c>
      <c r="V6304">
        <v>-4.0714029999999998E-2</v>
      </c>
      <c r="W6304">
        <v>0.392897</v>
      </c>
      <c r="X6304">
        <v>0.91868079999999996</v>
      </c>
      <c r="Y6304">
        <v>3.7552000000000002E-2</v>
      </c>
      <c r="Z6304">
        <v>-0.115579399999999</v>
      </c>
      <c r="AA6304">
        <v>0.99258820000000003</v>
      </c>
      <c r="AB6304">
        <v>43</v>
      </c>
      <c r="AC6304">
        <v>1.9200000000011999E-2</v>
      </c>
      <c r="AD6304">
        <v>-0.101119999999999</v>
      </c>
      <c r="AE6304">
        <v>0.33722000000000202</v>
      </c>
      <c r="AF6304">
        <v>2.7030958988695002E-2</v>
      </c>
      <c r="AG6304">
        <v>-0.101119999999999</v>
      </c>
      <c r="AH6304">
        <v>0.30880227811945199</v>
      </c>
      <c r="AI6304">
        <v>108.066913206666</v>
      </c>
      <c r="AJ6304">
        <v>84.997374209851401</v>
      </c>
      <c r="AK6304">
        <v>0.326059464079195</v>
      </c>
      <c r="AL6304">
        <v>66.865121461659896</v>
      </c>
      <c r="AM6304">
        <v>92.537569799499295</v>
      </c>
      <c r="AN6304">
        <v>1.0000000485682301</v>
      </c>
    </row>
    <row r="6305" spans="1:40" x14ac:dyDescent="0.25">
      <c r="A6305" t="str">
        <f>"20190304164533336"</f>
        <v>20190304164533336</v>
      </c>
      <c r="B6305" t="str">
        <f>"1551689133326878"</f>
        <v>1551689133326878</v>
      </c>
      <c r="C6305" t="s">
        <v>40</v>
      </c>
      <c r="D6305">
        <v>5.1128749999999998</v>
      </c>
      <c r="E6305">
        <v>0.55444110000000002</v>
      </c>
      <c r="F6305" t="s">
        <v>41</v>
      </c>
      <c r="G6305">
        <v>-187.43100000000001</v>
      </c>
      <c r="H6305">
        <v>1.017655</v>
      </c>
      <c r="I6305">
        <v>98.742019999999997</v>
      </c>
      <c r="J6305">
        <v>-187.45230000000001</v>
      </c>
      <c r="K6305">
        <v>1.111553</v>
      </c>
      <c r="L6305">
        <v>98.445040000000006</v>
      </c>
      <c r="M6305">
        <v>-3.1170650000000001E-2</v>
      </c>
      <c r="N6305">
        <v>-1.4589120000000001E-2</v>
      </c>
      <c r="O6305">
        <v>0.99940759999999995</v>
      </c>
      <c r="P6305">
        <v>-6.6259419999999999E-2</v>
      </c>
      <c r="Q6305">
        <v>0.38087330000000003</v>
      </c>
      <c r="R6305">
        <v>0.92225009999999996</v>
      </c>
      <c r="S6305">
        <v>3.5476679999999997E-2</v>
      </c>
      <c r="T6305">
        <v>-0.44654729999999998</v>
      </c>
      <c r="U6305">
        <v>3.437897</v>
      </c>
      <c r="V6305">
        <v>-3.8384649999999999E-2</v>
      </c>
      <c r="W6305">
        <v>0.39422439999999997</v>
      </c>
      <c r="X6305">
        <v>0.91821229999999998</v>
      </c>
      <c r="Y6305">
        <v>4.1374870000000001E-2</v>
      </c>
      <c r="Z6305">
        <v>-0.1141718</v>
      </c>
      <c r="AA6305">
        <v>0.99259909999999996</v>
      </c>
      <c r="AB6305">
        <v>43</v>
      </c>
      <c r="AC6305">
        <v>2.13000000000249E-2</v>
      </c>
      <c r="AD6305">
        <v>-9.3897999999999995E-2</v>
      </c>
      <c r="AE6305">
        <v>0.29697999999998997</v>
      </c>
      <c r="AF6305">
        <v>2.7784376113985799E-2</v>
      </c>
      <c r="AG6305">
        <v>-9.3897999999999995E-2</v>
      </c>
      <c r="AH6305">
        <v>0.26938023622255403</v>
      </c>
      <c r="AI6305">
        <v>109.123019973426</v>
      </c>
      <c r="AJ6305">
        <v>84.111230401116003</v>
      </c>
      <c r="AK6305">
        <v>0.286626093765663</v>
      </c>
      <c r="AL6305">
        <v>66.782390412256802</v>
      </c>
      <c r="AM6305">
        <v>92.393780469151594</v>
      </c>
      <c r="AN6305">
        <v>1.00000004339113</v>
      </c>
    </row>
    <row r="6306" spans="1:40" x14ac:dyDescent="0.25">
      <c r="A6306" t="str">
        <f>"20190304164533360"</f>
        <v>20190304164533360</v>
      </c>
      <c r="B6306" t="str">
        <f>"1551689133346398"</f>
        <v>1551689133346398</v>
      </c>
      <c r="C6306" t="s">
        <v>40</v>
      </c>
      <c r="D6306">
        <v>5.107831</v>
      </c>
      <c r="E6306">
        <v>0.55451269999999997</v>
      </c>
      <c r="F6306" t="s">
        <v>41</v>
      </c>
      <c r="G6306">
        <v>-187.43989999999999</v>
      </c>
      <c r="H6306">
        <v>0.97734399999999999</v>
      </c>
      <c r="I6306">
        <v>99.485240000000005</v>
      </c>
      <c r="J6306">
        <v>-187.4666</v>
      </c>
      <c r="K6306">
        <v>1.1115600000000001</v>
      </c>
      <c r="L6306">
        <v>98.886229999999998</v>
      </c>
      <c r="M6306">
        <v>-3.184501E-2</v>
      </c>
      <c r="N6306">
        <v>-1.482878E-2</v>
      </c>
      <c r="O6306">
        <v>0.99938280000000002</v>
      </c>
      <c r="P6306">
        <v>-6.2460710000000003E-2</v>
      </c>
      <c r="Q6306">
        <v>0.38186320000000001</v>
      </c>
      <c r="R6306">
        <v>0.92210579999999998</v>
      </c>
      <c r="S6306">
        <v>4.0801999999999998E-2</v>
      </c>
      <c r="T6306">
        <v>-0.44374560000000002</v>
      </c>
      <c r="U6306">
        <v>3.439117</v>
      </c>
      <c r="V6306">
        <v>-3.3905890000000001E-2</v>
      </c>
      <c r="W6306">
        <v>0.39544610000000002</v>
      </c>
      <c r="X6306">
        <v>0.91786310000000004</v>
      </c>
      <c r="Y6306">
        <v>4.3580840000000003E-2</v>
      </c>
      <c r="Z6306">
        <v>-0.113082</v>
      </c>
      <c r="AA6306">
        <v>0.9926294</v>
      </c>
      <c r="AB6306">
        <v>43</v>
      </c>
      <c r="AC6306">
        <v>2.6700000000005199E-2</v>
      </c>
      <c r="AD6306">
        <v>-0.134216</v>
      </c>
      <c r="AE6306">
        <v>0.59901000000000604</v>
      </c>
      <c r="AF6306">
        <v>4.3580447462149903E-2</v>
      </c>
      <c r="AG6306">
        <v>-0.134216</v>
      </c>
      <c r="AH6306">
        <v>0.56932968049302601</v>
      </c>
      <c r="AI6306">
        <v>103.227605845665</v>
      </c>
      <c r="AJ6306">
        <v>85.622719290485605</v>
      </c>
      <c r="AK6306">
        <v>0.58655730764119896</v>
      </c>
      <c r="AL6306">
        <v>66.706199660781394</v>
      </c>
      <c r="AM6306">
        <v>92.115545868740398</v>
      </c>
      <c r="AN6306">
        <v>0.99999994886175403</v>
      </c>
    </row>
    <row r="6307" spans="1:40" x14ac:dyDescent="0.25">
      <c r="A6307" t="str">
        <f>"20190304164533380"</f>
        <v>20190304164533380</v>
      </c>
      <c r="B6307" t="str">
        <f>"1551689133376654"</f>
        <v>1551689133376654</v>
      </c>
      <c r="C6307" t="s">
        <v>40</v>
      </c>
      <c r="D6307">
        <v>5.1003089999999904</v>
      </c>
      <c r="E6307">
        <v>0.55460449999999994</v>
      </c>
      <c r="F6307" t="s">
        <v>41</v>
      </c>
      <c r="G6307">
        <v>-187.45179999999999</v>
      </c>
      <c r="H6307">
        <v>0.98510609999999998</v>
      </c>
      <c r="I6307">
        <v>99.869230000000002</v>
      </c>
      <c r="J6307">
        <v>-187.48</v>
      </c>
      <c r="K6307">
        <v>1.1115649999999999</v>
      </c>
      <c r="L6307">
        <v>99.289760000000001</v>
      </c>
      <c r="M6307">
        <v>-3.2384370000000003E-2</v>
      </c>
      <c r="N6307">
        <v>-1.5125919999999999E-2</v>
      </c>
      <c r="O6307">
        <v>0.99936100000000005</v>
      </c>
      <c r="P6307">
        <v>-5.8511710000000001E-2</v>
      </c>
      <c r="Q6307">
        <v>0.38124209999999997</v>
      </c>
      <c r="R6307">
        <v>0.92262169999999999</v>
      </c>
      <c r="S6307">
        <v>5.1986690000000002E-2</v>
      </c>
      <c r="T6307">
        <v>-0.44255670000000003</v>
      </c>
      <c r="U6307">
        <v>3.4402159999999999</v>
      </c>
      <c r="V6307">
        <v>-2.9373529999999998E-2</v>
      </c>
      <c r="W6307">
        <v>0.39511849999999998</v>
      </c>
      <c r="X6307">
        <v>0.91816039999999999</v>
      </c>
      <c r="Y6307">
        <v>4.7338829999999998E-2</v>
      </c>
      <c r="Z6307">
        <v>-0.1123913</v>
      </c>
      <c r="AA6307">
        <v>0.99253579999999997</v>
      </c>
      <c r="AB6307">
        <v>43</v>
      </c>
      <c r="AC6307">
        <v>2.8199999999998199E-2</v>
      </c>
      <c r="AD6307">
        <v>-0.12645889999999901</v>
      </c>
      <c r="AE6307">
        <v>0.57947000000000004</v>
      </c>
      <c r="AF6307">
        <v>4.4823441845303097E-2</v>
      </c>
      <c r="AG6307">
        <v>-0.12645889999999901</v>
      </c>
      <c r="AH6307">
        <v>0.55202448335440402</v>
      </c>
      <c r="AI6307">
        <v>102.861886205282</v>
      </c>
      <c r="AJ6307">
        <v>85.357865151641207</v>
      </c>
      <c r="AK6307">
        <v>0.56809508407551501</v>
      </c>
      <c r="AL6307">
        <v>66.726634619382494</v>
      </c>
      <c r="AM6307">
        <v>91.832365555136704</v>
      </c>
      <c r="AN6307">
        <v>0.99999997671753504</v>
      </c>
    </row>
    <row r="6308" spans="1:40" x14ac:dyDescent="0.25">
      <c r="A6308" t="str">
        <f>"20190304164533403"</f>
        <v>20190304164533403</v>
      </c>
      <c r="B6308" t="str">
        <f>"1551689133396174"</f>
        <v>1551689133396174</v>
      </c>
      <c r="C6308" t="s">
        <v>40</v>
      </c>
      <c r="D6308">
        <v>5.1098030000000003</v>
      </c>
      <c r="E6308">
        <v>0.55463149999999894</v>
      </c>
      <c r="F6308" t="s">
        <v>41</v>
      </c>
      <c r="G6308">
        <v>-187.46170000000001</v>
      </c>
      <c r="H6308">
        <v>0.98667470000000002</v>
      </c>
      <c r="I6308">
        <v>100.24930000000001</v>
      </c>
      <c r="J6308">
        <v>-187.49440000000001</v>
      </c>
      <c r="K6308">
        <v>1.1115549999999901</v>
      </c>
      <c r="L6308">
        <v>99.722170000000006</v>
      </c>
      <c r="M6308">
        <v>-3.284952E-2</v>
      </c>
      <c r="N6308">
        <v>-1.549063E-2</v>
      </c>
      <c r="O6308">
        <v>0.99934020000000001</v>
      </c>
      <c r="P6308">
        <v>-5.5150379999999999E-2</v>
      </c>
      <c r="Q6308">
        <v>0.37967489999999998</v>
      </c>
      <c r="R6308">
        <v>0.92347469999999998</v>
      </c>
      <c r="S6308">
        <v>6.5292359999999994E-2</v>
      </c>
      <c r="T6308">
        <v>-0.44786419999999999</v>
      </c>
      <c r="U6308">
        <v>3.4407960000000002</v>
      </c>
      <c r="V6308">
        <v>-2.546352E-2</v>
      </c>
      <c r="W6308">
        <v>0.39391150000000003</v>
      </c>
      <c r="X6308">
        <v>0.91879560000000005</v>
      </c>
      <c r="Y6308">
        <v>5.1628819999999999E-2</v>
      </c>
      <c r="Z6308">
        <v>-0.11349099999999999</v>
      </c>
      <c r="AA6308">
        <v>0.99219669999999904</v>
      </c>
      <c r="AB6308">
        <v>43</v>
      </c>
      <c r="AC6308">
        <v>3.2700000000005502E-2</v>
      </c>
      <c r="AD6308">
        <v>-0.124880299999999</v>
      </c>
      <c r="AE6308">
        <v>0.52713000000001298</v>
      </c>
      <c r="AF6308">
        <v>4.7352923676945997E-2</v>
      </c>
      <c r="AG6308">
        <v>-0.124880299999999</v>
      </c>
      <c r="AH6308">
        <v>0.49793208314044701</v>
      </c>
      <c r="AI6308">
        <v>104.018522411676</v>
      </c>
      <c r="AJ6308">
        <v>84.567556825959301</v>
      </c>
      <c r="AK6308">
        <v>0.51553248988733003</v>
      </c>
      <c r="AL6308">
        <v>66.801895804698702</v>
      </c>
      <c r="AM6308">
        <v>91.587490052487993</v>
      </c>
      <c r="AN6308">
        <v>1.0000000076311999</v>
      </c>
    </row>
    <row r="6309" spans="1:40" x14ac:dyDescent="0.25">
      <c r="A6309" t="str">
        <f>"20190304164533426"</f>
        <v>20190304164533426</v>
      </c>
      <c r="B6309" t="str">
        <f>"1551689133416670"</f>
        <v>1551689133416670</v>
      </c>
      <c r="C6309" t="s">
        <v>40</v>
      </c>
      <c r="D6309">
        <v>5.1206040000000002</v>
      </c>
      <c r="E6309">
        <v>0.55462100000000003</v>
      </c>
      <c r="F6309" t="s">
        <v>41</v>
      </c>
      <c r="G6309">
        <v>-187.4742</v>
      </c>
      <c r="H6309">
        <v>0.99135549999999995</v>
      </c>
      <c r="I6309">
        <v>100.62990000000001</v>
      </c>
      <c r="J6309">
        <v>-187.50880000000001</v>
      </c>
      <c r="K6309">
        <v>1.111515</v>
      </c>
      <c r="L6309">
        <v>100.1493</v>
      </c>
      <c r="M6309">
        <v>-3.3170039999999998E-2</v>
      </c>
      <c r="N6309">
        <v>-1.589933E-2</v>
      </c>
      <c r="O6309">
        <v>0.99932319999999997</v>
      </c>
      <c r="P6309">
        <v>-5.1708459999999998E-2</v>
      </c>
      <c r="Q6309">
        <v>0.38014920000000002</v>
      </c>
      <c r="R6309">
        <v>0.92347869999999999</v>
      </c>
      <c r="S6309">
        <v>7.6812740000000004E-2</v>
      </c>
      <c r="T6309">
        <v>-0.45555289999999998</v>
      </c>
      <c r="U6309">
        <v>3.4404910000000002</v>
      </c>
      <c r="V6309">
        <v>-2.1618470000000001E-2</v>
      </c>
      <c r="W6309">
        <v>0.39477250000000003</v>
      </c>
      <c r="X6309">
        <v>0.91852449999999997</v>
      </c>
      <c r="Y6309">
        <v>5.5260070000000001E-2</v>
      </c>
      <c r="Z6309">
        <v>-0.11525489999999999</v>
      </c>
      <c r="AA6309">
        <v>0.9917977</v>
      </c>
      <c r="AB6309">
        <v>42</v>
      </c>
      <c r="AC6309">
        <v>3.4600000000011698E-2</v>
      </c>
      <c r="AD6309">
        <v>-0.120159499999999</v>
      </c>
      <c r="AE6309">
        <v>0.48060000000000902</v>
      </c>
      <c r="AF6309">
        <v>4.7566451236474599E-2</v>
      </c>
      <c r="AG6309">
        <v>-0.120159499999999</v>
      </c>
      <c r="AH6309">
        <v>0.45113279232310799</v>
      </c>
      <c r="AI6309">
        <v>104.83592706479899</v>
      </c>
      <c r="AJ6309">
        <v>83.9810973600392</v>
      </c>
      <c r="AK6309">
        <v>0.46927781647199801</v>
      </c>
      <c r="AL6309">
        <v>66.748213060737797</v>
      </c>
      <c r="AM6309">
        <v>91.348269372742294</v>
      </c>
      <c r="AN6309">
        <v>0.99999997105081995</v>
      </c>
    </row>
    <row r="6310" spans="1:40" x14ac:dyDescent="0.25">
      <c r="A6310" t="str">
        <f>"20190304164533446"</f>
        <v>20190304164533446</v>
      </c>
      <c r="B6310" t="str">
        <f>"1551689133436190"</f>
        <v>1551689133436190</v>
      </c>
      <c r="C6310" t="s">
        <v>40</v>
      </c>
      <c r="D6310">
        <v>5.127821</v>
      </c>
      <c r="E6310">
        <v>0.55459049999999999</v>
      </c>
      <c r="F6310" t="s">
        <v>41</v>
      </c>
      <c r="G6310">
        <v>-187.4864</v>
      </c>
      <c r="H6310">
        <v>0.99762209999999996</v>
      </c>
      <c r="I6310">
        <v>101.0102</v>
      </c>
      <c r="J6310">
        <v>-187.52180000000001</v>
      </c>
      <c r="K6310">
        <v>1.111459</v>
      </c>
      <c r="L6310">
        <v>100.5359</v>
      </c>
      <c r="M6310">
        <v>-3.331862E-2</v>
      </c>
      <c r="N6310">
        <v>-1.6293220000000001E-2</v>
      </c>
      <c r="O6310">
        <v>0.99931199999999998</v>
      </c>
      <c r="P6310">
        <v>-4.8067940000000003E-2</v>
      </c>
      <c r="Q6310">
        <v>0.38262160000000001</v>
      </c>
      <c r="R6310">
        <v>0.92265390000000003</v>
      </c>
      <c r="S6310">
        <v>8.9675899999999906E-2</v>
      </c>
      <c r="T6310">
        <v>-0.45525939999999998</v>
      </c>
      <c r="U6310">
        <v>3.4410099999999999</v>
      </c>
      <c r="V6310">
        <v>-1.7751340000000001E-2</v>
      </c>
      <c r="W6310">
        <v>0.39760119999999999</v>
      </c>
      <c r="X6310">
        <v>0.91738660000000005</v>
      </c>
      <c r="Y6310">
        <v>5.910543E-2</v>
      </c>
      <c r="Z6310">
        <v>-0.11473849999999999</v>
      </c>
      <c r="AA6310">
        <v>0.99163579999999996</v>
      </c>
      <c r="AB6310">
        <v>42</v>
      </c>
      <c r="AC6310">
        <v>3.5400000000009799E-2</v>
      </c>
      <c r="AD6310">
        <v>-0.1138369</v>
      </c>
      <c r="AE6310">
        <v>0.474299999999999</v>
      </c>
      <c r="AF6310">
        <v>4.8412129259333102E-2</v>
      </c>
      <c r="AG6310">
        <v>-0.1138369</v>
      </c>
      <c r="AH6310">
        <v>0.447236626355211</v>
      </c>
      <c r="AI6310">
        <v>104.200903028063</v>
      </c>
      <c r="AJ6310">
        <v>83.821945591684496</v>
      </c>
      <c r="AK6310">
        <v>0.46402928141942001</v>
      </c>
      <c r="AL6310">
        <v>66.571696670399703</v>
      </c>
      <c r="AM6310">
        <v>91.108529330696101</v>
      </c>
      <c r="AN6310">
        <v>0.99999999908639703</v>
      </c>
    </row>
    <row r="6311" spans="1:40" x14ac:dyDescent="0.25">
      <c r="A6311" t="str">
        <f>"20190304164533469"</f>
        <v>20190304164533469</v>
      </c>
      <c r="B6311" t="str">
        <f>"1551689133456686"</f>
        <v>1551689133456686</v>
      </c>
      <c r="C6311" t="s">
        <v>40</v>
      </c>
      <c r="D6311">
        <v>5.3438119999999998</v>
      </c>
      <c r="E6311">
        <v>0.55458640000000003</v>
      </c>
      <c r="F6311" t="s">
        <v>41</v>
      </c>
      <c r="G6311">
        <v>-187.49639999999999</v>
      </c>
      <c r="H6311">
        <v>1.0006889999999999</v>
      </c>
      <c r="I6311">
        <v>101.3879</v>
      </c>
      <c r="J6311">
        <v>-187.536</v>
      </c>
      <c r="K6311">
        <v>1.1113569999999999</v>
      </c>
      <c r="L6311">
        <v>100.958</v>
      </c>
      <c r="M6311">
        <v>-3.3291469999999997E-2</v>
      </c>
      <c r="N6311">
        <v>-1.6722959999999999E-2</v>
      </c>
      <c r="O6311">
        <v>0.99930580000000002</v>
      </c>
      <c r="P6311">
        <v>-4.3590169999999998E-2</v>
      </c>
      <c r="Q6311">
        <v>0.38501489999999999</v>
      </c>
      <c r="R6311">
        <v>0.92188040000000004</v>
      </c>
      <c r="S6311">
        <v>0.1025543</v>
      </c>
      <c r="T6311">
        <v>-0.44757390000000002</v>
      </c>
      <c r="U6311">
        <v>3.4424130000000002</v>
      </c>
      <c r="V6311">
        <v>-1.3162460000000001E-2</v>
      </c>
      <c r="W6311">
        <v>0.40038380000000001</v>
      </c>
      <c r="X6311">
        <v>0.91625299999999998</v>
      </c>
      <c r="Y6311">
        <v>6.2778099999999906E-2</v>
      </c>
      <c r="Z6311">
        <v>-0.1120603</v>
      </c>
      <c r="AA6311">
        <v>0.99171640000000005</v>
      </c>
      <c r="AB6311">
        <v>42</v>
      </c>
      <c r="AC6311">
        <v>3.9599999999978701E-2</v>
      </c>
      <c r="AD6311">
        <v>-0.110668</v>
      </c>
      <c r="AE6311">
        <v>0.429900000000003</v>
      </c>
      <c r="AF6311">
        <v>5.0569088888712602E-2</v>
      </c>
      <c r="AG6311">
        <v>-0.110668</v>
      </c>
      <c r="AH6311">
        <v>0.401931672470142</v>
      </c>
      <c r="AI6311">
        <v>105.27961267499001</v>
      </c>
      <c r="AJ6311">
        <v>82.829002822371507</v>
      </c>
      <c r="AK6311">
        <v>0.41994488722888401</v>
      </c>
      <c r="AL6311">
        <v>66.397826110788301</v>
      </c>
      <c r="AM6311">
        <v>90.823027629495698</v>
      </c>
      <c r="AN6311">
        <v>0.99999999883234503</v>
      </c>
    </row>
    <row r="6312" spans="1:40" x14ac:dyDescent="0.25">
      <c r="A6312" t="str">
        <f>"20190304164533493"</f>
        <v>20190304164533493</v>
      </c>
      <c r="B6312" t="str">
        <f>"1551689133485966"</f>
        <v>1551689133485966</v>
      </c>
      <c r="C6312" t="s">
        <v>40</v>
      </c>
      <c r="D6312">
        <v>5.1136030000000003</v>
      </c>
      <c r="E6312">
        <v>0.55454429999999999</v>
      </c>
      <c r="F6312" t="s">
        <v>41</v>
      </c>
      <c r="G6312">
        <v>-187.50819999999999</v>
      </c>
      <c r="H6312">
        <v>1.0082249999999999</v>
      </c>
      <c r="I6312">
        <v>101.7667</v>
      </c>
      <c r="J6312">
        <v>-187.55119999999999</v>
      </c>
      <c r="K6312">
        <v>1.1111799999999901</v>
      </c>
      <c r="L6312">
        <v>101.4208</v>
      </c>
      <c r="M6312">
        <v>-3.299444E-2</v>
      </c>
      <c r="N6312">
        <v>-1.717219E-2</v>
      </c>
      <c r="O6312">
        <v>0.99930799999999997</v>
      </c>
      <c r="P6312">
        <v>-3.9347849999999997E-2</v>
      </c>
      <c r="Q6312">
        <v>0.3854572</v>
      </c>
      <c r="R6312">
        <v>0.92188639999999999</v>
      </c>
      <c r="S6312">
        <v>0.1182251</v>
      </c>
      <c r="T6312">
        <v>-0.43911719999999999</v>
      </c>
      <c r="U6312">
        <v>3.4432070000000001</v>
      </c>
      <c r="V6312">
        <v>-8.9705010000000005E-3</v>
      </c>
      <c r="W6312">
        <v>0.40124349999999998</v>
      </c>
      <c r="X6312">
        <v>0.91592750000000001</v>
      </c>
      <c r="Y6312">
        <v>6.6988039999999999E-2</v>
      </c>
      <c r="Z6312">
        <v>-0.1091623</v>
      </c>
      <c r="AA6312">
        <v>0.99176419999999998</v>
      </c>
      <c r="AB6312">
        <v>42</v>
      </c>
      <c r="AC6312">
        <v>4.3000000000006297E-2</v>
      </c>
      <c r="AD6312">
        <v>-0.10295499999999901</v>
      </c>
      <c r="AE6312">
        <v>0.34589999999999999</v>
      </c>
      <c r="AF6312">
        <v>5.0026545062579197E-2</v>
      </c>
      <c r="AG6312">
        <v>-0.10295499999999901</v>
      </c>
      <c r="AH6312">
        <v>0.31666559679989098</v>
      </c>
      <c r="AI6312">
        <v>107.803873188076</v>
      </c>
      <c r="AJ6312">
        <v>81.022657531405997</v>
      </c>
      <c r="AK6312">
        <v>0.33671870668635201</v>
      </c>
      <c r="AL6312">
        <v>66.344061307103402</v>
      </c>
      <c r="AM6312">
        <v>90.561131110151806</v>
      </c>
      <c r="AN6312">
        <v>1.0000000007183401</v>
      </c>
    </row>
    <row r="6313" spans="1:40" x14ac:dyDescent="0.25">
      <c r="A6313" t="str">
        <f>"20190304164533517"</f>
        <v>20190304164533517</v>
      </c>
      <c r="B6313" t="str">
        <f>"1551689133506462"</f>
        <v>1551689133506462</v>
      </c>
      <c r="C6313" t="s">
        <v>40</v>
      </c>
      <c r="D6313">
        <v>5.1092230000000001</v>
      </c>
      <c r="E6313">
        <v>0.5545156</v>
      </c>
      <c r="F6313" t="s">
        <v>41</v>
      </c>
      <c r="G6313">
        <v>-187.5232</v>
      </c>
      <c r="H6313">
        <v>1.0188969999999999</v>
      </c>
      <c r="I6313">
        <v>102.14579999999999</v>
      </c>
      <c r="J6313">
        <v>-187.56469999999999</v>
      </c>
      <c r="K6313">
        <v>1.110954</v>
      </c>
      <c r="L6313">
        <v>101.8415</v>
      </c>
      <c r="M6313">
        <v>-3.2386819999999997E-2</v>
      </c>
      <c r="N6313">
        <v>-1.752683E-2</v>
      </c>
      <c r="O6313">
        <v>0.99932169999999998</v>
      </c>
      <c r="P6313">
        <v>-3.56748E-2</v>
      </c>
      <c r="Q6313">
        <v>0.3847643</v>
      </c>
      <c r="R6313">
        <v>0.92232519999999996</v>
      </c>
      <c r="S6313">
        <v>0.13302610000000001</v>
      </c>
      <c r="T6313">
        <v>-0.43828440000000002</v>
      </c>
      <c r="U6313">
        <v>3.443146</v>
      </c>
      <c r="V6313">
        <v>-5.5892229999999999E-3</v>
      </c>
      <c r="W6313">
        <v>0.40088489999999999</v>
      </c>
      <c r="X6313">
        <v>0.91611140000000002</v>
      </c>
      <c r="Y6313">
        <v>7.0635459999999997E-2</v>
      </c>
      <c r="Z6313">
        <v>-0.1085528</v>
      </c>
      <c r="AA6313">
        <v>0.99157799999999996</v>
      </c>
      <c r="AB6313">
        <v>42</v>
      </c>
      <c r="AC6313">
        <v>4.1499999999984903E-2</v>
      </c>
      <c r="AD6313">
        <v>-9.2057E-2</v>
      </c>
      <c r="AE6313">
        <v>0.30429999999999702</v>
      </c>
      <c r="AF6313">
        <v>4.7102959025685801E-2</v>
      </c>
      <c r="AG6313">
        <v>-9.2057E-2</v>
      </c>
      <c r="AH6313">
        <v>0.27783339708079502</v>
      </c>
      <c r="AI6313">
        <v>108.09104100052301</v>
      </c>
      <c r="AJ6313">
        <v>80.377755837746804</v>
      </c>
      <c r="AK6313">
        <v>0.29645332943218899</v>
      </c>
      <c r="AL6313">
        <v>66.366490985569101</v>
      </c>
      <c r="AM6313">
        <v>90.349558924138705</v>
      </c>
      <c r="AN6313">
        <v>1.0000000198358501</v>
      </c>
    </row>
    <row r="6314" spans="1:40" x14ac:dyDescent="0.25">
      <c r="A6314" t="str">
        <f>"20190304164533538"</f>
        <v>20190304164533538</v>
      </c>
      <c r="B6314" t="str">
        <f>"1551689133526958"</f>
        <v>1551689133526958</v>
      </c>
      <c r="C6314" t="s">
        <v>40</v>
      </c>
      <c r="D6314">
        <v>5.286689</v>
      </c>
      <c r="E6314">
        <v>0.55443889999999996</v>
      </c>
      <c r="F6314" t="s">
        <v>41</v>
      </c>
      <c r="G6314">
        <v>-187.52080000000001</v>
      </c>
      <c r="H6314">
        <v>0.97895100000000002</v>
      </c>
      <c r="I6314">
        <v>102.87139999999999</v>
      </c>
      <c r="J6314">
        <v>-187.5772</v>
      </c>
      <c r="K6314">
        <v>1.1106910000000001</v>
      </c>
      <c r="L6314">
        <v>102.25</v>
      </c>
      <c r="M6314">
        <v>-3.1488200000000001E-2</v>
      </c>
      <c r="N6314">
        <v>-1.782744E-2</v>
      </c>
      <c r="O6314">
        <v>0.99934509999999999</v>
      </c>
      <c r="P6314">
        <v>-3.2468360000000002E-2</v>
      </c>
      <c r="Q6314">
        <v>0.3843782</v>
      </c>
      <c r="R6314">
        <v>0.9226046</v>
      </c>
      <c r="S6314">
        <v>0.14646909999999999</v>
      </c>
      <c r="T6314">
        <v>-0.4411967</v>
      </c>
      <c r="U6314">
        <v>3.442383</v>
      </c>
      <c r="V6314">
        <v>-2.9207230000000001E-3</v>
      </c>
      <c r="W6314">
        <v>0.40077869999999999</v>
      </c>
      <c r="X6314">
        <v>0.91617020000000005</v>
      </c>
      <c r="Y6314">
        <v>7.3604030000000001E-2</v>
      </c>
      <c r="Z6314">
        <v>-0.1090879</v>
      </c>
      <c r="AA6314">
        <v>0.9913033</v>
      </c>
      <c r="AB6314">
        <v>42</v>
      </c>
      <c r="AC6314">
        <v>5.6399999999996397E-2</v>
      </c>
      <c r="AD6314">
        <v>-0.13174</v>
      </c>
      <c r="AE6314">
        <v>0.62139999999999396</v>
      </c>
      <c r="AF6314">
        <v>7.2700969027849102E-2</v>
      </c>
      <c r="AG6314">
        <v>-0.13174</v>
      </c>
      <c r="AH6314">
        <v>0.59288534321197695</v>
      </c>
      <c r="AI6314">
        <v>102.43744825831099</v>
      </c>
      <c r="AJ6314">
        <v>83.009158527682104</v>
      </c>
      <c r="AK6314">
        <v>0.61168119857747205</v>
      </c>
      <c r="AL6314">
        <v>66.373131348606293</v>
      </c>
      <c r="AM6314">
        <v>90.182656600391894</v>
      </c>
      <c r="AN6314">
        <v>0.99999996618228504</v>
      </c>
    </row>
    <row r="6315" spans="1:40" x14ac:dyDescent="0.25">
      <c r="A6315" t="str">
        <f>"20190304164533562"</f>
        <v>20190304164533562</v>
      </c>
      <c r="B6315" t="str">
        <f>"1551689133556238"</f>
        <v>1551689133556238</v>
      </c>
      <c r="C6315" t="s">
        <v>40</v>
      </c>
      <c r="D6315">
        <v>5.4374070000000003</v>
      </c>
      <c r="E6315">
        <v>0.55454369999999997</v>
      </c>
      <c r="F6315" t="s">
        <v>41</v>
      </c>
      <c r="G6315">
        <v>-187.53100000000001</v>
      </c>
      <c r="H6315">
        <v>0.98255009999999998</v>
      </c>
      <c r="I6315">
        <v>103.2441</v>
      </c>
      <c r="J6315">
        <v>-187.58930000000001</v>
      </c>
      <c r="K6315">
        <v>1.1104019999999999</v>
      </c>
      <c r="L6315">
        <v>102.6703</v>
      </c>
      <c r="M6315">
        <v>-3.0273339999999999E-2</v>
      </c>
      <c r="N6315">
        <v>-1.810144E-2</v>
      </c>
      <c r="O6315">
        <v>0.99937770000000004</v>
      </c>
      <c r="P6315">
        <v>-2.8949829999999999E-2</v>
      </c>
      <c r="Q6315">
        <v>0.38460440000000001</v>
      </c>
      <c r="R6315">
        <v>0.92262739999999999</v>
      </c>
      <c r="S6315">
        <v>0.15931699999999999</v>
      </c>
      <c r="T6315">
        <v>-0.44368079999999999</v>
      </c>
      <c r="U6315">
        <v>3.4421080000000002</v>
      </c>
      <c r="V6315">
        <v>-2.2390109999999999E-4</v>
      </c>
      <c r="W6315">
        <v>0.40125189999999999</v>
      </c>
      <c r="X6315">
        <v>0.9159678</v>
      </c>
      <c r="Y6315">
        <v>7.6080200000000001E-2</v>
      </c>
      <c r="Z6315">
        <v>-0.1095135</v>
      </c>
      <c r="AA6315">
        <v>0.99106939999999999</v>
      </c>
      <c r="AB6315">
        <v>42</v>
      </c>
      <c r="AC6315">
        <v>5.8300000000031098E-2</v>
      </c>
      <c r="AD6315">
        <v>-0.12785189999999999</v>
      </c>
      <c r="AE6315">
        <v>0.57380000000000497</v>
      </c>
      <c r="AF6315">
        <v>7.21037970394591E-2</v>
      </c>
      <c r="AG6315">
        <v>-0.12785189999999999</v>
      </c>
      <c r="AH6315">
        <v>0.54499097169845601</v>
      </c>
      <c r="AI6315">
        <v>103.092424814642</v>
      </c>
      <c r="AJ6315">
        <v>82.463381861723903</v>
      </c>
      <c r="AK6315">
        <v>0.56441139704469501</v>
      </c>
      <c r="AL6315">
        <v>66.343537709433093</v>
      </c>
      <c r="AM6315">
        <v>90.014005500851397</v>
      </c>
      <c r="AN6315">
        <v>1.0000000740110699</v>
      </c>
    </row>
    <row r="6316" spans="1:40" x14ac:dyDescent="0.25">
      <c r="A6316" t="str">
        <f>"20190304164533583"</f>
        <v>20190304164533583</v>
      </c>
      <c r="B6316" t="str">
        <f>"1551689133576734"</f>
        <v>1551689133576734</v>
      </c>
      <c r="C6316" t="s">
        <v>40</v>
      </c>
      <c r="D6316">
        <v>5.2411770000000004</v>
      </c>
      <c r="E6316">
        <v>0.57211730000000005</v>
      </c>
      <c r="F6316" t="s">
        <v>41</v>
      </c>
      <c r="G6316">
        <v>-187.54140000000001</v>
      </c>
      <c r="H6316">
        <v>0.988479</v>
      </c>
      <c r="I6316">
        <v>103.6168</v>
      </c>
      <c r="J6316">
        <v>-187.60040000000001</v>
      </c>
      <c r="K6316">
        <v>1.110115</v>
      </c>
      <c r="L6316">
        <v>103.0789</v>
      </c>
      <c r="M6316">
        <v>-2.8790179999999999E-2</v>
      </c>
      <c r="N6316">
        <v>-1.8332870000000001E-2</v>
      </c>
      <c r="O6316">
        <v>0.99941740000000001</v>
      </c>
      <c r="P6316">
        <v>-2.4637220000000001E-2</v>
      </c>
      <c r="Q6316">
        <v>0.38526470000000002</v>
      </c>
      <c r="R6316">
        <v>0.9224772</v>
      </c>
      <c r="S6316">
        <v>0.17448429999999901</v>
      </c>
      <c r="T6316">
        <v>-0.44338689999999997</v>
      </c>
      <c r="U6316">
        <v>3.4418950000000001</v>
      </c>
      <c r="V6316">
        <v>3.0096150000000002E-3</v>
      </c>
      <c r="W6316">
        <v>0.40211079999999999</v>
      </c>
      <c r="X6316">
        <v>0.91558609999999896</v>
      </c>
      <c r="Y6316">
        <v>7.8956689999999996E-2</v>
      </c>
      <c r="Z6316">
        <v>-0.10918799999999999</v>
      </c>
      <c r="AA6316">
        <v>0.99088030000000005</v>
      </c>
      <c r="AB6316">
        <v>41</v>
      </c>
      <c r="AC6316">
        <v>5.8999999999997499E-2</v>
      </c>
      <c r="AD6316">
        <v>-0.12163599999999899</v>
      </c>
      <c r="AE6316">
        <v>0.53789999999999305</v>
      </c>
      <c r="AF6316">
        <v>7.0882845663159805E-2</v>
      </c>
      <c r="AG6316">
        <v>-0.12163599999999899</v>
      </c>
      <c r="AH6316">
        <v>0.51019899379835798</v>
      </c>
      <c r="AI6316">
        <v>103.286479362267</v>
      </c>
      <c r="AJ6316">
        <v>82.090427297885995</v>
      </c>
      <c r="AK6316">
        <v>0.52926619727521296</v>
      </c>
      <c r="AL6316">
        <v>66.289799489340794</v>
      </c>
      <c r="AM6316">
        <v>89.811664226444606</v>
      </c>
      <c r="AN6316">
        <v>1.00000002988614</v>
      </c>
    </row>
    <row r="6317" spans="1:40" x14ac:dyDescent="0.25">
      <c r="A6317" t="str">
        <f>"20190304164533605"</f>
        <v>20190304164533605</v>
      </c>
      <c r="B6317" t="str">
        <f>"1551689133596254"</f>
        <v>1551689133596254</v>
      </c>
      <c r="C6317" t="s">
        <v>40</v>
      </c>
      <c r="D6317">
        <v>5.296144</v>
      </c>
      <c r="E6317">
        <v>0.57309919999999903</v>
      </c>
      <c r="F6317" t="s">
        <v>41</v>
      </c>
      <c r="G6317">
        <v>-187.51859999999999</v>
      </c>
      <c r="H6317">
        <v>0.96563900000000003</v>
      </c>
      <c r="I6317">
        <v>103.9755</v>
      </c>
      <c r="J6317">
        <v>-187.6103</v>
      </c>
      <c r="K6317">
        <v>1.1098170000000001</v>
      </c>
      <c r="L6317">
        <v>103.47539999999999</v>
      </c>
      <c r="M6317">
        <v>-2.7035590000000002E-2</v>
      </c>
      <c r="N6317">
        <v>-1.8520970000000001E-2</v>
      </c>
      <c r="O6317">
        <v>0.99946290000000004</v>
      </c>
      <c r="P6317">
        <v>-1.9538460000000001E-2</v>
      </c>
      <c r="Q6317">
        <v>0.3856366</v>
      </c>
      <c r="R6317">
        <v>0.92244389999999998</v>
      </c>
      <c r="S6317">
        <v>0.318222</v>
      </c>
      <c r="T6317">
        <v>-0.56328800000000001</v>
      </c>
      <c r="U6317">
        <v>3.4958800000000001</v>
      </c>
      <c r="V6317">
        <v>6.7812590000000004E-3</v>
      </c>
      <c r="W6317">
        <v>0.4026381</v>
      </c>
      <c r="X6317">
        <v>0.91533410000000004</v>
      </c>
      <c r="Y6317">
        <v>0.11646380000000001</v>
      </c>
      <c r="Z6317">
        <v>-0.13979430000000001</v>
      </c>
      <c r="AA6317">
        <v>0.9833075</v>
      </c>
      <c r="AB6317">
        <v>41</v>
      </c>
      <c r="AC6317">
        <v>9.1700000000003001E-2</v>
      </c>
      <c r="AD6317">
        <v>-0.144178</v>
      </c>
      <c r="AE6317">
        <v>0.50010000000000299</v>
      </c>
      <c r="AF6317">
        <v>9.7360319957174202E-2</v>
      </c>
      <c r="AG6317">
        <v>-0.144178</v>
      </c>
      <c r="AH6317">
        <v>0.46041455361931799</v>
      </c>
      <c r="AI6317">
        <v>107.033660485526</v>
      </c>
      <c r="AJ6317">
        <v>78.059999763917205</v>
      </c>
      <c r="AK6317">
        <v>0.49218684335386198</v>
      </c>
      <c r="AL6317">
        <v>66.256796464918907</v>
      </c>
      <c r="AM6317">
        <v>89.575531587538293</v>
      </c>
      <c r="AN6317">
        <v>0.99999996983402195</v>
      </c>
    </row>
    <row r="6318" spans="1:40" x14ac:dyDescent="0.25">
      <c r="A6318" t="str">
        <f>"20190304164533626"</f>
        <v>20190304164533626</v>
      </c>
      <c r="B6318" t="str">
        <f>"1551689133616750"</f>
        <v>1551689133616750</v>
      </c>
      <c r="C6318" t="s">
        <v>40</v>
      </c>
      <c r="D6318">
        <v>5.2144360000000001</v>
      </c>
      <c r="E6318">
        <v>0.5732334</v>
      </c>
      <c r="F6318" t="s">
        <v>41</v>
      </c>
      <c r="G6318">
        <v>-187.52440000000001</v>
      </c>
      <c r="H6318">
        <v>0.96857919999999997</v>
      </c>
      <c r="I6318">
        <v>104.34480000000001</v>
      </c>
      <c r="J6318">
        <v>-187.61920000000001</v>
      </c>
      <c r="K6318">
        <v>1.1095029999999999</v>
      </c>
      <c r="L6318">
        <v>103.8729</v>
      </c>
      <c r="M6318">
        <v>-2.495354E-2</v>
      </c>
      <c r="N6318">
        <v>-1.8680700000000001E-2</v>
      </c>
      <c r="O6318">
        <v>0.99951400000000001</v>
      </c>
      <c r="P6318">
        <v>-1.389515E-2</v>
      </c>
      <c r="Q6318">
        <v>0.38502920000000002</v>
      </c>
      <c r="R6318">
        <v>0.92279979999999995</v>
      </c>
      <c r="S6318">
        <v>0.3450317</v>
      </c>
      <c r="T6318">
        <v>-0.56811179999999994</v>
      </c>
      <c r="U6318">
        <v>3.4970699999999999</v>
      </c>
      <c r="V6318">
        <v>1.081443E-2</v>
      </c>
      <c r="W6318">
        <v>0.40216010000000002</v>
      </c>
      <c r="X6318">
        <v>0.91550549999999997</v>
      </c>
      <c r="Y6318">
        <v>0.1218079</v>
      </c>
      <c r="Z6318">
        <v>-0.14081199999999999</v>
      </c>
      <c r="AA6318">
        <v>0.98251460000000002</v>
      </c>
      <c r="AB6318">
        <v>41</v>
      </c>
      <c r="AC6318">
        <v>9.4799999999992196E-2</v>
      </c>
      <c r="AD6318">
        <v>-0.14092379999999999</v>
      </c>
      <c r="AE6318">
        <v>0.47190000000000498</v>
      </c>
      <c r="AF6318">
        <v>9.81358167076124E-2</v>
      </c>
      <c r="AG6318">
        <v>-0.14092379999999999</v>
      </c>
      <c r="AH6318">
        <v>0.432327517434278</v>
      </c>
      <c r="AI6318">
        <v>107.634350527428</v>
      </c>
      <c r="AJ6318">
        <v>77.2109122761116</v>
      </c>
      <c r="AK6318">
        <v>0.46518516556119499</v>
      </c>
      <c r="AL6318">
        <v>66.286713841735306</v>
      </c>
      <c r="AM6318">
        <v>89.323223749620297</v>
      </c>
      <c r="AN6318">
        <v>1.00000000922924</v>
      </c>
    </row>
    <row r="6319" spans="1:40" x14ac:dyDescent="0.25">
      <c r="A6319" t="str">
        <f>"20190304164533647"</f>
        <v>20190304164533647</v>
      </c>
      <c r="B6319" t="str">
        <f>"1551689133636274"</f>
        <v>1551689133636274</v>
      </c>
      <c r="C6319" t="s">
        <v>40</v>
      </c>
      <c r="D6319">
        <v>5.2796339999999997</v>
      </c>
      <c r="E6319">
        <v>0.57327119999999998</v>
      </c>
      <c r="F6319" t="s">
        <v>41</v>
      </c>
      <c r="G6319">
        <v>-187.53120000000001</v>
      </c>
      <c r="H6319">
        <v>0.97108340000000004</v>
      </c>
      <c r="I6319">
        <v>104.7128</v>
      </c>
      <c r="J6319">
        <v>-187.6268</v>
      </c>
      <c r="K6319">
        <v>1.1091959999999901</v>
      </c>
      <c r="L6319">
        <v>104.2589</v>
      </c>
      <c r="M6319">
        <v>-2.2631269999999998E-2</v>
      </c>
      <c r="N6319">
        <v>-1.8814939999999999E-2</v>
      </c>
      <c r="O6319">
        <v>0.99956679999999998</v>
      </c>
      <c r="P6319">
        <v>-7.5363499999999998E-3</v>
      </c>
      <c r="Q6319">
        <v>0.38389299999999998</v>
      </c>
      <c r="R6319">
        <v>0.92334689999999997</v>
      </c>
      <c r="S6319">
        <v>0.3660736</v>
      </c>
      <c r="T6319">
        <v>-0.57624770000000003</v>
      </c>
      <c r="U6319">
        <v>3.496918</v>
      </c>
      <c r="V6319">
        <v>1.5338930000000001E-2</v>
      </c>
      <c r="W6319">
        <v>0.40112560000000003</v>
      </c>
      <c r="X6319">
        <v>0.9158946</v>
      </c>
      <c r="Y6319">
        <v>0.1253166</v>
      </c>
      <c r="Z6319">
        <v>-0.1428451</v>
      </c>
      <c r="AA6319">
        <v>0.98177950000000003</v>
      </c>
      <c r="AB6319">
        <v>41</v>
      </c>
      <c r="AC6319">
        <v>9.5599999999990304E-2</v>
      </c>
      <c r="AD6319">
        <v>-0.138112599999999</v>
      </c>
      <c r="AE6319">
        <v>0.45390000000000402</v>
      </c>
      <c r="AF6319">
        <v>9.7229889456306298E-2</v>
      </c>
      <c r="AG6319">
        <v>-0.138112599999999</v>
      </c>
      <c r="AH6319">
        <v>0.41484253453704301</v>
      </c>
      <c r="AI6319">
        <v>107.959775414061</v>
      </c>
      <c r="AJ6319">
        <v>76.809236052765598</v>
      </c>
      <c r="AK6319">
        <v>0.44790966739239202</v>
      </c>
      <c r="AL6319">
        <v>66.3514353020024</v>
      </c>
      <c r="AM6319">
        <v>89.040529556105994</v>
      </c>
      <c r="AN6319">
        <v>0.99999997402903196</v>
      </c>
    </row>
    <row r="6320" spans="1:40" x14ac:dyDescent="0.25">
      <c r="A6320" t="str">
        <f>"20190304164533669"</f>
        <v>20190304164533669</v>
      </c>
      <c r="B6320" t="str">
        <f>"1551689133666527"</f>
        <v>1551689133666527</v>
      </c>
      <c r="C6320" t="s">
        <v>40</v>
      </c>
      <c r="D6320">
        <v>5.2501220000000002</v>
      </c>
      <c r="E6320">
        <v>0.5732275</v>
      </c>
      <c r="F6320" t="s">
        <v>41</v>
      </c>
      <c r="G6320">
        <v>-187.53489999999999</v>
      </c>
      <c r="H6320">
        <v>0.97307220000000005</v>
      </c>
      <c r="I6320">
        <v>105.0797</v>
      </c>
      <c r="J6320">
        <v>-187.6335</v>
      </c>
      <c r="K6320">
        <v>1.1088800000000001</v>
      </c>
      <c r="L6320">
        <v>104.6628</v>
      </c>
      <c r="M6320">
        <v>-1.990656E-2</v>
      </c>
      <c r="N6320">
        <v>-1.8936729999999999E-2</v>
      </c>
      <c r="O6320">
        <v>0.99962249999999997</v>
      </c>
      <c r="P6320">
        <v>-7.1224759999999896E-4</v>
      </c>
      <c r="Q6320">
        <v>0.3829052</v>
      </c>
      <c r="R6320">
        <v>0.92378740000000004</v>
      </c>
      <c r="S6320">
        <v>0.39089970000000002</v>
      </c>
      <c r="T6320">
        <v>-0.57931730000000003</v>
      </c>
      <c r="U6320">
        <v>3.4931030000000001</v>
      </c>
      <c r="V6320">
        <v>1.996334E-2</v>
      </c>
      <c r="W6320">
        <v>0.40021990000000002</v>
      </c>
      <c r="X6320">
        <v>0.91620170000000001</v>
      </c>
      <c r="Y6320">
        <v>0.12959619999999999</v>
      </c>
      <c r="Z6320">
        <v>-0.14364640000000001</v>
      </c>
      <c r="AA6320">
        <v>0.98110679999999995</v>
      </c>
      <c r="AB6320">
        <v>41</v>
      </c>
      <c r="AC6320">
        <v>9.8600000000004601E-2</v>
      </c>
      <c r="AD6320">
        <v>-0.13580779999999901</v>
      </c>
      <c r="AE6320">
        <v>0.41689999999999799</v>
      </c>
      <c r="AF6320">
        <v>9.7120755552711102E-2</v>
      </c>
      <c r="AG6320">
        <v>-0.13580779999999901</v>
      </c>
      <c r="AH6320">
        <v>0.37697027378915898</v>
      </c>
      <c r="AI6320">
        <v>109.232299686063</v>
      </c>
      <c r="AJ6320">
        <v>75.552778450043704</v>
      </c>
      <c r="AK6320">
        <v>0.41228968822982098</v>
      </c>
      <c r="AL6320">
        <v>66.408074523218005</v>
      </c>
      <c r="AM6320">
        <v>88.751765946552695</v>
      </c>
      <c r="AN6320">
        <v>1.0000000291914199</v>
      </c>
    </row>
    <row r="6321" spans="1:40" x14ac:dyDescent="0.25">
      <c r="A6321" t="str">
        <f>"20190304164533692"</f>
        <v>20190304164533692</v>
      </c>
      <c r="B6321" t="str">
        <f>"1551689133686047"</f>
        <v>1551689133686047</v>
      </c>
      <c r="C6321" t="s">
        <v>40</v>
      </c>
      <c r="D6321">
        <v>5.2681440000000004</v>
      </c>
      <c r="E6321">
        <v>0.5732216</v>
      </c>
      <c r="F6321" t="s">
        <v>41</v>
      </c>
      <c r="G6321">
        <v>-187.53970000000001</v>
      </c>
      <c r="H6321">
        <v>0.97787869999999999</v>
      </c>
      <c r="I6321">
        <v>105.4468</v>
      </c>
      <c r="J6321">
        <v>-187.63919999999999</v>
      </c>
      <c r="K6321">
        <v>1.108562</v>
      </c>
      <c r="L6321">
        <v>105.0934</v>
      </c>
      <c r="M6321">
        <v>-1.6696559999999999E-2</v>
      </c>
      <c r="N6321">
        <v>-1.9047749999999999E-2</v>
      </c>
      <c r="O6321">
        <v>0.99967910000000004</v>
      </c>
      <c r="P6321">
        <v>6.3671350000000003E-3</v>
      </c>
      <c r="Q6321">
        <v>0.38187120000000002</v>
      </c>
      <c r="R6321">
        <v>0.92419370000000001</v>
      </c>
      <c r="S6321">
        <v>0.41668699999999997</v>
      </c>
      <c r="T6321">
        <v>-0.58292709999999903</v>
      </c>
      <c r="U6321">
        <v>3.4894409999999998</v>
      </c>
      <c r="V6321">
        <v>2.439757E-2</v>
      </c>
      <c r="W6321">
        <v>0.39925139999999998</v>
      </c>
      <c r="X6321">
        <v>0.91651680000000002</v>
      </c>
      <c r="Y6321">
        <v>0.13365369999999999</v>
      </c>
      <c r="Z6321">
        <v>-0.14459540000000001</v>
      </c>
      <c r="AA6321">
        <v>0.98042280000000004</v>
      </c>
      <c r="AB6321">
        <v>41</v>
      </c>
      <c r="AC6321">
        <v>9.9499999999977704E-2</v>
      </c>
      <c r="AD6321">
        <v>-0.1306833</v>
      </c>
      <c r="AE6321">
        <v>0.353399999999993</v>
      </c>
      <c r="AF6321">
        <v>9.3536663236139794E-2</v>
      </c>
      <c r="AG6321">
        <v>-0.1306833</v>
      </c>
      <c r="AH6321">
        <v>0.31214085727944002</v>
      </c>
      <c r="AI6321">
        <v>111.853167623883</v>
      </c>
      <c r="AJ6321">
        <v>73.3185395824067</v>
      </c>
      <c r="AK6321">
        <v>0.35108282078647002</v>
      </c>
      <c r="AL6321">
        <v>66.468611365555901</v>
      </c>
      <c r="AM6321">
        <v>88.475153161962396</v>
      </c>
      <c r="AN6321">
        <v>0.99999998325305195</v>
      </c>
    </row>
    <row r="6322" spans="1:40" x14ac:dyDescent="0.25">
      <c r="A6322" t="str">
        <f>"20190304164533715"</f>
        <v>20190304164533715</v>
      </c>
      <c r="B6322" t="str">
        <f>"1551689133706542"</f>
        <v>1551689133706542</v>
      </c>
      <c r="C6322" t="s">
        <v>40</v>
      </c>
      <c r="D6322">
        <v>5.1861610000000002</v>
      </c>
      <c r="E6322">
        <v>0.57332620000000001</v>
      </c>
      <c r="F6322" t="s">
        <v>41</v>
      </c>
      <c r="G6322">
        <v>-187.5471</v>
      </c>
      <c r="H6322">
        <v>0.98730169999999995</v>
      </c>
      <c r="I6322">
        <v>105.8151</v>
      </c>
      <c r="J6322">
        <v>-187.6429</v>
      </c>
      <c r="K6322">
        <v>1.108282</v>
      </c>
      <c r="L6322">
        <v>105.4905</v>
      </c>
      <c r="M6322">
        <v>-1.345288E-2</v>
      </c>
      <c r="N6322">
        <v>-1.9134459999999999E-2</v>
      </c>
      <c r="O6322">
        <v>0.99972640000000002</v>
      </c>
      <c r="P6322">
        <v>1.279281E-2</v>
      </c>
      <c r="Q6322">
        <v>0.38135920000000001</v>
      </c>
      <c r="R6322">
        <v>0.9243384</v>
      </c>
      <c r="S6322">
        <v>0.44453429999999999</v>
      </c>
      <c r="T6322">
        <v>-0.58543710000000004</v>
      </c>
      <c r="U6322">
        <v>3.4848940000000002</v>
      </c>
      <c r="V6322">
        <v>2.8098069999999999E-2</v>
      </c>
      <c r="W6322">
        <v>0.39877960000000001</v>
      </c>
      <c r="X6322">
        <v>0.91661630000000005</v>
      </c>
      <c r="Y6322">
        <v>0.1382813</v>
      </c>
      <c r="Z6322">
        <v>-0.14528779999999999</v>
      </c>
      <c r="AA6322">
        <v>0.97967839999999995</v>
      </c>
      <c r="AB6322">
        <v>41</v>
      </c>
      <c r="AC6322">
        <v>9.5799999999996999E-2</v>
      </c>
      <c r="AD6322">
        <v>-0.1209803</v>
      </c>
      <c r="AE6322">
        <v>0.324600000000003</v>
      </c>
      <c r="AF6322">
        <v>8.8810732291664196E-2</v>
      </c>
      <c r="AG6322">
        <v>-0.1209803</v>
      </c>
      <c r="AH6322">
        <v>0.28665316644994099</v>
      </c>
      <c r="AI6322">
        <v>111.956294023041</v>
      </c>
      <c r="AJ6322">
        <v>72.786000992961206</v>
      </c>
      <c r="AK6322">
        <v>0.32356393030442898</v>
      </c>
      <c r="AL6322">
        <v>66.498093875166305</v>
      </c>
      <c r="AM6322">
        <v>88.244197876241699</v>
      </c>
      <c r="AN6322">
        <v>1.0000000561697799</v>
      </c>
    </row>
    <row r="6323" spans="1:40" x14ac:dyDescent="0.25">
      <c r="A6323" t="str">
        <f>"20190304164533728"</f>
        <v>20190304164533728</v>
      </c>
      <c r="B6323" t="str">
        <f>"1551689133716303"</f>
        <v>1551689133716303</v>
      </c>
      <c r="C6323" t="s">
        <v>40</v>
      </c>
      <c r="D6323">
        <v>5.1830930000000004</v>
      </c>
      <c r="E6323">
        <v>0.57331449999999995</v>
      </c>
      <c r="F6323" t="s">
        <v>41</v>
      </c>
      <c r="G6323">
        <v>-187.5034</v>
      </c>
      <c r="H6323">
        <v>0.93591959999999996</v>
      </c>
      <c r="I6323">
        <v>106.5163</v>
      </c>
      <c r="J6323">
        <v>-187.64439999999999</v>
      </c>
      <c r="K6323">
        <v>1.108117</v>
      </c>
      <c r="L6323">
        <v>105.7411</v>
      </c>
      <c r="M6323">
        <v>-1.1271160000000001E-2</v>
      </c>
      <c r="N6323">
        <v>-1.9187820000000001E-2</v>
      </c>
      <c r="O6323">
        <v>0.99975230000000004</v>
      </c>
      <c r="P6323">
        <v>1.5968369999999999E-2</v>
      </c>
      <c r="Q6323">
        <v>0.38116080000000002</v>
      </c>
      <c r="R6323">
        <v>0.92437080000000005</v>
      </c>
      <c r="S6323">
        <v>0.47293089999999999</v>
      </c>
      <c r="T6323">
        <v>-0.58476399999999995</v>
      </c>
      <c r="U6323">
        <v>3.480286</v>
      </c>
      <c r="V6323">
        <v>2.9418219999999998E-2</v>
      </c>
      <c r="W6323">
        <v>0.39861079999999999</v>
      </c>
      <c r="X6323">
        <v>0.91664829999999997</v>
      </c>
      <c r="Y6323">
        <v>0.14413000000000001</v>
      </c>
      <c r="Z6323">
        <v>-0.14511569999999999</v>
      </c>
      <c r="AA6323">
        <v>0.97886059999999997</v>
      </c>
      <c r="AB6323">
        <v>40</v>
      </c>
      <c r="AC6323">
        <v>0.14099999999999099</v>
      </c>
      <c r="AD6323">
        <v>-0.1721974</v>
      </c>
      <c r="AE6323">
        <v>0.775199999999998</v>
      </c>
      <c r="AF6323">
        <v>0.142904525161208</v>
      </c>
      <c r="AG6323">
        <v>-0.1721974</v>
      </c>
      <c r="AH6323">
        <v>0.73829799583753197</v>
      </c>
      <c r="AI6323">
        <v>102.897550129241</v>
      </c>
      <c r="AJ6323">
        <v>79.045328545736297</v>
      </c>
      <c r="AK6323">
        <v>0.77146456725894197</v>
      </c>
      <c r="AL6323">
        <v>66.508639775326699</v>
      </c>
      <c r="AM6323">
        <v>88.161823334701396</v>
      </c>
      <c r="AN6323">
        <v>1.0000000537187399</v>
      </c>
    </row>
    <row r="6324" spans="1:40" x14ac:dyDescent="0.25">
      <c r="A6324" t="str">
        <f>"20190304164533749"</f>
        <v>20190304164533749</v>
      </c>
      <c r="B6324" t="str">
        <f>"1551689133736798"</f>
        <v>1551689133736798</v>
      </c>
      <c r="C6324" t="s">
        <v>40</v>
      </c>
      <c r="D6324">
        <v>5.2571680000000001</v>
      </c>
      <c r="E6324">
        <v>0.57326650000000001</v>
      </c>
      <c r="F6324" t="s">
        <v>41</v>
      </c>
      <c r="G6324">
        <v>-187.5334</v>
      </c>
      <c r="H6324">
        <v>0.97475330000000004</v>
      </c>
      <c r="I6324">
        <v>106.5339</v>
      </c>
      <c r="J6324">
        <v>-187.6455</v>
      </c>
      <c r="K6324">
        <v>1.10791</v>
      </c>
      <c r="L6324">
        <v>106.098</v>
      </c>
      <c r="M6324">
        <v>-8.0471710000000005E-3</v>
      </c>
      <c r="N6324">
        <v>-1.9274599999999999E-2</v>
      </c>
      <c r="O6324">
        <v>0.99978180000000005</v>
      </c>
      <c r="P6324">
        <v>2.104454E-2</v>
      </c>
      <c r="Q6324">
        <v>0.38138509999999998</v>
      </c>
      <c r="R6324">
        <v>0.92417669999999996</v>
      </c>
      <c r="S6324">
        <v>0.48652649999999997</v>
      </c>
      <c r="T6324">
        <v>-0.58510229999999996</v>
      </c>
      <c r="U6324">
        <v>3.4783019999999998</v>
      </c>
      <c r="V6324">
        <v>3.1727699999999998E-2</v>
      </c>
      <c r="W6324">
        <v>0.39887850000000002</v>
      </c>
      <c r="X6324">
        <v>0.91645480000000001</v>
      </c>
      <c r="Y6324">
        <v>0.14476520000000001</v>
      </c>
      <c r="Z6324">
        <v>-0.14517439999999901</v>
      </c>
      <c r="AA6324">
        <v>0.97875809999999996</v>
      </c>
      <c r="AB6324">
        <v>40</v>
      </c>
      <c r="AC6324">
        <v>0.11209999999999801</v>
      </c>
      <c r="AD6324">
        <v>-0.13315669999999899</v>
      </c>
      <c r="AE6324">
        <v>0.43590000000000301</v>
      </c>
      <c r="AF6324">
        <v>0.106300654899797</v>
      </c>
      <c r="AG6324">
        <v>-0.13315669999999899</v>
      </c>
      <c r="AH6324">
        <v>0.39997518393623299</v>
      </c>
      <c r="AI6324">
        <v>107.835239650587</v>
      </c>
      <c r="AJ6324">
        <v>75.116658246246104</v>
      </c>
      <c r="AK6324">
        <v>0.434753589694023</v>
      </c>
      <c r="AL6324">
        <v>66.491914509790206</v>
      </c>
      <c r="AM6324">
        <v>88.0172098388271</v>
      </c>
      <c r="AN6324">
        <v>1.00000005257628</v>
      </c>
    </row>
    <row r="6325" spans="1:40" x14ac:dyDescent="0.25">
      <c r="A6325" t="str">
        <f>"20190304164533771"</f>
        <v>20190304164533771</v>
      </c>
      <c r="B6325" t="str">
        <f>"1551689133766079"</f>
        <v>1551689133766079</v>
      </c>
      <c r="C6325" t="s">
        <v>40</v>
      </c>
      <c r="D6325">
        <v>5.2130999999999998</v>
      </c>
      <c r="E6325">
        <v>0.57325470000000001</v>
      </c>
      <c r="F6325" t="s">
        <v>41</v>
      </c>
      <c r="G6325">
        <v>-187.52889999999999</v>
      </c>
      <c r="H6325">
        <v>0.97428689999999996</v>
      </c>
      <c r="I6325">
        <v>106.8942</v>
      </c>
      <c r="J6325">
        <v>-187.64529999999999</v>
      </c>
      <c r="K6325">
        <v>1.1076889999999999</v>
      </c>
      <c r="L6325">
        <v>106.5129</v>
      </c>
      <c r="M6325">
        <v>-4.1048200000000003E-3</v>
      </c>
      <c r="N6325">
        <v>-1.938571E-2</v>
      </c>
      <c r="O6325">
        <v>0.99980369999999996</v>
      </c>
      <c r="P6325">
        <v>2.7213439999999998E-2</v>
      </c>
      <c r="Q6325">
        <v>0.38223370000000001</v>
      </c>
      <c r="R6325">
        <v>0.92366490000000001</v>
      </c>
      <c r="S6325">
        <v>0.50849909999999998</v>
      </c>
      <c r="T6325">
        <v>-0.58317079999999999</v>
      </c>
      <c r="U6325">
        <v>3.4752040000000002</v>
      </c>
      <c r="V6325">
        <v>3.4488829999999998E-2</v>
      </c>
      <c r="W6325">
        <v>0.39977990000000002</v>
      </c>
      <c r="X6325">
        <v>0.9159621</v>
      </c>
      <c r="Y6325">
        <v>0.14705560000000001</v>
      </c>
      <c r="Z6325">
        <v>-0.14458859999999901</v>
      </c>
      <c r="AA6325">
        <v>0.97850329999999996</v>
      </c>
      <c r="AB6325">
        <v>40</v>
      </c>
      <c r="AC6325">
        <v>0.11639999999999801</v>
      </c>
      <c r="AD6325">
        <v>-0.133402099999999</v>
      </c>
      <c r="AE6325">
        <v>0.38129999999999598</v>
      </c>
      <c r="AF6325">
        <v>0.106086172637918</v>
      </c>
      <c r="AG6325">
        <v>-0.133402099999999</v>
      </c>
      <c r="AH6325">
        <v>0.34247274071119599</v>
      </c>
      <c r="AI6325">
        <v>110.40940244801099</v>
      </c>
      <c r="AJ6325">
        <v>72.788832746677201</v>
      </c>
      <c r="AK6325">
        <v>0.38254146760790497</v>
      </c>
      <c r="AL6325">
        <v>66.435580518815101</v>
      </c>
      <c r="AM6325">
        <v>87.843653866273996</v>
      </c>
      <c r="AN6325">
        <v>1.0000000082375899</v>
      </c>
    </row>
    <row r="6326" spans="1:40" x14ac:dyDescent="0.25">
      <c r="A6326" t="str">
        <f>"20190304164533795"</f>
        <v>20190304164533795</v>
      </c>
      <c r="B6326" t="str">
        <f>"1551689133786574"</f>
        <v>1551689133786574</v>
      </c>
      <c r="C6326" t="s">
        <v>40</v>
      </c>
      <c r="D6326">
        <v>5.222213</v>
      </c>
      <c r="E6326">
        <v>0.57319209999999998</v>
      </c>
      <c r="F6326" t="s">
        <v>41</v>
      </c>
      <c r="G6326">
        <v>-187.5309</v>
      </c>
      <c r="H6326">
        <v>0.98347390000000001</v>
      </c>
      <c r="I6326">
        <v>107.258</v>
      </c>
      <c r="J6326">
        <v>-187.64330000000001</v>
      </c>
      <c r="K6326">
        <v>1.107475</v>
      </c>
      <c r="L6326">
        <v>106.9228</v>
      </c>
      <c r="M6326" s="1">
        <v>6.7241779999999997E-6</v>
      </c>
      <c r="N6326">
        <v>-1.949451E-2</v>
      </c>
      <c r="O6326">
        <v>0.99980999999999998</v>
      </c>
      <c r="P6326">
        <v>3.3473009999999997E-2</v>
      </c>
      <c r="Q6326">
        <v>0.38208900000000001</v>
      </c>
      <c r="R6326">
        <v>0.92351910000000004</v>
      </c>
      <c r="S6326">
        <v>0.53297419999999995</v>
      </c>
      <c r="T6326">
        <v>-0.57875080000000001</v>
      </c>
      <c r="U6326">
        <v>3.4717099999999999</v>
      </c>
      <c r="V6326">
        <v>3.7170099999999998E-2</v>
      </c>
      <c r="W6326">
        <v>0.39969250000000001</v>
      </c>
      <c r="X6326">
        <v>0.91589540000000003</v>
      </c>
      <c r="Y6326">
        <v>0.14989930000000001</v>
      </c>
      <c r="Z6326">
        <v>-0.143318</v>
      </c>
      <c r="AA6326">
        <v>0.97825870000000004</v>
      </c>
      <c r="AB6326">
        <v>40</v>
      </c>
      <c r="AC6326">
        <v>0.11240000000000799</v>
      </c>
      <c r="AD6326">
        <v>-0.124001099999999</v>
      </c>
      <c r="AE6326">
        <v>0.3352</v>
      </c>
      <c r="AF6326">
        <v>0.10008550073712601</v>
      </c>
      <c r="AG6326">
        <v>-0.124001099999999</v>
      </c>
      <c r="AH6326">
        <v>0.298482281104753</v>
      </c>
      <c r="AI6326">
        <v>111.498737817962</v>
      </c>
      <c r="AJ6326">
        <v>71.462939704442107</v>
      </c>
      <c r="AK6326">
        <v>0.33835639848022397</v>
      </c>
      <c r="AL6326">
        <v>66.441044604376401</v>
      </c>
      <c r="AM6326">
        <v>87.6760208613982</v>
      </c>
      <c r="AN6326">
        <v>1.0000000473157</v>
      </c>
    </row>
    <row r="6327" spans="1:40" x14ac:dyDescent="0.25">
      <c r="A6327" t="str">
        <f>"20190304164533817"</f>
        <v>20190304164533817</v>
      </c>
      <c r="B6327" t="str">
        <f>"1551689133806094"</f>
        <v>1551689133806094</v>
      </c>
      <c r="C6327" t="s">
        <v>40</v>
      </c>
      <c r="D6327">
        <v>5.2180019999999896</v>
      </c>
      <c r="E6327">
        <v>0.57308029999999999</v>
      </c>
      <c r="F6327" t="s">
        <v>41</v>
      </c>
      <c r="G6327">
        <v>-187.47829999999999</v>
      </c>
      <c r="H6327">
        <v>0.93563260000000004</v>
      </c>
      <c r="I6327">
        <v>107.9512</v>
      </c>
      <c r="J6327">
        <v>-187.63929999999999</v>
      </c>
      <c r="K6327">
        <v>1.1072820000000001</v>
      </c>
      <c r="L6327">
        <v>107.3212</v>
      </c>
      <c r="M6327">
        <v>4.2048520000000002E-3</v>
      </c>
      <c r="N6327">
        <v>-1.9605149999999998E-2</v>
      </c>
      <c r="O6327">
        <v>0.99979899999999999</v>
      </c>
      <c r="P6327">
        <v>4.0301509999999999E-2</v>
      </c>
      <c r="Q6327">
        <v>0.3812971</v>
      </c>
      <c r="R6327">
        <v>0.92357370000000005</v>
      </c>
      <c r="S6327">
        <v>0.55624390000000001</v>
      </c>
      <c r="T6327">
        <v>-0.57952309999999996</v>
      </c>
      <c r="U6327">
        <v>3.468048</v>
      </c>
      <c r="V6327">
        <v>4.032463E-2</v>
      </c>
      <c r="W6327">
        <v>0.39895799999999998</v>
      </c>
      <c r="X6327">
        <v>0.91608210000000001</v>
      </c>
      <c r="Y6327">
        <v>0.1522994</v>
      </c>
      <c r="Z6327">
        <v>-0.14347850000000001</v>
      </c>
      <c r="AA6327">
        <v>0.97786439999999997</v>
      </c>
      <c r="AB6327">
        <v>40</v>
      </c>
      <c r="AC6327">
        <v>0.161000000000001</v>
      </c>
      <c r="AD6327">
        <v>-0.17164939999999901</v>
      </c>
      <c r="AE6327">
        <v>0.62999999999999501</v>
      </c>
      <c r="AF6327">
        <v>0.14803355944507299</v>
      </c>
      <c r="AG6327">
        <v>-0.17164939999999901</v>
      </c>
      <c r="AH6327">
        <v>0.58958722073338199</v>
      </c>
      <c r="AI6327">
        <v>105.76810959921001</v>
      </c>
      <c r="AJ6327">
        <v>75.905531867539395</v>
      </c>
      <c r="AK6327">
        <v>0.63165698135495296</v>
      </c>
      <c r="AL6327">
        <v>66.486945520376096</v>
      </c>
      <c r="AM6327">
        <v>87.479548411167798</v>
      </c>
      <c r="AN6327">
        <v>0.99999998774452303</v>
      </c>
    </row>
    <row r="6328" spans="1:40" x14ac:dyDescent="0.25">
      <c r="A6328" t="str">
        <f>"20190304164533838"</f>
        <v>20190304164533838</v>
      </c>
      <c r="B6328" t="str">
        <f>"1551689133826590"</f>
        <v>1551689133826590</v>
      </c>
      <c r="C6328" t="s">
        <v>40</v>
      </c>
      <c r="D6328">
        <v>5.2220680000000002</v>
      </c>
      <c r="E6328">
        <v>0.57295220000000002</v>
      </c>
      <c r="F6328" t="s">
        <v>41</v>
      </c>
      <c r="G6328">
        <v>-187.47409999999999</v>
      </c>
      <c r="H6328">
        <v>0.94069979999999997</v>
      </c>
      <c r="I6328">
        <v>108.3092</v>
      </c>
      <c r="J6328">
        <v>-187.63390000000001</v>
      </c>
      <c r="K6328">
        <v>1.1071089999999999</v>
      </c>
      <c r="L6328">
        <v>107.703</v>
      </c>
      <c r="M6328">
        <v>8.3730980000000007E-3</v>
      </c>
      <c r="N6328">
        <v>-1.9720979999999999E-2</v>
      </c>
      <c r="O6328">
        <v>0.99977050000000001</v>
      </c>
      <c r="P6328">
        <v>4.8793919999999998E-2</v>
      </c>
      <c r="Q6328">
        <v>0.38128709999999999</v>
      </c>
      <c r="R6328">
        <v>0.92316810000000005</v>
      </c>
      <c r="S6328">
        <v>0.579071</v>
      </c>
      <c r="T6328">
        <v>-0.58397639999999995</v>
      </c>
      <c r="U6328">
        <v>3.4640659999999999</v>
      </c>
      <c r="V6328">
        <v>4.5156870000000002E-2</v>
      </c>
      <c r="W6328">
        <v>0.39898329999999999</v>
      </c>
      <c r="X6328">
        <v>0.91584560000000004</v>
      </c>
      <c r="Y6328">
        <v>0.1545947</v>
      </c>
      <c r="Z6328">
        <v>-0.14465349999999999</v>
      </c>
      <c r="AA6328">
        <v>0.97733099999999995</v>
      </c>
      <c r="AB6328">
        <v>40</v>
      </c>
      <c r="AC6328">
        <v>0.15980000000001801</v>
      </c>
      <c r="AD6328">
        <v>-0.16640920000000001</v>
      </c>
      <c r="AE6328">
        <v>0.60620000000001495</v>
      </c>
      <c r="AF6328">
        <v>0.14453371019903699</v>
      </c>
      <c r="AG6328">
        <v>-0.16640920000000001</v>
      </c>
      <c r="AH6328">
        <v>0.56752863506386597</v>
      </c>
      <c r="AI6328">
        <v>105.86236268007799</v>
      </c>
      <c r="AJ6328">
        <v>75.712089682930795</v>
      </c>
      <c r="AK6328">
        <v>0.60882737031608103</v>
      </c>
      <c r="AL6328">
        <v>66.485364720658694</v>
      </c>
      <c r="AM6328">
        <v>87.177248590356697</v>
      </c>
      <c r="AN6328">
        <v>0.99999998981322302</v>
      </c>
    </row>
    <row r="6329" spans="1:40" x14ac:dyDescent="0.25">
      <c r="A6329" t="str">
        <f>"20190304164533870"</f>
        <v>20190304164533870</v>
      </c>
      <c r="B6329" t="str">
        <f>"1551689133866607"</f>
        <v>1551689133866607</v>
      </c>
      <c r="C6329" t="s">
        <v>40</v>
      </c>
      <c r="D6329">
        <v>5.2371359999999996</v>
      </c>
      <c r="E6329">
        <v>0.57284679999999999</v>
      </c>
      <c r="F6329" t="s">
        <v>41</v>
      </c>
      <c r="G6329">
        <v>-187.465</v>
      </c>
      <c r="H6329">
        <v>0.94427740000000004</v>
      </c>
      <c r="I6329">
        <v>108.6652</v>
      </c>
      <c r="J6329">
        <v>-187.6225</v>
      </c>
      <c r="K6329">
        <v>1.1068709999999999</v>
      </c>
      <c r="L6329">
        <v>108.2736</v>
      </c>
      <c r="M6329">
        <v>1.4870110000000001E-2</v>
      </c>
      <c r="N6329">
        <v>-1.9899509999999999E-2</v>
      </c>
      <c r="O6329">
        <v>0.99969140000000001</v>
      </c>
      <c r="P6329">
        <v>6.060281E-2</v>
      </c>
      <c r="Q6329">
        <v>0.37963750000000002</v>
      </c>
      <c r="R6329">
        <v>0.92314819999999997</v>
      </c>
      <c r="S6329">
        <v>0.60729979999999995</v>
      </c>
      <c r="T6329">
        <v>-0.5854239</v>
      </c>
      <c r="U6329">
        <v>3.4593660000000002</v>
      </c>
      <c r="V6329">
        <v>5.1198769999999998E-2</v>
      </c>
      <c r="W6329">
        <v>0.3974144</v>
      </c>
      <c r="X6329">
        <v>0.91620979999999996</v>
      </c>
      <c r="Y6329">
        <v>0.1561254</v>
      </c>
      <c r="Z6329">
        <v>-0.14495279999999999</v>
      </c>
      <c r="AA6329">
        <v>0.97704329999999995</v>
      </c>
      <c r="AB6329">
        <v>40</v>
      </c>
      <c r="AC6329">
        <v>0.157499999999998</v>
      </c>
      <c r="AD6329">
        <v>-0.1625936</v>
      </c>
      <c r="AE6329">
        <v>0.39159999999999601</v>
      </c>
      <c r="AF6329">
        <v>0.13206166736647501</v>
      </c>
      <c r="AG6329">
        <v>-0.1625936</v>
      </c>
      <c r="AH6329">
        <v>0.34300125486554101</v>
      </c>
      <c r="AI6329">
        <v>113.863451193103</v>
      </c>
      <c r="AJ6329">
        <v>68.942394738002903</v>
      </c>
      <c r="AK6329">
        <v>0.40190399797452803</v>
      </c>
      <c r="AL6329">
        <v>66.583359640654805</v>
      </c>
      <c r="AM6329">
        <v>86.801577869435306</v>
      </c>
      <c r="AN6329">
        <v>0.99999995849645495</v>
      </c>
    </row>
    <row r="6330" spans="1:40" x14ac:dyDescent="0.25">
      <c r="A6330" t="str">
        <f>"20190304164533894"</f>
        <v>20190304164533894</v>
      </c>
      <c r="B6330" t="str">
        <f>"1551689133886126"</f>
        <v>1551689133886126</v>
      </c>
      <c r="C6330" t="s">
        <v>40</v>
      </c>
      <c r="D6330">
        <v>5.2490119999999996</v>
      </c>
      <c r="E6330">
        <v>0.57279250000000004</v>
      </c>
      <c r="F6330" t="s">
        <v>41</v>
      </c>
      <c r="G6330">
        <v>-187.47989999999999</v>
      </c>
      <c r="H6330">
        <v>0.97628099999999995</v>
      </c>
      <c r="I6330">
        <v>109.0334</v>
      </c>
      <c r="J6330">
        <v>-187.61160000000001</v>
      </c>
      <c r="K6330">
        <v>1.1067229999999999</v>
      </c>
      <c r="L6330">
        <v>108.6909</v>
      </c>
      <c r="M6330">
        <v>1.9823029999999998E-2</v>
      </c>
      <c r="N6330">
        <v>-2.0041119999999999E-2</v>
      </c>
      <c r="O6330">
        <v>0.99960260000000001</v>
      </c>
      <c r="P6330">
        <v>6.8958119999999998E-2</v>
      </c>
      <c r="Q6330">
        <v>0.37880399999999997</v>
      </c>
      <c r="R6330">
        <v>0.92290430000000001</v>
      </c>
      <c r="S6330">
        <v>0.64697269999999996</v>
      </c>
      <c r="T6330">
        <v>-0.59304319999999999</v>
      </c>
      <c r="U6330">
        <v>3.4511720000000001</v>
      </c>
      <c r="V6330">
        <v>5.5137789999999999E-2</v>
      </c>
      <c r="W6330">
        <v>0.39664939999999999</v>
      </c>
      <c r="X6330">
        <v>0.91631280000000004</v>
      </c>
      <c r="Y6330">
        <v>0.1624234</v>
      </c>
      <c r="Z6330">
        <v>-0.1470204</v>
      </c>
      <c r="AA6330">
        <v>0.97570679999999999</v>
      </c>
      <c r="AB6330">
        <v>40</v>
      </c>
      <c r="AC6330">
        <v>0.13170000000002299</v>
      </c>
      <c r="AD6330">
        <v>-0.130441999999999</v>
      </c>
      <c r="AE6330">
        <v>0.34250000000000103</v>
      </c>
      <c r="AF6330">
        <v>0.110872960244912</v>
      </c>
      <c r="AG6330">
        <v>-0.130441999999999</v>
      </c>
      <c r="AH6330">
        <v>0.306334148828315</v>
      </c>
      <c r="AI6330">
        <v>111.82104066209</v>
      </c>
      <c r="AJ6330">
        <v>70.103051671498605</v>
      </c>
      <c r="AK6330">
        <v>0.35092526186616702</v>
      </c>
      <c r="AL6330">
        <v>66.631118174487398</v>
      </c>
      <c r="AM6330">
        <v>86.556461981361593</v>
      </c>
      <c r="AN6330">
        <v>1.0000000349251399</v>
      </c>
    </row>
    <row r="6331" spans="1:40" x14ac:dyDescent="0.25">
      <c r="A6331" t="str">
        <f>"20190304164533916"</f>
        <v>20190304164533916</v>
      </c>
      <c r="B6331" t="str">
        <f>"1551689133906622"</f>
        <v>1551689133906622</v>
      </c>
      <c r="C6331" t="s">
        <v>40</v>
      </c>
      <c r="D6331">
        <v>5.2330079999999999</v>
      </c>
      <c r="E6331">
        <v>0.57270519999999903</v>
      </c>
      <c r="F6331" t="s">
        <v>41</v>
      </c>
      <c r="G6331">
        <v>-187.411</v>
      </c>
      <c r="H6331">
        <v>0.92946719999999905</v>
      </c>
      <c r="I6331">
        <v>109.7136</v>
      </c>
      <c r="J6331">
        <v>-187.59989999999999</v>
      </c>
      <c r="K6331">
        <v>1.106609</v>
      </c>
      <c r="L6331">
        <v>109.065</v>
      </c>
      <c r="M6331">
        <v>2.442691E-2</v>
      </c>
      <c r="N6331">
        <v>-2.0180770000000001E-2</v>
      </c>
      <c r="O6331">
        <v>0.99949790000000005</v>
      </c>
      <c r="P6331">
        <v>7.7421859999999995E-2</v>
      </c>
      <c r="Q6331">
        <v>0.37815840000000001</v>
      </c>
      <c r="R6331">
        <v>0.92249769999999998</v>
      </c>
      <c r="S6331">
        <v>0.67509459999999999</v>
      </c>
      <c r="T6331">
        <v>-0.5969449</v>
      </c>
      <c r="U6331">
        <v>3.4451749999999999</v>
      </c>
      <c r="V6331">
        <v>5.9486869999999997E-2</v>
      </c>
      <c r="W6331">
        <v>0.3960632</v>
      </c>
      <c r="X6331">
        <v>0.91629430000000001</v>
      </c>
      <c r="Y6331">
        <v>0.16582829999999901</v>
      </c>
      <c r="Z6331">
        <v>-0.1480446</v>
      </c>
      <c r="AA6331">
        <v>0.97497889999999998</v>
      </c>
      <c r="AB6331">
        <v>39</v>
      </c>
      <c r="AC6331">
        <v>0.188900000000018</v>
      </c>
      <c r="AD6331">
        <v>-0.17714179999999999</v>
      </c>
      <c r="AE6331">
        <v>0.64860000000000095</v>
      </c>
      <c r="AF6331">
        <v>0.161867259177848</v>
      </c>
      <c r="AG6331">
        <v>-0.17714179999999999</v>
      </c>
      <c r="AH6331">
        <v>0.61100918727944498</v>
      </c>
      <c r="AI6331">
        <v>105.655493061085</v>
      </c>
      <c r="AJ6331">
        <v>75.162169369600093</v>
      </c>
      <c r="AK6331">
        <v>0.65643922326509097</v>
      </c>
      <c r="AL6331">
        <v>66.6677002474012</v>
      </c>
      <c r="AM6331">
        <v>86.2855054183742</v>
      </c>
      <c r="AN6331">
        <v>0.99999999515456295</v>
      </c>
    </row>
    <row r="6332" spans="1:40" x14ac:dyDescent="0.25">
      <c r="A6332" t="str">
        <f>"20190304164533937"</f>
        <v>20190304164533937</v>
      </c>
      <c r="B6332" t="str">
        <f>"1551689133926142"</f>
        <v>1551689133926142</v>
      </c>
      <c r="C6332" t="s">
        <v>40</v>
      </c>
      <c r="D6332">
        <v>5.2258380000000004</v>
      </c>
      <c r="E6332">
        <v>0.57260330000000004</v>
      </c>
      <c r="F6332" t="s">
        <v>41</v>
      </c>
      <c r="G6332">
        <v>-187.3947</v>
      </c>
      <c r="H6332">
        <v>0.93235950000000001</v>
      </c>
      <c r="I6332">
        <v>110.0639</v>
      </c>
      <c r="J6332">
        <v>-187.58580000000001</v>
      </c>
      <c r="K6332">
        <v>1.1064969999999901</v>
      </c>
      <c r="L6332">
        <v>109.4494</v>
      </c>
      <c r="M6332">
        <v>2.9290630000000002E-2</v>
      </c>
      <c r="N6332">
        <v>-2.0325019999999999E-2</v>
      </c>
      <c r="O6332">
        <v>0.99936429999999998</v>
      </c>
      <c r="P6332">
        <v>8.5345589999999999E-2</v>
      </c>
      <c r="Q6332">
        <v>0.37609369999999998</v>
      </c>
      <c r="R6332">
        <v>0.92264279999999999</v>
      </c>
      <c r="S6332">
        <v>0.70596309999999995</v>
      </c>
      <c r="T6332">
        <v>-0.59981779999999996</v>
      </c>
      <c r="U6332">
        <v>3.43866</v>
      </c>
      <c r="V6332">
        <v>6.3015489999999993E-2</v>
      </c>
      <c r="W6332">
        <v>0.39408320000000002</v>
      </c>
      <c r="X6332">
        <v>0.9169119</v>
      </c>
      <c r="Y6332">
        <v>0.16975789999999999</v>
      </c>
      <c r="Z6332">
        <v>-0.14877409999999999</v>
      </c>
      <c r="AA6332">
        <v>0.97419120000000003</v>
      </c>
      <c r="AB6332">
        <v>39</v>
      </c>
      <c r="AC6332">
        <v>0.19110000000000499</v>
      </c>
      <c r="AD6332">
        <v>-0.174137499999999</v>
      </c>
      <c r="AE6332">
        <v>0.61450000000000604</v>
      </c>
      <c r="AF6332">
        <v>0.16121079720126699</v>
      </c>
      <c r="AG6332">
        <v>-0.174137499999999</v>
      </c>
      <c r="AH6332">
        <v>0.57754514559402403</v>
      </c>
      <c r="AI6332">
        <v>106.193921399979</v>
      </c>
      <c r="AJ6332">
        <v>74.403930262014995</v>
      </c>
      <c r="AK6332">
        <v>0.62439665697354596</v>
      </c>
      <c r="AL6332">
        <v>66.791191565926297</v>
      </c>
      <c r="AM6332">
        <v>86.068484626920394</v>
      </c>
      <c r="AN6332">
        <v>0.99999997643189398</v>
      </c>
    </row>
    <row r="6333" spans="1:40" x14ac:dyDescent="0.25">
      <c r="A6333" t="str">
        <f>"20190304164533960"</f>
        <v>20190304164533960</v>
      </c>
      <c r="B6333" t="str">
        <f>"1551689133956399"</f>
        <v>1551689133956399</v>
      </c>
      <c r="C6333" t="s">
        <v>40</v>
      </c>
      <c r="D6333">
        <v>5.2360759999999997</v>
      </c>
      <c r="E6333">
        <v>0.57247179999999998</v>
      </c>
      <c r="F6333" t="s">
        <v>41</v>
      </c>
      <c r="G6333">
        <v>-187.37799999999999</v>
      </c>
      <c r="H6333">
        <v>0.93598369999999997</v>
      </c>
      <c r="I6333">
        <v>110.4131</v>
      </c>
      <c r="J6333">
        <v>-187.56979999999999</v>
      </c>
      <c r="K6333">
        <v>1.106387</v>
      </c>
      <c r="L6333">
        <v>109.8306</v>
      </c>
      <c r="M6333">
        <v>3.4241510000000003E-2</v>
      </c>
      <c r="N6333">
        <v>-2.0462629999999999E-2</v>
      </c>
      <c r="O6333">
        <v>0.99920410000000004</v>
      </c>
      <c r="P6333">
        <v>9.3472710000000001E-2</v>
      </c>
      <c r="Q6333">
        <v>0.37533499999999997</v>
      </c>
      <c r="R6333">
        <v>0.92216399999999998</v>
      </c>
      <c r="S6333">
        <v>0.73922730000000003</v>
      </c>
      <c r="T6333">
        <v>-0.60686309999999999</v>
      </c>
      <c r="U6333">
        <v>3.4305110000000001</v>
      </c>
      <c r="V6333">
        <v>6.6687679999999999E-2</v>
      </c>
      <c r="W6333">
        <v>0.39338889999999999</v>
      </c>
      <c r="X6333">
        <v>0.9169503</v>
      </c>
      <c r="Y6333">
        <v>0.17430000000000001</v>
      </c>
      <c r="Z6333">
        <v>-0.15069679999999999</v>
      </c>
      <c r="AA6333">
        <v>0.97309299999999999</v>
      </c>
      <c r="AB6333">
        <v>39</v>
      </c>
      <c r="AC6333">
        <v>0.1918</v>
      </c>
      <c r="AD6333">
        <v>-0.17040330000000001</v>
      </c>
      <c r="AE6333">
        <v>0.58249999999999602</v>
      </c>
      <c r="AF6333">
        <v>0.159428525031034</v>
      </c>
      <c r="AG6333">
        <v>-0.17040330000000001</v>
      </c>
      <c r="AH6333">
        <v>0.546530822466198</v>
      </c>
      <c r="AI6333">
        <v>106.663267779533</v>
      </c>
      <c r="AJ6333">
        <v>73.737505336836506</v>
      </c>
      <c r="AK6333">
        <v>0.59426482240667799</v>
      </c>
      <c r="AL6333">
        <v>66.834467393242605</v>
      </c>
      <c r="AM6333">
        <v>85.840333747824403</v>
      </c>
      <c r="AN6333">
        <v>0.99999996298853999</v>
      </c>
    </row>
    <row r="6334" spans="1:40" x14ac:dyDescent="0.25">
      <c r="A6334" t="str">
        <f>"20190304164533984"</f>
        <v>20190304164533984</v>
      </c>
      <c r="B6334" t="str">
        <f>"1551689133976895"</f>
        <v>1551689133976895</v>
      </c>
      <c r="C6334" t="s">
        <v>40</v>
      </c>
      <c r="D6334">
        <v>5.2361800000000001</v>
      </c>
      <c r="E6334">
        <v>0.57236309999999901</v>
      </c>
      <c r="F6334" t="s">
        <v>41</v>
      </c>
      <c r="G6334">
        <v>-187.3597</v>
      </c>
      <c r="H6334">
        <v>0.94080149999999996</v>
      </c>
      <c r="I6334">
        <v>110.76139999999999</v>
      </c>
      <c r="J6334">
        <v>-187.54949999999999</v>
      </c>
      <c r="K6334">
        <v>1.1062650000000001</v>
      </c>
      <c r="L6334">
        <v>110.25920000000001</v>
      </c>
      <c r="M6334">
        <v>3.9975990000000003E-2</v>
      </c>
      <c r="N6334">
        <v>-2.0617E-2</v>
      </c>
      <c r="O6334">
        <v>0.99898790000000004</v>
      </c>
      <c r="P6334">
        <v>0.1020021</v>
      </c>
      <c r="Q6334">
        <v>0.37613950000000002</v>
      </c>
      <c r="R6334">
        <v>0.92093139999999996</v>
      </c>
      <c r="S6334">
        <v>0.77265930000000005</v>
      </c>
      <c r="T6334">
        <v>-0.60885630000000002</v>
      </c>
      <c r="U6334">
        <v>3.422714</v>
      </c>
      <c r="V6334">
        <v>7.0096279999999997E-2</v>
      </c>
      <c r="W6334">
        <v>0.39425939999999998</v>
      </c>
      <c r="X6334">
        <v>0.91632199999999997</v>
      </c>
      <c r="Y6334">
        <v>0.17814050000000001</v>
      </c>
      <c r="Z6334">
        <v>-0.15119150000000001</v>
      </c>
      <c r="AA6334">
        <v>0.97232050000000003</v>
      </c>
      <c r="AB6334">
        <v>39</v>
      </c>
      <c r="AC6334">
        <v>0.189799999999991</v>
      </c>
      <c r="AD6334">
        <v>-0.16546350000000001</v>
      </c>
      <c r="AE6334">
        <v>0.50219999999998699</v>
      </c>
      <c r="AF6334">
        <v>0.15485838036705299</v>
      </c>
      <c r="AG6334">
        <v>-0.16546350000000001</v>
      </c>
      <c r="AH6334">
        <v>0.46519928317550502</v>
      </c>
      <c r="AI6334">
        <v>108.648294992036</v>
      </c>
      <c r="AJ6334">
        <v>71.588115810606695</v>
      </c>
      <c r="AK6334">
        <v>0.51746464697519201</v>
      </c>
      <c r="AL6334">
        <v>66.780206898309999</v>
      </c>
      <c r="AM6334">
        <v>85.625539626426502</v>
      </c>
      <c r="AN6334">
        <v>0.99999998532109902</v>
      </c>
    </row>
    <row r="6335" spans="1:40" x14ac:dyDescent="0.25">
      <c r="A6335" t="str">
        <f>"20190304164534006"</f>
        <v>20190304164534006</v>
      </c>
      <c r="B6335" t="str">
        <f>"1551689133996414"</f>
        <v>1551689133996414</v>
      </c>
      <c r="C6335" t="s">
        <v>40</v>
      </c>
      <c r="D6335">
        <v>5.2397939999999998</v>
      </c>
      <c r="E6335">
        <v>0.57226319999999997</v>
      </c>
      <c r="F6335" t="s">
        <v>41</v>
      </c>
      <c r="G6335">
        <v>-187.34790000000001</v>
      </c>
      <c r="H6335">
        <v>0.95494480000000004</v>
      </c>
      <c r="I6335">
        <v>111.1127</v>
      </c>
      <c r="J6335">
        <v>-187.52959999999999</v>
      </c>
      <c r="K6335">
        <v>1.106155</v>
      </c>
      <c r="L6335">
        <v>110.63160000000001</v>
      </c>
      <c r="M6335">
        <v>4.5125529999999997E-2</v>
      </c>
      <c r="N6335">
        <v>-2.0746609999999999E-2</v>
      </c>
      <c r="O6335">
        <v>0.99876589999999998</v>
      </c>
      <c r="P6335">
        <v>0.10856970000000001</v>
      </c>
      <c r="Q6335">
        <v>0.37888040000000001</v>
      </c>
      <c r="R6335">
        <v>0.91905519999999996</v>
      </c>
      <c r="S6335">
        <v>0.80615230000000004</v>
      </c>
      <c r="T6335">
        <v>-0.60544600000000004</v>
      </c>
      <c r="U6335">
        <v>3.4155730000000002</v>
      </c>
      <c r="V6335">
        <v>7.2135290000000005E-2</v>
      </c>
      <c r="W6335">
        <v>0.3970455</v>
      </c>
      <c r="X6335">
        <v>0.91495979999999999</v>
      </c>
      <c r="Y6335">
        <v>0.18258199999999999</v>
      </c>
      <c r="Z6335">
        <v>-0.150177</v>
      </c>
      <c r="AA6335">
        <v>0.97165360000000001</v>
      </c>
      <c r="AB6335">
        <v>39</v>
      </c>
      <c r="AC6335">
        <v>0.18169999999997799</v>
      </c>
      <c r="AD6335">
        <v>-0.15121019999999899</v>
      </c>
      <c r="AE6335">
        <v>0.48109999999999697</v>
      </c>
      <c r="AF6335">
        <v>0.14708431534295799</v>
      </c>
      <c r="AG6335">
        <v>-0.15121019999999899</v>
      </c>
      <c r="AH6335">
        <v>0.44991414891447101</v>
      </c>
      <c r="AI6335">
        <v>107.71605804239699</v>
      </c>
      <c r="AJ6335">
        <v>71.896582417046503</v>
      </c>
      <c r="AK6335">
        <v>0.49691152310786602</v>
      </c>
      <c r="AL6335">
        <v>66.606392935468804</v>
      </c>
      <c r="AM6335">
        <v>85.492133998499696</v>
      </c>
      <c r="AN6335">
        <v>1.0000000323748299</v>
      </c>
    </row>
    <row r="6336" spans="1:40" x14ac:dyDescent="0.25">
      <c r="A6336" t="str">
        <f>"20190304164534026"</f>
        <v>20190304164534026</v>
      </c>
      <c r="B6336" t="str">
        <f>"1551689134016910"</f>
        <v>1551689134016910</v>
      </c>
      <c r="C6336" t="s">
        <v>40</v>
      </c>
      <c r="D6336">
        <v>5.2434900000000004</v>
      </c>
      <c r="E6336">
        <v>0.57218269999999904</v>
      </c>
      <c r="F6336" t="s">
        <v>41</v>
      </c>
      <c r="G6336">
        <v>-187.32749999999999</v>
      </c>
      <c r="H6336">
        <v>0.96186110000000002</v>
      </c>
      <c r="I6336">
        <v>111.4592</v>
      </c>
      <c r="J6336">
        <v>-187.5085</v>
      </c>
      <c r="K6336">
        <v>1.106028</v>
      </c>
      <c r="L6336">
        <v>110.99039999999999</v>
      </c>
      <c r="M6336">
        <v>5.0267590000000001E-2</v>
      </c>
      <c r="N6336">
        <v>-2.0864219999999999E-2</v>
      </c>
      <c r="O6336">
        <v>0.99851780000000001</v>
      </c>
      <c r="P6336">
        <v>0.11589190000000001</v>
      </c>
      <c r="Q6336">
        <v>0.37991570000000002</v>
      </c>
      <c r="R6336">
        <v>0.91773260000000001</v>
      </c>
      <c r="S6336">
        <v>0.8325958</v>
      </c>
      <c r="T6336">
        <v>-0.59467599999999998</v>
      </c>
      <c r="U6336">
        <v>3.4110109999999998</v>
      </c>
      <c r="V6336">
        <v>7.4910030000000002E-2</v>
      </c>
      <c r="W6336">
        <v>0.39811609999999997</v>
      </c>
      <c r="X6336">
        <v>0.91427130000000001</v>
      </c>
      <c r="Y6336">
        <v>0.1850427</v>
      </c>
      <c r="Z6336">
        <v>-0.14708789999999999</v>
      </c>
      <c r="AA6336">
        <v>0.97166059999999999</v>
      </c>
      <c r="AB6336">
        <v>38</v>
      </c>
      <c r="AC6336">
        <v>0.18100000000001101</v>
      </c>
      <c r="AD6336">
        <v>-0.14416689999999999</v>
      </c>
      <c r="AE6336">
        <v>0.46880000000000099</v>
      </c>
      <c r="AF6336">
        <v>0.14524642522397099</v>
      </c>
      <c r="AG6336">
        <v>-0.14416689999999999</v>
      </c>
      <c r="AH6336">
        <v>0.44101136584744299</v>
      </c>
      <c r="AI6336">
        <v>107.249274215086</v>
      </c>
      <c r="AJ6336">
        <v>71.770779723786802</v>
      </c>
      <c r="AK6336">
        <v>0.48618067002152598</v>
      </c>
      <c r="AL6336">
        <v>66.539539895480303</v>
      </c>
      <c r="AM6336">
        <v>85.315982636556498</v>
      </c>
      <c r="AN6336">
        <v>0.99999997583875</v>
      </c>
    </row>
    <row r="6337" spans="1:40" x14ac:dyDescent="0.25">
      <c r="A6337" t="str">
        <f>"20190304164534049"</f>
        <v>20190304164534049</v>
      </c>
      <c r="B6337" t="str">
        <f>"1551689134036431"</f>
        <v>1551689134036431</v>
      </c>
      <c r="C6337" t="s">
        <v>40</v>
      </c>
      <c r="D6337">
        <v>5.2458390000000001</v>
      </c>
      <c r="E6337">
        <v>0.57211049999999997</v>
      </c>
      <c r="F6337" t="s">
        <v>41</v>
      </c>
      <c r="G6337">
        <v>-187.30359999999999</v>
      </c>
      <c r="H6337">
        <v>0.96513749999999998</v>
      </c>
      <c r="I6337">
        <v>111.80240000000001</v>
      </c>
      <c r="J6337">
        <v>-187.48419999999999</v>
      </c>
      <c r="K6337">
        <v>1.1058749999999999</v>
      </c>
      <c r="L6337">
        <v>111.3653</v>
      </c>
      <c r="M6337">
        <v>5.5846800000000002E-2</v>
      </c>
      <c r="N6337">
        <v>-2.098566E-2</v>
      </c>
      <c r="O6337">
        <v>0.99821879999999996</v>
      </c>
      <c r="P6337">
        <v>0.124559</v>
      </c>
      <c r="Q6337">
        <v>0.37908069999999999</v>
      </c>
      <c r="R6337">
        <v>0.91694209999999998</v>
      </c>
      <c r="S6337">
        <v>0.85876459999999999</v>
      </c>
      <c r="T6337">
        <v>-0.59069749999999999</v>
      </c>
      <c r="U6337">
        <v>3.405014</v>
      </c>
      <c r="V6337">
        <v>7.8600199999999995E-2</v>
      </c>
      <c r="W6337">
        <v>0.39731549999999999</v>
      </c>
      <c r="X6337">
        <v>0.91430979999999995</v>
      </c>
      <c r="Y6337">
        <v>0.18701950000000001</v>
      </c>
      <c r="Z6337">
        <v>-0.1459183</v>
      </c>
      <c r="AA6337">
        <v>0.9714585</v>
      </c>
      <c r="AB6337">
        <v>38</v>
      </c>
      <c r="AC6337">
        <v>0.18059999999999801</v>
      </c>
      <c r="AD6337">
        <v>-0.14073749999999899</v>
      </c>
      <c r="AE6337">
        <v>0.43709999999999999</v>
      </c>
      <c r="AF6337">
        <v>0.14321940593381499</v>
      </c>
      <c r="AG6337">
        <v>-0.14073749999999899</v>
      </c>
      <c r="AH6337">
        <v>0.41018252586452603</v>
      </c>
      <c r="AI6337">
        <v>107.948769903903</v>
      </c>
      <c r="AJ6337">
        <v>70.752831771514906</v>
      </c>
      <c r="AK6337">
        <v>0.45669305519887998</v>
      </c>
      <c r="AL6337">
        <v>66.589535771973601</v>
      </c>
      <c r="AM6337">
        <v>85.086550828910902</v>
      </c>
      <c r="AN6337">
        <v>1.00000000417816</v>
      </c>
    </row>
    <row r="6338" spans="1:40" x14ac:dyDescent="0.25">
      <c r="A6338" t="str">
        <f>"20190304164534072"</f>
        <v>20190304164534072</v>
      </c>
      <c r="B6338" t="str">
        <f>"1551689134066687"</f>
        <v>1551689134066687</v>
      </c>
      <c r="C6338" t="s">
        <v>40</v>
      </c>
      <c r="D6338">
        <v>5.2035669999999996</v>
      </c>
      <c r="E6338">
        <v>0.57202259999999905</v>
      </c>
      <c r="F6338" t="s">
        <v>41</v>
      </c>
      <c r="G6338">
        <v>-187.28039999999999</v>
      </c>
      <c r="H6338">
        <v>0.96958789999999995</v>
      </c>
      <c r="I6338">
        <v>112.1448</v>
      </c>
      <c r="J6338">
        <v>-187.45519999999999</v>
      </c>
      <c r="K6338">
        <v>1.105701</v>
      </c>
      <c r="L6338">
        <v>111.774</v>
      </c>
      <c r="M6338">
        <v>6.2182029999999999E-2</v>
      </c>
      <c r="N6338">
        <v>-2.1118890000000001E-2</v>
      </c>
      <c r="O6338">
        <v>0.99784139999999999</v>
      </c>
      <c r="P6338">
        <v>0.13297339999999999</v>
      </c>
      <c r="Q6338">
        <v>0.3782046</v>
      </c>
      <c r="R6338">
        <v>0.91612190000000004</v>
      </c>
      <c r="S6338">
        <v>0.88819889999999901</v>
      </c>
      <c r="T6338">
        <v>-0.59386539999999999</v>
      </c>
      <c r="U6338">
        <v>3.3966059999999998</v>
      </c>
      <c r="V6338">
        <v>8.1367309999999998E-2</v>
      </c>
      <c r="W6338">
        <v>0.39649139999999999</v>
      </c>
      <c r="X6338">
        <v>0.9144255</v>
      </c>
      <c r="Y6338">
        <v>0.18921199999999999</v>
      </c>
      <c r="Z6338">
        <v>-0.14676900000000001</v>
      </c>
      <c r="AA6338">
        <v>0.97090560000000004</v>
      </c>
      <c r="AB6338">
        <v>38</v>
      </c>
      <c r="AC6338">
        <v>0.17480000000000401</v>
      </c>
      <c r="AD6338">
        <v>-0.13611309999999999</v>
      </c>
      <c r="AE6338">
        <v>0.37080000000000202</v>
      </c>
      <c r="AF6338">
        <v>0.13636544114711999</v>
      </c>
      <c r="AG6338">
        <v>-0.13611309999999999</v>
      </c>
      <c r="AH6338">
        <v>0.343125369482145</v>
      </c>
      <c r="AI6338">
        <v>110.235941408538</v>
      </c>
      <c r="AJ6338">
        <v>68.326057197643706</v>
      </c>
      <c r="AK6338">
        <v>0.39351915927069803</v>
      </c>
      <c r="AL6338">
        <v>66.640979426190995</v>
      </c>
      <c r="AM6338">
        <v>84.915105338080494</v>
      </c>
      <c r="AN6338">
        <v>1.0000000322304201</v>
      </c>
    </row>
    <row r="6339" spans="1:40" x14ac:dyDescent="0.25">
      <c r="A6339" t="str">
        <f>"20190304164534094"</f>
        <v>20190304164534094</v>
      </c>
      <c r="B6339" t="str">
        <f>"1551689134086206"</f>
        <v>1551689134086206</v>
      </c>
      <c r="C6339" t="s">
        <v>40</v>
      </c>
      <c r="D6339">
        <v>5.2014389999999997</v>
      </c>
      <c r="E6339">
        <v>0.56908119999999995</v>
      </c>
      <c r="F6339" t="s">
        <v>41</v>
      </c>
      <c r="G6339">
        <v>-187.26140000000001</v>
      </c>
      <c r="H6339">
        <v>0.97973969999999999</v>
      </c>
      <c r="I6339">
        <v>112.48869999999999</v>
      </c>
      <c r="J6339">
        <v>-187.42670000000001</v>
      </c>
      <c r="K6339">
        <v>1.105537</v>
      </c>
      <c r="L6339">
        <v>112.1395</v>
      </c>
      <c r="M6339">
        <v>6.8092609999999998E-2</v>
      </c>
      <c r="N6339">
        <v>-2.123249E-2</v>
      </c>
      <c r="O6339">
        <v>0.99745300000000003</v>
      </c>
      <c r="P6339">
        <v>0.14039270000000001</v>
      </c>
      <c r="Q6339">
        <v>0.37753809999999999</v>
      </c>
      <c r="R6339">
        <v>0.91528949999999998</v>
      </c>
      <c r="S6339">
        <v>0.91809079999999998</v>
      </c>
      <c r="T6339">
        <v>-0.59695830000000005</v>
      </c>
      <c r="U6339">
        <v>3.3878629999999998</v>
      </c>
      <c r="V6339">
        <v>8.352039E-2</v>
      </c>
      <c r="W6339">
        <v>0.39586660000000001</v>
      </c>
      <c r="X6339">
        <v>0.91450209999999998</v>
      </c>
      <c r="Y6339">
        <v>0.19196550000000001</v>
      </c>
      <c r="Z6339">
        <v>-0.147613299999999</v>
      </c>
      <c r="AA6339">
        <v>0.97023680000000001</v>
      </c>
      <c r="AB6339">
        <v>38</v>
      </c>
      <c r="AC6339">
        <v>0.165300000000001</v>
      </c>
      <c r="AD6339">
        <v>-0.1257973</v>
      </c>
      <c r="AE6339">
        <v>0.34919999999999601</v>
      </c>
      <c r="AF6339">
        <v>0.12760432690394599</v>
      </c>
      <c r="AG6339">
        <v>-0.1257973</v>
      </c>
      <c r="AH6339">
        <v>0.32517276058899103</v>
      </c>
      <c r="AI6339">
        <v>109.80530902035299</v>
      </c>
      <c r="AJ6339">
        <v>68.573959674912999</v>
      </c>
      <c r="AK6339">
        <v>0.37127503169613302</v>
      </c>
      <c r="AL6339">
        <v>66.679968727776199</v>
      </c>
      <c r="AM6339">
        <v>84.781720888569595</v>
      </c>
      <c r="AN6339">
        <v>1.0000000557228499</v>
      </c>
    </row>
    <row r="6340" spans="1:40" x14ac:dyDescent="0.25">
      <c r="A6340" t="str">
        <f>"20190304164534115"</f>
        <v>20190304164534115</v>
      </c>
      <c r="B6340" t="str">
        <f>"1551689134106702"</f>
        <v>1551689134106702</v>
      </c>
      <c r="C6340" t="s">
        <v>40</v>
      </c>
      <c r="D6340">
        <v>5.2025509999999997</v>
      </c>
      <c r="E6340">
        <v>0.56903159999999997</v>
      </c>
      <c r="F6340" t="s">
        <v>41</v>
      </c>
      <c r="G6340">
        <v>-187.15719999999999</v>
      </c>
      <c r="H6340">
        <v>0.92017729999999998</v>
      </c>
      <c r="I6340">
        <v>113.13120000000001</v>
      </c>
      <c r="J6340">
        <v>-187.39599999999999</v>
      </c>
      <c r="K6340">
        <v>1.1053869999999999</v>
      </c>
      <c r="L6340">
        <v>112.50060000000001</v>
      </c>
      <c r="M6340">
        <v>7.4150869999999994E-2</v>
      </c>
      <c r="N6340">
        <v>-2.133591E-2</v>
      </c>
      <c r="O6340">
        <v>0.99701879999999998</v>
      </c>
      <c r="P6340">
        <v>0.14788270000000001</v>
      </c>
      <c r="Q6340">
        <v>0.37731920000000002</v>
      </c>
      <c r="R6340">
        <v>0.9141996</v>
      </c>
      <c r="S6340">
        <v>0.92303469999999999</v>
      </c>
      <c r="T6340">
        <v>-0.63506209999999996</v>
      </c>
      <c r="U6340">
        <v>3.3980100000000002</v>
      </c>
      <c r="V6340">
        <v>8.5622180000000006E-2</v>
      </c>
      <c r="W6340">
        <v>0.39567780000000002</v>
      </c>
      <c r="X6340">
        <v>0.91438940000000002</v>
      </c>
      <c r="Y6340">
        <v>0.18617839999999999</v>
      </c>
      <c r="Z6340">
        <v>-0.15742709999999999</v>
      </c>
      <c r="AA6340">
        <v>0.96982179999999996</v>
      </c>
      <c r="AB6340">
        <v>38</v>
      </c>
      <c r="AC6340">
        <v>0.23879999999999699</v>
      </c>
      <c r="AD6340">
        <v>-0.1852097</v>
      </c>
      <c r="AE6340">
        <v>0.63060000000000105</v>
      </c>
      <c r="AF6340">
        <v>0.177947208165885</v>
      </c>
      <c r="AG6340">
        <v>-0.1852097</v>
      </c>
      <c r="AH6340">
        <v>0.60121675414735998</v>
      </c>
      <c r="AI6340">
        <v>106.456671434462</v>
      </c>
      <c r="AJ6340">
        <v>73.512381106030105</v>
      </c>
      <c r="AK6340">
        <v>0.65378087103830895</v>
      </c>
      <c r="AL6340">
        <v>66.691747250052302</v>
      </c>
      <c r="AM6340">
        <v>84.650499881379503</v>
      </c>
      <c r="AN6340">
        <v>1.0000000269765701</v>
      </c>
    </row>
    <row r="6341" spans="1:40" x14ac:dyDescent="0.25">
      <c r="A6341" t="str">
        <f>"20190304164534137"</f>
        <v>20190304164534137</v>
      </c>
      <c r="B6341" t="str">
        <f>"1551689134126223"</f>
        <v>1551689134126223</v>
      </c>
      <c r="C6341" t="s">
        <v>40</v>
      </c>
      <c r="D6341">
        <v>5.2072609999999999</v>
      </c>
      <c r="E6341">
        <v>0.56897500000000001</v>
      </c>
      <c r="F6341" t="s">
        <v>41</v>
      </c>
      <c r="G6341">
        <v>-187.12569999999999</v>
      </c>
      <c r="H6341">
        <v>0.92441490000000004</v>
      </c>
      <c r="I6341">
        <v>113.467</v>
      </c>
      <c r="J6341">
        <v>-187.36240000000001</v>
      </c>
      <c r="K6341">
        <v>1.1052470000000001</v>
      </c>
      <c r="L6341">
        <v>112.867</v>
      </c>
      <c r="M6341">
        <v>8.0481490000000003E-2</v>
      </c>
      <c r="N6341">
        <v>-2.14314E-2</v>
      </c>
      <c r="O6341">
        <v>0.99652569999999996</v>
      </c>
      <c r="P6341">
        <v>0.15659960000000001</v>
      </c>
      <c r="Q6341">
        <v>0.37694169999999999</v>
      </c>
      <c r="R6341">
        <v>0.91290280000000001</v>
      </c>
      <c r="S6341">
        <v>0.94856260000000003</v>
      </c>
      <c r="T6341">
        <v>-0.63501809999999903</v>
      </c>
      <c r="U6341">
        <v>3.3902130000000001</v>
      </c>
      <c r="V6341">
        <v>8.8690169999999999E-2</v>
      </c>
      <c r="W6341">
        <v>0.39530999999999999</v>
      </c>
      <c r="X6341">
        <v>0.91425599999999996</v>
      </c>
      <c r="Y6341">
        <v>0.1872876</v>
      </c>
      <c r="Z6341">
        <v>-0.1574102</v>
      </c>
      <c r="AA6341">
        <v>0.96961090000000005</v>
      </c>
      <c r="AB6341">
        <v>37</v>
      </c>
      <c r="AC6341">
        <v>0.23670000000001301</v>
      </c>
      <c r="AD6341">
        <v>-0.180832099999999</v>
      </c>
      <c r="AE6341">
        <v>0.60000000000000797</v>
      </c>
      <c r="AF6341">
        <v>0.17395847052124</v>
      </c>
      <c r="AG6341">
        <v>-0.180832099999999</v>
      </c>
      <c r="AH6341">
        <v>0.57213645042480898</v>
      </c>
      <c r="AI6341">
        <v>106.82509623874699</v>
      </c>
      <c r="AJ6341">
        <v>73.088070703715204</v>
      </c>
      <c r="AK6341">
        <v>0.62474147914253297</v>
      </c>
      <c r="AL6341">
        <v>66.714690335107903</v>
      </c>
      <c r="AM6341">
        <v>84.459186830044899</v>
      </c>
      <c r="AN6341">
        <v>0.99999998794531397</v>
      </c>
    </row>
    <row r="6342" spans="1:40" x14ac:dyDescent="0.25">
      <c r="A6342" t="str">
        <f>"20190304164534161"</f>
        <v>20190304164534161</v>
      </c>
      <c r="B6342" t="str">
        <f>"1551689134156479"</f>
        <v>1551689134156479</v>
      </c>
      <c r="C6342" t="s">
        <v>40</v>
      </c>
      <c r="D6342">
        <v>5.2619669999999896</v>
      </c>
      <c r="E6342">
        <v>0.56886440000000005</v>
      </c>
      <c r="F6342" t="s">
        <v>41</v>
      </c>
      <c r="G6342">
        <v>-187.09219999999999</v>
      </c>
      <c r="H6342">
        <v>0.92957849999999997</v>
      </c>
      <c r="I6342">
        <v>113.80159999999999</v>
      </c>
      <c r="J6342">
        <v>-187.3246</v>
      </c>
      <c r="K6342">
        <v>1.105132</v>
      </c>
      <c r="L6342">
        <v>113.25020000000001</v>
      </c>
      <c r="M6342">
        <v>8.7272160000000001E-2</v>
      </c>
      <c r="N6342">
        <v>-2.1519690000000001E-2</v>
      </c>
      <c r="O6342">
        <v>0.99595210000000001</v>
      </c>
      <c r="P6342">
        <v>0.16538739999999999</v>
      </c>
      <c r="Q6342">
        <v>0.37665769999999998</v>
      </c>
      <c r="R6342">
        <v>0.91146919999999998</v>
      </c>
      <c r="S6342">
        <v>0.97740170000000004</v>
      </c>
      <c r="T6342">
        <v>-0.6354339</v>
      </c>
      <c r="U6342">
        <v>3.3809200000000001</v>
      </c>
      <c r="V6342">
        <v>9.1395630000000005E-2</v>
      </c>
      <c r="W6342">
        <v>0.39503660000000002</v>
      </c>
      <c r="X6342">
        <v>0.91410769999999997</v>
      </c>
      <c r="Y6342">
        <v>0.18892510000000001</v>
      </c>
      <c r="Z6342">
        <v>-0.1575443</v>
      </c>
      <c r="AA6342">
        <v>0.96927140000000001</v>
      </c>
      <c r="AB6342">
        <v>37</v>
      </c>
      <c r="AC6342">
        <v>0.23240000000001201</v>
      </c>
      <c r="AD6342">
        <v>-0.1755535</v>
      </c>
      <c r="AE6342">
        <v>0.55139999999998601</v>
      </c>
      <c r="AF6342">
        <v>0.16884651841217099</v>
      </c>
      <c r="AG6342">
        <v>-0.1755535</v>
      </c>
      <c r="AH6342">
        <v>0.52444104055793805</v>
      </c>
      <c r="AI6342">
        <v>107.673800474723</v>
      </c>
      <c r="AJ6342">
        <v>72.153767359613695</v>
      </c>
      <c r="AK6342">
        <v>0.57824439743386602</v>
      </c>
      <c r="AL6342">
        <v>66.731742824104401</v>
      </c>
      <c r="AM6342">
        <v>84.290346435393204</v>
      </c>
      <c r="AN6342">
        <v>0.99999998186097305</v>
      </c>
    </row>
    <row r="6343" spans="1:40" x14ac:dyDescent="0.25">
      <c r="A6343" t="str">
        <f>"20190304164534184"</f>
        <v>20190304164534184</v>
      </c>
      <c r="B6343" t="str">
        <f>"1551689134176974"</f>
        <v>1551689134176974</v>
      </c>
      <c r="C6343" t="s">
        <v>40</v>
      </c>
      <c r="D6343">
        <v>5.3062110000000002</v>
      </c>
      <c r="E6343">
        <v>0.56886369999999997</v>
      </c>
      <c r="F6343" t="s">
        <v>41</v>
      </c>
      <c r="G6343">
        <v>-187.05930000000001</v>
      </c>
      <c r="H6343">
        <v>0.93858240000000004</v>
      </c>
      <c r="I6343">
        <v>114.1365</v>
      </c>
      <c r="J6343">
        <v>-187.28299999999999</v>
      </c>
      <c r="K6343">
        <v>1.10504</v>
      </c>
      <c r="L6343">
        <v>113.6431</v>
      </c>
      <c r="M6343">
        <v>9.4381190000000004E-2</v>
      </c>
      <c r="N6343">
        <v>-2.159838E-2</v>
      </c>
      <c r="O6343">
        <v>0.99530180000000001</v>
      </c>
      <c r="P6343">
        <v>0.17482149999999999</v>
      </c>
      <c r="Q6343">
        <v>0.37680520000000001</v>
      </c>
      <c r="R6343">
        <v>0.9096457</v>
      </c>
      <c r="S6343">
        <v>1.008621</v>
      </c>
      <c r="T6343">
        <v>-0.63322999999999996</v>
      </c>
      <c r="U6343">
        <v>3.3700559999999999</v>
      </c>
      <c r="V6343">
        <v>9.4467250000000003E-2</v>
      </c>
      <c r="W6343">
        <v>0.39517989999999997</v>
      </c>
      <c r="X6343">
        <v>0.91373340000000003</v>
      </c>
      <c r="Y6343">
        <v>0.1910319</v>
      </c>
      <c r="Z6343">
        <v>-0.15700120000000001</v>
      </c>
      <c r="AA6343">
        <v>0.96894659999999999</v>
      </c>
      <c r="AB6343">
        <v>37</v>
      </c>
      <c r="AC6343">
        <v>0.223699999999979</v>
      </c>
      <c r="AD6343">
        <v>-0.16645759999999901</v>
      </c>
      <c r="AE6343">
        <v>0.49339999999999401</v>
      </c>
      <c r="AF6343">
        <v>0.16092900848196401</v>
      </c>
      <c r="AG6343">
        <v>-0.16645759999999901</v>
      </c>
      <c r="AH6343">
        <v>0.46811907138512299</v>
      </c>
      <c r="AI6343">
        <v>108.586354534111</v>
      </c>
      <c r="AJ6343">
        <v>71.028160701948494</v>
      </c>
      <c r="AK6343">
        <v>0.52224682226244101</v>
      </c>
      <c r="AL6343">
        <v>66.722804837937005</v>
      </c>
      <c r="AM6343">
        <v>84.097388732204394</v>
      </c>
      <c r="AN6343">
        <v>0.99999997048106504</v>
      </c>
    </row>
    <row r="6344" spans="1:40" x14ac:dyDescent="0.25">
      <c r="A6344" t="str">
        <f>"20190304164534207"</f>
        <v>20190304164534207</v>
      </c>
      <c r="B6344" t="str">
        <f>"1551689134196494"</f>
        <v>1551689134196494</v>
      </c>
      <c r="C6344" t="s">
        <v>40</v>
      </c>
      <c r="D6344">
        <v>5.2338930000000001</v>
      </c>
      <c r="E6344">
        <v>0.56874049999999998</v>
      </c>
      <c r="F6344" t="s">
        <v>41</v>
      </c>
      <c r="G6344">
        <v>-187.0264</v>
      </c>
      <c r="H6344">
        <v>0.9495517</v>
      </c>
      <c r="I6344">
        <v>114.4709</v>
      </c>
      <c r="J6344">
        <v>-187.2422</v>
      </c>
      <c r="K6344">
        <v>1.104986</v>
      </c>
      <c r="L6344">
        <v>114.0048</v>
      </c>
      <c r="M6344">
        <v>0.10102029999999999</v>
      </c>
      <c r="N6344">
        <v>-2.1660849999999999E-2</v>
      </c>
      <c r="O6344">
        <v>0.99464850000000005</v>
      </c>
      <c r="P6344">
        <v>0.1847251</v>
      </c>
      <c r="Q6344">
        <v>0.3759596</v>
      </c>
      <c r="R6344">
        <v>0.90803690000000004</v>
      </c>
      <c r="S6344">
        <v>1.040985</v>
      </c>
      <c r="T6344">
        <v>-0.63085469999999999</v>
      </c>
      <c r="U6344">
        <v>3.3592379999999999</v>
      </c>
      <c r="V6344">
        <v>9.8375439999999995E-2</v>
      </c>
      <c r="W6344">
        <v>0.3943142</v>
      </c>
      <c r="X6344">
        <v>0.91369500000000003</v>
      </c>
      <c r="Y6344">
        <v>0.19390460000000001</v>
      </c>
      <c r="Z6344">
        <v>-0.156393899999999</v>
      </c>
      <c r="AA6344">
        <v>0.96847399999999995</v>
      </c>
      <c r="AB6344">
        <v>37</v>
      </c>
      <c r="AC6344">
        <v>0.21580000000000099</v>
      </c>
      <c r="AD6344">
        <v>-0.1554343</v>
      </c>
      <c r="AE6344">
        <v>0.46609999999999702</v>
      </c>
      <c r="AF6344">
        <v>0.153538288798067</v>
      </c>
      <c r="AG6344">
        <v>-0.1554343</v>
      </c>
      <c r="AH6344">
        <v>0.44478734710247603</v>
      </c>
      <c r="AI6344">
        <v>108.279956099779</v>
      </c>
      <c r="AJ6344">
        <v>70.955591098104605</v>
      </c>
      <c r="AK6344">
        <v>0.495549807674252</v>
      </c>
      <c r="AL6344">
        <v>66.776790276543295</v>
      </c>
      <c r="AM6344">
        <v>83.854768044086896</v>
      </c>
      <c r="AN6344">
        <v>0.99999998427091596</v>
      </c>
    </row>
    <row r="6345" spans="1:40" x14ac:dyDescent="0.25">
      <c r="A6345" t="str">
        <f>"20190304164534226"</f>
        <v>20190304164534226</v>
      </c>
      <c r="B6345" t="str">
        <f>"1551689134216991"</f>
        <v>1551689134216991</v>
      </c>
      <c r="C6345" t="s">
        <v>40</v>
      </c>
      <c r="D6345">
        <v>5.2734509999999997</v>
      </c>
      <c r="E6345">
        <v>0.56702169999999996</v>
      </c>
      <c r="F6345" t="s">
        <v>41</v>
      </c>
      <c r="G6345">
        <v>-186.98689999999999</v>
      </c>
      <c r="H6345">
        <v>0.95426319999999998</v>
      </c>
      <c r="I6345">
        <v>114.8005</v>
      </c>
      <c r="J6345">
        <v>-187.20230000000001</v>
      </c>
      <c r="K6345">
        <v>1.1049389999999999</v>
      </c>
      <c r="L6345">
        <v>114.3377</v>
      </c>
      <c r="M6345">
        <v>0.10718809999999999</v>
      </c>
      <c r="N6345">
        <v>-2.171025E-2</v>
      </c>
      <c r="O6345">
        <v>0.99400169999999999</v>
      </c>
      <c r="P6345">
        <v>0.19381960000000001</v>
      </c>
      <c r="Q6345">
        <v>0.37451689999999999</v>
      </c>
      <c r="R6345">
        <v>0.90673649999999995</v>
      </c>
      <c r="S6345">
        <v>1.074066</v>
      </c>
      <c r="T6345">
        <v>-0.63415069999999996</v>
      </c>
      <c r="U6345">
        <v>3.3478850000000002</v>
      </c>
      <c r="V6345">
        <v>0.10184940000000001</v>
      </c>
      <c r="W6345">
        <v>0.39285759999999997</v>
      </c>
      <c r="X6345">
        <v>0.91394180000000003</v>
      </c>
      <c r="Y6345">
        <v>0.19739409999999999</v>
      </c>
      <c r="Z6345">
        <v>-0.15735099999999999</v>
      </c>
      <c r="AA6345">
        <v>0.96761370000000002</v>
      </c>
      <c r="AB6345">
        <v>37</v>
      </c>
      <c r="AC6345">
        <v>0.215400000000016</v>
      </c>
      <c r="AD6345">
        <v>-0.150675799999999</v>
      </c>
      <c r="AE6345">
        <v>0.46280000000000099</v>
      </c>
      <c r="AF6345">
        <v>0.15135338601700901</v>
      </c>
      <c r="AG6345">
        <v>-0.150675799999999</v>
      </c>
      <c r="AH6345">
        <v>0.44449908274559402</v>
      </c>
      <c r="AI6345">
        <v>107.790745469455</v>
      </c>
      <c r="AJ6345">
        <v>71.196124041169199</v>
      </c>
      <c r="AK6345">
        <v>0.493143466676918</v>
      </c>
      <c r="AL6345">
        <v>66.867575215587294</v>
      </c>
      <c r="AM6345">
        <v>83.641211764068103</v>
      </c>
      <c r="AN6345">
        <v>1.00000000397268</v>
      </c>
    </row>
    <row r="6346" spans="1:40" x14ac:dyDescent="0.25">
      <c r="A6346" t="str">
        <f>"20190304164534250"</f>
        <v>20190304164534250</v>
      </c>
      <c r="B6346" t="str">
        <f>"1551689134236514"</f>
        <v>1551689134236514</v>
      </c>
      <c r="C6346" t="s">
        <v>40</v>
      </c>
      <c r="D6346">
        <v>5.235932</v>
      </c>
      <c r="E6346">
        <v>0.56708570000000003</v>
      </c>
      <c r="F6346" t="s">
        <v>41</v>
      </c>
      <c r="G6346">
        <v>-186.94450000000001</v>
      </c>
      <c r="H6346">
        <v>0.95069729999999997</v>
      </c>
      <c r="I6346">
        <v>115.12439999999999</v>
      </c>
      <c r="J6346">
        <v>-187.15600000000001</v>
      </c>
      <c r="K6346">
        <v>1.1049260000000001</v>
      </c>
      <c r="L6346">
        <v>114.7043</v>
      </c>
      <c r="M6346">
        <v>0.1140234</v>
      </c>
      <c r="N6346">
        <v>-2.175655E-2</v>
      </c>
      <c r="O6346">
        <v>0.99323980000000001</v>
      </c>
      <c r="P6346">
        <v>0.2027149</v>
      </c>
      <c r="Q6346">
        <v>0.37307439999999997</v>
      </c>
      <c r="R6346">
        <v>0.90538510000000005</v>
      </c>
      <c r="S6346">
        <v>1.095505</v>
      </c>
      <c r="T6346">
        <v>-0.65557929999999998</v>
      </c>
      <c r="U6346">
        <v>3.3451689999999998</v>
      </c>
      <c r="V6346">
        <v>0.10449460000000001</v>
      </c>
      <c r="W6346">
        <v>0.39141569999999998</v>
      </c>
      <c r="X6346">
        <v>0.91426180000000001</v>
      </c>
      <c r="Y6346">
        <v>0.19619809999999999</v>
      </c>
      <c r="Z6346">
        <v>-0.1629592</v>
      </c>
      <c r="AA6346">
        <v>0.96692840000000002</v>
      </c>
      <c r="AB6346">
        <v>37</v>
      </c>
      <c r="AC6346">
        <v>0.21149999999997199</v>
      </c>
      <c r="AD6346">
        <v>-0.1542287</v>
      </c>
      <c r="AE6346">
        <v>0.42009999999998998</v>
      </c>
      <c r="AF6346">
        <v>0.14645921499405301</v>
      </c>
      <c r="AG6346">
        <v>-0.1542287</v>
      </c>
      <c r="AH6346">
        <v>0.39861863806540598</v>
      </c>
      <c r="AI6346">
        <v>109.959529474926</v>
      </c>
      <c r="AJ6346">
        <v>69.825815966174503</v>
      </c>
      <c r="AK6346">
        <v>0.451811478576501</v>
      </c>
      <c r="AL6346">
        <v>66.957383020760005</v>
      </c>
      <c r="AM6346">
        <v>83.479731994195205</v>
      </c>
      <c r="AN6346">
        <v>1.00000000528744</v>
      </c>
    </row>
    <row r="6347" spans="1:40" x14ac:dyDescent="0.25">
      <c r="A6347" t="str">
        <f>"20190304164534272"</f>
        <v>20190304164534272</v>
      </c>
      <c r="B6347" t="str">
        <f>"1551689134266442"</f>
        <v>1551689134266442</v>
      </c>
      <c r="C6347" t="s">
        <v>40</v>
      </c>
      <c r="D6347">
        <v>5.2466699999999999</v>
      </c>
      <c r="E6347">
        <v>0.56654979999999999</v>
      </c>
      <c r="F6347" t="s">
        <v>41</v>
      </c>
      <c r="G6347">
        <v>-186.90260000000001</v>
      </c>
      <c r="H6347">
        <v>0.95738219999999996</v>
      </c>
      <c r="I6347">
        <v>115.45180000000001</v>
      </c>
      <c r="J6347">
        <v>-187.10589999999999</v>
      </c>
      <c r="K6347">
        <v>1.104916</v>
      </c>
      <c r="L6347">
        <v>115.0796</v>
      </c>
      <c r="M6347">
        <v>0.1210526</v>
      </c>
      <c r="N6347">
        <v>-2.1796220000000002E-2</v>
      </c>
      <c r="O6347">
        <v>0.99240680000000003</v>
      </c>
      <c r="P6347">
        <v>0.2118575</v>
      </c>
      <c r="Q6347">
        <v>0.37204229999999999</v>
      </c>
      <c r="R6347">
        <v>0.90371509999999999</v>
      </c>
      <c r="S6347">
        <v>1.129257</v>
      </c>
      <c r="T6347">
        <v>-0.65758850000000002</v>
      </c>
      <c r="U6347">
        <v>3.3316189999999999</v>
      </c>
      <c r="V6347">
        <v>0.1072304</v>
      </c>
      <c r="W6347">
        <v>0.39037559999999999</v>
      </c>
      <c r="X6347">
        <v>0.91438969999999997</v>
      </c>
      <c r="Y6347">
        <v>0.19919020000000001</v>
      </c>
      <c r="Z6347">
        <v>-0.1636292</v>
      </c>
      <c r="AA6347">
        <v>0.96620329999999999</v>
      </c>
      <c r="AB6347">
        <v>37</v>
      </c>
      <c r="AC6347">
        <v>0.20329999999998399</v>
      </c>
      <c r="AD6347">
        <v>-0.14753379999999999</v>
      </c>
      <c r="AE6347">
        <v>0.37220000000000603</v>
      </c>
      <c r="AF6347">
        <v>0.139817705609492</v>
      </c>
      <c r="AG6347">
        <v>-0.14753379999999999</v>
      </c>
      <c r="AH6347">
        <v>0.35153622935543999</v>
      </c>
      <c r="AI6347">
        <v>111.30429093381601</v>
      </c>
      <c r="AJ6347">
        <v>68.310631090278505</v>
      </c>
      <c r="AK6347">
        <v>0.40607010908682101</v>
      </c>
      <c r="AL6347">
        <v>67.022127547413703</v>
      </c>
      <c r="AM6347">
        <v>83.311478021534001</v>
      </c>
      <c r="AN6347">
        <v>0.99999999561280495</v>
      </c>
    </row>
    <row r="6348" spans="1:40" x14ac:dyDescent="0.25">
      <c r="A6348" t="str">
        <f>"20190304164534294"</f>
        <v>20190304164534294</v>
      </c>
      <c r="B6348" t="str">
        <f>"1551689134286938"</f>
        <v>1551689134286938</v>
      </c>
      <c r="C6348" t="s">
        <v>40</v>
      </c>
      <c r="D6348">
        <v>5.3024040000000001</v>
      </c>
      <c r="E6348">
        <v>0.56659280000000001</v>
      </c>
      <c r="F6348" t="s">
        <v>41</v>
      </c>
      <c r="G6348">
        <v>-186.8622</v>
      </c>
      <c r="H6348">
        <v>0.96428139999999996</v>
      </c>
      <c r="I6348">
        <v>115.7779</v>
      </c>
      <c r="J6348">
        <v>-187.0549</v>
      </c>
      <c r="K6348">
        <v>1.1049180000000001</v>
      </c>
      <c r="L6348">
        <v>115.4419</v>
      </c>
      <c r="M6348">
        <v>0.12785879999999999</v>
      </c>
      <c r="N6348">
        <v>-2.1827570000000001E-2</v>
      </c>
      <c r="O6348">
        <v>0.99155219999999999</v>
      </c>
      <c r="P6348">
        <v>0.2202751</v>
      </c>
      <c r="Q6348">
        <v>0.37038700000000002</v>
      </c>
      <c r="R6348">
        <v>0.90238149999999995</v>
      </c>
      <c r="S6348">
        <v>1.159195</v>
      </c>
      <c r="T6348">
        <v>-0.66898069999999998</v>
      </c>
      <c r="U6348">
        <v>3.3232879999999998</v>
      </c>
      <c r="V6348">
        <v>0.1093874</v>
      </c>
      <c r="W6348">
        <v>0.38872380000000001</v>
      </c>
      <c r="X6348">
        <v>0.91483780000000003</v>
      </c>
      <c r="Y6348">
        <v>0.20081019999999999</v>
      </c>
      <c r="Z6348">
        <v>-0.16663220000000001</v>
      </c>
      <c r="AA6348">
        <v>0.9653543</v>
      </c>
      <c r="AB6348">
        <v>36</v>
      </c>
      <c r="AC6348">
        <v>0.19270000000000201</v>
      </c>
      <c r="AD6348">
        <v>-0.1406366</v>
      </c>
      <c r="AE6348">
        <v>0.33599999999999802</v>
      </c>
      <c r="AF6348">
        <v>0.13089120043265001</v>
      </c>
      <c r="AG6348">
        <v>-0.1406366</v>
      </c>
      <c r="AH6348">
        <v>0.31619992951605602</v>
      </c>
      <c r="AI6348">
        <v>112.340364307233</v>
      </c>
      <c r="AJ6348">
        <v>67.512853654596199</v>
      </c>
      <c r="AK6348">
        <v>0.36999129048697699</v>
      </c>
      <c r="AL6348">
        <v>67.124886163238202</v>
      </c>
      <c r="AM6348">
        <v>83.181500185521799</v>
      </c>
      <c r="AN6348">
        <v>0.99999999813702001</v>
      </c>
    </row>
    <row r="6349" spans="1:40" x14ac:dyDescent="0.25">
      <c r="A6349" t="str">
        <f>"20190304164534306"</f>
        <v>20190304164534306</v>
      </c>
      <c r="B6349" t="str">
        <f>"1551689134296699"</f>
        <v>1551689134296699</v>
      </c>
      <c r="C6349" t="s">
        <v>40</v>
      </c>
      <c r="D6349">
        <v>5.3284789999999997</v>
      </c>
      <c r="E6349">
        <v>0.56685969999999997</v>
      </c>
      <c r="F6349" t="s">
        <v>41</v>
      </c>
      <c r="G6349">
        <v>-186.71530000000001</v>
      </c>
      <c r="H6349">
        <v>0.91316149999999996</v>
      </c>
      <c r="I6349">
        <v>116.38849999999999</v>
      </c>
      <c r="J6349">
        <v>-187.0264</v>
      </c>
      <c r="K6349">
        <v>1.1049249999999999</v>
      </c>
      <c r="L6349">
        <v>115.6352</v>
      </c>
      <c r="M6349">
        <v>0.1315027</v>
      </c>
      <c r="N6349">
        <v>-2.1841599999999999E-2</v>
      </c>
      <c r="O6349">
        <v>0.99107520000000005</v>
      </c>
      <c r="P6349">
        <v>0.22414290000000001</v>
      </c>
      <c r="Q6349">
        <v>0.36965439999999999</v>
      </c>
      <c r="R6349">
        <v>0.90172920000000001</v>
      </c>
      <c r="S6349">
        <v>1.1866909999999999</v>
      </c>
      <c r="T6349">
        <v>-0.670332699999999</v>
      </c>
      <c r="U6349">
        <v>3.3100130000000001</v>
      </c>
      <c r="V6349">
        <v>0.1098985</v>
      </c>
      <c r="W6349">
        <v>0.38800190000000001</v>
      </c>
      <c r="X6349">
        <v>0.91508299999999998</v>
      </c>
      <c r="Y6349">
        <v>0.20549149999999999</v>
      </c>
      <c r="Z6349">
        <v>-0.16722699999999999</v>
      </c>
      <c r="AA6349">
        <v>0.9642657</v>
      </c>
      <c r="AB6349">
        <v>36</v>
      </c>
      <c r="AC6349">
        <v>0.311099999999981</v>
      </c>
      <c r="AD6349">
        <v>-0.1917635</v>
      </c>
      <c r="AE6349">
        <v>0.75329999999999497</v>
      </c>
      <c r="AF6349">
        <v>0.19833254198835901</v>
      </c>
      <c r="AG6349">
        <v>-0.1917635</v>
      </c>
      <c r="AH6349">
        <v>0.74635626220715101</v>
      </c>
      <c r="AI6349">
        <v>103.94534915724</v>
      </c>
      <c r="AJ6349">
        <v>75.118462504460695</v>
      </c>
      <c r="AK6349">
        <v>0.79571144724682896</v>
      </c>
      <c r="AL6349">
        <v>67.169771834819997</v>
      </c>
      <c r="AM6349">
        <v>83.151761621549397</v>
      </c>
      <c r="AN6349">
        <v>1.00000002579742</v>
      </c>
    </row>
    <row r="6350" spans="1:40" x14ac:dyDescent="0.25">
      <c r="A6350" t="str">
        <f>"20190304164534327"</f>
        <v>20190304164534327</v>
      </c>
      <c r="B6350" t="str">
        <f>"1551689134316219"</f>
        <v>1551689134316219</v>
      </c>
      <c r="C6350" t="s">
        <v>40</v>
      </c>
      <c r="D6350">
        <v>5.3015610000000004</v>
      </c>
      <c r="E6350">
        <v>0.56745979999999996</v>
      </c>
      <c r="F6350" t="s">
        <v>41</v>
      </c>
      <c r="G6350">
        <v>-186.7448</v>
      </c>
      <c r="H6350">
        <v>0.94819609999999999</v>
      </c>
      <c r="I6350">
        <v>116.40779999999999</v>
      </c>
      <c r="J6350">
        <v>-186.9759</v>
      </c>
      <c r="K6350">
        <v>1.1049469999999999</v>
      </c>
      <c r="L6350">
        <v>115.9679</v>
      </c>
      <c r="M6350">
        <v>0.13778560000000001</v>
      </c>
      <c r="N6350">
        <v>-2.186337E-2</v>
      </c>
      <c r="O6350">
        <v>0.99022069999999995</v>
      </c>
      <c r="P6350">
        <v>0.23095270000000001</v>
      </c>
      <c r="Q6350">
        <v>0.36958069999999998</v>
      </c>
      <c r="R6350">
        <v>0.90003940000000004</v>
      </c>
      <c r="S6350">
        <v>1.2027890000000001</v>
      </c>
      <c r="T6350">
        <v>-0.66970730000000001</v>
      </c>
      <c r="U6350">
        <v>3.302505</v>
      </c>
      <c r="V6350">
        <v>0.11100889999999999</v>
      </c>
      <c r="W6350">
        <v>0.3879302</v>
      </c>
      <c r="X6350">
        <v>0.91497930000000005</v>
      </c>
      <c r="Y6350">
        <v>0.20415069999999999</v>
      </c>
      <c r="Z6350">
        <v>-0.16709640000000001</v>
      </c>
      <c r="AA6350">
        <v>0.96457309999999996</v>
      </c>
      <c r="AB6350">
        <v>36</v>
      </c>
      <c r="AC6350">
        <v>0.231099999999997</v>
      </c>
      <c r="AD6350">
        <v>-0.156750899999999</v>
      </c>
      <c r="AE6350">
        <v>0.43989999999999402</v>
      </c>
      <c r="AF6350">
        <v>0.153039445788513</v>
      </c>
      <c r="AG6350">
        <v>-0.156750899999999</v>
      </c>
      <c r="AH6350">
        <v>0.42523694011818203</v>
      </c>
      <c r="AI6350">
        <v>109.12869220432</v>
      </c>
      <c r="AJ6350">
        <v>70.206593129598502</v>
      </c>
      <c r="AK6350">
        <v>0.47834963348908299</v>
      </c>
      <c r="AL6350">
        <v>67.174227658940595</v>
      </c>
      <c r="AM6350">
        <v>83.082458598941301</v>
      </c>
      <c r="AN6350">
        <v>0.99999996768986898</v>
      </c>
    </row>
    <row r="6351" spans="1:40" x14ac:dyDescent="0.25">
      <c r="A6351" t="str">
        <f>"20190304164534351"</f>
        <v>20190304164534351</v>
      </c>
      <c r="B6351" t="str">
        <f>"1551689134346475"</f>
        <v>1551689134346475</v>
      </c>
      <c r="C6351" t="s">
        <v>40</v>
      </c>
      <c r="D6351">
        <v>5.5597830000000004</v>
      </c>
      <c r="E6351">
        <v>0.56794250000000002</v>
      </c>
      <c r="F6351" t="s">
        <v>41</v>
      </c>
      <c r="G6351">
        <v>-186.6908</v>
      </c>
      <c r="H6351">
        <v>0.95171059999999996</v>
      </c>
      <c r="I6351">
        <v>116.72629999999999</v>
      </c>
      <c r="J6351">
        <v>-186.91839999999999</v>
      </c>
      <c r="K6351">
        <v>1.104967</v>
      </c>
      <c r="L6351">
        <v>116.33110000000001</v>
      </c>
      <c r="M6351">
        <v>0.14468629999999999</v>
      </c>
      <c r="N6351">
        <v>-2.1883099999999999E-2</v>
      </c>
      <c r="O6351">
        <v>0.98923559999999999</v>
      </c>
      <c r="P6351">
        <v>0.23797789999999999</v>
      </c>
      <c r="Q6351">
        <v>0.37147289999999999</v>
      </c>
      <c r="R6351">
        <v>0.89742649999999902</v>
      </c>
      <c r="S6351">
        <v>1.2366790000000001</v>
      </c>
      <c r="T6351">
        <v>-0.66465209999999997</v>
      </c>
      <c r="U6351">
        <v>3.2887729999999999</v>
      </c>
      <c r="V6351">
        <v>0.111924</v>
      </c>
      <c r="W6351">
        <v>0.38980779999999998</v>
      </c>
      <c r="X6351">
        <v>0.91406940000000003</v>
      </c>
      <c r="Y6351">
        <v>0.2074337</v>
      </c>
      <c r="Z6351">
        <v>-0.16579940000000001</v>
      </c>
      <c r="AA6351">
        <v>0.96409639999999996</v>
      </c>
      <c r="AB6351">
        <v>36</v>
      </c>
      <c r="AC6351">
        <v>0.227599999999995</v>
      </c>
      <c r="AD6351">
        <v>-0.15325639999999999</v>
      </c>
      <c r="AE6351">
        <v>0.39519999999998801</v>
      </c>
      <c r="AF6351">
        <v>0.15096220618582001</v>
      </c>
      <c r="AG6351">
        <v>-0.15325639999999999</v>
      </c>
      <c r="AH6351">
        <v>0.380956923676665</v>
      </c>
      <c r="AI6351">
        <v>110.50574028464101</v>
      </c>
      <c r="AJ6351">
        <v>68.383009933105598</v>
      </c>
      <c r="AK6351">
        <v>0.43749890232392402</v>
      </c>
      <c r="AL6351">
        <v>67.057458958427105</v>
      </c>
      <c r="AM6351">
        <v>83.019119543462693</v>
      </c>
      <c r="AN6351">
        <v>0.99999998536659895</v>
      </c>
    </row>
    <row r="6352" spans="1:40" x14ac:dyDescent="0.25">
      <c r="A6352" t="str">
        <f>"20190304164534373"</f>
        <v>20190304164534373</v>
      </c>
      <c r="B6352" t="str">
        <f>"1551689134366566"</f>
        <v>1551689134366566</v>
      </c>
      <c r="C6352" t="s">
        <v>40</v>
      </c>
      <c r="D6352">
        <v>5.3117369999999999</v>
      </c>
      <c r="E6352">
        <v>0.57436589999999998</v>
      </c>
      <c r="F6352" t="s">
        <v>41</v>
      </c>
      <c r="G6352">
        <v>-186.6412</v>
      </c>
      <c r="H6352">
        <v>0.9620107</v>
      </c>
      <c r="I6352">
        <v>117.0471</v>
      </c>
      <c r="J6352">
        <v>-186.85929999999999</v>
      </c>
      <c r="K6352">
        <v>1.1049709999999999</v>
      </c>
      <c r="L6352">
        <v>116.6874</v>
      </c>
      <c r="M6352">
        <v>0.1515319</v>
      </c>
      <c r="N6352">
        <v>-2.1899700000000001E-2</v>
      </c>
      <c r="O6352">
        <v>0.98820969999999997</v>
      </c>
      <c r="P6352">
        <v>0.2454916</v>
      </c>
      <c r="Q6352">
        <v>0.37208530000000001</v>
      </c>
      <c r="R6352">
        <v>0.895145999999999</v>
      </c>
      <c r="S6352">
        <v>1.268127</v>
      </c>
      <c r="T6352">
        <v>-0.65420400000000001</v>
      </c>
      <c r="U6352">
        <v>3.27739</v>
      </c>
      <c r="V6352">
        <v>0.11332689999999999</v>
      </c>
      <c r="W6352">
        <v>0.390401</v>
      </c>
      <c r="X6352">
        <v>0.91364330000000005</v>
      </c>
      <c r="Y6352">
        <v>0.2100137</v>
      </c>
      <c r="Z6352">
        <v>-0.16293179999999999</v>
      </c>
      <c r="AA6352">
        <v>0.96402670000000001</v>
      </c>
      <c r="AB6352">
        <v>36</v>
      </c>
      <c r="AC6352">
        <v>0.21809999999999199</v>
      </c>
      <c r="AD6352">
        <v>-0.14296029999999901</v>
      </c>
      <c r="AE6352">
        <v>0.35970000000000302</v>
      </c>
      <c r="AF6352">
        <v>0.14438491043784599</v>
      </c>
      <c r="AG6352">
        <v>-0.14296029999999901</v>
      </c>
      <c r="AH6352">
        <v>0.34836565454671897</v>
      </c>
      <c r="AI6352">
        <v>110.761860890357</v>
      </c>
      <c r="AJ6352">
        <v>67.487769180133398</v>
      </c>
      <c r="AK6352">
        <v>0.40329056399325702</v>
      </c>
      <c r="AL6352">
        <v>67.020546990992401</v>
      </c>
      <c r="AM6352">
        <v>82.929235156139498</v>
      </c>
      <c r="AN6352">
        <v>1.00000000334975</v>
      </c>
    </row>
    <row r="6353" spans="1:40" x14ac:dyDescent="0.25">
      <c r="A6353" t="str">
        <f>"20190304164534396"</f>
        <v>20190304164534396</v>
      </c>
      <c r="B6353" t="str">
        <f>"1551689134386086"</f>
        <v>1551689134386086</v>
      </c>
      <c r="C6353" t="s">
        <v>40</v>
      </c>
      <c r="D6353">
        <v>5.2781330000000004</v>
      </c>
      <c r="E6353">
        <v>0.5739301</v>
      </c>
      <c r="F6353" t="s">
        <v>41</v>
      </c>
      <c r="G6353">
        <v>-186.57509999999999</v>
      </c>
      <c r="H6353">
        <v>0.98178120000000002</v>
      </c>
      <c r="I6353">
        <v>117.3691</v>
      </c>
      <c r="J6353">
        <v>-186.7979</v>
      </c>
      <c r="K6353">
        <v>1.104941</v>
      </c>
      <c r="L6353">
        <v>117.0406</v>
      </c>
      <c r="M6353">
        <v>0.15843889999999999</v>
      </c>
      <c r="N6353">
        <v>-2.191531E-2</v>
      </c>
      <c r="O6353">
        <v>0.98712549999999999</v>
      </c>
      <c r="P6353">
        <v>0.25103789999999998</v>
      </c>
      <c r="Q6353">
        <v>0.3722703</v>
      </c>
      <c r="R6353">
        <v>0.89352940000000003</v>
      </c>
      <c r="S6353">
        <v>1.3447420000000001</v>
      </c>
      <c r="T6353">
        <v>-0.58283629999999997</v>
      </c>
      <c r="U6353">
        <v>3.2248839999999999</v>
      </c>
      <c r="V6353">
        <v>0.1126448</v>
      </c>
      <c r="W6353">
        <v>0.39060289999999998</v>
      </c>
      <c r="X6353">
        <v>0.91364129999999999</v>
      </c>
      <c r="Y6353">
        <v>0.2292062</v>
      </c>
      <c r="Z6353">
        <v>-0.14455090000000001</v>
      </c>
      <c r="AA6353">
        <v>0.96258489999999997</v>
      </c>
      <c r="AB6353">
        <v>36</v>
      </c>
      <c r="AC6353">
        <v>0.22280000000000599</v>
      </c>
      <c r="AD6353">
        <v>-0.123159799999999</v>
      </c>
      <c r="AE6353">
        <v>0.32850000000000501</v>
      </c>
      <c r="AF6353">
        <v>0.15317754333089001</v>
      </c>
      <c r="AG6353">
        <v>-0.123159799999999</v>
      </c>
      <c r="AH6353">
        <v>0.32807214290582098</v>
      </c>
      <c r="AI6353">
        <v>108.78597591759301</v>
      </c>
      <c r="AJ6353">
        <v>64.972034690290201</v>
      </c>
      <c r="AK6353">
        <v>0.38244349526138399</v>
      </c>
      <c r="AL6353">
        <v>67.007980003729003</v>
      </c>
      <c r="AM6353">
        <v>82.971351001548499</v>
      </c>
      <c r="AN6353">
        <v>0.99999995076056802</v>
      </c>
    </row>
    <row r="6354" spans="1:40" x14ac:dyDescent="0.25">
      <c r="A6354" t="str">
        <f>"20190304164534417"</f>
        <v>20190304164534417</v>
      </c>
      <c r="B6354" t="str">
        <f>"1551689134406582"</f>
        <v>1551689134406582</v>
      </c>
      <c r="C6354" t="s">
        <v>40</v>
      </c>
      <c r="D6354">
        <v>5.2866730000000004</v>
      </c>
      <c r="E6354">
        <v>0.569025</v>
      </c>
      <c r="F6354" t="s">
        <v>41</v>
      </c>
      <c r="G6354">
        <v>-186.4057</v>
      </c>
      <c r="H6354">
        <v>0.93577160000000004</v>
      </c>
      <c r="I6354">
        <v>117.9646</v>
      </c>
      <c r="J6354">
        <v>-186.73920000000001</v>
      </c>
      <c r="K6354">
        <v>1.1048929999999999</v>
      </c>
      <c r="L6354">
        <v>117.3651</v>
      </c>
      <c r="M6354">
        <v>0.16491900000000001</v>
      </c>
      <c r="N6354">
        <v>-2.1929569999999999E-2</v>
      </c>
      <c r="O6354">
        <v>0.98606329999999998</v>
      </c>
      <c r="P6354">
        <v>0.25758639999999999</v>
      </c>
      <c r="Q6354">
        <v>0.37257410000000002</v>
      </c>
      <c r="R6354">
        <v>0.89153680000000002</v>
      </c>
      <c r="S6354">
        <v>1.3664860000000001</v>
      </c>
      <c r="T6354">
        <v>-0.58939140000000001</v>
      </c>
      <c r="U6354">
        <v>3.2191160000000001</v>
      </c>
      <c r="V6354">
        <v>0.113432199999999</v>
      </c>
      <c r="W6354">
        <v>0.39088780000000001</v>
      </c>
      <c r="X6354">
        <v>0.91342210000000001</v>
      </c>
      <c r="Y6354">
        <v>0.2288521</v>
      </c>
      <c r="Z6354">
        <v>-0.1461944</v>
      </c>
      <c r="AA6354">
        <v>0.96242079999999997</v>
      </c>
      <c r="AB6354">
        <v>35</v>
      </c>
      <c r="AC6354">
        <v>0.33350000000001501</v>
      </c>
      <c r="AD6354">
        <v>-0.16912140000000001</v>
      </c>
      <c r="AE6354">
        <v>0.59950000000000603</v>
      </c>
      <c r="AF6354">
        <v>0.21685890449299899</v>
      </c>
      <c r="AG6354">
        <v>-0.16912140000000001</v>
      </c>
      <c r="AH6354">
        <v>0.60927237029672099</v>
      </c>
      <c r="AI6354">
        <v>104.65513329919899</v>
      </c>
      <c r="AJ6354">
        <v>70.407780936148001</v>
      </c>
      <c r="AK6354">
        <v>0.66846290368490002</v>
      </c>
      <c r="AL6354">
        <v>66.990248646250706</v>
      </c>
      <c r="AM6354">
        <v>82.921035315184298</v>
      </c>
      <c r="AN6354">
        <v>1.0000000344770399</v>
      </c>
    </row>
    <row r="6355" spans="1:40" x14ac:dyDescent="0.25">
      <c r="A6355" t="str">
        <f>"20190304164534428"</f>
        <v>20190304164534428</v>
      </c>
      <c r="B6355" t="str">
        <f>"1551689134416343"</f>
        <v>1551689134416343</v>
      </c>
      <c r="C6355" t="s">
        <v>40</v>
      </c>
      <c r="D6355">
        <v>5.2814540000000001</v>
      </c>
      <c r="E6355">
        <v>0.56896849999999999</v>
      </c>
      <c r="F6355" t="s">
        <v>41</v>
      </c>
      <c r="G6355">
        <v>-186.36199999999999</v>
      </c>
      <c r="H6355">
        <v>0.92125020000000002</v>
      </c>
      <c r="I6355">
        <v>118.26560000000001</v>
      </c>
      <c r="J6355">
        <v>-186.70500000000001</v>
      </c>
      <c r="K6355">
        <v>1.1048639999999901</v>
      </c>
      <c r="L6355">
        <v>117.5474</v>
      </c>
      <c r="M6355">
        <v>0.16861779999999901</v>
      </c>
      <c r="N6355">
        <v>-2.193815E-2</v>
      </c>
      <c r="O6355">
        <v>0.98543729999999996</v>
      </c>
      <c r="P6355">
        <v>0.26185059999999999</v>
      </c>
      <c r="Q6355">
        <v>0.37274469999999998</v>
      </c>
      <c r="R6355">
        <v>0.89022230000000002</v>
      </c>
      <c r="S6355">
        <v>1.360641</v>
      </c>
      <c r="T6355">
        <v>-0.66246879999999997</v>
      </c>
      <c r="U6355">
        <v>3.248688</v>
      </c>
      <c r="V6355">
        <v>0.1144346</v>
      </c>
      <c r="W6355">
        <v>0.3910362</v>
      </c>
      <c r="X6355">
        <v>0.91323350000000003</v>
      </c>
      <c r="Y6355">
        <v>0.21939040000000001</v>
      </c>
      <c r="Z6355">
        <v>-0.16484550000000001</v>
      </c>
      <c r="AA6355">
        <v>0.96160999999999996</v>
      </c>
      <c r="AB6355">
        <v>35</v>
      </c>
      <c r="AC6355">
        <v>0.34300000000001701</v>
      </c>
      <c r="AD6355">
        <v>-0.18361379999999899</v>
      </c>
      <c r="AE6355">
        <v>0.71820000000001005</v>
      </c>
      <c r="AF6355">
        <v>0.20599257476962099</v>
      </c>
      <c r="AG6355">
        <v>-0.18361379999999899</v>
      </c>
      <c r="AH6355">
        <v>0.72706541855405304</v>
      </c>
      <c r="AI6355">
        <v>103.656915873138</v>
      </c>
      <c r="AJ6355">
        <v>74.181484020891503</v>
      </c>
      <c r="AK6355">
        <v>0.77767029727760495</v>
      </c>
      <c r="AL6355">
        <v>66.981009991113496</v>
      </c>
      <c r="AM6355">
        <v>82.857662036981495</v>
      </c>
      <c r="AN6355">
        <v>1.0000000064549199</v>
      </c>
    </row>
    <row r="6356" spans="1:40" x14ac:dyDescent="0.25">
      <c r="A6356" t="str">
        <f>"20190304164534452"</f>
        <v>20190304164534452</v>
      </c>
      <c r="B6356" t="str">
        <f>"1551689134446598"</f>
        <v>1551689134446598</v>
      </c>
      <c r="C6356" t="s">
        <v>40</v>
      </c>
      <c r="D6356">
        <v>5.3161389999999997</v>
      </c>
      <c r="E6356">
        <v>0.56912309999999999</v>
      </c>
      <c r="F6356" t="s">
        <v>41</v>
      </c>
      <c r="G6356">
        <v>-186.392</v>
      </c>
      <c r="H6356">
        <v>0.95409820000000001</v>
      </c>
      <c r="I6356">
        <v>118.2851</v>
      </c>
      <c r="J6356">
        <v>-186.63419999999999</v>
      </c>
      <c r="K6356">
        <v>1.104792</v>
      </c>
      <c r="L6356">
        <v>117.9152</v>
      </c>
      <c r="M6356">
        <v>0.17620849999999999</v>
      </c>
      <c r="N6356">
        <v>-2.1954100000000001E-2</v>
      </c>
      <c r="O6356">
        <v>0.98410799999999998</v>
      </c>
      <c r="P6356">
        <v>0.27120149999999998</v>
      </c>
      <c r="Q6356">
        <v>0.37300549999999999</v>
      </c>
      <c r="R6356">
        <v>0.887308599999999</v>
      </c>
      <c r="S6356">
        <v>1.375534</v>
      </c>
      <c r="T6356">
        <v>-0.66260759999999996</v>
      </c>
      <c r="U6356">
        <v>3.2427670000000002</v>
      </c>
      <c r="V6356">
        <v>0.117127</v>
      </c>
      <c r="W6356">
        <v>0.39123619999999998</v>
      </c>
      <c r="X6356">
        <v>0.91280640000000002</v>
      </c>
      <c r="Y6356">
        <v>0.2162589</v>
      </c>
      <c r="Z6356">
        <v>-0.1647535</v>
      </c>
      <c r="AA6356">
        <v>0.96233480000000005</v>
      </c>
      <c r="AB6356">
        <v>35</v>
      </c>
      <c r="AC6356">
        <v>0.242199999999996</v>
      </c>
      <c r="AD6356">
        <v>-0.15069379999999999</v>
      </c>
      <c r="AE6356">
        <v>0.36990000000000101</v>
      </c>
      <c r="AF6356">
        <v>0.15518607895391201</v>
      </c>
      <c r="AG6356">
        <v>-0.15069379999999999</v>
      </c>
      <c r="AH6356">
        <v>0.36446000554317998</v>
      </c>
      <c r="AI6356">
        <v>110.827879591357</v>
      </c>
      <c r="AJ6356">
        <v>66.935827077936594</v>
      </c>
      <c r="AK6356">
        <v>0.423818871807362</v>
      </c>
      <c r="AL6356">
        <v>66.968559004202802</v>
      </c>
      <c r="AM6356">
        <v>82.688031921011401</v>
      </c>
      <c r="AN6356">
        <v>1.0000000111002001</v>
      </c>
    </row>
    <row r="6357" spans="1:40" x14ac:dyDescent="0.25">
      <c r="A6357" t="str">
        <f>"20190304164534464"</f>
        <v>20190304164534464</v>
      </c>
      <c r="B6357" t="str">
        <f>"1551689134456359"</f>
        <v>1551689134456359</v>
      </c>
      <c r="C6357" t="s">
        <v>40</v>
      </c>
      <c r="D6357">
        <v>5.3106059999999999</v>
      </c>
      <c r="E6357">
        <v>0.56911929999999999</v>
      </c>
      <c r="F6357" t="s">
        <v>41</v>
      </c>
      <c r="G6357">
        <v>-186.3357</v>
      </c>
      <c r="H6357">
        <v>0.96606119999999995</v>
      </c>
      <c r="I6357">
        <v>118.5984</v>
      </c>
      <c r="J6357">
        <v>-186.59649999999999</v>
      </c>
      <c r="K6357">
        <v>1.1047400000000001</v>
      </c>
      <c r="L6357">
        <v>118.10250000000001</v>
      </c>
      <c r="M6357">
        <v>0.18019109999999999</v>
      </c>
      <c r="N6357">
        <v>-2.1961669999999999E-2</v>
      </c>
      <c r="O6357">
        <v>0.98338639999999999</v>
      </c>
      <c r="P6357">
        <v>0.27553359999999999</v>
      </c>
      <c r="Q6357">
        <v>0.3729324</v>
      </c>
      <c r="R6357">
        <v>0.88600380000000001</v>
      </c>
      <c r="S6357">
        <v>1.408752</v>
      </c>
      <c r="T6357">
        <v>-0.65491719999999998</v>
      </c>
      <c r="U6357">
        <v>3.2257539999999998</v>
      </c>
      <c r="V6357">
        <v>0.11794200000000001</v>
      </c>
      <c r="W6357">
        <v>0.39114009999999999</v>
      </c>
      <c r="X6357">
        <v>0.91274259999999996</v>
      </c>
      <c r="Y6357">
        <v>0.22259960000000001</v>
      </c>
      <c r="Z6357">
        <v>-0.1628792</v>
      </c>
      <c r="AA6357">
        <v>0.96120740000000005</v>
      </c>
      <c r="AB6357">
        <v>35</v>
      </c>
      <c r="AC6357">
        <v>0.26079999999998899</v>
      </c>
      <c r="AD6357">
        <v>-0.13867879999999999</v>
      </c>
      <c r="AE6357">
        <v>0.49589999999999101</v>
      </c>
      <c r="AF6357">
        <v>0.15750202676043301</v>
      </c>
      <c r="AG6357">
        <v>-0.13867879999999999</v>
      </c>
      <c r="AH6357">
        <v>0.50391398221035999</v>
      </c>
      <c r="AI6357">
        <v>104.717510601054</v>
      </c>
      <c r="AJ6357">
        <v>72.642981027260006</v>
      </c>
      <c r="AK6357">
        <v>0.54586445155385099</v>
      </c>
      <c r="AL6357">
        <v>66.974540986252705</v>
      </c>
      <c r="AM6357">
        <v>82.637200686703594</v>
      </c>
      <c r="AN6357">
        <v>0.99999997352338399</v>
      </c>
    </row>
    <row r="6358" spans="1:40" x14ac:dyDescent="0.25">
      <c r="A6358" t="str">
        <f>"20190304164534476"</f>
        <v>20190304164534476</v>
      </c>
      <c r="B6358" t="str">
        <f>"1551689134466643"</f>
        <v>1551689134466643</v>
      </c>
      <c r="C6358" t="s">
        <v>40</v>
      </c>
      <c r="D6358">
        <v>5.2594010000000004</v>
      </c>
      <c r="E6358">
        <v>0.56911929999999999</v>
      </c>
      <c r="F6358" t="s">
        <v>41</v>
      </c>
      <c r="G6358">
        <v>-186.2482</v>
      </c>
      <c r="H6358">
        <v>0.94476680000000002</v>
      </c>
      <c r="I6358">
        <v>118.8895</v>
      </c>
      <c r="J6358">
        <v>-186.55959999999999</v>
      </c>
      <c r="K6358">
        <v>1.104689</v>
      </c>
      <c r="L6358">
        <v>118.2841</v>
      </c>
      <c r="M6358">
        <v>0.18409030000000001</v>
      </c>
      <c r="N6358">
        <v>-2.1968970000000001E-2</v>
      </c>
      <c r="O6358">
        <v>0.98266379999999998</v>
      </c>
      <c r="P6358">
        <v>0.27955180000000002</v>
      </c>
      <c r="Q6358">
        <v>0.37226920000000002</v>
      </c>
      <c r="R6358">
        <v>0.88502340000000002</v>
      </c>
      <c r="S6358">
        <v>1.4241029999999999</v>
      </c>
      <c r="T6358">
        <v>-0.65392109999999903</v>
      </c>
      <c r="U6358">
        <v>3.218353</v>
      </c>
      <c r="V6358">
        <v>0.1184592</v>
      </c>
      <c r="W6358">
        <v>0.3904646</v>
      </c>
      <c r="X6358">
        <v>0.91296480000000002</v>
      </c>
      <c r="Y6358">
        <v>0.22340180000000001</v>
      </c>
      <c r="Z6358">
        <v>-0.16262299999999999</v>
      </c>
      <c r="AA6358">
        <v>0.96106480000000005</v>
      </c>
      <c r="AB6358">
        <v>35</v>
      </c>
      <c r="AC6358">
        <v>0.31139999999999102</v>
      </c>
      <c r="AD6358">
        <v>-0.15992219999999999</v>
      </c>
      <c r="AE6358">
        <v>0.60540000000000205</v>
      </c>
      <c r="AF6358">
        <v>0.18442357883941199</v>
      </c>
      <c r="AG6358">
        <v>-0.15992219999999999</v>
      </c>
      <c r="AH6358">
        <v>0.61827118283666505</v>
      </c>
      <c r="AI6358">
        <v>103.92121848976799</v>
      </c>
      <c r="AJ6358">
        <v>73.390729352982007</v>
      </c>
      <c r="AK6358">
        <v>0.66471529394999296</v>
      </c>
      <c r="AL6358">
        <v>67.016587674317606</v>
      </c>
      <c r="AM6358">
        <v>82.607049715396698</v>
      </c>
      <c r="AN6358">
        <v>0.99999995597841895</v>
      </c>
    </row>
    <row r="6359" spans="1:40" x14ac:dyDescent="0.25">
      <c r="A6359" t="str">
        <f>"20190304164534489"</f>
        <v>20190304164534489</v>
      </c>
      <c r="B6359" t="str">
        <f>"1551689134476403"</f>
        <v>1551689134476403</v>
      </c>
      <c r="C6359" t="s">
        <v>40</v>
      </c>
      <c r="D6359">
        <v>5.2596579999999999</v>
      </c>
      <c r="E6359">
        <v>0.56722919999999999</v>
      </c>
      <c r="F6359" t="s">
        <v>41</v>
      </c>
      <c r="G6359">
        <v>-186.15860000000001</v>
      </c>
      <c r="H6359">
        <v>0.92206049999999995</v>
      </c>
      <c r="I6359">
        <v>119.178</v>
      </c>
      <c r="J6359">
        <v>-186.51949999999999</v>
      </c>
      <c r="K6359">
        <v>1.1046199999999999</v>
      </c>
      <c r="L6359">
        <v>118.476</v>
      </c>
      <c r="M6359">
        <v>0.18831609999999999</v>
      </c>
      <c r="N6359">
        <v>-2.1977880000000002E-2</v>
      </c>
      <c r="O6359">
        <v>0.98186249999999997</v>
      </c>
      <c r="P6359">
        <v>0.28387800000000002</v>
      </c>
      <c r="Q6359">
        <v>0.37180790000000002</v>
      </c>
      <c r="R6359">
        <v>0.8838395</v>
      </c>
      <c r="S6359">
        <v>1.4404140000000001</v>
      </c>
      <c r="T6359">
        <v>-0.65600539999999996</v>
      </c>
      <c r="U6359">
        <v>3.2106780000000001</v>
      </c>
      <c r="V6359">
        <v>0.1190254</v>
      </c>
      <c r="W6359">
        <v>0.38998519999999998</v>
      </c>
      <c r="X6359">
        <v>0.91309609999999997</v>
      </c>
      <c r="Y6359">
        <v>0.22409090000000001</v>
      </c>
      <c r="Z6359">
        <v>-0.16318650000000001</v>
      </c>
      <c r="AA6359">
        <v>0.96080880000000002</v>
      </c>
      <c r="AB6359">
        <v>35</v>
      </c>
      <c r="AC6359">
        <v>0.36089999999998601</v>
      </c>
      <c r="AD6359">
        <v>-0.18255950000000001</v>
      </c>
      <c r="AE6359">
        <v>0.70199999999999796</v>
      </c>
      <c r="AF6359">
        <v>0.21092716230587699</v>
      </c>
      <c r="AG6359">
        <v>-0.18255950000000001</v>
      </c>
      <c r="AH6359">
        <v>0.71895576728254595</v>
      </c>
      <c r="AI6359">
        <v>103.693508582584</v>
      </c>
      <c r="AJ6359">
        <v>73.649372440531394</v>
      </c>
      <c r="AK6359">
        <v>0.77117808199370796</v>
      </c>
      <c r="AL6359">
        <v>67.046421371984096</v>
      </c>
      <c r="AM6359">
        <v>82.573163450680994</v>
      </c>
      <c r="AN6359">
        <v>0.99999999494970404</v>
      </c>
    </row>
    <row r="6360" spans="1:40" x14ac:dyDescent="0.25">
      <c r="A6360" t="str">
        <f>"20190304164534506"</f>
        <v>20190304164534506</v>
      </c>
      <c r="B6360" t="str">
        <f>"1551689134496899"</f>
        <v>1551689134496899</v>
      </c>
      <c r="C6360" t="s">
        <v>40</v>
      </c>
      <c r="D6360">
        <v>5.2417389999999999</v>
      </c>
      <c r="E6360">
        <v>0.56712940000000001</v>
      </c>
      <c r="F6360" t="s">
        <v>41</v>
      </c>
      <c r="G6360">
        <v>-186.19649999999999</v>
      </c>
      <c r="H6360">
        <v>0.94997909999999997</v>
      </c>
      <c r="I6360">
        <v>119.197</v>
      </c>
      <c r="J6360">
        <v>-186.4624</v>
      </c>
      <c r="K6360">
        <v>1.104519</v>
      </c>
      <c r="L6360">
        <v>118.7413</v>
      </c>
      <c r="M6360">
        <v>0.1942883</v>
      </c>
      <c r="N6360">
        <v>-2.1992189999999998E-2</v>
      </c>
      <c r="O6360">
        <v>0.98069790000000001</v>
      </c>
      <c r="P6360">
        <v>0.29106559999999998</v>
      </c>
      <c r="Q6360">
        <v>0.37155549999999998</v>
      </c>
      <c r="R6360">
        <v>0.88160499999999997</v>
      </c>
      <c r="S6360">
        <v>1.44314599999999</v>
      </c>
      <c r="T6360">
        <v>-0.69099880000000002</v>
      </c>
      <c r="U6360">
        <v>3.2214200000000002</v>
      </c>
      <c r="V6360">
        <v>0.1209969</v>
      </c>
      <c r="W6360">
        <v>0.38967960000000001</v>
      </c>
      <c r="X6360">
        <v>0.91296739999999998</v>
      </c>
      <c r="Y6360">
        <v>0.21701580000000001</v>
      </c>
      <c r="Z6360">
        <v>-0.17189549999999901</v>
      </c>
      <c r="AA6360">
        <v>0.96091420000000005</v>
      </c>
      <c r="AB6360">
        <v>35</v>
      </c>
      <c r="AC6360">
        <v>0.26590000000001601</v>
      </c>
      <c r="AD6360">
        <v>-0.15453990000000001</v>
      </c>
      <c r="AE6360">
        <v>0.45570000000000699</v>
      </c>
      <c r="AF6360">
        <v>0.15865971948149801</v>
      </c>
      <c r="AG6360">
        <v>-0.15453990000000001</v>
      </c>
      <c r="AH6360">
        <v>0.45928147672601399</v>
      </c>
      <c r="AI6360">
        <v>107.64272633738</v>
      </c>
      <c r="AJ6360">
        <v>70.942424136933795</v>
      </c>
      <c r="AK6360">
        <v>0.50989701130873999</v>
      </c>
      <c r="AL6360">
        <v>67.065434307093994</v>
      </c>
      <c r="AM6360">
        <v>82.450502959155898</v>
      </c>
      <c r="AN6360">
        <v>0.99999995696426403</v>
      </c>
    </row>
    <row r="6361" spans="1:40" x14ac:dyDescent="0.25">
      <c r="A6361" t="str">
        <f>"20190304164534522"</f>
        <v>20190304164534522</v>
      </c>
      <c r="B6361" t="str">
        <f>"1551689134516420"</f>
        <v>1551689134516420</v>
      </c>
      <c r="C6361" t="s">
        <v>40</v>
      </c>
      <c r="D6361">
        <v>5.2460209999999998</v>
      </c>
      <c r="E6361">
        <v>0.56712689999999999</v>
      </c>
      <c r="F6361" t="s">
        <v>41</v>
      </c>
      <c r="G6361">
        <v>-186.11850000000001</v>
      </c>
      <c r="H6361">
        <v>0.94206820000000002</v>
      </c>
      <c r="I6361">
        <v>119.4927</v>
      </c>
      <c r="J6361">
        <v>-186.41069999999999</v>
      </c>
      <c r="K6361">
        <v>1.1044229999999999</v>
      </c>
      <c r="L6361">
        <v>118.97490000000001</v>
      </c>
      <c r="M6361">
        <v>0.19967969999999999</v>
      </c>
      <c r="N6361">
        <v>-2.2005670000000001E-2</v>
      </c>
      <c r="O6361">
        <v>0.97961410000000004</v>
      </c>
      <c r="P6361">
        <v>0.2968787</v>
      </c>
      <c r="Q6361">
        <v>0.37113249999999998</v>
      </c>
      <c r="R6361">
        <v>0.87984309999999999</v>
      </c>
      <c r="S6361">
        <v>1.4688570000000001</v>
      </c>
      <c r="T6361">
        <v>-0.69379259999999998</v>
      </c>
      <c r="U6361">
        <v>3.2103419999999998</v>
      </c>
      <c r="V6361">
        <v>0.1220658</v>
      </c>
      <c r="W6361">
        <v>0.38922240000000002</v>
      </c>
      <c r="X6361">
        <v>0.91302019999999995</v>
      </c>
      <c r="Y6361">
        <v>0.2192084</v>
      </c>
      <c r="Z6361">
        <v>-0.1726046</v>
      </c>
      <c r="AA6361">
        <v>0.96028919999999995</v>
      </c>
      <c r="AB6361">
        <v>34</v>
      </c>
      <c r="AC6361">
        <v>0.29219999999997898</v>
      </c>
      <c r="AD6361">
        <v>-0.16235479999999999</v>
      </c>
      <c r="AE6361">
        <v>0.51779999999999304</v>
      </c>
      <c r="AF6361">
        <v>0.17020201164665799</v>
      </c>
      <c r="AG6361">
        <v>-0.16235479999999999</v>
      </c>
      <c r="AH6361">
        <v>0.52647051923906696</v>
      </c>
      <c r="AI6361">
        <v>106.353293596461</v>
      </c>
      <c r="AJ6361">
        <v>72.084561942435101</v>
      </c>
      <c r="AK6361">
        <v>0.57662727431111205</v>
      </c>
      <c r="AL6361">
        <v>67.093876753056804</v>
      </c>
      <c r="AM6361">
        <v>82.385024437228793</v>
      </c>
      <c r="AN6361">
        <v>1.00000001089972</v>
      </c>
    </row>
    <row r="6362" spans="1:40" x14ac:dyDescent="0.25">
      <c r="A6362" t="str">
        <f>"20190304164534540"</f>
        <v>20190304164534540</v>
      </c>
      <c r="B6362" t="str">
        <f>"1551689134536916"</f>
        <v>1551689134536916</v>
      </c>
      <c r="C6362" t="s">
        <v>40</v>
      </c>
      <c r="D6362">
        <v>5.2538080000000003</v>
      </c>
      <c r="E6362">
        <v>0.56712340000000006</v>
      </c>
      <c r="F6362" t="s">
        <v>41</v>
      </c>
      <c r="G6362">
        <v>-186.03469999999999</v>
      </c>
      <c r="H6362">
        <v>0.9288573</v>
      </c>
      <c r="I6362">
        <v>119.7833</v>
      </c>
      <c r="J6362">
        <v>-186.3476</v>
      </c>
      <c r="K6362">
        <v>1.1042989999999999</v>
      </c>
      <c r="L6362">
        <v>119.2516</v>
      </c>
      <c r="M6362">
        <v>0.20624020000000001</v>
      </c>
      <c r="N6362">
        <v>-2.2022099999999999E-2</v>
      </c>
      <c r="O6362">
        <v>0.9782535</v>
      </c>
      <c r="P6362">
        <v>0.30518190000000001</v>
      </c>
      <c r="Q6362">
        <v>0.37017119999999998</v>
      </c>
      <c r="R6362">
        <v>0.87740370000000001</v>
      </c>
      <c r="S6362">
        <v>1.488998</v>
      </c>
      <c r="T6362">
        <v>-0.69520680000000001</v>
      </c>
      <c r="U6362">
        <v>3.2005309999999998</v>
      </c>
      <c r="V6362">
        <v>0.1246242</v>
      </c>
      <c r="W6362">
        <v>0.38819429999999999</v>
      </c>
      <c r="X6362">
        <v>0.91311220000000004</v>
      </c>
      <c r="Y6362">
        <v>0.21874170000000001</v>
      </c>
      <c r="Z6362">
        <v>-0.17291319999999999</v>
      </c>
      <c r="AA6362">
        <v>0.96034010000000003</v>
      </c>
      <c r="AB6362">
        <v>34</v>
      </c>
      <c r="AC6362">
        <v>0.312900000000013</v>
      </c>
      <c r="AD6362">
        <v>-0.17544169999999901</v>
      </c>
      <c r="AE6362">
        <v>0.53169999999999995</v>
      </c>
      <c r="AF6362">
        <v>0.18178447313159099</v>
      </c>
      <c r="AG6362">
        <v>-0.17544169999999901</v>
      </c>
      <c r="AH6362">
        <v>0.54105687851366502</v>
      </c>
      <c r="AI6362">
        <v>107.085995326332</v>
      </c>
      <c r="AJ6362">
        <v>71.428663744038104</v>
      </c>
      <c r="AK6362">
        <v>0.59713309283406102</v>
      </c>
      <c r="AL6362">
        <v>67.157808698135199</v>
      </c>
      <c r="AM6362">
        <v>82.228125598211705</v>
      </c>
      <c r="AN6362">
        <v>0.999999947783483</v>
      </c>
    </row>
    <row r="6363" spans="1:40" x14ac:dyDescent="0.25">
      <c r="A6363" t="str">
        <f>"20190304164534557"</f>
        <v>20190304164534557</v>
      </c>
      <c r="B6363" t="str">
        <f>"1551689134546676"</f>
        <v>1551689134546676</v>
      </c>
      <c r="C6363" t="s">
        <v>40</v>
      </c>
      <c r="D6363">
        <v>5.2498550000000002</v>
      </c>
      <c r="E6363">
        <v>0.56701489999999999</v>
      </c>
      <c r="F6363" t="s">
        <v>41</v>
      </c>
      <c r="G6363">
        <v>-185.9547</v>
      </c>
      <c r="H6363">
        <v>0.923234</v>
      </c>
      <c r="I6363">
        <v>120.07640000000001</v>
      </c>
      <c r="J6363">
        <v>-186.29069999999999</v>
      </c>
      <c r="K6363">
        <v>1.1041840000000001</v>
      </c>
      <c r="L6363">
        <v>119.4935</v>
      </c>
      <c r="M6363">
        <v>0.21212600000000001</v>
      </c>
      <c r="N6363">
        <v>-2.2036989999999999E-2</v>
      </c>
      <c r="O6363">
        <v>0.97699380000000002</v>
      </c>
      <c r="P6363">
        <v>0.31128270000000002</v>
      </c>
      <c r="Q6363">
        <v>0.37017250000000002</v>
      </c>
      <c r="R6363">
        <v>0.87525739999999996</v>
      </c>
      <c r="S6363">
        <v>1.5172270000000001</v>
      </c>
      <c r="T6363">
        <v>-0.69919469999999995</v>
      </c>
      <c r="U6363">
        <v>3.1864469999999998</v>
      </c>
      <c r="V6363">
        <v>0.1256063</v>
      </c>
      <c r="W6363">
        <v>0.38815430000000001</v>
      </c>
      <c r="X6363">
        <v>0.91299470000000005</v>
      </c>
      <c r="Y6363">
        <v>0.22135730000000001</v>
      </c>
      <c r="Z6363">
        <v>-0.17400350000000001</v>
      </c>
      <c r="AA6363">
        <v>0.95954349999999999</v>
      </c>
      <c r="AB6363">
        <v>34</v>
      </c>
      <c r="AC6363">
        <v>0.33599999999998398</v>
      </c>
      <c r="AD6363">
        <v>-0.18095</v>
      </c>
      <c r="AE6363">
        <v>0.58290000000000897</v>
      </c>
      <c r="AF6363">
        <v>0.190865489656286</v>
      </c>
      <c r="AG6363">
        <v>-0.18095</v>
      </c>
      <c r="AH6363">
        <v>0.59768712658941703</v>
      </c>
      <c r="AI6363">
        <v>106.087664632509</v>
      </c>
      <c r="AJ6363">
        <v>72.289630379546395</v>
      </c>
      <c r="AK6363">
        <v>0.65299497619235003</v>
      </c>
      <c r="AL6363">
        <v>67.160297099095004</v>
      </c>
      <c r="AM6363">
        <v>82.166641160176795</v>
      </c>
      <c r="AN6363">
        <v>1.0000000127181301</v>
      </c>
    </row>
    <row r="6364" spans="1:40" x14ac:dyDescent="0.25">
      <c r="A6364" t="str">
        <f>"20190304164534574"</f>
        <v>20190304164534574</v>
      </c>
      <c r="B6364" t="str">
        <f>"1551689134566739"</f>
        <v>1551689134566739</v>
      </c>
      <c r="C6364" t="s">
        <v>40</v>
      </c>
      <c r="D6364">
        <v>5.2499900000000004</v>
      </c>
      <c r="E6364">
        <v>0.56681009999999998</v>
      </c>
      <c r="F6364" t="s">
        <v>41</v>
      </c>
      <c r="G6364">
        <v>-185.86850000000001</v>
      </c>
      <c r="H6364">
        <v>0.91210040000000003</v>
      </c>
      <c r="I6364">
        <v>120.3642</v>
      </c>
      <c r="J6364">
        <v>-186.22749999999999</v>
      </c>
      <c r="K6364">
        <v>1.1040650000000001</v>
      </c>
      <c r="L6364">
        <v>119.75409999999999</v>
      </c>
      <c r="M6364">
        <v>0.21863640000000001</v>
      </c>
      <c r="N6364">
        <v>-2.205381E-2</v>
      </c>
      <c r="O6364">
        <v>0.97555709999999995</v>
      </c>
      <c r="P6364">
        <v>0.31938430000000001</v>
      </c>
      <c r="Q6364">
        <v>0.36971090000000001</v>
      </c>
      <c r="R6364">
        <v>0.87252940000000001</v>
      </c>
      <c r="S6364">
        <v>1.5399480000000001</v>
      </c>
      <c r="T6364">
        <v>-0.70074139999999996</v>
      </c>
      <c r="U6364">
        <v>3.1762540000000001</v>
      </c>
      <c r="V6364">
        <v>0.1280789</v>
      </c>
      <c r="W6364">
        <v>0.38762079999999999</v>
      </c>
      <c r="X6364">
        <v>0.91287779999999996</v>
      </c>
      <c r="Y6364">
        <v>0.2215995</v>
      </c>
      <c r="Z6364">
        <v>-0.17429069999999999</v>
      </c>
      <c r="AA6364">
        <v>0.9594355</v>
      </c>
      <c r="AB6364">
        <v>34</v>
      </c>
      <c r="AC6364">
        <v>0.35899999999998</v>
      </c>
      <c r="AD6364">
        <v>-0.19196460000000001</v>
      </c>
      <c r="AE6364">
        <v>0.61010000000000197</v>
      </c>
      <c r="AF6364">
        <v>0.20203064403551499</v>
      </c>
      <c r="AG6364">
        <v>-0.19196460000000001</v>
      </c>
      <c r="AH6364">
        <v>0.62768286450824695</v>
      </c>
      <c r="AI6364">
        <v>106.231449802979</v>
      </c>
      <c r="AJ6364">
        <v>72.158326035820807</v>
      </c>
      <c r="AK6364">
        <v>0.68676966093432201</v>
      </c>
      <c r="AL6364">
        <v>67.193460196479293</v>
      </c>
      <c r="AM6364">
        <v>82.013399980884699</v>
      </c>
      <c r="AN6364">
        <v>0.99999998347534402</v>
      </c>
    </row>
    <row r="6365" spans="1:40" x14ac:dyDescent="0.25">
      <c r="A6365" t="str">
        <f>"20190304164534596"</f>
        <v>20190304164534596</v>
      </c>
      <c r="B6365" t="str">
        <f>"1551689134586260"</f>
        <v>1551689134586260</v>
      </c>
      <c r="C6365" t="s">
        <v>40</v>
      </c>
      <c r="D6365">
        <v>5.2459040000000003</v>
      </c>
      <c r="E6365">
        <v>0.56677200000000005</v>
      </c>
      <c r="F6365" t="s">
        <v>41</v>
      </c>
      <c r="G6365">
        <v>-185.7824</v>
      </c>
      <c r="H6365">
        <v>0.90388860000000004</v>
      </c>
      <c r="I6365">
        <v>120.65170000000001</v>
      </c>
      <c r="J6365">
        <v>-186.143</v>
      </c>
      <c r="K6365">
        <v>1.103901</v>
      </c>
      <c r="L6365">
        <v>120.08880000000001</v>
      </c>
      <c r="M6365">
        <v>0.22729669999999999</v>
      </c>
      <c r="N6365">
        <v>-2.2076410000000001E-2</v>
      </c>
      <c r="O6365">
        <v>0.97357530000000003</v>
      </c>
      <c r="P6365">
        <v>0.32932420000000001</v>
      </c>
      <c r="Q6365">
        <v>0.36944179999999999</v>
      </c>
      <c r="R6365">
        <v>0.86894090000000002</v>
      </c>
      <c r="S6365">
        <v>1.5680689999999999</v>
      </c>
      <c r="T6365">
        <v>-0.70521489999999998</v>
      </c>
      <c r="U6365">
        <v>3.163116</v>
      </c>
      <c r="V6365">
        <v>0.1305423</v>
      </c>
      <c r="W6365">
        <v>0.38727</v>
      </c>
      <c r="X6365">
        <v>0.91267779999999998</v>
      </c>
      <c r="Y6365">
        <v>0.22128639999999999</v>
      </c>
      <c r="Z6365">
        <v>-0.17530770000000001</v>
      </c>
      <c r="AA6365">
        <v>0.95932249999999997</v>
      </c>
      <c r="AB6365">
        <v>34</v>
      </c>
      <c r="AC6365">
        <v>0.36060000000000503</v>
      </c>
      <c r="AD6365">
        <v>-0.20001240000000001</v>
      </c>
      <c r="AE6365">
        <v>0.56289999999999896</v>
      </c>
      <c r="AF6365">
        <v>0.204843022477044</v>
      </c>
      <c r="AG6365">
        <v>-0.20001240000000001</v>
      </c>
      <c r="AH6365">
        <v>0.57836751032359901</v>
      </c>
      <c r="AI6365">
        <v>108.05497092208201</v>
      </c>
      <c r="AJ6365">
        <v>70.497152814925599</v>
      </c>
      <c r="AK6365">
        <v>0.64534843380085005</v>
      </c>
      <c r="AL6365">
        <v>67.215264215294098</v>
      </c>
      <c r="AM6365">
        <v>81.860069290291605</v>
      </c>
      <c r="AN6365">
        <v>1.00000005580106</v>
      </c>
    </row>
    <row r="6366" spans="1:40" x14ac:dyDescent="0.25">
      <c r="A6366" t="str">
        <f>"20190304164534618"</f>
        <v>20190304164534618</v>
      </c>
      <c r="B6366" t="str">
        <f>"1551689134606755"</f>
        <v>1551689134606755</v>
      </c>
      <c r="C6366" t="s">
        <v>40</v>
      </c>
      <c r="D6366">
        <v>5.2322110000000004</v>
      </c>
      <c r="E6366">
        <v>0.56674119999999995</v>
      </c>
      <c r="F6366" t="s">
        <v>41</v>
      </c>
      <c r="G6366">
        <v>-185.70480000000001</v>
      </c>
      <c r="H6366">
        <v>0.9113057</v>
      </c>
      <c r="I6366">
        <v>120.94629999999999</v>
      </c>
      <c r="J6366">
        <v>-186.05969999999999</v>
      </c>
      <c r="K6366">
        <v>1.103737</v>
      </c>
      <c r="L6366">
        <v>120.4061</v>
      </c>
      <c r="M6366">
        <v>0.2357824</v>
      </c>
      <c r="N6366">
        <v>-2.2098650000000001E-2</v>
      </c>
      <c r="O6366">
        <v>0.97155460000000005</v>
      </c>
      <c r="P6366">
        <v>0.33889619999999998</v>
      </c>
      <c r="Q6366">
        <v>0.37006480000000003</v>
      </c>
      <c r="R6366">
        <v>0.86498639999999904</v>
      </c>
      <c r="S6366">
        <v>1.6064449999999999</v>
      </c>
      <c r="T6366">
        <v>-0.70597410000000005</v>
      </c>
      <c r="U6366">
        <v>3.1438290000000002</v>
      </c>
      <c r="V6366">
        <v>0.13290579999999999</v>
      </c>
      <c r="W6366">
        <v>0.38780500000000001</v>
      </c>
      <c r="X6366">
        <v>0.91210930000000001</v>
      </c>
      <c r="Y6366">
        <v>0.22443150000000001</v>
      </c>
      <c r="Z6366">
        <v>-0.1754377</v>
      </c>
      <c r="AA6366">
        <v>0.95856770000000002</v>
      </c>
      <c r="AB6366">
        <v>34</v>
      </c>
      <c r="AC6366">
        <v>0.354899999999986</v>
      </c>
      <c r="AD6366">
        <v>-0.1924313</v>
      </c>
      <c r="AE6366">
        <v>0.54019999999999802</v>
      </c>
      <c r="AF6366">
        <v>0.19978029498695801</v>
      </c>
      <c r="AG6366">
        <v>-0.1924313</v>
      </c>
      <c r="AH6366">
        <v>0.55910436875347702</v>
      </c>
      <c r="AI6366">
        <v>107.957936874841</v>
      </c>
      <c r="AJ6366">
        <v>70.337073090074298</v>
      </c>
      <c r="AK6366">
        <v>0.62413112936624904</v>
      </c>
      <c r="AL6366">
        <v>67.182011678083299</v>
      </c>
      <c r="AM6366">
        <v>81.709629685604</v>
      </c>
      <c r="AN6366">
        <v>1.00000002242256</v>
      </c>
    </row>
    <row r="6367" spans="1:40" x14ac:dyDescent="0.25">
      <c r="A6367" t="str">
        <f>"20190304164534631"</f>
        <v>20190304164534631</v>
      </c>
      <c r="B6367" t="str">
        <f>"1551689134626275"</f>
        <v>1551689134626275</v>
      </c>
      <c r="C6367" t="s">
        <v>40</v>
      </c>
      <c r="D6367">
        <v>5.2333339999999904</v>
      </c>
      <c r="E6367">
        <v>0.56669069999999899</v>
      </c>
      <c r="F6367" t="s">
        <v>41</v>
      </c>
      <c r="G6367">
        <v>-185.62190000000001</v>
      </c>
      <c r="H6367">
        <v>0.91662100000000002</v>
      </c>
      <c r="I6367">
        <v>121.2373</v>
      </c>
      <c r="J6367">
        <v>-186.00919999999999</v>
      </c>
      <c r="K6367">
        <v>1.103642</v>
      </c>
      <c r="L6367">
        <v>120.59350000000001</v>
      </c>
      <c r="M6367">
        <v>0.24091280000000001</v>
      </c>
      <c r="N6367">
        <v>-2.2112059999999999E-2</v>
      </c>
      <c r="O6367">
        <v>0.97029480000000001</v>
      </c>
      <c r="P6367">
        <v>0.34433170000000002</v>
      </c>
      <c r="Q6367">
        <v>0.37057610000000002</v>
      </c>
      <c r="R6367">
        <v>0.86261759999999998</v>
      </c>
      <c r="S6367">
        <v>1.6450199999999999</v>
      </c>
      <c r="T6367">
        <v>-0.70290430000000004</v>
      </c>
      <c r="U6367">
        <v>3.124466</v>
      </c>
      <c r="V6367">
        <v>0.1339911</v>
      </c>
      <c r="W6367">
        <v>0.38826909999999998</v>
      </c>
      <c r="X6367">
        <v>0.91175300000000004</v>
      </c>
      <c r="Y6367">
        <v>0.23105039999999999</v>
      </c>
      <c r="Z6367">
        <v>-0.17466599999999999</v>
      </c>
      <c r="AA6367">
        <v>0.95713510000000002</v>
      </c>
      <c r="AB6367">
        <v>34</v>
      </c>
      <c r="AC6367">
        <v>0.38729999999998199</v>
      </c>
      <c r="AD6367">
        <v>-0.18702099999999999</v>
      </c>
      <c r="AE6367">
        <v>0.64379999999999804</v>
      </c>
      <c r="AF6367">
        <v>0.20786929395808901</v>
      </c>
      <c r="AG6367">
        <v>-0.18702099999999999</v>
      </c>
      <c r="AH6367">
        <v>0.67625420356407095</v>
      </c>
      <c r="AI6367">
        <v>104.807301273695</v>
      </c>
      <c r="AJ6367">
        <v>72.913442541788797</v>
      </c>
      <c r="AK6367">
        <v>0.73178292249116506</v>
      </c>
      <c r="AL6367">
        <v>67.153159962861807</v>
      </c>
      <c r="AM6367">
        <v>81.639663701937806</v>
      </c>
      <c r="AN6367">
        <v>1.0000000209515001</v>
      </c>
    </row>
    <row r="6368" spans="1:40" x14ac:dyDescent="0.25">
      <c r="A6368" t="str">
        <f>"20190304164534643"</f>
        <v>20190304164534643</v>
      </c>
      <c r="B6368" t="str">
        <f>"1551689134637010"</f>
        <v>1551689134637010</v>
      </c>
      <c r="C6368" t="s">
        <v>40</v>
      </c>
      <c r="D6368">
        <v>5.2370869999999998</v>
      </c>
      <c r="E6368">
        <v>0.56665399999999999</v>
      </c>
      <c r="F6368" t="s">
        <v>41</v>
      </c>
      <c r="G6368">
        <v>-185.6516</v>
      </c>
      <c r="H6368">
        <v>0.95340049999999998</v>
      </c>
      <c r="I6368">
        <v>121.261</v>
      </c>
      <c r="J6368">
        <v>-185.96100000000001</v>
      </c>
      <c r="K6368">
        <v>1.103545</v>
      </c>
      <c r="L6368">
        <v>120.7672</v>
      </c>
      <c r="M6368">
        <v>0.24578910000000001</v>
      </c>
      <c r="N6368">
        <v>-2.212099E-2</v>
      </c>
      <c r="O6368">
        <v>0.96907089999999996</v>
      </c>
      <c r="P6368">
        <v>0.34937459999999998</v>
      </c>
      <c r="Q6368">
        <v>0.37094870000000002</v>
      </c>
      <c r="R6368">
        <v>0.86042689999999999</v>
      </c>
      <c r="S6368">
        <v>1.666641</v>
      </c>
      <c r="T6368">
        <v>-0.70014119999999902</v>
      </c>
      <c r="U6368">
        <v>3.1132810000000002</v>
      </c>
      <c r="V6368">
        <v>0.1348886</v>
      </c>
      <c r="W6368">
        <v>0.38859589999999999</v>
      </c>
      <c r="X6368">
        <v>0.9114814</v>
      </c>
      <c r="Y6368">
        <v>0.23282330000000001</v>
      </c>
      <c r="Z6368">
        <v>-0.17386849999999901</v>
      </c>
      <c r="AA6368">
        <v>0.9568506</v>
      </c>
      <c r="AB6368">
        <v>34</v>
      </c>
      <c r="AC6368">
        <v>0.30939999999998202</v>
      </c>
      <c r="AD6368">
        <v>-0.15014449999999999</v>
      </c>
      <c r="AE6368">
        <v>0.49380000000000701</v>
      </c>
      <c r="AF6368">
        <v>0.16739071738439501</v>
      </c>
      <c r="AG6368">
        <v>-0.15014449999999999</v>
      </c>
      <c r="AH6368">
        <v>0.52017630071544896</v>
      </c>
      <c r="AI6368">
        <v>105.363763242747</v>
      </c>
      <c r="AJ6368">
        <v>72.162025935571407</v>
      </c>
      <c r="AK6368">
        <v>0.566697809218213</v>
      </c>
      <c r="AL6368">
        <v>67.1328402353017</v>
      </c>
      <c r="AM6368">
        <v>81.581992061225904</v>
      </c>
      <c r="AN6368">
        <v>1.0000000252263599</v>
      </c>
    </row>
    <row r="6369" spans="1:40" x14ac:dyDescent="0.25">
      <c r="A6369" t="str">
        <f>"20190304164534655"</f>
        <v>20190304164534655</v>
      </c>
      <c r="B6369" t="str">
        <f>"1551689134646771"</f>
        <v>1551689134646771</v>
      </c>
      <c r="C6369" t="s">
        <v>40</v>
      </c>
      <c r="D6369">
        <v>5.3008059999999997</v>
      </c>
      <c r="E6369">
        <v>0.56656969999999995</v>
      </c>
      <c r="F6369" t="s">
        <v>41</v>
      </c>
      <c r="G6369">
        <v>-185.54519999999999</v>
      </c>
      <c r="H6369">
        <v>0.93124660000000004</v>
      </c>
      <c r="I6369">
        <v>121.5325</v>
      </c>
      <c r="J6369">
        <v>-185.91200000000001</v>
      </c>
      <c r="K6369">
        <v>1.103443</v>
      </c>
      <c r="L6369">
        <v>120.9415</v>
      </c>
      <c r="M6369">
        <v>0.25073329999999999</v>
      </c>
      <c r="N6369">
        <v>-2.212735E-2</v>
      </c>
      <c r="O6369">
        <v>0.96780330000000003</v>
      </c>
      <c r="P6369">
        <v>0.35479500000000003</v>
      </c>
      <c r="Q6369">
        <v>0.37107810000000002</v>
      </c>
      <c r="R6369">
        <v>0.85815010000000003</v>
      </c>
      <c r="S6369">
        <v>1.685638</v>
      </c>
      <c r="T6369">
        <v>-0.69858089999999995</v>
      </c>
      <c r="U6369">
        <v>3.1033629999999999</v>
      </c>
      <c r="V6369">
        <v>0.13610700000000001</v>
      </c>
      <c r="W6369">
        <v>0.38867069999999998</v>
      </c>
      <c r="X6369">
        <v>0.91126839999999998</v>
      </c>
      <c r="Y6369">
        <v>0.2337082</v>
      </c>
      <c r="Z6369">
        <v>-0.1733662</v>
      </c>
      <c r="AA6369">
        <v>0.95672599999999997</v>
      </c>
      <c r="AB6369">
        <v>33</v>
      </c>
      <c r="AC6369">
        <v>0.36680000000001201</v>
      </c>
      <c r="AD6369">
        <v>-0.172196399999999</v>
      </c>
      <c r="AE6369">
        <v>0.59099999999999397</v>
      </c>
      <c r="AF6369">
        <v>0.19491212531208801</v>
      </c>
      <c r="AG6369">
        <v>-0.172196399999999</v>
      </c>
      <c r="AH6369">
        <v>0.62575337875723003</v>
      </c>
      <c r="AI6369">
        <v>104.720744622097</v>
      </c>
      <c r="AJ6369">
        <v>72.699027504304993</v>
      </c>
      <c r="AK6369">
        <v>0.67765007768960295</v>
      </c>
      <c r="AL6369">
        <v>67.128189784559396</v>
      </c>
      <c r="AM6369">
        <v>81.505103113623605</v>
      </c>
      <c r="AN6369">
        <v>1.0000000626630201</v>
      </c>
    </row>
    <row r="6370" spans="1:40" x14ac:dyDescent="0.25">
      <c r="A6370" t="str">
        <f>"20190304164534667"</f>
        <v>20190304164534667</v>
      </c>
      <c r="B6370" t="str">
        <f>"1551689134656531"</f>
        <v>1551689134656531</v>
      </c>
      <c r="C6370" t="s">
        <v>40</v>
      </c>
      <c r="D6370">
        <v>5.2356920000000002</v>
      </c>
      <c r="E6370">
        <v>0.56654079999999996</v>
      </c>
      <c r="F6370" t="s">
        <v>41</v>
      </c>
      <c r="G6370">
        <v>-185.43729999999999</v>
      </c>
      <c r="H6370">
        <v>0.90919609999999995</v>
      </c>
      <c r="I6370">
        <v>121.8021</v>
      </c>
      <c r="J6370">
        <v>-185.86150000000001</v>
      </c>
      <c r="K6370">
        <v>1.1033230000000001</v>
      </c>
      <c r="L6370">
        <v>121.1161</v>
      </c>
      <c r="M6370">
        <v>0.25584459999999998</v>
      </c>
      <c r="N6370">
        <v>-2.2126969999999999E-2</v>
      </c>
      <c r="O6370">
        <v>0.96646460000000001</v>
      </c>
      <c r="P6370">
        <v>0.3602147</v>
      </c>
      <c r="Q6370">
        <v>0.37066700000000002</v>
      </c>
      <c r="R6370">
        <v>0.85606740000000003</v>
      </c>
      <c r="S6370">
        <v>1.7058259999999901</v>
      </c>
      <c r="T6370">
        <v>-0.69782299999999997</v>
      </c>
      <c r="U6370">
        <v>3.0923919999999998</v>
      </c>
      <c r="V6370">
        <v>0.13711690000000001</v>
      </c>
      <c r="W6370">
        <v>0.38820310000000002</v>
      </c>
      <c r="X6370">
        <v>0.91131620000000002</v>
      </c>
      <c r="Y6370">
        <v>0.23481679999999999</v>
      </c>
      <c r="Z6370">
        <v>-0.17309720000000001</v>
      </c>
      <c r="AA6370">
        <v>0.9565032</v>
      </c>
      <c r="AB6370">
        <v>33</v>
      </c>
      <c r="AC6370">
        <v>0.42420000000001301</v>
      </c>
      <c r="AD6370">
        <v>-0.19412689999999999</v>
      </c>
      <c r="AE6370">
        <v>0.68599999999999195</v>
      </c>
      <c r="AF6370">
        <v>0.221680576416528</v>
      </c>
      <c r="AG6370">
        <v>-0.19412689999999999</v>
      </c>
      <c r="AH6370">
        <v>0.72945627627316301</v>
      </c>
      <c r="AI6370">
        <v>104.28549159955701</v>
      </c>
      <c r="AJ6370">
        <v>73.096058478953495</v>
      </c>
      <c r="AK6370">
        <v>0.78672357932013404</v>
      </c>
      <c r="AL6370">
        <v>67.157261732533399</v>
      </c>
      <c r="AM6370">
        <v>81.443443770357106</v>
      </c>
      <c r="AN6370">
        <v>0.999999953748828</v>
      </c>
    </row>
    <row r="6371" spans="1:40" x14ac:dyDescent="0.25">
      <c r="A6371" t="str">
        <f>"20190304164534678"</f>
        <v>20190304164534678</v>
      </c>
      <c r="B6371" t="str">
        <f>"1551689134666291"</f>
        <v>1551689134666291</v>
      </c>
      <c r="C6371" t="s">
        <v>40</v>
      </c>
      <c r="D6371">
        <v>5.2375319999999999</v>
      </c>
      <c r="E6371">
        <v>0.5664979</v>
      </c>
      <c r="F6371" t="s">
        <v>41</v>
      </c>
      <c r="G6371">
        <v>-185.4648</v>
      </c>
      <c r="H6371">
        <v>0.94263909999999995</v>
      </c>
      <c r="I6371">
        <v>121.8241</v>
      </c>
      <c r="J6371">
        <v>-185.8143</v>
      </c>
      <c r="K6371">
        <v>1.10321</v>
      </c>
      <c r="L6371">
        <v>121.2764</v>
      </c>
      <c r="M6371">
        <v>0.26060149999999999</v>
      </c>
      <c r="N6371">
        <v>-2.212594E-2</v>
      </c>
      <c r="O6371">
        <v>0.96519290000000002</v>
      </c>
      <c r="P6371">
        <v>0.36570520000000001</v>
      </c>
      <c r="Q6371">
        <v>0.37030459999999998</v>
      </c>
      <c r="R6371">
        <v>0.85389359999999903</v>
      </c>
      <c r="S6371">
        <v>1.7255100000000001</v>
      </c>
      <c r="T6371">
        <v>-0.69895339999999995</v>
      </c>
      <c r="U6371">
        <v>3.080978</v>
      </c>
      <c r="V6371">
        <v>0.1385477</v>
      </c>
      <c r="W6371">
        <v>0.38777509999999998</v>
      </c>
      <c r="X6371">
        <v>0.91128209999999998</v>
      </c>
      <c r="Y6371">
        <v>0.23616429999999999</v>
      </c>
      <c r="Z6371">
        <v>-0.17337159999999999</v>
      </c>
      <c r="AA6371">
        <v>0.95612169999999996</v>
      </c>
      <c r="AB6371">
        <v>33</v>
      </c>
      <c r="AC6371">
        <v>0.34950000000000597</v>
      </c>
      <c r="AD6371">
        <v>-0.16057089999999999</v>
      </c>
      <c r="AE6371">
        <v>0.54770000000000596</v>
      </c>
      <c r="AF6371">
        <v>0.183446399865662</v>
      </c>
      <c r="AG6371">
        <v>-0.16057089999999999</v>
      </c>
      <c r="AH6371">
        <v>0.58418657153770503</v>
      </c>
      <c r="AI6371">
        <v>104.69419868111299</v>
      </c>
      <c r="AJ6371">
        <v>72.5666564884081</v>
      </c>
      <c r="AK6371">
        <v>0.63301622879311803</v>
      </c>
      <c r="AL6371">
        <v>67.183870432338196</v>
      </c>
      <c r="AM6371">
        <v>81.355180462023299</v>
      </c>
      <c r="AN6371">
        <v>1.0000000295678499</v>
      </c>
    </row>
    <row r="6372" spans="1:40" x14ac:dyDescent="0.25">
      <c r="A6372" t="str">
        <f>"20190304164534695"</f>
        <v>20190304164534695</v>
      </c>
      <c r="B6372" t="str">
        <f>"1551689134686786"</f>
        <v>1551689134686786</v>
      </c>
      <c r="C6372" t="s">
        <v>40</v>
      </c>
      <c r="D6372">
        <v>5.2878569999999998</v>
      </c>
      <c r="E6372">
        <v>0.5664458</v>
      </c>
      <c r="F6372" t="s">
        <v>41</v>
      </c>
      <c r="G6372">
        <v>-185.35249999999999</v>
      </c>
      <c r="H6372">
        <v>0.9177111</v>
      </c>
      <c r="I6372">
        <v>122.0894</v>
      </c>
      <c r="J6372">
        <v>-185.7414</v>
      </c>
      <c r="K6372">
        <v>1.1030340000000001</v>
      </c>
      <c r="L6372">
        <v>121.51819999999999</v>
      </c>
      <c r="M6372">
        <v>0.2679359</v>
      </c>
      <c r="N6372">
        <v>-2.212362E-2</v>
      </c>
      <c r="O6372">
        <v>0.96318269999999995</v>
      </c>
      <c r="P6372">
        <v>0.37397399999999997</v>
      </c>
      <c r="Q6372">
        <v>0.36971359999999998</v>
      </c>
      <c r="R6372">
        <v>0.85056180000000003</v>
      </c>
      <c r="S6372">
        <v>1.7436830000000001</v>
      </c>
      <c r="T6372">
        <v>-0.70045170000000001</v>
      </c>
      <c r="U6372">
        <v>3.0702820000000002</v>
      </c>
      <c r="V6372">
        <v>0.14055500000000001</v>
      </c>
      <c r="W6372">
        <v>0.38708530000000002</v>
      </c>
      <c r="X6372">
        <v>0.91126790000000002</v>
      </c>
      <c r="Y6372">
        <v>0.23446410000000001</v>
      </c>
      <c r="Z6372">
        <v>-0.17359469999999999</v>
      </c>
      <c r="AA6372">
        <v>0.95649960000000001</v>
      </c>
      <c r="AB6372">
        <v>33</v>
      </c>
      <c r="AC6372">
        <v>0.38890000000000602</v>
      </c>
      <c r="AD6372">
        <v>-0.18532290000000001</v>
      </c>
      <c r="AE6372">
        <v>0.57120000000000404</v>
      </c>
      <c r="AF6372">
        <v>0.20672269559950701</v>
      </c>
      <c r="AG6372">
        <v>-0.18532290000000001</v>
      </c>
      <c r="AH6372">
        <v>0.61061276774491602</v>
      </c>
      <c r="AI6372">
        <v>106.038638580075</v>
      </c>
      <c r="AJ6372">
        <v>71.296491421179098</v>
      </c>
      <c r="AK6372">
        <v>0.67076583266699197</v>
      </c>
      <c r="AL6372">
        <v>67.226739682030001</v>
      </c>
      <c r="AM6372">
        <v>81.231731256395605</v>
      </c>
      <c r="AN6372">
        <v>0.99999996153574899</v>
      </c>
    </row>
    <row r="6373" spans="1:40" x14ac:dyDescent="0.25">
      <c r="A6373" t="str">
        <f>"20190304164534708"</f>
        <v>20190304164534708</v>
      </c>
      <c r="B6373" t="str">
        <f>"1551689134696547"</f>
        <v>1551689134696547</v>
      </c>
      <c r="C6373" t="s">
        <v>40</v>
      </c>
      <c r="D6373">
        <v>5.2915349999999997</v>
      </c>
      <c r="E6373">
        <v>0.56639759999999995</v>
      </c>
      <c r="F6373" t="s">
        <v>41</v>
      </c>
      <c r="G6373">
        <v>-185.2525</v>
      </c>
      <c r="H6373">
        <v>0.90851630000000005</v>
      </c>
      <c r="I6373">
        <v>122.36320000000001</v>
      </c>
      <c r="J6373">
        <v>-185.6849</v>
      </c>
      <c r="K6373">
        <v>1.1029009999999999</v>
      </c>
      <c r="L6373">
        <v>121.6998</v>
      </c>
      <c r="M6373">
        <v>0.27360759999999901</v>
      </c>
      <c r="N6373">
        <v>-2.2123130000000001E-2</v>
      </c>
      <c r="O6373">
        <v>0.96158699999999997</v>
      </c>
      <c r="P6373">
        <v>0.38002059999999999</v>
      </c>
      <c r="Q6373">
        <v>0.3694983</v>
      </c>
      <c r="R6373">
        <v>0.84797129999999998</v>
      </c>
      <c r="S6373">
        <v>1.767471</v>
      </c>
      <c r="T6373">
        <v>-0.70302339999999997</v>
      </c>
      <c r="U6373">
        <v>3.055542</v>
      </c>
      <c r="V6373">
        <v>0.1417755</v>
      </c>
      <c r="W6373">
        <v>0.38679960000000002</v>
      </c>
      <c r="X6373">
        <v>0.91120020000000002</v>
      </c>
      <c r="Y6373">
        <v>0.23624619999999999</v>
      </c>
      <c r="Z6373">
        <v>-0.17426659999999999</v>
      </c>
      <c r="AA6373">
        <v>0.95593879999999998</v>
      </c>
      <c r="AB6373">
        <v>33</v>
      </c>
      <c r="AC6373">
        <v>0.43240000000000101</v>
      </c>
      <c r="AD6373">
        <v>-0.19438469999999999</v>
      </c>
      <c r="AE6373">
        <v>0.66340000000000998</v>
      </c>
      <c r="AF6373">
        <v>0.22101834113027199</v>
      </c>
      <c r="AG6373">
        <v>-0.19438469999999999</v>
      </c>
      <c r="AH6373">
        <v>0.71342110467186104</v>
      </c>
      <c r="AI6373">
        <v>104.588429029292</v>
      </c>
      <c r="AJ6373">
        <v>72.786983494158704</v>
      </c>
      <c r="AK6373">
        <v>0.77175397070652396</v>
      </c>
      <c r="AL6373">
        <v>67.244493171719</v>
      </c>
      <c r="AM6373">
        <v>81.156144309160197</v>
      </c>
      <c r="AN6373">
        <v>1.0000000137202201</v>
      </c>
    </row>
    <row r="6374" spans="1:40" x14ac:dyDescent="0.25">
      <c r="A6374" t="str">
        <f>"20190304164534720"</f>
        <v>20190304164534720</v>
      </c>
      <c r="B6374" t="str">
        <f>"1551689134717043"</f>
        <v>1551689134717043</v>
      </c>
      <c r="C6374" t="s">
        <v>40</v>
      </c>
      <c r="D6374">
        <v>5.2816960000000002</v>
      </c>
      <c r="E6374">
        <v>0.56628869999999998</v>
      </c>
      <c r="F6374" t="s">
        <v>41</v>
      </c>
      <c r="G6374">
        <v>-185.28129999999999</v>
      </c>
      <c r="H6374">
        <v>0.94400260000000003</v>
      </c>
      <c r="I6374">
        <v>122.3871</v>
      </c>
      <c r="J6374">
        <v>-185.6318</v>
      </c>
      <c r="K6374">
        <v>1.102779</v>
      </c>
      <c r="L6374">
        <v>121.8674</v>
      </c>
      <c r="M6374">
        <v>0.27892990000000001</v>
      </c>
      <c r="N6374">
        <v>-2.2117000000000001E-2</v>
      </c>
      <c r="O6374">
        <v>0.96005669999999999</v>
      </c>
      <c r="P6374">
        <v>0.38551400000000002</v>
      </c>
      <c r="Q6374">
        <v>0.36943589999999998</v>
      </c>
      <c r="R6374">
        <v>0.84551529999999997</v>
      </c>
      <c r="S6374">
        <v>1.786835</v>
      </c>
      <c r="T6374">
        <v>-0.7033083</v>
      </c>
      <c r="U6374">
        <v>3.043533</v>
      </c>
      <c r="V6374">
        <v>0.14275060000000001</v>
      </c>
      <c r="W6374">
        <v>0.3866694</v>
      </c>
      <c r="X6374">
        <v>0.9111032</v>
      </c>
      <c r="Y6374">
        <v>0.2370292</v>
      </c>
      <c r="Z6374">
        <v>-0.17428569999999999</v>
      </c>
      <c r="AA6374">
        <v>0.95574139999999996</v>
      </c>
      <c r="AB6374">
        <v>33</v>
      </c>
      <c r="AC6374">
        <v>0.35050000000001003</v>
      </c>
      <c r="AD6374">
        <v>-0.15877640000000001</v>
      </c>
      <c r="AE6374">
        <v>0.51970000000000005</v>
      </c>
      <c r="AF6374">
        <v>0.18003620208044399</v>
      </c>
      <c r="AG6374">
        <v>-0.15877640000000001</v>
      </c>
      <c r="AH6374">
        <v>0.56086849242574199</v>
      </c>
      <c r="AI6374">
        <v>105.08522044895901</v>
      </c>
      <c r="AJ6374">
        <v>72.203609106440297</v>
      </c>
      <c r="AK6374">
        <v>0.61007904819985104</v>
      </c>
      <c r="AL6374">
        <v>67.252582171510596</v>
      </c>
      <c r="AM6374">
        <v>81.095356811853804</v>
      </c>
      <c r="AN6374">
        <v>0.99999999987347998</v>
      </c>
    </row>
    <row r="6375" spans="1:40" x14ac:dyDescent="0.25">
      <c r="A6375" t="str">
        <f>"20190304164534733"</f>
        <v>20190304164534733</v>
      </c>
      <c r="B6375" t="str">
        <f>"1551689134726803"</f>
        <v>1551689134726803</v>
      </c>
      <c r="C6375" t="s">
        <v>40</v>
      </c>
      <c r="D6375">
        <v>5.3372590000000004</v>
      </c>
      <c r="E6375">
        <v>0.56630069999999999</v>
      </c>
      <c r="F6375" t="s">
        <v>41</v>
      </c>
      <c r="G6375">
        <v>-185.16569999999999</v>
      </c>
      <c r="H6375">
        <v>0.9215219</v>
      </c>
      <c r="I6375">
        <v>122.64919999999999</v>
      </c>
      <c r="J6375">
        <v>-185.57409999999999</v>
      </c>
      <c r="K6375">
        <v>1.102649</v>
      </c>
      <c r="L6375">
        <v>122.04649999999999</v>
      </c>
      <c r="M6375">
        <v>0.28469860000000002</v>
      </c>
      <c r="N6375">
        <v>-2.2104929999999998E-2</v>
      </c>
      <c r="O6375">
        <v>0.95836220000000005</v>
      </c>
      <c r="P6375">
        <v>0.39128079999999998</v>
      </c>
      <c r="Q6375">
        <v>0.36908580000000002</v>
      </c>
      <c r="R6375">
        <v>0.84301539999999997</v>
      </c>
      <c r="S6375">
        <v>1.8070980000000001</v>
      </c>
      <c r="T6375">
        <v>-0.70271519999999899</v>
      </c>
      <c r="U6375">
        <v>3.0312190000000001</v>
      </c>
      <c r="V6375">
        <v>0.14356920000000001</v>
      </c>
      <c r="W6375">
        <v>0.38624979999999998</v>
      </c>
      <c r="X6375">
        <v>0.91115250000000003</v>
      </c>
      <c r="Y6375">
        <v>0.2376307</v>
      </c>
      <c r="Z6375">
        <v>-0.17403560000000001</v>
      </c>
      <c r="AA6375">
        <v>0.95563759999999998</v>
      </c>
      <c r="AB6375">
        <v>33</v>
      </c>
      <c r="AC6375">
        <v>0.40839999999999999</v>
      </c>
      <c r="AD6375">
        <v>-0.18112709999999899</v>
      </c>
      <c r="AE6375">
        <v>0.60269999999999802</v>
      </c>
      <c r="AF6375">
        <v>0.20704576688340001</v>
      </c>
      <c r="AG6375">
        <v>-0.18112709999999899</v>
      </c>
      <c r="AH6375">
        <v>0.65359095866526895</v>
      </c>
      <c r="AI6375">
        <v>104.798705818103</v>
      </c>
      <c r="AJ6375">
        <v>72.422742268844402</v>
      </c>
      <c r="AK6375">
        <v>0.70912348514749601</v>
      </c>
      <c r="AL6375">
        <v>67.278647504503894</v>
      </c>
      <c r="AM6375">
        <v>81.045595223573002</v>
      </c>
      <c r="AN6375">
        <v>0.99999995072246295</v>
      </c>
    </row>
    <row r="6376" spans="1:40" x14ac:dyDescent="0.25">
      <c r="A6376" t="str">
        <f>"20190304164534745"</f>
        <v>20190304164534745</v>
      </c>
      <c r="B6376" t="str">
        <f>"1551689134736565"</f>
        <v>1551689134736565</v>
      </c>
      <c r="C6376" t="s">
        <v>40</v>
      </c>
      <c r="D6376">
        <v>5.3287570000000004</v>
      </c>
      <c r="E6376">
        <v>0.56630369999999997</v>
      </c>
      <c r="F6376" t="s">
        <v>41</v>
      </c>
      <c r="G6376">
        <v>-185.19409999999999</v>
      </c>
      <c r="H6376">
        <v>0.95660080000000003</v>
      </c>
      <c r="I6376">
        <v>122.6734</v>
      </c>
      <c r="J6376">
        <v>-185.51759999999999</v>
      </c>
      <c r="K6376">
        <v>1.1025240000000001</v>
      </c>
      <c r="L6376">
        <v>122.2161</v>
      </c>
      <c r="M6376">
        <v>0.2903251</v>
      </c>
      <c r="N6376">
        <v>-2.2087499999999999E-2</v>
      </c>
      <c r="O6376">
        <v>0.95667310000000005</v>
      </c>
      <c r="P6376">
        <v>0.39701340000000002</v>
      </c>
      <c r="Q6376">
        <v>0.36849939999999998</v>
      </c>
      <c r="R6376">
        <v>0.84058829999999995</v>
      </c>
      <c r="S6376">
        <v>1.8288120000000001</v>
      </c>
      <c r="T6376">
        <v>-0.70284060000000004</v>
      </c>
      <c r="U6376">
        <v>3.0175320000000001</v>
      </c>
      <c r="V6376">
        <v>0.1444529</v>
      </c>
      <c r="W6376">
        <v>0.38559090000000001</v>
      </c>
      <c r="X6376">
        <v>0.91129199999999999</v>
      </c>
      <c r="Y6376">
        <v>0.23887220000000001</v>
      </c>
      <c r="Z6376">
        <v>-0.1740159</v>
      </c>
      <c r="AA6376">
        <v>0.95533170000000001</v>
      </c>
      <c r="AB6376">
        <v>33</v>
      </c>
      <c r="AC6376">
        <v>0.32349999999999501</v>
      </c>
      <c r="AD6376">
        <v>-0.1459232</v>
      </c>
      <c r="AE6376">
        <v>0.45730000000000298</v>
      </c>
      <c r="AF6376">
        <v>0.165528065342468</v>
      </c>
      <c r="AG6376">
        <v>-0.1459232</v>
      </c>
      <c r="AH6376">
        <v>0.49775742324055799</v>
      </c>
      <c r="AI6376">
        <v>105.545647296816</v>
      </c>
      <c r="AJ6376">
        <v>71.605575015356607</v>
      </c>
      <c r="AK6376">
        <v>0.54447733938644305</v>
      </c>
      <c r="AL6376">
        <v>67.319572144597998</v>
      </c>
      <c r="AM6376">
        <v>80.992736507443595</v>
      </c>
      <c r="AN6376">
        <v>1.0000000458725999</v>
      </c>
    </row>
    <row r="6377" spans="1:40" x14ac:dyDescent="0.25">
      <c r="A6377" t="str">
        <f>"20190304164534758"</f>
        <v>20190304164534758</v>
      </c>
      <c r="B6377" t="str">
        <f>"1551689134746323"</f>
        <v>1551689134746323</v>
      </c>
      <c r="C6377" t="s">
        <v>40</v>
      </c>
      <c r="D6377">
        <v>5.2503789999999997</v>
      </c>
      <c r="E6377">
        <v>0.56627369999999899</v>
      </c>
      <c r="F6377" t="s">
        <v>41</v>
      </c>
      <c r="G6377">
        <v>-185.07579999999999</v>
      </c>
      <c r="H6377">
        <v>0.93434790000000001</v>
      </c>
      <c r="I6377">
        <v>122.93300000000001</v>
      </c>
      <c r="J6377">
        <v>-185.4588</v>
      </c>
      <c r="K6377">
        <v>1.102398</v>
      </c>
      <c r="L6377">
        <v>122.3905</v>
      </c>
      <c r="M6377">
        <v>0.29617280000000001</v>
      </c>
      <c r="N6377">
        <v>-2.2066550000000001E-2</v>
      </c>
      <c r="O6377">
        <v>0.95487949999999999</v>
      </c>
      <c r="P6377">
        <v>0.40265119999999999</v>
      </c>
      <c r="Q6377">
        <v>0.36837609999999998</v>
      </c>
      <c r="R6377">
        <v>0.83795649999999999</v>
      </c>
      <c r="S6377">
        <v>1.850449</v>
      </c>
      <c r="T6377">
        <v>-0.70426499999999903</v>
      </c>
      <c r="U6377">
        <v>3.0036930000000002</v>
      </c>
      <c r="V6377">
        <v>0.14510049999999999</v>
      </c>
      <c r="W6377">
        <v>0.38539289999999998</v>
      </c>
      <c r="X6377">
        <v>0.91127279999999999</v>
      </c>
      <c r="Y6377">
        <v>0.2398516</v>
      </c>
      <c r="Z6377">
        <v>-0.174325799999999</v>
      </c>
      <c r="AA6377">
        <v>0.95502969999999998</v>
      </c>
      <c r="AB6377">
        <v>33</v>
      </c>
      <c r="AC6377">
        <v>0.383000000000009</v>
      </c>
      <c r="AD6377">
        <v>-0.16805010000000001</v>
      </c>
      <c r="AE6377">
        <v>0.54249999999998899</v>
      </c>
      <c r="AF6377">
        <v>0.192751447740062</v>
      </c>
      <c r="AG6377">
        <v>-0.16805010000000001</v>
      </c>
      <c r="AH6377">
        <v>0.59359680132598902</v>
      </c>
      <c r="AI6377">
        <v>105.070297174239</v>
      </c>
      <c r="AJ6377">
        <v>72.010463767500696</v>
      </c>
      <c r="AK6377">
        <v>0.64633669187223597</v>
      </c>
      <c r="AL6377">
        <v>67.331865365233398</v>
      </c>
      <c r="AM6377">
        <v>80.952834780164295</v>
      </c>
      <c r="AN6377">
        <v>0.99999997924524897</v>
      </c>
    </row>
    <row r="6378" spans="1:40" x14ac:dyDescent="0.25">
      <c r="A6378" t="str">
        <f>"20190304164534774"</f>
        <v>20190304164534774</v>
      </c>
      <c r="B6378" t="str">
        <f>"1551689134766818"</f>
        <v>1551689134766818</v>
      </c>
      <c r="C6378" t="s">
        <v>40</v>
      </c>
      <c r="D6378">
        <v>5.4611689999999999</v>
      </c>
      <c r="E6378">
        <v>0.56633330000000004</v>
      </c>
      <c r="F6378" t="s">
        <v>41</v>
      </c>
      <c r="G6378">
        <v>-184.95779999999999</v>
      </c>
      <c r="H6378">
        <v>0.91353419999999996</v>
      </c>
      <c r="I6378">
        <v>123.1917</v>
      </c>
      <c r="J6378">
        <v>-185.37880000000001</v>
      </c>
      <c r="K6378">
        <v>1.1022289999999999</v>
      </c>
      <c r="L6378">
        <v>122.6217</v>
      </c>
      <c r="M6378">
        <v>0.30410399999999999</v>
      </c>
      <c r="N6378">
        <v>-2.2033250000000001E-2</v>
      </c>
      <c r="O6378">
        <v>0.95238400000000001</v>
      </c>
      <c r="P6378">
        <v>0.41200160000000002</v>
      </c>
      <c r="Q6378">
        <v>0.36838700000000002</v>
      </c>
      <c r="R6378">
        <v>0.83339409999999903</v>
      </c>
      <c r="S6378">
        <v>1.8699950000000001</v>
      </c>
      <c r="T6378">
        <v>-0.70494060000000003</v>
      </c>
      <c r="U6378">
        <v>2.9914550000000002</v>
      </c>
      <c r="V6378">
        <v>0.14789539999999901</v>
      </c>
      <c r="W6378">
        <v>0.38524550000000002</v>
      </c>
      <c r="X6378">
        <v>0.91088579999999997</v>
      </c>
      <c r="Y6378">
        <v>0.2380282</v>
      </c>
      <c r="Z6378">
        <v>-0.17426179999999999</v>
      </c>
      <c r="AA6378">
        <v>0.9554975</v>
      </c>
      <c r="AB6378">
        <v>32</v>
      </c>
      <c r="AC6378">
        <v>0.42100000000002002</v>
      </c>
      <c r="AD6378">
        <v>-0.1886948</v>
      </c>
      <c r="AE6378">
        <v>0.56999999999999296</v>
      </c>
      <c r="AF6378">
        <v>0.212595004557777</v>
      </c>
      <c r="AG6378">
        <v>-0.1886948</v>
      </c>
      <c r="AH6378">
        <v>0.62661748736766198</v>
      </c>
      <c r="AI6378">
        <v>105.916398234783</v>
      </c>
      <c r="AJ6378">
        <v>71.259262831144298</v>
      </c>
      <c r="AK6378">
        <v>0.68807836689211699</v>
      </c>
      <c r="AL6378">
        <v>67.341018973248694</v>
      </c>
      <c r="AM6378">
        <v>80.777684963290795</v>
      </c>
      <c r="AN6378">
        <v>1.0000000426265201</v>
      </c>
    </row>
    <row r="6379" spans="1:40" x14ac:dyDescent="0.25">
      <c r="A6379" t="str">
        <f>"20190304164534787"</f>
        <v>20190304164534787</v>
      </c>
      <c r="B6379" t="str">
        <f>"1551689134776578"</f>
        <v>1551689134776578</v>
      </c>
      <c r="C6379" t="s">
        <v>40</v>
      </c>
      <c r="D6379">
        <v>5.6582290000000004</v>
      </c>
      <c r="E6379">
        <v>0.57466660000000003</v>
      </c>
      <c r="F6379" t="s">
        <v>41</v>
      </c>
      <c r="G6379">
        <v>-184.8433</v>
      </c>
      <c r="H6379">
        <v>0.90402760000000004</v>
      </c>
      <c r="I6379">
        <v>123.4572</v>
      </c>
      <c r="J6379">
        <v>-185.31450000000001</v>
      </c>
      <c r="K6379">
        <v>1.1021000000000001</v>
      </c>
      <c r="L6379">
        <v>122.80119999999999</v>
      </c>
      <c r="M6379">
        <v>0.31044179999999999</v>
      </c>
      <c r="N6379">
        <v>-2.2007550000000001E-2</v>
      </c>
      <c r="O6379">
        <v>0.9503376</v>
      </c>
      <c r="P6379">
        <v>0.41830919999999999</v>
      </c>
      <c r="Q6379">
        <v>0.36887540000000002</v>
      </c>
      <c r="R6379">
        <v>0.83002919999999902</v>
      </c>
      <c r="S6379">
        <v>1.9033199999999999</v>
      </c>
      <c r="T6379">
        <v>-0.70433259999999998</v>
      </c>
      <c r="U6379">
        <v>2.9701390000000001</v>
      </c>
      <c r="V6379">
        <v>0.14893670000000001</v>
      </c>
      <c r="W6379">
        <v>0.3856366</v>
      </c>
      <c r="X6379">
        <v>0.91055050000000004</v>
      </c>
      <c r="Y6379">
        <v>0.2422792</v>
      </c>
      <c r="Z6379">
        <v>-0.174102799999999</v>
      </c>
      <c r="AA6379">
        <v>0.95445749999999996</v>
      </c>
      <c r="AB6379">
        <v>32</v>
      </c>
      <c r="AC6379">
        <v>0.47120000000001</v>
      </c>
      <c r="AD6379">
        <v>-0.19807240000000001</v>
      </c>
      <c r="AE6379">
        <v>0.65600000000000502</v>
      </c>
      <c r="AF6379">
        <v>0.23035505525823999</v>
      </c>
      <c r="AG6379">
        <v>-0.19807240000000001</v>
      </c>
      <c r="AH6379">
        <v>0.726214230149409</v>
      </c>
      <c r="AI6379">
        <v>104.57318805051599</v>
      </c>
      <c r="AJ6379">
        <v>72.400979791768094</v>
      </c>
      <c r="AK6379">
        <v>0.78719961585120501</v>
      </c>
      <c r="AL6379">
        <v>67.316732439351597</v>
      </c>
      <c r="AM6379">
        <v>80.710519980693206</v>
      </c>
      <c r="AN6379">
        <v>0.99999997045834899</v>
      </c>
    </row>
    <row r="6380" spans="1:40" x14ac:dyDescent="0.25">
      <c r="A6380" t="str">
        <f>"20190304164534801"</f>
        <v>20190304164534801</v>
      </c>
      <c r="B6380" t="str">
        <f>"1551689134797075"</f>
        <v>1551689134797075</v>
      </c>
      <c r="C6380" t="s">
        <v>40</v>
      </c>
      <c r="D6380">
        <v>5.580921</v>
      </c>
      <c r="E6380">
        <v>0.57447990000000004</v>
      </c>
      <c r="F6380" t="s">
        <v>41</v>
      </c>
      <c r="G6380">
        <v>-184.85220000000001</v>
      </c>
      <c r="H6380">
        <v>0.948264</v>
      </c>
      <c r="I6380">
        <v>123.48009999999999</v>
      </c>
      <c r="J6380">
        <v>-185.24590000000001</v>
      </c>
      <c r="K6380">
        <v>1.101966</v>
      </c>
      <c r="L6380">
        <v>122.9893</v>
      </c>
      <c r="M6380">
        <v>0.31717519999999999</v>
      </c>
      <c r="N6380">
        <v>-2.1980909999999999E-2</v>
      </c>
      <c r="O6380">
        <v>0.94811219999999996</v>
      </c>
      <c r="P6380">
        <v>0.42505789999999999</v>
      </c>
      <c r="Q6380">
        <v>0.36942219999999998</v>
      </c>
      <c r="R6380">
        <v>0.82634920000000001</v>
      </c>
      <c r="S6380">
        <v>1.980423</v>
      </c>
      <c r="T6380">
        <v>-0.65883899999999995</v>
      </c>
      <c r="U6380">
        <v>2.9090419999999999</v>
      </c>
      <c r="V6380">
        <v>0.15011369999999999</v>
      </c>
      <c r="W6380">
        <v>0.38607960000000002</v>
      </c>
      <c r="X6380">
        <v>0.91016940000000002</v>
      </c>
      <c r="Y6380">
        <v>0.26302130000000001</v>
      </c>
      <c r="Z6380">
        <v>-0.16292999999999999</v>
      </c>
      <c r="AA6380">
        <v>0.95093300000000003</v>
      </c>
      <c r="AB6380">
        <v>32</v>
      </c>
      <c r="AC6380">
        <v>0.393699999999995</v>
      </c>
      <c r="AD6380">
        <v>-0.15370200000000001</v>
      </c>
      <c r="AE6380">
        <v>0.49079999999999302</v>
      </c>
      <c r="AF6380">
        <v>0.20539771079074401</v>
      </c>
      <c r="AG6380">
        <v>-0.15370200000000001</v>
      </c>
      <c r="AH6380">
        <v>0.55710298389331703</v>
      </c>
      <c r="AI6380">
        <v>104.513114195236</v>
      </c>
      <c r="AJ6380">
        <v>69.761627100310804</v>
      </c>
      <c r="AK6380">
        <v>0.61333209525094601</v>
      </c>
      <c r="AL6380">
        <v>67.289219491186898</v>
      </c>
      <c r="AM6380">
        <v>80.634552395080604</v>
      </c>
      <c r="AN6380">
        <v>0.99999995858010404</v>
      </c>
    </row>
    <row r="6381" spans="1:40" x14ac:dyDescent="0.25">
      <c r="A6381" t="str">
        <f>"20190304164534820"</f>
        <v>20190304164534820</v>
      </c>
      <c r="B6381" t="str">
        <f>"1551689134816595"</f>
        <v>1551689134816595</v>
      </c>
      <c r="C6381" t="s">
        <v>40</v>
      </c>
      <c r="D6381">
        <v>5.6269710000000002</v>
      </c>
      <c r="E6381">
        <v>0.575708199999999</v>
      </c>
      <c r="F6381" t="s">
        <v>48</v>
      </c>
      <c r="G6381">
        <v>-181.90110000000001</v>
      </c>
      <c r="H6381" s="1">
        <v>-4.6957300000000002E-6</v>
      </c>
      <c r="I6381">
        <v>127.8233</v>
      </c>
      <c r="J6381">
        <v>-185.15129999999999</v>
      </c>
      <c r="K6381">
        <v>1.101783</v>
      </c>
      <c r="L6381">
        <v>123.24209999999999</v>
      </c>
      <c r="M6381">
        <v>0.326410799999999</v>
      </c>
      <c r="N6381">
        <v>-2.1946380000000001E-2</v>
      </c>
      <c r="O6381">
        <v>0.94497319999999996</v>
      </c>
      <c r="P6381">
        <v>0.434506</v>
      </c>
      <c r="Q6381">
        <v>0.37060179999999998</v>
      </c>
      <c r="R6381">
        <v>0.82088909999999904</v>
      </c>
      <c r="S6381">
        <v>2.0032040000000002</v>
      </c>
      <c r="T6381">
        <v>-0.65996619999999995</v>
      </c>
      <c r="U6381">
        <v>2.8950650000000002</v>
      </c>
      <c r="V6381">
        <v>0.15204019999999999</v>
      </c>
      <c r="W6381">
        <v>0.38710869999999997</v>
      </c>
      <c r="X6381">
        <v>0.90941229999999995</v>
      </c>
      <c r="Y6381">
        <v>0.26082670000000002</v>
      </c>
      <c r="Z6381">
        <v>-0.1628705</v>
      </c>
      <c r="AA6381">
        <v>0.95154749999999999</v>
      </c>
      <c r="AB6381">
        <v>32</v>
      </c>
      <c r="AC6381">
        <v>3.2501999999999698</v>
      </c>
      <c r="AD6381">
        <v>-1.1017876957299999</v>
      </c>
      <c r="AE6381">
        <v>4.5812000000000097</v>
      </c>
      <c r="AF6381">
        <v>1.51797416132934</v>
      </c>
      <c r="AG6381">
        <v>-1.1017876957299999</v>
      </c>
      <c r="AH6381">
        <v>5.1915640232160403</v>
      </c>
      <c r="AI6381">
        <v>101.513500777883</v>
      </c>
      <c r="AJ6381">
        <v>73.701478282887507</v>
      </c>
      <c r="AK6381">
        <v>5.5200107507211102</v>
      </c>
      <c r="AL6381">
        <v>67.225287720037798</v>
      </c>
      <c r="AM6381">
        <v>80.508778155293598</v>
      </c>
      <c r="AN6381">
        <v>1.0000000497115</v>
      </c>
    </row>
    <row r="6382" spans="1:40" x14ac:dyDescent="0.25">
      <c r="A6382" t="str">
        <f>"20190304164534840"</f>
        <v>20190304164534840</v>
      </c>
      <c r="B6382" t="str">
        <f>"1551689134836115"</f>
        <v>1551689134836115</v>
      </c>
      <c r="C6382" t="s">
        <v>40</v>
      </c>
      <c r="D6382">
        <v>5.6235499999999998</v>
      </c>
      <c r="E6382">
        <v>0.57616499999999904</v>
      </c>
      <c r="F6382" t="s">
        <v>48</v>
      </c>
      <c r="G6382">
        <v>-181.6499</v>
      </c>
      <c r="H6382" s="1">
        <v>-4.8156439999999996E-6</v>
      </c>
      <c r="I6382">
        <v>128.15039999999999</v>
      </c>
      <c r="J6382">
        <v>-185.04069999999999</v>
      </c>
      <c r="K6382">
        <v>1.1015919999999999</v>
      </c>
      <c r="L6382">
        <v>123.52719999999999</v>
      </c>
      <c r="M6382">
        <v>0.33711560000000002</v>
      </c>
      <c r="N6382">
        <v>-2.191046E-2</v>
      </c>
      <c r="O6382">
        <v>0.94120820000000005</v>
      </c>
      <c r="P6382">
        <v>0.44484780000000002</v>
      </c>
      <c r="Q6382">
        <v>0.37144630000000001</v>
      </c>
      <c r="R6382">
        <v>0.81494669999999902</v>
      </c>
      <c r="S6382">
        <v>2.0427249999999999</v>
      </c>
      <c r="T6382">
        <v>-0.64279390000000003</v>
      </c>
      <c r="U6382">
        <v>2.8635410000000001</v>
      </c>
      <c r="V6382">
        <v>0.15354770000000001</v>
      </c>
      <c r="W6382">
        <v>0.38780759999999997</v>
      </c>
      <c r="X6382">
        <v>0.90886100000000003</v>
      </c>
      <c r="Y6382">
        <v>0.26397900000000002</v>
      </c>
      <c r="Z6382">
        <v>-0.1582517</v>
      </c>
      <c r="AA6382">
        <v>0.95145760000000001</v>
      </c>
      <c r="AB6382">
        <v>32</v>
      </c>
      <c r="AC6382">
        <v>3.3907999999999801</v>
      </c>
      <c r="AD6382">
        <v>-1.1015968156439999</v>
      </c>
      <c r="AE6382">
        <v>4.62319999999999</v>
      </c>
      <c r="AF6382">
        <v>1.57513880293363</v>
      </c>
      <c r="AG6382">
        <v>-1.1015968156439999</v>
      </c>
      <c r="AH6382">
        <v>5.30014002746349</v>
      </c>
      <c r="AI6382">
        <v>101.267559117278</v>
      </c>
      <c r="AJ6382">
        <v>73.448674691248598</v>
      </c>
      <c r="AK6382">
        <v>5.6379129208834797</v>
      </c>
      <c r="AL6382">
        <v>67.181848895142593</v>
      </c>
      <c r="AM6382">
        <v>80.410703169718104</v>
      </c>
      <c r="AN6382">
        <v>0.99999997405702401</v>
      </c>
    </row>
    <row r="6383" spans="1:40" x14ac:dyDescent="0.25">
      <c r="A6383" t="str">
        <f>"20190304164534854"</f>
        <v>20190304164534854</v>
      </c>
      <c r="B6383" t="str">
        <f>"1551689134846851"</f>
        <v>1551689134846851</v>
      </c>
      <c r="C6383" t="s">
        <v>40</v>
      </c>
      <c r="D6383">
        <v>5.588317</v>
      </c>
      <c r="E6383">
        <v>0.5763239</v>
      </c>
      <c r="F6383" t="s">
        <v>48</v>
      </c>
      <c r="G6383">
        <v>-181.429</v>
      </c>
      <c r="H6383" s="1">
        <v>-4.9242210000000002E-6</v>
      </c>
      <c r="I6383">
        <v>128.44999999999999</v>
      </c>
      <c r="J6383">
        <v>-184.9666</v>
      </c>
      <c r="K6383">
        <v>1.1014710000000001</v>
      </c>
      <c r="L6383">
        <v>123.7135</v>
      </c>
      <c r="M6383">
        <v>0.3442347</v>
      </c>
      <c r="N6383">
        <v>-2.1889519999999999E-2</v>
      </c>
      <c r="O6383">
        <v>0.93862840000000003</v>
      </c>
      <c r="P6383">
        <v>0.45114870000000001</v>
      </c>
      <c r="Q6383">
        <v>0.37217319999999998</v>
      </c>
      <c r="R6383">
        <v>0.81114240000000004</v>
      </c>
      <c r="S6383">
        <v>2.079987</v>
      </c>
      <c r="T6383">
        <v>-0.63440719999999995</v>
      </c>
      <c r="U6383">
        <v>2.834991</v>
      </c>
      <c r="V6383">
        <v>0.153952799999999</v>
      </c>
      <c r="W6383">
        <v>0.38845619999999997</v>
      </c>
      <c r="X6383">
        <v>0.90851550000000003</v>
      </c>
      <c r="Y6383">
        <v>0.269578599999999</v>
      </c>
      <c r="Z6383">
        <v>-0.1560761</v>
      </c>
      <c r="AA6383">
        <v>0.95024609999999998</v>
      </c>
      <c r="AB6383">
        <v>32</v>
      </c>
      <c r="AC6383">
        <v>3.5375999999999901</v>
      </c>
      <c r="AD6383">
        <v>-1.1014759242209999</v>
      </c>
      <c r="AE6383">
        <v>4.7364999999999897</v>
      </c>
      <c r="AF6383">
        <v>1.63371514717836</v>
      </c>
      <c r="AG6383">
        <v>-1.1014759242209999</v>
      </c>
      <c r="AH6383">
        <v>5.4748763196412904</v>
      </c>
      <c r="AI6383">
        <v>100.912014053571</v>
      </c>
      <c r="AJ6383">
        <v>73.384780827182198</v>
      </c>
      <c r="AK6383">
        <v>5.8186377365434501</v>
      </c>
      <c r="AL6383">
        <v>67.141527469878397</v>
      </c>
      <c r="AM6383">
        <v>80.382287768632807</v>
      </c>
      <c r="AN6383">
        <v>1.0000000488432601</v>
      </c>
    </row>
    <row r="6384" spans="1:40" x14ac:dyDescent="0.25">
      <c r="A6384" t="str">
        <f>"20190304164534866"</f>
        <v>20190304164534866</v>
      </c>
      <c r="B6384" t="str">
        <f>"1551689134856611"</f>
        <v>1551689134856611</v>
      </c>
      <c r="C6384" t="s">
        <v>40</v>
      </c>
      <c r="D6384">
        <v>5.6118459999999999</v>
      </c>
      <c r="E6384">
        <v>0.57622150000000005</v>
      </c>
      <c r="F6384" t="s">
        <v>48</v>
      </c>
      <c r="G6384">
        <v>-181.28469999999999</v>
      </c>
      <c r="H6384" s="1">
        <v>-4.9942350000000003E-6</v>
      </c>
      <c r="I6384">
        <v>128.6422</v>
      </c>
      <c r="J6384">
        <v>-184.9007</v>
      </c>
      <c r="K6384">
        <v>1.1013679999999999</v>
      </c>
      <c r="L6384">
        <v>123.8742</v>
      </c>
      <c r="M6384">
        <v>0.35052080000000002</v>
      </c>
      <c r="N6384">
        <v>-2.1875840000000001E-2</v>
      </c>
      <c r="O6384">
        <v>0.9362994</v>
      </c>
      <c r="P6384">
        <v>0.45665420000000001</v>
      </c>
      <c r="Q6384">
        <v>0.37334420000000001</v>
      </c>
      <c r="R6384">
        <v>0.80751539999999999</v>
      </c>
      <c r="S6384">
        <v>2.1043090000000002</v>
      </c>
      <c r="T6384">
        <v>-0.62952969999999997</v>
      </c>
      <c r="U6384">
        <v>2.8169249999999999</v>
      </c>
      <c r="V6384">
        <v>0.15435409999999999</v>
      </c>
      <c r="W6384">
        <v>0.38955709999999999</v>
      </c>
      <c r="X6384">
        <v>0.90797589999999995</v>
      </c>
      <c r="Y6384">
        <v>0.27145010000000003</v>
      </c>
      <c r="Z6384">
        <v>-0.1546631</v>
      </c>
      <c r="AA6384">
        <v>0.94994429999999996</v>
      </c>
      <c r="AB6384">
        <v>32</v>
      </c>
      <c r="AC6384">
        <v>3.6160000000000099</v>
      </c>
      <c r="AD6384">
        <v>-1.1013729942349999</v>
      </c>
      <c r="AE6384">
        <v>4.7679999999999998</v>
      </c>
      <c r="AF6384">
        <v>1.65860151135602</v>
      </c>
      <c r="AG6384">
        <v>-1.1013729942349999</v>
      </c>
      <c r="AH6384">
        <v>5.5452868830591102</v>
      </c>
      <c r="AI6384">
        <v>100.77372443278</v>
      </c>
      <c r="AJ6384">
        <v>73.348017074449501</v>
      </c>
      <c r="AK6384">
        <v>5.8918747492907597</v>
      </c>
      <c r="AL6384">
        <v>67.073058226191193</v>
      </c>
      <c r="AM6384">
        <v>80.352065262482895</v>
      </c>
      <c r="AN6384">
        <v>1.00000007866401</v>
      </c>
    </row>
    <row r="6385" spans="1:40" x14ac:dyDescent="0.25">
      <c r="A6385" t="str">
        <f>"20190304164534879"</f>
        <v>20190304164534879</v>
      </c>
      <c r="B6385" t="str">
        <f>"1551689134866372"</f>
        <v>1551689134866372</v>
      </c>
      <c r="C6385" t="s">
        <v>40</v>
      </c>
      <c r="D6385">
        <v>5.6112650000000004</v>
      </c>
      <c r="E6385">
        <v>0.5762292</v>
      </c>
      <c r="F6385" t="s">
        <v>48</v>
      </c>
      <c r="G6385">
        <v>-181.15860000000001</v>
      </c>
      <c r="H6385" s="1">
        <v>-5.0549090000000001E-6</v>
      </c>
      <c r="I6385">
        <v>128.8082</v>
      </c>
      <c r="J6385">
        <v>-184.83779999999999</v>
      </c>
      <c r="K6385">
        <v>1.1012789999999999</v>
      </c>
      <c r="L6385">
        <v>124.0256</v>
      </c>
      <c r="M6385">
        <v>0.35649340000000002</v>
      </c>
      <c r="N6385">
        <v>-2.1863560000000001E-2</v>
      </c>
      <c r="O6385">
        <v>0.93404200000000004</v>
      </c>
      <c r="P6385">
        <v>0.46219460000000001</v>
      </c>
      <c r="Q6385">
        <v>0.37456539999999999</v>
      </c>
      <c r="R6385">
        <v>0.80378909999999903</v>
      </c>
      <c r="S6385">
        <v>2.125397</v>
      </c>
      <c r="T6385">
        <v>-0.62555039999999995</v>
      </c>
      <c r="U6385">
        <v>2.8024140000000002</v>
      </c>
      <c r="V6385">
        <v>0.15512379999999901</v>
      </c>
      <c r="W6385">
        <v>0.39070120000000003</v>
      </c>
      <c r="X6385">
        <v>0.90735279999999996</v>
      </c>
      <c r="Y6385">
        <v>0.27233800000000002</v>
      </c>
      <c r="Z6385">
        <v>-0.1534055</v>
      </c>
      <c r="AA6385">
        <v>0.94989409999999996</v>
      </c>
      <c r="AB6385">
        <v>32</v>
      </c>
      <c r="AC6385">
        <v>3.6791999999999798</v>
      </c>
      <c r="AD6385">
        <v>-1.1012840549089999</v>
      </c>
      <c r="AE6385">
        <v>4.7826000000000004</v>
      </c>
      <c r="AF6385">
        <v>1.6761428818161399</v>
      </c>
      <c r="AG6385">
        <v>-1.1012840549089999</v>
      </c>
      <c r="AH6385">
        <v>5.59380901697177</v>
      </c>
      <c r="AI6385">
        <v>100.680035236837</v>
      </c>
      <c r="AJ6385">
        <v>73.319549922466194</v>
      </c>
      <c r="AK6385">
        <v>5.9424726207374601</v>
      </c>
      <c r="AL6385">
        <v>67.001861936097797</v>
      </c>
      <c r="AM6385">
        <v>80.298334533966198</v>
      </c>
      <c r="AN6385">
        <v>0.99999996233785904</v>
      </c>
    </row>
    <row r="6386" spans="1:40" x14ac:dyDescent="0.25">
      <c r="A6386" t="str">
        <f>"20190304164534891"</f>
        <v>20190304164534891</v>
      </c>
      <c r="B6386" t="str">
        <f>"1551689134886867"</f>
        <v>1551689134886867</v>
      </c>
      <c r="C6386" t="s">
        <v>40</v>
      </c>
      <c r="D6386">
        <v>5.6404620000000003</v>
      </c>
      <c r="E6386">
        <v>0.57579159999999996</v>
      </c>
      <c r="F6386" t="s">
        <v>48</v>
      </c>
      <c r="G6386">
        <v>-181.02809999999999</v>
      </c>
      <c r="H6386" s="1">
        <v>-5.1161809999999999E-6</v>
      </c>
      <c r="I6386">
        <v>128.9742</v>
      </c>
      <c r="J6386">
        <v>-184.7653</v>
      </c>
      <c r="K6386">
        <v>1.1011740000000001</v>
      </c>
      <c r="L6386">
        <v>124.1964</v>
      </c>
      <c r="M6386">
        <v>0.36332619999999999</v>
      </c>
      <c r="N6386">
        <v>-2.1851720000000002E-2</v>
      </c>
      <c r="O6386">
        <v>0.9314057</v>
      </c>
      <c r="P6386">
        <v>0.46892899999999998</v>
      </c>
      <c r="Q6386">
        <v>0.37591669999999999</v>
      </c>
      <c r="R6386">
        <v>0.79924490000000004</v>
      </c>
      <c r="S6386">
        <v>2.1459350000000001</v>
      </c>
      <c r="T6386">
        <v>-0.62033839999999996</v>
      </c>
      <c r="U6386">
        <v>2.7874599999999998</v>
      </c>
      <c r="V6386">
        <v>0.15647059999999999</v>
      </c>
      <c r="W6386">
        <v>0.39195410000000003</v>
      </c>
      <c r="X6386">
        <v>0.90658090000000002</v>
      </c>
      <c r="Y6386">
        <v>0.27231339999999998</v>
      </c>
      <c r="Z6386">
        <v>-0.15177579999999999</v>
      </c>
      <c r="AA6386">
        <v>0.95016290000000003</v>
      </c>
      <c r="AB6386">
        <v>32</v>
      </c>
      <c r="AC6386">
        <v>3.7372000000000001</v>
      </c>
      <c r="AD6386">
        <v>-1.1011791161809901</v>
      </c>
      <c r="AE6386">
        <v>4.7777999999999903</v>
      </c>
      <c r="AF6386">
        <v>1.6896805881708801</v>
      </c>
      <c r="AG6386">
        <v>-1.1011791161809901</v>
      </c>
      <c r="AH6386">
        <v>5.6239358067834004</v>
      </c>
      <c r="AI6386">
        <v>100.620848399032</v>
      </c>
      <c r="AJ6386">
        <v>73.277393449346505</v>
      </c>
      <c r="AK6386">
        <v>5.9746355449328599</v>
      </c>
      <c r="AL6386">
        <v>66.923855947199698</v>
      </c>
      <c r="AM6386">
        <v>80.207555434435804</v>
      </c>
      <c r="AN6386">
        <v>0.99999999670799</v>
      </c>
    </row>
    <row r="6387" spans="1:40" x14ac:dyDescent="0.25">
      <c r="A6387" t="str">
        <f>"20190304164534903"</f>
        <v>20190304164534903</v>
      </c>
      <c r="B6387" t="str">
        <f>"1551689134896627"</f>
        <v>1551689134896627</v>
      </c>
      <c r="C6387" t="s">
        <v>40</v>
      </c>
      <c r="D6387">
        <v>5.5975799999999998</v>
      </c>
      <c r="E6387">
        <v>0.57576260000000001</v>
      </c>
      <c r="F6387" t="s">
        <v>41</v>
      </c>
      <c r="G6387">
        <v>-184.28880000000001</v>
      </c>
      <c r="H6387">
        <v>0.96480100000000002</v>
      </c>
      <c r="I6387">
        <v>124.80629999999999</v>
      </c>
      <c r="J6387">
        <v>-184.69749999999999</v>
      </c>
      <c r="K6387">
        <v>1.1010789999999999</v>
      </c>
      <c r="L6387">
        <v>124.352</v>
      </c>
      <c r="M6387">
        <v>0.36966300000000002</v>
      </c>
      <c r="N6387">
        <v>-2.184372E-2</v>
      </c>
      <c r="O6387">
        <v>0.92890910000000004</v>
      </c>
      <c r="P6387">
        <v>0.47538069999999999</v>
      </c>
      <c r="Q6387">
        <v>0.37665979999999999</v>
      </c>
      <c r="R6387">
        <v>0.79507269999999997</v>
      </c>
      <c r="S6387">
        <v>2.166382</v>
      </c>
      <c r="T6387">
        <v>-0.61971330000000002</v>
      </c>
      <c r="U6387">
        <v>2.7740019999999999</v>
      </c>
      <c r="V6387">
        <v>0.15787870000000001</v>
      </c>
      <c r="W6387">
        <v>0.3926094</v>
      </c>
      <c r="X6387">
        <v>0.90605309999999994</v>
      </c>
      <c r="Y6387">
        <v>0.27239160000000001</v>
      </c>
      <c r="Z6387">
        <v>-0.15132689999999999</v>
      </c>
      <c r="AA6387">
        <v>0.9502121</v>
      </c>
      <c r="AB6387">
        <v>32</v>
      </c>
      <c r="AC6387">
        <v>0.40869999999998102</v>
      </c>
      <c r="AD6387">
        <v>-0.13627800000000001</v>
      </c>
      <c r="AE6387">
        <v>0.45429999999998899</v>
      </c>
      <c r="AF6387">
        <v>0.20172526975694</v>
      </c>
      <c r="AG6387">
        <v>-0.13627800000000001</v>
      </c>
      <c r="AH6387">
        <v>0.54606377931723404</v>
      </c>
      <c r="AI6387">
        <v>103.175737703032</v>
      </c>
      <c r="AJ6387">
        <v>69.724910566772905</v>
      </c>
      <c r="AK6387">
        <v>0.59787158221873304</v>
      </c>
      <c r="AL6387">
        <v>66.883038916091905</v>
      </c>
      <c r="AM6387">
        <v>80.115519330023602</v>
      </c>
      <c r="AN6387">
        <v>1.0000000224508201</v>
      </c>
    </row>
    <row r="6388" spans="1:40" x14ac:dyDescent="0.25">
      <c r="A6388" t="str">
        <f>"20190304164534919"</f>
        <v>20190304164534919</v>
      </c>
      <c r="B6388" t="str">
        <f>"1551689134916147"</f>
        <v>1551689134916147</v>
      </c>
      <c r="C6388" t="s">
        <v>40</v>
      </c>
      <c r="D6388">
        <v>5.5831759999999999</v>
      </c>
      <c r="E6388">
        <v>0.57552009999999998</v>
      </c>
      <c r="F6388" t="s">
        <v>48</v>
      </c>
      <c r="G6388">
        <v>-180.79689999999999</v>
      </c>
      <c r="H6388" s="1">
        <v>-5.2372130000000002E-6</v>
      </c>
      <c r="I6388">
        <v>129.27029999999999</v>
      </c>
      <c r="J6388">
        <v>-184.60599999999999</v>
      </c>
      <c r="K6388">
        <v>1.1009549999999999</v>
      </c>
      <c r="L6388">
        <v>124.5583</v>
      </c>
      <c r="M6388">
        <v>0.37815500000000002</v>
      </c>
      <c r="N6388">
        <v>-2.183237E-2</v>
      </c>
      <c r="O6388">
        <v>0.9254848</v>
      </c>
      <c r="P6388">
        <v>0.4839619</v>
      </c>
      <c r="Q6388">
        <v>0.37694810000000001</v>
      </c>
      <c r="R6388">
        <v>0.78974100000000003</v>
      </c>
      <c r="S6388">
        <v>2.1873019999999999</v>
      </c>
      <c r="T6388">
        <v>-0.61744809999999895</v>
      </c>
      <c r="U6388">
        <v>2.757965</v>
      </c>
      <c r="V6388">
        <v>0.15958020000000001</v>
      </c>
      <c r="W6388">
        <v>0.3927909</v>
      </c>
      <c r="X6388">
        <v>0.90567620000000004</v>
      </c>
      <c r="Y6388">
        <v>0.2707909</v>
      </c>
      <c r="Z6388">
        <v>-0.15037010000000001</v>
      </c>
      <c r="AA6388">
        <v>0.95082129999999998</v>
      </c>
      <c r="AB6388">
        <v>31</v>
      </c>
      <c r="AC6388">
        <v>3.8090999999999999</v>
      </c>
      <c r="AD6388">
        <v>-1.1009602372129901</v>
      </c>
      <c r="AE6388">
        <v>4.7119999999999802</v>
      </c>
      <c r="AF6388">
        <v>1.68807875610384</v>
      </c>
      <c r="AG6388">
        <v>-1.1009602372129901</v>
      </c>
      <c r="AH6388">
        <v>5.6172354699439602</v>
      </c>
      <c r="AI6388">
        <v>100.63095343275999</v>
      </c>
      <c r="AJ6388">
        <v>73.273546101393705</v>
      </c>
      <c r="AK6388">
        <v>5.9678352570701598</v>
      </c>
      <c r="AL6388">
        <v>66.871729714023502</v>
      </c>
      <c r="AM6388">
        <v>80.0070529436058</v>
      </c>
      <c r="AN6388">
        <v>0.99999995530064401</v>
      </c>
    </row>
    <row r="6389" spans="1:40" x14ac:dyDescent="0.25">
      <c r="A6389" t="str">
        <f>"20190304164534931"</f>
        <v>20190304164534931</v>
      </c>
      <c r="B6389" t="str">
        <f>"1551689134926883"</f>
        <v>1551689134926883</v>
      </c>
      <c r="C6389" t="s">
        <v>40</v>
      </c>
      <c r="D6389">
        <v>5.586106</v>
      </c>
      <c r="E6389">
        <v>0.57542040000000005</v>
      </c>
      <c r="F6389" t="s">
        <v>48</v>
      </c>
      <c r="G6389">
        <v>-180.66980000000001</v>
      </c>
      <c r="H6389" s="1">
        <v>-5.3109149999999996E-6</v>
      </c>
      <c r="I6389">
        <v>129.42740000000001</v>
      </c>
      <c r="J6389">
        <v>-184.53280000000001</v>
      </c>
      <c r="K6389">
        <v>1.1008549999999999</v>
      </c>
      <c r="L6389">
        <v>124.7197</v>
      </c>
      <c r="M6389">
        <v>0.38488929999999999</v>
      </c>
      <c r="N6389">
        <v>-2.1821650000000001E-2</v>
      </c>
      <c r="O6389">
        <v>0.92270479999999999</v>
      </c>
      <c r="P6389">
        <v>0.49023879999999997</v>
      </c>
      <c r="Q6389">
        <v>0.37660199999999999</v>
      </c>
      <c r="R6389">
        <v>0.786026</v>
      </c>
      <c r="S6389">
        <v>2.213333</v>
      </c>
      <c r="T6389">
        <v>-0.61906700000000003</v>
      </c>
      <c r="U6389">
        <v>2.737854</v>
      </c>
      <c r="V6389">
        <v>0.160216</v>
      </c>
      <c r="W6389">
        <v>0.39238610000000002</v>
      </c>
      <c r="X6389">
        <v>0.90573950000000003</v>
      </c>
      <c r="Y6389">
        <v>0.27262570000000003</v>
      </c>
      <c r="Z6389">
        <v>-0.15062509999999901</v>
      </c>
      <c r="AA6389">
        <v>0.95025649999999995</v>
      </c>
      <c r="AB6389">
        <v>31</v>
      </c>
      <c r="AC6389">
        <v>3.863</v>
      </c>
      <c r="AD6389">
        <v>-1.1008603109149999</v>
      </c>
      <c r="AE6389">
        <v>4.7077</v>
      </c>
      <c r="AF6389">
        <v>1.6974134603683699</v>
      </c>
      <c r="AG6389">
        <v>-1.1008603109149999</v>
      </c>
      <c r="AH6389">
        <v>5.6474812779625498</v>
      </c>
      <c r="AI6389">
        <v>100.57424370840801</v>
      </c>
      <c r="AJ6389">
        <v>73.271263576511103</v>
      </c>
      <c r="AK6389">
        <v>5.9989291264795801</v>
      </c>
      <c r="AL6389">
        <v>66.8969495174792</v>
      </c>
      <c r="AM6389">
        <v>79.968733060304402</v>
      </c>
      <c r="AN6389">
        <v>1.00000002999472</v>
      </c>
    </row>
    <row r="6390" spans="1:40" x14ac:dyDescent="0.25">
      <c r="A6390" t="str">
        <f>"20190304164534943"</f>
        <v>20190304164534943</v>
      </c>
      <c r="B6390" t="str">
        <f>"1551689134936644"</f>
        <v>1551689134936644</v>
      </c>
      <c r="C6390" t="s">
        <v>40</v>
      </c>
      <c r="D6390">
        <v>5.6473500000000003</v>
      </c>
      <c r="E6390">
        <v>0.57517390000000002</v>
      </c>
      <c r="F6390" t="s">
        <v>41</v>
      </c>
      <c r="G6390">
        <v>-184.04390000000001</v>
      </c>
      <c r="H6390">
        <v>0.96500589999999997</v>
      </c>
      <c r="I6390">
        <v>125.31480000000001</v>
      </c>
      <c r="J6390">
        <v>-184.46289999999999</v>
      </c>
      <c r="K6390">
        <v>1.100765</v>
      </c>
      <c r="L6390">
        <v>124.8699</v>
      </c>
      <c r="M6390">
        <v>0.39125300000000002</v>
      </c>
      <c r="N6390">
        <v>-2.1811049999999998E-2</v>
      </c>
      <c r="O6390">
        <v>0.92002470000000003</v>
      </c>
      <c r="P6390">
        <v>0.49596000000000001</v>
      </c>
      <c r="Q6390">
        <v>0.37542140000000002</v>
      </c>
      <c r="R6390">
        <v>0.78299580000000002</v>
      </c>
      <c r="S6390">
        <v>2.2347410000000001</v>
      </c>
      <c r="T6390">
        <v>-0.62084819999999996</v>
      </c>
      <c r="U6390">
        <v>2.7203369999999998</v>
      </c>
      <c r="V6390">
        <v>0.1603918</v>
      </c>
      <c r="W6390">
        <v>0.3911731</v>
      </c>
      <c r="X6390">
        <v>0.90623290000000001</v>
      </c>
      <c r="Y6390">
        <v>0.2734104</v>
      </c>
      <c r="Z6390">
        <v>-0.15091579999999999</v>
      </c>
      <c r="AA6390">
        <v>0.94998479999999996</v>
      </c>
      <c r="AB6390">
        <v>31</v>
      </c>
      <c r="AC6390">
        <v>0.418999999999982</v>
      </c>
      <c r="AD6390">
        <v>-0.13575909999999899</v>
      </c>
      <c r="AE6390">
        <v>0.44490000000000401</v>
      </c>
      <c r="AF6390">
        <v>0.20152763258456799</v>
      </c>
      <c r="AG6390">
        <v>-0.13575909999999899</v>
      </c>
      <c r="AH6390">
        <v>0.54642648832696095</v>
      </c>
      <c r="AI6390">
        <v>103.12139448236201</v>
      </c>
      <c r="AJ6390">
        <v>69.755514005726894</v>
      </c>
      <c r="AK6390">
        <v>0.59801824978280205</v>
      </c>
      <c r="AL6390">
        <v>66.972487091375001</v>
      </c>
      <c r="AM6390">
        <v>79.963306195855907</v>
      </c>
      <c r="AN6390">
        <v>0.99999999635662995</v>
      </c>
    </row>
    <row r="6391" spans="1:40" x14ac:dyDescent="0.25">
      <c r="A6391" t="str">
        <f>"20190304164534955"</f>
        <v>20190304164534955</v>
      </c>
      <c r="B6391" t="str">
        <f>"1551689134946403"</f>
        <v>1551689134946403</v>
      </c>
      <c r="C6391" t="s">
        <v>40</v>
      </c>
      <c r="D6391">
        <v>5.6503430000000003</v>
      </c>
      <c r="E6391">
        <v>0.57494400000000001</v>
      </c>
      <c r="F6391" t="s">
        <v>48</v>
      </c>
      <c r="G6391">
        <v>-180.5138</v>
      </c>
      <c r="H6391" s="1">
        <v>-5.399133E-6</v>
      </c>
      <c r="I6391">
        <v>129.61490000000001</v>
      </c>
      <c r="J6391">
        <v>-184.38810000000001</v>
      </c>
      <c r="K6391">
        <v>1.100678</v>
      </c>
      <c r="L6391">
        <v>125.0288</v>
      </c>
      <c r="M6391">
        <v>0.39801140000000002</v>
      </c>
      <c r="N6391">
        <v>-2.1798919999999999E-2</v>
      </c>
      <c r="O6391">
        <v>0.91712150000000003</v>
      </c>
      <c r="P6391">
        <v>0.50207040000000003</v>
      </c>
      <c r="Q6391">
        <v>0.37386779999999997</v>
      </c>
      <c r="R6391">
        <v>0.77983859999999905</v>
      </c>
      <c r="S6391">
        <v>2.2520289999999998</v>
      </c>
      <c r="T6391">
        <v>-0.62773449999999997</v>
      </c>
      <c r="U6391">
        <v>2.7059329999999999</v>
      </c>
      <c r="V6391">
        <v>0.160552799999999</v>
      </c>
      <c r="W6391">
        <v>0.38958959999999998</v>
      </c>
      <c r="X6391">
        <v>0.90688630000000003</v>
      </c>
      <c r="Y6391">
        <v>0.272233</v>
      </c>
      <c r="Z6391">
        <v>-0.15246100000000001</v>
      </c>
      <c r="AA6391">
        <v>0.95007620000000004</v>
      </c>
      <c r="AB6391">
        <v>31</v>
      </c>
      <c r="AC6391">
        <v>3.8742999999999999</v>
      </c>
      <c r="AD6391">
        <v>-1.1006833991329901</v>
      </c>
      <c r="AE6391">
        <v>4.5861000000000001</v>
      </c>
      <c r="AF6391">
        <v>1.67209004904957</v>
      </c>
      <c r="AG6391">
        <v>-1.1006833991329901</v>
      </c>
      <c r="AH6391">
        <v>5.5624216030573903</v>
      </c>
      <c r="AI6391">
        <v>100.730404349493</v>
      </c>
      <c r="AJ6391">
        <v>73.268975308679501</v>
      </c>
      <c r="AK6391">
        <v>5.9116768490350697</v>
      </c>
      <c r="AL6391">
        <v>67.071034703759395</v>
      </c>
      <c r="AM6391">
        <v>79.960527700747406</v>
      </c>
      <c r="AN6391">
        <v>1.00000000957184</v>
      </c>
    </row>
    <row r="6392" spans="1:40" x14ac:dyDescent="0.25">
      <c r="A6392" t="str">
        <f>"20190304164534966"</f>
        <v>20190304164534966</v>
      </c>
      <c r="B6392" t="str">
        <f>"1551689134956164"</f>
        <v>1551689134956164</v>
      </c>
      <c r="C6392" t="s">
        <v>40</v>
      </c>
      <c r="D6392">
        <v>5.5870259999999998</v>
      </c>
      <c r="E6392">
        <v>0.57486719999999902</v>
      </c>
      <c r="F6392" t="s">
        <v>48</v>
      </c>
      <c r="G6392">
        <v>-180.45249999999999</v>
      </c>
      <c r="H6392" s="1">
        <v>-5.4262620000000003E-6</v>
      </c>
      <c r="I6392">
        <v>129.68819999999999</v>
      </c>
      <c r="J6392">
        <v>-184.31819999999999</v>
      </c>
      <c r="K6392">
        <v>1.1006119999999999</v>
      </c>
      <c r="L6392">
        <v>125.1733</v>
      </c>
      <c r="M6392">
        <v>0.40424660000000001</v>
      </c>
      <c r="N6392">
        <v>-2.1788140000000001E-2</v>
      </c>
      <c r="O6392">
        <v>0.91439049999999999</v>
      </c>
      <c r="P6392">
        <v>0.50753870000000001</v>
      </c>
      <c r="Q6392">
        <v>0.37248680000000001</v>
      </c>
      <c r="R6392">
        <v>0.77695439999999905</v>
      </c>
      <c r="S6392">
        <v>2.2713930000000002</v>
      </c>
      <c r="T6392">
        <v>-0.63525430000000005</v>
      </c>
      <c r="U6392">
        <v>2.6891630000000002</v>
      </c>
      <c r="V6392">
        <v>0.1605029</v>
      </c>
      <c r="W6392">
        <v>0.38819090000000001</v>
      </c>
      <c r="X6392">
        <v>0.90749469999999999</v>
      </c>
      <c r="Y6392">
        <v>0.27238950000000001</v>
      </c>
      <c r="Z6392">
        <v>-0.15424689999999999</v>
      </c>
      <c r="AA6392">
        <v>0.949743</v>
      </c>
      <c r="AB6392">
        <v>31</v>
      </c>
      <c r="AC6392">
        <v>3.8656999999999999</v>
      </c>
      <c r="AD6392">
        <v>-1.1006174262620001</v>
      </c>
      <c r="AE6392">
        <v>4.5148999999999901</v>
      </c>
      <c r="AF6392">
        <v>1.6533409743213401</v>
      </c>
      <c r="AG6392">
        <v>-1.1006174262620001</v>
      </c>
      <c r="AH6392">
        <v>5.5037124684099803</v>
      </c>
      <c r="AI6392">
        <v>100.842117425973</v>
      </c>
      <c r="AJ6392">
        <v>73.279486239726793</v>
      </c>
      <c r="AK6392">
        <v>5.8511320298975402</v>
      </c>
      <c r="AL6392">
        <v>67.158021175432694</v>
      </c>
      <c r="AM6392">
        <v>79.970176454568005</v>
      </c>
      <c r="AN6392">
        <v>0.99999999313965504</v>
      </c>
    </row>
    <row r="6393" spans="1:40" x14ac:dyDescent="0.25">
      <c r="A6393" t="str">
        <f>"20190304164534978"</f>
        <v>20190304164534978</v>
      </c>
      <c r="B6393" t="str">
        <f>"1551689134966900"</f>
        <v>1551689134966900</v>
      </c>
      <c r="C6393" t="s">
        <v>40</v>
      </c>
      <c r="D6393">
        <v>5.4232490000000002</v>
      </c>
      <c r="E6393">
        <v>0.57488099999999998</v>
      </c>
      <c r="F6393" t="s">
        <v>48</v>
      </c>
      <c r="G6393">
        <v>-180.38399999999999</v>
      </c>
      <c r="H6393" s="1">
        <v>-5.4550549999999999E-6</v>
      </c>
      <c r="I6393">
        <v>129.76580000000001</v>
      </c>
      <c r="J6393">
        <v>-184.2499</v>
      </c>
      <c r="K6393">
        <v>1.100554</v>
      </c>
      <c r="L6393">
        <v>125.31270000000001</v>
      </c>
      <c r="M6393">
        <v>0.41028629999999999</v>
      </c>
      <c r="N6393">
        <v>-2.177509E-2</v>
      </c>
      <c r="O6393">
        <v>0.91169679999999997</v>
      </c>
      <c r="P6393">
        <v>0.51284750000000001</v>
      </c>
      <c r="Q6393">
        <v>0.3712818</v>
      </c>
      <c r="R6393">
        <v>0.77403959999999905</v>
      </c>
      <c r="S6393">
        <v>2.289536</v>
      </c>
      <c r="T6393">
        <v>-0.6405189</v>
      </c>
      <c r="U6393">
        <v>2.6726679999999998</v>
      </c>
      <c r="V6393">
        <v>0.160494</v>
      </c>
      <c r="W6393">
        <v>0.38696659999999999</v>
      </c>
      <c r="X6393">
        <v>0.90801900000000002</v>
      </c>
      <c r="Y6393">
        <v>0.2724954</v>
      </c>
      <c r="Z6393">
        <v>-0.1554471</v>
      </c>
      <c r="AA6393">
        <v>0.94951700000000006</v>
      </c>
      <c r="AB6393">
        <v>31</v>
      </c>
      <c r="AC6393">
        <v>3.8658999999999799</v>
      </c>
      <c r="AD6393">
        <v>-1.100559455055</v>
      </c>
      <c r="AE6393">
        <v>4.4531000000000001</v>
      </c>
      <c r="AF6393">
        <v>1.64073798269685</v>
      </c>
      <c r="AG6393">
        <v>-1.100559455055</v>
      </c>
      <c r="AH6393">
        <v>5.4572639175655304</v>
      </c>
      <c r="AI6393">
        <v>100.930894264066</v>
      </c>
      <c r="AJ6393">
        <v>73.266483117087503</v>
      </c>
      <c r="AK6393">
        <v>5.8038764380315397</v>
      </c>
      <c r="AL6393">
        <v>67.234116156664101</v>
      </c>
      <c r="AM6393">
        <v>79.976394867509498</v>
      </c>
      <c r="AN6393">
        <v>0.99999998895627995</v>
      </c>
    </row>
    <row r="6394" spans="1:40" x14ac:dyDescent="0.25">
      <c r="A6394" t="str">
        <f>"20190304164534991"</f>
        <v>20190304164534991</v>
      </c>
      <c r="B6394" t="str">
        <f>"1551689134986419"</f>
        <v>1551689134986419</v>
      </c>
      <c r="C6394" t="s">
        <v>40</v>
      </c>
      <c r="D6394">
        <v>5.4558369999999998</v>
      </c>
      <c r="E6394">
        <v>0.57481070000000001</v>
      </c>
      <c r="F6394" t="s">
        <v>48</v>
      </c>
      <c r="G6394">
        <v>-180.3066</v>
      </c>
      <c r="H6394" s="1">
        <v>-5.4864709999999997E-6</v>
      </c>
      <c r="I6394">
        <v>129.84989999999999</v>
      </c>
      <c r="J6394">
        <v>-184.1704</v>
      </c>
      <c r="K6394">
        <v>1.100501</v>
      </c>
      <c r="L6394">
        <v>125.47190000000001</v>
      </c>
      <c r="M6394">
        <v>0.41724480000000003</v>
      </c>
      <c r="N6394">
        <v>-2.1756169999999998E-2</v>
      </c>
      <c r="O6394">
        <v>0.9085337</v>
      </c>
      <c r="P6394">
        <v>0.51850929999999995</v>
      </c>
      <c r="Q6394">
        <v>0.36989359999999999</v>
      </c>
      <c r="R6394">
        <v>0.770926</v>
      </c>
      <c r="S6394">
        <v>2.3079529999999999</v>
      </c>
      <c r="T6394">
        <v>-0.64413640000000005</v>
      </c>
      <c r="U6394">
        <v>2.6555789999999999</v>
      </c>
      <c r="V6394">
        <v>0.1599351</v>
      </c>
      <c r="W6394">
        <v>0.38557370000000002</v>
      </c>
      <c r="X6394">
        <v>0.90870989999999996</v>
      </c>
      <c r="Y6394">
        <v>0.27182779999999901</v>
      </c>
      <c r="Z6394">
        <v>-0.15613460000000001</v>
      </c>
      <c r="AA6394">
        <v>0.94959550000000004</v>
      </c>
      <c r="AB6394">
        <v>31</v>
      </c>
      <c r="AC6394">
        <v>3.8637999999999901</v>
      </c>
      <c r="AD6394">
        <v>-1.1005064864709999</v>
      </c>
      <c r="AE6394">
        <v>4.3779999999999797</v>
      </c>
      <c r="AF6394">
        <v>1.6263248447916501</v>
      </c>
      <c r="AG6394">
        <v>-1.1005064864709999</v>
      </c>
      <c r="AH6394">
        <v>5.3992481302333903</v>
      </c>
      <c r="AI6394">
        <v>101.043288314438</v>
      </c>
      <c r="AJ6394">
        <v>73.237004930948203</v>
      </c>
      <c r="AK6394">
        <v>5.7452525966557904</v>
      </c>
      <c r="AL6394">
        <v>67.320639084936701</v>
      </c>
      <c r="AM6394">
        <v>80.018038759173706</v>
      </c>
      <c r="AN6394">
        <v>0.99999999835085496</v>
      </c>
    </row>
    <row r="6395" spans="1:40" x14ac:dyDescent="0.25">
      <c r="A6395" t="str">
        <f>"20190304164535003"</f>
        <v>20190304164535003</v>
      </c>
      <c r="B6395" t="str">
        <f>"1551689134996179"</f>
        <v>1551689134996179</v>
      </c>
      <c r="C6395" t="s">
        <v>40</v>
      </c>
      <c r="D6395">
        <v>5.4502620000000004</v>
      </c>
      <c r="E6395">
        <v>0.57481169999999904</v>
      </c>
      <c r="F6395" t="s">
        <v>41</v>
      </c>
      <c r="G6395">
        <v>-183.65770000000001</v>
      </c>
      <c r="H6395">
        <v>0.95751129999999995</v>
      </c>
      <c r="I6395">
        <v>126.05249999999999</v>
      </c>
      <c r="J6395">
        <v>-184.08949999999999</v>
      </c>
      <c r="K6395">
        <v>1.1004560000000001</v>
      </c>
      <c r="L6395">
        <v>125.6302</v>
      </c>
      <c r="M6395">
        <v>0.42421930000000002</v>
      </c>
      <c r="N6395">
        <v>-2.1733990000000002E-2</v>
      </c>
      <c r="O6395">
        <v>0.90529870000000001</v>
      </c>
      <c r="P6395">
        <v>0.52453799999999995</v>
      </c>
      <c r="Q6395">
        <v>0.36908950000000001</v>
      </c>
      <c r="R6395">
        <v>0.76722409999999996</v>
      </c>
      <c r="S6395">
        <v>2.3277890000000001</v>
      </c>
      <c r="T6395">
        <v>-0.64861289999999905</v>
      </c>
      <c r="U6395">
        <v>2.6370390000000001</v>
      </c>
      <c r="V6395">
        <v>0.15991830000000001</v>
      </c>
      <c r="W6395">
        <v>0.38474419999999998</v>
      </c>
      <c r="X6395">
        <v>0.90906439999999999</v>
      </c>
      <c r="Y6395">
        <v>0.27163589999999999</v>
      </c>
      <c r="Z6395">
        <v>-0.15705450000000001</v>
      </c>
      <c r="AA6395">
        <v>0.94949870000000003</v>
      </c>
      <c r="AB6395">
        <v>31</v>
      </c>
      <c r="AC6395">
        <v>0.43179999999998098</v>
      </c>
      <c r="AD6395">
        <v>-0.14294469999999901</v>
      </c>
      <c r="AE6395">
        <v>0.42229999999999202</v>
      </c>
      <c r="AF6395">
        <v>0.20057521052975599</v>
      </c>
      <c r="AG6395">
        <v>-0.14294469999999901</v>
      </c>
      <c r="AH6395">
        <v>0.535617161200028</v>
      </c>
      <c r="AI6395">
        <v>104.032427339094</v>
      </c>
      <c r="AJ6395">
        <v>69.470333518047298</v>
      </c>
      <c r="AK6395">
        <v>0.58953315912603499</v>
      </c>
      <c r="AL6395">
        <v>67.372139736235795</v>
      </c>
      <c r="AM6395">
        <v>80.022880164672799</v>
      </c>
      <c r="AN6395">
        <v>1.00000002272794</v>
      </c>
    </row>
    <row r="6396" spans="1:40" x14ac:dyDescent="0.25">
      <c r="A6396" t="str">
        <f>"20190304164535020"</f>
        <v>20190304164535020</v>
      </c>
      <c r="B6396" t="str">
        <f>"1551689135016675"</f>
        <v>1551689135016675</v>
      </c>
      <c r="C6396" t="s">
        <v>40</v>
      </c>
      <c r="D6396">
        <v>5.4665109999999997</v>
      </c>
      <c r="E6396">
        <v>0.57487639999999995</v>
      </c>
      <c r="F6396" t="s">
        <v>48</v>
      </c>
      <c r="G6396">
        <v>-180.11779999999999</v>
      </c>
      <c r="H6396" s="1">
        <v>-5.5718870000000002E-6</v>
      </c>
      <c r="I6396">
        <v>130.0566</v>
      </c>
      <c r="J6396">
        <v>-183.9836</v>
      </c>
      <c r="K6396">
        <v>1.10042</v>
      </c>
      <c r="L6396">
        <v>125.8334</v>
      </c>
      <c r="M6396">
        <v>0.43321569999999998</v>
      </c>
      <c r="N6396">
        <v>-2.1703279999999998E-2</v>
      </c>
      <c r="O6396">
        <v>0.90102890000000002</v>
      </c>
      <c r="P6396">
        <v>0.53197280000000002</v>
      </c>
      <c r="Q6396">
        <v>0.36813800000000002</v>
      </c>
      <c r="R6396">
        <v>0.762548</v>
      </c>
      <c r="S6396">
        <v>2.348633</v>
      </c>
      <c r="T6396">
        <v>-0.65075869999999902</v>
      </c>
      <c r="U6396">
        <v>2.6175540000000002</v>
      </c>
      <c r="V6396">
        <v>0.1595029</v>
      </c>
      <c r="W6396">
        <v>0.38377529999999999</v>
      </c>
      <c r="X6396">
        <v>0.90954679999999999</v>
      </c>
      <c r="Y6396">
        <v>0.26972560000000001</v>
      </c>
      <c r="Z6396">
        <v>-0.15716720000000001</v>
      </c>
      <c r="AA6396">
        <v>0.95002450000000005</v>
      </c>
      <c r="AB6396">
        <v>31</v>
      </c>
      <c r="AC6396">
        <v>3.8658000000000001</v>
      </c>
      <c r="AD6396">
        <v>-1.100425571887</v>
      </c>
      <c r="AE6396">
        <v>4.2232000000000003</v>
      </c>
      <c r="AF6396">
        <v>1.5951050196252801</v>
      </c>
      <c r="AG6396">
        <v>-1.100425571887</v>
      </c>
      <c r="AH6396">
        <v>5.2859699747789097</v>
      </c>
      <c r="AI6396">
        <v>101.27147162268101</v>
      </c>
      <c r="AJ6396">
        <v>73.2081798536327</v>
      </c>
      <c r="AK6396">
        <v>5.6299889020459597</v>
      </c>
      <c r="AL6396">
        <v>67.432270032813605</v>
      </c>
      <c r="AM6396">
        <v>80.053450444083396</v>
      </c>
      <c r="AN6396">
        <v>1.0000000186943601</v>
      </c>
    </row>
    <row r="6397" spans="1:40" x14ac:dyDescent="0.25">
      <c r="A6397" t="str">
        <f>"20190304164535035"</f>
        <v>20190304164535035</v>
      </c>
      <c r="B6397" t="str">
        <f>"1551689135026435"</f>
        <v>1551689135026435</v>
      </c>
      <c r="C6397" t="s">
        <v>40</v>
      </c>
      <c r="D6397">
        <v>5.4319980000000001</v>
      </c>
      <c r="E6397">
        <v>0.57491400000000004</v>
      </c>
      <c r="F6397" t="s">
        <v>48</v>
      </c>
      <c r="G6397">
        <v>-179.97389999999999</v>
      </c>
      <c r="H6397" s="1">
        <v>-5.6376479999999997E-6</v>
      </c>
      <c r="I6397">
        <v>130.20849999999999</v>
      </c>
      <c r="J6397">
        <v>-183.89169999999999</v>
      </c>
      <c r="K6397">
        <v>1.1004020000000001</v>
      </c>
      <c r="L6397">
        <v>126.0064</v>
      </c>
      <c r="M6397">
        <v>0.44091180000000002</v>
      </c>
      <c r="N6397">
        <v>-2.16761E-2</v>
      </c>
      <c r="O6397">
        <v>0.89728869999999905</v>
      </c>
      <c r="P6397">
        <v>0.53846039999999995</v>
      </c>
      <c r="Q6397">
        <v>0.36812040000000001</v>
      </c>
      <c r="R6397">
        <v>0.75798929999999998</v>
      </c>
      <c r="S6397">
        <v>2.3753359999999999</v>
      </c>
      <c r="T6397">
        <v>-0.65188169999999901</v>
      </c>
      <c r="U6397">
        <v>2.5917819999999998</v>
      </c>
      <c r="V6397">
        <v>0.1594875</v>
      </c>
      <c r="W6397">
        <v>0.38372859999999998</v>
      </c>
      <c r="X6397">
        <v>0.90956919999999997</v>
      </c>
      <c r="Y6397">
        <v>0.27148280000000002</v>
      </c>
      <c r="Z6397">
        <v>-0.157248</v>
      </c>
      <c r="AA6397">
        <v>0.94951050000000004</v>
      </c>
      <c r="AB6397">
        <v>31</v>
      </c>
      <c r="AC6397">
        <v>3.9178000000000002</v>
      </c>
      <c r="AD6397">
        <v>-1.1004076376479901</v>
      </c>
      <c r="AE6397">
        <v>4.2020999999999802</v>
      </c>
      <c r="AF6397">
        <v>1.6041814055939201</v>
      </c>
      <c r="AG6397">
        <v>-1.1004076376479901</v>
      </c>
      <c r="AH6397">
        <v>5.3045873248604396</v>
      </c>
      <c r="AI6397">
        <v>101.230766105116</v>
      </c>
      <c r="AJ6397">
        <v>73.173949120371901</v>
      </c>
      <c r="AK6397">
        <v>5.6500390828840601</v>
      </c>
      <c r="AL6397">
        <v>67.435167514315793</v>
      </c>
      <c r="AM6397">
        <v>80.054631647945101</v>
      </c>
      <c r="AN6397">
        <v>1.0000000153514199</v>
      </c>
    </row>
    <row r="6398" spans="1:40" x14ac:dyDescent="0.25">
      <c r="A6398" t="str">
        <f>"20190304164535045"</f>
        <v>20190304164535045</v>
      </c>
      <c r="B6398" t="str">
        <f>"1551689135036195"</f>
        <v>1551689135036195</v>
      </c>
      <c r="C6398" t="s">
        <v>40</v>
      </c>
      <c r="D6398">
        <v>5.434075</v>
      </c>
      <c r="E6398">
        <v>0.57487909999999998</v>
      </c>
      <c r="F6398" t="s">
        <v>48</v>
      </c>
      <c r="G6398">
        <v>-179.83629999999999</v>
      </c>
      <c r="H6398" s="1">
        <v>-5.6141820000000003E-6</v>
      </c>
      <c r="I6398">
        <v>130.3535</v>
      </c>
      <c r="J6398">
        <v>-183.8091</v>
      </c>
      <c r="K6398">
        <v>1.1004</v>
      </c>
      <c r="L6398">
        <v>126.1575</v>
      </c>
      <c r="M6398">
        <v>0.447685</v>
      </c>
      <c r="N6398">
        <v>-2.1651879999999998E-2</v>
      </c>
      <c r="O6398">
        <v>0.89392909999999903</v>
      </c>
      <c r="P6398">
        <v>0.54386630000000002</v>
      </c>
      <c r="Q6398">
        <v>0.36801479999999998</v>
      </c>
      <c r="R6398">
        <v>0.75417149999999999</v>
      </c>
      <c r="S6398">
        <v>2.3979189999999999</v>
      </c>
      <c r="T6398">
        <v>-0.65066359999999901</v>
      </c>
      <c r="U6398">
        <v>2.5704189999999998</v>
      </c>
      <c r="V6398">
        <v>0.1590819</v>
      </c>
      <c r="W6398">
        <v>0.38361459999999997</v>
      </c>
      <c r="X6398">
        <v>0.90968830000000001</v>
      </c>
      <c r="Y6398">
        <v>0.27265709999999999</v>
      </c>
      <c r="Z6398">
        <v>-0.15668290000000001</v>
      </c>
      <c r="AA6398">
        <v>0.94926739999999998</v>
      </c>
      <c r="AB6398">
        <v>30</v>
      </c>
      <c r="AC6398">
        <v>3.9727999999999999</v>
      </c>
      <c r="AD6398">
        <v>-1.100405614182</v>
      </c>
      <c r="AE6398">
        <v>4.19599999999999</v>
      </c>
      <c r="AF6398">
        <v>1.6147478156300601</v>
      </c>
      <c r="AG6398">
        <v>-1.100405614182</v>
      </c>
      <c r="AH6398">
        <v>5.3372284980864997</v>
      </c>
      <c r="AI6398">
        <v>101.16339894859399</v>
      </c>
      <c r="AJ6398">
        <v>73.167111034456298</v>
      </c>
      <c r="AK6398">
        <v>5.6836881568741999</v>
      </c>
      <c r="AL6398">
        <v>67.442240351962596</v>
      </c>
      <c r="AM6398">
        <v>80.080694106374906</v>
      </c>
      <c r="AN6398">
        <v>1.00000000769882</v>
      </c>
    </row>
    <row r="6399" spans="1:40" x14ac:dyDescent="0.25">
      <c r="A6399" t="str">
        <f>"20190304164535058"</f>
        <v>20190304164535058</v>
      </c>
      <c r="B6399" t="str">
        <f>"1551689135046932"</f>
        <v>1551689135046932</v>
      </c>
      <c r="C6399" t="s">
        <v>40</v>
      </c>
      <c r="D6399">
        <v>5.4186019999999999</v>
      </c>
      <c r="E6399">
        <v>0.57486979999999999</v>
      </c>
      <c r="F6399" t="s">
        <v>48</v>
      </c>
      <c r="G6399">
        <v>-179.72319999999999</v>
      </c>
      <c r="H6399" s="1">
        <v>-5.5861879999999996E-6</v>
      </c>
      <c r="I6399">
        <v>130.47489999999999</v>
      </c>
      <c r="J6399">
        <v>-183.72829999999999</v>
      </c>
      <c r="K6399">
        <v>1.1004050000000001</v>
      </c>
      <c r="L6399">
        <v>126.3034</v>
      </c>
      <c r="M6399">
        <v>0.45423249999999998</v>
      </c>
      <c r="N6399">
        <v>-2.1628339999999999E-2</v>
      </c>
      <c r="O6399">
        <v>0.89062059999999998</v>
      </c>
      <c r="P6399">
        <v>0.54929050000000001</v>
      </c>
      <c r="Q6399">
        <v>0.36807299999999998</v>
      </c>
      <c r="R6399">
        <v>0.75020129999999996</v>
      </c>
      <c r="S6399">
        <v>2.4161380000000001</v>
      </c>
      <c r="T6399">
        <v>-0.65071020000000002</v>
      </c>
      <c r="U6399">
        <v>2.5530240000000002</v>
      </c>
      <c r="V6399">
        <v>0.15897549999999999</v>
      </c>
      <c r="W6399">
        <v>0.38365549999999998</v>
      </c>
      <c r="X6399">
        <v>0.90968970000000005</v>
      </c>
      <c r="Y6399">
        <v>0.27242650000000002</v>
      </c>
      <c r="Z6399">
        <v>-0.15637419999999999</v>
      </c>
      <c r="AA6399">
        <v>0.94938449999999996</v>
      </c>
      <c r="AB6399">
        <v>30</v>
      </c>
      <c r="AC6399">
        <v>4.0050999999999899</v>
      </c>
      <c r="AD6399">
        <v>-1.10041058618799</v>
      </c>
      <c r="AE6399">
        <v>4.1714999999999902</v>
      </c>
      <c r="AF6399">
        <v>1.6141389008412299</v>
      </c>
      <c r="AG6399">
        <v>-1.10041058618799</v>
      </c>
      <c r="AH6399">
        <v>5.3423260981803704</v>
      </c>
      <c r="AI6399">
        <v>101.154276186178</v>
      </c>
      <c r="AJ6399">
        <v>73.188249692596997</v>
      </c>
      <c r="AK6399">
        <v>5.6883034367641399</v>
      </c>
      <c r="AL6399">
        <v>67.439703830166707</v>
      </c>
      <c r="AM6399">
        <v>80.087211823537999</v>
      </c>
      <c r="AN6399">
        <v>1.0000000512832901</v>
      </c>
    </row>
    <row r="6400" spans="1:40" x14ac:dyDescent="0.25">
      <c r="A6400" t="str">
        <f>"20190304164535075"</f>
        <v>20190304164535075</v>
      </c>
      <c r="B6400" t="str">
        <f>"1551689135066451"</f>
        <v>1551689135066451</v>
      </c>
      <c r="C6400" t="s">
        <v>40</v>
      </c>
      <c r="D6400">
        <v>5.3426900000000002</v>
      </c>
      <c r="E6400">
        <v>0.57481409999999999</v>
      </c>
      <c r="F6400" t="s">
        <v>48</v>
      </c>
      <c r="G6400">
        <v>-179.60650000000001</v>
      </c>
      <c r="H6400" s="1">
        <v>-5.5558899999999998E-6</v>
      </c>
      <c r="I6400">
        <v>130.59610000000001</v>
      </c>
      <c r="J6400">
        <v>-183.6181</v>
      </c>
      <c r="K6400">
        <v>1.100422</v>
      </c>
      <c r="L6400">
        <v>126.49890000000001</v>
      </c>
      <c r="M6400">
        <v>0.46303119999999998</v>
      </c>
      <c r="N6400">
        <v>-2.15967E-2</v>
      </c>
      <c r="O6400">
        <v>0.88607880000000006</v>
      </c>
      <c r="P6400">
        <v>0.55630619999999997</v>
      </c>
      <c r="Q6400">
        <v>0.36897439999999998</v>
      </c>
      <c r="R6400">
        <v>0.74456800000000001</v>
      </c>
      <c r="S6400">
        <v>2.4344480000000002</v>
      </c>
      <c r="T6400">
        <v>-0.64991880000000002</v>
      </c>
      <c r="U6400">
        <v>2.5353089999999998</v>
      </c>
      <c r="V6400">
        <v>0.15871450000000001</v>
      </c>
      <c r="W6400">
        <v>0.38453330000000002</v>
      </c>
      <c r="X6400">
        <v>0.90936450000000002</v>
      </c>
      <c r="Y6400">
        <v>0.2698583</v>
      </c>
      <c r="Z6400">
        <v>-0.155603399999999</v>
      </c>
      <c r="AA6400">
        <v>0.95024419999999998</v>
      </c>
      <c r="AB6400">
        <v>30</v>
      </c>
      <c r="AC6400">
        <v>4.0115999999999801</v>
      </c>
      <c r="AD6400">
        <v>-1.1004275558900001</v>
      </c>
      <c r="AE6400">
        <v>4.0972</v>
      </c>
      <c r="AF6400">
        <v>1.59896067914744</v>
      </c>
      <c r="AG6400">
        <v>-1.1004275558900001</v>
      </c>
      <c r="AH6400">
        <v>5.2942363780376898</v>
      </c>
      <c r="AI6400">
        <v>101.253561586825</v>
      </c>
      <c r="AJ6400">
        <v>73.194679257349705</v>
      </c>
      <c r="AK6400">
        <v>5.6388433996484899</v>
      </c>
      <c r="AL6400">
        <v>67.385229330563305</v>
      </c>
      <c r="AM6400">
        <v>80.099695007451402</v>
      </c>
      <c r="AN6400">
        <v>0.99999997258969398</v>
      </c>
    </row>
    <row r="6401" spans="1:40" x14ac:dyDescent="0.25">
      <c r="A6401" t="str">
        <f>"20190304164535087"</f>
        <v>20190304164535087</v>
      </c>
      <c r="B6401" t="str">
        <f>"1551689135076211"</f>
        <v>1551689135076211</v>
      </c>
      <c r="C6401" t="s">
        <v>40</v>
      </c>
      <c r="D6401">
        <v>5.4212769999999999</v>
      </c>
      <c r="E6401">
        <v>0.57470350000000003</v>
      </c>
      <c r="F6401" t="s">
        <v>48</v>
      </c>
      <c r="G6401">
        <v>-179.423</v>
      </c>
      <c r="H6401" s="1">
        <v>-5.5063939999999997E-6</v>
      </c>
      <c r="I6401">
        <v>130.78110000000001</v>
      </c>
      <c r="J6401">
        <v>-183.53200000000001</v>
      </c>
      <c r="K6401">
        <v>1.1004389999999999</v>
      </c>
      <c r="L6401">
        <v>126.64749999999999</v>
      </c>
      <c r="M6401">
        <v>0.46975319999999998</v>
      </c>
      <c r="N6401">
        <v>-2.1572810000000001E-2</v>
      </c>
      <c r="O6401">
        <v>0.88253409999999999</v>
      </c>
      <c r="P6401">
        <v>0.56187739999999997</v>
      </c>
      <c r="Q6401">
        <v>0.36940840000000003</v>
      </c>
      <c r="R6401">
        <v>0.74015620000000004</v>
      </c>
      <c r="S6401">
        <v>2.4599150000000001</v>
      </c>
      <c r="T6401">
        <v>-0.64527389999999996</v>
      </c>
      <c r="U6401">
        <v>2.5110320000000002</v>
      </c>
      <c r="V6401">
        <v>0.15872169999999999</v>
      </c>
      <c r="W6401">
        <v>0.38494850000000003</v>
      </c>
      <c r="X6401">
        <v>0.90918759999999998</v>
      </c>
      <c r="Y6401">
        <v>0.27221689999999998</v>
      </c>
      <c r="Z6401">
        <v>-0.15415239999999999</v>
      </c>
      <c r="AA6401">
        <v>0.94980790000000004</v>
      </c>
      <c r="AB6401">
        <v>30</v>
      </c>
      <c r="AC6401">
        <v>4.109</v>
      </c>
      <c r="AD6401">
        <v>-1.100444506394</v>
      </c>
      <c r="AE6401">
        <v>4.1336000000000102</v>
      </c>
      <c r="AF6401">
        <v>1.62695545424941</v>
      </c>
      <c r="AG6401">
        <v>-1.100444506394</v>
      </c>
      <c r="AH6401">
        <v>5.3875044022494203</v>
      </c>
      <c r="AI6401">
        <v>101.063850914217</v>
      </c>
      <c r="AJ6401">
        <v>73.196374607643904</v>
      </c>
      <c r="AK6401">
        <v>5.7343845219885203</v>
      </c>
      <c r="AL6401">
        <v>67.359457093785693</v>
      </c>
      <c r="AM6401">
        <v>80.097366521677202</v>
      </c>
      <c r="AN6401">
        <v>1.00000000884845</v>
      </c>
    </row>
    <row r="6402" spans="1:40" x14ac:dyDescent="0.25">
      <c r="A6402" t="str">
        <f>"20190304164535099"</f>
        <v>20190304164535099</v>
      </c>
      <c r="B6402" t="str">
        <f>"1551689135096707"</f>
        <v>1551689135096707</v>
      </c>
      <c r="C6402" t="s">
        <v>40</v>
      </c>
      <c r="D6402">
        <v>5.413303</v>
      </c>
      <c r="E6402">
        <v>0.57461770000000001</v>
      </c>
      <c r="F6402" t="s">
        <v>48</v>
      </c>
      <c r="G6402">
        <v>-179.29849999999999</v>
      </c>
      <c r="H6402" s="1">
        <v>-5.4722489999999998E-6</v>
      </c>
      <c r="I6402">
        <v>130.9075</v>
      </c>
      <c r="J6402">
        <v>-183.45160000000001</v>
      </c>
      <c r="K6402">
        <v>1.100455</v>
      </c>
      <c r="L6402">
        <v>126.78440000000001</v>
      </c>
      <c r="M6402">
        <v>0.47595150000000003</v>
      </c>
      <c r="N6402">
        <v>-2.1548479999999998E-2</v>
      </c>
      <c r="O6402">
        <v>0.87920759999999898</v>
      </c>
      <c r="P6402">
        <v>0.56687180000000004</v>
      </c>
      <c r="Q6402">
        <v>0.36945440000000002</v>
      </c>
      <c r="R6402">
        <v>0.73631499999999905</v>
      </c>
      <c r="S6402">
        <v>2.4779659999999999</v>
      </c>
      <c r="T6402">
        <v>-0.64411600000000002</v>
      </c>
      <c r="U6402">
        <v>2.4935299999999998</v>
      </c>
      <c r="V6402">
        <v>0.15846830000000001</v>
      </c>
      <c r="W6402">
        <v>0.38498579999999999</v>
      </c>
      <c r="X6402">
        <v>0.90921600000000002</v>
      </c>
      <c r="Y6402">
        <v>0.2723064</v>
      </c>
      <c r="Z6402">
        <v>-0.15351809999999999</v>
      </c>
      <c r="AA6402">
        <v>0.94988499999999998</v>
      </c>
      <c r="AB6402">
        <v>30</v>
      </c>
      <c r="AC6402">
        <v>4.1531000000000198</v>
      </c>
      <c r="AD6402">
        <v>-1.1004604722489999</v>
      </c>
      <c r="AE6402">
        <v>4.1230999999999902</v>
      </c>
      <c r="AF6402">
        <v>1.63173555511824</v>
      </c>
      <c r="AG6402">
        <v>-1.1004604722489999</v>
      </c>
      <c r="AH6402">
        <v>5.4116790313140202</v>
      </c>
      <c r="AI6402">
        <v>101.017179060168</v>
      </c>
      <c r="AJ6402">
        <v>73.220831388622699</v>
      </c>
      <c r="AK6402">
        <v>5.7584584838985702</v>
      </c>
      <c r="AL6402">
        <v>67.357141322900503</v>
      </c>
      <c r="AM6402">
        <v>80.113166633556702</v>
      </c>
      <c r="AN6402">
        <v>1.00000000148126</v>
      </c>
    </row>
    <row r="6403" spans="1:40" x14ac:dyDescent="0.25">
      <c r="A6403" t="str">
        <f>"20190304164535111"</f>
        <v>20190304164535111</v>
      </c>
      <c r="B6403" t="str">
        <f>"1551689135106468"</f>
        <v>1551689135106468</v>
      </c>
      <c r="C6403" t="s">
        <v>40</v>
      </c>
      <c r="D6403">
        <v>5.4229710000000004</v>
      </c>
      <c r="E6403">
        <v>0.57455230000000002</v>
      </c>
      <c r="F6403" t="s">
        <v>48</v>
      </c>
      <c r="G6403">
        <v>-179.18199999999999</v>
      </c>
      <c r="H6403" s="1">
        <v>-5.4361310000000001E-6</v>
      </c>
      <c r="I6403">
        <v>131.02170000000001</v>
      </c>
      <c r="J6403">
        <v>-183.36609999999999</v>
      </c>
      <c r="K6403">
        <v>1.100468</v>
      </c>
      <c r="L6403">
        <v>126.9278</v>
      </c>
      <c r="M6403">
        <v>0.48245290000000002</v>
      </c>
      <c r="N6403">
        <v>-2.1520060000000001E-2</v>
      </c>
      <c r="O6403">
        <v>0.87565759999999904</v>
      </c>
      <c r="P6403">
        <v>0.57205799999999996</v>
      </c>
      <c r="Q6403">
        <v>0.36936609999999998</v>
      </c>
      <c r="R6403">
        <v>0.73233760000000003</v>
      </c>
      <c r="S6403">
        <v>2.4950260000000002</v>
      </c>
      <c r="T6403">
        <v>-0.6430768</v>
      </c>
      <c r="U6403">
        <v>2.4761959999999998</v>
      </c>
      <c r="V6403">
        <v>0.15810679999999999</v>
      </c>
      <c r="W6403">
        <v>0.38489079999999998</v>
      </c>
      <c r="X6403">
        <v>0.90931919999999999</v>
      </c>
      <c r="Y6403">
        <v>0.27181529999999998</v>
      </c>
      <c r="Z6403">
        <v>-0.152881399999999</v>
      </c>
      <c r="AA6403">
        <v>0.95012830000000004</v>
      </c>
      <c r="AB6403">
        <v>30</v>
      </c>
      <c r="AC6403">
        <v>4.1840999999999697</v>
      </c>
      <c r="AD6403">
        <v>-1.100473436131</v>
      </c>
      <c r="AE6403">
        <v>4.0938999999999997</v>
      </c>
      <c r="AF6403">
        <v>1.63145769150206</v>
      </c>
      <c r="AG6403">
        <v>-1.100473436131</v>
      </c>
      <c r="AH6403">
        <v>5.4134627325708102</v>
      </c>
      <c r="AI6403">
        <v>101.01421170101101</v>
      </c>
      <c r="AJ6403">
        <v>73.228745430030699</v>
      </c>
      <c r="AK6403">
        <v>5.7600585708588303</v>
      </c>
      <c r="AL6403">
        <v>67.363039980529706</v>
      </c>
      <c r="AM6403">
        <v>80.136374611742994</v>
      </c>
      <c r="AN6403">
        <v>1.0000000478097499</v>
      </c>
    </row>
    <row r="6404" spans="1:40" x14ac:dyDescent="0.25">
      <c r="A6404" t="str">
        <f>"20190304164535123"</f>
        <v>20190304164535123</v>
      </c>
      <c r="B6404" t="str">
        <f>"1551689135116229"</f>
        <v>1551689135116229</v>
      </c>
      <c r="C6404" t="s">
        <v>40</v>
      </c>
      <c r="D6404">
        <v>5.402469</v>
      </c>
      <c r="E6404">
        <v>0.57450880000000004</v>
      </c>
      <c r="F6404" t="s">
        <v>41</v>
      </c>
      <c r="G6404">
        <v>-182.8175</v>
      </c>
      <c r="H6404">
        <v>0.95993539999999999</v>
      </c>
      <c r="I6404">
        <v>127.4645</v>
      </c>
      <c r="J6404">
        <v>-183.28710000000001</v>
      </c>
      <c r="K6404">
        <v>1.100487</v>
      </c>
      <c r="L6404">
        <v>127.0575</v>
      </c>
      <c r="M6404">
        <v>0.48835260000000003</v>
      </c>
      <c r="N6404">
        <v>-2.1492210000000001E-2</v>
      </c>
      <c r="O6404">
        <v>0.87238169999999904</v>
      </c>
      <c r="P6404">
        <v>0.57670259999999995</v>
      </c>
      <c r="Q6404">
        <v>0.3693419</v>
      </c>
      <c r="R6404">
        <v>0.72869799999999996</v>
      </c>
      <c r="S6404">
        <v>2.5124050000000002</v>
      </c>
      <c r="T6404">
        <v>-0.64325080000000001</v>
      </c>
      <c r="U6404">
        <v>2.4583590000000002</v>
      </c>
      <c r="V6404">
        <v>0.15772139999999901</v>
      </c>
      <c r="W6404">
        <v>0.38486039999999999</v>
      </c>
      <c r="X6404">
        <v>0.90939899999999996</v>
      </c>
      <c r="Y6404">
        <v>0.272070599999999</v>
      </c>
      <c r="Z6404">
        <v>-0.15262010000000001</v>
      </c>
      <c r="AA6404">
        <v>0.95009719999999998</v>
      </c>
      <c r="AB6404">
        <v>30</v>
      </c>
      <c r="AC6404">
        <v>0.46960000000001401</v>
      </c>
      <c r="AD6404">
        <v>-0.1405516</v>
      </c>
      <c r="AE6404">
        <v>0.40699999999999598</v>
      </c>
      <c r="AF6404">
        <v>0.20069317301876199</v>
      </c>
      <c r="AG6404">
        <v>-0.1405516</v>
      </c>
      <c r="AH6404">
        <v>0.55607846047568998</v>
      </c>
      <c r="AI6404">
        <v>103.373511236829</v>
      </c>
      <c r="AJ6404">
        <v>70.155080505762996</v>
      </c>
      <c r="AK6404">
        <v>0.60766418041868497</v>
      </c>
      <c r="AL6404">
        <v>67.364927299518797</v>
      </c>
      <c r="AM6404">
        <v>80.160794152784206</v>
      </c>
      <c r="AN6404">
        <v>1.0000000543535501</v>
      </c>
    </row>
    <row r="6405" spans="1:40" x14ac:dyDescent="0.25">
      <c r="A6405" t="str">
        <f>"20190304164535133"</f>
        <v>20190304164535133</v>
      </c>
      <c r="B6405" t="str">
        <f>"1551689135126964"</f>
        <v>1551689135126964</v>
      </c>
      <c r="C6405" t="s">
        <v>40</v>
      </c>
      <c r="D6405">
        <v>5.4213060000000004</v>
      </c>
      <c r="E6405">
        <v>0.57443120000000003</v>
      </c>
      <c r="F6405" t="s">
        <v>48</v>
      </c>
      <c r="G6405">
        <v>-178.95830000000001</v>
      </c>
      <c r="H6405" s="1">
        <v>-5.3655060000000003E-6</v>
      </c>
      <c r="I6405">
        <v>131.23769999999999</v>
      </c>
      <c r="J6405">
        <v>-183.2063</v>
      </c>
      <c r="K6405">
        <v>1.1005039999999999</v>
      </c>
      <c r="L6405">
        <v>127.1892</v>
      </c>
      <c r="M6405">
        <v>0.49433379999999999</v>
      </c>
      <c r="N6405">
        <v>-2.146356E-2</v>
      </c>
      <c r="O6405">
        <v>0.86900719999999998</v>
      </c>
      <c r="P6405">
        <v>0.58133159999999995</v>
      </c>
      <c r="Q6405">
        <v>0.36961480000000002</v>
      </c>
      <c r="R6405">
        <v>0.72487139999999906</v>
      </c>
      <c r="S6405">
        <v>2.5284420000000001</v>
      </c>
      <c r="T6405">
        <v>-0.64279640000000005</v>
      </c>
      <c r="U6405">
        <v>2.4416660000000001</v>
      </c>
      <c r="V6405">
        <v>0.15731800000000001</v>
      </c>
      <c r="W6405">
        <v>0.38512449999999998</v>
      </c>
      <c r="X6405">
        <v>0.90935699999999997</v>
      </c>
      <c r="Y6405">
        <v>0.27176299999999998</v>
      </c>
      <c r="Z6405">
        <v>-0.1521545</v>
      </c>
      <c r="AA6405">
        <v>0.95025990000000005</v>
      </c>
      <c r="AB6405">
        <v>30</v>
      </c>
      <c r="AC6405">
        <v>4.2479999999999896</v>
      </c>
      <c r="AD6405">
        <v>-1.1005093655060001</v>
      </c>
      <c r="AE6405">
        <v>4.04849999999999</v>
      </c>
      <c r="AF6405">
        <v>1.6331820041407299</v>
      </c>
      <c r="AG6405">
        <v>-1.1005093655060001</v>
      </c>
      <c r="AH6405">
        <v>5.4284784273878</v>
      </c>
      <c r="AI6405">
        <v>100.986364124095</v>
      </c>
      <c r="AJ6405">
        <v>73.255851137003901</v>
      </c>
      <c r="AK6405">
        <v>5.7746672942110102</v>
      </c>
      <c r="AL6405">
        <v>67.348530254156103</v>
      </c>
      <c r="AM6405">
        <v>80.185025153572596</v>
      </c>
      <c r="AN6405">
        <v>0.99999999353662405</v>
      </c>
    </row>
    <row r="6406" spans="1:40" x14ac:dyDescent="0.25">
      <c r="A6406" t="str">
        <f>"20190304164535145"</f>
        <v>20190304164535145</v>
      </c>
      <c r="B6406" t="str">
        <f>"1551689135136724"</f>
        <v>1551689135136724</v>
      </c>
      <c r="C6406" t="s">
        <v>40</v>
      </c>
      <c r="D6406">
        <v>5.4130699999999896</v>
      </c>
      <c r="E6406">
        <v>0.57436709999999902</v>
      </c>
      <c r="F6406" t="s">
        <v>48</v>
      </c>
      <c r="G6406">
        <v>-178.8398</v>
      </c>
      <c r="H6406" s="1">
        <v>-5.3269139999999997E-6</v>
      </c>
      <c r="I6406">
        <v>131.34899999999999</v>
      </c>
      <c r="J6406">
        <v>-183.12299999999999</v>
      </c>
      <c r="K6406">
        <v>1.100522</v>
      </c>
      <c r="L6406">
        <v>127.3215</v>
      </c>
      <c r="M6406">
        <v>0.50037410000000004</v>
      </c>
      <c r="N6406">
        <v>-2.1434700000000001E-2</v>
      </c>
      <c r="O6406">
        <v>0.86554390000000003</v>
      </c>
      <c r="P6406">
        <v>0.58606269999999905</v>
      </c>
      <c r="Q6406">
        <v>0.36998120000000001</v>
      </c>
      <c r="R6406">
        <v>0.7208637</v>
      </c>
      <c r="S6406">
        <v>2.545105</v>
      </c>
      <c r="T6406">
        <v>-0.64144959999999995</v>
      </c>
      <c r="U6406">
        <v>2.4246059999999998</v>
      </c>
      <c r="V6406">
        <v>0.15701389999999901</v>
      </c>
      <c r="W6406">
        <v>0.38547910000000002</v>
      </c>
      <c r="X6406">
        <v>0.90925929999999999</v>
      </c>
      <c r="Y6406">
        <v>0.27158450000000001</v>
      </c>
      <c r="Z6406">
        <v>-0.15143860000000001</v>
      </c>
      <c r="AA6406">
        <v>0.95042530000000003</v>
      </c>
      <c r="AB6406">
        <v>30</v>
      </c>
      <c r="AC6406">
        <v>4.2831999999999901</v>
      </c>
      <c r="AD6406">
        <v>-1.1005273269139999</v>
      </c>
      <c r="AE6406">
        <v>4.0274999999999803</v>
      </c>
      <c r="AF6406">
        <v>1.6351370871326201</v>
      </c>
      <c r="AG6406">
        <v>-1.1005273269139999</v>
      </c>
      <c r="AH6406">
        <v>5.43986933338903</v>
      </c>
      <c r="AI6406">
        <v>100.964890048413</v>
      </c>
      <c r="AJ6406">
        <v>73.270068542903601</v>
      </c>
      <c r="AK6406">
        <v>5.7859322546455303</v>
      </c>
      <c r="AL6406">
        <v>67.326513118255605</v>
      </c>
      <c r="AM6406">
        <v>80.202597595964306</v>
      </c>
      <c r="AN6406">
        <v>0.99999998798325396</v>
      </c>
    </row>
    <row r="6407" spans="1:40" x14ac:dyDescent="0.25">
      <c r="A6407" t="str">
        <f>"20190304164535157"</f>
        <v>20190304164535157</v>
      </c>
      <c r="B6407" t="str">
        <f>"1551689135146483"</f>
        <v>1551689135146483</v>
      </c>
      <c r="C6407" t="s">
        <v>40</v>
      </c>
      <c r="D6407">
        <v>5.3845070000000002</v>
      </c>
      <c r="E6407">
        <v>0.57433559999999995</v>
      </c>
      <c r="F6407" t="s">
        <v>48</v>
      </c>
      <c r="G6407">
        <v>-178.7149</v>
      </c>
      <c r="H6407" s="1">
        <v>-5.2852319999999998E-6</v>
      </c>
      <c r="I6407">
        <v>131.46369999999999</v>
      </c>
      <c r="J6407">
        <v>-183.04169999999999</v>
      </c>
      <c r="K6407">
        <v>1.10054599999999</v>
      </c>
      <c r="L6407">
        <v>127.44970000000001</v>
      </c>
      <c r="M6407">
        <v>0.50621870000000002</v>
      </c>
      <c r="N6407">
        <v>-2.1405810000000001E-2</v>
      </c>
      <c r="O6407">
        <v>0.8621394</v>
      </c>
      <c r="P6407">
        <v>0.59032910000000005</v>
      </c>
      <c r="Q6407">
        <v>0.37077090000000001</v>
      </c>
      <c r="R6407">
        <v>0.716966199999999</v>
      </c>
      <c r="S6407">
        <v>2.5617369999999999</v>
      </c>
      <c r="T6407">
        <v>-0.63956059999999904</v>
      </c>
      <c r="U6407">
        <v>2.4072110000000002</v>
      </c>
      <c r="V6407">
        <v>0.15645590000000001</v>
      </c>
      <c r="W6407">
        <v>0.3862604</v>
      </c>
      <c r="X6407">
        <v>0.9090239</v>
      </c>
      <c r="Y6407">
        <v>0.27167279999999999</v>
      </c>
      <c r="Z6407">
        <v>-0.15060809999999999</v>
      </c>
      <c r="AA6407">
        <v>0.95053200000000004</v>
      </c>
      <c r="AB6407">
        <v>30</v>
      </c>
      <c r="AC6407">
        <v>4.3267999999999898</v>
      </c>
      <c r="AD6407">
        <v>-1.1005512852320001</v>
      </c>
      <c r="AE6407">
        <v>4.0139999999999798</v>
      </c>
      <c r="AF6407">
        <v>1.6416493990918399</v>
      </c>
      <c r="AG6407">
        <v>-1.1005512852320001</v>
      </c>
      <c r="AH6407">
        <v>5.4622970778630702</v>
      </c>
      <c r="AI6407">
        <v>100.921309058142</v>
      </c>
      <c r="AJ6407">
        <v>73.272272605782405</v>
      </c>
      <c r="AK6407">
        <v>5.8088652289234401</v>
      </c>
      <c r="AL6407">
        <v>67.277990204000602</v>
      </c>
      <c r="AM6407">
        <v>80.234264992542293</v>
      </c>
      <c r="AN6407">
        <v>0.99999999801208905</v>
      </c>
    </row>
    <row r="6408" spans="1:40" x14ac:dyDescent="0.25">
      <c r="A6408" t="str">
        <f>"20190304164535167"</f>
        <v>20190304164535167</v>
      </c>
      <c r="B6408" t="str">
        <f>"1551689135156244"</f>
        <v>1551689135156244</v>
      </c>
      <c r="C6408" t="s">
        <v>40</v>
      </c>
      <c r="D6408">
        <v>5.3810370000000001</v>
      </c>
      <c r="E6408">
        <v>0.57428259999999998</v>
      </c>
      <c r="F6408" t="s">
        <v>48</v>
      </c>
      <c r="G6408">
        <v>-178.5806</v>
      </c>
      <c r="H6408" s="1">
        <v>-5.2405219999999901E-6</v>
      </c>
      <c r="I6408">
        <v>131.5874</v>
      </c>
      <c r="J6408">
        <v>-182.95660000000001</v>
      </c>
      <c r="K6408">
        <v>1.10057</v>
      </c>
      <c r="L6408">
        <v>127.58110000000001</v>
      </c>
      <c r="M6408">
        <v>0.51223719999999995</v>
      </c>
      <c r="N6408">
        <v>-2.1372490000000001E-2</v>
      </c>
      <c r="O6408">
        <v>0.85857809999999901</v>
      </c>
      <c r="P6408">
        <v>0.59524390000000005</v>
      </c>
      <c r="Q6408">
        <v>0.371645</v>
      </c>
      <c r="R6408">
        <v>0.71243579999999995</v>
      </c>
      <c r="S6408">
        <v>2.5776370000000002</v>
      </c>
      <c r="T6408">
        <v>-0.63589790000000002</v>
      </c>
      <c r="U6408">
        <v>2.3907620000000001</v>
      </c>
      <c r="V6408">
        <v>0.1565792</v>
      </c>
      <c r="W6408">
        <v>0.38710169999999999</v>
      </c>
      <c r="X6408">
        <v>0.90864469999999997</v>
      </c>
      <c r="Y6408">
        <v>0.27128360000000001</v>
      </c>
      <c r="Z6408">
        <v>-0.1492734</v>
      </c>
      <c r="AA6408">
        <v>0.95085359999999997</v>
      </c>
      <c r="AB6408">
        <v>30</v>
      </c>
      <c r="AC6408">
        <v>4.3760000000000003</v>
      </c>
      <c r="AD6408">
        <v>-1.100575240522</v>
      </c>
      <c r="AE6408">
        <v>4.0062999999999898</v>
      </c>
      <c r="AF6408">
        <v>1.6486204187272</v>
      </c>
      <c r="AG6408">
        <v>-1.100575240522</v>
      </c>
      <c r="AH6408">
        <v>5.4935305243794401</v>
      </c>
      <c r="AI6408">
        <v>100.862212130171</v>
      </c>
      <c r="AJ6408">
        <v>73.295385478155396</v>
      </c>
      <c r="AK6408">
        <v>5.8402134179653897</v>
      </c>
      <c r="AL6408">
        <v>67.225721061167803</v>
      </c>
      <c r="AM6408">
        <v>80.222717231365706</v>
      </c>
      <c r="AN6408">
        <v>0.99999998142680901</v>
      </c>
    </row>
    <row r="6409" spans="1:40" x14ac:dyDescent="0.25">
      <c r="A6409" t="str">
        <f>"20190304164535180"</f>
        <v>20190304164535180</v>
      </c>
      <c r="B6409" t="str">
        <f>"1551689135176739"</f>
        <v>1551689135176739</v>
      </c>
      <c r="C6409" t="s">
        <v>40</v>
      </c>
      <c r="D6409">
        <v>5.3319369999999999</v>
      </c>
      <c r="E6409">
        <v>0.57417479999999999</v>
      </c>
      <c r="F6409" t="s">
        <v>41</v>
      </c>
      <c r="G6409">
        <v>-182.3535</v>
      </c>
      <c r="H6409">
        <v>0.95361320000000005</v>
      </c>
      <c r="I6409">
        <v>128.13249999999999</v>
      </c>
      <c r="J6409">
        <v>-182.8698</v>
      </c>
      <c r="K6409">
        <v>1.1006009999999999</v>
      </c>
      <c r="L6409">
        <v>127.7133</v>
      </c>
      <c r="M6409">
        <v>0.5182968</v>
      </c>
      <c r="N6409">
        <v>-2.13379E-2</v>
      </c>
      <c r="O6409">
        <v>0.85493459999999999</v>
      </c>
      <c r="P6409">
        <v>0.59982009999999997</v>
      </c>
      <c r="Q6409">
        <v>0.37246659999999998</v>
      </c>
      <c r="R6409">
        <v>0.7081558</v>
      </c>
      <c r="S6409">
        <v>2.5950470000000001</v>
      </c>
      <c r="T6409">
        <v>-0.63229639999999998</v>
      </c>
      <c r="U6409">
        <v>2.3725429999999998</v>
      </c>
      <c r="V6409">
        <v>0.1562241</v>
      </c>
      <c r="W6409">
        <v>0.38790340000000001</v>
      </c>
      <c r="X6409">
        <v>0.9083639</v>
      </c>
      <c r="Y6409">
        <v>0.27144299999999999</v>
      </c>
      <c r="Z6409">
        <v>-0.147975</v>
      </c>
      <c r="AA6409">
        <v>0.9510111</v>
      </c>
      <c r="AB6409">
        <v>30</v>
      </c>
      <c r="AC6409">
        <v>0.51630000000000098</v>
      </c>
      <c r="AD6409">
        <v>-0.1469878</v>
      </c>
      <c r="AE6409">
        <v>0.41919999999998903</v>
      </c>
      <c r="AF6409">
        <v>0.21374274017287601</v>
      </c>
      <c r="AG6409">
        <v>-0.1469878</v>
      </c>
      <c r="AH6409">
        <v>0.59696683030620101</v>
      </c>
      <c r="AI6409">
        <v>103.05140032348</v>
      </c>
      <c r="AJ6409">
        <v>70.300198241662699</v>
      </c>
      <c r="AK6409">
        <v>0.65089228664294596</v>
      </c>
      <c r="AL6409">
        <v>67.175894324033706</v>
      </c>
      <c r="AM6409">
        <v>80.241506490138804</v>
      </c>
      <c r="AN6409">
        <v>0.99999999598778899</v>
      </c>
    </row>
    <row r="6410" spans="1:40" x14ac:dyDescent="0.25">
      <c r="A6410" t="str">
        <f>"20190304164535192"</f>
        <v>20190304164535192</v>
      </c>
      <c r="B6410" t="str">
        <f>"1551689135186499"</f>
        <v>1551689135186499</v>
      </c>
      <c r="C6410" t="s">
        <v>40</v>
      </c>
      <c r="D6410">
        <v>5.3209580000000001</v>
      </c>
      <c r="E6410">
        <v>0.57410099999999997</v>
      </c>
      <c r="F6410" t="s">
        <v>48</v>
      </c>
      <c r="G6410">
        <v>-178.29830000000001</v>
      </c>
      <c r="H6410" s="1">
        <v>-5.1423940000000004E-6</v>
      </c>
      <c r="I6410">
        <v>131.83619999999999</v>
      </c>
      <c r="J6410">
        <v>-182.77670000000001</v>
      </c>
      <c r="K6410">
        <v>1.1006279999999999</v>
      </c>
      <c r="L6410">
        <v>127.8533</v>
      </c>
      <c r="M6410">
        <v>0.52472510000000006</v>
      </c>
      <c r="N6410">
        <v>-2.130019E-2</v>
      </c>
      <c r="O6410">
        <v>0.85100520000000002</v>
      </c>
      <c r="P6410">
        <v>0.60472190000000003</v>
      </c>
      <c r="Q6410">
        <v>0.3739152</v>
      </c>
      <c r="R6410">
        <v>0.7032062</v>
      </c>
      <c r="S6410">
        <v>2.611389</v>
      </c>
      <c r="T6410">
        <v>-0.62869549999999996</v>
      </c>
      <c r="U6410">
        <v>2.3551479999999998</v>
      </c>
      <c r="V6410">
        <v>0.15610009999999999</v>
      </c>
      <c r="W6410">
        <v>0.38931680000000002</v>
      </c>
      <c r="X6410">
        <v>0.90778029999999998</v>
      </c>
      <c r="Y6410">
        <v>0.27080419999999999</v>
      </c>
      <c r="Z6410">
        <v>-0.14660899999999999</v>
      </c>
      <c r="AA6410">
        <v>0.95140469999999999</v>
      </c>
      <c r="AB6410">
        <v>30</v>
      </c>
      <c r="AC6410">
        <v>4.4783999999999899</v>
      </c>
      <c r="AD6410">
        <v>-1.1006331423939999</v>
      </c>
      <c r="AE6410">
        <v>3.9828999999999799</v>
      </c>
      <c r="AF6410">
        <v>1.6654375261104799</v>
      </c>
      <c r="AG6410">
        <v>-1.1006331423939999</v>
      </c>
      <c r="AH6410">
        <v>5.5534102612633802</v>
      </c>
      <c r="AI6410">
        <v>100.748984871502</v>
      </c>
      <c r="AJ6410">
        <v>73.306298380154999</v>
      </c>
      <c r="AK6410">
        <v>5.9013084140229903</v>
      </c>
      <c r="AL6410">
        <v>67.088003225159298</v>
      </c>
      <c r="AM6410">
        <v>80.242955095337095</v>
      </c>
      <c r="AN6410">
        <v>0.999999942525168</v>
      </c>
    </row>
    <row r="6411" spans="1:40" x14ac:dyDescent="0.25">
      <c r="A6411" t="str">
        <f>"20190304164535205"</f>
        <v>20190304164535205</v>
      </c>
      <c r="B6411" t="str">
        <f>"1551689135196260"</f>
        <v>1551689135196260</v>
      </c>
      <c r="C6411" t="s">
        <v>40</v>
      </c>
      <c r="D6411">
        <v>5.3160160000000003</v>
      </c>
      <c r="E6411">
        <v>0.57403990000000005</v>
      </c>
      <c r="F6411" t="s">
        <v>41</v>
      </c>
      <c r="G6411">
        <v>-182.21270000000001</v>
      </c>
      <c r="H6411">
        <v>0.96689930000000002</v>
      </c>
      <c r="I6411">
        <v>128.35390000000001</v>
      </c>
      <c r="J6411">
        <v>-182.6875</v>
      </c>
      <c r="K6411">
        <v>1.100649</v>
      </c>
      <c r="L6411">
        <v>127.9842</v>
      </c>
      <c r="M6411">
        <v>0.53078319999999901</v>
      </c>
      <c r="N6411">
        <v>-2.1260999999999999E-2</v>
      </c>
      <c r="O6411">
        <v>0.84724089999999996</v>
      </c>
      <c r="P6411">
        <v>0.60908799999999996</v>
      </c>
      <c r="Q6411">
        <v>0.3750154</v>
      </c>
      <c r="R6411">
        <v>0.69883859999999998</v>
      </c>
      <c r="S6411">
        <v>2.630096</v>
      </c>
      <c r="T6411">
        <v>-0.62314930000000002</v>
      </c>
      <c r="U6411">
        <v>2.3357700000000001</v>
      </c>
      <c r="V6411">
        <v>0.15559429999999999</v>
      </c>
      <c r="W6411">
        <v>0.39039269999999998</v>
      </c>
      <c r="X6411">
        <v>0.90740509999999996</v>
      </c>
      <c r="Y6411">
        <v>0.27143420000000001</v>
      </c>
      <c r="Z6411">
        <v>-0.14481569999999999</v>
      </c>
      <c r="AA6411">
        <v>0.95149980000000001</v>
      </c>
      <c r="AB6411">
        <v>30</v>
      </c>
      <c r="AC6411">
        <v>0.47479999999998701</v>
      </c>
      <c r="AD6411">
        <v>-0.133749699999999</v>
      </c>
      <c r="AE6411">
        <v>0.36970000000000802</v>
      </c>
      <c r="AF6411">
        <v>0.19638430950851099</v>
      </c>
      <c r="AG6411">
        <v>-0.133749699999999</v>
      </c>
      <c r="AH6411">
        <v>0.53875332888512695</v>
      </c>
      <c r="AI6411">
        <v>103.129224626588</v>
      </c>
      <c r="AJ6411">
        <v>69.972383186550104</v>
      </c>
      <c r="AK6411">
        <v>0.58882164418101202</v>
      </c>
      <c r="AL6411">
        <v>67.021064206195803</v>
      </c>
      <c r="AM6411">
        <v>80.270020625724996</v>
      </c>
      <c r="AN6411">
        <v>1.0000000309558901</v>
      </c>
    </row>
    <row r="6412" spans="1:40" x14ac:dyDescent="0.25">
      <c r="A6412" t="str">
        <f>"20190304164535218"</f>
        <v>20190304164535218</v>
      </c>
      <c r="B6412" t="str">
        <f>"1551689135206997"</f>
        <v>1551689135206997</v>
      </c>
      <c r="C6412" t="s">
        <v>40</v>
      </c>
      <c r="D6412">
        <v>5.3342539999999996</v>
      </c>
      <c r="E6412">
        <v>0.57397929999999997</v>
      </c>
      <c r="F6412" t="s">
        <v>48</v>
      </c>
      <c r="G6412">
        <v>-177.97489999999999</v>
      </c>
      <c r="H6412" s="1">
        <v>-5.0255530000000004E-6</v>
      </c>
      <c r="I6412">
        <v>132.1095</v>
      </c>
      <c r="J6412">
        <v>-182.5873</v>
      </c>
      <c r="K6412">
        <v>1.1006629999999999</v>
      </c>
      <c r="L6412">
        <v>128.12979999999999</v>
      </c>
      <c r="M6412">
        <v>0.53752659999999997</v>
      </c>
      <c r="N6412">
        <v>-2.1216889999999999E-2</v>
      </c>
      <c r="O6412">
        <v>0.84297979999999995</v>
      </c>
      <c r="P6412">
        <v>0.61404029999999998</v>
      </c>
      <c r="Q6412">
        <v>0.37627870000000002</v>
      </c>
      <c r="R6412">
        <v>0.69380750000000002</v>
      </c>
      <c r="S6412">
        <v>2.6472630000000001</v>
      </c>
      <c r="T6412">
        <v>-0.61828369999999999</v>
      </c>
      <c r="U6412">
        <v>2.3173680000000001</v>
      </c>
      <c r="V6412">
        <v>0.1551843</v>
      </c>
      <c r="W6412">
        <v>0.39162239999999998</v>
      </c>
      <c r="X6412">
        <v>0.90694529999999995</v>
      </c>
      <c r="Y6412">
        <v>0.2707637</v>
      </c>
      <c r="Z6412">
        <v>-0.14309089999999999</v>
      </c>
      <c r="AA6412">
        <v>0.95195169999999996</v>
      </c>
      <c r="AB6412">
        <v>29</v>
      </c>
      <c r="AC6412">
        <v>4.6124000000000001</v>
      </c>
      <c r="AD6412">
        <v>-1.1006680255529999</v>
      </c>
      <c r="AE6412">
        <v>3.9796999999999998</v>
      </c>
      <c r="AF6412">
        <v>1.6940593862532201</v>
      </c>
      <c r="AG6412">
        <v>-1.1006680255529999</v>
      </c>
      <c r="AH6412">
        <v>5.6509421331288596</v>
      </c>
      <c r="AI6412">
        <v>100.56832099821899</v>
      </c>
      <c r="AJ6412">
        <v>73.312135121812702</v>
      </c>
      <c r="AK6412">
        <v>6.0012044040007799</v>
      </c>
      <c r="AL6412">
        <v>66.944512992568406</v>
      </c>
      <c r="AM6412">
        <v>80.290344993412603</v>
      </c>
      <c r="AN6412">
        <v>1.0000000241701601</v>
      </c>
    </row>
    <row r="6413" spans="1:40" x14ac:dyDescent="0.25">
      <c r="A6413" t="str">
        <f>"20190304164535232"</f>
        <v>20190304164535232</v>
      </c>
      <c r="B6413" t="str">
        <f>"1551689135226515"</f>
        <v>1551689135226515</v>
      </c>
      <c r="C6413" t="s">
        <v>40</v>
      </c>
      <c r="D6413">
        <v>5.3152670000000004</v>
      </c>
      <c r="E6413">
        <v>0.5738221</v>
      </c>
      <c r="F6413" t="s">
        <v>48</v>
      </c>
      <c r="G6413">
        <v>-177.7979</v>
      </c>
      <c r="H6413" s="1">
        <v>-4.9593909999999999E-6</v>
      </c>
      <c r="I6413">
        <v>132.2534</v>
      </c>
      <c r="J6413">
        <v>-182.47550000000001</v>
      </c>
      <c r="K6413">
        <v>1.1006769999999999</v>
      </c>
      <c r="L6413">
        <v>128.28919999999999</v>
      </c>
      <c r="M6413">
        <v>0.54495389999999999</v>
      </c>
      <c r="N6413">
        <v>-2.1168059999999999E-2</v>
      </c>
      <c r="O6413">
        <v>0.83819869999999996</v>
      </c>
      <c r="P6413">
        <v>0.61852959999999901</v>
      </c>
      <c r="Q6413">
        <v>0.37898779999999999</v>
      </c>
      <c r="R6413">
        <v>0.68832369999999898</v>
      </c>
      <c r="S6413">
        <v>2.6668400000000001</v>
      </c>
      <c r="T6413">
        <v>-0.61287369999999997</v>
      </c>
      <c r="U6413">
        <v>2.2961429999999998</v>
      </c>
      <c r="V6413">
        <v>0.1539094</v>
      </c>
      <c r="W6413">
        <v>0.39430500000000002</v>
      </c>
      <c r="X6413">
        <v>0.90599969999999996</v>
      </c>
      <c r="Y6413">
        <v>0.27029199999999998</v>
      </c>
      <c r="Z6413">
        <v>-0.14118520000000001</v>
      </c>
      <c r="AA6413">
        <v>0.95237019999999994</v>
      </c>
      <c r="AB6413">
        <v>29</v>
      </c>
      <c r="AC6413">
        <v>4.6776000000000098</v>
      </c>
      <c r="AD6413">
        <v>-1.100681959391</v>
      </c>
      <c r="AE6413">
        <v>3.9641999999999999</v>
      </c>
      <c r="AF6413">
        <v>1.7058744770396099</v>
      </c>
      <c r="AG6413">
        <v>-1.100681959391</v>
      </c>
      <c r="AH6413">
        <v>5.6898242018869398</v>
      </c>
      <c r="AI6413">
        <v>100.49776301844101</v>
      </c>
      <c r="AJ6413">
        <v>73.310667095524806</v>
      </c>
      <c r="AK6413">
        <v>6.0411594876747197</v>
      </c>
      <c r="AL6413">
        <v>66.777364170340704</v>
      </c>
      <c r="AM6413">
        <v>80.358749613844196</v>
      </c>
      <c r="AN6413">
        <v>0.99999999641672499</v>
      </c>
    </row>
    <row r="6414" spans="1:40" x14ac:dyDescent="0.25">
      <c r="A6414" t="str">
        <f>"20190304164535247"</f>
        <v>20190304164535247</v>
      </c>
      <c r="B6414" t="str">
        <f>"1551689135236276"</f>
        <v>1551689135236276</v>
      </c>
      <c r="C6414" t="s">
        <v>40</v>
      </c>
      <c r="D6414">
        <v>5.2857500000000002</v>
      </c>
      <c r="E6414">
        <v>0.57377060000000002</v>
      </c>
      <c r="F6414" t="s">
        <v>41</v>
      </c>
      <c r="G6414">
        <v>-181.88730000000001</v>
      </c>
      <c r="H6414">
        <v>0.96911130000000001</v>
      </c>
      <c r="I6414">
        <v>128.78630000000001</v>
      </c>
      <c r="J6414">
        <v>-182.36670000000001</v>
      </c>
      <c r="K6414">
        <v>1.1006830000000001</v>
      </c>
      <c r="L6414">
        <v>128.44059999999999</v>
      </c>
      <c r="M6414">
        <v>0.55208199999999996</v>
      </c>
      <c r="N6414">
        <v>-2.1118689999999999E-2</v>
      </c>
      <c r="O6414">
        <v>0.83352230000000005</v>
      </c>
      <c r="P6414">
        <v>0.62367799999999995</v>
      </c>
      <c r="Q6414">
        <v>0.3802469</v>
      </c>
      <c r="R6414">
        <v>0.68296269999999903</v>
      </c>
      <c r="S6414">
        <v>2.68927</v>
      </c>
      <c r="T6414">
        <v>-0.60136650000000003</v>
      </c>
      <c r="U6414">
        <v>2.272964</v>
      </c>
      <c r="V6414">
        <v>0.153394</v>
      </c>
      <c r="W6414">
        <v>0.39552369999999998</v>
      </c>
      <c r="X6414">
        <v>0.90555580000000002</v>
      </c>
      <c r="Y6414">
        <v>0.2712078</v>
      </c>
      <c r="Z6414">
        <v>-0.1378007</v>
      </c>
      <c r="AA6414">
        <v>0.95260549999999999</v>
      </c>
      <c r="AB6414">
        <v>29</v>
      </c>
      <c r="AC6414">
        <v>0.47939999999999799</v>
      </c>
      <c r="AD6414">
        <v>-0.13157169999999899</v>
      </c>
      <c r="AE6414">
        <v>0.34570000000002199</v>
      </c>
      <c r="AF6414">
        <v>0.19892473959418799</v>
      </c>
      <c r="AG6414">
        <v>-0.13157169999999899</v>
      </c>
      <c r="AH6414">
        <v>0.52683300721742599</v>
      </c>
      <c r="AI6414">
        <v>103.150704685617</v>
      </c>
      <c r="AJ6414">
        <v>69.3141683035456</v>
      </c>
      <c r="AK6414">
        <v>0.57830371065493102</v>
      </c>
      <c r="AL6414">
        <v>66.701360399202002</v>
      </c>
      <c r="AM6414">
        <v>80.385809783773198</v>
      </c>
      <c r="AN6414">
        <v>1.00000001170566</v>
      </c>
    </row>
    <row r="6415" spans="1:40" x14ac:dyDescent="0.25">
      <c r="A6415" t="str">
        <f>"20190304164535265"</f>
        <v>20190304164535265</v>
      </c>
      <c r="B6415" t="str">
        <f>"1551689135256771"</f>
        <v>1551689135256771</v>
      </c>
      <c r="C6415" t="s">
        <v>40</v>
      </c>
      <c r="D6415">
        <v>5.2946839999999904</v>
      </c>
      <c r="E6415">
        <v>0.57361470000000003</v>
      </c>
      <c r="F6415" t="s">
        <v>48</v>
      </c>
      <c r="G6415">
        <v>-177.35650000000001</v>
      </c>
      <c r="H6415" s="1">
        <v>-4.7893169999999999E-6</v>
      </c>
      <c r="I6415">
        <v>132.59880000000001</v>
      </c>
      <c r="J6415">
        <v>-182.2182</v>
      </c>
      <c r="K6415">
        <v>1.100671</v>
      </c>
      <c r="L6415">
        <v>128.64340000000001</v>
      </c>
      <c r="M6415">
        <v>0.56169409999999997</v>
      </c>
      <c r="N6415">
        <v>-2.1051819999999999E-2</v>
      </c>
      <c r="O6415">
        <v>0.82707719999999996</v>
      </c>
      <c r="P6415">
        <v>0.62957069999999904</v>
      </c>
      <c r="Q6415">
        <v>0.38309900000000002</v>
      </c>
      <c r="R6415">
        <v>0.67592600000000003</v>
      </c>
      <c r="S6415">
        <v>2.7101139999999999</v>
      </c>
      <c r="T6415">
        <v>-0.59538419999999903</v>
      </c>
      <c r="U6415">
        <v>2.2492070000000002</v>
      </c>
      <c r="V6415">
        <v>0.15172179999999999</v>
      </c>
      <c r="W6415">
        <v>0.39833619999999997</v>
      </c>
      <c r="X6415">
        <v>0.90460430000000003</v>
      </c>
      <c r="Y6415">
        <v>0.26887650000000002</v>
      </c>
      <c r="Z6415">
        <v>-0.1355095</v>
      </c>
      <c r="AA6415">
        <v>0.95359459999999996</v>
      </c>
      <c r="AB6415">
        <v>29</v>
      </c>
      <c r="AC6415">
        <v>4.8616999999999804</v>
      </c>
      <c r="AD6415">
        <v>-1.1006757893170001</v>
      </c>
      <c r="AE6415">
        <v>3.9553999999999898</v>
      </c>
      <c r="AF6415">
        <v>1.74583136715403</v>
      </c>
      <c r="AG6415">
        <v>-1.1006757893170001</v>
      </c>
      <c r="AH6415">
        <v>5.8239220465434096</v>
      </c>
      <c r="AI6415">
        <v>100.261303190877</v>
      </c>
      <c r="AJ6415">
        <v>73.312898323151998</v>
      </c>
      <c r="AK6415">
        <v>6.1787929533155497</v>
      </c>
      <c r="AL6415">
        <v>66.525794711220101</v>
      </c>
      <c r="AM6415">
        <v>80.478870886634994</v>
      </c>
      <c r="AN6415">
        <v>1.0000000862020799</v>
      </c>
    </row>
    <row r="6416" spans="1:40" x14ac:dyDescent="0.25">
      <c r="A6416" t="str">
        <f>"20190304164535278"</f>
        <v>20190304164535278</v>
      </c>
      <c r="B6416" t="str">
        <f>"1551689135266532"</f>
        <v>1551689135266532</v>
      </c>
      <c r="C6416" t="s">
        <v>40</v>
      </c>
      <c r="D6416">
        <v>5.3506830000000001</v>
      </c>
      <c r="E6416">
        <v>0.57351039999999998</v>
      </c>
      <c r="F6416" t="s">
        <v>48</v>
      </c>
      <c r="G6416">
        <v>-177.04920000000001</v>
      </c>
      <c r="H6416" s="1">
        <v>-4.6683540000000001E-6</v>
      </c>
      <c r="I6416">
        <v>132.83240000000001</v>
      </c>
      <c r="J6416">
        <v>-182.1174</v>
      </c>
      <c r="K6416">
        <v>1.1006530000000001</v>
      </c>
      <c r="L6416">
        <v>128.7783</v>
      </c>
      <c r="M6416">
        <v>0.56814519999999902</v>
      </c>
      <c r="N6416">
        <v>-2.1008530000000001E-2</v>
      </c>
      <c r="O6416">
        <v>0.82266019999999895</v>
      </c>
      <c r="P6416">
        <v>0.6340614</v>
      </c>
      <c r="Q6416">
        <v>0.38457330000000001</v>
      </c>
      <c r="R6416">
        <v>0.67087229999999998</v>
      </c>
      <c r="S6416">
        <v>2.7378079999999998</v>
      </c>
      <c r="T6416">
        <v>-0.58298409999999901</v>
      </c>
      <c r="U6416">
        <v>2.2187350000000001</v>
      </c>
      <c r="V6416">
        <v>0.1511989</v>
      </c>
      <c r="W6416">
        <v>0.3997694</v>
      </c>
      <c r="X6416">
        <v>0.90405939999999996</v>
      </c>
      <c r="Y6416">
        <v>0.27288440000000003</v>
      </c>
      <c r="Z6416">
        <v>-0.1321319</v>
      </c>
      <c r="AA6416">
        <v>0.9529299</v>
      </c>
      <c r="AB6416">
        <v>29</v>
      </c>
      <c r="AC6416">
        <v>5.0681999999999903</v>
      </c>
      <c r="AD6416">
        <v>-1.1006576683539999</v>
      </c>
      <c r="AE6416">
        <v>4.0541</v>
      </c>
      <c r="AF6416">
        <v>1.81432059856075</v>
      </c>
      <c r="AG6416">
        <v>-1.1006576683539999</v>
      </c>
      <c r="AH6416">
        <v>6.0422164514830099</v>
      </c>
      <c r="AI6416">
        <v>99.896537396625007</v>
      </c>
      <c r="AJ6416">
        <v>73.286353226734093</v>
      </c>
      <c r="AK6416">
        <v>6.4040289024832102</v>
      </c>
      <c r="AL6416">
        <v>66.4362376385494</v>
      </c>
      <c r="AM6416">
        <v>80.505472039466994</v>
      </c>
      <c r="AN6416">
        <v>1.00000003963296</v>
      </c>
    </row>
    <row r="6417" spans="1:40" x14ac:dyDescent="0.25">
      <c r="A6417" t="str">
        <f>"20190304164535289"</f>
        <v>20190304164535289</v>
      </c>
      <c r="B6417" t="str">
        <f>"1551689135287026"</f>
        <v>1551689135287026</v>
      </c>
      <c r="C6417" t="s">
        <v>40</v>
      </c>
      <c r="D6417">
        <v>5.5944099999999999</v>
      </c>
      <c r="E6417">
        <v>0.56671389999999999</v>
      </c>
      <c r="F6417" t="s">
        <v>48</v>
      </c>
      <c r="G6417">
        <v>-176.8663</v>
      </c>
      <c r="H6417" s="1">
        <v>-4.595138E-6</v>
      </c>
      <c r="I6417">
        <v>132.96809999999999</v>
      </c>
      <c r="J6417">
        <v>-182.0189</v>
      </c>
      <c r="K6417">
        <v>1.100633</v>
      </c>
      <c r="L6417">
        <v>128.90780000000001</v>
      </c>
      <c r="M6417">
        <v>0.57439050000000003</v>
      </c>
      <c r="N6417">
        <v>-2.0969700000000001E-2</v>
      </c>
      <c r="O6417">
        <v>0.81831290000000001</v>
      </c>
      <c r="P6417">
        <v>0.63893690000000003</v>
      </c>
      <c r="Q6417">
        <v>0.38609070000000001</v>
      </c>
      <c r="R6417">
        <v>0.66535230000000001</v>
      </c>
      <c r="S6417">
        <v>2.755493</v>
      </c>
      <c r="T6417">
        <v>-0.57756919999999901</v>
      </c>
      <c r="U6417">
        <v>2.1986080000000001</v>
      </c>
      <c r="V6417">
        <v>0.1514713</v>
      </c>
      <c r="W6417">
        <v>0.40122350000000001</v>
      </c>
      <c r="X6417">
        <v>0.90336939999999999</v>
      </c>
      <c r="Y6417">
        <v>0.27300730000000001</v>
      </c>
      <c r="Z6417">
        <v>-0.13032569999999999</v>
      </c>
      <c r="AA6417">
        <v>0.95314339999999997</v>
      </c>
      <c r="AB6417">
        <v>29</v>
      </c>
      <c r="AC6417">
        <v>5.1525999999999996</v>
      </c>
      <c r="AD6417">
        <v>-1.1006375951379901</v>
      </c>
      <c r="AE6417">
        <v>4.0602999999999803</v>
      </c>
      <c r="AF6417">
        <v>1.83305675636753</v>
      </c>
      <c r="AG6417">
        <v>-1.1006375951379901</v>
      </c>
      <c r="AH6417">
        <v>6.1115472858507403</v>
      </c>
      <c r="AI6417">
        <v>99.787176842535501</v>
      </c>
      <c r="AJ6417">
        <v>73.304260098273105</v>
      </c>
      <c r="AK6417">
        <v>6.4747594870454801</v>
      </c>
      <c r="AL6417">
        <v>66.345313884366206</v>
      </c>
      <c r="AM6417">
        <v>80.481547010839094</v>
      </c>
      <c r="AN6417">
        <v>1.00000006226614</v>
      </c>
    </row>
    <row r="6418" spans="1:40" x14ac:dyDescent="0.25">
      <c r="A6418" t="str">
        <f>"20190304164535301"</f>
        <v>20190304164535301</v>
      </c>
      <c r="B6418" t="str">
        <f>"1551689135296787"</f>
        <v>1551689135296787</v>
      </c>
      <c r="C6418" t="s">
        <v>40</v>
      </c>
      <c r="D6418">
        <v>5.6944189999999999</v>
      </c>
      <c r="E6418">
        <v>0.56482710000000003</v>
      </c>
      <c r="F6418" t="s">
        <v>41</v>
      </c>
      <c r="G6418">
        <v>-181.42160000000001</v>
      </c>
      <c r="H6418">
        <v>0.95552420000000005</v>
      </c>
      <c r="I6418">
        <v>129.3947</v>
      </c>
      <c r="J6418">
        <v>-181.92869999999999</v>
      </c>
      <c r="K6418">
        <v>1.1006100000000001</v>
      </c>
      <c r="L6418">
        <v>129.02430000000001</v>
      </c>
      <c r="M6418">
        <v>0.58007350000000002</v>
      </c>
      <c r="N6418">
        <v>-2.0933799999999999E-2</v>
      </c>
      <c r="O6418">
        <v>0.81429510000000005</v>
      </c>
      <c r="P6418">
        <v>0.64341780000000004</v>
      </c>
      <c r="Q6418">
        <v>0.38749099999999997</v>
      </c>
      <c r="R6418">
        <v>0.66020019999999902</v>
      </c>
      <c r="S6418">
        <v>2.7584379999999999</v>
      </c>
      <c r="T6418">
        <v>-0.67011929999999997</v>
      </c>
      <c r="U6418">
        <v>2.2487949999999999</v>
      </c>
      <c r="V6418">
        <v>0.1518187</v>
      </c>
      <c r="W6418">
        <v>0.4025609</v>
      </c>
      <c r="X6418">
        <v>0.90271579999999996</v>
      </c>
      <c r="Y6418">
        <v>0.25358819999999999</v>
      </c>
      <c r="Z6418">
        <v>-0.14985709999999999</v>
      </c>
      <c r="AA6418">
        <v>0.95563379999999998</v>
      </c>
      <c r="AB6418">
        <v>29</v>
      </c>
      <c r="AC6418">
        <v>0.50709999999997901</v>
      </c>
      <c r="AD6418">
        <v>-0.14508579999999999</v>
      </c>
      <c r="AE6418">
        <v>0.37039999999998902</v>
      </c>
      <c r="AF6418">
        <v>0.18807400204095701</v>
      </c>
      <c r="AG6418">
        <v>-0.14508579999999999</v>
      </c>
      <c r="AH6418">
        <v>0.56570395735268098</v>
      </c>
      <c r="AI6418">
        <v>103.67827163185299</v>
      </c>
      <c r="AJ6418">
        <v>71.610091581097905</v>
      </c>
      <c r="AK6418">
        <v>0.613549253906992</v>
      </c>
      <c r="AL6418">
        <v>66.261629518240994</v>
      </c>
      <c r="AM6418">
        <v>80.453337056462701</v>
      </c>
      <c r="AN6418">
        <v>1.0000000057240701</v>
      </c>
    </row>
    <row r="6419" spans="1:40" x14ac:dyDescent="0.25">
      <c r="A6419" t="str">
        <f>"20190304164535313"</f>
        <v>20190304164535313</v>
      </c>
      <c r="B6419" t="str">
        <f>"1551689135306547"</f>
        <v>1551689135306547</v>
      </c>
      <c r="C6419" t="s">
        <v>40</v>
      </c>
      <c r="D6419">
        <v>5.6968639999999997</v>
      </c>
      <c r="E6419">
        <v>0.56350889999999998</v>
      </c>
      <c r="F6419" t="s">
        <v>41</v>
      </c>
      <c r="G6419">
        <v>-181.24770000000001</v>
      </c>
      <c r="H6419">
        <v>0.93230619999999997</v>
      </c>
      <c r="I6419">
        <v>129.57679999999999</v>
      </c>
      <c r="J6419">
        <v>-181.83170000000001</v>
      </c>
      <c r="K6419">
        <v>1.1005799999999999</v>
      </c>
      <c r="L6419">
        <v>129.14840000000001</v>
      </c>
      <c r="M6419">
        <v>0.58614160000000004</v>
      </c>
      <c r="N6419">
        <v>-2.0894800000000002E-2</v>
      </c>
      <c r="O6419">
        <v>0.80993919999999997</v>
      </c>
      <c r="P6419">
        <v>0.64827509999999999</v>
      </c>
      <c r="Q6419">
        <v>0.38845560000000001</v>
      </c>
      <c r="R6419">
        <v>0.65486</v>
      </c>
      <c r="S6419">
        <v>2.7689970000000002</v>
      </c>
      <c r="T6419">
        <v>-0.68410649999999995</v>
      </c>
      <c r="U6419">
        <v>2.2469790000000001</v>
      </c>
      <c r="V6419">
        <v>0.15212479999999901</v>
      </c>
      <c r="W6419">
        <v>0.40346379999999998</v>
      </c>
      <c r="X6419">
        <v>0.90226110000000004</v>
      </c>
      <c r="Y6419">
        <v>0.2481738</v>
      </c>
      <c r="Z6419">
        <v>-0.15200830000000001</v>
      </c>
      <c r="AA6419">
        <v>0.95671479999999998</v>
      </c>
      <c r="AB6419">
        <v>29</v>
      </c>
      <c r="AC6419">
        <v>0.58400000000000296</v>
      </c>
      <c r="AD6419">
        <v>-0.168273799999999</v>
      </c>
      <c r="AE6419">
        <v>0.42839999999998202</v>
      </c>
      <c r="AF6419">
        <v>0.21058296960985001</v>
      </c>
      <c r="AG6419">
        <v>-0.168273799999999</v>
      </c>
      <c r="AH6419">
        <v>0.65412650619380996</v>
      </c>
      <c r="AI6419">
        <v>103.75944642389101</v>
      </c>
      <c r="AJ6419">
        <v>72.155073586356295</v>
      </c>
      <c r="AK6419">
        <v>0.707490455738777</v>
      </c>
      <c r="AL6419">
        <v>66.205104367883095</v>
      </c>
      <c r="AM6419">
        <v>80.4297127266491</v>
      </c>
      <c r="AN6419">
        <v>1.0000000426293401</v>
      </c>
    </row>
    <row r="6420" spans="1:40" x14ac:dyDescent="0.25">
      <c r="A6420" t="str">
        <f>"20190304164535324"</f>
        <v>20190304164535324</v>
      </c>
      <c r="B6420" t="str">
        <f>"1551689135316308"</f>
        <v>1551689135316308</v>
      </c>
      <c r="C6420" t="s">
        <v>40</v>
      </c>
      <c r="D6420">
        <v>5.6312160000000002</v>
      </c>
      <c r="E6420">
        <v>0.56235919999999995</v>
      </c>
      <c r="F6420" t="s">
        <v>41</v>
      </c>
      <c r="G6420">
        <v>-181.2653</v>
      </c>
      <c r="H6420">
        <v>0.95963730000000003</v>
      </c>
      <c r="I6420">
        <v>129.60380000000001</v>
      </c>
      <c r="J6420">
        <v>-181.74279999999999</v>
      </c>
      <c r="K6420">
        <v>1.100549</v>
      </c>
      <c r="L6420">
        <v>129.25909999999999</v>
      </c>
      <c r="M6420">
        <v>0.59166160000000001</v>
      </c>
      <c r="N6420">
        <v>-2.0860739999999999E-2</v>
      </c>
      <c r="O6420">
        <v>0.80591650000000004</v>
      </c>
      <c r="P6420">
        <v>0.65267189999999997</v>
      </c>
      <c r="Q6420">
        <v>0.38935530000000002</v>
      </c>
      <c r="R6420">
        <v>0.64993999999999996</v>
      </c>
      <c r="S6420">
        <v>2.7823030000000002</v>
      </c>
      <c r="T6420">
        <v>-0.69205550000000005</v>
      </c>
      <c r="U6420">
        <v>2.2373810000000001</v>
      </c>
      <c r="V6420">
        <v>0.15240870000000001</v>
      </c>
      <c r="W6420">
        <v>0.4043061</v>
      </c>
      <c r="X6420">
        <v>0.90183599999999997</v>
      </c>
      <c r="Y6420">
        <v>0.24561350000000001</v>
      </c>
      <c r="Z6420">
        <v>-0.15302789999999999</v>
      </c>
      <c r="AA6420">
        <v>0.95721290000000003</v>
      </c>
      <c r="AB6420">
        <v>29</v>
      </c>
      <c r="AC6420">
        <v>0.47749999999999199</v>
      </c>
      <c r="AD6420">
        <v>-0.1409117</v>
      </c>
      <c r="AE6420">
        <v>0.34470000000001699</v>
      </c>
      <c r="AF6420">
        <v>0.171121814540696</v>
      </c>
      <c r="AG6420">
        <v>-0.1409117</v>
      </c>
      <c r="AH6420">
        <v>0.53009141552171901</v>
      </c>
      <c r="AI6420">
        <v>104.19633471842199</v>
      </c>
      <c r="AJ6420">
        <v>72.109107574301802</v>
      </c>
      <c r="AK6420">
        <v>0.574574356735845</v>
      </c>
      <c r="AL6420">
        <v>66.152348961102902</v>
      </c>
      <c r="AM6420">
        <v>80.407748150901398</v>
      </c>
      <c r="AN6420">
        <v>1.00000000261444</v>
      </c>
    </row>
    <row r="6421" spans="1:40" x14ac:dyDescent="0.25">
      <c r="A6421" t="str">
        <f>"20190304164535335"</f>
        <v>20190304164535335</v>
      </c>
      <c r="B6421" t="str">
        <f>"1551689135327044"</f>
        <v>1551689135327044</v>
      </c>
      <c r="C6421" t="s">
        <v>40</v>
      </c>
      <c r="D6421">
        <v>5.6451929999999999</v>
      </c>
      <c r="E6421">
        <v>0.56208139999999995</v>
      </c>
      <c r="F6421" t="s">
        <v>41</v>
      </c>
      <c r="G6421">
        <v>-181.08699999999999</v>
      </c>
      <c r="H6421">
        <v>0.93690090000000004</v>
      </c>
      <c r="I6421">
        <v>129.78149999999999</v>
      </c>
      <c r="J6421">
        <v>-181.6464</v>
      </c>
      <c r="K6421">
        <v>1.1005130000000001</v>
      </c>
      <c r="L6421">
        <v>129.37860000000001</v>
      </c>
      <c r="M6421">
        <v>0.59761540000000002</v>
      </c>
      <c r="N6421">
        <v>-2.0823310000000001E-2</v>
      </c>
      <c r="O6421">
        <v>0.80151249999999996</v>
      </c>
      <c r="P6421">
        <v>0.65700419999999904</v>
      </c>
      <c r="Q6421">
        <v>0.3901483</v>
      </c>
      <c r="R6421">
        <v>0.64508120000000002</v>
      </c>
      <c r="S6421">
        <v>2.79541</v>
      </c>
      <c r="T6421">
        <v>-0.69767480000000004</v>
      </c>
      <c r="U6421">
        <v>2.2265929999999998</v>
      </c>
      <c r="V6421">
        <v>0.1520937</v>
      </c>
      <c r="W6421">
        <v>0.405057</v>
      </c>
      <c r="X6421">
        <v>0.90155220000000003</v>
      </c>
      <c r="Y6421">
        <v>0.24278369999999999</v>
      </c>
      <c r="Z6421">
        <v>-0.15344479999999999</v>
      </c>
      <c r="AA6421">
        <v>0.95786780000000005</v>
      </c>
      <c r="AB6421">
        <v>29</v>
      </c>
      <c r="AC6421">
        <v>0.55939999999998202</v>
      </c>
      <c r="AD6421">
        <v>-0.16361209999999901</v>
      </c>
      <c r="AE6421">
        <v>0.40289999999998799</v>
      </c>
      <c r="AF6421">
        <v>0.19656055467320399</v>
      </c>
      <c r="AG6421">
        <v>-0.16361209999999901</v>
      </c>
      <c r="AH6421">
        <v>0.62232537456027204</v>
      </c>
      <c r="AI6421">
        <v>104.073815706243</v>
      </c>
      <c r="AJ6421">
        <v>72.471354838342805</v>
      </c>
      <c r="AK6421">
        <v>0.67282526910144402</v>
      </c>
      <c r="AL6421">
        <v>66.105301355964201</v>
      </c>
      <c r="AM6421">
        <v>80.424248632832203</v>
      </c>
      <c r="AN6421">
        <v>1.0000000180767601</v>
      </c>
    </row>
    <row r="6422" spans="1:40" x14ac:dyDescent="0.25">
      <c r="A6422" t="str">
        <f>"20190304164535347"</f>
        <v>20190304164535347</v>
      </c>
      <c r="B6422" t="str">
        <f>"1551689135336804"</f>
        <v>1551689135336804</v>
      </c>
      <c r="C6422" t="s">
        <v>40</v>
      </c>
      <c r="D6422">
        <v>5.0833550000000001</v>
      </c>
      <c r="E6422">
        <v>0.56208139999999995</v>
      </c>
      <c r="F6422" t="s">
        <v>41</v>
      </c>
      <c r="G6422">
        <v>-180.90770000000001</v>
      </c>
      <c r="H6422">
        <v>0.91760520000000001</v>
      </c>
      <c r="I6422">
        <v>129.95859999999999</v>
      </c>
      <c r="J6422">
        <v>-181.5532</v>
      </c>
      <c r="K6422">
        <v>1.1004830000000001</v>
      </c>
      <c r="L6422">
        <v>129.4915</v>
      </c>
      <c r="M6422">
        <v>0.60333610000000004</v>
      </c>
      <c r="N6422">
        <v>-2.0786619999999999E-2</v>
      </c>
      <c r="O6422">
        <v>0.79721609999999998</v>
      </c>
      <c r="P6422">
        <v>0.66121059999999998</v>
      </c>
      <c r="Q6422">
        <v>0.39063189999999998</v>
      </c>
      <c r="R6422">
        <v>0.64047430000000005</v>
      </c>
      <c r="S6422">
        <v>2.811493</v>
      </c>
      <c r="T6422">
        <v>-0.69593229999999995</v>
      </c>
      <c r="U6422">
        <v>2.208008</v>
      </c>
      <c r="V6422">
        <v>0.15175999999999901</v>
      </c>
      <c r="W6422">
        <v>0.40550120000000001</v>
      </c>
      <c r="X6422">
        <v>0.90140869999999995</v>
      </c>
      <c r="Y6422">
        <v>0.24254210000000001</v>
      </c>
      <c r="Z6422">
        <v>-0.15241959999999999</v>
      </c>
      <c r="AA6422">
        <v>0.95809270000000002</v>
      </c>
      <c r="AB6422">
        <v>29</v>
      </c>
      <c r="AC6422">
        <v>0.64549999999999796</v>
      </c>
      <c r="AD6422">
        <v>-0.18287780000000001</v>
      </c>
      <c r="AE6422">
        <v>0.46709999999998703</v>
      </c>
      <c r="AF6422">
        <v>0.221182994900047</v>
      </c>
      <c r="AG6422">
        <v>-0.18287780000000001</v>
      </c>
      <c r="AH6422">
        <v>0.72386426134967696</v>
      </c>
      <c r="AI6422">
        <v>103.58310868690999</v>
      </c>
      <c r="AJ6422">
        <v>73.009013939905699</v>
      </c>
      <c r="AK6422">
        <v>0.77868201200817999</v>
      </c>
      <c r="AL6422">
        <v>66.0774608355662</v>
      </c>
      <c r="AM6422">
        <v>80.4433773633654</v>
      </c>
      <c r="AN6422">
        <v>0.99999998261856404</v>
      </c>
    </row>
    <row r="6423" spans="1:40" x14ac:dyDescent="0.25">
      <c r="A6423" t="str">
        <f>"20190304164535359"</f>
        <v>20190304164535359</v>
      </c>
      <c r="B6423" t="str">
        <f>"1551689135356325"</f>
        <v>1551689135356325</v>
      </c>
      <c r="C6423" t="s">
        <v>40</v>
      </c>
      <c r="D6423">
        <v>5.653524</v>
      </c>
      <c r="E6423">
        <v>0.56059099999999995</v>
      </c>
      <c r="F6423" t="s">
        <v>41</v>
      </c>
      <c r="G6423">
        <v>-180.91909999999999</v>
      </c>
      <c r="H6423">
        <v>0.94491219999999998</v>
      </c>
      <c r="I6423">
        <v>129.9819</v>
      </c>
      <c r="J6423">
        <v>-181.45650000000001</v>
      </c>
      <c r="K6423">
        <v>1.100447</v>
      </c>
      <c r="L6423">
        <v>129.60730000000001</v>
      </c>
      <c r="M6423">
        <v>0.60923159999999998</v>
      </c>
      <c r="N6423">
        <v>-2.0746569999999999E-2</v>
      </c>
      <c r="O6423">
        <v>0.79272100000000001</v>
      </c>
      <c r="P6423">
        <v>0.66589009999999904</v>
      </c>
      <c r="Q6423">
        <v>0.39078190000000002</v>
      </c>
      <c r="R6423">
        <v>0.63551559999999996</v>
      </c>
      <c r="S6423">
        <v>2.8281559999999999</v>
      </c>
      <c r="T6423">
        <v>-0.69364130000000002</v>
      </c>
      <c r="U6423">
        <v>2.1873930000000001</v>
      </c>
      <c r="V6423">
        <v>0.15178069999999999</v>
      </c>
      <c r="W6423">
        <v>0.40560099999999999</v>
      </c>
      <c r="X6423">
        <v>0.9013603</v>
      </c>
      <c r="Y6423">
        <v>0.24258540000000001</v>
      </c>
      <c r="Z6423">
        <v>-0.15129039999999999</v>
      </c>
      <c r="AA6423">
        <v>0.95826069999999997</v>
      </c>
      <c r="AB6423">
        <v>29</v>
      </c>
      <c r="AC6423">
        <v>0.53740000000001897</v>
      </c>
      <c r="AD6423">
        <v>-0.155534799999999</v>
      </c>
      <c r="AE6423">
        <v>0.374599999999986</v>
      </c>
      <c r="AF6423">
        <v>0.18727536828073801</v>
      </c>
      <c r="AG6423">
        <v>-0.155534799999999</v>
      </c>
      <c r="AH6423">
        <v>0.59116298433954695</v>
      </c>
      <c r="AI6423">
        <v>104.080186389166</v>
      </c>
      <c r="AJ6423">
        <v>72.422244441200206</v>
      </c>
      <c r="AK6423">
        <v>0.63932527842168496</v>
      </c>
      <c r="AL6423">
        <v>66.071204894382504</v>
      </c>
      <c r="AM6423">
        <v>80.441594133228705</v>
      </c>
      <c r="AN6423">
        <v>0.99999997125478901</v>
      </c>
    </row>
    <row r="6424" spans="1:40" x14ac:dyDescent="0.25">
      <c r="A6424" t="str">
        <f>"20190304164535370"</f>
        <v>20190304164535370</v>
      </c>
      <c r="B6424" t="str">
        <f>"1551689135367059"</f>
        <v>1551689135367059</v>
      </c>
      <c r="C6424" t="s">
        <v>40</v>
      </c>
      <c r="D6424">
        <v>5.6295010000000003</v>
      </c>
      <c r="E6424">
        <v>0.56038330000000003</v>
      </c>
      <c r="F6424" t="s">
        <v>41</v>
      </c>
      <c r="G6424">
        <v>-180.7413</v>
      </c>
      <c r="H6424">
        <v>0.92216540000000002</v>
      </c>
      <c r="I6424">
        <v>130.15620000000001</v>
      </c>
      <c r="J6424">
        <v>-181.3503</v>
      </c>
      <c r="K6424">
        <v>1.1004</v>
      </c>
      <c r="L6424">
        <v>129.73249999999999</v>
      </c>
      <c r="M6424">
        <v>0.61565749999999997</v>
      </c>
      <c r="N6424">
        <v>-2.0700099999999999E-2</v>
      </c>
      <c r="O6424">
        <v>0.78774200000000005</v>
      </c>
      <c r="P6424">
        <v>0.67105369999999998</v>
      </c>
      <c r="Q6424">
        <v>0.39137939999999999</v>
      </c>
      <c r="R6424">
        <v>0.62968979999999997</v>
      </c>
      <c r="S6424">
        <v>2.8399809999999999</v>
      </c>
      <c r="T6424">
        <v>-0.70761490000000005</v>
      </c>
      <c r="U6424">
        <v>2.1799770000000001</v>
      </c>
      <c r="V6424">
        <v>0.152089</v>
      </c>
      <c r="W6424">
        <v>0.40612870000000001</v>
      </c>
      <c r="X6424">
        <v>0.9010707</v>
      </c>
      <c r="Y6424">
        <v>0.23783679999999999</v>
      </c>
      <c r="Z6424">
        <v>-0.15333849999999999</v>
      </c>
      <c r="AA6424">
        <v>0.95912509999999995</v>
      </c>
      <c r="AB6424">
        <v>29</v>
      </c>
      <c r="AC6424">
        <v>0.60900000000000798</v>
      </c>
      <c r="AD6424">
        <v>-0.17823459999999999</v>
      </c>
      <c r="AE6424">
        <v>0.423700000000025</v>
      </c>
      <c r="AF6424">
        <v>0.206981357160027</v>
      </c>
      <c r="AG6424">
        <v>-0.17823459999999999</v>
      </c>
      <c r="AH6424">
        <v>0.67017318774053403</v>
      </c>
      <c r="AI6424">
        <v>104.257644658742</v>
      </c>
      <c r="AJ6424">
        <v>72.836823972829094</v>
      </c>
      <c r="AK6424">
        <v>0.72369949317052595</v>
      </c>
      <c r="AL6424">
        <v>66.038123242349499</v>
      </c>
      <c r="AM6424">
        <v>80.419517097823501</v>
      </c>
      <c r="AN6424">
        <v>0.99999999564158903</v>
      </c>
    </row>
    <row r="6425" spans="1:40" x14ac:dyDescent="0.25">
      <c r="A6425" t="str">
        <f>"20190304164535382"</f>
        <v>20190304164535382</v>
      </c>
      <c r="B6425" t="str">
        <f>"1551689135376819"</f>
        <v>1551689135376819</v>
      </c>
      <c r="C6425" t="s">
        <v>40</v>
      </c>
      <c r="D6425">
        <v>5.5935009999999998</v>
      </c>
      <c r="E6425">
        <v>0.56047170000000002</v>
      </c>
      <c r="F6425" t="s">
        <v>41</v>
      </c>
      <c r="G6425">
        <v>-180.75389999999999</v>
      </c>
      <c r="H6425">
        <v>0.95259179999999999</v>
      </c>
      <c r="I6425">
        <v>130.18260000000001</v>
      </c>
      <c r="J6425">
        <v>-181.2602</v>
      </c>
      <c r="K6425">
        <v>1.1003670000000001</v>
      </c>
      <c r="L6425">
        <v>129.8364</v>
      </c>
      <c r="M6425">
        <v>0.62106479999999997</v>
      </c>
      <c r="N6425">
        <v>-2.0660319999999999E-2</v>
      </c>
      <c r="O6425">
        <v>0.78348689999999999</v>
      </c>
      <c r="P6425">
        <v>0.67541989999999996</v>
      </c>
      <c r="Q6425">
        <v>0.39141730000000002</v>
      </c>
      <c r="R6425">
        <v>0.62498039999999999</v>
      </c>
      <c r="S6425">
        <v>2.8584900000000002</v>
      </c>
      <c r="T6425">
        <v>-0.70802519999999902</v>
      </c>
      <c r="U6425">
        <v>2.1580509999999999</v>
      </c>
      <c r="V6425">
        <v>0.15220349999999999</v>
      </c>
      <c r="W6425">
        <v>0.40611700000000001</v>
      </c>
      <c r="X6425">
        <v>0.90105659999999999</v>
      </c>
      <c r="Y6425">
        <v>0.23886109999999999</v>
      </c>
      <c r="Z6425">
        <v>-0.1528766</v>
      </c>
      <c r="AA6425">
        <v>0.95894429999999997</v>
      </c>
      <c r="AB6425">
        <v>29</v>
      </c>
      <c r="AC6425">
        <v>0.50630000000000996</v>
      </c>
      <c r="AD6425">
        <v>-0.1477752</v>
      </c>
      <c r="AE6425">
        <v>0.34620000000001</v>
      </c>
      <c r="AF6425">
        <v>0.17173651385722699</v>
      </c>
      <c r="AG6425">
        <v>-0.1477752</v>
      </c>
      <c r="AH6425">
        <v>0.55367338024809998</v>
      </c>
      <c r="AI6425">
        <v>104.301160157542</v>
      </c>
      <c r="AJ6425">
        <v>72.767334166388693</v>
      </c>
      <c r="AK6425">
        <v>0.59823503067124895</v>
      </c>
      <c r="AL6425">
        <v>66.038855910309593</v>
      </c>
      <c r="AM6425">
        <v>80.412291039521094</v>
      </c>
      <c r="AN6425">
        <v>0.99999995975240397</v>
      </c>
    </row>
    <row r="6426" spans="1:40" x14ac:dyDescent="0.25">
      <c r="A6426" t="str">
        <f>"20190304164535394"</f>
        <v>20190304164535394</v>
      </c>
      <c r="B6426" t="str">
        <f>"1551689135386579"</f>
        <v>1551689135386579</v>
      </c>
      <c r="C6426" t="s">
        <v>40</v>
      </c>
      <c r="D6426">
        <v>5.6100149999999998</v>
      </c>
      <c r="E6426">
        <v>0.56006650000000002</v>
      </c>
      <c r="F6426" t="s">
        <v>41</v>
      </c>
      <c r="G6426">
        <v>-180.56909999999999</v>
      </c>
      <c r="H6426">
        <v>0.93017030000000001</v>
      </c>
      <c r="I6426">
        <v>130.3503</v>
      </c>
      <c r="J6426">
        <v>-181.1558</v>
      </c>
      <c r="K6426">
        <v>1.100328</v>
      </c>
      <c r="L6426">
        <v>129.95580000000001</v>
      </c>
      <c r="M6426">
        <v>0.62728459999999997</v>
      </c>
      <c r="N6426">
        <v>-2.0613949999999999E-2</v>
      </c>
      <c r="O6426">
        <v>0.77851719999999902</v>
      </c>
      <c r="P6426">
        <v>0.68053330000000001</v>
      </c>
      <c r="Q6426">
        <v>0.39112849999999999</v>
      </c>
      <c r="R6426">
        <v>0.61959089999999994</v>
      </c>
      <c r="S6426">
        <v>2.8738709999999998</v>
      </c>
      <c r="T6426">
        <v>-0.70747179999999998</v>
      </c>
      <c r="U6426">
        <v>2.1374209999999998</v>
      </c>
      <c r="V6426">
        <v>0.15234410000000001</v>
      </c>
      <c r="W6426">
        <v>0.40577360000000001</v>
      </c>
      <c r="X6426">
        <v>0.90118759999999998</v>
      </c>
      <c r="Y6426">
        <v>0.23810400000000001</v>
      </c>
      <c r="Z6426">
        <v>-0.1520386</v>
      </c>
      <c r="AA6426">
        <v>0.9592657</v>
      </c>
      <c r="AB6426">
        <v>28</v>
      </c>
      <c r="AC6426">
        <v>0.58670000000000699</v>
      </c>
      <c r="AD6426">
        <v>-0.170157699999999</v>
      </c>
      <c r="AE6426">
        <v>0.39449999999999302</v>
      </c>
      <c r="AF6426">
        <v>0.197874855394368</v>
      </c>
      <c r="AG6426">
        <v>-0.170157699999999</v>
      </c>
      <c r="AH6426">
        <v>0.63832164793977297</v>
      </c>
      <c r="AI6426">
        <v>104.284960684784</v>
      </c>
      <c r="AJ6426">
        <v>72.776961425753896</v>
      </c>
      <c r="AK6426">
        <v>0.68961048969340599</v>
      </c>
      <c r="AL6426">
        <v>66.060386393584693</v>
      </c>
      <c r="AM6426">
        <v>80.404967934164105</v>
      </c>
      <c r="AN6426">
        <v>1.0000000148277599</v>
      </c>
    </row>
    <row r="6427" spans="1:40" x14ac:dyDescent="0.25">
      <c r="A6427" t="str">
        <f>"20190304164535410"</f>
        <v>20190304164535410</v>
      </c>
      <c r="B6427" t="str">
        <f>"1551689135406100"</f>
        <v>1551689135406100</v>
      </c>
      <c r="C6427" t="s">
        <v>40</v>
      </c>
      <c r="D6427">
        <v>5.6485120000000002</v>
      </c>
      <c r="E6427">
        <v>0.55934059999999997</v>
      </c>
      <c r="F6427" t="s">
        <v>41</v>
      </c>
      <c r="G6427">
        <v>-180.38679999999999</v>
      </c>
      <c r="H6427">
        <v>0.91045580000000004</v>
      </c>
      <c r="I6427">
        <v>130.51929999999999</v>
      </c>
      <c r="J6427">
        <v>-181.0264</v>
      </c>
      <c r="K6427">
        <v>1.100285</v>
      </c>
      <c r="L6427">
        <v>130.1002</v>
      </c>
      <c r="M6427">
        <v>0.63491390000000003</v>
      </c>
      <c r="N6427">
        <v>-2.0559569999999999E-2</v>
      </c>
      <c r="O6427">
        <v>0.77230940000000003</v>
      </c>
      <c r="P6427">
        <v>0.68712830000000003</v>
      </c>
      <c r="Q6427">
        <v>0.38982319999999998</v>
      </c>
      <c r="R6427">
        <v>0.6131008</v>
      </c>
      <c r="S6427">
        <v>2.890091</v>
      </c>
      <c r="T6427">
        <v>-0.71337450000000002</v>
      </c>
      <c r="U6427">
        <v>2.1178889999999999</v>
      </c>
      <c r="V6427">
        <v>0.1525986</v>
      </c>
      <c r="W6427">
        <v>0.40441250000000001</v>
      </c>
      <c r="X6427">
        <v>0.90175620000000001</v>
      </c>
      <c r="Y6427">
        <v>0.23523520000000001</v>
      </c>
      <c r="Z6427">
        <v>-0.1522761</v>
      </c>
      <c r="AA6427">
        <v>0.9599356</v>
      </c>
      <c r="AB6427">
        <v>28</v>
      </c>
      <c r="AC6427">
        <v>0.63960000000000095</v>
      </c>
      <c r="AD6427">
        <v>-0.189829199999999</v>
      </c>
      <c r="AE6427">
        <v>0.41909999999998598</v>
      </c>
      <c r="AF6427">
        <v>0.21469396767659199</v>
      </c>
      <c r="AG6427">
        <v>-0.189829199999999</v>
      </c>
      <c r="AH6427">
        <v>0.68754870970962501</v>
      </c>
      <c r="AI6427">
        <v>104.76434453693599</v>
      </c>
      <c r="AJ6427">
        <v>72.6585032334809</v>
      </c>
      <c r="AK6427">
        <v>0.74488378499785302</v>
      </c>
      <c r="AL6427">
        <v>66.145683988244699</v>
      </c>
      <c r="AM6427">
        <v>80.395184704971001</v>
      </c>
      <c r="AN6427">
        <v>1.00000002355832</v>
      </c>
    </row>
    <row r="6428" spans="1:40" x14ac:dyDescent="0.25">
      <c r="A6428" t="str">
        <f>"20190304164535424"</f>
        <v>20190304164535424</v>
      </c>
      <c r="B6428" t="str">
        <f>"1551689135416836"</f>
        <v>1551689135416836</v>
      </c>
      <c r="C6428" t="s">
        <v>40</v>
      </c>
      <c r="D6428">
        <v>5.6366350000000001</v>
      </c>
      <c r="E6428">
        <v>0.55901040000000002</v>
      </c>
      <c r="F6428" t="s">
        <v>41</v>
      </c>
      <c r="G6428">
        <v>-180.40209999999999</v>
      </c>
      <c r="H6428">
        <v>0.94387449999999995</v>
      </c>
      <c r="I6428">
        <v>130.55019999999999</v>
      </c>
      <c r="J6428">
        <v>-180.89529999999999</v>
      </c>
      <c r="K6428">
        <v>1.1002559999999999</v>
      </c>
      <c r="L6428">
        <v>130.24369999999999</v>
      </c>
      <c r="M6428">
        <v>0.6425554</v>
      </c>
      <c r="N6428">
        <v>-2.050157E-2</v>
      </c>
      <c r="O6428">
        <v>0.76596489999999995</v>
      </c>
      <c r="P6428">
        <v>0.69323869999999999</v>
      </c>
      <c r="Q6428">
        <v>0.38938329999999999</v>
      </c>
      <c r="R6428">
        <v>0.6064659</v>
      </c>
      <c r="S6428">
        <v>2.9084629999999998</v>
      </c>
      <c r="T6428">
        <v>-0.72841269999999902</v>
      </c>
      <c r="U6428">
        <v>2.0966640000000001</v>
      </c>
      <c r="V6428">
        <v>0.15250529999999901</v>
      </c>
      <c r="W6428">
        <v>0.4039201</v>
      </c>
      <c r="X6428">
        <v>0.90199260000000003</v>
      </c>
      <c r="Y6428">
        <v>0.23263629999999999</v>
      </c>
      <c r="Z6428">
        <v>-0.15450050000000001</v>
      </c>
      <c r="AA6428">
        <v>0.96021350000000005</v>
      </c>
      <c r="AB6428">
        <v>28</v>
      </c>
      <c r="AC6428">
        <v>0.49320000000000103</v>
      </c>
      <c r="AD6428">
        <v>-0.15638149999999901</v>
      </c>
      <c r="AE6428">
        <v>0.306499999999999</v>
      </c>
      <c r="AF6428">
        <v>0.168637920424934</v>
      </c>
      <c r="AG6428">
        <v>-0.15638149999999901</v>
      </c>
      <c r="AH6428">
        <v>0.51447906799241805</v>
      </c>
      <c r="AI6428">
        <v>106.110825315455</v>
      </c>
      <c r="AJ6428">
        <v>71.851692705755994</v>
      </c>
      <c r="AK6428">
        <v>0.56354470377233001</v>
      </c>
      <c r="AL6428">
        <v>66.176526809302601</v>
      </c>
      <c r="AM6428">
        <v>80.4034168502195</v>
      </c>
      <c r="AN6428">
        <v>0.999999982083429</v>
      </c>
    </row>
    <row r="6429" spans="1:40" x14ac:dyDescent="0.25">
      <c r="A6429" t="str">
        <f>"20190304164535438"</f>
        <v>20190304164535438</v>
      </c>
      <c r="B6429" t="str">
        <f>"1551689135426596"</f>
        <v>1551689135426596</v>
      </c>
      <c r="C6429" t="s">
        <v>40</v>
      </c>
      <c r="D6429">
        <v>5.6368090000000004</v>
      </c>
      <c r="E6429">
        <v>0.55882279999999995</v>
      </c>
      <c r="F6429" t="s">
        <v>41</v>
      </c>
      <c r="G6429">
        <v>-180.22020000000001</v>
      </c>
      <c r="H6429">
        <v>0.93069769999999996</v>
      </c>
      <c r="I6429">
        <v>130.7216</v>
      </c>
      <c r="J6429">
        <v>-180.78139999999999</v>
      </c>
      <c r="K6429">
        <v>1.100231</v>
      </c>
      <c r="L6429">
        <v>130.3663</v>
      </c>
      <c r="M6429">
        <v>0.64912609999999904</v>
      </c>
      <c r="N6429">
        <v>-2.0447819999999998E-2</v>
      </c>
      <c r="O6429">
        <v>0.76040600000000003</v>
      </c>
      <c r="P6429">
        <v>0.69886409999999999</v>
      </c>
      <c r="Q6429">
        <v>0.38849060000000002</v>
      </c>
      <c r="R6429">
        <v>0.600553</v>
      </c>
      <c r="S6429">
        <v>2.9270779999999998</v>
      </c>
      <c r="T6429">
        <v>-0.73474189999999995</v>
      </c>
      <c r="U6429">
        <v>2.0725560000000001</v>
      </c>
      <c r="V6429">
        <v>0.15276979999999901</v>
      </c>
      <c r="W6429">
        <v>0.40297329999999998</v>
      </c>
      <c r="X6429">
        <v>0.90237129999999999</v>
      </c>
      <c r="Y6429">
        <v>0.2322593</v>
      </c>
      <c r="Z6429">
        <v>-0.15505659999999999</v>
      </c>
      <c r="AA6429">
        <v>0.96021509999999999</v>
      </c>
      <c r="AB6429">
        <v>28</v>
      </c>
      <c r="AC6429">
        <v>0.56119999999998504</v>
      </c>
      <c r="AD6429">
        <v>-0.1695333</v>
      </c>
      <c r="AE6429">
        <v>0.35529999999999901</v>
      </c>
      <c r="AF6429">
        <v>0.184149649328266</v>
      </c>
      <c r="AG6429">
        <v>-0.1695333</v>
      </c>
      <c r="AH6429">
        <v>0.595781426438732</v>
      </c>
      <c r="AI6429">
        <v>105.209170915979</v>
      </c>
      <c r="AJ6429">
        <v>72.824181830944994</v>
      </c>
      <c r="AK6429">
        <v>0.64622607595638204</v>
      </c>
      <c r="AL6429">
        <v>66.235814803881595</v>
      </c>
      <c r="AM6429">
        <v>80.391042227349303</v>
      </c>
      <c r="AN6429">
        <v>1.0000000276843</v>
      </c>
    </row>
    <row r="6430" spans="1:40" x14ac:dyDescent="0.25">
      <c r="A6430" t="str">
        <f>"20190304164535451"</f>
        <v>20190304164535451</v>
      </c>
      <c r="B6430" t="str">
        <f>"1551689135447092"</f>
        <v>1551689135447092</v>
      </c>
      <c r="C6430" t="s">
        <v>40</v>
      </c>
      <c r="D6430">
        <v>5.6323299999999996</v>
      </c>
      <c r="E6430">
        <v>0.5587915</v>
      </c>
      <c r="F6430" t="s">
        <v>41</v>
      </c>
      <c r="G6430">
        <v>-180.03530000000001</v>
      </c>
      <c r="H6430">
        <v>0.91217590000000004</v>
      </c>
      <c r="I6430">
        <v>130.88589999999999</v>
      </c>
      <c r="J6430">
        <v>-180.66220000000001</v>
      </c>
      <c r="K6430">
        <v>1.1002110000000001</v>
      </c>
      <c r="L6430">
        <v>130.4922</v>
      </c>
      <c r="M6430">
        <v>0.65591540000000004</v>
      </c>
      <c r="N6430">
        <v>-2.0386149999999999E-2</v>
      </c>
      <c r="O6430">
        <v>0.75455899999999998</v>
      </c>
      <c r="P6430">
        <v>0.70458460000000001</v>
      </c>
      <c r="Q6430">
        <v>0.38771879999999997</v>
      </c>
      <c r="R6430">
        <v>0.59433539999999996</v>
      </c>
      <c r="S6430">
        <v>2.9432369999999999</v>
      </c>
      <c r="T6430">
        <v>-0.74150319999999903</v>
      </c>
      <c r="U6430">
        <v>2.0500340000000001</v>
      </c>
      <c r="V6430">
        <v>0.15298529999999999</v>
      </c>
      <c r="W6430">
        <v>0.40214309999999998</v>
      </c>
      <c r="X6430">
        <v>0.90270510000000004</v>
      </c>
      <c r="Y6430">
        <v>0.23080139999999999</v>
      </c>
      <c r="Z6430">
        <v>-0.1556043</v>
      </c>
      <c r="AA6430">
        <v>0.96047800000000005</v>
      </c>
      <c r="AB6430">
        <v>28</v>
      </c>
      <c r="AC6430">
        <v>0.62690000000000601</v>
      </c>
      <c r="AD6430">
        <v>-0.18803510000000001</v>
      </c>
      <c r="AE6430">
        <v>0.393699999999995</v>
      </c>
      <c r="AF6430">
        <v>0.20182222493208701</v>
      </c>
      <c r="AG6430">
        <v>-0.18803510000000001</v>
      </c>
      <c r="AH6430">
        <v>0.66547408294705301</v>
      </c>
      <c r="AI6430">
        <v>105.130751086803</v>
      </c>
      <c r="AJ6430">
        <v>73.128716018334899</v>
      </c>
      <c r="AK6430">
        <v>0.72037848689613804</v>
      </c>
      <c r="AL6430">
        <v>66.287778366641703</v>
      </c>
      <c r="AM6430">
        <v>80.381232507633598</v>
      </c>
      <c r="AN6430">
        <v>1.00000003622985</v>
      </c>
    </row>
    <row r="6431" spans="1:40" x14ac:dyDescent="0.25">
      <c r="A6431" t="str">
        <f>"20190304164535465"</f>
        <v>20190304164535465</v>
      </c>
      <c r="B6431" t="str">
        <f>"1551689135456852"</f>
        <v>1551689135456852</v>
      </c>
      <c r="C6431" t="s">
        <v>40</v>
      </c>
      <c r="D6431">
        <v>5.5745930000000001</v>
      </c>
      <c r="E6431">
        <v>0.55892159999999902</v>
      </c>
      <c r="F6431" t="s">
        <v>41</v>
      </c>
      <c r="G6431">
        <v>-180.04599999999999</v>
      </c>
      <c r="H6431">
        <v>0.9446388</v>
      </c>
      <c r="I6431">
        <v>130.91370000000001</v>
      </c>
      <c r="J6431">
        <v>-180.535</v>
      </c>
      <c r="K6431">
        <v>1.100195</v>
      </c>
      <c r="L6431">
        <v>130.62360000000001</v>
      </c>
      <c r="M6431">
        <v>0.66306860000000001</v>
      </c>
      <c r="N6431">
        <v>-2.0301010000000001E-2</v>
      </c>
      <c r="O6431">
        <v>0.74828329999999998</v>
      </c>
      <c r="P6431">
        <v>0.71075699999999997</v>
      </c>
      <c r="Q6431">
        <v>0.38562659999999999</v>
      </c>
      <c r="R6431">
        <v>0.58831679999999997</v>
      </c>
      <c r="S6431">
        <v>2.96048</v>
      </c>
      <c r="T6431">
        <v>-0.74698719999999996</v>
      </c>
      <c r="U6431">
        <v>2.0253139999999998</v>
      </c>
      <c r="V6431">
        <v>0.15286429999999901</v>
      </c>
      <c r="W6431">
        <v>0.39999440000000003</v>
      </c>
      <c r="X6431">
        <v>0.90367969999999997</v>
      </c>
      <c r="Y6431">
        <v>0.2294996</v>
      </c>
      <c r="Z6431">
        <v>-0.15581220000000001</v>
      </c>
      <c r="AA6431">
        <v>0.96075619999999995</v>
      </c>
      <c r="AB6431">
        <v>28</v>
      </c>
      <c r="AC6431">
        <v>0.48900000000000399</v>
      </c>
      <c r="AD6431">
        <v>-0.15555619999999901</v>
      </c>
      <c r="AE6431">
        <v>0.29009999999999497</v>
      </c>
      <c r="AF6431">
        <v>0.16150156688954401</v>
      </c>
      <c r="AG6431">
        <v>-0.15555619999999901</v>
      </c>
      <c r="AH6431">
        <v>0.50372484493525505</v>
      </c>
      <c r="AI6431">
        <v>106.386887803202</v>
      </c>
      <c r="AJ6431">
        <v>72.223388247637999</v>
      </c>
      <c r="AK6431">
        <v>0.55137936746968097</v>
      </c>
      <c r="AL6431">
        <v>66.422171784840899</v>
      </c>
      <c r="AM6431">
        <v>80.398870797329906</v>
      </c>
      <c r="AN6431">
        <v>1.0000000072189601</v>
      </c>
    </row>
    <row r="6432" spans="1:40" x14ac:dyDescent="0.25">
      <c r="A6432" t="str">
        <f>"20190304164535477"</f>
        <v>20190304164535477</v>
      </c>
      <c r="B6432" t="str">
        <f>"1551689135466612"</f>
        <v>1551689135466612</v>
      </c>
      <c r="C6432" t="s">
        <v>40</v>
      </c>
      <c r="D6432">
        <v>5.6404540000000001</v>
      </c>
      <c r="E6432">
        <v>0.55886359999999902</v>
      </c>
      <c r="F6432" t="s">
        <v>41</v>
      </c>
      <c r="G6432">
        <v>-179.85919999999999</v>
      </c>
      <c r="H6432">
        <v>0.92891219999999997</v>
      </c>
      <c r="I6432">
        <v>131.0763</v>
      </c>
      <c r="J6432">
        <v>-180.4333</v>
      </c>
      <c r="K6432">
        <v>1.1001749999999999</v>
      </c>
      <c r="L6432">
        <v>130.72739999999999</v>
      </c>
      <c r="M6432">
        <v>0.6687303</v>
      </c>
      <c r="N6432">
        <v>-2.0224079999999998E-2</v>
      </c>
      <c r="O6432">
        <v>0.74322999999999995</v>
      </c>
      <c r="P6432">
        <v>0.715221</v>
      </c>
      <c r="Q6432">
        <v>0.38471929999999999</v>
      </c>
      <c r="R6432">
        <v>0.58348089999999997</v>
      </c>
      <c r="S6432">
        <v>2.9782259999999998</v>
      </c>
      <c r="T6432">
        <v>-0.75434209999999902</v>
      </c>
      <c r="U6432">
        <v>1.9956670000000001</v>
      </c>
      <c r="V6432">
        <v>0.1524662</v>
      </c>
      <c r="W6432">
        <v>0.39903749999999999</v>
      </c>
      <c r="X6432">
        <v>0.90416989999999997</v>
      </c>
      <c r="Y6432">
        <v>0.23109759999999999</v>
      </c>
      <c r="Z6432">
        <v>-0.1569161</v>
      </c>
      <c r="AA6432">
        <v>0.96019330000000003</v>
      </c>
      <c r="AB6432">
        <v>28</v>
      </c>
      <c r="AC6432">
        <v>0.57410000000001504</v>
      </c>
      <c r="AD6432">
        <v>-0.17126279999999899</v>
      </c>
      <c r="AE6432">
        <v>0.34890000000001398</v>
      </c>
      <c r="AF6432">
        <v>0.181605538484335</v>
      </c>
      <c r="AG6432">
        <v>-0.17126279999999899</v>
      </c>
      <c r="AH6432">
        <v>0.60410258236896097</v>
      </c>
      <c r="AI6432">
        <v>105.18948374498</v>
      </c>
      <c r="AJ6432">
        <v>73.268151918548597</v>
      </c>
      <c r="AK6432">
        <v>0.65364474165778497</v>
      </c>
      <c r="AL6432">
        <v>66.481979220105899</v>
      </c>
      <c r="AM6432">
        <v>80.428506967625296</v>
      </c>
      <c r="AN6432">
        <v>1.00000003830734</v>
      </c>
    </row>
    <row r="6433" spans="1:40" x14ac:dyDescent="0.25">
      <c r="A6433" t="str">
        <f>"20190304164535489"</f>
        <v>20190304164535489</v>
      </c>
      <c r="B6433" t="str">
        <f>"1551689135486132"</f>
        <v>1551689135486132</v>
      </c>
      <c r="C6433" t="s">
        <v>40</v>
      </c>
      <c r="D6433">
        <v>5.6257580000000003</v>
      </c>
      <c r="E6433">
        <v>0.55900459999999996</v>
      </c>
      <c r="F6433" t="s">
        <v>41</v>
      </c>
      <c r="G6433">
        <v>-179.66970000000001</v>
      </c>
      <c r="H6433">
        <v>0.90641210000000005</v>
      </c>
      <c r="I6433">
        <v>131.2312</v>
      </c>
      <c r="J6433">
        <v>-180.32259999999999</v>
      </c>
      <c r="K6433">
        <v>1.1001639999999999</v>
      </c>
      <c r="L6433">
        <v>130.8381</v>
      </c>
      <c r="M6433">
        <v>0.67480419999999997</v>
      </c>
      <c r="N6433">
        <v>-2.0125239999999999E-2</v>
      </c>
      <c r="O6433">
        <v>0.7377224</v>
      </c>
      <c r="P6433">
        <v>0.72007100000000002</v>
      </c>
      <c r="Q6433">
        <v>0.38379750000000001</v>
      </c>
      <c r="R6433">
        <v>0.57809820000000001</v>
      </c>
      <c r="S6433">
        <v>2.9922179999999998</v>
      </c>
      <c r="T6433">
        <v>-0.75930620000000004</v>
      </c>
      <c r="U6433">
        <v>1.97438</v>
      </c>
      <c r="V6433">
        <v>0.1521612</v>
      </c>
      <c r="W6433">
        <v>0.39804489999999998</v>
      </c>
      <c r="X6433">
        <v>0.90465859999999998</v>
      </c>
      <c r="Y6433">
        <v>0.22983609999999999</v>
      </c>
      <c r="Z6433">
        <v>-0.15711059999999999</v>
      </c>
      <c r="AA6433">
        <v>0.96046430000000005</v>
      </c>
      <c r="AB6433">
        <v>28</v>
      </c>
      <c r="AC6433">
        <v>0.65289999999998805</v>
      </c>
      <c r="AD6433">
        <v>-0.1937519</v>
      </c>
      <c r="AE6433">
        <v>0.393100000000003</v>
      </c>
      <c r="AF6433">
        <v>0.203297337759932</v>
      </c>
      <c r="AG6433">
        <v>-0.1937519</v>
      </c>
      <c r="AH6433">
        <v>0.68636388462715703</v>
      </c>
      <c r="AI6433">
        <v>105.14503655361401</v>
      </c>
      <c r="AJ6433">
        <v>73.500990559300604</v>
      </c>
      <c r="AK6433">
        <v>0.74159624352768005</v>
      </c>
      <c r="AL6433">
        <v>66.543986948356206</v>
      </c>
      <c r="AM6433">
        <v>80.452366369262506</v>
      </c>
      <c r="AN6433">
        <v>0.999999977877704</v>
      </c>
    </row>
    <row r="6434" spans="1:40" x14ac:dyDescent="0.25">
      <c r="A6434" t="str">
        <f>"20190304164535502"</f>
        <v>20190304164535502</v>
      </c>
      <c r="B6434" t="str">
        <f>"1551689135496868"</f>
        <v>1551689135496868</v>
      </c>
      <c r="C6434" t="s">
        <v>40</v>
      </c>
      <c r="D6434">
        <v>5.5896030000000003</v>
      </c>
      <c r="E6434">
        <v>0.55901769999999995</v>
      </c>
      <c r="F6434" t="s">
        <v>41</v>
      </c>
      <c r="G6434">
        <v>-179.67769999999999</v>
      </c>
      <c r="H6434">
        <v>0.93663200000000002</v>
      </c>
      <c r="I6434">
        <v>131.2561</v>
      </c>
      <c r="J6434">
        <v>-180.20939999999999</v>
      </c>
      <c r="K6434">
        <v>1.1001430000000001</v>
      </c>
      <c r="L6434">
        <v>130.94929999999999</v>
      </c>
      <c r="M6434">
        <v>0.68094119999999903</v>
      </c>
      <c r="N6434">
        <v>-1.9992369999999999E-2</v>
      </c>
      <c r="O6434">
        <v>0.73206510000000002</v>
      </c>
      <c r="P6434">
        <v>0.72510819999999998</v>
      </c>
      <c r="Q6434">
        <v>0.3832412</v>
      </c>
      <c r="R6434">
        <v>0.57214019999999899</v>
      </c>
      <c r="S6434">
        <v>3.007584</v>
      </c>
      <c r="T6434">
        <v>-0.76266299999999998</v>
      </c>
      <c r="U6434">
        <v>1.9495849999999999</v>
      </c>
      <c r="V6434">
        <v>0.15226020000000001</v>
      </c>
      <c r="W6434">
        <v>0.39737149999999999</v>
      </c>
      <c r="X6434">
        <v>0.90493789999999996</v>
      </c>
      <c r="Y6434">
        <v>0.2294659</v>
      </c>
      <c r="Z6434">
        <v>-0.1570358</v>
      </c>
      <c r="AA6434">
        <v>0.960565</v>
      </c>
      <c r="AB6434">
        <v>28</v>
      </c>
      <c r="AC6434">
        <v>0.53169999999999995</v>
      </c>
      <c r="AD6434">
        <v>-0.16351099999999999</v>
      </c>
      <c r="AE6434">
        <v>0.30680000000000901</v>
      </c>
      <c r="AF6434">
        <v>0.16841351386901099</v>
      </c>
      <c r="AG6434">
        <v>-0.16351099999999999</v>
      </c>
      <c r="AH6434">
        <v>0.54789838479288699</v>
      </c>
      <c r="AI6434">
        <v>105.92138306218401</v>
      </c>
      <c r="AJ6434">
        <v>72.913570225541903</v>
      </c>
      <c r="AK6434">
        <v>0.59606341846598998</v>
      </c>
      <c r="AL6434">
        <v>66.586037759869299</v>
      </c>
      <c r="AM6434">
        <v>80.449163235999606</v>
      </c>
      <c r="AN6434">
        <v>0.99999994018634797</v>
      </c>
    </row>
    <row r="6435" spans="1:40" x14ac:dyDescent="0.25">
      <c r="A6435" t="str">
        <f>"20190304164535515"</f>
        <v>20190304164535515</v>
      </c>
      <c r="B6435" t="str">
        <f>"1551689135506628"</f>
        <v>1551689135506628</v>
      </c>
      <c r="C6435" t="s">
        <v>40</v>
      </c>
      <c r="D6435">
        <v>5.601337</v>
      </c>
      <c r="E6435">
        <v>0.55901040000000002</v>
      </c>
      <c r="F6435" t="s">
        <v>41</v>
      </c>
      <c r="G6435">
        <v>-179.4863</v>
      </c>
      <c r="H6435">
        <v>0.91691239999999996</v>
      </c>
      <c r="I6435">
        <v>131.40969999999999</v>
      </c>
      <c r="J6435">
        <v>-180.0889</v>
      </c>
      <c r="K6435">
        <v>1.100117</v>
      </c>
      <c r="L6435">
        <v>131.06649999999999</v>
      </c>
      <c r="M6435">
        <v>0.68740579999999996</v>
      </c>
      <c r="N6435">
        <v>-1.982739E-2</v>
      </c>
      <c r="O6435">
        <v>0.72600290000000001</v>
      </c>
      <c r="P6435">
        <v>0.73044929999999997</v>
      </c>
      <c r="Q6435">
        <v>0.3829304</v>
      </c>
      <c r="R6435">
        <v>0.56551580000000001</v>
      </c>
      <c r="S6435">
        <v>3.0232239999999999</v>
      </c>
      <c r="T6435">
        <v>-0.76552739999999997</v>
      </c>
      <c r="U6435">
        <v>1.9247590000000001</v>
      </c>
      <c r="V6435">
        <v>0.15257699999999999</v>
      </c>
      <c r="W6435">
        <v>0.3969068</v>
      </c>
      <c r="X6435">
        <v>0.90508849999999996</v>
      </c>
      <c r="Y6435">
        <v>0.2286765</v>
      </c>
      <c r="Z6435">
        <v>-0.15674089999999999</v>
      </c>
      <c r="AA6435">
        <v>0.96080140000000003</v>
      </c>
      <c r="AB6435">
        <v>28</v>
      </c>
      <c r="AC6435">
        <v>0.60259999999999503</v>
      </c>
      <c r="AD6435">
        <v>-0.1832046</v>
      </c>
      <c r="AE6435">
        <v>0.34319999999999501</v>
      </c>
      <c r="AF6435">
        <v>0.188458396860398</v>
      </c>
      <c r="AG6435">
        <v>-0.1832046</v>
      </c>
      <c r="AH6435">
        <v>0.62023765905050698</v>
      </c>
      <c r="AI6435">
        <v>105.781339545544</v>
      </c>
      <c r="AJ6435">
        <v>73.098664815353501</v>
      </c>
      <c r="AK6435">
        <v>0.67362841872415402</v>
      </c>
      <c r="AL6435">
        <v>66.615049804316598</v>
      </c>
      <c r="AM6435">
        <v>80.431221480394996</v>
      </c>
      <c r="AN6435">
        <v>0.99999997082374403</v>
      </c>
    </row>
    <row r="6436" spans="1:40" x14ac:dyDescent="0.25">
      <c r="A6436" t="str">
        <f>"20190304164535527"</f>
        <v>20190304164535527</v>
      </c>
      <c r="B6436" t="str">
        <f>"1551689135516388"</f>
        <v>1551689135516388</v>
      </c>
      <c r="C6436" t="s">
        <v>40</v>
      </c>
      <c r="D6436">
        <v>5.5817069999999998</v>
      </c>
      <c r="E6436">
        <v>0.55906279999999997</v>
      </c>
      <c r="F6436" t="s">
        <v>41</v>
      </c>
      <c r="G6436">
        <v>-179.29409999999999</v>
      </c>
      <c r="H6436">
        <v>0.89939309999999995</v>
      </c>
      <c r="I6436">
        <v>131.56280000000001</v>
      </c>
      <c r="J6436">
        <v>-179.97499999999999</v>
      </c>
      <c r="K6436">
        <v>1.100087</v>
      </c>
      <c r="L6436">
        <v>131.17429999999999</v>
      </c>
      <c r="M6436">
        <v>0.693407</v>
      </c>
      <c r="N6436">
        <v>-1.9628159999999999E-2</v>
      </c>
      <c r="O6436">
        <v>0.72027869999999905</v>
      </c>
      <c r="P6436">
        <v>0.73565380000000002</v>
      </c>
      <c r="Q6436">
        <v>0.3826775</v>
      </c>
      <c r="R6436">
        <v>0.55890209999999996</v>
      </c>
      <c r="S6436">
        <v>3.0398559999999999</v>
      </c>
      <c r="T6436">
        <v>-0.76786100000000002</v>
      </c>
      <c r="U6436">
        <v>1.8984220000000001</v>
      </c>
      <c r="V6436">
        <v>0.15331649999999999</v>
      </c>
      <c r="W6436">
        <v>0.3964551</v>
      </c>
      <c r="X6436">
        <v>0.90516160000000001</v>
      </c>
      <c r="Y6436">
        <v>0.2289273</v>
      </c>
      <c r="Z6436">
        <v>-0.15646840000000001</v>
      </c>
      <c r="AA6436">
        <v>0.96078609999999998</v>
      </c>
      <c r="AB6436">
        <v>28</v>
      </c>
      <c r="AC6436">
        <v>0.68090000000000805</v>
      </c>
      <c r="AD6436">
        <v>-0.20069390000000001</v>
      </c>
      <c r="AE6436">
        <v>0.388500000000021</v>
      </c>
      <c r="AF6436">
        <v>0.207492686557707</v>
      </c>
      <c r="AG6436">
        <v>-0.20069390000000001</v>
      </c>
      <c r="AH6436">
        <v>0.70585248082331198</v>
      </c>
      <c r="AI6436">
        <v>105.258274908148</v>
      </c>
      <c r="AJ6436">
        <v>73.618751618441806</v>
      </c>
      <c r="AK6436">
        <v>0.76260014500166995</v>
      </c>
      <c r="AL6436">
        <v>66.643245586770306</v>
      </c>
      <c r="AM6436">
        <v>80.386469769040701</v>
      </c>
      <c r="AN6436">
        <v>1.0000000588014</v>
      </c>
    </row>
    <row r="6437" spans="1:40" x14ac:dyDescent="0.25">
      <c r="A6437" t="str">
        <f>"20190304164535540"</f>
        <v>20190304164535540</v>
      </c>
      <c r="B6437" t="str">
        <f>"1551689135536883"</f>
        <v>1551689135536883</v>
      </c>
      <c r="C6437" t="s">
        <v>40</v>
      </c>
      <c r="D6437">
        <v>5.5639419999999999</v>
      </c>
      <c r="E6437">
        <v>0.55929980000000001</v>
      </c>
      <c r="F6437" t="s">
        <v>41</v>
      </c>
      <c r="G6437">
        <v>-179.30080000000001</v>
      </c>
      <c r="H6437">
        <v>0.93034919999999999</v>
      </c>
      <c r="I6437">
        <v>131.58760000000001</v>
      </c>
      <c r="J6437">
        <v>-179.85480000000001</v>
      </c>
      <c r="K6437">
        <v>1.100058</v>
      </c>
      <c r="L6437">
        <v>131.2867</v>
      </c>
      <c r="M6437">
        <v>0.69964989999999905</v>
      </c>
      <c r="N6437">
        <v>-1.9409900000000001E-2</v>
      </c>
      <c r="O6437">
        <v>0.71422220000000003</v>
      </c>
      <c r="P6437">
        <v>0.74093089999999995</v>
      </c>
      <c r="Q6437">
        <v>0.3823645</v>
      </c>
      <c r="R6437">
        <v>0.55210409999999999</v>
      </c>
      <c r="S6437">
        <v>3.0553590000000002</v>
      </c>
      <c r="T6437">
        <v>-0.76940299999999995</v>
      </c>
      <c r="U6437">
        <v>1.872879</v>
      </c>
      <c r="V6437">
        <v>0.153869899999999</v>
      </c>
      <c r="W6437">
        <v>0.39593489999999998</v>
      </c>
      <c r="X6437">
        <v>0.90529530000000002</v>
      </c>
      <c r="Y6437">
        <v>0.22848850000000001</v>
      </c>
      <c r="Z6437">
        <v>-0.1559287</v>
      </c>
      <c r="AA6437">
        <v>0.96097829999999995</v>
      </c>
      <c r="AB6437">
        <v>28</v>
      </c>
      <c r="AC6437">
        <v>0.55400000000000205</v>
      </c>
      <c r="AD6437">
        <v>-0.16970879999999999</v>
      </c>
      <c r="AE6437">
        <v>0.30090000000001199</v>
      </c>
      <c r="AF6437">
        <v>0.17267658953173501</v>
      </c>
      <c r="AG6437">
        <v>-0.16970879999999999</v>
      </c>
      <c r="AH6437">
        <v>0.56191102025443795</v>
      </c>
      <c r="AI6437">
        <v>106.103256299126</v>
      </c>
      <c r="AJ6437">
        <v>72.917682669827101</v>
      </c>
      <c r="AK6437">
        <v>0.61185151471017396</v>
      </c>
      <c r="AL6437">
        <v>66.675705503418996</v>
      </c>
      <c r="AM6437">
        <v>80.353818566538195</v>
      </c>
      <c r="AN6437">
        <v>0.99999998568305404</v>
      </c>
    </row>
    <row r="6438" spans="1:40" x14ac:dyDescent="0.25">
      <c r="A6438" t="str">
        <f>"20190304164535555"</f>
        <v>20190304164535555</v>
      </c>
      <c r="B6438" t="str">
        <f>"1551689135546644"</f>
        <v>1551689135546644</v>
      </c>
      <c r="C6438" t="s">
        <v>40</v>
      </c>
      <c r="D6438">
        <v>5.6007569999999998</v>
      </c>
      <c r="E6438">
        <v>0.55940319999999899</v>
      </c>
      <c r="F6438" t="s">
        <v>41</v>
      </c>
      <c r="G6438">
        <v>-179.10560000000001</v>
      </c>
      <c r="H6438">
        <v>0.91228220000000004</v>
      </c>
      <c r="I6438">
        <v>131.73650000000001</v>
      </c>
      <c r="J6438">
        <v>-179.71709999999999</v>
      </c>
      <c r="K6438">
        <v>1.1000270000000001</v>
      </c>
      <c r="L6438">
        <v>131.4135</v>
      </c>
      <c r="M6438">
        <v>0.70668489999999995</v>
      </c>
      <c r="N6438">
        <v>-1.9151459999999999E-2</v>
      </c>
      <c r="O6438">
        <v>0.70726909999999998</v>
      </c>
      <c r="P6438">
        <v>0.74731069999999999</v>
      </c>
      <c r="Q6438">
        <v>0.38204900000000003</v>
      </c>
      <c r="R6438">
        <v>0.54365929999999996</v>
      </c>
      <c r="S6438">
        <v>3.0717469999999998</v>
      </c>
      <c r="T6438">
        <v>-0.769455</v>
      </c>
      <c r="U6438">
        <v>1.8443149999999999</v>
      </c>
      <c r="V6438">
        <v>0.15527759999999999</v>
      </c>
      <c r="W6438">
        <v>0.39535160000000003</v>
      </c>
      <c r="X6438">
        <v>0.9053099</v>
      </c>
      <c r="Y6438">
        <v>0.22777739999999999</v>
      </c>
      <c r="Z6438">
        <v>-0.1549439</v>
      </c>
      <c r="AA6438">
        <v>0.96130629999999995</v>
      </c>
      <c r="AB6438">
        <v>28</v>
      </c>
      <c r="AC6438">
        <v>0.61149999999997795</v>
      </c>
      <c r="AD6438">
        <v>-0.18774479999999999</v>
      </c>
      <c r="AE6438">
        <v>0.323000000000007</v>
      </c>
      <c r="AF6438">
        <v>0.190251657575017</v>
      </c>
      <c r="AG6438">
        <v>-0.18774479999999999</v>
      </c>
      <c r="AH6438">
        <v>0.61535495499439696</v>
      </c>
      <c r="AI6438">
        <v>106.25069231571401</v>
      </c>
      <c r="AJ6438">
        <v>72.819758990981398</v>
      </c>
      <c r="AK6438">
        <v>0.67089904141624601</v>
      </c>
      <c r="AL6438">
        <v>66.712096185837495</v>
      </c>
      <c r="AM6438">
        <v>80.267403557508501</v>
      </c>
      <c r="AN6438">
        <v>1.0000000178611601</v>
      </c>
    </row>
    <row r="6439" spans="1:40" x14ac:dyDescent="0.25">
      <c r="A6439" t="str">
        <f>"20190304164535577"</f>
        <v>20190304164535577</v>
      </c>
      <c r="B6439" t="str">
        <f>"1551689135566164"</f>
        <v>1551689135566164</v>
      </c>
      <c r="C6439" t="s">
        <v>40</v>
      </c>
      <c r="D6439">
        <v>5.5664410000000002</v>
      </c>
      <c r="E6439">
        <v>0.55960159999999903</v>
      </c>
      <c r="F6439" t="s">
        <v>41</v>
      </c>
      <c r="G6439">
        <v>-178.9102</v>
      </c>
      <c r="H6439">
        <v>0.8987001</v>
      </c>
      <c r="I6439">
        <v>131.88679999999999</v>
      </c>
      <c r="J6439">
        <v>-179.50819999999999</v>
      </c>
      <c r="K6439">
        <v>1.100023</v>
      </c>
      <c r="L6439">
        <v>131.60040000000001</v>
      </c>
      <c r="M6439">
        <v>0.71708479999999997</v>
      </c>
      <c r="N6439">
        <v>-1.8768440000000001E-2</v>
      </c>
      <c r="O6439">
        <v>0.69673319999999905</v>
      </c>
      <c r="P6439">
        <v>0.75619360000000002</v>
      </c>
      <c r="Q6439">
        <v>0.38174910000000001</v>
      </c>
      <c r="R6439">
        <v>0.53144969999999903</v>
      </c>
      <c r="S6439">
        <v>3.0898439999999998</v>
      </c>
      <c r="T6439">
        <v>-0.77089249999999998</v>
      </c>
      <c r="U6439">
        <v>1.8126370000000001</v>
      </c>
      <c r="V6439">
        <v>0.1566256</v>
      </c>
      <c r="W6439">
        <v>0.39468490000000001</v>
      </c>
      <c r="X6439">
        <v>0.90536859999999997</v>
      </c>
      <c r="Y6439">
        <v>0.22329060000000001</v>
      </c>
      <c r="Z6439">
        <v>-0.15338679999999999</v>
      </c>
      <c r="AA6439">
        <v>0.96260780000000001</v>
      </c>
      <c r="AB6439">
        <v>28</v>
      </c>
      <c r="AC6439">
        <v>0.59799999999998399</v>
      </c>
      <c r="AD6439">
        <v>-0.2013229</v>
      </c>
      <c r="AE6439">
        <v>0.286399999999986</v>
      </c>
      <c r="AF6439">
        <v>0.19347358852750399</v>
      </c>
      <c r="AG6439">
        <v>-0.2013229</v>
      </c>
      <c r="AH6439">
        <v>0.57542168464824195</v>
      </c>
      <c r="AI6439">
        <v>108.346903508922</v>
      </c>
      <c r="AJ6439">
        <v>71.415850871775206</v>
      </c>
      <c r="AK6439">
        <v>0.63958819148381796</v>
      </c>
      <c r="AL6439">
        <v>66.753677091130996</v>
      </c>
      <c r="AM6439">
        <v>80.185173245740899</v>
      </c>
      <c r="AN6439">
        <v>1.0000000253646599</v>
      </c>
    </row>
    <row r="6440" spans="1:40" x14ac:dyDescent="0.25">
      <c r="A6440" t="str">
        <f>"20190304164535589"</f>
        <v>20190304164535589</v>
      </c>
      <c r="B6440" t="str">
        <f>"1551689135586659"</f>
        <v>1551689135586659</v>
      </c>
      <c r="C6440" t="s">
        <v>40</v>
      </c>
      <c r="D6440">
        <v>5.356554</v>
      </c>
      <c r="E6440">
        <v>0.5598476</v>
      </c>
      <c r="F6440" t="s">
        <v>41</v>
      </c>
      <c r="G6440">
        <v>-178.7157</v>
      </c>
      <c r="H6440">
        <v>0.90393299999999999</v>
      </c>
      <c r="I6440">
        <v>132.04849999999999</v>
      </c>
      <c r="J6440">
        <v>-179.3862</v>
      </c>
      <c r="K6440">
        <v>1.1000299999999901</v>
      </c>
      <c r="L6440">
        <v>131.7071</v>
      </c>
      <c r="M6440">
        <v>0.72303309999999998</v>
      </c>
      <c r="N6440">
        <v>-1.855213E-2</v>
      </c>
      <c r="O6440">
        <v>0.69056430000000002</v>
      </c>
      <c r="P6440">
        <v>0.76125359999999997</v>
      </c>
      <c r="Q6440">
        <v>0.3814207</v>
      </c>
      <c r="R6440">
        <v>0.52441519999999897</v>
      </c>
      <c r="S6440">
        <v>3.1174930000000001</v>
      </c>
      <c r="T6440">
        <v>-0.77126459999999997</v>
      </c>
      <c r="U6440">
        <v>1.7630920000000001</v>
      </c>
      <c r="V6440">
        <v>0.15733169999999999</v>
      </c>
      <c r="W6440">
        <v>0.39415339999999999</v>
      </c>
      <c r="X6440">
        <v>0.90547770000000005</v>
      </c>
      <c r="Y6440">
        <v>0.2301298</v>
      </c>
      <c r="Z6440">
        <v>-0.15320439999999999</v>
      </c>
      <c r="AA6440">
        <v>0.96102480000000001</v>
      </c>
      <c r="AB6440">
        <v>28</v>
      </c>
      <c r="AC6440">
        <v>0.67050000000000398</v>
      </c>
      <c r="AD6440">
        <v>-0.19609699999999899</v>
      </c>
      <c r="AE6440">
        <v>0.34139999999999299</v>
      </c>
      <c r="AF6440">
        <v>0.202464637312884</v>
      </c>
      <c r="AG6440">
        <v>-0.19609699999999899</v>
      </c>
      <c r="AH6440">
        <v>0.67483792160138101</v>
      </c>
      <c r="AI6440">
        <v>105.553339010922</v>
      </c>
      <c r="AJ6440">
        <v>73.299722849792005</v>
      </c>
      <c r="AK6440">
        <v>0.73133588945334105</v>
      </c>
      <c r="AL6440">
        <v>66.786816145110194</v>
      </c>
      <c r="AM6440">
        <v>80.142956739378505</v>
      </c>
      <c r="AN6440">
        <v>1.00000001587686</v>
      </c>
    </row>
    <row r="6441" spans="1:40" x14ac:dyDescent="0.25">
      <c r="A6441" t="str">
        <f>"20190304164535601"</f>
        <v>20190304164535601</v>
      </c>
      <c r="B6441" t="str">
        <f>"1551689135596419"</f>
        <v>1551689135596419</v>
      </c>
      <c r="C6441" t="s">
        <v>40</v>
      </c>
      <c r="D6441">
        <v>5.3600430000000001</v>
      </c>
      <c r="E6441">
        <v>0.56006040000000001</v>
      </c>
      <c r="F6441" t="s">
        <v>41</v>
      </c>
      <c r="G6441">
        <v>-178.72139999999999</v>
      </c>
      <c r="H6441">
        <v>0.93658140000000001</v>
      </c>
      <c r="I6441">
        <v>132.0746</v>
      </c>
      <c r="J6441">
        <v>-179.2817</v>
      </c>
      <c r="K6441">
        <v>1.1000350000000001</v>
      </c>
      <c r="L6441">
        <v>131.79689999999999</v>
      </c>
      <c r="M6441">
        <v>0.72804669999999905</v>
      </c>
      <c r="N6441">
        <v>-1.837399E-2</v>
      </c>
      <c r="O6441">
        <v>0.68528129999999998</v>
      </c>
      <c r="P6441">
        <v>0.76521549999999905</v>
      </c>
      <c r="Q6441">
        <v>0.38105620000000001</v>
      </c>
      <c r="R6441">
        <v>0.51888500000000004</v>
      </c>
      <c r="S6441">
        <v>3.1334840000000002</v>
      </c>
      <c r="T6441">
        <v>-0.77020699999999997</v>
      </c>
      <c r="U6441">
        <v>1.7322390000000001</v>
      </c>
      <c r="V6441">
        <v>0.157380399999999</v>
      </c>
      <c r="W6441">
        <v>0.39363880000000001</v>
      </c>
      <c r="X6441">
        <v>0.90569310000000003</v>
      </c>
      <c r="Y6441">
        <v>0.23243140000000001</v>
      </c>
      <c r="Z6441">
        <v>-0.1524684</v>
      </c>
      <c r="AA6441">
        <v>0.96058790000000005</v>
      </c>
      <c r="AB6441">
        <v>28</v>
      </c>
      <c r="AC6441">
        <v>0.56030000000001201</v>
      </c>
      <c r="AD6441">
        <v>-0.1634536</v>
      </c>
      <c r="AE6441">
        <v>0.27770000000000999</v>
      </c>
      <c r="AF6441">
        <v>0.17018786094194199</v>
      </c>
      <c r="AG6441">
        <v>-0.1634536</v>
      </c>
      <c r="AH6441">
        <v>0.56006414245818803</v>
      </c>
      <c r="AI6441">
        <v>105.60187727880999</v>
      </c>
      <c r="AJ6441">
        <v>73.097437191691796</v>
      </c>
      <c r="AK6441">
        <v>0.60774405059398195</v>
      </c>
      <c r="AL6441">
        <v>66.818894550843197</v>
      </c>
      <c r="AM6441">
        <v>80.1422644857699</v>
      </c>
      <c r="AN6441">
        <v>1.0000000432786</v>
      </c>
    </row>
    <row r="6442" spans="1:40" x14ac:dyDescent="0.25">
      <c r="A6442" t="str">
        <f>"20190304164535613"</f>
        <v>20190304164535613</v>
      </c>
      <c r="B6442" t="str">
        <f>"1551689135606180"</f>
        <v>1551689135606180</v>
      </c>
      <c r="C6442" t="s">
        <v>40</v>
      </c>
      <c r="D6442">
        <v>5.3652300000000004</v>
      </c>
      <c r="E6442">
        <v>0.56029479999999998</v>
      </c>
      <c r="F6442" t="s">
        <v>41</v>
      </c>
      <c r="G6442">
        <v>-178.5197</v>
      </c>
      <c r="H6442">
        <v>0.91357739999999998</v>
      </c>
      <c r="I6442">
        <v>132.2106</v>
      </c>
      <c r="J6442">
        <v>-179.16480000000001</v>
      </c>
      <c r="K6442">
        <v>1.1000399999999999</v>
      </c>
      <c r="L6442">
        <v>131.8965</v>
      </c>
      <c r="M6442">
        <v>0.73358919999999905</v>
      </c>
      <c r="N6442">
        <v>-1.8179069999999999E-2</v>
      </c>
      <c r="O6442">
        <v>0.67935000000000001</v>
      </c>
      <c r="P6442">
        <v>0.76968789999999998</v>
      </c>
      <c r="Q6442">
        <v>0.38082329999999998</v>
      </c>
      <c r="R6442">
        <v>0.51240059999999998</v>
      </c>
      <c r="S6442">
        <v>3.1455839999999999</v>
      </c>
      <c r="T6442">
        <v>-0.7696345</v>
      </c>
      <c r="U6442">
        <v>1.7079470000000001</v>
      </c>
      <c r="V6442">
        <v>0.15771979999999999</v>
      </c>
      <c r="W6442">
        <v>0.39323150000000001</v>
      </c>
      <c r="X6442">
        <v>0.90581100000000003</v>
      </c>
      <c r="Y6442">
        <v>0.23191690000000001</v>
      </c>
      <c r="Z6442">
        <v>-0.1514818</v>
      </c>
      <c r="AA6442">
        <v>0.96086819999999895</v>
      </c>
      <c r="AB6442">
        <v>28</v>
      </c>
      <c r="AC6442">
        <v>0.645100000000013</v>
      </c>
      <c r="AD6442">
        <v>-0.18646259999999901</v>
      </c>
      <c r="AE6442">
        <v>0.31409999999999599</v>
      </c>
      <c r="AF6442">
        <v>0.19471259277097899</v>
      </c>
      <c r="AG6442">
        <v>-0.18646259999999901</v>
      </c>
      <c r="AH6442">
        <v>0.64329055829462201</v>
      </c>
      <c r="AI6442">
        <v>105.50547762244</v>
      </c>
      <c r="AJ6442">
        <v>73.159871091042007</v>
      </c>
      <c r="AK6442">
        <v>0.69749841388591205</v>
      </c>
      <c r="AL6442">
        <v>66.844278612766999</v>
      </c>
      <c r="AM6442">
        <v>80.122684535874001</v>
      </c>
      <c r="AN6442">
        <v>1.00000005781264</v>
      </c>
    </row>
    <row r="6443" spans="1:40" x14ac:dyDescent="0.25">
      <c r="A6443" t="str">
        <f>"20190304164535624"</f>
        <v>20190304164535624</v>
      </c>
      <c r="B6443" t="str">
        <f>"1551689135616916"</f>
        <v>1551689135616916</v>
      </c>
      <c r="C6443" t="s">
        <v>40</v>
      </c>
      <c r="D6443">
        <v>5.3051820000000003</v>
      </c>
      <c r="E6443">
        <v>0.56050339999999998</v>
      </c>
      <c r="F6443" t="s">
        <v>41</v>
      </c>
      <c r="G6443">
        <v>-178.52539999999999</v>
      </c>
      <c r="H6443">
        <v>0.94456050000000003</v>
      </c>
      <c r="I6443">
        <v>132.2363</v>
      </c>
      <c r="J6443">
        <v>-179.053</v>
      </c>
      <c r="K6443">
        <v>1.100047</v>
      </c>
      <c r="L6443">
        <v>131.98929999999999</v>
      </c>
      <c r="M6443">
        <v>0.73879010000000001</v>
      </c>
      <c r="N6443">
        <v>-1.8006009999999999E-2</v>
      </c>
      <c r="O6443">
        <v>0.67369499999999904</v>
      </c>
      <c r="P6443">
        <v>0.77394600000000002</v>
      </c>
      <c r="Q6443">
        <v>0.38014360000000003</v>
      </c>
      <c r="R6443">
        <v>0.50645669999999998</v>
      </c>
      <c r="S6443">
        <v>3.1597439999999999</v>
      </c>
      <c r="T6443">
        <v>-0.76820659999999996</v>
      </c>
      <c r="U6443">
        <v>1.6794279999999999</v>
      </c>
      <c r="V6443">
        <v>0.15791669999999999</v>
      </c>
      <c r="W6443">
        <v>0.39240229999999998</v>
      </c>
      <c r="X6443">
        <v>0.90613619999999995</v>
      </c>
      <c r="Y6443">
        <v>0.23309759999999999</v>
      </c>
      <c r="Z6443">
        <v>-0.15049960000000001</v>
      </c>
      <c r="AA6443">
        <v>0.9607369</v>
      </c>
      <c r="AB6443">
        <v>28</v>
      </c>
      <c r="AC6443">
        <v>0.52760000000000595</v>
      </c>
      <c r="AD6443">
        <v>-0.1554865</v>
      </c>
      <c r="AE6443">
        <v>0.24700000000001399</v>
      </c>
      <c r="AF6443">
        <v>0.16148455736103301</v>
      </c>
      <c r="AG6443">
        <v>-0.1554865</v>
      </c>
      <c r="AH6443">
        <v>0.51928570181883005</v>
      </c>
      <c r="AI6443">
        <v>105.956182867945</v>
      </c>
      <c r="AJ6443">
        <v>72.725643847066806</v>
      </c>
      <c r="AK6443">
        <v>0.56560671323969702</v>
      </c>
      <c r="AL6443">
        <v>66.895940417284393</v>
      </c>
      <c r="AM6443">
        <v>80.114075975547394</v>
      </c>
      <c r="AN6443">
        <v>1.0000000310673001</v>
      </c>
    </row>
    <row r="6444" spans="1:40" x14ac:dyDescent="0.25">
      <c r="A6444" t="str">
        <f>"20190304164535645"</f>
        <v>20190304164535645</v>
      </c>
      <c r="B6444" t="str">
        <f>"1551689135636435"</f>
        <v>1551689135636435</v>
      </c>
      <c r="C6444" t="s">
        <v>40</v>
      </c>
      <c r="D6444">
        <v>5.2644199999999897</v>
      </c>
      <c r="E6444">
        <v>0.56093749999999998</v>
      </c>
      <c r="F6444" t="s">
        <v>41</v>
      </c>
      <c r="G6444">
        <v>-178.322</v>
      </c>
      <c r="H6444">
        <v>0.92282549999999997</v>
      </c>
      <c r="I6444">
        <v>132.37</v>
      </c>
      <c r="J6444">
        <v>-178.8537</v>
      </c>
      <c r="K6444">
        <v>1.10005</v>
      </c>
      <c r="L6444">
        <v>132.15219999999999</v>
      </c>
      <c r="M6444">
        <v>0.74789139999999998</v>
      </c>
      <c r="N6444">
        <v>-1.7714520000000001E-2</v>
      </c>
      <c r="O6444">
        <v>0.66358459999999997</v>
      </c>
      <c r="P6444">
        <v>0.78075740000000005</v>
      </c>
      <c r="Q6444">
        <v>0.37917380000000001</v>
      </c>
      <c r="R6444">
        <v>0.49663370000000001</v>
      </c>
      <c r="S6444">
        <v>3.1725159999999999</v>
      </c>
      <c r="T6444">
        <v>-0.76867640000000004</v>
      </c>
      <c r="U6444">
        <v>1.65234399999999</v>
      </c>
      <c r="V6444">
        <v>0.1572818</v>
      </c>
      <c r="W6444">
        <v>0.39120680000000002</v>
      </c>
      <c r="X6444">
        <v>0.90676330000000005</v>
      </c>
      <c r="Y6444">
        <v>0.22809789999999999</v>
      </c>
      <c r="Z6444">
        <v>-0.14867659999999999</v>
      </c>
      <c r="AA6444">
        <v>0.96221970000000001</v>
      </c>
      <c r="AB6444">
        <v>28</v>
      </c>
      <c r="AC6444">
        <v>0.53169999999999995</v>
      </c>
      <c r="AD6444">
        <v>-0.17722449999999901</v>
      </c>
      <c r="AE6444">
        <v>0.21780000000001101</v>
      </c>
      <c r="AF6444">
        <v>0.17346422882155099</v>
      </c>
      <c r="AG6444">
        <v>-0.17722449999999901</v>
      </c>
      <c r="AH6444">
        <v>0.49515993266507402</v>
      </c>
      <c r="AI6444">
        <v>108.664254414651</v>
      </c>
      <c r="AJ6444">
        <v>70.693642135329796</v>
      </c>
      <c r="AK6444">
        <v>0.55378851649143601</v>
      </c>
      <c r="AL6444">
        <v>66.970389205385899</v>
      </c>
      <c r="AM6444">
        <v>80.159719321534297</v>
      </c>
      <c r="AN6444">
        <v>1.0000000036021801</v>
      </c>
    </row>
    <row r="6445" spans="1:40" x14ac:dyDescent="0.25">
      <c r="A6445" t="str">
        <f>"20190304164535666"</f>
        <v>20190304164535666</v>
      </c>
      <c r="B6445" t="str">
        <f>"1551689135656932"</f>
        <v>1551689135656932</v>
      </c>
      <c r="C6445" t="s">
        <v>40</v>
      </c>
      <c r="D6445">
        <v>5.5833059999999897</v>
      </c>
      <c r="E6445">
        <v>0.56150140000000004</v>
      </c>
      <c r="F6445" t="s">
        <v>41</v>
      </c>
      <c r="G6445">
        <v>-178.12119999999999</v>
      </c>
      <c r="H6445">
        <v>0.92413540000000005</v>
      </c>
      <c r="I6445">
        <v>132.52019999999999</v>
      </c>
      <c r="J6445">
        <v>-178.6437</v>
      </c>
      <c r="K6445">
        <v>1.10005</v>
      </c>
      <c r="L6445">
        <v>132.31909999999999</v>
      </c>
      <c r="M6445">
        <v>0.75721629999999995</v>
      </c>
      <c r="N6445">
        <v>-1.743718E-2</v>
      </c>
      <c r="O6445">
        <v>0.65293140000000005</v>
      </c>
      <c r="P6445">
        <v>0.78766440000000004</v>
      </c>
      <c r="Q6445">
        <v>0.37808219999999998</v>
      </c>
      <c r="R6445">
        <v>0.48645529999999998</v>
      </c>
      <c r="S6445">
        <v>3.1942599999999999</v>
      </c>
      <c r="T6445">
        <v>-0.76733759999999995</v>
      </c>
      <c r="U6445">
        <v>1.6048279999999999</v>
      </c>
      <c r="V6445">
        <v>0.15649080000000001</v>
      </c>
      <c r="W6445">
        <v>0.3899031</v>
      </c>
      <c r="X6445">
        <v>0.90746139999999997</v>
      </c>
      <c r="Y6445">
        <v>0.22854720000000001</v>
      </c>
      <c r="Z6445">
        <v>-0.14690619999999999</v>
      </c>
      <c r="AA6445">
        <v>0.96238489999999999</v>
      </c>
      <c r="AB6445">
        <v>28</v>
      </c>
      <c r="AC6445">
        <v>0.52250000000000796</v>
      </c>
      <c r="AD6445">
        <v>-0.1759146</v>
      </c>
      <c r="AE6445">
        <v>0.201099999999996</v>
      </c>
      <c r="AF6445">
        <v>0.17193448473446499</v>
      </c>
      <c r="AG6445">
        <v>-0.1759146</v>
      </c>
      <c r="AH6445">
        <v>0.47967312805804002</v>
      </c>
      <c r="AI6445">
        <v>109.04625270852399</v>
      </c>
      <c r="AJ6445">
        <v>70.280242065990905</v>
      </c>
      <c r="AK6445">
        <v>0.53906745711000803</v>
      </c>
      <c r="AL6445">
        <v>67.051529747311093</v>
      </c>
      <c r="AM6445">
        <v>80.215634679146405</v>
      </c>
      <c r="AN6445">
        <v>0.99999999518210403</v>
      </c>
    </row>
    <row r="6446" spans="1:40" x14ac:dyDescent="0.25">
      <c r="A6446" t="str">
        <f>"20190304164535680"</f>
        <v>20190304164535680</v>
      </c>
      <c r="B6446" t="str">
        <f>"1551689135676452"</f>
        <v>1551689135676452</v>
      </c>
      <c r="C6446" t="s">
        <v>40</v>
      </c>
      <c r="D6446">
        <v>5.5652410000000003</v>
      </c>
      <c r="E6446">
        <v>0.56199060000000001</v>
      </c>
      <c r="F6446" t="s">
        <v>41</v>
      </c>
      <c r="G6446">
        <v>-177.9186</v>
      </c>
      <c r="H6446">
        <v>0.92764760000000002</v>
      </c>
      <c r="I6446">
        <v>132.66909999999999</v>
      </c>
      <c r="J6446">
        <v>-178.50899999999999</v>
      </c>
      <c r="K6446">
        <v>1.1000479999999999</v>
      </c>
      <c r="L6446">
        <v>132.4237</v>
      </c>
      <c r="M6446">
        <v>0.76306370000000001</v>
      </c>
      <c r="N6446">
        <v>-1.7274399999999999E-2</v>
      </c>
      <c r="O6446">
        <v>0.64609240000000001</v>
      </c>
      <c r="P6446">
        <v>0.79174699999999998</v>
      </c>
      <c r="Q6446">
        <v>0.37755709999999998</v>
      </c>
      <c r="R6446">
        <v>0.48019499999999998</v>
      </c>
      <c r="S6446">
        <v>3.2167509999999999</v>
      </c>
      <c r="T6446">
        <v>-0.76475780000000004</v>
      </c>
      <c r="U6446">
        <v>1.5529170000000001</v>
      </c>
      <c r="V6446">
        <v>0.1556467</v>
      </c>
      <c r="W6446">
        <v>0.38926230000000001</v>
      </c>
      <c r="X6446">
        <v>0.90788159999999896</v>
      </c>
      <c r="Y6446">
        <v>0.2350749</v>
      </c>
      <c r="Z6446">
        <v>-0.146043799999999</v>
      </c>
      <c r="AA6446">
        <v>0.96094270000000004</v>
      </c>
      <c r="AB6446">
        <v>28</v>
      </c>
      <c r="AC6446">
        <v>0.59040000000001602</v>
      </c>
      <c r="AD6446">
        <v>-0.17240039999999901</v>
      </c>
      <c r="AE6446">
        <v>0.24539999999998899</v>
      </c>
      <c r="AF6446">
        <v>0.18106175043968301</v>
      </c>
      <c r="AG6446">
        <v>-0.17240039999999901</v>
      </c>
      <c r="AH6446">
        <v>0.56786718726167595</v>
      </c>
      <c r="AI6446">
        <v>106.132297485129</v>
      </c>
      <c r="AJ6446">
        <v>72.315365522595499</v>
      </c>
      <c r="AK6446">
        <v>0.620466274475035</v>
      </c>
      <c r="AL6446">
        <v>67.091395058988994</v>
      </c>
      <c r="AM6446">
        <v>80.271817306937507</v>
      </c>
      <c r="AN6446">
        <v>1.00000001652036</v>
      </c>
    </row>
    <row r="6447" spans="1:40" x14ac:dyDescent="0.25">
      <c r="A6447" t="str">
        <f>"20190304164535692"</f>
        <v>20190304164535692</v>
      </c>
      <c r="B6447" t="str">
        <f>"1551689135686212"</f>
        <v>1551689135686212</v>
      </c>
      <c r="C6447" t="s">
        <v>40</v>
      </c>
      <c r="D6447">
        <v>5.5304479999999998</v>
      </c>
      <c r="E6447">
        <v>0.56229549999999995</v>
      </c>
      <c r="F6447" t="s">
        <v>41</v>
      </c>
      <c r="G6447">
        <v>-177.71109999999999</v>
      </c>
      <c r="H6447">
        <v>0.91202130000000003</v>
      </c>
      <c r="I6447">
        <v>132.7988</v>
      </c>
      <c r="J6447">
        <v>-178.38290000000001</v>
      </c>
      <c r="K6447">
        <v>1.1000479999999999</v>
      </c>
      <c r="L6447">
        <v>132.52000000000001</v>
      </c>
      <c r="M6447">
        <v>0.76844290000000004</v>
      </c>
      <c r="N6447">
        <v>-1.7131210000000001E-2</v>
      </c>
      <c r="O6447">
        <v>0.63968899999999995</v>
      </c>
      <c r="P6447">
        <v>0.79539419999999905</v>
      </c>
      <c r="Q6447">
        <v>0.37705929999999999</v>
      </c>
      <c r="R6447">
        <v>0.47452549999999999</v>
      </c>
      <c r="S6447">
        <v>3.2305760000000001</v>
      </c>
      <c r="T6447">
        <v>-0.76095619999999997</v>
      </c>
      <c r="U6447">
        <v>1.51918</v>
      </c>
      <c r="V6447">
        <v>0.15465989999999999</v>
      </c>
      <c r="W6447">
        <v>0.38866879999999998</v>
      </c>
      <c r="X6447">
        <v>0.90830440000000001</v>
      </c>
      <c r="Y6447">
        <v>0.2369463</v>
      </c>
      <c r="Z6447">
        <v>-0.1445504</v>
      </c>
      <c r="AA6447">
        <v>0.96070889999999998</v>
      </c>
      <c r="AB6447">
        <v>28</v>
      </c>
      <c r="AC6447">
        <v>0.67180000000001805</v>
      </c>
      <c r="AD6447">
        <v>-0.18802669999999999</v>
      </c>
      <c r="AE6447">
        <v>0.278799999999989</v>
      </c>
      <c r="AF6447">
        <v>0.202031805018977</v>
      </c>
      <c r="AG6447">
        <v>-0.18802669999999999</v>
      </c>
      <c r="AH6447">
        <v>0.65117185040014702</v>
      </c>
      <c r="AI6447">
        <v>105.417935234727</v>
      </c>
      <c r="AJ6447">
        <v>72.763036049925205</v>
      </c>
      <c r="AK6447">
        <v>0.70724512646300097</v>
      </c>
      <c r="AL6447">
        <v>67.128306467581595</v>
      </c>
      <c r="AM6447">
        <v>80.336741636687407</v>
      </c>
      <c r="AN6447">
        <v>1.0000000019104001</v>
      </c>
    </row>
    <row r="6448" spans="1:40" x14ac:dyDescent="0.25">
      <c r="A6448" t="str">
        <f>"20190304164535702"</f>
        <v>20190304164535702</v>
      </c>
      <c r="B6448" t="str">
        <f>"1551689135696948"</f>
        <v>1551689135696948</v>
      </c>
      <c r="C6448" t="s">
        <v>40</v>
      </c>
      <c r="D6448">
        <v>5.5474209999999999</v>
      </c>
      <c r="E6448">
        <v>0.5625772</v>
      </c>
      <c r="F6448" t="s">
        <v>41</v>
      </c>
      <c r="G6448">
        <v>-177.7165</v>
      </c>
      <c r="H6448">
        <v>0.94389619999999996</v>
      </c>
      <c r="I6448">
        <v>132.82640000000001</v>
      </c>
      <c r="J6448">
        <v>-178.27440000000001</v>
      </c>
      <c r="K6448">
        <v>1.1000449999999999</v>
      </c>
      <c r="L6448">
        <v>132.601</v>
      </c>
      <c r="M6448">
        <v>0.7729935</v>
      </c>
      <c r="N6448">
        <v>-1.7019360000000001E-2</v>
      </c>
      <c r="O6448">
        <v>0.63418569999999996</v>
      </c>
      <c r="P6448">
        <v>0.79847480000000004</v>
      </c>
      <c r="Q6448">
        <v>0.37658520000000001</v>
      </c>
      <c r="R6448">
        <v>0.4697038</v>
      </c>
      <c r="S6448">
        <v>3.2422789999999999</v>
      </c>
      <c r="T6448">
        <v>-0.7592257</v>
      </c>
      <c r="U6448">
        <v>1.490723</v>
      </c>
      <c r="V6448">
        <v>0.15378549999999999</v>
      </c>
      <c r="W6448">
        <v>0.3881231</v>
      </c>
      <c r="X6448">
        <v>0.90868610000000005</v>
      </c>
      <c r="Y6448">
        <v>0.2384019</v>
      </c>
      <c r="Z6448">
        <v>-0.14353679999999999</v>
      </c>
      <c r="AA6448">
        <v>0.96050080000000004</v>
      </c>
      <c r="AB6448">
        <v>28</v>
      </c>
      <c r="AC6448">
        <v>0.55790000000001705</v>
      </c>
      <c r="AD6448">
        <v>-0.1561488</v>
      </c>
      <c r="AE6448">
        <v>0.22540000000000701</v>
      </c>
      <c r="AF6448">
        <v>0.16827325702502</v>
      </c>
      <c r="AG6448">
        <v>-0.1561488</v>
      </c>
      <c r="AH6448">
        <v>0.53804735273265203</v>
      </c>
      <c r="AI6448">
        <v>105.48186700670399</v>
      </c>
      <c r="AJ6448">
        <v>72.633028817295198</v>
      </c>
      <c r="AK6448">
        <v>0.58497289728145896</v>
      </c>
      <c r="AL6448">
        <v>67.162235876882903</v>
      </c>
      <c r="AM6448">
        <v>80.394314515541595</v>
      </c>
      <c r="AN6448">
        <v>0.99999997454853395</v>
      </c>
    </row>
    <row r="6449" spans="1:40" x14ac:dyDescent="0.25">
      <c r="A6449" t="str">
        <f>"20190304164535714"</f>
        <v>20190304164535714</v>
      </c>
      <c r="B6449" t="str">
        <f>"1551689135706708"</f>
        <v>1551689135706708</v>
      </c>
      <c r="C6449" t="s">
        <v>40</v>
      </c>
      <c r="D6449">
        <v>5.5832579999999998</v>
      </c>
      <c r="E6449">
        <v>0.56281359999999903</v>
      </c>
      <c r="F6449" t="s">
        <v>41</v>
      </c>
      <c r="G6449">
        <v>-177.50630000000001</v>
      </c>
      <c r="H6449">
        <v>0.92108500000000004</v>
      </c>
      <c r="I6449">
        <v>132.9469</v>
      </c>
      <c r="J6449">
        <v>-178.16540000000001</v>
      </c>
      <c r="K6449">
        <v>1.1000399999999999</v>
      </c>
      <c r="L6449">
        <v>132.68199999999999</v>
      </c>
      <c r="M6449">
        <v>0.77751429999999999</v>
      </c>
      <c r="N6449">
        <v>-1.6909049999999998E-2</v>
      </c>
      <c r="O6449">
        <v>0.62863809999999998</v>
      </c>
      <c r="P6449">
        <v>0.80137689999999995</v>
      </c>
      <c r="Q6449">
        <v>0.37638539999999998</v>
      </c>
      <c r="R6449">
        <v>0.4648969</v>
      </c>
      <c r="S6449">
        <v>3.25264</v>
      </c>
      <c r="T6449">
        <v>-0.75743559999999999</v>
      </c>
      <c r="U6449">
        <v>1.4649350000000001</v>
      </c>
      <c r="V6449">
        <v>0.15278359999999999</v>
      </c>
      <c r="W6449">
        <v>0.38785500000000001</v>
      </c>
      <c r="X6449">
        <v>0.90896960000000004</v>
      </c>
      <c r="Y6449">
        <v>0.2390639</v>
      </c>
      <c r="Z6449">
        <v>-0.1424251</v>
      </c>
      <c r="AA6449">
        <v>0.96050170000000001</v>
      </c>
      <c r="AB6449">
        <v>28</v>
      </c>
      <c r="AC6449">
        <v>0.65909999999999502</v>
      </c>
      <c r="AD6449">
        <v>-0.178954999999999</v>
      </c>
      <c r="AE6449">
        <v>0.26489999999998298</v>
      </c>
      <c r="AF6449">
        <v>0.195964183960088</v>
      </c>
      <c r="AG6449">
        <v>-0.178954999999999</v>
      </c>
      <c r="AH6449">
        <v>0.63855520692022405</v>
      </c>
      <c r="AI6449">
        <v>104.99830618368</v>
      </c>
      <c r="AJ6449">
        <v>72.939439590840607</v>
      </c>
      <c r="AK6449">
        <v>0.69150531863831199</v>
      </c>
      <c r="AL6449">
        <v>67.178903845710096</v>
      </c>
      <c r="AM6449">
        <v>80.458661883665499</v>
      </c>
      <c r="AN6449">
        <v>1.00000003158905</v>
      </c>
    </row>
    <row r="6450" spans="1:40" x14ac:dyDescent="0.25">
      <c r="A6450" t="str">
        <f>"20190304164535726"</f>
        <v>20190304164535726</v>
      </c>
      <c r="B6450" t="str">
        <f>"1551689135716468"</f>
        <v>1551689135716468</v>
      </c>
      <c r="C6450" t="s">
        <v>40</v>
      </c>
      <c r="D6450">
        <v>5.5895080000000004</v>
      </c>
      <c r="E6450">
        <v>0.56300569999999905</v>
      </c>
      <c r="F6450" t="s">
        <v>41</v>
      </c>
      <c r="G6450">
        <v>-177.29570000000001</v>
      </c>
      <c r="H6450">
        <v>0.89875249999999995</v>
      </c>
      <c r="I6450">
        <v>133.0659</v>
      </c>
      <c r="J6450">
        <v>-178.04230000000001</v>
      </c>
      <c r="K6450">
        <v>1.100039</v>
      </c>
      <c r="L6450">
        <v>132.77099999999999</v>
      </c>
      <c r="M6450">
        <v>0.78252630000000001</v>
      </c>
      <c r="N6450">
        <v>-1.6798540000000001E-2</v>
      </c>
      <c r="O6450">
        <v>0.62239089999999997</v>
      </c>
      <c r="P6450">
        <v>0.80462979999999995</v>
      </c>
      <c r="Q6450">
        <v>0.37594260000000002</v>
      </c>
      <c r="R6450">
        <v>0.45960659999999998</v>
      </c>
      <c r="S6450">
        <v>3.2628330000000001</v>
      </c>
      <c r="T6450">
        <v>-0.75509369999999998</v>
      </c>
      <c r="U6450">
        <v>1.4399869999999999</v>
      </c>
      <c r="V6450">
        <v>0.1515965</v>
      </c>
      <c r="W6450">
        <v>0.38735000000000003</v>
      </c>
      <c r="X6450">
        <v>0.90938350000000001</v>
      </c>
      <c r="Y6450">
        <v>0.2387339</v>
      </c>
      <c r="Z6450">
        <v>-0.1409811</v>
      </c>
      <c r="AA6450">
        <v>0.96079680000000001</v>
      </c>
      <c r="AB6450">
        <v>27</v>
      </c>
      <c r="AC6450">
        <v>0.74660000000000004</v>
      </c>
      <c r="AD6450">
        <v>-0.20128650000000001</v>
      </c>
      <c r="AE6450">
        <v>0.29489999999998401</v>
      </c>
      <c r="AF6450">
        <v>0.220103681011276</v>
      </c>
      <c r="AG6450">
        <v>-0.20128650000000001</v>
      </c>
      <c r="AH6450">
        <v>0.72245975634474902</v>
      </c>
      <c r="AI6450">
        <v>104.92348842892901</v>
      </c>
      <c r="AJ6450">
        <v>73.056184340222302</v>
      </c>
      <c r="AK6450">
        <v>0.781607308700909</v>
      </c>
      <c r="AL6450">
        <v>67.210289617961493</v>
      </c>
      <c r="AM6450">
        <v>80.535680372283593</v>
      </c>
      <c r="AN6450">
        <v>0.99999993569224799</v>
      </c>
    </row>
    <row r="6451" spans="1:40" x14ac:dyDescent="0.25">
      <c r="A6451" t="str">
        <f>"20190304164535744"</f>
        <v>20190304164535744</v>
      </c>
      <c r="B6451" t="str">
        <f>"1551689135736963"</f>
        <v>1551689135736963</v>
      </c>
      <c r="C6451" t="s">
        <v>40</v>
      </c>
      <c r="D6451">
        <v>5.5498640000000004</v>
      </c>
      <c r="E6451">
        <v>0.56341960000000002</v>
      </c>
      <c r="F6451" t="s">
        <v>41</v>
      </c>
      <c r="G6451">
        <v>-177.3</v>
      </c>
      <c r="H6451">
        <v>0.92897549999999995</v>
      </c>
      <c r="I6451">
        <v>133.0916</v>
      </c>
      <c r="J6451">
        <v>-177.8537</v>
      </c>
      <c r="K6451">
        <v>1.100039</v>
      </c>
      <c r="L6451">
        <v>132.90520000000001</v>
      </c>
      <c r="M6451">
        <v>0.79007669999999997</v>
      </c>
      <c r="N6451">
        <v>-1.664117E-2</v>
      </c>
      <c r="O6451">
        <v>0.61278219999999906</v>
      </c>
      <c r="P6451">
        <v>0.80910599999999999</v>
      </c>
      <c r="Q6451">
        <v>0.37636920000000001</v>
      </c>
      <c r="R6451">
        <v>0.45132440000000001</v>
      </c>
      <c r="S6451">
        <v>3.273285</v>
      </c>
      <c r="T6451">
        <v>-0.75424979999999997</v>
      </c>
      <c r="U6451">
        <v>1.4137420000000001</v>
      </c>
      <c r="V6451">
        <v>0.1496902</v>
      </c>
      <c r="W6451">
        <v>0.38768629999999998</v>
      </c>
      <c r="X6451">
        <v>0.90955600000000003</v>
      </c>
      <c r="Y6451">
        <v>0.23472399999999999</v>
      </c>
      <c r="Z6451">
        <v>-0.1389397</v>
      </c>
      <c r="AA6451">
        <v>0.96208130000000003</v>
      </c>
      <c r="AB6451">
        <v>27</v>
      </c>
      <c r="AC6451">
        <v>0.55369999999999198</v>
      </c>
      <c r="AD6451">
        <v>-0.17106350000000001</v>
      </c>
      <c r="AE6451">
        <v>0.18639999999999099</v>
      </c>
      <c r="AF6451">
        <v>0.17688879241840899</v>
      </c>
      <c r="AG6451">
        <v>-0.17106350000000001</v>
      </c>
      <c r="AH6451">
        <v>0.50819588557418705</v>
      </c>
      <c r="AI6451">
        <v>107.635575268343</v>
      </c>
      <c r="AJ6451">
        <v>70.808420372002999</v>
      </c>
      <c r="AK6451">
        <v>0.56463742705387898</v>
      </c>
      <c r="AL6451">
        <v>67.189388653343002</v>
      </c>
      <c r="AM6451">
        <v>80.654320542896599</v>
      </c>
      <c r="AN6451">
        <v>0.99999997015986397</v>
      </c>
    </row>
    <row r="6452" spans="1:40" x14ac:dyDescent="0.25">
      <c r="A6452" t="str">
        <f>"20190304164535757"</f>
        <v>20190304164535757</v>
      </c>
      <c r="B6452" t="str">
        <f>"1551689135746724"</f>
        <v>1551689135746724</v>
      </c>
      <c r="C6452" t="s">
        <v>40</v>
      </c>
      <c r="D6452">
        <v>5.5676209999999999</v>
      </c>
      <c r="E6452">
        <v>0.56359250000000005</v>
      </c>
      <c r="F6452" t="s">
        <v>41</v>
      </c>
      <c r="G6452">
        <v>-177.09010000000001</v>
      </c>
      <c r="H6452">
        <v>0.926481</v>
      </c>
      <c r="I6452">
        <v>133.22389999999999</v>
      </c>
      <c r="J6452">
        <v>-177.72229999999999</v>
      </c>
      <c r="K6452">
        <v>1.100034</v>
      </c>
      <c r="L6452">
        <v>132.99680000000001</v>
      </c>
      <c r="M6452">
        <v>0.79523429999999995</v>
      </c>
      <c r="N6452">
        <v>-1.6541259999999999E-2</v>
      </c>
      <c r="O6452">
        <v>0.60607670000000002</v>
      </c>
      <c r="P6452">
        <v>0.81220190000000003</v>
      </c>
      <c r="Q6452">
        <v>0.37704029999999999</v>
      </c>
      <c r="R6452">
        <v>0.44516149999999999</v>
      </c>
      <c r="S6452">
        <v>3.2894739999999998</v>
      </c>
      <c r="T6452">
        <v>-0.74751230000000002</v>
      </c>
      <c r="U6452">
        <v>1.3733519999999999</v>
      </c>
      <c r="V6452">
        <v>0.14873210000000001</v>
      </c>
      <c r="W6452">
        <v>0.3882893</v>
      </c>
      <c r="X6452">
        <v>0.90945600000000004</v>
      </c>
      <c r="Y6452">
        <v>0.23854310000000001</v>
      </c>
      <c r="Z6452">
        <v>-0.13697210000000001</v>
      </c>
      <c r="AA6452">
        <v>0.9614239</v>
      </c>
      <c r="AB6452">
        <v>27</v>
      </c>
      <c r="AC6452">
        <v>0.632199999999983</v>
      </c>
      <c r="AD6452">
        <v>-0.17355299999999901</v>
      </c>
      <c r="AE6452">
        <v>0.22709999999997799</v>
      </c>
      <c r="AF6452">
        <v>0.189915012273001</v>
      </c>
      <c r="AG6452">
        <v>-0.17355299999999901</v>
      </c>
      <c r="AH6452">
        <v>0.60039860987092497</v>
      </c>
      <c r="AI6452">
        <v>105.408410041496</v>
      </c>
      <c r="AJ6452">
        <v>72.447062157583503</v>
      </c>
      <c r="AK6452">
        <v>0.65319740234525803</v>
      </c>
      <c r="AL6452">
        <v>67.151903956203697</v>
      </c>
      <c r="AM6452">
        <v>80.712089235755002</v>
      </c>
      <c r="AN6452">
        <v>1.0000000170004499</v>
      </c>
    </row>
    <row r="6453" spans="1:40" x14ac:dyDescent="0.25">
      <c r="A6453" t="str">
        <f>"20190304164535768"</f>
        <v>20190304164535768</v>
      </c>
      <c r="B6453" t="str">
        <f>"1551689135756485"</f>
        <v>1551689135756485</v>
      </c>
      <c r="C6453" t="s">
        <v>40</v>
      </c>
      <c r="D6453">
        <v>5.5683879999999997</v>
      </c>
      <c r="E6453">
        <v>0.5637626</v>
      </c>
      <c r="F6453" t="s">
        <v>41</v>
      </c>
      <c r="G6453">
        <v>-176.87690000000001</v>
      </c>
      <c r="H6453">
        <v>0.90988080000000005</v>
      </c>
      <c r="I6453">
        <v>133.34119999999999</v>
      </c>
      <c r="J6453">
        <v>-177.60919999999999</v>
      </c>
      <c r="K6453">
        <v>1.1000299999999901</v>
      </c>
      <c r="L6453">
        <v>133.07399999999899</v>
      </c>
      <c r="M6453">
        <v>0.79960869999999995</v>
      </c>
      <c r="N6453">
        <v>-1.6463539999999999E-2</v>
      </c>
      <c r="O6453">
        <v>0.60029569999999999</v>
      </c>
      <c r="P6453">
        <v>0.81467780000000001</v>
      </c>
      <c r="Q6453">
        <v>0.37786389999999997</v>
      </c>
      <c r="R6453">
        <v>0.43990780000000002</v>
      </c>
      <c r="S6453">
        <v>3.3012999999999999</v>
      </c>
      <c r="T6453">
        <v>-0.74257989999999996</v>
      </c>
      <c r="U6453">
        <v>1.344849</v>
      </c>
      <c r="V6453">
        <v>0.14780109999999999</v>
      </c>
      <c r="W6453">
        <v>0.38906249999999998</v>
      </c>
      <c r="X6453">
        <v>0.90927729999999996</v>
      </c>
      <c r="Y6453">
        <v>0.24008889999999999</v>
      </c>
      <c r="Z6453">
        <v>-0.13525219999999999</v>
      </c>
      <c r="AA6453">
        <v>0.96128259999999999</v>
      </c>
      <c r="AB6453">
        <v>27</v>
      </c>
      <c r="AC6453">
        <v>0.73229999999997997</v>
      </c>
      <c r="AD6453">
        <v>-0.19014919999999899</v>
      </c>
      <c r="AE6453">
        <v>0.26720000000000199</v>
      </c>
      <c r="AF6453">
        <v>0.213281138888824</v>
      </c>
      <c r="AG6453">
        <v>-0.19014919999999899</v>
      </c>
      <c r="AH6453">
        <v>0.70415516764599695</v>
      </c>
      <c r="AI6453">
        <v>104.490666915167</v>
      </c>
      <c r="AJ6453">
        <v>73.148995486119006</v>
      </c>
      <c r="AK6453">
        <v>0.75992108971189598</v>
      </c>
      <c r="AL6453">
        <v>67.103822043201404</v>
      </c>
      <c r="AM6453">
        <v>80.767440875055399</v>
      </c>
      <c r="AN6453">
        <v>1.0000000011813699</v>
      </c>
    </row>
    <row r="6454" spans="1:40" x14ac:dyDescent="0.25">
      <c r="A6454" t="str">
        <f>"20190304164535779"</f>
        <v>20190304164535779</v>
      </c>
      <c r="B6454" t="str">
        <f>"1551689135776980"</f>
        <v>1551689135776980</v>
      </c>
      <c r="C6454" t="s">
        <v>40</v>
      </c>
      <c r="D6454">
        <v>5.5624529999999996</v>
      </c>
      <c r="E6454">
        <v>0.56409279999999995</v>
      </c>
      <c r="F6454" t="s">
        <v>41</v>
      </c>
      <c r="G6454">
        <v>-176.87979999999999</v>
      </c>
      <c r="H6454">
        <v>0.93772180000000005</v>
      </c>
      <c r="I6454">
        <v>133.3647</v>
      </c>
      <c r="J6454">
        <v>-177.49629999999999</v>
      </c>
      <c r="K6454">
        <v>1.1000219999999901</v>
      </c>
      <c r="L6454">
        <v>133.15</v>
      </c>
      <c r="M6454">
        <v>0.80392050000000004</v>
      </c>
      <c r="N6454">
        <v>-1.6391039999999999E-2</v>
      </c>
      <c r="O6454">
        <v>0.59451089999999995</v>
      </c>
      <c r="P6454">
        <v>0.81706219999999996</v>
      </c>
      <c r="Q6454">
        <v>0.37864520000000002</v>
      </c>
      <c r="R6454">
        <v>0.43478430000000001</v>
      </c>
      <c r="S6454">
        <v>3.3116460000000001</v>
      </c>
      <c r="T6454">
        <v>-0.73697109999999899</v>
      </c>
      <c r="U6454">
        <v>1.319672</v>
      </c>
      <c r="V6454">
        <v>0.14675289999999999</v>
      </c>
      <c r="W6454">
        <v>0.38980120000000001</v>
      </c>
      <c r="X6454">
        <v>0.90913069999999896</v>
      </c>
      <c r="Y6454">
        <v>0.24072950000000001</v>
      </c>
      <c r="Z6454">
        <v>-0.133323</v>
      </c>
      <c r="AA6454">
        <v>0.96139189999999997</v>
      </c>
      <c r="AB6454">
        <v>27</v>
      </c>
      <c r="AC6454">
        <v>0.61650000000000205</v>
      </c>
      <c r="AD6454">
        <v>-0.16230019999999901</v>
      </c>
      <c r="AE6454">
        <v>0.21469999999999301</v>
      </c>
      <c r="AF6454">
        <v>0.182650696016424</v>
      </c>
      <c r="AG6454">
        <v>-0.16230019999999901</v>
      </c>
      <c r="AH6454">
        <v>0.58705640067016296</v>
      </c>
      <c r="AI6454">
        <v>104.78774128951601</v>
      </c>
      <c r="AJ6454">
        <v>72.717529295898203</v>
      </c>
      <c r="AK6454">
        <v>0.63587565548865799</v>
      </c>
      <c r="AL6454">
        <v>67.057870176345205</v>
      </c>
      <c r="AM6454">
        <v>80.830348721371294</v>
      </c>
      <c r="AN6454">
        <v>1.0000000094311601</v>
      </c>
    </row>
    <row r="6455" spans="1:40" x14ac:dyDescent="0.25">
      <c r="A6455" t="str">
        <f>"20190304164535790"</f>
        <v>20190304164535790</v>
      </c>
      <c r="B6455" t="str">
        <f>"1551689135786739"</f>
        <v>1551689135786739</v>
      </c>
      <c r="C6455" t="s">
        <v>40</v>
      </c>
      <c r="D6455">
        <v>5.5856379999999897</v>
      </c>
      <c r="E6455">
        <v>0.56422130000000004</v>
      </c>
      <c r="F6455" t="s">
        <v>41</v>
      </c>
      <c r="G6455">
        <v>-176.66380000000001</v>
      </c>
      <c r="H6455">
        <v>0.91704609999999998</v>
      </c>
      <c r="I6455">
        <v>133.47389999999999</v>
      </c>
      <c r="J6455">
        <v>-177.37119999999999</v>
      </c>
      <c r="K6455">
        <v>1.100012</v>
      </c>
      <c r="L6455">
        <v>133.233</v>
      </c>
      <c r="M6455">
        <v>0.80863600000000002</v>
      </c>
      <c r="N6455">
        <v>-1.631672E-2</v>
      </c>
      <c r="O6455">
        <v>0.58808309999999997</v>
      </c>
      <c r="P6455">
        <v>0.81960900000000003</v>
      </c>
      <c r="Q6455">
        <v>0.37958589999999998</v>
      </c>
      <c r="R6455">
        <v>0.42913370000000001</v>
      </c>
      <c r="S6455">
        <v>3.32193</v>
      </c>
      <c r="T6455">
        <v>-0.72960959999999997</v>
      </c>
      <c r="U6455">
        <v>1.2926789999999999</v>
      </c>
      <c r="V6455">
        <v>0.1455497</v>
      </c>
      <c r="W6455">
        <v>0.39070080000000001</v>
      </c>
      <c r="X6455">
        <v>0.90893789999999997</v>
      </c>
      <c r="Y6455">
        <v>0.24116170000000001</v>
      </c>
      <c r="Z6455">
        <v>-0.1309748</v>
      </c>
      <c r="AA6455">
        <v>0.96160630000000002</v>
      </c>
      <c r="AB6455">
        <v>27</v>
      </c>
      <c r="AC6455">
        <v>0.70739999999997805</v>
      </c>
      <c r="AD6455">
        <v>-0.18296589999999999</v>
      </c>
      <c r="AE6455">
        <v>0.24089999999998199</v>
      </c>
      <c r="AF6455">
        <v>0.20872674196725499</v>
      </c>
      <c r="AG6455">
        <v>-0.18296589999999999</v>
      </c>
      <c r="AH6455">
        <v>0.67342441131227004</v>
      </c>
      <c r="AI6455">
        <v>104.54818738174799</v>
      </c>
      <c r="AJ6455">
        <v>72.779267068783795</v>
      </c>
      <c r="AK6455">
        <v>0.72838438418622997</v>
      </c>
      <c r="AL6455">
        <v>67.001886975213907</v>
      </c>
      <c r="AM6455">
        <v>80.902370099397601</v>
      </c>
      <c r="AN6455">
        <v>0.99999996817356895</v>
      </c>
    </row>
    <row r="6456" spans="1:40" x14ac:dyDescent="0.25">
      <c r="A6456" t="str">
        <f>"20190304164535804"</f>
        <v>20190304164535804</v>
      </c>
      <c r="B6456" t="str">
        <f>"1551689135796499"</f>
        <v>1551689135796499</v>
      </c>
      <c r="C6456" t="s">
        <v>40</v>
      </c>
      <c r="D6456">
        <v>5.4937100000000001</v>
      </c>
      <c r="E6456">
        <v>0.56432550000000004</v>
      </c>
      <c r="F6456" t="s">
        <v>41</v>
      </c>
      <c r="G6456">
        <v>-176.6671</v>
      </c>
      <c r="H6456">
        <v>0.94703649999999995</v>
      </c>
      <c r="I6456">
        <v>133.5001</v>
      </c>
      <c r="J6456">
        <v>-177.2278</v>
      </c>
      <c r="K6456">
        <v>1.0999969999999999</v>
      </c>
      <c r="L6456">
        <v>133.32589999999999</v>
      </c>
      <c r="M6456">
        <v>0.81395640000000002</v>
      </c>
      <c r="N6456">
        <v>-1.6241559999999999E-2</v>
      </c>
      <c r="O6456">
        <v>0.58069879999999996</v>
      </c>
      <c r="P6456">
        <v>0.82258159999999902</v>
      </c>
      <c r="Q6456">
        <v>0.38030599999999998</v>
      </c>
      <c r="R6456">
        <v>0.4227612</v>
      </c>
      <c r="S6456">
        <v>3.3332670000000002</v>
      </c>
      <c r="T6456">
        <v>-0.72360899999999995</v>
      </c>
      <c r="U6456">
        <v>1.264618</v>
      </c>
      <c r="V6456">
        <v>0.1441596</v>
      </c>
      <c r="W6456">
        <v>0.3913836</v>
      </c>
      <c r="X6456">
        <v>0.9088657</v>
      </c>
      <c r="Y6456">
        <v>0.2408497</v>
      </c>
      <c r="Z6456">
        <v>-0.12863810000000001</v>
      </c>
      <c r="AA6456">
        <v>0.96199979999999996</v>
      </c>
      <c r="AB6456">
        <v>27</v>
      </c>
      <c r="AC6456">
        <v>0.56069999999999698</v>
      </c>
      <c r="AD6456">
        <v>-0.152960499999999</v>
      </c>
      <c r="AE6456">
        <v>0.17420000000001301</v>
      </c>
      <c r="AF6456">
        <v>0.17214719815561899</v>
      </c>
      <c r="AG6456">
        <v>-0.152960499999999</v>
      </c>
      <c r="AH6456">
        <v>0.52217642579248502</v>
      </c>
      <c r="AI6456">
        <v>105.546602215531</v>
      </c>
      <c r="AJ6456">
        <v>71.754034259452595</v>
      </c>
      <c r="AK6456">
        <v>0.57070114074399303</v>
      </c>
      <c r="AL6456">
        <v>66.959381210877396</v>
      </c>
      <c r="AM6456">
        <v>80.987121816033806</v>
      </c>
      <c r="AN6456">
        <v>0.99999998662880396</v>
      </c>
    </row>
    <row r="6457" spans="1:40" x14ac:dyDescent="0.25">
      <c r="A6457" t="str">
        <f>"20190304164535817"</f>
        <v>20190304164535817</v>
      </c>
      <c r="B6457" t="str">
        <f>"1551689135806260"</f>
        <v>1551689135806260</v>
      </c>
      <c r="C6457" t="s">
        <v>40</v>
      </c>
      <c r="D6457">
        <v>5.5047800000000002</v>
      </c>
      <c r="E6457">
        <v>0.56442539999999997</v>
      </c>
      <c r="F6457" t="s">
        <v>41</v>
      </c>
      <c r="G6457">
        <v>-176.45099999999999</v>
      </c>
      <c r="H6457">
        <v>0.93301480000000003</v>
      </c>
      <c r="I6457">
        <v>133.61259999999999</v>
      </c>
      <c r="J6457">
        <v>-177.0899</v>
      </c>
      <c r="K6457">
        <v>1.0999829999999999</v>
      </c>
      <c r="L6457">
        <v>133.41390000000001</v>
      </c>
      <c r="M6457">
        <v>0.81900069999999903</v>
      </c>
      <c r="N6457">
        <v>-1.6175040000000002E-2</v>
      </c>
      <c r="O6457">
        <v>0.57356459999999998</v>
      </c>
      <c r="P6457">
        <v>0.8255728</v>
      </c>
      <c r="Q6457">
        <v>0.38098389999999999</v>
      </c>
      <c r="R6457">
        <v>0.41626999999999997</v>
      </c>
      <c r="S6457">
        <v>3.3448790000000002</v>
      </c>
      <c r="T6457">
        <v>-0.71891830000000001</v>
      </c>
      <c r="U6457">
        <v>1.2346950000000001</v>
      </c>
      <c r="V6457">
        <v>0.14322470000000001</v>
      </c>
      <c r="W6457">
        <v>0.39201849999999999</v>
      </c>
      <c r="X6457">
        <v>0.90873990000000004</v>
      </c>
      <c r="Y6457">
        <v>0.2413158</v>
      </c>
      <c r="Z6457">
        <v>-0.12667149999999999</v>
      </c>
      <c r="AA6457">
        <v>0.962144</v>
      </c>
      <c r="AB6457">
        <v>27</v>
      </c>
      <c r="AC6457">
        <v>0.63890000000000602</v>
      </c>
      <c r="AD6457">
        <v>-0.16696819999999901</v>
      </c>
      <c r="AE6457">
        <v>0.19869999999997301</v>
      </c>
      <c r="AF6457">
        <v>0.19179767130734199</v>
      </c>
      <c r="AG6457">
        <v>-0.16696819999999901</v>
      </c>
      <c r="AH6457">
        <v>0.59994910733654006</v>
      </c>
      <c r="AI6457">
        <v>104.846897625702</v>
      </c>
      <c r="AJ6457">
        <v>72.271446760033101</v>
      </c>
      <c r="AK6457">
        <v>0.65161618912061303</v>
      </c>
      <c r="AL6457">
        <v>66.9198455005792</v>
      </c>
      <c r="AM6457">
        <v>81.043401940254398</v>
      </c>
      <c r="AN6457">
        <v>1.00000001244217</v>
      </c>
    </row>
    <row r="6458" spans="1:40" x14ac:dyDescent="0.25">
      <c r="A6458" t="str">
        <f>"20190304164535833"</f>
        <v>20190304164535833</v>
      </c>
      <c r="B6458" t="str">
        <f>"1551689135826755"</f>
        <v>1551689135826755</v>
      </c>
      <c r="C6458" t="s">
        <v>40</v>
      </c>
      <c r="D6458">
        <v>5.5300459999999996</v>
      </c>
      <c r="E6458">
        <v>0.56457259999999998</v>
      </c>
      <c r="F6458" t="s">
        <v>41</v>
      </c>
      <c r="G6458">
        <v>-176.23349999999999</v>
      </c>
      <c r="H6458">
        <v>0.91767449999999995</v>
      </c>
      <c r="I6458">
        <v>133.7209</v>
      </c>
      <c r="J6458">
        <v>-176.92599999999999</v>
      </c>
      <c r="K6458">
        <v>1.0999589999999999</v>
      </c>
      <c r="L6458">
        <v>133.5163</v>
      </c>
      <c r="M6458">
        <v>0.82490390000000002</v>
      </c>
      <c r="N6458">
        <v>-1.610522E-2</v>
      </c>
      <c r="O6458">
        <v>0.56504339999999997</v>
      </c>
      <c r="P6458">
        <v>0.82908680000000001</v>
      </c>
      <c r="Q6458">
        <v>0.3819515</v>
      </c>
      <c r="R6458">
        <v>0.40832360000000001</v>
      </c>
      <c r="S6458">
        <v>3.3565670000000001</v>
      </c>
      <c r="T6458">
        <v>-0.714337</v>
      </c>
      <c r="U6458">
        <v>1.2037199999999999</v>
      </c>
      <c r="V6458">
        <v>0.1423239</v>
      </c>
      <c r="W6458">
        <v>0.3929338</v>
      </c>
      <c r="X6458">
        <v>0.90848609999999996</v>
      </c>
      <c r="Y6458">
        <v>0.24051239999999999</v>
      </c>
      <c r="Z6458">
        <v>-0.1243948</v>
      </c>
      <c r="AA6458">
        <v>0.96264209999999995</v>
      </c>
      <c r="AB6458">
        <v>27</v>
      </c>
      <c r="AC6458">
        <v>0.69249999999999501</v>
      </c>
      <c r="AD6458">
        <v>-0.18228449999999899</v>
      </c>
      <c r="AE6458">
        <v>0.204599999999999</v>
      </c>
      <c r="AF6458">
        <v>0.20921381835179001</v>
      </c>
      <c r="AG6458">
        <v>-0.18228449999999899</v>
      </c>
      <c r="AH6458">
        <v>0.64578963698612502</v>
      </c>
      <c r="AI6458">
        <v>105.03083852156</v>
      </c>
      <c r="AJ6458">
        <v>72.049444088098298</v>
      </c>
      <c r="AK6458">
        <v>0.70288143805926295</v>
      </c>
      <c r="AL6458">
        <v>66.862828086316696</v>
      </c>
      <c r="AM6458">
        <v>81.096382081929505</v>
      </c>
      <c r="AN6458">
        <v>1.0000000287934201</v>
      </c>
    </row>
    <row r="6459" spans="1:40" x14ac:dyDescent="0.25">
      <c r="A6459" t="str">
        <f>"20190304164535848"</f>
        <v>20190304164535848</v>
      </c>
      <c r="B6459" t="str">
        <f>"1551689135836516"</f>
        <v>1551689135836516</v>
      </c>
      <c r="C6459" t="s">
        <v>40</v>
      </c>
      <c r="D6459">
        <v>5.5223129999999996</v>
      </c>
      <c r="E6459">
        <v>0.56458680000000006</v>
      </c>
      <c r="F6459" t="s">
        <v>41</v>
      </c>
      <c r="G6459">
        <v>-176.23759999999999</v>
      </c>
      <c r="H6459">
        <v>0.95515530000000004</v>
      </c>
      <c r="I6459">
        <v>133.755</v>
      </c>
      <c r="J6459">
        <v>-176.77109999999999</v>
      </c>
      <c r="K6459">
        <v>1.099939</v>
      </c>
      <c r="L6459">
        <v>133.61019999999999</v>
      </c>
      <c r="M6459">
        <v>0.83038709999999905</v>
      </c>
      <c r="N6459">
        <v>-1.6050289999999998E-2</v>
      </c>
      <c r="O6459">
        <v>0.55695569999999905</v>
      </c>
      <c r="P6459">
        <v>0.83153619999999995</v>
      </c>
      <c r="Q6459">
        <v>0.38447009999999998</v>
      </c>
      <c r="R6459">
        <v>0.40091209999999999</v>
      </c>
      <c r="S6459">
        <v>3.3693390000000001</v>
      </c>
      <c r="T6459">
        <v>-0.70857599999999998</v>
      </c>
      <c r="U6459">
        <v>1.1686099999999999</v>
      </c>
      <c r="V6459">
        <v>0.14099410000000001</v>
      </c>
      <c r="W6459">
        <v>0.39541510000000002</v>
      </c>
      <c r="X6459">
        <v>0.90761639999999999</v>
      </c>
      <c r="Y6459">
        <v>0.2414415</v>
      </c>
      <c r="Z6459">
        <v>-0.12214709999999999</v>
      </c>
      <c r="AA6459">
        <v>0.96269729999999998</v>
      </c>
      <c r="AB6459">
        <v>27</v>
      </c>
      <c r="AC6459">
        <v>0.53350000000000297</v>
      </c>
      <c r="AD6459">
        <v>-0.14478369999999899</v>
      </c>
      <c r="AE6459">
        <v>0.14480000000000301</v>
      </c>
      <c r="AF6459">
        <v>0.165561671804764</v>
      </c>
      <c r="AG6459">
        <v>-0.14478369999999899</v>
      </c>
      <c r="AH6459">
        <v>0.49010662526066101</v>
      </c>
      <c r="AI6459">
        <v>105.635611770083</v>
      </c>
      <c r="AJ6459">
        <v>71.334648211359905</v>
      </c>
      <c r="AK6459">
        <v>0.53719409069802004</v>
      </c>
      <c r="AL6459">
        <v>66.708134296678395</v>
      </c>
      <c r="AM6459">
        <v>81.169938213766599</v>
      </c>
      <c r="AN6459">
        <v>0.99999998354588904</v>
      </c>
    </row>
    <row r="6460" spans="1:40" x14ac:dyDescent="0.25">
      <c r="A6460" t="str">
        <f>"20190304164535867"</f>
        <v>20190304164535867</v>
      </c>
      <c r="B6460" t="str">
        <f>"1551689135857011"</f>
        <v>1551689135857011</v>
      </c>
      <c r="C6460" t="s">
        <v>40</v>
      </c>
      <c r="D6460">
        <v>5.487457</v>
      </c>
      <c r="E6460">
        <v>0.56459899999999996</v>
      </c>
      <c r="F6460" t="s">
        <v>41</v>
      </c>
      <c r="G6460">
        <v>-176.0189</v>
      </c>
      <c r="H6460">
        <v>0.9445443</v>
      </c>
      <c r="I6460">
        <v>133.8638</v>
      </c>
      <c r="J6460">
        <v>-176.55869999999999</v>
      </c>
      <c r="K6460">
        <v>1.099899</v>
      </c>
      <c r="L6460">
        <v>133.73599999999999</v>
      </c>
      <c r="M6460">
        <v>0.83776399999999995</v>
      </c>
      <c r="N6460">
        <v>-1.598434E-2</v>
      </c>
      <c r="O6460">
        <v>0.54579849999999996</v>
      </c>
      <c r="P6460">
        <v>0.83582009999999995</v>
      </c>
      <c r="Q6460">
        <v>0.38565389999999999</v>
      </c>
      <c r="R6460">
        <v>0.39073750000000002</v>
      </c>
      <c r="S6460">
        <v>3.3811800000000001</v>
      </c>
      <c r="T6460">
        <v>-0.69861509999999905</v>
      </c>
      <c r="U6460">
        <v>1.1399539999999999</v>
      </c>
      <c r="V6460">
        <v>0.1396955</v>
      </c>
      <c r="W6460">
        <v>0.39655570000000001</v>
      </c>
      <c r="X6460">
        <v>0.90731949999999995</v>
      </c>
      <c r="Y6460">
        <v>0.23742859999999999</v>
      </c>
      <c r="Z6460">
        <v>-0.11817809999999999</v>
      </c>
      <c r="AA6460">
        <v>0.96418959999999998</v>
      </c>
      <c r="AB6460">
        <v>27</v>
      </c>
      <c r="AC6460">
        <v>0.53979999999998496</v>
      </c>
      <c r="AD6460">
        <v>-0.15535469999999901</v>
      </c>
      <c r="AE6460">
        <v>0.12780000000000699</v>
      </c>
      <c r="AF6460">
        <v>0.17393736688376399</v>
      </c>
      <c r="AG6460">
        <v>-0.15535469999999901</v>
      </c>
      <c r="AH6460">
        <v>0.48407723383158602</v>
      </c>
      <c r="AI6460">
        <v>106.805589150285</v>
      </c>
      <c r="AJ6460">
        <v>70.235754785331295</v>
      </c>
      <c r="AK6460">
        <v>0.53732677089885195</v>
      </c>
      <c r="AL6460">
        <v>66.636964680994893</v>
      </c>
      <c r="AM6460">
        <v>81.247182635017893</v>
      </c>
      <c r="AN6460">
        <v>0.99999996550149395</v>
      </c>
    </row>
    <row r="6461" spans="1:40" x14ac:dyDescent="0.25">
      <c r="A6461" t="str">
        <f>"20190304164535882"</f>
        <v>20190304164535882</v>
      </c>
      <c r="B6461" t="str">
        <f>"1551689135876532"</f>
        <v>1551689135876532</v>
      </c>
      <c r="C6461" t="s">
        <v>40</v>
      </c>
      <c r="D6461">
        <v>5.4957070000000003</v>
      </c>
      <c r="E6461">
        <v>0.5645635</v>
      </c>
      <c r="F6461" t="s">
        <v>41</v>
      </c>
      <c r="G6461">
        <v>-175.80119999999999</v>
      </c>
      <c r="H6461">
        <v>0.94493170000000004</v>
      </c>
      <c r="I6461">
        <v>133.98140000000001</v>
      </c>
      <c r="J6461">
        <v>-176.39580000000001</v>
      </c>
      <c r="K6461">
        <v>1.0998600000000001</v>
      </c>
      <c r="L6461">
        <v>133.82980000000001</v>
      </c>
      <c r="M6461">
        <v>0.84331440000000002</v>
      </c>
      <c r="N6461">
        <v>-1.594131E-2</v>
      </c>
      <c r="O6461">
        <v>0.53718409999999905</v>
      </c>
      <c r="P6461">
        <v>0.83933369999999996</v>
      </c>
      <c r="Q6461">
        <v>0.38582139999999998</v>
      </c>
      <c r="R6461">
        <v>0.3829632</v>
      </c>
      <c r="S6461">
        <v>3.3953700000000002</v>
      </c>
      <c r="T6461">
        <v>-0.69419249999999999</v>
      </c>
      <c r="U6461">
        <v>1.100006</v>
      </c>
      <c r="V6461">
        <v>0.13880780000000001</v>
      </c>
      <c r="W6461">
        <v>0.39669840000000001</v>
      </c>
      <c r="X6461">
        <v>0.90739340000000002</v>
      </c>
      <c r="Y6461">
        <v>0.23919179999999901</v>
      </c>
      <c r="Z6461">
        <v>-0.1161802</v>
      </c>
      <c r="AA6461">
        <v>0.96399659999999998</v>
      </c>
      <c r="AB6461">
        <v>27</v>
      </c>
      <c r="AC6461">
        <v>0.59460000000001401</v>
      </c>
      <c r="AD6461">
        <v>-0.15492829999999999</v>
      </c>
      <c r="AE6461">
        <v>0.15160000000000101</v>
      </c>
      <c r="AF6461">
        <v>0.180106300831819</v>
      </c>
      <c r="AG6461">
        <v>-0.15492829999999999</v>
      </c>
      <c r="AH6461">
        <v>0.54801178692617503</v>
      </c>
      <c r="AI6461">
        <v>105.033539767127</v>
      </c>
      <c r="AJ6461">
        <v>71.806681093433099</v>
      </c>
      <c r="AK6461">
        <v>0.59729220349024403</v>
      </c>
      <c r="AL6461">
        <v>66.628059006117297</v>
      </c>
      <c r="AM6461">
        <v>81.3026470016747</v>
      </c>
      <c r="AN6461">
        <v>1.00000000413348</v>
      </c>
    </row>
    <row r="6462" spans="1:40" x14ac:dyDescent="0.25">
      <c r="A6462" t="str">
        <f>"20190304164535895"</f>
        <v>20190304164535895</v>
      </c>
      <c r="B6462" t="str">
        <f>"1551689135886293"</f>
        <v>1551689135886293</v>
      </c>
      <c r="C6462" t="s">
        <v>40</v>
      </c>
      <c r="D6462">
        <v>5.4920790000000004</v>
      </c>
      <c r="E6462">
        <v>0.56454680000000002</v>
      </c>
      <c r="F6462" t="s">
        <v>41</v>
      </c>
      <c r="G6462">
        <v>-175.5813</v>
      </c>
      <c r="H6462">
        <v>0.93391820000000003</v>
      </c>
      <c r="I6462">
        <v>134.08529999999999</v>
      </c>
      <c r="J6462">
        <v>-176.26079999999999</v>
      </c>
      <c r="K6462">
        <v>1.099831</v>
      </c>
      <c r="L6462">
        <v>133.90620000000001</v>
      </c>
      <c r="M6462">
        <v>0.84784099999999996</v>
      </c>
      <c r="N6462">
        <v>-1.5908720000000001E-2</v>
      </c>
      <c r="O6462">
        <v>0.53001180000000003</v>
      </c>
      <c r="P6462">
        <v>0.84233449999999999</v>
      </c>
      <c r="Q6462">
        <v>0.38549699999999998</v>
      </c>
      <c r="R6462">
        <v>0.37664950000000003</v>
      </c>
      <c r="S6462">
        <v>3.4058989999999998</v>
      </c>
      <c r="T6462">
        <v>-0.69399769999999905</v>
      </c>
      <c r="U6462">
        <v>1.068192</v>
      </c>
      <c r="V6462">
        <v>0.1380151</v>
      </c>
      <c r="W6462">
        <v>0.39636130000000003</v>
      </c>
      <c r="X6462">
        <v>0.90766159999999996</v>
      </c>
      <c r="Y6462">
        <v>0.2401103</v>
      </c>
      <c r="Z6462">
        <v>-0.11508980000000001</v>
      </c>
      <c r="AA6462">
        <v>0.96389910000000001</v>
      </c>
      <c r="AB6462">
        <v>27</v>
      </c>
      <c r="AC6462">
        <v>0.67949999999999</v>
      </c>
      <c r="AD6462">
        <v>-0.1659128</v>
      </c>
      <c r="AE6462">
        <v>0.179099999999976</v>
      </c>
      <c r="AF6462">
        <v>0.19732125369561601</v>
      </c>
      <c r="AG6462">
        <v>-0.1659128</v>
      </c>
      <c r="AH6462">
        <v>0.63568151465350597</v>
      </c>
      <c r="AI6462">
        <v>103.996714649178</v>
      </c>
      <c r="AJ6462">
        <v>72.755187658429506</v>
      </c>
      <c r="AK6462">
        <v>0.68596918475688395</v>
      </c>
      <c r="AL6462">
        <v>66.649098410305697</v>
      </c>
      <c r="AM6462">
        <v>81.354079370294798</v>
      </c>
      <c r="AN6462">
        <v>1.0000000140401299</v>
      </c>
    </row>
    <row r="6463" spans="1:40" x14ac:dyDescent="0.25">
      <c r="A6463" t="str">
        <f>"20190304164535912"</f>
        <v>20190304164535912</v>
      </c>
      <c r="B6463" t="str">
        <f>"1551689135906787"</f>
        <v>1551689135906787</v>
      </c>
      <c r="C6463" t="s">
        <v>40</v>
      </c>
      <c r="D6463">
        <v>5.3868150000000004</v>
      </c>
      <c r="E6463">
        <v>0.56450440000000002</v>
      </c>
      <c r="F6463" t="s">
        <v>41</v>
      </c>
      <c r="G6463">
        <v>-175.36019999999999</v>
      </c>
      <c r="H6463">
        <v>0.91639300000000001</v>
      </c>
      <c r="I6463">
        <v>134.1808</v>
      </c>
      <c r="J6463">
        <v>-176.071</v>
      </c>
      <c r="K6463">
        <v>1.0997889999999999</v>
      </c>
      <c r="L6463">
        <v>134.01060000000001</v>
      </c>
      <c r="M6463">
        <v>0.85409029999999997</v>
      </c>
      <c r="N6463">
        <v>-1.5869589999999999E-2</v>
      </c>
      <c r="O6463">
        <v>0.51988259999999997</v>
      </c>
      <c r="P6463">
        <v>0.84649010000000002</v>
      </c>
      <c r="Q6463">
        <v>0.38436389999999998</v>
      </c>
      <c r="R6463">
        <v>0.36840030000000001</v>
      </c>
      <c r="S6463">
        <v>3.4142610000000002</v>
      </c>
      <c r="T6463">
        <v>-0.69519379999999997</v>
      </c>
      <c r="U6463">
        <v>1.0409090000000001</v>
      </c>
      <c r="V6463">
        <v>0.13633599999999901</v>
      </c>
      <c r="W6463">
        <v>0.39523940000000002</v>
      </c>
      <c r="X6463">
        <v>0.9084042</v>
      </c>
      <c r="Y6463">
        <v>0.23643510000000001</v>
      </c>
      <c r="Z6463">
        <v>-0.1133479</v>
      </c>
      <c r="AA6463">
        <v>0.96501329999999996</v>
      </c>
      <c r="AB6463">
        <v>27</v>
      </c>
      <c r="AC6463">
        <v>0.71080000000000598</v>
      </c>
      <c r="AD6463">
        <v>-0.183395999999999</v>
      </c>
      <c r="AE6463">
        <v>0.17019999999999399</v>
      </c>
      <c r="AF6463">
        <v>0.21091517276004301</v>
      </c>
      <c r="AG6463">
        <v>-0.183395999999999</v>
      </c>
      <c r="AH6463">
        <v>0.654453896318131</v>
      </c>
      <c r="AI6463">
        <v>104.934197358757</v>
      </c>
      <c r="AJ6463">
        <v>72.137083716782101</v>
      </c>
      <c r="AK6463">
        <v>0.71163839505916404</v>
      </c>
      <c r="AL6463">
        <v>66.719092845107895</v>
      </c>
      <c r="AM6463">
        <v>81.464585241635703</v>
      </c>
      <c r="AN6463">
        <v>0.99999993939299803</v>
      </c>
    </row>
    <row r="6464" spans="1:40" x14ac:dyDescent="0.25">
      <c r="A6464" t="str">
        <f>"20190304164535927"</f>
        <v>20190304164535927</v>
      </c>
      <c r="B6464" t="str">
        <f>"1551689135916548"</f>
        <v>1551689135916548</v>
      </c>
      <c r="C6464" t="s">
        <v>40</v>
      </c>
      <c r="D6464">
        <v>4.898352</v>
      </c>
      <c r="E6464">
        <v>0.56450440000000002</v>
      </c>
      <c r="F6464" t="s">
        <v>41</v>
      </c>
      <c r="G6464">
        <v>-175.364</v>
      </c>
      <c r="H6464">
        <v>0.95517779999999997</v>
      </c>
      <c r="I6464">
        <v>134.2183</v>
      </c>
      <c r="J6464">
        <v>-175.90969999999999</v>
      </c>
      <c r="K6464">
        <v>1.099761</v>
      </c>
      <c r="L6464">
        <v>134.0966</v>
      </c>
      <c r="M6464">
        <v>0.85929310000000003</v>
      </c>
      <c r="N6464">
        <v>-1.584033E-2</v>
      </c>
      <c r="O6464">
        <v>0.51123819999999998</v>
      </c>
      <c r="P6464">
        <v>0.85017869999999995</v>
      </c>
      <c r="Q6464">
        <v>0.38330379999999997</v>
      </c>
      <c r="R6464">
        <v>0.36093570000000003</v>
      </c>
      <c r="S6464">
        <v>3.4240569999999999</v>
      </c>
      <c r="T6464">
        <v>-0.70009769999999905</v>
      </c>
      <c r="U6464">
        <v>1.006195</v>
      </c>
      <c r="V6464">
        <v>0.1353926</v>
      </c>
      <c r="W6464">
        <v>0.394181</v>
      </c>
      <c r="X6464">
        <v>0.90900499999999995</v>
      </c>
      <c r="Y6464">
        <v>0.236343</v>
      </c>
      <c r="Z6464">
        <v>-0.1127976</v>
      </c>
      <c r="AA6464">
        <v>0.96510030000000002</v>
      </c>
      <c r="AB6464">
        <v>27</v>
      </c>
      <c r="AC6464">
        <v>0.54569999999998198</v>
      </c>
      <c r="AD6464">
        <v>-0.144583199999999</v>
      </c>
      <c r="AE6464">
        <v>0.121700000000004</v>
      </c>
      <c r="AF6464">
        <v>0.16349525979876001</v>
      </c>
      <c r="AG6464">
        <v>-0.144583199999999</v>
      </c>
      <c r="AH6464">
        <v>0.497904454134657</v>
      </c>
      <c r="AI6464">
        <v>105.42365988471499</v>
      </c>
      <c r="AJ6464">
        <v>71.821540255780704</v>
      </c>
      <c r="AK6464">
        <v>0.543639445906967</v>
      </c>
      <c r="AL6464">
        <v>66.785093940067199</v>
      </c>
      <c r="AM6464">
        <v>81.528308005843698</v>
      </c>
      <c r="AN6464">
        <v>0.99999995346037795</v>
      </c>
    </row>
    <row r="6465" spans="1:40" x14ac:dyDescent="0.25">
      <c r="A6465" t="str">
        <f>"20190304164535939"</f>
        <v>20190304164535939</v>
      </c>
      <c r="B6465" t="str">
        <f>"1551689135937045"</f>
        <v>1551689135937045</v>
      </c>
      <c r="C6465" t="s">
        <v>40</v>
      </c>
      <c r="D6465">
        <v>5.4114120000000003</v>
      </c>
      <c r="E6465">
        <v>0.56446430000000003</v>
      </c>
      <c r="F6465" t="s">
        <v>41</v>
      </c>
      <c r="G6465">
        <v>-175.14189999999999</v>
      </c>
      <c r="H6465">
        <v>0.94224189999999997</v>
      </c>
      <c r="I6465">
        <v>134.31460000000001</v>
      </c>
      <c r="J6465">
        <v>-175.77869999999999</v>
      </c>
      <c r="K6465">
        <v>1.099742</v>
      </c>
      <c r="L6465">
        <v>134.1652</v>
      </c>
      <c r="M6465">
        <v>0.86344390000000004</v>
      </c>
      <c r="N6465">
        <v>-1.5817999999999999E-2</v>
      </c>
      <c r="O6465">
        <v>0.50419689999999995</v>
      </c>
      <c r="P6465">
        <v>0.85295279999999996</v>
      </c>
      <c r="Q6465">
        <v>0.38219900000000001</v>
      </c>
      <c r="R6465">
        <v>0.35552129999999998</v>
      </c>
      <c r="S6465">
        <v>3.4323579999999998</v>
      </c>
      <c r="T6465">
        <v>-0.70408490000000001</v>
      </c>
      <c r="U6465">
        <v>0.97460939999999996</v>
      </c>
      <c r="V6465">
        <v>0.13396429999999901</v>
      </c>
      <c r="W6465">
        <v>0.39310139999999999</v>
      </c>
      <c r="X6465">
        <v>0.90968389999999999</v>
      </c>
      <c r="Y6465">
        <v>0.237182</v>
      </c>
      <c r="Z6465">
        <v>-0.1124267</v>
      </c>
      <c r="AA6465">
        <v>0.96493779999999996</v>
      </c>
      <c r="AB6465">
        <v>27</v>
      </c>
      <c r="AC6465">
        <v>0.63679999999999304</v>
      </c>
      <c r="AD6465">
        <v>-0.1575001</v>
      </c>
      <c r="AE6465">
        <v>0.14940000000001399</v>
      </c>
      <c r="AF6465">
        <v>0.18157045429728799</v>
      </c>
      <c r="AG6465">
        <v>-0.1575001</v>
      </c>
      <c r="AH6465">
        <v>0.59098063661014699</v>
      </c>
      <c r="AI6465">
        <v>104.29230871265899</v>
      </c>
      <c r="AJ6465">
        <v>72.921163880823698</v>
      </c>
      <c r="AK6465">
        <v>0.63799077126700499</v>
      </c>
      <c r="AL6465">
        <v>66.852383553719406</v>
      </c>
      <c r="AM6465">
        <v>81.622569707510493</v>
      </c>
      <c r="AN6465">
        <v>0.99999997113782901</v>
      </c>
    </row>
    <row r="6466" spans="1:40" x14ac:dyDescent="0.25">
      <c r="A6466" t="str">
        <f>"20190304164535951"</f>
        <v>20190304164535951</v>
      </c>
      <c r="B6466" t="str">
        <f>"1551689135946804"</f>
        <v>1551689135946804</v>
      </c>
      <c r="C6466" t="s">
        <v>40</v>
      </c>
      <c r="D6466">
        <v>5.3647369999999999</v>
      </c>
      <c r="E6466">
        <v>0.56446830000000003</v>
      </c>
      <c r="F6466" t="s">
        <v>41</v>
      </c>
      <c r="G6466">
        <v>-174.91919999999999</v>
      </c>
      <c r="H6466">
        <v>0.92260719999999996</v>
      </c>
      <c r="I6466">
        <v>134.40260000000001</v>
      </c>
      <c r="J6466">
        <v>-175.63220000000001</v>
      </c>
      <c r="K6466">
        <v>1.0997250000000001</v>
      </c>
      <c r="L6466">
        <v>134.2405</v>
      </c>
      <c r="M6466">
        <v>0.86801039999999996</v>
      </c>
      <c r="N6466">
        <v>-1.5794740000000002E-2</v>
      </c>
      <c r="O6466">
        <v>0.49629469999999998</v>
      </c>
      <c r="P6466">
        <v>0.85589069999999901</v>
      </c>
      <c r="Q6466">
        <v>0.38115979999999999</v>
      </c>
      <c r="R6466">
        <v>0.34952630000000001</v>
      </c>
      <c r="S6466">
        <v>3.4387050000000001</v>
      </c>
      <c r="T6466">
        <v>-0.70852019999999905</v>
      </c>
      <c r="U6466">
        <v>0.95001219999999997</v>
      </c>
      <c r="V6466">
        <v>0.13224369999999999</v>
      </c>
      <c r="W6466">
        <v>0.39209529999999998</v>
      </c>
      <c r="X6466">
        <v>0.9103696</v>
      </c>
      <c r="Y6466">
        <v>0.2351878</v>
      </c>
      <c r="Z6466">
        <v>-0.1116888</v>
      </c>
      <c r="AA6466">
        <v>0.96551140000000002</v>
      </c>
      <c r="AB6466">
        <v>27</v>
      </c>
      <c r="AC6466">
        <v>0.71300000000002195</v>
      </c>
      <c r="AD6466">
        <v>-0.17711779999999999</v>
      </c>
      <c r="AE6466">
        <v>0.16210000000000899</v>
      </c>
      <c r="AF6466">
        <v>0.201364992912653</v>
      </c>
      <c r="AG6466">
        <v>-0.17711779999999999</v>
      </c>
      <c r="AH6466">
        <v>0.66066315152798205</v>
      </c>
      <c r="AI6466">
        <v>104.383199357507</v>
      </c>
      <c r="AJ6466">
        <v>73.049186119997003</v>
      </c>
      <c r="AK6466">
        <v>0.71301779447250702</v>
      </c>
      <c r="AL6466">
        <v>66.915061071842104</v>
      </c>
      <c r="AM6466">
        <v>81.734812868280599</v>
      </c>
      <c r="AN6466">
        <v>0.99999996453796902</v>
      </c>
    </row>
    <row r="6467" spans="1:40" x14ac:dyDescent="0.25">
      <c r="A6467" t="str">
        <f>"20190304164535964"</f>
        <v>20190304164535964</v>
      </c>
      <c r="B6467" t="str">
        <f>"1551689135956564"</f>
        <v>1551689135956564</v>
      </c>
      <c r="C6467" t="s">
        <v>40</v>
      </c>
      <c r="D6467">
        <v>5.1959419999999996</v>
      </c>
      <c r="E6467">
        <v>0.56449629999999995</v>
      </c>
      <c r="F6467" t="s">
        <v>41</v>
      </c>
      <c r="G6467">
        <v>-174.92089999999999</v>
      </c>
      <c r="H6467">
        <v>0.95263160000000002</v>
      </c>
      <c r="I6467">
        <v>134.43109999999999</v>
      </c>
      <c r="J6467">
        <v>-175.50190000000001</v>
      </c>
      <c r="K6467">
        <v>1.0997170000000001</v>
      </c>
      <c r="L6467">
        <v>134.30549999999999</v>
      </c>
      <c r="M6467">
        <v>0.87199559999999998</v>
      </c>
      <c r="N6467">
        <v>-1.5776160000000001E-2</v>
      </c>
      <c r="O6467">
        <v>0.48925950000000001</v>
      </c>
      <c r="P6467">
        <v>0.85848029999999997</v>
      </c>
      <c r="Q6467">
        <v>0.38018600000000002</v>
      </c>
      <c r="R6467">
        <v>0.34419529999999998</v>
      </c>
      <c r="S6467">
        <v>3.4451749999999999</v>
      </c>
      <c r="T6467">
        <v>-0.71222750000000001</v>
      </c>
      <c r="U6467">
        <v>0.92350770000000004</v>
      </c>
      <c r="V6467">
        <v>0.1307217</v>
      </c>
      <c r="W6467">
        <v>0.39115460000000002</v>
      </c>
      <c r="X6467">
        <v>0.91099390000000002</v>
      </c>
      <c r="Y6467">
        <v>0.2347002</v>
      </c>
      <c r="Z6467">
        <v>-0.111105</v>
      </c>
      <c r="AA6467">
        <v>0.96569740000000004</v>
      </c>
      <c r="AB6467">
        <v>27</v>
      </c>
      <c r="AC6467">
        <v>0.58100000000001695</v>
      </c>
      <c r="AD6467">
        <v>-0.14708540000000001</v>
      </c>
      <c r="AE6467">
        <v>0.125599999999991</v>
      </c>
      <c r="AF6467">
        <v>0.16467606201080001</v>
      </c>
      <c r="AG6467">
        <v>-0.14708540000000001</v>
      </c>
      <c r="AH6467">
        <v>0.53537135150160298</v>
      </c>
      <c r="AI6467">
        <v>104.713321132997</v>
      </c>
      <c r="AJ6467">
        <v>72.902509866090199</v>
      </c>
      <c r="AK6467">
        <v>0.579115536228479</v>
      </c>
      <c r="AL6467">
        <v>66.973638553727497</v>
      </c>
      <c r="AM6467">
        <v>81.834169663082704</v>
      </c>
      <c r="AN6467">
        <v>0.99999998489462905</v>
      </c>
    </row>
    <row r="6468" spans="1:40" x14ac:dyDescent="0.25">
      <c r="A6468" t="str">
        <f>"20190304164535978"</f>
        <v>20190304164535978</v>
      </c>
      <c r="B6468" t="str">
        <f>"1551689135966325"</f>
        <v>1551689135966325</v>
      </c>
      <c r="C6468" t="s">
        <v>40</v>
      </c>
      <c r="D6468">
        <v>4.8252709999999999</v>
      </c>
      <c r="E6468">
        <v>0.56449629999999995</v>
      </c>
      <c r="F6468" t="s">
        <v>41</v>
      </c>
      <c r="G6468">
        <v>-174.69669999999999</v>
      </c>
      <c r="H6468">
        <v>0.93275790000000003</v>
      </c>
      <c r="I6468">
        <v>134.51519999999999</v>
      </c>
      <c r="J6468">
        <v>-175.3494</v>
      </c>
      <c r="K6468">
        <v>1.0997110000000001</v>
      </c>
      <c r="L6468">
        <v>134.38040000000001</v>
      </c>
      <c r="M6468">
        <v>0.87657969999999896</v>
      </c>
      <c r="N6468">
        <v>-1.5755370000000001E-2</v>
      </c>
      <c r="O6468">
        <v>0.4809988</v>
      </c>
      <c r="P6468">
        <v>0.86140219999999901</v>
      </c>
      <c r="Q6468">
        <v>0.37945400000000001</v>
      </c>
      <c r="R6468">
        <v>0.3376401</v>
      </c>
      <c r="S6468">
        <v>3.45079</v>
      </c>
      <c r="T6468">
        <v>-0.71535559999999998</v>
      </c>
      <c r="U6468">
        <v>0.89926149999999905</v>
      </c>
      <c r="V6468">
        <v>0.12918540000000001</v>
      </c>
      <c r="W6468">
        <v>0.39045360000000001</v>
      </c>
      <c r="X6468">
        <v>0.91151360000000003</v>
      </c>
      <c r="Y6468">
        <v>0.23231859999999999</v>
      </c>
      <c r="Z6468">
        <v>-0.11002240000000001</v>
      </c>
      <c r="AA6468">
        <v>0.96639699999999995</v>
      </c>
      <c r="AB6468">
        <v>27</v>
      </c>
      <c r="AC6468">
        <v>0.65270000000000905</v>
      </c>
      <c r="AD6468">
        <v>-0.16695309999999999</v>
      </c>
      <c r="AE6468">
        <v>0.13479999999998399</v>
      </c>
      <c r="AF6468">
        <v>0.18424752521077001</v>
      </c>
      <c r="AG6468">
        <v>-0.16695309999999999</v>
      </c>
      <c r="AH6468">
        <v>0.59944536901010703</v>
      </c>
      <c r="AI6468">
        <v>104.907581428553</v>
      </c>
      <c r="AJ6468">
        <v>72.914491431134195</v>
      </c>
      <c r="AK6468">
        <v>0.648964743706133</v>
      </c>
      <c r="AL6468">
        <v>67.017272421128595</v>
      </c>
      <c r="AM6468">
        <v>81.933407423191198</v>
      </c>
      <c r="AN6468">
        <v>0.99999996215553899</v>
      </c>
    </row>
    <row r="6469" spans="1:40" x14ac:dyDescent="0.25">
      <c r="A6469" t="str">
        <f>"20190304164535989"</f>
        <v>20190304164535989</v>
      </c>
      <c r="B6469" t="str">
        <f>"1551689135986820"</f>
        <v>1551689135986820</v>
      </c>
      <c r="C6469" t="s">
        <v>40</v>
      </c>
      <c r="D6469">
        <v>5.1114280000000001</v>
      </c>
      <c r="E6469">
        <v>0.5645597</v>
      </c>
      <c r="F6469" t="s">
        <v>41</v>
      </c>
      <c r="G6469">
        <v>-174.4725</v>
      </c>
      <c r="H6469">
        <v>0.91754239999999998</v>
      </c>
      <c r="I6469">
        <v>134.60130000000001</v>
      </c>
      <c r="J6469">
        <v>-175.21379999999999</v>
      </c>
      <c r="K6469">
        <v>1.09971</v>
      </c>
      <c r="L6469">
        <v>134.4453</v>
      </c>
      <c r="M6469">
        <v>0.88057609999999997</v>
      </c>
      <c r="N6469">
        <v>-1.5738289999999999E-2</v>
      </c>
      <c r="O6469">
        <v>0.47364339999999999</v>
      </c>
      <c r="P6469">
        <v>0.86386339999999995</v>
      </c>
      <c r="Q6469">
        <v>0.37784699999999999</v>
      </c>
      <c r="R6469">
        <v>0.33312419999999998</v>
      </c>
      <c r="S6469">
        <v>3.4574280000000002</v>
      </c>
      <c r="T6469">
        <v>-0.71794990000000003</v>
      </c>
      <c r="U6469">
        <v>0.87132259999999995</v>
      </c>
      <c r="V6469">
        <v>0.12659629999999999</v>
      </c>
      <c r="W6469">
        <v>0.38891799999999999</v>
      </c>
      <c r="X6469">
        <v>0.91253289999999998</v>
      </c>
      <c r="Y6469">
        <v>0.23199429999999999</v>
      </c>
      <c r="Z6469">
        <v>-0.10918310000000001</v>
      </c>
      <c r="AA6469">
        <v>0.96657009999999999</v>
      </c>
      <c r="AB6469">
        <v>27</v>
      </c>
      <c r="AC6469">
        <v>0.74129999999999496</v>
      </c>
      <c r="AD6469">
        <v>-0.18216759999999901</v>
      </c>
      <c r="AE6469">
        <v>0.156000000000005</v>
      </c>
      <c r="AF6469">
        <v>0.202082510453962</v>
      </c>
      <c r="AG6469">
        <v>-0.18216759999999901</v>
      </c>
      <c r="AH6469">
        <v>0.68702068713421505</v>
      </c>
      <c r="AI6469">
        <v>104.272174876086</v>
      </c>
      <c r="AJ6469">
        <v>73.609108552895904</v>
      </c>
      <c r="AK6469">
        <v>0.73893152596942602</v>
      </c>
      <c r="AL6469">
        <v>67.112810599160895</v>
      </c>
      <c r="AM6469">
        <v>82.101731240276393</v>
      </c>
      <c r="AN6469">
        <v>1.0000000637400399</v>
      </c>
    </row>
    <row r="6470" spans="1:40" x14ac:dyDescent="0.25">
      <c r="A6470" t="str">
        <f>"20190304164536002"</f>
        <v>20190304164536002</v>
      </c>
      <c r="B6470" t="str">
        <f>"1551689135996720"</f>
        <v>1551689135996720</v>
      </c>
      <c r="C6470" t="s">
        <v>40</v>
      </c>
      <c r="D6470">
        <v>5.0690520000000001</v>
      </c>
      <c r="E6470">
        <v>0.56459309999999996</v>
      </c>
      <c r="F6470" t="s">
        <v>41</v>
      </c>
      <c r="G6470">
        <v>-174.4734</v>
      </c>
      <c r="H6470">
        <v>0.94489939999999994</v>
      </c>
      <c r="I6470">
        <v>134.62729999999999</v>
      </c>
      <c r="J6470">
        <v>-175.0813</v>
      </c>
      <c r="K6470">
        <v>1.09971</v>
      </c>
      <c r="L6470">
        <v>134.50729999999999</v>
      </c>
      <c r="M6470">
        <v>0.88440759999999996</v>
      </c>
      <c r="N6470">
        <v>-1.5722630000000001E-2</v>
      </c>
      <c r="O6470">
        <v>0.46645049999999999</v>
      </c>
      <c r="P6470">
        <v>0.86631669999999905</v>
      </c>
      <c r="Q6470">
        <v>0.3773242</v>
      </c>
      <c r="R6470">
        <v>0.32729520000000001</v>
      </c>
      <c r="S6470">
        <v>3.4611510000000001</v>
      </c>
      <c r="T6470">
        <v>-0.72333149999999902</v>
      </c>
      <c r="U6470">
        <v>0.85054019999999997</v>
      </c>
      <c r="V6470">
        <v>0.12538640000000001</v>
      </c>
      <c r="W6470">
        <v>0.38842110000000002</v>
      </c>
      <c r="X6470">
        <v>0.91291140000000004</v>
      </c>
      <c r="Y6470">
        <v>0.2297476</v>
      </c>
      <c r="Z6470">
        <v>-0.108625</v>
      </c>
      <c r="AA6470">
        <v>0.96716939999999996</v>
      </c>
      <c r="AB6470">
        <v>27</v>
      </c>
      <c r="AC6470">
        <v>0.6079</v>
      </c>
      <c r="AD6470">
        <v>-0.15481059999999899</v>
      </c>
      <c r="AE6470">
        <v>0.12000000000000401</v>
      </c>
      <c r="AF6470">
        <v>0.167022455886017</v>
      </c>
      <c r="AG6470">
        <v>-0.15481059999999899</v>
      </c>
      <c r="AH6470">
        <v>0.55879772157357999</v>
      </c>
      <c r="AI6470">
        <v>104.86572144621999</v>
      </c>
      <c r="AJ6470">
        <v>73.358800169449097</v>
      </c>
      <c r="AK6470">
        <v>0.60342167368961896</v>
      </c>
      <c r="AL6470">
        <v>67.143707838652205</v>
      </c>
      <c r="AM6470">
        <v>82.179480571078301</v>
      </c>
      <c r="AN6470">
        <v>0.99999996224006404</v>
      </c>
    </row>
    <row r="6471" spans="1:40" x14ac:dyDescent="0.25">
      <c r="A6471" t="str">
        <f>"20190304164536024"</f>
        <v>20190304164536024</v>
      </c>
      <c r="B6471" t="str">
        <f>"1551689136016240"</f>
        <v>1551689136016240</v>
      </c>
      <c r="C6471" t="s">
        <v>40</v>
      </c>
      <c r="D6471">
        <v>5.0734779999999997</v>
      </c>
      <c r="E6471">
        <v>0.56468419999999997</v>
      </c>
      <c r="F6471" t="s">
        <v>41</v>
      </c>
      <c r="G6471">
        <v>-174.24799999999999</v>
      </c>
      <c r="H6471">
        <v>0.9253517</v>
      </c>
      <c r="I6471">
        <v>134.70590000000001</v>
      </c>
      <c r="J6471">
        <v>-174.8331</v>
      </c>
      <c r="K6471">
        <v>1.0997250000000001</v>
      </c>
      <c r="L6471">
        <v>134.62010000000001</v>
      </c>
      <c r="M6471">
        <v>0.89139769999999896</v>
      </c>
      <c r="N6471">
        <v>-1.5695359999999998E-2</v>
      </c>
      <c r="O6471">
        <v>0.45295010000000002</v>
      </c>
      <c r="P6471">
        <v>0.870899599999999</v>
      </c>
      <c r="Q6471">
        <v>0.37681019999999998</v>
      </c>
      <c r="R6471">
        <v>0.31551269999999998</v>
      </c>
      <c r="S6471">
        <v>3.4665370000000002</v>
      </c>
      <c r="T6471">
        <v>-0.72492000000000001</v>
      </c>
      <c r="U6471">
        <v>0.82624819999999999</v>
      </c>
      <c r="V6471">
        <v>0.1239526</v>
      </c>
      <c r="W6471">
        <v>0.387932</v>
      </c>
      <c r="X6471">
        <v>0.91331510000000005</v>
      </c>
      <c r="Y6471">
        <v>0.22202189999999999</v>
      </c>
      <c r="Z6471">
        <v>-0.1057982</v>
      </c>
      <c r="AA6471">
        <v>0.96928479999999995</v>
      </c>
      <c r="AB6471">
        <v>27</v>
      </c>
      <c r="AC6471">
        <v>0.58510000000001094</v>
      </c>
      <c r="AD6471">
        <v>-0.17437330000000001</v>
      </c>
      <c r="AE6471">
        <v>8.5800000000006094E-2</v>
      </c>
      <c r="AF6471">
        <v>0.173478768870828</v>
      </c>
      <c r="AG6471">
        <v>-0.17437330000000001</v>
      </c>
      <c r="AH6471">
        <v>0.51565386087714804</v>
      </c>
      <c r="AI6471">
        <v>107.771063245335</v>
      </c>
      <c r="AJ6471">
        <v>71.405781923503199</v>
      </c>
      <c r="AK6471">
        <v>0.57131413008898901</v>
      </c>
      <c r="AL6471">
        <v>67.174116007159597</v>
      </c>
      <c r="AM6471">
        <v>82.271197082001294</v>
      </c>
      <c r="AN6471">
        <v>0.99999997777938399</v>
      </c>
    </row>
    <row r="6472" spans="1:40" x14ac:dyDescent="0.25">
      <c r="A6472" t="str">
        <f>"20190304164536042"</f>
        <v>20190304164536042</v>
      </c>
      <c r="B6472" t="str">
        <f>"1551689136036737"</f>
        <v>1551689136036737</v>
      </c>
      <c r="C6472" t="s">
        <v>40</v>
      </c>
      <c r="D6472">
        <v>4.79216</v>
      </c>
      <c r="E6472">
        <v>0.56475140000000001</v>
      </c>
      <c r="F6472" t="s">
        <v>41</v>
      </c>
      <c r="G6472">
        <v>-174.02099999999999</v>
      </c>
      <c r="H6472">
        <v>0.92991789999999996</v>
      </c>
      <c r="I6472">
        <v>134.80240000000001</v>
      </c>
      <c r="J6472">
        <v>-174.62790000000001</v>
      </c>
      <c r="K6472">
        <v>1.0997410000000001</v>
      </c>
      <c r="L6472">
        <v>134.71010000000001</v>
      </c>
      <c r="M6472">
        <v>0.89698699999999998</v>
      </c>
      <c r="N6472">
        <v>-1.567433E-2</v>
      </c>
      <c r="O6472">
        <v>0.44177909999999998</v>
      </c>
      <c r="P6472">
        <v>0.87471939999999904</v>
      </c>
      <c r="Q6472">
        <v>0.37660070000000001</v>
      </c>
      <c r="R6472">
        <v>0.3050214</v>
      </c>
      <c r="S6472">
        <v>3.4762270000000002</v>
      </c>
      <c r="T6472">
        <v>-0.72640099999999996</v>
      </c>
      <c r="U6472">
        <v>0.78054809999999997</v>
      </c>
      <c r="V6472">
        <v>0.123534199999999</v>
      </c>
      <c r="W6472">
        <v>0.38772230000000002</v>
      </c>
      <c r="X6472">
        <v>0.91346090000000002</v>
      </c>
      <c r="Y6472">
        <v>0.2226747</v>
      </c>
      <c r="Z6472">
        <v>-0.1041894</v>
      </c>
      <c r="AA6472">
        <v>0.96930930000000004</v>
      </c>
      <c r="AB6472">
        <v>27</v>
      </c>
      <c r="AC6472">
        <v>0.60690000000002398</v>
      </c>
      <c r="AD6472">
        <v>-0.1698231</v>
      </c>
      <c r="AE6472">
        <v>9.2299999999994498E-2</v>
      </c>
      <c r="AF6472">
        <v>0.17217048099072499</v>
      </c>
      <c r="AG6472">
        <v>-0.1698231</v>
      </c>
      <c r="AH6472">
        <v>0.54362607339444802</v>
      </c>
      <c r="AI6472">
        <v>106.58409126215</v>
      </c>
      <c r="AJ6472">
        <v>72.426612370723205</v>
      </c>
      <c r="AK6472">
        <v>0.59498896417702896</v>
      </c>
      <c r="AL6472">
        <v>67.187152862906402</v>
      </c>
      <c r="AM6472">
        <v>82.298186523242506</v>
      </c>
      <c r="AN6472">
        <v>1.0000000481578599</v>
      </c>
    </row>
    <row r="6473" spans="1:40" x14ac:dyDescent="0.25">
      <c r="A6473" t="str">
        <f>"20190304164536057"</f>
        <v>20190304164536057</v>
      </c>
      <c r="B6473" t="str">
        <f>"1551689136046496"</f>
        <v>1551689136046496</v>
      </c>
      <c r="C6473" t="s">
        <v>40</v>
      </c>
      <c r="D6473">
        <v>5.106331</v>
      </c>
      <c r="E6473">
        <v>0.56481550000000003</v>
      </c>
      <c r="F6473" t="s">
        <v>41</v>
      </c>
      <c r="G6473">
        <v>-173.79300000000001</v>
      </c>
      <c r="H6473">
        <v>0.92558720000000005</v>
      </c>
      <c r="I6473">
        <v>134.88720000000001</v>
      </c>
      <c r="J6473">
        <v>-174.45650000000001</v>
      </c>
      <c r="K6473">
        <v>1.099758</v>
      </c>
      <c r="L6473">
        <v>134.78299999999999</v>
      </c>
      <c r="M6473">
        <v>0.90152560000000004</v>
      </c>
      <c r="N6473">
        <v>-1.5657330000000001E-2</v>
      </c>
      <c r="O6473">
        <v>0.43244270000000001</v>
      </c>
      <c r="P6473">
        <v>0.87716559999999899</v>
      </c>
      <c r="Q6473">
        <v>0.37656460000000003</v>
      </c>
      <c r="R6473">
        <v>0.29795969999999999</v>
      </c>
      <c r="S6473">
        <v>3.48468</v>
      </c>
      <c r="T6473">
        <v>-0.72671370000000002</v>
      </c>
      <c r="U6473">
        <v>0.73950199999999999</v>
      </c>
      <c r="V6473">
        <v>0.12138740000000001</v>
      </c>
      <c r="W6473">
        <v>0.38773950000000001</v>
      </c>
      <c r="X6473">
        <v>0.91374129999999998</v>
      </c>
      <c r="Y6473">
        <v>0.22407820000000001</v>
      </c>
      <c r="Z6473">
        <v>-0.1027811</v>
      </c>
      <c r="AA6473">
        <v>0.9691362</v>
      </c>
      <c r="AB6473">
        <v>27</v>
      </c>
      <c r="AC6473">
        <v>0.66349999999999898</v>
      </c>
      <c r="AD6473">
        <v>-0.17417079999999999</v>
      </c>
      <c r="AE6473">
        <v>0.10420000000002</v>
      </c>
      <c r="AF6473">
        <v>0.180848471468841</v>
      </c>
      <c r="AG6473">
        <v>-0.17417079999999999</v>
      </c>
      <c r="AH6473">
        <v>0.60276596946082295</v>
      </c>
      <c r="AI6473">
        <v>105.470174897441</v>
      </c>
      <c r="AJ6473">
        <v>73.299126712919502</v>
      </c>
      <c r="AK6473">
        <v>0.65296895113420395</v>
      </c>
      <c r="AL6473">
        <v>67.186082388237693</v>
      </c>
      <c r="AM6473">
        <v>82.432760559292007</v>
      </c>
      <c r="AN6473">
        <v>0.99999999203235002</v>
      </c>
    </row>
    <row r="6474" spans="1:40" x14ac:dyDescent="0.25">
      <c r="A6474" t="str">
        <f>"20190304164536080"</f>
        <v>20190304164536080</v>
      </c>
      <c r="B6474" t="str">
        <f>"1551689136076359"</f>
        <v>1551689136076359</v>
      </c>
      <c r="C6474" t="s">
        <v>40</v>
      </c>
      <c r="D6474">
        <v>5.1798190000000002</v>
      </c>
      <c r="E6474">
        <v>0.56493990000000005</v>
      </c>
      <c r="F6474" t="s">
        <v>41</v>
      </c>
      <c r="G6474">
        <v>-173.5658</v>
      </c>
      <c r="H6474">
        <v>0.91414450000000003</v>
      </c>
      <c r="I6474">
        <v>134.96520000000001</v>
      </c>
      <c r="J6474">
        <v>-174.20009999999999</v>
      </c>
      <c r="K6474">
        <v>1.0997950000000001</v>
      </c>
      <c r="L6474">
        <v>134.8878</v>
      </c>
      <c r="M6474">
        <v>0.90807599999999999</v>
      </c>
      <c r="N6474">
        <v>-1.5631909999999999E-2</v>
      </c>
      <c r="O6474">
        <v>0.41851349999999998</v>
      </c>
      <c r="P6474">
        <v>0.88103940000000003</v>
      </c>
      <c r="Q6474">
        <v>0.37698159999999997</v>
      </c>
      <c r="R6474">
        <v>0.28575270000000003</v>
      </c>
      <c r="S6474">
        <v>3.4895019999999999</v>
      </c>
      <c r="T6474">
        <v>-0.72678169999999898</v>
      </c>
      <c r="U6474">
        <v>0.71424869999999996</v>
      </c>
      <c r="V6474">
        <v>0.11989569999999999</v>
      </c>
      <c r="W6474">
        <v>0.38818510000000001</v>
      </c>
      <c r="X6474">
        <v>0.91374900000000003</v>
      </c>
      <c r="Y6474">
        <v>0.21645800000000001</v>
      </c>
      <c r="Z6474">
        <v>-9.9605020000000002E-2</v>
      </c>
      <c r="AA6474">
        <v>0.97119759999999999</v>
      </c>
      <c r="AB6474">
        <v>27</v>
      </c>
      <c r="AC6474">
        <v>0.63429999999999598</v>
      </c>
      <c r="AD6474">
        <v>-0.1856505</v>
      </c>
      <c r="AE6474">
        <v>7.7400000000011404E-2</v>
      </c>
      <c r="AF6474">
        <v>0.18000778215214799</v>
      </c>
      <c r="AG6474">
        <v>-0.1856505</v>
      </c>
      <c r="AH6474">
        <v>0.56109867227485</v>
      </c>
      <c r="AI6474">
        <v>107.48722976929901</v>
      </c>
      <c r="AJ6474">
        <v>72.213080624469896</v>
      </c>
      <c r="AK6474">
        <v>0.61781925335342602</v>
      </c>
      <c r="AL6474">
        <v>67.158380555412606</v>
      </c>
      <c r="AM6474">
        <v>82.524756676546005</v>
      </c>
      <c r="AN6474">
        <v>0.999999942870748</v>
      </c>
    </row>
    <row r="6475" spans="1:40" x14ac:dyDescent="0.25">
      <c r="A6475" t="str">
        <f>"20190304164536092"</f>
        <v>20190304164536092</v>
      </c>
      <c r="B6475" t="str">
        <f>"1551689136087094"</f>
        <v>1551689136087094</v>
      </c>
      <c r="C6475" t="s">
        <v>40</v>
      </c>
      <c r="D6475">
        <v>5.1037610000000004</v>
      </c>
      <c r="E6475">
        <v>0.56501849999999998</v>
      </c>
      <c r="F6475" t="s">
        <v>41</v>
      </c>
      <c r="G6475">
        <v>-173.33500000000001</v>
      </c>
      <c r="H6475">
        <v>0.92083689999999996</v>
      </c>
      <c r="I6475">
        <v>135.05240000000001</v>
      </c>
      <c r="J6475">
        <v>-174.04939999999999</v>
      </c>
      <c r="K6475">
        <v>1.0998209999999999</v>
      </c>
      <c r="L6475">
        <v>134.94759999999999</v>
      </c>
      <c r="M6475">
        <v>0.91180470000000002</v>
      </c>
      <c r="N6475">
        <v>-1.561683E-2</v>
      </c>
      <c r="O6475">
        <v>0.41032689999999999</v>
      </c>
      <c r="P6475">
        <v>0.88322219999999996</v>
      </c>
      <c r="Q6475">
        <v>0.3774169</v>
      </c>
      <c r="R6475">
        <v>0.27834330000000002</v>
      </c>
      <c r="S6475">
        <v>3.498672</v>
      </c>
      <c r="T6475">
        <v>-0.723531699999999</v>
      </c>
      <c r="U6475">
        <v>0.66596979999999995</v>
      </c>
      <c r="V6475">
        <v>0.1192527</v>
      </c>
      <c r="W6475">
        <v>0.3886307</v>
      </c>
      <c r="X6475">
        <v>0.91364380000000001</v>
      </c>
      <c r="Y6475">
        <v>0.2212237</v>
      </c>
      <c r="Z6475">
        <v>-9.8229880000000006E-2</v>
      </c>
      <c r="AA6475">
        <v>0.9702634</v>
      </c>
      <c r="AB6475">
        <v>27</v>
      </c>
      <c r="AC6475">
        <v>0.71439999999998305</v>
      </c>
      <c r="AD6475">
        <v>-0.17898409999999901</v>
      </c>
      <c r="AE6475">
        <v>0.104800000000011</v>
      </c>
      <c r="AF6475">
        <v>0.18616525901247399</v>
      </c>
      <c r="AG6475">
        <v>-0.17898409999999901</v>
      </c>
      <c r="AH6475">
        <v>0.65427705291090499</v>
      </c>
      <c r="AI6475">
        <v>104.741336267321</v>
      </c>
      <c r="AJ6475">
        <v>74.117048589989807</v>
      </c>
      <c r="AK6475">
        <v>0.703399796475497</v>
      </c>
      <c r="AL6475">
        <v>67.130675896175305</v>
      </c>
      <c r="AM6475">
        <v>82.563549994248703</v>
      </c>
      <c r="AN6475">
        <v>1.00000001035911</v>
      </c>
    </row>
    <row r="6476" spans="1:40" x14ac:dyDescent="0.25">
      <c r="A6476" t="str">
        <f>"20190304164536105"</f>
        <v>20190304164536105</v>
      </c>
      <c r="B6476" t="str">
        <f>"1551689136096856"</f>
        <v>1551689136096856</v>
      </c>
      <c r="C6476" t="s">
        <v>40</v>
      </c>
      <c r="D6476">
        <v>5.1982089999999896</v>
      </c>
      <c r="E6476">
        <v>0.56507830000000003</v>
      </c>
      <c r="F6476" t="s">
        <v>41</v>
      </c>
      <c r="G6476">
        <v>-173.33179999999999</v>
      </c>
      <c r="H6476">
        <v>0.95213170000000003</v>
      </c>
      <c r="I6476">
        <v>135.078</v>
      </c>
      <c r="J6476">
        <v>-173.90289999999999</v>
      </c>
      <c r="K6476">
        <v>1.099853</v>
      </c>
      <c r="L6476">
        <v>135.00370000000001</v>
      </c>
      <c r="M6476">
        <v>0.91532959999999997</v>
      </c>
      <c r="N6476">
        <v>-1.56011E-2</v>
      </c>
      <c r="O6476">
        <v>0.40240320000000002</v>
      </c>
      <c r="P6476">
        <v>0.88522409999999996</v>
      </c>
      <c r="Q6476">
        <v>0.3778087</v>
      </c>
      <c r="R6476">
        <v>0.27136490000000002</v>
      </c>
      <c r="S6476">
        <v>3.5039370000000001</v>
      </c>
      <c r="T6476">
        <v>-0.72086519999999898</v>
      </c>
      <c r="U6476">
        <v>0.63702389999999998</v>
      </c>
      <c r="V6476">
        <v>0.1184424</v>
      </c>
      <c r="W6476">
        <v>0.3890383</v>
      </c>
      <c r="X6476">
        <v>0.91357569999999999</v>
      </c>
      <c r="Y6476">
        <v>0.2210095</v>
      </c>
      <c r="Z6476">
        <v>-9.6471260000000003E-2</v>
      </c>
      <c r="AA6476">
        <v>0.97048860000000003</v>
      </c>
      <c r="AB6476">
        <v>27</v>
      </c>
      <c r="AC6476">
        <v>0.57110000000000105</v>
      </c>
      <c r="AD6476">
        <v>-0.1477213</v>
      </c>
      <c r="AE6476">
        <v>7.4299999999993802E-2</v>
      </c>
      <c r="AF6476">
        <v>0.15183373854766299</v>
      </c>
      <c r="AG6476">
        <v>-0.1477213</v>
      </c>
      <c r="AH6476">
        <v>0.51859142998007501</v>
      </c>
      <c r="AI6476">
        <v>105.289653173543</v>
      </c>
      <c r="AJ6476">
        <v>73.680969762336503</v>
      </c>
      <c r="AK6476">
        <v>0.56018937680379899</v>
      </c>
      <c r="AL6476">
        <v>67.1053266760714</v>
      </c>
      <c r="AM6476">
        <v>82.612974890270706</v>
      </c>
      <c r="AN6476">
        <v>0.99999998030756898</v>
      </c>
    </row>
    <row r="6477" spans="1:40" x14ac:dyDescent="0.25">
      <c r="A6477" t="str">
        <f>"20190304164536119"</f>
        <v>20190304164536119</v>
      </c>
      <c r="B6477" t="str">
        <f>"1551689136106615"</f>
        <v>1551689136106615</v>
      </c>
      <c r="C6477" t="s">
        <v>40</v>
      </c>
      <c r="D6477">
        <v>5.1023329999999998</v>
      </c>
      <c r="E6477">
        <v>0.56515230000000005</v>
      </c>
      <c r="F6477" t="s">
        <v>41</v>
      </c>
      <c r="G6477">
        <v>-173.10230000000001</v>
      </c>
      <c r="H6477">
        <v>0.93579040000000002</v>
      </c>
      <c r="I6477">
        <v>135.1429</v>
      </c>
      <c r="J6477">
        <v>-173.75380000000001</v>
      </c>
      <c r="K6477">
        <v>1.0998920000000001</v>
      </c>
      <c r="L6477">
        <v>135.0598</v>
      </c>
      <c r="M6477">
        <v>0.91882710000000001</v>
      </c>
      <c r="N6477">
        <v>-1.558465E-2</v>
      </c>
      <c r="O6477">
        <v>0.3943527</v>
      </c>
      <c r="P6477">
        <v>0.88735189999999997</v>
      </c>
      <c r="Q6477">
        <v>0.3781582</v>
      </c>
      <c r="R6477">
        <v>0.26382359999999999</v>
      </c>
      <c r="S6477">
        <v>3.5084529999999998</v>
      </c>
      <c r="T6477">
        <v>-0.71850550000000002</v>
      </c>
      <c r="U6477">
        <v>0.61062620000000001</v>
      </c>
      <c r="V6477">
        <v>0.11810379999999999</v>
      </c>
      <c r="W6477">
        <v>0.38939200000000002</v>
      </c>
      <c r="X6477">
        <v>0.91346890000000003</v>
      </c>
      <c r="Y6477">
        <v>0.21998180000000001</v>
      </c>
      <c r="Z6477">
        <v>-9.4658099999999995E-2</v>
      </c>
      <c r="AA6477">
        <v>0.97090050000000006</v>
      </c>
      <c r="AB6477">
        <v>27</v>
      </c>
      <c r="AC6477">
        <v>0.65149999999999797</v>
      </c>
      <c r="AD6477">
        <v>-0.16410159999999999</v>
      </c>
      <c r="AE6477">
        <v>8.31000000000017E-2</v>
      </c>
      <c r="AF6477">
        <v>0.16997665815691501</v>
      </c>
      <c r="AG6477">
        <v>-0.16410159999999999</v>
      </c>
      <c r="AH6477">
        <v>0.59435789974474396</v>
      </c>
      <c r="AI6477">
        <v>104.866683213825</v>
      </c>
      <c r="AJ6477">
        <v>74.040334987902099</v>
      </c>
      <c r="AK6477">
        <v>0.63959574140994402</v>
      </c>
      <c r="AL6477">
        <v>67.083327671611997</v>
      </c>
      <c r="AM6477">
        <v>82.633008699234196</v>
      </c>
      <c r="AN6477">
        <v>1.0000000342528199</v>
      </c>
    </row>
    <row r="6478" spans="1:40" x14ac:dyDescent="0.25">
      <c r="A6478" t="str">
        <f>"20190304164536131"</f>
        <v>20190304164536131</v>
      </c>
      <c r="B6478" t="str">
        <f>"1551689136127111"</f>
        <v>1551689136127111</v>
      </c>
      <c r="C6478" t="s">
        <v>40</v>
      </c>
      <c r="D6478">
        <v>5.0737639999999997</v>
      </c>
      <c r="E6478">
        <v>0.56542910000000002</v>
      </c>
      <c r="F6478" t="s">
        <v>41</v>
      </c>
      <c r="G6478">
        <v>-172.8724</v>
      </c>
      <c r="H6478">
        <v>0.92004900000000001</v>
      </c>
      <c r="I6478">
        <v>135.20580000000001</v>
      </c>
      <c r="J6478">
        <v>-173.59010000000001</v>
      </c>
      <c r="K6478">
        <v>1.0999490000000001</v>
      </c>
      <c r="L6478">
        <v>135.11969999999999</v>
      </c>
      <c r="M6478">
        <v>0.92255849999999995</v>
      </c>
      <c r="N6478">
        <v>-1.5565519999999999E-2</v>
      </c>
      <c r="O6478">
        <v>0.38554319999999997</v>
      </c>
      <c r="P6478">
        <v>0.88976849999999996</v>
      </c>
      <c r="Q6478">
        <v>0.37792969999999998</v>
      </c>
      <c r="R6478">
        <v>0.25589230000000002</v>
      </c>
      <c r="S6478">
        <v>3.5130159999999999</v>
      </c>
      <c r="T6478">
        <v>-0.71635289999999996</v>
      </c>
      <c r="U6478">
        <v>0.5822754</v>
      </c>
      <c r="V6478">
        <v>0.11749030000000001</v>
      </c>
      <c r="W6478">
        <v>0.38917980000000002</v>
      </c>
      <c r="X6478">
        <v>0.91363839999999996</v>
      </c>
      <c r="Y6478">
        <v>0.21872140000000001</v>
      </c>
      <c r="Z6478">
        <v>-9.2726729999999993E-2</v>
      </c>
      <c r="AA6478">
        <v>0.9713716</v>
      </c>
      <c r="AB6478">
        <v>27</v>
      </c>
      <c r="AC6478">
        <v>0.717700000000007</v>
      </c>
      <c r="AD6478">
        <v>-0.1799</v>
      </c>
      <c r="AE6478">
        <v>8.6100000000015997E-2</v>
      </c>
      <c r="AF6478">
        <v>0.185788257676333</v>
      </c>
      <c r="AG6478">
        <v>-0.1799</v>
      </c>
      <c r="AH6478">
        <v>0.65483906389242597</v>
      </c>
      <c r="AI6478">
        <v>104.804357314246</v>
      </c>
      <c r="AJ6478">
        <v>74.160517247875504</v>
      </c>
      <c r="AK6478">
        <v>0.70405645106760895</v>
      </c>
      <c r="AL6478">
        <v>67.096526373318099</v>
      </c>
      <c r="AM6478">
        <v>82.672204924903696</v>
      </c>
      <c r="AN6478">
        <v>1.0000000066383401</v>
      </c>
    </row>
    <row r="6479" spans="1:40" x14ac:dyDescent="0.25">
      <c r="A6479" t="str">
        <f>"20190304164536145"</f>
        <v>20190304164536145</v>
      </c>
      <c r="B6479" t="str">
        <f>"1551689136136871"</f>
        <v>1551689136136871</v>
      </c>
      <c r="C6479" t="s">
        <v>40</v>
      </c>
      <c r="D6479">
        <v>5.0874329999999999</v>
      </c>
      <c r="E6479">
        <v>0.56555949999999999</v>
      </c>
      <c r="F6479" t="s">
        <v>41</v>
      </c>
      <c r="G6479">
        <v>-172.86799999999999</v>
      </c>
      <c r="H6479">
        <v>0.95334099999999999</v>
      </c>
      <c r="I6479">
        <v>135.23259999999999</v>
      </c>
      <c r="J6479">
        <v>-173.43729999999999</v>
      </c>
      <c r="K6479">
        <v>1.1000049999999999</v>
      </c>
      <c r="L6479">
        <v>135.17359999999999</v>
      </c>
      <c r="M6479">
        <v>0.92592600000000003</v>
      </c>
      <c r="N6479">
        <v>-1.554464E-2</v>
      </c>
      <c r="O6479">
        <v>0.37738500000000003</v>
      </c>
      <c r="P6479">
        <v>0.89141610000000004</v>
      </c>
      <c r="Q6479">
        <v>0.37768610000000002</v>
      </c>
      <c r="R6479">
        <v>0.25046059999999998</v>
      </c>
      <c r="S6479">
        <v>3.5165709999999999</v>
      </c>
      <c r="T6479">
        <v>-0.713499199999999</v>
      </c>
      <c r="U6479">
        <v>0.54985050000000002</v>
      </c>
      <c r="V6479">
        <v>0.11495180000000001</v>
      </c>
      <c r="W6479">
        <v>0.38900800000000002</v>
      </c>
      <c r="X6479">
        <v>0.91403440000000002</v>
      </c>
      <c r="Y6479">
        <v>0.2192064</v>
      </c>
      <c r="Z6479">
        <v>-9.1039709999999996E-2</v>
      </c>
      <c r="AA6479">
        <v>0.9714218</v>
      </c>
      <c r="AB6479">
        <v>27</v>
      </c>
      <c r="AC6479">
        <v>0.56929999999999803</v>
      </c>
      <c r="AD6479">
        <v>-0.14666399999999899</v>
      </c>
      <c r="AE6479">
        <v>5.8999999999997499E-2</v>
      </c>
      <c r="AF6479">
        <v>0.15036170542423</v>
      </c>
      <c r="AG6479">
        <v>-0.14666399999999899</v>
      </c>
      <c r="AH6479">
        <v>0.51560524278414699</v>
      </c>
      <c r="AI6479">
        <v>105.27368567672499</v>
      </c>
      <c r="AJ6479">
        <v>73.742166863795802</v>
      </c>
      <c r="AK6479">
        <v>0.55674746316492796</v>
      </c>
      <c r="AL6479">
        <v>67.107211960886701</v>
      </c>
      <c r="AM6479">
        <v>82.831937923597096</v>
      </c>
      <c r="AN6479">
        <v>1.0000000123852999</v>
      </c>
    </row>
    <row r="6480" spans="1:40" x14ac:dyDescent="0.25">
      <c r="A6480" t="str">
        <f>"20190304164536169"</f>
        <v>20190304164536169</v>
      </c>
      <c r="B6480" t="str">
        <f>"1551689136156391"</f>
        <v>1551689136156391</v>
      </c>
      <c r="C6480" t="s">
        <v>40</v>
      </c>
      <c r="D6480">
        <v>5.0977129999999997</v>
      </c>
      <c r="E6480">
        <v>0.57196650000000004</v>
      </c>
      <c r="F6480" t="s">
        <v>41</v>
      </c>
      <c r="G6480">
        <v>-172.63749999999999</v>
      </c>
      <c r="H6480">
        <v>0.93816670000000002</v>
      </c>
      <c r="I6480">
        <v>135.2928</v>
      </c>
      <c r="J6480">
        <v>-173.16800000000001</v>
      </c>
      <c r="K6480">
        <v>1.1001510000000001</v>
      </c>
      <c r="L6480">
        <v>135.26570000000001</v>
      </c>
      <c r="M6480">
        <v>0.93162080000000003</v>
      </c>
      <c r="N6480">
        <v>-1.5504860000000001E-2</v>
      </c>
      <c r="O6480">
        <v>0.36310100000000001</v>
      </c>
      <c r="P6480">
        <v>0.89422400000000002</v>
      </c>
      <c r="Q6480">
        <v>0.37794800000000001</v>
      </c>
      <c r="R6480">
        <v>0.23983080000000001</v>
      </c>
      <c r="S6480">
        <v>3.5196839999999998</v>
      </c>
      <c r="T6480">
        <v>-0.71188560000000001</v>
      </c>
      <c r="U6480">
        <v>0.52458190000000005</v>
      </c>
      <c r="V6480">
        <v>0.1115927</v>
      </c>
      <c r="W6480">
        <v>0.38936080000000001</v>
      </c>
      <c r="X6480">
        <v>0.91430040000000001</v>
      </c>
      <c r="Y6480">
        <v>0.2115851</v>
      </c>
      <c r="Z6480">
        <v>-8.7604249999999995E-2</v>
      </c>
      <c r="AA6480">
        <v>0.97342550000000005</v>
      </c>
      <c r="AB6480">
        <v>27</v>
      </c>
      <c r="AC6480">
        <v>0.53050000000001696</v>
      </c>
      <c r="AD6480">
        <v>-0.1619843</v>
      </c>
      <c r="AE6480">
        <v>2.7099999999990101E-2</v>
      </c>
      <c r="AF6480">
        <v>0.15315606374735199</v>
      </c>
      <c r="AG6480">
        <v>-0.1619843</v>
      </c>
      <c r="AH6480">
        <v>0.46123456643910699</v>
      </c>
      <c r="AI6480">
        <v>108.433351927544</v>
      </c>
      <c r="AJ6480">
        <v>71.630903509018793</v>
      </c>
      <c r="AK6480">
        <v>0.51228216696205997</v>
      </c>
      <c r="AL6480">
        <v>67.085267455388504</v>
      </c>
      <c r="AM6480">
        <v>83.041321580411406</v>
      </c>
      <c r="AN6480">
        <v>0.999999992355045</v>
      </c>
    </row>
    <row r="6481" spans="1:40" x14ac:dyDescent="0.25">
      <c r="A6481" t="str">
        <f>"20190304164536182"</f>
        <v>20190304164536182</v>
      </c>
      <c r="B6481" t="str">
        <f>"1551689136176453"</f>
        <v>1551689136176453</v>
      </c>
      <c r="C6481" t="s">
        <v>40</v>
      </c>
      <c r="D6481">
        <v>5.1281759999999998</v>
      </c>
      <c r="E6481">
        <v>0.57216089999999997</v>
      </c>
      <c r="F6481" t="s">
        <v>41</v>
      </c>
      <c r="G6481">
        <v>-172.3888</v>
      </c>
      <c r="H6481">
        <v>0.96498240000000002</v>
      </c>
      <c r="I6481">
        <v>135.3578</v>
      </c>
      <c r="J6481">
        <v>-173.0197</v>
      </c>
      <c r="K6481">
        <v>1.1002510000000001</v>
      </c>
      <c r="L6481">
        <v>135.31440000000001</v>
      </c>
      <c r="M6481">
        <v>0.93462000000000001</v>
      </c>
      <c r="N6481">
        <v>-1.548063E-2</v>
      </c>
      <c r="O6481">
        <v>0.35531119999999999</v>
      </c>
      <c r="P6481">
        <v>0.89542559999999904</v>
      </c>
      <c r="Q6481">
        <v>0.37882130000000003</v>
      </c>
      <c r="R6481">
        <v>0.23389689999999999</v>
      </c>
      <c r="S6481">
        <v>3.500626</v>
      </c>
      <c r="T6481">
        <v>-0.60731029999999997</v>
      </c>
      <c r="U6481">
        <v>0.41363529999999998</v>
      </c>
      <c r="V6481">
        <v>0.1098208</v>
      </c>
      <c r="W6481">
        <v>0.39027719999999999</v>
      </c>
      <c r="X6481">
        <v>0.9141243</v>
      </c>
      <c r="Y6481">
        <v>0.2353633</v>
      </c>
      <c r="Z6481">
        <v>-7.6101409999999994E-2</v>
      </c>
      <c r="AA6481">
        <v>0.96892350000000005</v>
      </c>
      <c r="AB6481">
        <v>27</v>
      </c>
      <c r="AC6481">
        <v>0.63089999999999602</v>
      </c>
      <c r="AD6481">
        <v>-0.13526859999999999</v>
      </c>
      <c r="AE6481">
        <v>4.3399999999991203E-2</v>
      </c>
      <c r="AF6481">
        <v>0.17559141914180099</v>
      </c>
      <c r="AG6481">
        <v>-0.13526859999999999</v>
      </c>
      <c r="AH6481">
        <v>0.57866869105363505</v>
      </c>
      <c r="AI6481">
        <v>102.60875412549601</v>
      </c>
      <c r="AJ6481">
        <v>73.120086661803597</v>
      </c>
      <c r="AK6481">
        <v>0.61966716439385305</v>
      </c>
      <c r="AL6481">
        <v>67.028252969390294</v>
      </c>
      <c r="AM6481">
        <v>83.149448521892396</v>
      </c>
      <c r="AN6481">
        <v>1.00000006840148</v>
      </c>
    </row>
    <row r="6482" spans="1:40" x14ac:dyDescent="0.25">
      <c r="A6482" t="str">
        <f>"20190304164536194"</f>
        <v>20190304164536194</v>
      </c>
      <c r="B6482" t="str">
        <f>"1551689136187189"</f>
        <v>1551689136187189</v>
      </c>
      <c r="C6482" t="s">
        <v>40</v>
      </c>
      <c r="D6482">
        <v>5.1578410000000003</v>
      </c>
      <c r="E6482">
        <v>0.57216089999999997</v>
      </c>
      <c r="F6482" t="s">
        <v>41</v>
      </c>
      <c r="G6482">
        <v>-172.15539999999999</v>
      </c>
      <c r="H6482">
        <v>0.95268439999999999</v>
      </c>
      <c r="I6482">
        <v>135.40989999999999</v>
      </c>
      <c r="J6482">
        <v>-172.87559999999999</v>
      </c>
      <c r="K6482">
        <v>1.1003449999999999</v>
      </c>
      <c r="L6482">
        <v>135.36089999999999</v>
      </c>
      <c r="M6482">
        <v>0.93745319999999999</v>
      </c>
      <c r="N6482">
        <v>-1.545699E-2</v>
      </c>
      <c r="O6482">
        <v>0.34776829999999997</v>
      </c>
      <c r="P6482">
        <v>0.89650790000000002</v>
      </c>
      <c r="Q6482">
        <v>0.37986700000000001</v>
      </c>
      <c r="R6482">
        <v>0.22797990000000001</v>
      </c>
      <c r="S6482">
        <v>3.5022129999999998</v>
      </c>
      <c r="T6482">
        <v>-0.59779439999999995</v>
      </c>
      <c r="U6482">
        <v>0.38693240000000001</v>
      </c>
      <c r="V6482">
        <v>0.10827050000000001</v>
      </c>
      <c r="W6482">
        <v>0.39135920000000002</v>
      </c>
      <c r="X6482">
        <v>0.91384659999999995</v>
      </c>
      <c r="Y6482">
        <v>0.23521429999999999</v>
      </c>
      <c r="Z6482">
        <v>-7.380217E-2</v>
      </c>
      <c r="AA6482">
        <v>0.96913749999999999</v>
      </c>
      <c r="AB6482">
        <v>27</v>
      </c>
      <c r="AC6482">
        <v>0.72020000000000495</v>
      </c>
      <c r="AD6482">
        <v>-0.1476606</v>
      </c>
      <c r="AE6482">
        <v>4.9000000000006497E-2</v>
      </c>
      <c r="AF6482">
        <v>0.19633672472464</v>
      </c>
      <c r="AG6482">
        <v>-0.1476606</v>
      </c>
      <c r="AH6482">
        <v>0.66447384481514804</v>
      </c>
      <c r="AI6482">
        <v>102.03052077858401</v>
      </c>
      <c r="AJ6482">
        <v>73.538803007430801</v>
      </c>
      <c r="AK6482">
        <v>0.70843295569262199</v>
      </c>
      <c r="AL6482">
        <v>66.960902355483697</v>
      </c>
      <c r="AM6482">
        <v>83.243221712202299</v>
      </c>
      <c r="AN6482">
        <v>1.00000006646322</v>
      </c>
    </row>
    <row r="6483" spans="1:40" x14ac:dyDescent="0.25">
      <c r="A6483" t="str">
        <f>"20190304164536208"</f>
        <v>20190304164536208</v>
      </c>
      <c r="B6483" t="str">
        <f>"1551689136196949"</f>
        <v>1551689136196949</v>
      </c>
      <c r="C6483" t="s">
        <v>40</v>
      </c>
      <c r="D6483">
        <v>5.1400199999999998</v>
      </c>
      <c r="E6483">
        <v>0.56540409999999997</v>
      </c>
      <c r="F6483" t="s">
        <v>41</v>
      </c>
      <c r="G6483">
        <v>-171.92269999999999</v>
      </c>
      <c r="H6483">
        <v>0.93895470000000003</v>
      </c>
      <c r="I6483">
        <v>135.4598</v>
      </c>
      <c r="J6483">
        <v>-172.7107</v>
      </c>
      <c r="K6483">
        <v>1.1004579999999999</v>
      </c>
      <c r="L6483">
        <v>135.4119</v>
      </c>
      <c r="M6483">
        <v>0.94056580000000001</v>
      </c>
      <c r="N6483">
        <v>-1.542727E-2</v>
      </c>
      <c r="O6483">
        <v>0.33926109999999998</v>
      </c>
      <c r="P6483">
        <v>0.89783009999999996</v>
      </c>
      <c r="Q6483">
        <v>0.38116470000000002</v>
      </c>
      <c r="R6483">
        <v>0.22048789999999999</v>
      </c>
      <c r="S6483">
        <v>3.505341</v>
      </c>
      <c r="T6483">
        <v>-0.59378149999999996</v>
      </c>
      <c r="U6483">
        <v>0.36404419999999998</v>
      </c>
      <c r="V6483">
        <v>0.1073561</v>
      </c>
      <c r="W6483">
        <v>0.39267289999999999</v>
      </c>
      <c r="X6483">
        <v>0.91339079999999995</v>
      </c>
      <c r="Y6483">
        <v>0.23300090000000001</v>
      </c>
      <c r="Z6483">
        <v>-7.1860779999999999E-2</v>
      </c>
      <c r="AA6483">
        <v>0.96981779999999995</v>
      </c>
      <c r="AB6483">
        <v>27</v>
      </c>
      <c r="AC6483">
        <v>0.78800000000001003</v>
      </c>
      <c r="AD6483">
        <v>-0.16150329999999999</v>
      </c>
      <c r="AE6483">
        <v>4.7899999999998499E-2</v>
      </c>
      <c r="AF6483">
        <v>0.213380830732434</v>
      </c>
      <c r="AG6483">
        <v>-0.16150329999999999</v>
      </c>
      <c r="AH6483">
        <v>0.72707744990132495</v>
      </c>
      <c r="AI6483">
        <v>102.031846783959</v>
      </c>
      <c r="AJ6483">
        <v>73.644226052711403</v>
      </c>
      <c r="AK6483">
        <v>0.77476210089934505</v>
      </c>
      <c r="AL6483">
        <v>66.879083514047693</v>
      </c>
      <c r="AM6483">
        <v>83.296452046229106</v>
      </c>
      <c r="AN6483">
        <v>1.00000004606312</v>
      </c>
    </row>
    <row r="6484" spans="1:40" x14ac:dyDescent="0.25">
      <c r="A6484" t="str">
        <f>"20190304164536221"</f>
        <v>20190304164536221</v>
      </c>
      <c r="B6484" t="str">
        <f>"1551689136216469"</f>
        <v>1551689136216469</v>
      </c>
      <c r="C6484" t="s">
        <v>40</v>
      </c>
      <c r="D6484">
        <v>5.1603250000000003</v>
      </c>
      <c r="E6484">
        <v>0.56396650000000004</v>
      </c>
      <c r="F6484" t="s">
        <v>41</v>
      </c>
      <c r="G6484">
        <v>-171.9188</v>
      </c>
      <c r="H6484">
        <v>0.97827149999999996</v>
      </c>
      <c r="I6484">
        <v>135.49930000000001</v>
      </c>
      <c r="J6484">
        <v>-172.55969999999999</v>
      </c>
      <c r="K6484">
        <v>1.1005640000000001</v>
      </c>
      <c r="L6484">
        <v>135.45750000000001</v>
      </c>
      <c r="M6484">
        <v>0.94332249999999995</v>
      </c>
      <c r="N6484">
        <v>-1.5399660000000001E-2</v>
      </c>
      <c r="O6484">
        <v>0.33152009999999998</v>
      </c>
      <c r="P6484">
        <v>0.89918489999999995</v>
      </c>
      <c r="Q6484">
        <v>0.38184580000000001</v>
      </c>
      <c r="R6484">
        <v>0.2136836</v>
      </c>
      <c r="S6484">
        <v>3.4748230000000002</v>
      </c>
      <c r="T6484">
        <v>-0.53626870000000004</v>
      </c>
      <c r="U6484">
        <v>0.3837585</v>
      </c>
      <c r="V6484">
        <v>0.10658330000000001</v>
      </c>
      <c r="W6484">
        <v>0.3933701</v>
      </c>
      <c r="X6484">
        <v>0.91318120000000003</v>
      </c>
      <c r="Y6484">
        <v>0.22019050000000001</v>
      </c>
      <c r="Z6484">
        <v>-6.3132610000000006E-2</v>
      </c>
      <c r="AA6484">
        <v>0.97341169999999999</v>
      </c>
      <c r="AB6484">
        <v>27</v>
      </c>
      <c r="AC6484">
        <v>0.64089999999998704</v>
      </c>
      <c r="AD6484">
        <v>-0.122292499999999</v>
      </c>
      <c r="AE6484">
        <v>4.1799999999994897E-2</v>
      </c>
      <c r="AF6484">
        <v>0.16700595897770701</v>
      </c>
      <c r="AG6484">
        <v>-0.122292499999999</v>
      </c>
      <c r="AH6484">
        <v>0.59686647455830599</v>
      </c>
      <c r="AI6484">
        <v>101.161799514404</v>
      </c>
      <c r="AJ6484">
        <v>74.368138073134304</v>
      </c>
      <c r="AK6484">
        <v>0.63174048021475904</v>
      </c>
      <c r="AL6484">
        <v>66.8356391796206</v>
      </c>
      <c r="AM6484">
        <v>83.342758909085006</v>
      </c>
      <c r="AN6484">
        <v>0.99999996972316896</v>
      </c>
    </row>
    <row r="6485" spans="1:40" x14ac:dyDescent="0.25">
      <c r="A6485" t="str">
        <f>"20190304164536235"</f>
        <v>20190304164536235</v>
      </c>
      <c r="B6485" t="str">
        <f>"1551689136226229"</f>
        <v>1551689136226229</v>
      </c>
      <c r="C6485" t="s">
        <v>40</v>
      </c>
      <c r="D6485">
        <v>5.169422</v>
      </c>
      <c r="E6485">
        <v>0.56333769999999905</v>
      </c>
      <c r="F6485" t="s">
        <v>41</v>
      </c>
      <c r="G6485">
        <v>-171.68530000000001</v>
      </c>
      <c r="H6485">
        <v>0.96872119999999995</v>
      </c>
      <c r="I6485">
        <v>135.5506</v>
      </c>
      <c r="J6485">
        <v>-172.3964</v>
      </c>
      <c r="K6485">
        <v>1.1006720000000001</v>
      </c>
      <c r="L6485">
        <v>135.50559999999999</v>
      </c>
      <c r="M6485">
        <v>0.94620479999999996</v>
      </c>
      <c r="N6485">
        <v>-1.5369570000000001E-2</v>
      </c>
      <c r="O6485">
        <v>0.32320330000000003</v>
      </c>
      <c r="P6485">
        <v>0.90062260000000005</v>
      </c>
      <c r="Q6485">
        <v>0.3822238</v>
      </c>
      <c r="R6485">
        <v>0.20684250000000001</v>
      </c>
      <c r="S6485">
        <v>3.4704440000000001</v>
      </c>
      <c r="T6485">
        <v>-0.52283119999999905</v>
      </c>
      <c r="U6485">
        <v>0.36996459999999998</v>
      </c>
      <c r="V6485">
        <v>0.10532610000000001</v>
      </c>
      <c r="W6485">
        <v>0.39377859999999998</v>
      </c>
      <c r="X6485">
        <v>0.91315100000000005</v>
      </c>
      <c r="Y6485">
        <v>0.2156988</v>
      </c>
      <c r="Z6485">
        <v>-6.0175729999999997E-2</v>
      </c>
      <c r="AA6485">
        <v>0.97460400000000003</v>
      </c>
      <c r="AB6485">
        <v>27</v>
      </c>
      <c r="AC6485">
        <v>0.71109999999998696</v>
      </c>
      <c r="AD6485">
        <v>-0.13195079999999901</v>
      </c>
      <c r="AE6485">
        <v>4.5000000000015902E-2</v>
      </c>
      <c r="AF6485">
        <v>0.181063250383284</v>
      </c>
      <c r="AG6485">
        <v>-0.13195079999999901</v>
      </c>
      <c r="AH6485">
        <v>0.66467665873821302</v>
      </c>
      <c r="AI6485">
        <v>100.84306281925799</v>
      </c>
      <c r="AJ6485">
        <v>74.7619083260944</v>
      </c>
      <c r="AK6485">
        <v>0.70141997043953297</v>
      </c>
      <c r="AL6485">
        <v>66.810178820701907</v>
      </c>
      <c r="AM6485">
        <v>83.420375954582099</v>
      </c>
      <c r="AN6485">
        <v>0.99999996098008404</v>
      </c>
    </row>
    <row r="6486" spans="1:40" x14ac:dyDescent="0.25">
      <c r="A6486" t="str">
        <f>"20190304164536249"</f>
        <v>20190304164536249</v>
      </c>
      <c r="B6486" t="str">
        <f>"1551689136246725"</f>
        <v>1551689136246725</v>
      </c>
      <c r="C6486" t="s">
        <v>40</v>
      </c>
      <c r="D6486">
        <v>5.1551289999999996</v>
      </c>
      <c r="E6486">
        <v>0.56289409999999995</v>
      </c>
      <c r="F6486" t="s">
        <v>41</v>
      </c>
      <c r="G6486">
        <v>-171.45269999999999</v>
      </c>
      <c r="H6486">
        <v>0.95811979999999997</v>
      </c>
      <c r="I6486">
        <v>135.60079999999999</v>
      </c>
      <c r="J6486">
        <v>-172.2303</v>
      </c>
      <c r="K6486">
        <v>1.1007880000000001</v>
      </c>
      <c r="L6486">
        <v>135.55269999999999</v>
      </c>
      <c r="M6486">
        <v>0.9490113</v>
      </c>
      <c r="N6486">
        <v>-1.5336870000000001E-2</v>
      </c>
      <c r="O6486">
        <v>0.31486900000000001</v>
      </c>
      <c r="P6486">
        <v>0.90212610000000004</v>
      </c>
      <c r="Q6486">
        <v>0.38110119999999997</v>
      </c>
      <c r="R6486">
        <v>0.20231209999999999</v>
      </c>
      <c r="S6486">
        <v>3.4730530000000002</v>
      </c>
      <c r="T6486">
        <v>-0.52441700000000002</v>
      </c>
      <c r="U6486">
        <v>0.35066219999999998</v>
      </c>
      <c r="V6486">
        <v>0.1018666</v>
      </c>
      <c r="W6486">
        <v>0.39275310000000002</v>
      </c>
      <c r="X6486">
        <v>0.91398480000000004</v>
      </c>
      <c r="Y6486">
        <v>0.21262780000000001</v>
      </c>
      <c r="Z6486">
        <v>-5.904773E-2</v>
      </c>
      <c r="AA6486">
        <v>0.97534750000000003</v>
      </c>
      <c r="AB6486">
        <v>27</v>
      </c>
      <c r="AC6486">
        <v>0.77760000000000595</v>
      </c>
      <c r="AD6486">
        <v>-0.142668199999999</v>
      </c>
      <c r="AE6486">
        <v>4.8100000000005097E-2</v>
      </c>
      <c r="AF6486">
        <v>0.19275431442888</v>
      </c>
      <c r="AG6486">
        <v>-0.142668199999999</v>
      </c>
      <c r="AH6486">
        <v>0.72874722165478001</v>
      </c>
      <c r="AI6486">
        <v>100.71722104011501</v>
      </c>
      <c r="AJ6486">
        <v>75.184494805874905</v>
      </c>
      <c r="AK6486">
        <v>0.76719029848646303</v>
      </c>
      <c r="AL6486">
        <v>66.874086049672897</v>
      </c>
      <c r="AM6486">
        <v>83.6404434693588</v>
      </c>
      <c r="AN6486">
        <v>1.0000000081931</v>
      </c>
    </row>
    <row r="6487" spans="1:40" x14ac:dyDescent="0.25">
      <c r="A6487" t="str">
        <f>"20190304164536270"</f>
        <v>20190304164536270</v>
      </c>
      <c r="B6487" t="str">
        <f>"1551689136256485"</f>
        <v>1551689136256485</v>
      </c>
      <c r="C6487" t="s">
        <v>40</v>
      </c>
      <c r="D6487">
        <v>5.1877879999999896</v>
      </c>
      <c r="E6487">
        <v>0.56246450000000003</v>
      </c>
      <c r="F6487" t="s">
        <v>41</v>
      </c>
      <c r="G6487">
        <v>-171.45009999999999</v>
      </c>
      <c r="H6487">
        <v>0.98284130000000003</v>
      </c>
      <c r="I6487">
        <v>135.62729999999999</v>
      </c>
      <c r="J6487">
        <v>-171.98859999999999</v>
      </c>
      <c r="K6487">
        <v>1.1009639999999901</v>
      </c>
      <c r="L6487">
        <v>135.61869999999999</v>
      </c>
      <c r="M6487">
        <v>0.9529029</v>
      </c>
      <c r="N6487">
        <v>-1.5288E-2</v>
      </c>
      <c r="O6487">
        <v>0.30288999999999999</v>
      </c>
      <c r="P6487">
        <v>0.90421879999999999</v>
      </c>
      <c r="Q6487">
        <v>0.38011230000000001</v>
      </c>
      <c r="R6487">
        <v>0.1946871</v>
      </c>
      <c r="S6487">
        <v>3.4725649999999999</v>
      </c>
      <c r="T6487">
        <v>-0.52473619999999899</v>
      </c>
      <c r="U6487">
        <v>0.33251950000000002</v>
      </c>
      <c r="V6487">
        <v>9.7973080000000004E-2</v>
      </c>
      <c r="W6487">
        <v>0.39186720000000003</v>
      </c>
      <c r="X6487">
        <v>0.91479029999999995</v>
      </c>
      <c r="Y6487">
        <v>0.20552980000000001</v>
      </c>
      <c r="Z6487">
        <v>-5.701941E-2</v>
      </c>
      <c r="AA6487">
        <v>0.97698839999999998</v>
      </c>
      <c r="AB6487">
        <v>27</v>
      </c>
      <c r="AC6487">
        <v>0.53849999999999898</v>
      </c>
      <c r="AD6487">
        <v>-0.118122699999999</v>
      </c>
      <c r="AE6487">
        <v>8.6000000000012698E-3</v>
      </c>
      <c r="AF6487">
        <v>0.14781868046459501</v>
      </c>
      <c r="AG6487">
        <v>-0.118122699999999</v>
      </c>
      <c r="AH6487">
        <v>0.49212975033855699</v>
      </c>
      <c r="AI6487">
        <v>102.946108295717</v>
      </c>
      <c r="AJ6487">
        <v>73.281557823034703</v>
      </c>
      <c r="AK6487">
        <v>0.52725233590556497</v>
      </c>
      <c r="AL6487">
        <v>66.929266989860295</v>
      </c>
      <c r="AM6487">
        <v>83.886983625039903</v>
      </c>
      <c r="AN6487">
        <v>0.99999995990730695</v>
      </c>
    </row>
    <row r="6488" spans="1:40" x14ac:dyDescent="0.25">
      <c r="A6488" t="str">
        <f>"20190304164536292"</f>
        <v>20190304164536292</v>
      </c>
      <c r="B6488" t="str">
        <f>"1551689136286859"</f>
        <v>1551689136286859</v>
      </c>
      <c r="C6488" t="s">
        <v>40</v>
      </c>
      <c r="D6488">
        <v>5.1774979999999999</v>
      </c>
      <c r="E6488">
        <v>0.56170730000000002</v>
      </c>
      <c r="F6488" t="s">
        <v>41</v>
      </c>
      <c r="G6488">
        <v>-171.21549999999999</v>
      </c>
      <c r="H6488">
        <v>0.98307860000000002</v>
      </c>
      <c r="I6488">
        <v>135.68600000000001</v>
      </c>
      <c r="J6488">
        <v>-171.72659999999999</v>
      </c>
      <c r="K6488">
        <v>1.101162</v>
      </c>
      <c r="L6488">
        <v>135.68700000000001</v>
      </c>
      <c r="M6488">
        <v>0.95686190000000004</v>
      </c>
      <c r="N6488">
        <v>-1.5232249999999999E-2</v>
      </c>
      <c r="O6488">
        <v>0.29014380000000001</v>
      </c>
      <c r="P6488">
        <v>0.90655379999999997</v>
      </c>
      <c r="Q6488">
        <v>0.37974239999999998</v>
      </c>
      <c r="R6488">
        <v>0.18427199999999999</v>
      </c>
      <c r="S6488">
        <v>3.475082</v>
      </c>
      <c r="T6488">
        <v>-0.52940149999999997</v>
      </c>
      <c r="U6488">
        <v>0.30314639999999998</v>
      </c>
      <c r="V6488">
        <v>9.6108700000000005E-2</v>
      </c>
      <c r="W6488">
        <v>0.39154119999999998</v>
      </c>
      <c r="X6488">
        <v>0.91512760000000004</v>
      </c>
      <c r="Y6488">
        <v>0.2008035</v>
      </c>
      <c r="Z6488">
        <v>-5.5514229999999998E-2</v>
      </c>
      <c r="AA6488">
        <v>0.97805730000000002</v>
      </c>
      <c r="AB6488">
        <v>27</v>
      </c>
      <c r="AC6488">
        <v>0.511099999999999</v>
      </c>
      <c r="AD6488">
        <v>-0.11808339999999901</v>
      </c>
      <c r="AE6488">
        <v>-1.0000000000047701E-3</v>
      </c>
      <c r="AF6488">
        <v>0.14170281760428899</v>
      </c>
      <c r="AG6488">
        <v>-0.11808339999999901</v>
      </c>
      <c r="AH6488">
        <v>0.46404855366881398</v>
      </c>
      <c r="AI6488">
        <v>103.678146850373</v>
      </c>
      <c r="AJ6488">
        <v>73.019317570984001</v>
      </c>
      <c r="AK6488">
        <v>0.49936403358138698</v>
      </c>
      <c r="AL6488">
        <v>66.949567588829296</v>
      </c>
      <c r="AM6488">
        <v>84.004649814606296</v>
      </c>
      <c r="AN6488">
        <v>0.99999995889744397</v>
      </c>
    </row>
    <row r="6489" spans="1:40" x14ac:dyDescent="0.25">
      <c r="A6489" t="str">
        <f>"20190304164536315"</f>
        <v>20190304164536315</v>
      </c>
      <c r="B6489" t="str">
        <f>"1551689136306383"</f>
        <v>1551689136306383</v>
      </c>
      <c r="C6489" t="s">
        <v>40</v>
      </c>
      <c r="D6489">
        <v>5.547358</v>
      </c>
      <c r="E6489">
        <v>0.56136730000000001</v>
      </c>
      <c r="F6489" t="s">
        <v>41</v>
      </c>
      <c r="G6489">
        <v>-170.9804</v>
      </c>
      <c r="H6489">
        <v>0.98615589999999997</v>
      </c>
      <c r="I6489">
        <v>135.74590000000001</v>
      </c>
      <c r="J6489">
        <v>-171.46279999999999</v>
      </c>
      <c r="K6489">
        <v>1.1013930000000001</v>
      </c>
      <c r="L6489">
        <v>135.75229999999999</v>
      </c>
      <c r="M6489">
        <v>0.96057910000000002</v>
      </c>
      <c r="N6489">
        <v>-1.517224E-2</v>
      </c>
      <c r="O6489">
        <v>0.27759250000000002</v>
      </c>
      <c r="P6489">
        <v>0.90848039999999997</v>
      </c>
      <c r="Q6489">
        <v>0.37990259999999998</v>
      </c>
      <c r="R6489">
        <v>0.17417639999999901</v>
      </c>
      <c r="S6489">
        <v>3.477951</v>
      </c>
      <c r="T6489">
        <v>-0.53601160000000003</v>
      </c>
      <c r="U6489">
        <v>0.27453610000000001</v>
      </c>
      <c r="V6489">
        <v>9.4060459999999999E-2</v>
      </c>
      <c r="W6489">
        <v>0.3917448</v>
      </c>
      <c r="X6489">
        <v>0.91525330000000005</v>
      </c>
      <c r="Y6489">
        <v>0.19608709999999999</v>
      </c>
      <c r="Z6489">
        <v>-5.418415E-2</v>
      </c>
      <c r="AA6489">
        <v>0.97908830000000002</v>
      </c>
      <c r="AB6489">
        <v>27</v>
      </c>
      <c r="AC6489">
        <v>0.48239999999998401</v>
      </c>
      <c r="AD6489">
        <v>-0.115237099999999</v>
      </c>
      <c r="AE6489">
        <v>-6.39999999998508E-3</v>
      </c>
      <c r="AF6489">
        <v>0.132513874179392</v>
      </c>
      <c r="AG6489">
        <v>-0.115237099999999</v>
      </c>
      <c r="AH6489">
        <v>0.43674161799266098</v>
      </c>
      <c r="AI6489">
        <v>104.170445236448</v>
      </c>
      <c r="AJ6489">
        <v>73.121425733486902</v>
      </c>
      <c r="AK6489">
        <v>0.47072577680990602</v>
      </c>
      <c r="AL6489">
        <v>66.936889933486995</v>
      </c>
      <c r="AM6489">
        <v>84.132319945897294</v>
      </c>
      <c r="AN6489">
        <v>0.99999998081166996</v>
      </c>
    </row>
    <row r="6490" spans="1:40" x14ac:dyDescent="0.25">
      <c r="A6490" t="str">
        <f>"20190304164536327"</f>
        <v>20190304164536327</v>
      </c>
      <c r="B6490" t="str">
        <f>"1551689136317116"</f>
        <v>1551689136317116</v>
      </c>
      <c r="C6490" t="s">
        <v>40</v>
      </c>
      <c r="D6490">
        <v>5.178801</v>
      </c>
      <c r="E6490">
        <v>0.56150159999999905</v>
      </c>
      <c r="F6490" t="s">
        <v>41</v>
      </c>
      <c r="G6490">
        <v>-170.51509999999999</v>
      </c>
      <c r="H6490">
        <v>0.95544770000000001</v>
      </c>
      <c r="I6490">
        <v>135.81870000000001</v>
      </c>
      <c r="J6490">
        <v>-171.30430000000001</v>
      </c>
      <c r="K6490">
        <v>1.1015429999999999</v>
      </c>
      <c r="L6490">
        <v>135.7895</v>
      </c>
      <c r="M6490">
        <v>0.96267650000000005</v>
      </c>
      <c r="N6490">
        <v>-1.5133260000000001E-2</v>
      </c>
      <c r="O6490">
        <v>0.27023160000000002</v>
      </c>
      <c r="P6490">
        <v>0.9097016</v>
      </c>
      <c r="Q6490">
        <v>0.3795885</v>
      </c>
      <c r="R6490">
        <v>0.16839199999999999</v>
      </c>
      <c r="S6490">
        <v>3.4794309999999999</v>
      </c>
      <c r="T6490">
        <v>-0.53573870000000001</v>
      </c>
      <c r="U6490">
        <v>0.24407960000000001</v>
      </c>
      <c r="V6490">
        <v>9.2755279999999996E-2</v>
      </c>
      <c r="W6490">
        <v>0.39145960000000002</v>
      </c>
      <c r="X6490">
        <v>0.91550860000000001</v>
      </c>
      <c r="Y6490">
        <v>0.19719700000000001</v>
      </c>
      <c r="Z6490">
        <v>-5.3290690000000002E-2</v>
      </c>
      <c r="AA6490">
        <v>0.97891439999999996</v>
      </c>
      <c r="AB6490">
        <v>27</v>
      </c>
      <c r="AC6490">
        <v>0.789200000000022</v>
      </c>
      <c r="AD6490">
        <v>-0.14609530000000001</v>
      </c>
      <c r="AE6490">
        <v>2.9200000000002901E-2</v>
      </c>
      <c r="AF6490">
        <v>0.179050368942368</v>
      </c>
      <c r="AG6490">
        <v>-0.14609530000000001</v>
      </c>
      <c r="AH6490">
        <v>0.74231932096617703</v>
      </c>
      <c r="AI6490">
        <v>100.831077765468</v>
      </c>
      <c r="AJ6490">
        <v>76.439059022089197</v>
      </c>
      <c r="AK6490">
        <v>0.77745793814210595</v>
      </c>
      <c r="AL6490">
        <v>66.954651409022404</v>
      </c>
      <c r="AM6490">
        <v>84.214786049215604</v>
      </c>
      <c r="AN6490">
        <v>1.00000007853699</v>
      </c>
    </row>
    <row r="6491" spans="1:40" x14ac:dyDescent="0.25">
      <c r="A6491" t="str">
        <f>"20190304164536342"</f>
        <v>20190304164536342</v>
      </c>
      <c r="B6491" t="str">
        <f>"1551689136336636"</f>
        <v>1551689136336636</v>
      </c>
      <c r="C6491" t="s">
        <v>40</v>
      </c>
      <c r="D6491">
        <v>5.147316</v>
      </c>
      <c r="E6491">
        <v>0.56144039999999995</v>
      </c>
      <c r="F6491" t="s">
        <v>41</v>
      </c>
      <c r="G6491">
        <v>-170.50989999999999</v>
      </c>
      <c r="H6491">
        <v>0.97936889999999999</v>
      </c>
      <c r="I6491">
        <v>135.84</v>
      </c>
      <c r="J6491">
        <v>-171.13919999999999</v>
      </c>
      <c r="K6491">
        <v>1.101696</v>
      </c>
      <c r="L6491">
        <v>135.82740000000001</v>
      </c>
      <c r="M6491">
        <v>0.9647753</v>
      </c>
      <c r="N6491">
        <v>-1.509301E-2</v>
      </c>
      <c r="O6491">
        <v>0.2626423</v>
      </c>
      <c r="P6491">
        <v>0.91066829999999999</v>
      </c>
      <c r="Q6491">
        <v>0.3796331</v>
      </c>
      <c r="R6491">
        <v>0.1629787</v>
      </c>
      <c r="S6491">
        <v>3.4801329999999999</v>
      </c>
      <c r="T6491">
        <v>-0.53508319999999998</v>
      </c>
      <c r="U6491">
        <v>0.22102359999999999</v>
      </c>
      <c r="V6491">
        <v>9.0828510000000001E-2</v>
      </c>
      <c r="W6491">
        <v>0.39154430000000001</v>
      </c>
      <c r="X6491">
        <v>0.91566539999999996</v>
      </c>
      <c r="Y6491">
        <v>0.19604540000000001</v>
      </c>
      <c r="Z6491">
        <v>-5.2139480000000002E-2</v>
      </c>
      <c r="AA6491">
        <v>0.97920770000000001</v>
      </c>
      <c r="AB6491">
        <v>27</v>
      </c>
      <c r="AC6491">
        <v>0.62929999999999997</v>
      </c>
      <c r="AD6491">
        <v>-0.12232709999999999</v>
      </c>
      <c r="AE6491">
        <v>1.2599999999991901E-2</v>
      </c>
      <c r="AF6491">
        <v>0.147568294479929</v>
      </c>
      <c r="AG6491">
        <v>-0.12232709999999999</v>
      </c>
      <c r="AH6491">
        <v>0.58829165434694897</v>
      </c>
      <c r="AI6491">
        <v>101.40287946331399</v>
      </c>
      <c r="AJ6491">
        <v>75.918356712434203</v>
      </c>
      <c r="AK6491">
        <v>0.61873046757404404</v>
      </c>
      <c r="AL6491">
        <v>66.949374122313301</v>
      </c>
      <c r="AM6491">
        <v>84.335133896998997</v>
      </c>
      <c r="AN6491">
        <v>0.99999994092423306</v>
      </c>
    </row>
    <row r="6492" spans="1:40" x14ac:dyDescent="0.25">
      <c r="A6492" t="str">
        <f>"20190304164536356"</f>
        <v>20190304164536356</v>
      </c>
      <c r="B6492" t="str">
        <f>"1551689136346396"</f>
        <v>1551689136346396</v>
      </c>
      <c r="C6492" t="s">
        <v>40</v>
      </c>
      <c r="D6492">
        <v>5.0873989999999996</v>
      </c>
      <c r="E6492">
        <v>0.56142409999999998</v>
      </c>
      <c r="F6492" t="s">
        <v>41</v>
      </c>
      <c r="G6492">
        <v>-170.2756</v>
      </c>
      <c r="H6492">
        <v>0.96958800000000001</v>
      </c>
      <c r="I6492">
        <v>135.87690000000001</v>
      </c>
      <c r="J6492">
        <v>-170.97470000000001</v>
      </c>
      <c r="K6492">
        <v>1.1018509999999999</v>
      </c>
      <c r="L6492">
        <v>135.864</v>
      </c>
      <c r="M6492">
        <v>0.96678129999999995</v>
      </c>
      <c r="N6492">
        <v>-1.505338E-2</v>
      </c>
      <c r="O6492">
        <v>0.2551619</v>
      </c>
      <c r="P6492">
        <v>0.91162169999999998</v>
      </c>
      <c r="Q6492">
        <v>0.37970340000000002</v>
      </c>
      <c r="R6492">
        <v>0.15738920000000001</v>
      </c>
      <c r="S6492">
        <v>3.4804689999999998</v>
      </c>
      <c r="T6492">
        <v>-0.53235600000000005</v>
      </c>
      <c r="U6492">
        <v>0.19973750000000001</v>
      </c>
      <c r="V6492">
        <v>8.9192869999999994E-2</v>
      </c>
      <c r="W6492">
        <v>0.39164700000000002</v>
      </c>
      <c r="X6492">
        <v>0.91578230000000005</v>
      </c>
      <c r="Y6492">
        <v>0.1945625</v>
      </c>
      <c r="Z6492">
        <v>-5.0772280000000003E-2</v>
      </c>
      <c r="AA6492">
        <v>0.97957519999999998</v>
      </c>
      <c r="AB6492">
        <v>27</v>
      </c>
      <c r="AC6492">
        <v>0.69910000000001504</v>
      </c>
      <c r="AD6492">
        <v>-0.13226299999999999</v>
      </c>
      <c r="AE6492">
        <v>1.29000000000019E-2</v>
      </c>
      <c r="AF6492">
        <v>0.16019893434917001</v>
      </c>
      <c r="AG6492">
        <v>-0.13226299999999999</v>
      </c>
      <c r="AH6492">
        <v>0.65578088625908704</v>
      </c>
      <c r="AI6492">
        <v>101.085335754075</v>
      </c>
      <c r="AJ6492">
        <v>76.272228689327605</v>
      </c>
      <c r="AK6492">
        <v>0.68789953519272196</v>
      </c>
      <c r="AL6492">
        <v>66.942980097441193</v>
      </c>
      <c r="AM6492">
        <v>84.437206714247395</v>
      </c>
      <c r="AN6492">
        <v>0.99999998083056296</v>
      </c>
    </row>
    <row r="6493" spans="1:40" x14ac:dyDescent="0.25">
      <c r="A6493" t="str">
        <f>"20190304164536370"</f>
        <v>20190304164536370</v>
      </c>
      <c r="B6493" t="str">
        <f>"1551689136366892"</f>
        <v>1551689136366892</v>
      </c>
      <c r="C6493" t="s">
        <v>40</v>
      </c>
      <c r="D6493">
        <v>5.0794370000000004</v>
      </c>
      <c r="E6493">
        <v>0.56136239999999904</v>
      </c>
      <c r="F6493" t="s">
        <v>41</v>
      </c>
      <c r="G6493">
        <v>-170.04159999999999</v>
      </c>
      <c r="H6493">
        <v>0.95951189999999997</v>
      </c>
      <c r="I6493">
        <v>135.91200000000001</v>
      </c>
      <c r="J6493">
        <v>-170.8</v>
      </c>
      <c r="K6493">
        <v>1.1020190000000001</v>
      </c>
      <c r="L6493">
        <v>135.9014</v>
      </c>
      <c r="M6493">
        <v>0.96880049999999995</v>
      </c>
      <c r="N6493">
        <v>-1.501158E-2</v>
      </c>
      <c r="O6493">
        <v>0.247387</v>
      </c>
      <c r="P6493">
        <v>0.91228379999999998</v>
      </c>
      <c r="Q6493">
        <v>0.3803609</v>
      </c>
      <c r="R6493">
        <v>0.15186830000000001</v>
      </c>
      <c r="S6493">
        <v>3.4812159999999999</v>
      </c>
      <c r="T6493">
        <v>-0.53119369999999999</v>
      </c>
      <c r="U6493">
        <v>0.1788177</v>
      </c>
      <c r="V6493">
        <v>8.7153980000000006E-2</v>
      </c>
      <c r="W6493">
        <v>0.39234180000000002</v>
      </c>
      <c r="X6493">
        <v>0.91568119999999997</v>
      </c>
      <c r="Y6493">
        <v>0.1926821</v>
      </c>
      <c r="Z6493">
        <v>-4.9485689999999999E-2</v>
      </c>
      <c r="AA6493">
        <v>0.98001269999999996</v>
      </c>
      <c r="AB6493">
        <v>27</v>
      </c>
      <c r="AC6493">
        <v>0.75840000000002294</v>
      </c>
      <c r="AD6493">
        <v>-0.1425071</v>
      </c>
      <c r="AE6493">
        <v>1.06000000000108E-2</v>
      </c>
      <c r="AF6493">
        <v>0.171321124103716</v>
      </c>
      <c r="AG6493">
        <v>-0.1425071</v>
      </c>
      <c r="AH6493">
        <v>0.712298552915552</v>
      </c>
      <c r="AI6493">
        <v>101.00766978471501</v>
      </c>
      <c r="AJ6493">
        <v>76.476169146278593</v>
      </c>
      <c r="AK6493">
        <v>0.74634337245008098</v>
      </c>
      <c r="AL6493">
        <v>66.8997078340646</v>
      </c>
      <c r="AM6493">
        <v>84.563001194679003</v>
      </c>
      <c r="AN6493">
        <v>0.99999998214525998</v>
      </c>
    </row>
    <row r="6494" spans="1:40" x14ac:dyDescent="0.25">
      <c r="A6494" t="str">
        <f>"20190304164536384"</f>
        <v>20190304164536384</v>
      </c>
      <c r="B6494" t="str">
        <f>"1551689136376652"</f>
        <v>1551689136376652</v>
      </c>
      <c r="C6494" t="s">
        <v>40</v>
      </c>
      <c r="D6494">
        <v>5.0919410000000003</v>
      </c>
      <c r="E6494">
        <v>0.56131580000000003</v>
      </c>
      <c r="F6494" t="s">
        <v>41</v>
      </c>
      <c r="G6494">
        <v>-170.03569999999999</v>
      </c>
      <c r="H6494">
        <v>0.98628769999999999</v>
      </c>
      <c r="I6494">
        <v>135.9375</v>
      </c>
      <c r="J6494">
        <v>-170.63480000000001</v>
      </c>
      <c r="K6494">
        <v>1.1021729999999901</v>
      </c>
      <c r="L6494">
        <v>135.93539999999999</v>
      </c>
      <c r="M6494">
        <v>0.97061500000000001</v>
      </c>
      <c r="N6494">
        <v>-1.497072E-2</v>
      </c>
      <c r="O6494">
        <v>0.2401721</v>
      </c>
      <c r="P6494">
        <v>0.9131203</v>
      </c>
      <c r="Q6494">
        <v>0.380662</v>
      </c>
      <c r="R6494">
        <v>0.14597309999999999</v>
      </c>
      <c r="S6494">
        <v>3.4809109999999999</v>
      </c>
      <c r="T6494">
        <v>-0.52722860000000005</v>
      </c>
      <c r="U6494">
        <v>0.1643066</v>
      </c>
      <c r="V6494">
        <v>8.6070149999999998E-2</v>
      </c>
      <c r="W6494">
        <v>0.39265840000000002</v>
      </c>
      <c r="X6494">
        <v>0.91564800000000002</v>
      </c>
      <c r="Y6494">
        <v>0.1896265</v>
      </c>
      <c r="Z6494">
        <v>-4.7923760000000003E-2</v>
      </c>
      <c r="AA6494">
        <v>0.98068599999999995</v>
      </c>
      <c r="AB6494">
        <v>27</v>
      </c>
      <c r="AC6494">
        <v>0.59910000000002095</v>
      </c>
      <c r="AD6494">
        <v>-0.115885299999999</v>
      </c>
      <c r="AE6494">
        <v>2.1000000000128598E-3</v>
      </c>
      <c r="AF6494">
        <v>0.13674817981866999</v>
      </c>
      <c r="AG6494">
        <v>-0.115885299999999</v>
      </c>
      <c r="AH6494">
        <v>0.56107211869486595</v>
      </c>
      <c r="AI6494">
        <v>101.346755073748</v>
      </c>
      <c r="AJ6494">
        <v>76.302550460955501</v>
      </c>
      <c r="AK6494">
        <v>0.58900881981219599</v>
      </c>
      <c r="AL6494">
        <v>66.879985116387601</v>
      </c>
      <c r="AM6494">
        <v>84.630023403425795</v>
      </c>
      <c r="AN6494">
        <v>0.99999997485779002</v>
      </c>
    </row>
    <row r="6495" spans="1:40" x14ac:dyDescent="0.25">
      <c r="A6495" t="str">
        <f>"20190304164536403"</f>
        <v>20190304164536403</v>
      </c>
      <c r="B6495" t="str">
        <f>"1551689136396171"</f>
        <v>1551689136396171</v>
      </c>
      <c r="C6495" t="s">
        <v>40</v>
      </c>
      <c r="D6495">
        <v>5.1085960000000004</v>
      </c>
      <c r="E6495">
        <v>0.56122299999999903</v>
      </c>
      <c r="F6495" t="s">
        <v>41</v>
      </c>
      <c r="G6495">
        <v>-169.80170000000001</v>
      </c>
      <c r="H6495">
        <v>0.97612089999999996</v>
      </c>
      <c r="I6495">
        <v>135.97040000000001</v>
      </c>
      <c r="J6495">
        <v>-170.40620000000001</v>
      </c>
      <c r="K6495">
        <v>1.102401</v>
      </c>
      <c r="L6495">
        <v>135.98079999999999</v>
      </c>
      <c r="M6495">
        <v>0.97298430000000002</v>
      </c>
      <c r="N6495">
        <v>-1.491254E-2</v>
      </c>
      <c r="O6495">
        <v>0.23038910000000001</v>
      </c>
      <c r="P6495">
        <v>0.91453620000000002</v>
      </c>
      <c r="Q6495">
        <v>0.3794149</v>
      </c>
      <c r="R6495">
        <v>0.14024229999999999</v>
      </c>
      <c r="S6495">
        <v>3.481522</v>
      </c>
      <c r="T6495">
        <v>-0.52648470000000003</v>
      </c>
      <c r="U6495">
        <v>0.146362299999999</v>
      </c>
      <c r="V6495">
        <v>8.2444619999999996E-2</v>
      </c>
      <c r="W6495">
        <v>0.3914899</v>
      </c>
      <c r="X6495">
        <v>0.91648160000000001</v>
      </c>
      <c r="Y6495">
        <v>0.1849556</v>
      </c>
      <c r="Z6495">
        <v>-4.6192660000000003E-2</v>
      </c>
      <c r="AA6495">
        <v>0.98166070000000005</v>
      </c>
      <c r="AB6495">
        <v>27</v>
      </c>
      <c r="AC6495">
        <v>0.60450000000000104</v>
      </c>
      <c r="AD6495">
        <v>-0.12628009999999901</v>
      </c>
      <c r="AE6495">
        <v>-1.03999999999757E-2</v>
      </c>
      <c r="AF6495">
        <v>0.14316030467687299</v>
      </c>
      <c r="AG6495">
        <v>-0.12628009999999901</v>
      </c>
      <c r="AH6495">
        <v>0.56134853827162701</v>
      </c>
      <c r="AI6495">
        <v>102.29705236903401</v>
      </c>
      <c r="AJ6495">
        <v>75.692873820778104</v>
      </c>
      <c r="AK6495">
        <v>0.59291965552752401</v>
      </c>
      <c r="AL6495">
        <v>66.952762617964794</v>
      </c>
      <c r="AM6495">
        <v>84.859636911846493</v>
      </c>
      <c r="AN6495">
        <v>0.99999999015375696</v>
      </c>
    </row>
    <row r="6496" spans="1:40" x14ac:dyDescent="0.25">
      <c r="A6496" t="str">
        <f>"20190304164536419"</f>
        <v>20190304164536419</v>
      </c>
      <c r="B6496" t="str">
        <f>"1551689136406908"</f>
        <v>1551689136406908</v>
      </c>
      <c r="C6496" t="s">
        <v>40</v>
      </c>
      <c r="D6496">
        <v>5.2108230000000004</v>
      </c>
      <c r="E6496">
        <v>0.56120530000000002</v>
      </c>
      <c r="F6496" t="s">
        <v>41</v>
      </c>
      <c r="G6496">
        <v>-169.56599999999901</v>
      </c>
      <c r="H6496">
        <v>0.97456929999999997</v>
      </c>
      <c r="I6496">
        <v>136.01089999999999</v>
      </c>
      <c r="J6496">
        <v>-170.2261</v>
      </c>
      <c r="K6496">
        <v>1.10259</v>
      </c>
      <c r="L6496">
        <v>136.01509999999999</v>
      </c>
      <c r="M6496">
        <v>0.97473869999999896</v>
      </c>
      <c r="N6496">
        <v>-1.486556E-2</v>
      </c>
      <c r="O6496">
        <v>0.2228531</v>
      </c>
      <c r="P6496">
        <v>0.91555019999999998</v>
      </c>
      <c r="Q6496">
        <v>0.37855309999999998</v>
      </c>
      <c r="R6496">
        <v>0.1358876</v>
      </c>
      <c r="S6496">
        <v>3.4809570000000001</v>
      </c>
      <c r="T6496">
        <v>-0.52966169999999901</v>
      </c>
      <c r="U6496">
        <v>0.1247711</v>
      </c>
      <c r="V6496">
        <v>7.9578850000000007E-2</v>
      </c>
      <c r="W6496">
        <v>0.39068589999999997</v>
      </c>
      <c r="X6496">
        <v>0.91707780000000005</v>
      </c>
      <c r="Y6496">
        <v>0.18345639999999999</v>
      </c>
      <c r="Z6496">
        <v>-4.5381930000000001E-2</v>
      </c>
      <c r="AA6496">
        <v>0.98197970000000001</v>
      </c>
      <c r="AB6496">
        <v>27</v>
      </c>
      <c r="AC6496">
        <v>0.660100000000028</v>
      </c>
      <c r="AD6496">
        <v>-0.12802069999999899</v>
      </c>
      <c r="AE6496">
        <v>-4.1999999999973101E-3</v>
      </c>
      <c r="AF6496">
        <v>0.14573461001556201</v>
      </c>
      <c r="AG6496">
        <v>-0.12802069999999899</v>
      </c>
      <c r="AH6496">
        <v>0.61926827443161903</v>
      </c>
      <c r="AI6496">
        <v>101.37777718679099</v>
      </c>
      <c r="AJ6496">
        <v>76.757338564117504</v>
      </c>
      <c r="AK6496">
        <v>0.64893841919121498</v>
      </c>
      <c r="AL6496">
        <v>67.002814644747701</v>
      </c>
      <c r="AM6496">
        <v>85.040617534417095</v>
      </c>
      <c r="AN6496">
        <v>0.99999997853948597</v>
      </c>
    </row>
    <row r="6497" spans="1:40" x14ac:dyDescent="0.25">
      <c r="A6497" t="str">
        <f>"20190304164536437"</f>
        <v>20190304164536437</v>
      </c>
      <c r="B6497" t="str">
        <f>"1551689136426427"</f>
        <v>1551689136426427</v>
      </c>
      <c r="C6497" t="s">
        <v>40</v>
      </c>
      <c r="D6497">
        <v>5.1230209999999996</v>
      </c>
      <c r="E6497">
        <v>0.56116849999999996</v>
      </c>
      <c r="F6497" t="s">
        <v>41</v>
      </c>
      <c r="G6497">
        <v>-169.33189999999999</v>
      </c>
      <c r="H6497">
        <v>0.96622560000000002</v>
      </c>
      <c r="I6497">
        <v>136.04249999999999</v>
      </c>
      <c r="J6497">
        <v>-170.0129</v>
      </c>
      <c r="K6497">
        <v>1.102819</v>
      </c>
      <c r="L6497">
        <v>136.054</v>
      </c>
      <c r="M6497">
        <v>0.97669249999999996</v>
      </c>
      <c r="N6497">
        <v>-1.4809660000000001E-2</v>
      </c>
      <c r="O6497">
        <v>0.21413160000000001</v>
      </c>
      <c r="P6497">
        <v>0.91617409999999999</v>
      </c>
      <c r="Q6497">
        <v>0.37768810000000003</v>
      </c>
      <c r="R6497">
        <v>0.1340779</v>
      </c>
      <c r="S6497">
        <v>3.4803160000000002</v>
      </c>
      <c r="T6497">
        <v>-0.53074500000000002</v>
      </c>
      <c r="U6497">
        <v>0.10688780000000001</v>
      </c>
      <c r="V6497">
        <v>7.2998010000000002E-2</v>
      </c>
      <c r="W6497">
        <v>0.38995180000000002</v>
      </c>
      <c r="X6497">
        <v>0.91793729999999996</v>
      </c>
      <c r="Y6497">
        <v>0.17981050000000001</v>
      </c>
      <c r="Z6497">
        <v>-4.4035039999999998E-2</v>
      </c>
      <c r="AA6497">
        <v>0.98271520000000001</v>
      </c>
      <c r="AB6497">
        <v>26</v>
      </c>
      <c r="AC6497">
        <v>0.68100000000001104</v>
      </c>
      <c r="AD6497">
        <v>-0.1365934</v>
      </c>
      <c r="AE6497">
        <v>-1.15000000000122E-2</v>
      </c>
      <c r="AF6497">
        <v>0.15099962147885301</v>
      </c>
      <c r="AG6497">
        <v>-0.1365934</v>
      </c>
      <c r="AH6497">
        <v>0.63711314158349397</v>
      </c>
      <c r="AI6497">
        <v>101.78376375194</v>
      </c>
      <c r="AJ6497">
        <v>76.666578702664097</v>
      </c>
      <c r="AK6497">
        <v>0.66885857831734996</v>
      </c>
      <c r="AL6497">
        <v>67.048499740156601</v>
      </c>
      <c r="AM6497">
        <v>85.453181341997094</v>
      </c>
      <c r="AN6497">
        <v>1.00000000125924</v>
      </c>
    </row>
    <row r="6498" spans="1:40" x14ac:dyDescent="0.25">
      <c r="A6498" t="str">
        <f>"20190304164536459"</f>
        <v>20190304164536459</v>
      </c>
      <c r="B6498" t="str">
        <f>"1551689136446923"</f>
        <v>1551689136446923</v>
      </c>
      <c r="C6498" t="s">
        <v>40</v>
      </c>
      <c r="D6498">
        <v>5.1292049999999998</v>
      </c>
      <c r="E6498">
        <v>0.56105950000000004</v>
      </c>
      <c r="F6498" t="s">
        <v>41</v>
      </c>
      <c r="G6498">
        <v>-169.0968</v>
      </c>
      <c r="H6498">
        <v>0.96337340000000005</v>
      </c>
      <c r="I6498">
        <v>136.0789</v>
      </c>
      <c r="J6498">
        <v>-169.7439</v>
      </c>
      <c r="K6498">
        <v>1.1031139999999999</v>
      </c>
      <c r="L6498">
        <v>136.10050000000001</v>
      </c>
      <c r="M6498">
        <v>0.97897789999999996</v>
      </c>
      <c r="N6498">
        <v>-1.474108E-2</v>
      </c>
      <c r="O6498">
        <v>0.20343269999999999</v>
      </c>
      <c r="P6498">
        <v>0.91564179999999995</v>
      </c>
      <c r="Q6498">
        <v>0.37956420000000002</v>
      </c>
      <c r="R6498">
        <v>0.13240450000000001</v>
      </c>
      <c r="S6498">
        <v>3.4789889999999999</v>
      </c>
      <c r="T6498">
        <v>-0.52957010000000004</v>
      </c>
      <c r="U6498">
        <v>9.4284060000000003E-2</v>
      </c>
      <c r="V6498">
        <v>6.4195920000000004E-2</v>
      </c>
      <c r="W6498">
        <v>0.39197460000000001</v>
      </c>
      <c r="X6498">
        <v>0.91773349999999998</v>
      </c>
      <c r="Y6498">
        <v>0.17279459999999999</v>
      </c>
      <c r="Z6498">
        <v>-4.1953690000000002E-2</v>
      </c>
      <c r="AA6498">
        <v>0.98406400000000005</v>
      </c>
      <c r="AB6498">
        <v>26</v>
      </c>
      <c r="AC6498">
        <v>0.64709999999999401</v>
      </c>
      <c r="AD6498">
        <v>-0.13974059999999899</v>
      </c>
      <c r="AE6498">
        <v>-2.1600000000006499E-2</v>
      </c>
      <c r="AF6498">
        <v>0.14600272492814301</v>
      </c>
      <c r="AG6498">
        <v>-0.13974059999999899</v>
      </c>
      <c r="AH6498">
        <v>0.60116723554571405</v>
      </c>
      <c r="AI6498">
        <v>102.728504217924</v>
      </c>
      <c r="AJ6498">
        <v>76.349133773765899</v>
      </c>
      <c r="AK6498">
        <v>0.63422888302920999</v>
      </c>
      <c r="AL6498">
        <v>66.922579059401698</v>
      </c>
      <c r="AM6498">
        <v>85.998649206307704</v>
      </c>
      <c r="AN6498">
        <v>0.99999999010602802</v>
      </c>
    </row>
    <row r="6499" spans="1:40" x14ac:dyDescent="0.25">
      <c r="A6499" t="str">
        <f>"20190304164536493"</f>
        <v>20190304164536493</v>
      </c>
      <c r="B6499" t="str">
        <f>"1551689136486939"</f>
        <v>1551689136486939</v>
      </c>
      <c r="C6499" t="s">
        <v>40</v>
      </c>
      <c r="D6499">
        <v>5.205673</v>
      </c>
      <c r="E6499">
        <v>0.56040760000000001</v>
      </c>
      <c r="F6499" t="s">
        <v>41</v>
      </c>
      <c r="G6499">
        <v>-168.85839999999999</v>
      </c>
      <c r="H6499">
        <v>0.97124650000000001</v>
      </c>
      <c r="I6499">
        <v>136.1217</v>
      </c>
      <c r="J6499">
        <v>-169.3409</v>
      </c>
      <c r="K6499">
        <v>1.1034999999999999</v>
      </c>
      <c r="L6499">
        <v>136.16550000000001</v>
      </c>
      <c r="M6499">
        <v>0.98207449999999996</v>
      </c>
      <c r="N6499">
        <v>-1.464507E-2</v>
      </c>
      <c r="O6499">
        <v>0.1879238</v>
      </c>
      <c r="P6499">
        <v>0.91445270000000001</v>
      </c>
      <c r="Q6499">
        <v>0.38478040000000002</v>
      </c>
      <c r="R6499">
        <v>0.125381399999999</v>
      </c>
      <c r="S6499">
        <v>3.4790190000000001</v>
      </c>
      <c r="T6499">
        <v>-0.51794050000000003</v>
      </c>
      <c r="U6499">
        <v>8.3450319999999995E-2</v>
      </c>
      <c r="V6499">
        <v>5.6003310000000001E-2</v>
      </c>
      <c r="W6499">
        <v>0.39727879999999999</v>
      </c>
      <c r="X6499">
        <v>0.91598760000000001</v>
      </c>
      <c r="Y6499">
        <v>0.16073270000000001</v>
      </c>
      <c r="Z6499">
        <v>-3.800808E-2</v>
      </c>
      <c r="AA6499">
        <v>0.98626590000000003</v>
      </c>
      <c r="AB6499">
        <v>26</v>
      </c>
      <c r="AC6499">
        <v>0.48250000000001497</v>
      </c>
      <c r="AD6499">
        <v>-0.132253499999999</v>
      </c>
      <c r="AE6499">
        <v>-4.3800000000004502E-2</v>
      </c>
      <c r="AF6499">
        <v>0.12443025146836301</v>
      </c>
      <c r="AG6499">
        <v>-0.132253499999999</v>
      </c>
      <c r="AH6499">
        <v>0.43337590035781098</v>
      </c>
      <c r="AI6499">
        <v>106.347447329942</v>
      </c>
      <c r="AJ6499">
        <v>73.980246695832705</v>
      </c>
      <c r="AK6499">
        <v>0.46988141775736803</v>
      </c>
      <c r="AL6499">
        <v>66.591828252915505</v>
      </c>
      <c r="AM6499">
        <v>86.501301920893695</v>
      </c>
      <c r="AN6499">
        <v>1.00000004950707</v>
      </c>
    </row>
    <row r="6500" spans="1:40" x14ac:dyDescent="0.25">
      <c r="A6500" t="str">
        <f>"20190304164536515"</f>
        <v>20190304164536515</v>
      </c>
      <c r="B6500" t="str">
        <f>"1551689136506459"</f>
        <v>1551689136506459</v>
      </c>
      <c r="C6500" t="s">
        <v>40</v>
      </c>
      <c r="D6500">
        <v>5.1302659999999998</v>
      </c>
      <c r="E6500">
        <v>0.56008539999999996</v>
      </c>
      <c r="F6500" t="s">
        <v>41</v>
      </c>
      <c r="G6500">
        <v>-168.6131</v>
      </c>
      <c r="H6500">
        <v>0.99956970000000001</v>
      </c>
      <c r="I6500">
        <v>136.179</v>
      </c>
      <c r="J6500">
        <v>-169.08670000000001</v>
      </c>
      <c r="K6500">
        <v>1.103721</v>
      </c>
      <c r="L6500">
        <v>136.20320000000001</v>
      </c>
      <c r="M6500">
        <v>0.98383489999999996</v>
      </c>
      <c r="N6500">
        <v>-1.4587559999999999E-2</v>
      </c>
      <c r="O6500">
        <v>0.17848249999999999</v>
      </c>
      <c r="P6500">
        <v>0.91404759999999996</v>
      </c>
      <c r="Q6500">
        <v>0.38649270000000002</v>
      </c>
      <c r="R6500">
        <v>0.12304660000000001</v>
      </c>
      <c r="S6500">
        <v>3.480972</v>
      </c>
      <c r="T6500">
        <v>-0.49722559999999899</v>
      </c>
      <c r="U6500">
        <v>6.4819340000000003E-2</v>
      </c>
      <c r="V6500">
        <v>4.9204890000000001E-2</v>
      </c>
      <c r="W6500">
        <v>0.39907819999999999</v>
      </c>
      <c r="X6500">
        <v>0.91559570000000001</v>
      </c>
      <c r="Y6500">
        <v>0.1569537</v>
      </c>
      <c r="Z6500">
        <v>-3.4950219999999997E-2</v>
      </c>
      <c r="AA6500">
        <v>0.98698739999999996</v>
      </c>
      <c r="AB6500">
        <v>26</v>
      </c>
      <c r="AC6500">
        <v>0.47360000000000402</v>
      </c>
      <c r="AD6500">
        <v>-0.104151299999999</v>
      </c>
      <c r="AE6500">
        <v>-2.42000000000075E-2</v>
      </c>
      <c r="AF6500">
        <v>0.103363769671139</v>
      </c>
      <c r="AG6500">
        <v>-0.104151299999999</v>
      </c>
      <c r="AH6500">
        <v>0.44042941363981303</v>
      </c>
      <c r="AI6500">
        <v>102.96481914727499</v>
      </c>
      <c r="AJ6500">
        <v>76.792357247004304</v>
      </c>
      <c r="AK6500">
        <v>0.46423014827930698</v>
      </c>
      <c r="AL6500">
        <v>66.479435260278507</v>
      </c>
      <c r="AM6500">
        <v>86.923835305783498</v>
      </c>
      <c r="AN6500">
        <v>1.0000000083868199</v>
      </c>
    </row>
    <row r="6501" spans="1:40" x14ac:dyDescent="0.25">
      <c r="A6501" t="str">
        <f>"20190304164536537"</f>
        <v>20190304164536537</v>
      </c>
      <c r="B6501" t="str">
        <f>"1551689136526957"</f>
        <v>1551689136526957</v>
      </c>
      <c r="C6501" t="s">
        <v>40</v>
      </c>
      <c r="D6501">
        <v>5.2360660000000001</v>
      </c>
      <c r="E6501">
        <v>0.55280719999999905</v>
      </c>
      <c r="F6501" t="s">
        <v>41</v>
      </c>
      <c r="G6501">
        <v>-168.14940000000001</v>
      </c>
      <c r="H6501">
        <v>0.97182250000000003</v>
      </c>
      <c r="I6501">
        <v>136.21870000000001</v>
      </c>
      <c r="J6501">
        <v>-168.82040000000001</v>
      </c>
      <c r="K6501">
        <v>1.1039490000000001</v>
      </c>
      <c r="L6501">
        <v>136.24039999999999</v>
      </c>
      <c r="M6501">
        <v>0.98552980000000001</v>
      </c>
      <c r="N6501">
        <v>-1.452755E-2</v>
      </c>
      <c r="O6501">
        <v>0.16887929999999901</v>
      </c>
      <c r="P6501">
        <v>0.91389969999999998</v>
      </c>
      <c r="Q6501">
        <v>0.3876925</v>
      </c>
      <c r="R6501">
        <v>0.1203414</v>
      </c>
      <c r="S6501">
        <v>3.4815059999999902</v>
      </c>
      <c r="T6501">
        <v>-0.48974960000000001</v>
      </c>
      <c r="U6501">
        <v>5.732727E-2</v>
      </c>
      <c r="V6501">
        <v>4.2667049999999998E-2</v>
      </c>
      <c r="W6501">
        <v>0.40035539999999997</v>
      </c>
      <c r="X6501">
        <v>0.91536609999999996</v>
      </c>
      <c r="Y6501">
        <v>0.1496982</v>
      </c>
      <c r="Z6501">
        <v>-3.2662440000000001E-2</v>
      </c>
      <c r="AA6501">
        <v>0.98819210000000002</v>
      </c>
      <c r="AB6501">
        <v>26</v>
      </c>
      <c r="AC6501">
        <v>0.67099999999999205</v>
      </c>
      <c r="AD6501">
        <v>-0.13212650000000001</v>
      </c>
      <c r="AE6501">
        <v>-2.1699999999981401E-2</v>
      </c>
      <c r="AF6501">
        <v>0.12969474353962601</v>
      </c>
      <c r="AG6501">
        <v>-0.13212650000000001</v>
      </c>
      <c r="AH6501">
        <v>0.63317055925073296</v>
      </c>
      <c r="AI6501">
        <v>101.55377381248501</v>
      </c>
      <c r="AJ6501">
        <v>78.424011558165603</v>
      </c>
      <c r="AK6501">
        <v>0.65968408773135201</v>
      </c>
      <c r="AL6501">
        <v>66.399602130134596</v>
      </c>
      <c r="AM6501">
        <v>87.331260443665997</v>
      </c>
      <c r="AN6501">
        <v>1.0000000102470299</v>
      </c>
    </row>
    <row r="6502" spans="1:40" x14ac:dyDescent="0.25">
      <c r="A6502" t="str">
        <f>"20190304164536560"</f>
        <v>20190304164536560</v>
      </c>
      <c r="B6502" t="str">
        <f>"1551689136556236"</f>
        <v>1551689136556236</v>
      </c>
      <c r="C6502" t="s">
        <v>40</v>
      </c>
      <c r="D6502">
        <v>5.1268699999999896</v>
      </c>
      <c r="E6502">
        <v>0.54675419999999997</v>
      </c>
      <c r="F6502" t="s">
        <v>41</v>
      </c>
      <c r="G6502">
        <v>-167.9161</v>
      </c>
      <c r="H6502">
        <v>0.97392029999999996</v>
      </c>
      <c r="I6502">
        <v>136.26859999999999</v>
      </c>
      <c r="J6502">
        <v>-168.55330000000001</v>
      </c>
      <c r="K6502">
        <v>1.104171</v>
      </c>
      <c r="L6502">
        <v>136.27529999999999</v>
      </c>
      <c r="M6502">
        <v>0.98709400000000003</v>
      </c>
      <c r="N6502">
        <v>-1.4468389999999999E-2</v>
      </c>
      <c r="O6502">
        <v>0.1594874</v>
      </c>
      <c r="P6502">
        <v>0.91315840000000004</v>
      </c>
      <c r="Q6502">
        <v>0.39072889999999999</v>
      </c>
      <c r="R6502">
        <v>0.1160738</v>
      </c>
      <c r="S6502">
        <v>3.4805760000000001</v>
      </c>
      <c r="T6502">
        <v>-0.50033660000000002</v>
      </c>
      <c r="U6502">
        <v>0.1087036</v>
      </c>
      <c r="V6502">
        <v>3.7833899999999997E-2</v>
      </c>
      <c r="W6502">
        <v>0.40342099999999997</v>
      </c>
      <c r="X6502">
        <v>0.91423200000000004</v>
      </c>
      <c r="Y6502">
        <v>0.12587590000000001</v>
      </c>
      <c r="Z6502">
        <v>-3.032551E-2</v>
      </c>
      <c r="AA6502">
        <v>0.99158239999999997</v>
      </c>
      <c r="AB6502">
        <v>26</v>
      </c>
      <c r="AC6502">
        <v>0.63720000000000698</v>
      </c>
      <c r="AD6502">
        <v>-0.130250699999999</v>
      </c>
      <c r="AE6502">
        <v>-6.6999999999950398E-3</v>
      </c>
      <c r="AF6502">
        <v>0.103908985930715</v>
      </c>
      <c r="AG6502">
        <v>-0.130250699999999</v>
      </c>
      <c r="AH6502">
        <v>0.60278933875082996</v>
      </c>
      <c r="AI6502">
        <v>102.020984311578</v>
      </c>
      <c r="AJ6502">
        <v>80.219458542885206</v>
      </c>
      <c r="AK6502">
        <v>0.62539372328102505</v>
      </c>
      <c r="AL6502">
        <v>66.207784061613097</v>
      </c>
      <c r="AM6502">
        <v>87.630266058831893</v>
      </c>
      <c r="AN6502">
        <v>1.0000000285271</v>
      </c>
    </row>
    <row r="6503" spans="1:40" x14ac:dyDescent="0.25">
      <c r="A6503" t="str">
        <f>"20190304164536583"</f>
        <v>20190304164536583</v>
      </c>
      <c r="B6503" t="str">
        <f>"1551689136576732"</f>
        <v>1551689136576732</v>
      </c>
      <c r="C6503" t="s">
        <v>40</v>
      </c>
      <c r="D6503">
        <v>5.0862699999999998</v>
      </c>
      <c r="E6503">
        <v>0.54438140000000002</v>
      </c>
      <c r="F6503" t="s">
        <v>41</v>
      </c>
      <c r="G6503">
        <v>-167.6773</v>
      </c>
      <c r="H6503">
        <v>0.98424670000000003</v>
      </c>
      <c r="I6503">
        <v>136.31209999999999</v>
      </c>
      <c r="J6503">
        <v>-168.28229999999999</v>
      </c>
      <c r="K6503">
        <v>1.1043780000000001</v>
      </c>
      <c r="L6503">
        <v>136.3083</v>
      </c>
      <c r="M6503">
        <v>0.98854989999999998</v>
      </c>
      <c r="N6503">
        <v>-1.441159E-2</v>
      </c>
      <c r="O6503">
        <v>0.15020430000000001</v>
      </c>
      <c r="P6503">
        <v>0.91278060000000005</v>
      </c>
      <c r="Q6503">
        <v>0.392988</v>
      </c>
      <c r="R6503">
        <v>0.1113204</v>
      </c>
      <c r="S6503">
        <v>3.4699249999999999</v>
      </c>
      <c r="T6503">
        <v>-0.47489700000000001</v>
      </c>
      <c r="U6503">
        <v>0.1462097</v>
      </c>
      <c r="V6503">
        <v>3.3656390000000001E-2</v>
      </c>
      <c r="W6503">
        <v>0.40570040000000002</v>
      </c>
      <c r="X6503">
        <v>0.91338629999999998</v>
      </c>
      <c r="Y6503">
        <v>0.1062649</v>
      </c>
      <c r="Z6503">
        <v>-2.6220230000000001E-2</v>
      </c>
      <c r="AA6503">
        <v>0.99399210000000005</v>
      </c>
      <c r="AB6503">
        <v>26</v>
      </c>
      <c r="AC6503">
        <v>0.60499999999998899</v>
      </c>
      <c r="AD6503">
        <v>-0.1201313</v>
      </c>
      <c r="AE6503">
        <v>3.7999999999840301E-3</v>
      </c>
      <c r="AF6503">
        <v>8.3821407028272094E-2</v>
      </c>
      <c r="AG6503">
        <v>-0.1201313</v>
      </c>
      <c r="AH6503">
        <v>0.57599634023795898</v>
      </c>
      <c r="AI6503">
        <v>101.66146206525799</v>
      </c>
      <c r="AJ6503">
        <v>81.720198946488907</v>
      </c>
      <c r="AK6503">
        <v>0.594331003299855</v>
      </c>
      <c r="AL6503">
        <v>66.064976018390695</v>
      </c>
      <c r="AM6503">
        <v>87.889724149950098</v>
      </c>
      <c r="AN6503">
        <v>1.0000000500878301</v>
      </c>
    </row>
    <row r="6504" spans="1:40" x14ac:dyDescent="0.25">
      <c r="A6504" t="str">
        <f>"20190304164536604"</f>
        <v>20190304164536604</v>
      </c>
      <c r="B6504" t="str">
        <f>"1551689136596251"</f>
        <v>1551689136596251</v>
      </c>
      <c r="C6504" t="s">
        <v>40</v>
      </c>
      <c r="D6504">
        <v>5.0942020000000001</v>
      </c>
      <c r="E6504">
        <v>0.53695950000000003</v>
      </c>
      <c r="F6504" t="s">
        <v>41</v>
      </c>
      <c r="G6504">
        <v>-167.43809999999999</v>
      </c>
      <c r="H6504">
        <v>0.99226930000000002</v>
      </c>
      <c r="I6504">
        <v>136.34569999999999</v>
      </c>
      <c r="J6504">
        <v>-168.02520000000001</v>
      </c>
      <c r="K6504">
        <v>1.10459</v>
      </c>
      <c r="L6504">
        <v>136.33760000000001</v>
      </c>
      <c r="M6504">
        <v>0.9898112</v>
      </c>
      <c r="N6504">
        <v>-1.435868E-2</v>
      </c>
      <c r="O6504">
        <v>0.14166099999999901</v>
      </c>
      <c r="P6504">
        <v>0.9131049</v>
      </c>
      <c r="Q6504">
        <v>0.3928893</v>
      </c>
      <c r="R6504">
        <v>0.108984999999999</v>
      </c>
      <c r="S6504">
        <v>3.4660190000000002</v>
      </c>
      <c r="T6504">
        <v>-0.46010200000000001</v>
      </c>
      <c r="U6504">
        <v>0.15376280000000001</v>
      </c>
      <c r="V6504">
        <v>2.7861360000000002E-2</v>
      </c>
      <c r="W6504">
        <v>0.4056612</v>
      </c>
      <c r="X6504">
        <v>0.91359880000000004</v>
      </c>
      <c r="Y6504">
        <v>9.5757579999999995E-2</v>
      </c>
      <c r="Z6504">
        <v>-2.3635650000000001E-2</v>
      </c>
      <c r="AA6504">
        <v>0.99512400000000001</v>
      </c>
      <c r="AB6504">
        <v>26</v>
      </c>
      <c r="AC6504">
        <v>0.58710000000002005</v>
      </c>
      <c r="AD6504">
        <v>-0.112320699999999</v>
      </c>
      <c r="AE6504">
        <v>8.0999999999846698E-3</v>
      </c>
      <c r="AF6504">
        <v>7.2506135079293599E-2</v>
      </c>
      <c r="AG6504">
        <v>-0.112320699999999</v>
      </c>
      <c r="AH6504">
        <v>0.56176809847439302</v>
      </c>
      <c r="AI6504">
        <v>101.21605583885101</v>
      </c>
      <c r="AJ6504">
        <v>82.6456213578534</v>
      </c>
      <c r="AK6504">
        <v>0.57745690379123704</v>
      </c>
      <c r="AL6504">
        <v>66.067432435129703</v>
      </c>
      <c r="AM6504">
        <v>88.253233543589801</v>
      </c>
      <c r="AN6504">
        <v>1.0000000159639599</v>
      </c>
    </row>
    <row r="6505" spans="1:40" x14ac:dyDescent="0.25">
      <c r="A6505" t="str">
        <f>"20190304164536627"</f>
        <v>20190304164536627</v>
      </c>
      <c r="B6505" t="str">
        <f>"1551689136616748"</f>
        <v>1551689136616748</v>
      </c>
      <c r="C6505" t="s">
        <v>40</v>
      </c>
      <c r="D6505">
        <v>5.1022319999999999</v>
      </c>
      <c r="E6505">
        <v>0.53779309999999902</v>
      </c>
      <c r="F6505" t="s">
        <v>41</v>
      </c>
      <c r="G6505">
        <v>-167.1951</v>
      </c>
      <c r="H6505">
        <v>1.009587</v>
      </c>
      <c r="I6505">
        <v>136.38489999999999</v>
      </c>
      <c r="J6505">
        <v>-167.76400000000001</v>
      </c>
      <c r="K6505">
        <v>1.10483</v>
      </c>
      <c r="L6505">
        <v>136.36539999999999</v>
      </c>
      <c r="M6505">
        <v>0.9909734</v>
      </c>
      <c r="N6505">
        <v>-1.4303130000000001E-2</v>
      </c>
      <c r="O6505">
        <v>0.133294</v>
      </c>
      <c r="P6505">
        <v>0.91362509999999997</v>
      </c>
      <c r="Q6505">
        <v>0.3918606</v>
      </c>
      <c r="R6505">
        <v>0.1083269</v>
      </c>
      <c r="S6505">
        <v>3.4310459999999998</v>
      </c>
      <c r="T6505">
        <v>-0.3925633</v>
      </c>
      <c r="U6505">
        <v>0.1957245</v>
      </c>
      <c r="V6505">
        <v>2.055763E-2</v>
      </c>
      <c r="W6505">
        <v>0.4047134</v>
      </c>
      <c r="X6505">
        <v>0.91421249999999998</v>
      </c>
      <c r="Y6505">
        <v>7.5437610000000002E-2</v>
      </c>
      <c r="Z6505">
        <v>-1.807483E-2</v>
      </c>
      <c r="AA6505">
        <v>0.9969867</v>
      </c>
      <c r="AB6505">
        <v>26</v>
      </c>
      <c r="AC6505">
        <v>0.56890000000001295</v>
      </c>
      <c r="AD6505">
        <v>-9.5242999999999897E-2</v>
      </c>
      <c r="AE6505">
        <v>1.9499999999993599E-2</v>
      </c>
      <c r="AF6505">
        <v>5.4973748338486998E-2</v>
      </c>
      <c r="AG6505">
        <v>-9.5242999999999897E-2</v>
      </c>
      <c r="AH6505">
        <v>0.55099661330250405</v>
      </c>
      <c r="AI6505">
        <v>99.759487464595495</v>
      </c>
      <c r="AJ6505">
        <v>84.302370673511007</v>
      </c>
      <c r="AK6505">
        <v>0.56186351538982504</v>
      </c>
      <c r="AL6505">
        <v>66.126832042412602</v>
      </c>
      <c r="AM6505">
        <v>88.711823601214903</v>
      </c>
      <c r="AN6505">
        <v>1.00000002372351</v>
      </c>
    </row>
    <row r="6506" spans="1:40" x14ac:dyDescent="0.25">
      <c r="A6506" t="str">
        <f>"20190304164536648"</f>
        <v>20190304164536648</v>
      </c>
      <c r="B6506" t="str">
        <f>"1551689136636268"</f>
        <v>1551689136636268</v>
      </c>
      <c r="C6506" t="s">
        <v>40</v>
      </c>
      <c r="D6506">
        <v>5.2811440000000003</v>
      </c>
      <c r="E6506">
        <v>0.53790130000000003</v>
      </c>
      <c r="F6506" t="s">
        <v>41</v>
      </c>
      <c r="G6506">
        <v>-166.965</v>
      </c>
      <c r="H6506">
        <v>0.99691819999999998</v>
      </c>
      <c r="I6506">
        <v>136.40790000000001</v>
      </c>
      <c r="J6506">
        <v>-167.4992</v>
      </c>
      <c r="K6506">
        <v>1.105116</v>
      </c>
      <c r="L6506">
        <v>136.39179999999999</v>
      </c>
      <c r="M6506">
        <v>0.99203209999999997</v>
      </c>
      <c r="N6506">
        <v>-1.424462E-2</v>
      </c>
      <c r="O6506">
        <v>0.12517809999999999</v>
      </c>
      <c r="P6506">
        <v>0.91366800000000004</v>
      </c>
      <c r="Q6506">
        <v>0.392571</v>
      </c>
      <c r="R6506">
        <v>0.10535129999999999</v>
      </c>
      <c r="S6506">
        <v>3.462234</v>
      </c>
      <c r="T6506">
        <v>-0.46741319999999997</v>
      </c>
      <c r="U6506">
        <v>0.18443300000000001</v>
      </c>
      <c r="V6506">
        <v>1.571229E-2</v>
      </c>
      <c r="W6506">
        <v>0.40544669999999999</v>
      </c>
      <c r="X6506">
        <v>0.91398360000000001</v>
      </c>
      <c r="Y6506">
        <v>7.0632100000000003E-2</v>
      </c>
      <c r="Z6506">
        <v>-2.0233279999999999E-2</v>
      </c>
      <c r="AA6506">
        <v>0.99729719999999999</v>
      </c>
      <c r="AB6506">
        <v>26</v>
      </c>
      <c r="AC6506">
        <v>0.53419999999999801</v>
      </c>
      <c r="AD6506">
        <v>-0.1081978</v>
      </c>
      <c r="AE6506">
        <v>1.6100000000022801E-2</v>
      </c>
      <c r="AF6506">
        <v>4.8899397701932801E-2</v>
      </c>
      <c r="AG6506">
        <v>-0.1081978</v>
      </c>
      <c r="AH6506">
        <v>0.51106632397121698</v>
      </c>
      <c r="AI6506">
        <v>101.900787853792</v>
      </c>
      <c r="AJ6506">
        <v>84.534513802470101</v>
      </c>
      <c r="AK6506">
        <v>0.52467771299904098</v>
      </c>
      <c r="AL6506">
        <v>66.080876342258406</v>
      </c>
      <c r="AM6506">
        <v>89.015125396488997</v>
      </c>
      <c r="AN6506">
        <v>0.99999996183344597</v>
      </c>
    </row>
    <row r="6507" spans="1:40" x14ac:dyDescent="0.25">
      <c r="A6507" t="str">
        <f>"20190304164536672"</f>
        <v>20190304164536672</v>
      </c>
      <c r="B6507" t="str">
        <f>"1551689136666524"</f>
        <v>1551689136666524</v>
      </c>
      <c r="C6507" t="s">
        <v>40</v>
      </c>
      <c r="D6507">
        <v>5.0680170000000002</v>
      </c>
      <c r="E6507">
        <v>0.53797680000000003</v>
      </c>
      <c r="F6507" t="s">
        <v>41</v>
      </c>
      <c r="G6507">
        <v>-166.72579999999999</v>
      </c>
      <c r="H6507">
        <v>1.0032490000000001</v>
      </c>
      <c r="I6507">
        <v>136.4306</v>
      </c>
      <c r="J6507">
        <v>-167.22659999999999</v>
      </c>
      <c r="K6507">
        <v>1.1054580000000001</v>
      </c>
      <c r="L6507">
        <v>136.4171</v>
      </c>
      <c r="M6507">
        <v>0.99300100000000002</v>
      </c>
      <c r="N6507">
        <v>-1.4183080000000001E-2</v>
      </c>
      <c r="O6507">
        <v>0.1172521</v>
      </c>
      <c r="P6507">
        <v>0.91361590000000004</v>
      </c>
      <c r="Q6507">
        <v>0.39365939999999999</v>
      </c>
      <c r="R6507">
        <v>0.1016782</v>
      </c>
      <c r="S6507">
        <v>3.4591980000000002</v>
      </c>
      <c r="T6507">
        <v>-0.45558759999999998</v>
      </c>
      <c r="U6507">
        <v>0.17349239999999999</v>
      </c>
      <c r="V6507">
        <v>1.169216E-2</v>
      </c>
      <c r="W6507">
        <v>0.40653620000000001</v>
      </c>
      <c r="X6507">
        <v>0.91355989999999998</v>
      </c>
      <c r="Y6507">
        <v>6.594324E-2</v>
      </c>
      <c r="Z6507">
        <v>-1.846016E-2</v>
      </c>
      <c r="AA6507">
        <v>0.9976526</v>
      </c>
      <c r="AB6507">
        <v>26</v>
      </c>
      <c r="AC6507">
        <v>0.50079999999999802</v>
      </c>
      <c r="AD6507">
        <v>-0.10220899999999999</v>
      </c>
      <c r="AE6507">
        <v>1.3499999999993399E-2</v>
      </c>
      <c r="AF6507">
        <v>4.3507957064772201E-2</v>
      </c>
      <c r="AG6507">
        <v>-0.10220899999999999</v>
      </c>
      <c r="AH6507">
        <v>0.47899086592205198</v>
      </c>
      <c r="AI6507">
        <v>101.99740196998999</v>
      </c>
      <c r="AJ6507">
        <v>84.809921206061404</v>
      </c>
      <c r="AK6507">
        <v>0.49170303196716902</v>
      </c>
      <c r="AL6507">
        <v>66.012571794924796</v>
      </c>
      <c r="AM6507">
        <v>89.266742281822602</v>
      </c>
      <c r="AN6507">
        <v>1.0000000397019499</v>
      </c>
    </row>
    <row r="6508" spans="1:40" x14ac:dyDescent="0.25">
      <c r="A6508" t="str">
        <f>"20190304164536694"</f>
        <v>20190304164536694</v>
      </c>
      <c r="B6508" t="str">
        <f>"1551689136687020"</f>
        <v>1551689136687020</v>
      </c>
      <c r="C6508" t="s">
        <v>40</v>
      </c>
      <c r="D6508">
        <v>5.0781720000000004</v>
      </c>
      <c r="E6508">
        <v>0.53747149999999999</v>
      </c>
      <c r="F6508" t="s">
        <v>41</v>
      </c>
      <c r="G6508">
        <v>-166.48830000000001</v>
      </c>
      <c r="H6508">
        <v>1.0066010000000001</v>
      </c>
      <c r="I6508">
        <v>136.45240000000001</v>
      </c>
      <c r="J6508">
        <v>-166.9624</v>
      </c>
      <c r="K6508">
        <v>1.105836</v>
      </c>
      <c r="L6508">
        <v>136.4401</v>
      </c>
      <c r="M6508">
        <v>0.99382280000000001</v>
      </c>
      <c r="N6508">
        <v>-1.412251E-2</v>
      </c>
      <c r="O6508">
        <v>0.1100778</v>
      </c>
      <c r="P6508">
        <v>0.91425730000000005</v>
      </c>
      <c r="Q6508">
        <v>0.3921095</v>
      </c>
      <c r="R6508">
        <v>0.10190150000000001</v>
      </c>
      <c r="S6508">
        <v>3.4650120000000002</v>
      </c>
      <c r="T6508">
        <v>-0.46376659999999997</v>
      </c>
      <c r="U6508">
        <v>0.16592409999999999</v>
      </c>
      <c r="V6508">
        <v>4.5184860000000004E-3</v>
      </c>
      <c r="W6508">
        <v>0.40503739999999999</v>
      </c>
      <c r="X6508">
        <v>0.91428900000000002</v>
      </c>
      <c r="Y6508">
        <v>6.1043340000000001E-2</v>
      </c>
      <c r="Z6508">
        <v>-1.75745E-2</v>
      </c>
      <c r="AA6508">
        <v>0.99798039999999999</v>
      </c>
      <c r="AB6508">
        <v>26</v>
      </c>
      <c r="AC6508">
        <v>0.47409999999999197</v>
      </c>
      <c r="AD6508">
        <v>-9.9234999999999907E-2</v>
      </c>
      <c r="AE6508">
        <v>1.23000000000104E-2</v>
      </c>
      <c r="AF6508">
        <v>3.8291363651772298E-2</v>
      </c>
      <c r="AG6508">
        <v>-9.9234999999999907E-2</v>
      </c>
      <c r="AH6508">
        <v>0.45275000510380398</v>
      </c>
      <c r="AI6508">
        <v>102.320114875095</v>
      </c>
      <c r="AJ6508">
        <v>85.165709963997301</v>
      </c>
      <c r="AK6508">
        <v>0.465076747297483</v>
      </c>
      <c r="AL6508">
        <v>66.106530274056396</v>
      </c>
      <c r="AM6508">
        <v>89.716842191146995</v>
      </c>
      <c r="AN6508">
        <v>1.0000000438177401</v>
      </c>
    </row>
    <row r="6509" spans="1:40" x14ac:dyDescent="0.25">
      <c r="A6509" t="str">
        <f>"20190304164536716"</f>
        <v>20190304164536716</v>
      </c>
      <c r="B6509" t="str">
        <f>"1551689136706540"</f>
        <v>1551689136706540</v>
      </c>
      <c r="C6509" t="s">
        <v>40</v>
      </c>
      <c r="D6509">
        <v>5.0519049999999996</v>
      </c>
      <c r="E6509">
        <v>0.53742959999999995</v>
      </c>
      <c r="F6509" t="s">
        <v>41</v>
      </c>
      <c r="G6509">
        <v>-166.02940000000001</v>
      </c>
      <c r="H6509">
        <v>0.9803326</v>
      </c>
      <c r="I6509">
        <v>136.48480000000001</v>
      </c>
      <c r="J6509">
        <v>-166.7106</v>
      </c>
      <c r="K6509">
        <v>1.106212</v>
      </c>
      <c r="L6509">
        <v>136.4607</v>
      </c>
      <c r="M6509">
        <v>0.99450240000000001</v>
      </c>
      <c r="N6509">
        <v>-1.4063859999999999E-2</v>
      </c>
      <c r="O6509">
        <v>0.1037666</v>
      </c>
      <c r="P6509">
        <v>0.91445750000000003</v>
      </c>
      <c r="Q6509">
        <v>0.39094210000000001</v>
      </c>
      <c r="R6509">
        <v>0.1045563</v>
      </c>
      <c r="S6509">
        <v>3.4624790000000001</v>
      </c>
      <c r="T6509">
        <v>-0.46559719999999999</v>
      </c>
      <c r="U6509">
        <v>0.1663666</v>
      </c>
      <c r="V6509">
        <v>-4.3326629999999996E-3</v>
      </c>
      <c r="W6509">
        <v>0.40392670000000003</v>
      </c>
      <c r="X6509">
        <v>0.91478110000000001</v>
      </c>
      <c r="Y6509">
        <v>5.4638199999999998E-2</v>
      </c>
      <c r="Z6509">
        <v>-1.6441299999999999E-2</v>
      </c>
      <c r="AA6509">
        <v>0.9983708</v>
      </c>
      <c r="AB6509">
        <v>26</v>
      </c>
      <c r="AC6509">
        <v>0.68119999999998904</v>
      </c>
      <c r="AD6509">
        <v>-0.1258794</v>
      </c>
      <c r="AE6509">
        <v>2.4100000000004201E-2</v>
      </c>
      <c r="AF6509">
        <v>4.5181986271707303E-2</v>
      </c>
      <c r="AG6509">
        <v>-0.1258794</v>
      </c>
      <c r="AH6509">
        <v>0.65759571768390801</v>
      </c>
      <c r="AI6509">
        <v>100.811788834772</v>
      </c>
      <c r="AJ6509">
        <v>86.069507534693201</v>
      </c>
      <c r="AK6509">
        <v>0.67105824124589297</v>
      </c>
      <c r="AL6509">
        <v>66.176114037936799</v>
      </c>
      <c r="AM6509">
        <v>90.271367049174501</v>
      </c>
      <c r="AN6509">
        <v>1.0000000059293801</v>
      </c>
    </row>
    <row r="6510" spans="1:40" x14ac:dyDescent="0.25">
      <c r="A6510" t="str">
        <f>"20190304164536738"</f>
        <v>20190304164536738</v>
      </c>
      <c r="B6510" t="str">
        <f>"1551689136727036"</f>
        <v>1551689136727036</v>
      </c>
      <c r="C6510" t="s">
        <v>40</v>
      </c>
      <c r="D6510">
        <v>5.0782290000000003</v>
      </c>
      <c r="E6510">
        <v>0.53728830000000005</v>
      </c>
      <c r="F6510" t="s">
        <v>41</v>
      </c>
      <c r="G6510">
        <v>-165.79400000000001</v>
      </c>
      <c r="H6510">
        <v>0.98096749999999999</v>
      </c>
      <c r="I6510">
        <v>136.50489999999999</v>
      </c>
      <c r="J6510">
        <v>-166.44479999999999</v>
      </c>
      <c r="K6510">
        <v>1.1065799999999999</v>
      </c>
      <c r="L6510">
        <v>136.4812</v>
      </c>
      <c r="M6510">
        <v>0.99512990000000001</v>
      </c>
      <c r="N6510">
        <v>-1.400464E-2</v>
      </c>
      <c r="O6510">
        <v>9.7572450000000005E-2</v>
      </c>
      <c r="P6510">
        <v>0.91425420000000002</v>
      </c>
      <c r="Q6510">
        <v>0.39144079999999998</v>
      </c>
      <c r="R6510">
        <v>0.10446809999999999</v>
      </c>
      <c r="S6510">
        <v>3.4638520000000002</v>
      </c>
      <c r="T6510">
        <v>-0.4732652</v>
      </c>
      <c r="U6510">
        <v>0.16706849999999901</v>
      </c>
      <c r="V6510">
        <v>-1.035965E-2</v>
      </c>
      <c r="W6510">
        <v>0.40442470000000003</v>
      </c>
      <c r="X6510">
        <v>0.91451260000000001</v>
      </c>
      <c r="Y6510">
        <v>4.8303859999999997E-2</v>
      </c>
      <c r="Z6510">
        <v>-1.549876E-2</v>
      </c>
      <c r="AA6510">
        <v>0.99871239999999994</v>
      </c>
      <c r="AB6510">
        <v>26</v>
      </c>
      <c r="AC6510">
        <v>0.65079999999997495</v>
      </c>
      <c r="AD6510">
        <v>-0.12561249999999999</v>
      </c>
      <c r="AE6510">
        <v>2.3699999999990898E-2</v>
      </c>
      <c r="AF6510">
        <v>3.8487576432195497E-2</v>
      </c>
      <c r="AG6510">
        <v>-0.12561249999999999</v>
      </c>
      <c r="AH6510">
        <v>0.62669103742146004</v>
      </c>
      <c r="AI6510">
        <v>101.31327965926801</v>
      </c>
      <c r="AJ6510">
        <v>86.485653348328498</v>
      </c>
      <c r="AK6510">
        <v>0.64031355606472995</v>
      </c>
      <c r="AL6510">
        <v>66.144918532862306</v>
      </c>
      <c r="AM6510">
        <v>90.649022041365697</v>
      </c>
      <c r="AN6510">
        <v>0.99999997793848605</v>
      </c>
    </row>
    <row r="6511" spans="1:40" x14ac:dyDescent="0.25">
      <c r="A6511" t="str">
        <f>"20190304164536761"</f>
        <v>20190304164536761</v>
      </c>
      <c r="B6511" t="str">
        <f>"1551689136756327"</f>
        <v>1551689136756327</v>
      </c>
      <c r="C6511" t="s">
        <v>40</v>
      </c>
      <c r="D6511">
        <v>5.0237040000000004</v>
      </c>
      <c r="E6511">
        <v>0.53714119999999999</v>
      </c>
      <c r="F6511" t="s">
        <v>41</v>
      </c>
      <c r="G6511">
        <v>-165.5573</v>
      </c>
      <c r="H6511">
        <v>0.98484989999999994</v>
      </c>
      <c r="I6511">
        <v>136.52500000000001</v>
      </c>
      <c r="J6511">
        <v>-166.18010000000001</v>
      </c>
      <c r="K6511">
        <v>1.1069310000000001</v>
      </c>
      <c r="L6511">
        <v>136.50049999999999</v>
      </c>
      <c r="M6511">
        <v>0.99567169999999905</v>
      </c>
      <c r="N6511">
        <v>-1.394946E-2</v>
      </c>
      <c r="O6511">
        <v>9.1887389999999999E-2</v>
      </c>
      <c r="P6511">
        <v>0.91465459999999998</v>
      </c>
      <c r="Q6511">
        <v>0.39050629999999997</v>
      </c>
      <c r="R6511">
        <v>0.10446130000000001</v>
      </c>
      <c r="S6511">
        <v>3.4651640000000001</v>
      </c>
      <c r="T6511">
        <v>-0.47508879999999998</v>
      </c>
      <c r="U6511">
        <v>0.1716309</v>
      </c>
      <c r="V6511">
        <v>-1.5923509999999998E-2</v>
      </c>
      <c r="W6511">
        <v>0.40348729999999999</v>
      </c>
      <c r="X6511">
        <v>0.91484670000000001</v>
      </c>
      <c r="Y6511">
        <v>4.1408649999999998E-2</v>
      </c>
      <c r="Z6511">
        <v>-1.434792E-2</v>
      </c>
      <c r="AA6511">
        <v>0.99903929999999996</v>
      </c>
      <c r="AB6511">
        <v>26</v>
      </c>
      <c r="AC6511">
        <v>0.62280000000001201</v>
      </c>
      <c r="AD6511">
        <v>-0.122081099999999</v>
      </c>
      <c r="AE6511">
        <v>2.4500000000017501E-2</v>
      </c>
      <c r="AF6511">
        <v>3.1623489242816098E-2</v>
      </c>
      <c r="AG6511">
        <v>-0.122081099999999</v>
      </c>
      <c r="AH6511">
        <v>0.59941976814878395</v>
      </c>
      <c r="AI6511">
        <v>101.49616608927801</v>
      </c>
      <c r="AJ6511">
        <v>86.9800557781995</v>
      </c>
      <c r="AK6511">
        <v>0.61254216058704303</v>
      </c>
      <c r="AL6511">
        <v>66.203632299541198</v>
      </c>
      <c r="AM6511">
        <v>90.997170127542404</v>
      </c>
      <c r="AN6511">
        <v>1.00000002196644</v>
      </c>
    </row>
    <row r="6512" spans="1:40" x14ac:dyDescent="0.25">
      <c r="A6512" t="str">
        <f>"20190304164536783"</f>
        <v>20190304164536783</v>
      </c>
      <c r="B6512" t="str">
        <f>"1551689136776812"</f>
        <v>1551689136776812</v>
      </c>
      <c r="C6512" t="s">
        <v>40</v>
      </c>
      <c r="D6512">
        <v>5.0353149999999998</v>
      </c>
      <c r="E6512">
        <v>0.53717320000000002</v>
      </c>
      <c r="F6512" t="s">
        <v>41</v>
      </c>
      <c r="G6512">
        <v>-165.32140000000001</v>
      </c>
      <c r="H6512">
        <v>0.98753829999999998</v>
      </c>
      <c r="I6512">
        <v>136.5436</v>
      </c>
      <c r="J6512">
        <v>-165.91540000000001</v>
      </c>
      <c r="K6512">
        <v>1.107278</v>
      </c>
      <c r="L6512">
        <v>136.5188</v>
      </c>
      <c r="M6512">
        <v>0.99613549999999995</v>
      </c>
      <c r="N6512">
        <v>-1.389541E-2</v>
      </c>
      <c r="O6512">
        <v>8.6722949999999993E-2</v>
      </c>
      <c r="P6512">
        <v>0.91450719999999996</v>
      </c>
      <c r="Q6512">
        <v>0.39010820000000002</v>
      </c>
      <c r="R6512">
        <v>0.1072029</v>
      </c>
      <c r="S6512">
        <v>3.4657589999999998</v>
      </c>
      <c r="T6512">
        <v>-0.48183939999999997</v>
      </c>
      <c r="U6512">
        <v>0.17408750000000001</v>
      </c>
      <c r="V6512">
        <v>-2.3782129999999999E-2</v>
      </c>
      <c r="W6512">
        <v>0.40309460000000003</v>
      </c>
      <c r="X6512">
        <v>0.91484920000000003</v>
      </c>
      <c r="Y6512">
        <v>3.5596559999999999E-2</v>
      </c>
      <c r="Z6512">
        <v>-1.3482869999999999E-2</v>
      </c>
      <c r="AA6512">
        <v>0.99927529999999998</v>
      </c>
      <c r="AB6512">
        <v>26</v>
      </c>
      <c r="AC6512">
        <v>0.59399999999999398</v>
      </c>
      <c r="AD6512">
        <v>-0.11973969999999901</v>
      </c>
      <c r="AE6512">
        <v>2.4799999999999E-2</v>
      </c>
      <c r="AF6512">
        <v>2.5766648514960602E-2</v>
      </c>
      <c r="AG6512">
        <v>-0.11973969999999901</v>
      </c>
      <c r="AH6512">
        <v>0.57075994755270898</v>
      </c>
      <c r="AI6512">
        <v>101.83653706279399</v>
      </c>
      <c r="AJ6512">
        <v>87.415168112910195</v>
      </c>
      <c r="AK6512">
        <v>0.58375374402409996</v>
      </c>
      <c r="AL6512">
        <v>66.2282188378923</v>
      </c>
      <c r="AM6512">
        <v>91.489107560503697</v>
      </c>
      <c r="AN6512">
        <v>0.99999995249856699</v>
      </c>
    </row>
    <row r="6513" spans="1:40" x14ac:dyDescent="0.25">
      <c r="A6513" t="str">
        <f>"20190304164536805"</f>
        <v>20190304164536805</v>
      </c>
      <c r="B6513" t="str">
        <f>"1551689136796332"</f>
        <v>1551689136796332</v>
      </c>
      <c r="C6513" t="s">
        <v>40</v>
      </c>
      <c r="D6513">
        <v>5.0103660000000003</v>
      </c>
      <c r="E6513">
        <v>0.53712879999999996</v>
      </c>
      <c r="F6513" t="s">
        <v>41</v>
      </c>
      <c r="G6513">
        <v>-165.08529999999999</v>
      </c>
      <c r="H6513">
        <v>0.99115120000000001</v>
      </c>
      <c r="I6513">
        <v>136.56129999999999</v>
      </c>
      <c r="J6513">
        <v>-165.6591</v>
      </c>
      <c r="K6513">
        <v>1.107637</v>
      </c>
      <c r="L6513">
        <v>136.53579999999999</v>
      </c>
      <c r="M6513">
        <v>0.99651749999999995</v>
      </c>
      <c r="N6513">
        <v>-1.384349E-2</v>
      </c>
      <c r="O6513">
        <v>8.2227289999999995E-2</v>
      </c>
      <c r="P6513">
        <v>0.91429990000000005</v>
      </c>
      <c r="Q6513">
        <v>0.38974110000000001</v>
      </c>
      <c r="R6513">
        <v>0.1102625</v>
      </c>
      <c r="S6513">
        <v>3.4664920000000001</v>
      </c>
      <c r="T6513">
        <v>-0.48489260000000001</v>
      </c>
      <c r="U6513">
        <v>0.17767330000000001</v>
      </c>
      <c r="V6513">
        <v>-3.134816E-2</v>
      </c>
      <c r="W6513">
        <v>0.40271839999999998</v>
      </c>
      <c r="X6513">
        <v>0.91478700000000002</v>
      </c>
      <c r="Y6513">
        <v>3.0145709999999999E-2</v>
      </c>
      <c r="Z6513">
        <v>-1.259561E-2</v>
      </c>
      <c r="AA6513">
        <v>0.99946619999999997</v>
      </c>
      <c r="AB6513">
        <v>26</v>
      </c>
      <c r="AC6513">
        <v>0.57380000000000497</v>
      </c>
      <c r="AD6513">
        <v>-0.1164858</v>
      </c>
      <c r="AE6513">
        <v>2.5499999999993798E-2</v>
      </c>
      <c r="AF6513">
        <v>2.0912748328027898E-2</v>
      </c>
      <c r="AG6513">
        <v>-0.1164858</v>
      </c>
      <c r="AH6513">
        <v>0.55127892110824805</v>
      </c>
      <c r="AI6513">
        <v>101.92282496342401</v>
      </c>
      <c r="AJ6513">
        <v>87.827528135075696</v>
      </c>
      <c r="AK6513">
        <v>0.56383927985069104</v>
      </c>
      <c r="AL6513">
        <v>66.251771759145001</v>
      </c>
      <c r="AM6513">
        <v>91.9626587282809</v>
      </c>
      <c r="AN6513">
        <v>1.00000003610147</v>
      </c>
    </row>
    <row r="6514" spans="1:40" x14ac:dyDescent="0.25">
      <c r="A6514" t="str">
        <f>"20190304164536827"</f>
        <v>20190304164536827</v>
      </c>
      <c r="B6514" t="str">
        <f>"1551689136816828"</f>
        <v>1551689136816828</v>
      </c>
      <c r="C6514" t="s">
        <v>40</v>
      </c>
      <c r="D6514">
        <v>4.8994519999999904</v>
      </c>
      <c r="E6514">
        <v>0.5370433</v>
      </c>
      <c r="F6514" t="s">
        <v>41</v>
      </c>
      <c r="G6514">
        <v>-164.85</v>
      </c>
      <c r="H6514">
        <v>0.99375089999999999</v>
      </c>
      <c r="I6514">
        <v>136.57839999999999</v>
      </c>
      <c r="J6514">
        <v>-165.3972</v>
      </c>
      <c r="K6514">
        <v>1.1080190000000001</v>
      </c>
      <c r="L6514">
        <v>136.55240000000001</v>
      </c>
      <c r="M6514">
        <v>0.9968475</v>
      </c>
      <c r="N6514">
        <v>-1.379265E-2</v>
      </c>
      <c r="O6514">
        <v>7.8134010000000004E-2</v>
      </c>
      <c r="P6514">
        <v>0.91403590000000001</v>
      </c>
      <c r="Q6514">
        <v>0.38926309999999997</v>
      </c>
      <c r="R6514">
        <v>0.11407349999999999</v>
      </c>
      <c r="S6514">
        <v>3.4671479999999999</v>
      </c>
      <c r="T6514">
        <v>-0.48794569999999998</v>
      </c>
      <c r="U6514">
        <v>0.1828766</v>
      </c>
      <c r="V6514">
        <v>-3.932443E-2</v>
      </c>
      <c r="W6514">
        <v>0.40221950000000001</v>
      </c>
      <c r="X6514">
        <v>0.91469840000000002</v>
      </c>
      <c r="Y6514">
        <v>2.4633180000000001E-2</v>
      </c>
      <c r="Z6514">
        <v>-1.1741710000000001E-2</v>
      </c>
      <c r="AA6514">
        <v>0.99962759999999995</v>
      </c>
      <c r="AB6514">
        <v>26</v>
      </c>
      <c r="AC6514">
        <v>0.54720000000000302</v>
      </c>
      <c r="AD6514">
        <v>-0.1142681</v>
      </c>
      <c r="AE6514">
        <v>2.5999999999981999E-2</v>
      </c>
      <c r="AF6514">
        <v>1.6136417804344001E-2</v>
      </c>
      <c r="AG6514">
        <v>-0.1142681</v>
      </c>
      <c r="AH6514">
        <v>0.52472813207680402</v>
      </c>
      <c r="AI6514">
        <v>102.279659124288</v>
      </c>
      <c r="AJ6514">
        <v>88.238597662088495</v>
      </c>
      <c r="AK6514">
        <v>0.53726827121092702</v>
      </c>
      <c r="AL6514">
        <v>66.282997598029894</v>
      </c>
      <c r="AM6514">
        <v>92.461726476704897</v>
      </c>
      <c r="AN6514">
        <v>1.00000004996881</v>
      </c>
    </row>
    <row r="6515" spans="1:40" x14ac:dyDescent="0.25">
      <c r="A6515" t="str">
        <f>"20190304164536851"</f>
        <v>20190304164536851</v>
      </c>
      <c r="B6515" t="str">
        <f>"1551689136847084"</f>
        <v>1551689136847084</v>
      </c>
      <c r="C6515" t="s">
        <v>40</v>
      </c>
      <c r="D6515">
        <v>4.9100539999999997</v>
      </c>
      <c r="E6515">
        <v>0.53706599999999904</v>
      </c>
      <c r="F6515" t="s">
        <v>41</v>
      </c>
      <c r="G6515">
        <v>-164.61449999999999</v>
      </c>
      <c r="H6515">
        <v>0.99749209999999999</v>
      </c>
      <c r="I6515">
        <v>136.59540000000001</v>
      </c>
      <c r="J6515">
        <v>-165.1198</v>
      </c>
      <c r="K6515">
        <v>1.1084320000000001</v>
      </c>
      <c r="L6515">
        <v>136.56950000000001</v>
      </c>
      <c r="M6515">
        <v>0.99713969999999996</v>
      </c>
      <c r="N6515">
        <v>-1.374275E-2</v>
      </c>
      <c r="O6515">
        <v>7.4321659999999998E-2</v>
      </c>
      <c r="P6515">
        <v>0.91381369999999895</v>
      </c>
      <c r="Q6515">
        <v>0.38899539999999999</v>
      </c>
      <c r="R6515">
        <v>0.1167361</v>
      </c>
      <c r="S6515">
        <v>3.4667970000000001</v>
      </c>
      <c r="T6515">
        <v>-0.4895465</v>
      </c>
      <c r="U6515">
        <v>0.19094849999999999</v>
      </c>
      <c r="V6515">
        <v>-4.5920740000000002E-2</v>
      </c>
      <c r="W6515">
        <v>0.40190300000000001</v>
      </c>
      <c r="X6515">
        <v>0.91453010000000001</v>
      </c>
      <c r="Y6515">
        <v>1.8573650000000001E-2</v>
      </c>
      <c r="Z6515">
        <v>-1.083782E-2</v>
      </c>
      <c r="AA6515">
        <v>0.99976869999999995</v>
      </c>
      <c r="AB6515">
        <v>26</v>
      </c>
      <c r="AC6515">
        <v>0.50530000000000497</v>
      </c>
      <c r="AD6515">
        <v>-0.11093989999999899</v>
      </c>
      <c r="AE6515">
        <v>2.5900000000007101E-2</v>
      </c>
      <c r="AF6515">
        <v>1.1191852596728301E-2</v>
      </c>
      <c r="AG6515">
        <v>-0.11093989999999899</v>
      </c>
      <c r="AH6515">
        <v>0.482624221835808</v>
      </c>
      <c r="AI6515">
        <v>102.94222301962201</v>
      </c>
      <c r="AJ6515">
        <v>88.671573074758399</v>
      </c>
      <c r="AK6515">
        <v>0.49533731787457302</v>
      </c>
      <c r="AL6515">
        <v>66.302802278438094</v>
      </c>
      <c r="AM6515">
        <v>92.874543673215399</v>
      </c>
      <c r="AN6515">
        <v>1.0000000197885699</v>
      </c>
    </row>
    <row r="6516" spans="1:40" x14ac:dyDescent="0.25">
      <c r="A6516" t="str">
        <f>"20190304164536873"</f>
        <v>20190304164536873</v>
      </c>
      <c r="B6516" t="str">
        <f>"1551689136866604"</f>
        <v>1551689136866604</v>
      </c>
      <c r="C6516" t="s">
        <v>40</v>
      </c>
      <c r="D6516">
        <v>4.82</v>
      </c>
      <c r="E6516">
        <v>0.53700619999999999</v>
      </c>
      <c r="F6516" t="s">
        <v>41</v>
      </c>
      <c r="G6516">
        <v>-164.3783</v>
      </c>
      <c r="H6516">
        <v>1.0034110000000001</v>
      </c>
      <c r="I6516">
        <v>136.61160000000001</v>
      </c>
      <c r="J6516">
        <v>-164.86580000000001</v>
      </c>
      <c r="K6516">
        <v>1.108795</v>
      </c>
      <c r="L6516">
        <v>136.5848</v>
      </c>
      <c r="M6516">
        <v>0.99736060000000004</v>
      </c>
      <c r="N6516">
        <v>-1.37006E-2</v>
      </c>
      <c r="O6516">
        <v>7.1302669999999999E-2</v>
      </c>
      <c r="P6516">
        <v>0.91335219999999995</v>
      </c>
      <c r="Q6516">
        <v>0.389324</v>
      </c>
      <c r="R6516">
        <v>0.1192256</v>
      </c>
      <c r="S6516">
        <v>3.4668429999999999</v>
      </c>
      <c r="T6516">
        <v>-0.49099310000000002</v>
      </c>
      <c r="U6516">
        <v>0.1965179</v>
      </c>
      <c r="V6516">
        <v>-5.1575589999999998E-2</v>
      </c>
      <c r="W6516">
        <v>0.40217629999999999</v>
      </c>
      <c r="X6516">
        <v>0.91410840000000004</v>
      </c>
      <c r="Y6516">
        <v>1.4015069999999999E-2</v>
      </c>
      <c r="Z6516">
        <v>-1.0139179999999999E-2</v>
      </c>
      <c r="AA6516">
        <v>0.99985040000000003</v>
      </c>
      <c r="AB6516">
        <v>26</v>
      </c>
      <c r="AC6516">
        <v>0.48750000000001098</v>
      </c>
      <c r="AD6516">
        <v>-0.10538399999999901</v>
      </c>
      <c r="AE6516">
        <v>2.6800000000008602E-2</v>
      </c>
      <c r="AF6516">
        <v>7.67401195247962E-3</v>
      </c>
      <c r="AG6516">
        <v>-0.10538399999999901</v>
      </c>
      <c r="AH6516">
        <v>0.46643880880104399</v>
      </c>
      <c r="AI6516">
        <v>102.729597280059</v>
      </c>
      <c r="AJ6516">
        <v>89.057435137510495</v>
      </c>
      <c r="AK6516">
        <v>0.47825708596024302</v>
      </c>
      <c r="AL6516">
        <v>66.285699626940698</v>
      </c>
      <c r="AM6516">
        <v>93.229303963512507</v>
      </c>
      <c r="AN6516">
        <v>0.99999999235804904</v>
      </c>
    </row>
    <row r="6517" spans="1:40" x14ac:dyDescent="0.25">
      <c r="A6517" t="str">
        <f>"20190304164536895"</f>
        <v>20190304164536895</v>
      </c>
      <c r="B6517" t="str">
        <f>"1551689136887100"</f>
        <v>1551689136887100</v>
      </c>
      <c r="C6517" t="s">
        <v>40</v>
      </c>
      <c r="D6517">
        <v>4.8065239999999996</v>
      </c>
      <c r="E6517">
        <v>0.53712519999999997</v>
      </c>
      <c r="F6517" t="s">
        <v>41</v>
      </c>
      <c r="G6517">
        <v>-164.14359999999999</v>
      </c>
      <c r="H6517">
        <v>1.006567</v>
      </c>
      <c r="I6517">
        <v>136.62799999999999</v>
      </c>
      <c r="J6517">
        <v>-164.61109999999999</v>
      </c>
      <c r="K6517">
        <v>1.1091329999999999</v>
      </c>
      <c r="L6517">
        <v>136.59979999999999</v>
      </c>
      <c r="M6517">
        <v>0.99754189999999998</v>
      </c>
      <c r="N6517">
        <v>-1.366149E-2</v>
      </c>
      <c r="O6517">
        <v>6.8728839999999999E-2</v>
      </c>
      <c r="P6517">
        <v>0.91275550000000005</v>
      </c>
      <c r="Q6517">
        <v>0.3901078</v>
      </c>
      <c r="R6517">
        <v>0.12121609999999999</v>
      </c>
      <c r="S6517">
        <v>3.466583</v>
      </c>
      <c r="T6517">
        <v>-0.49071290000000001</v>
      </c>
      <c r="U6517">
        <v>0.20820620000000001</v>
      </c>
      <c r="V6517">
        <v>-5.629783E-2</v>
      </c>
      <c r="W6517">
        <v>0.40289429999999998</v>
      </c>
      <c r="X6517">
        <v>0.91351340000000003</v>
      </c>
      <c r="Y6517">
        <v>8.1559049999999998E-3</v>
      </c>
      <c r="Z6517">
        <v>-9.3563410000000007E-3</v>
      </c>
      <c r="AA6517">
        <v>0.99992300000000001</v>
      </c>
      <c r="AB6517">
        <v>26</v>
      </c>
      <c r="AC6517">
        <v>0.46750000000000103</v>
      </c>
      <c r="AD6517">
        <v>-0.10256599999999901</v>
      </c>
      <c r="AE6517">
        <v>2.8199999999998199E-2</v>
      </c>
      <c r="AF6517">
        <v>3.8173495500474601E-3</v>
      </c>
      <c r="AG6517">
        <v>-0.10256599999999901</v>
      </c>
      <c r="AH6517">
        <v>0.44689998140297299</v>
      </c>
      <c r="AI6517">
        <v>102.92539620370501</v>
      </c>
      <c r="AJ6517">
        <v>89.510600340051298</v>
      </c>
      <c r="AK6517">
        <v>0.458534567826206</v>
      </c>
      <c r="AL6517">
        <v>66.240759647849401</v>
      </c>
      <c r="AM6517">
        <v>93.526553309731696</v>
      </c>
      <c r="AN6517">
        <v>0.99999999730737898</v>
      </c>
    </row>
    <row r="6518" spans="1:40" x14ac:dyDescent="0.25">
      <c r="A6518" t="str">
        <f>"20190304164536917"</f>
        <v>20190304164536917</v>
      </c>
      <c r="B6518" t="str">
        <f>"1551689136906620"</f>
        <v>1551689136906620</v>
      </c>
      <c r="C6518" t="s">
        <v>40</v>
      </c>
      <c r="D6518">
        <v>4.7716139999999996</v>
      </c>
      <c r="E6518">
        <v>0.53720979999999996</v>
      </c>
      <c r="F6518" t="s">
        <v>41</v>
      </c>
      <c r="G6518">
        <v>-163.69139999999999</v>
      </c>
      <c r="H6518">
        <v>0.97945360000000004</v>
      </c>
      <c r="I6518">
        <v>136.6568</v>
      </c>
      <c r="J6518">
        <v>-164.35480000000001</v>
      </c>
      <c r="K6518">
        <v>1.1094280000000001</v>
      </c>
      <c r="L6518">
        <v>136.6147</v>
      </c>
      <c r="M6518">
        <v>0.99769039999999998</v>
      </c>
      <c r="N6518">
        <v>-1.3625369999999999E-2</v>
      </c>
      <c r="O6518">
        <v>6.6544870000000006E-2</v>
      </c>
      <c r="P6518">
        <v>0.91224799999999995</v>
      </c>
      <c r="Q6518">
        <v>0.38999929999999999</v>
      </c>
      <c r="R6518">
        <v>0.1253166</v>
      </c>
      <c r="S6518">
        <v>3.4670719999999999</v>
      </c>
      <c r="T6518">
        <v>-0.48888540000000003</v>
      </c>
      <c r="U6518">
        <v>0.21560670000000001</v>
      </c>
      <c r="V6518">
        <v>-6.2722849999999997E-2</v>
      </c>
      <c r="W6518">
        <v>0.40273199999999998</v>
      </c>
      <c r="X6518">
        <v>0.91316629999999999</v>
      </c>
      <c r="Y6518">
        <v>3.9171750000000002E-3</v>
      </c>
      <c r="Z6518">
        <v>-8.7169099999999996E-3</v>
      </c>
      <c r="AA6518">
        <v>0.99995429999999996</v>
      </c>
      <c r="AB6518">
        <v>26</v>
      </c>
      <c r="AC6518">
        <v>0.66340000000002397</v>
      </c>
      <c r="AD6518">
        <v>-0.12997439999999999</v>
      </c>
      <c r="AE6518">
        <v>4.2100000000004897E-2</v>
      </c>
      <c r="AF6518">
        <v>2.0643760714167299E-3</v>
      </c>
      <c r="AG6518">
        <v>-0.12997439999999999</v>
      </c>
      <c r="AH6518">
        <v>0.64025333143232899</v>
      </c>
      <c r="AI6518">
        <v>101.47531052284999</v>
      </c>
      <c r="AJ6518">
        <v>89.815261209073398</v>
      </c>
      <c r="AK6518">
        <v>0.65331610627178005</v>
      </c>
      <c r="AL6518">
        <v>66.250918418859897</v>
      </c>
      <c r="AM6518">
        <v>93.929315865606199</v>
      </c>
      <c r="AN6518">
        <v>0.99999995559590504</v>
      </c>
    </row>
    <row r="6519" spans="1:40" x14ac:dyDescent="0.25">
      <c r="A6519" t="str">
        <f>"20190304164536939"</f>
        <v>20190304164536939</v>
      </c>
      <c r="B6519" t="str">
        <f>"1551689136936876"</f>
        <v>1551689136936876</v>
      </c>
      <c r="C6519" t="s">
        <v>40</v>
      </c>
      <c r="D6519">
        <v>4.8399530000000004</v>
      </c>
      <c r="E6519">
        <v>0.53718109999999997</v>
      </c>
      <c r="F6519" t="s">
        <v>41</v>
      </c>
      <c r="G6519">
        <v>-163.45750000000001</v>
      </c>
      <c r="H6519">
        <v>0.98294590000000004</v>
      </c>
      <c r="I6519">
        <v>136.672</v>
      </c>
      <c r="J6519">
        <v>-164.09469999999999</v>
      </c>
      <c r="K6519">
        <v>1.109664</v>
      </c>
      <c r="L6519">
        <v>136.62960000000001</v>
      </c>
      <c r="M6519">
        <v>0.99781690000000001</v>
      </c>
      <c r="N6519">
        <v>-1.359206E-2</v>
      </c>
      <c r="O6519">
        <v>6.4628229999999995E-2</v>
      </c>
      <c r="P6519">
        <v>0.91250869999999995</v>
      </c>
      <c r="Q6519">
        <v>0.38783770000000001</v>
      </c>
      <c r="R6519">
        <v>0.13003870000000001</v>
      </c>
      <c r="S6519">
        <v>3.4670559999999999</v>
      </c>
      <c r="T6519">
        <v>-0.48870649999999899</v>
      </c>
      <c r="U6519">
        <v>0.22175600000000001</v>
      </c>
      <c r="V6519">
        <v>-6.9420200000000001E-2</v>
      </c>
      <c r="W6519">
        <v>0.40053230000000001</v>
      </c>
      <c r="X6519">
        <v>0.91364909999999999</v>
      </c>
      <c r="Y6519">
        <v>2.84185E-4</v>
      </c>
      <c r="Z6519">
        <v>-8.1937380000000008E-3</v>
      </c>
      <c r="AA6519">
        <v>0.99996640000000003</v>
      </c>
      <c r="AB6519">
        <v>26</v>
      </c>
      <c r="AC6519">
        <v>0.63719999999997801</v>
      </c>
      <c r="AD6519">
        <v>-0.126718099999999</v>
      </c>
      <c r="AE6519">
        <v>4.23999999999864E-2</v>
      </c>
      <c r="AF6519">
        <v>-1.0837606428905199E-3</v>
      </c>
      <c r="AG6519">
        <v>-0.126718099999999</v>
      </c>
      <c r="AH6519">
        <v>0.61441623225723196</v>
      </c>
      <c r="AI6519">
        <v>101.653353541199</v>
      </c>
      <c r="AJ6519">
        <v>90.1010631607395</v>
      </c>
      <c r="AK6519">
        <v>0.62734835447772896</v>
      </c>
      <c r="AL6519">
        <v>66.388540229660506</v>
      </c>
      <c r="AM6519">
        <v>94.345056184361496</v>
      </c>
      <c r="AN6519">
        <v>0.99999998272106905</v>
      </c>
    </row>
    <row r="6520" spans="1:40" x14ac:dyDescent="0.25">
      <c r="A6520" t="str">
        <f>"20190304164536962"</f>
        <v>20190304164536962</v>
      </c>
      <c r="B6520" t="str">
        <f>"1551689136956396"</f>
        <v>1551689136956396</v>
      </c>
      <c r="C6520" t="s">
        <v>40</v>
      </c>
      <c r="D6520">
        <v>4.7250439999999996</v>
      </c>
      <c r="E6520">
        <v>0.53724510000000003</v>
      </c>
      <c r="F6520" t="s">
        <v>41</v>
      </c>
      <c r="G6520">
        <v>-163.22399999999999</v>
      </c>
      <c r="H6520">
        <v>0.98604080000000005</v>
      </c>
      <c r="I6520">
        <v>136.68610000000001</v>
      </c>
      <c r="J6520">
        <v>-163.83359999999999</v>
      </c>
      <c r="K6520">
        <v>1.109845</v>
      </c>
      <c r="L6520">
        <v>136.64429999999999</v>
      </c>
      <c r="M6520">
        <v>0.99792440000000004</v>
      </c>
      <c r="N6520">
        <v>-1.356195E-2</v>
      </c>
      <c r="O6520">
        <v>6.2953149999999999E-2</v>
      </c>
      <c r="P6520">
        <v>0.91293360000000001</v>
      </c>
      <c r="Q6520">
        <v>0.38583250000000002</v>
      </c>
      <c r="R6520">
        <v>0.13298750000000001</v>
      </c>
      <c r="S6520">
        <v>3.4645540000000001</v>
      </c>
      <c r="T6520">
        <v>-0.49192259999999999</v>
      </c>
      <c r="U6520">
        <v>0.225769</v>
      </c>
      <c r="V6520">
        <v>-7.40648E-2</v>
      </c>
      <c r="W6520">
        <v>0.39848879999999998</v>
      </c>
      <c r="X6520">
        <v>0.91417780000000004</v>
      </c>
      <c r="Y6520">
        <v>-2.5578829999999999E-3</v>
      </c>
      <c r="Z6520">
        <v>-7.8278280000000002E-3</v>
      </c>
      <c r="AA6520">
        <v>0.99996609999999997</v>
      </c>
      <c r="AB6520">
        <v>26</v>
      </c>
      <c r="AC6520">
        <v>0.60960000000000003</v>
      </c>
      <c r="AD6520">
        <v>-0.123804199999999</v>
      </c>
      <c r="AE6520">
        <v>4.1800000000023298E-2</v>
      </c>
      <c r="AF6520">
        <v>-3.20570302773002E-3</v>
      </c>
      <c r="AG6520">
        <v>-0.123804199999999</v>
      </c>
      <c r="AH6520">
        <v>0.58692725311486904</v>
      </c>
      <c r="AI6520">
        <v>101.910971118349</v>
      </c>
      <c r="AJ6520">
        <v>90.3129372958754</v>
      </c>
      <c r="AK6520">
        <v>0.59985111229246502</v>
      </c>
      <c r="AL6520">
        <v>66.516259599735506</v>
      </c>
      <c r="AM6520">
        <v>94.631869185365403</v>
      </c>
      <c r="AN6520">
        <v>0.99999998416865898</v>
      </c>
    </row>
    <row r="6521" spans="1:40" x14ac:dyDescent="0.25">
      <c r="A6521" t="str">
        <f>"20190304164536983"</f>
        <v>20190304164536983</v>
      </c>
      <c r="B6521" t="str">
        <f>"1551689136976892"</f>
        <v>1551689136976892</v>
      </c>
      <c r="C6521" t="s">
        <v>40</v>
      </c>
      <c r="D6521">
        <v>4.9849079999999999</v>
      </c>
      <c r="E6521">
        <v>0.53753339999999905</v>
      </c>
      <c r="F6521" t="s">
        <v>41</v>
      </c>
      <c r="G6521">
        <v>-162.99090000000001</v>
      </c>
      <c r="H6521">
        <v>0.98877190000000004</v>
      </c>
      <c r="I6521">
        <v>136.69999999999999</v>
      </c>
      <c r="J6521">
        <v>-163.58109999999999</v>
      </c>
      <c r="K6521">
        <v>1.1099870000000001</v>
      </c>
      <c r="L6521">
        <v>136.6584</v>
      </c>
      <c r="M6521">
        <v>0.99801280000000003</v>
      </c>
      <c r="N6521">
        <v>-1.353567E-2</v>
      </c>
      <c r="O6521">
        <v>6.1540829999999998E-2</v>
      </c>
      <c r="P6521">
        <v>0.91323710000000002</v>
      </c>
      <c r="Q6521">
        <v>0.3846117</v>
      </c>
      <c r="R6521">
        <v>0.13443369999999999</v>
      </c>
      <c r="S6521">
        <v>3.463104</v>
      </c>
      <c r="T6521">
        <v>-0.49761559999999999</v>
      </c>
      <c r="U6521">
        <v>0.22883609999999999</v>
      </c>
      <c r="V6521">
        <v>-7.6939839999999995E-2</v>
      </c>
      <c r="W6521">
        <v>0.39722760000000001</v>
      </c>
      <c r="X6521">
        <v>0.9144892</v>
      </c>
      <c r="Y6521">
        <v>-4.857699E-3</v>
      </c>
      <c r="Z6521">
        <v>-7.5705499999999997E-3</v>
      </c>
      <c r="AA6521">
        <v>0.9999595</v>
      </c>
      <c r="AB6521">
        <v>26</v>
      </c>
      <c r="AC6521">
        <v>0.59019999999998096</v>
      </c>
      <c r="AD6521">
        <v>-0.12121509999999899</v>
      </c>
      <c r="AE6521">
        <v>4.1599999999988299E-2</v>
      </c>
      <c r="AF6521">
        <v>-4.98709089133506E-3</v>
      </c>
      <c r="AG6521">
        <v>-0.12121509999999899</v>
      </c>
      <c r="AH6521">
        <v>0.56780918554318305</v>
      </c>
      <c r="AI6521">
        <v>102.05008361307399</v>
      </c>
      <c r="AJ6521">
        <v>90.503218194169506</v>
      </c>
      <c r="AK6521">
        <v>0.58062487264220897</v>
      </c>
      <c r="AL6521">
        <v>66.595023645701204</v>
      </c>
      <c r="AM6521">
        <v>94.809209899168593</v>
      </c>
      <c r="AN6521">
        <v>1.0000000010488099</v>
      </c>
    </row>
    <row r="6522" spans="1:40" x14ac:dyDescent="0.25">
      <c r="A6522" t="str">
        <f>"20190304164537007"</f>
        <v>20190304164537007</v>
      </c>
      <c r="B6522" t="str">
        <f>"1551689136996413"</f>
        <v>1551689136996413</v>
      </c>
      <c r="C6522" t="s">
        <v>40</v>
      </c>
      <c r="D6522">
        <v>4.6789560000000003</v>
      </c>
      <c r="E6522">
        <v>0.53758050000000002</v>
      </c>
      <c r="F6522" t="s">
        <v>41</v>
      </c>
      <c r="G6522">
        <v>-162.7587</v>
      </c>
      <c r="H6522">
        <v>0.99016439999999994</v>
      </c>
      <c r="I6522">
        <v>136.71369999999999</v>
      </c>
      <c r="J6522">
        <v>-163.31610000000001</v>
      </c>
      <c r="K6522">
        <v>1.110125</v>
      </c>
      <c r="L6522">
        <v>136.673</v>
      </c>
      <c r="M6522">
        <v>0.99809190000000003</v>
      </c>
      <c r="N6522">
        <v>-1.3510889999999999E-2</v>
      </c>
      <c r="O6522">
        <v>6.024972E-2</v>
      </c>
      <c r="P6522">
        <v>0.91341170000000005</v>
      </c>
      <c r="Q6522">
        <v>0.38337280000000001</v>
      </c>
      <c r="R6522">
        <v>0.1367641</v>
      </c>
      <c r="S6522">
        <v>3.4632260000000001</v>
      </c>
      <c r="T6522">
        <v>-0.50458570000000003</v>
      </c>
      <c r="U6522">
        <v>0.2331085</v>
      </c>
      <c r="V6522">
        <v>-8.0589560000000005E-2</v>
      </c>
      <c r="W6522">
        <v>0.39594940000000001</v>
      </c>
      <c r="X6522">
        <v>0.91472920000000002</v>
      </c>
      <c r="Y6522">
        <v>-7.3520360000000002E-3</v>
      </c>
      <c r="Z6522">
        <v>-7.321831E-3</v>
      </c>
      <c r="AA6522">
        <v>0.99994620000000001</v>
      </c>
      <c r="AB6522">
        <v>26</v>
      </c>
      <c r="AC6522">
        <v>0.55740000000000101</v>
      </c>
      <c r="AD6522">
        <v>-0.119960599999999</v>
      </c>
      <c r="AE6522">
        <v>4.0699999999986802E-2</v>
      </c>
      <c r="AF6522">
        <v>-6.7297385841881604E-3</v>
      </c>
      <c r="AG6522">
        <v>-0.119960599999999</v>
      </c>
      <c r="AH6522">
        <v>0.53422686655228002</v>
      </c>
      <c r="AI6522">
        <v>102.6548643137</v>
      </c>
      <c r="AJ6522">
        <v>90.721725634192694</v>
      </c>
      <c r="AK6522">
        <v>0.54757116421524499</v>
      </c>
      <c r="AL6522">
        <v>66.674802536534102</v>
      </c>
      <c r="AM6522">
        <v>95.034878261085296</v>
      </c>
      <c r="AN6522">
        <v>1.00000005693699</v>
      </c>
    </row>
    <row r="6523" spans="1:40" x14ac:dyDescent="0.25">
      <c r="A6523" t="str">
        <f>"20190304164537029"</f>
        <v>20190304164537029</v>
      </c>
      <c r="B6523" t="str">
        <f>"1551689137016909"</f>
        <v>1551689137016909</v>
      </c>
      <c r="C6523" t="s">
        <v>40</v>
      </c>
      <c r="D6523">
        <v>4.8361830000000001</v>
      </c>
      <c r="E6523">
        <v>0.53765620000000003</v>
      </c>
      <c r="F6523" t="s">
        <v>41</v>
      </c>
      <c r="G6523">
        <v>-162.5257</v>
      </c>
      <c r="H6523">
        <v>0.99375329999999995</v>
      </c>
      <c r="I6523">
        <v>136.72819999999999</v>
      </c>
      <c r="J6523">
        <v>-163.05889999999999</v>
      </c>
      <c r="K6523">
        <v>1.110258</v>
      </c>
      <c r="L6523">
        <v>136.68709999999999</v>
      </c>
      <c r="M6523">
        <v>0.99815719999999997</v>
      </c>
      <c r="N6523">
        <v>-1.348947E-2</v>
      </c>
      <c r="O6523">
        <v>5.9164029999999999E-2</v>
      </c>
      <c r="P6523">
        <v>0.91376690000000005</v>
      </c>
      <c r="Q6523">
        <v>0.38064100000000001</v>
      </c>
      <c r="R6523">
        <v>0.14192539999999901</v>
      </c>
      <c r="S6523">
        <v>3.4620669999999998</v>
      </c>
      <c r="T6523">
        <v>-0.50976960000000004</v>
      </c>
      <c r="U6523">
        <v>0.2421875</v>
      </c>
      <c r="V6523">
        <v>-8.6862800000000004E-2</v>
      </c>
      <c r="W6523">
        <v>0.39318989999999998</v>
      </c>
      <c r="X6523">
        <v>0.91534510000000002</v>
      </c>
      <c r="Y6523">
        <v>-1.103001E-2</v>
      </c>
      <c r="Z6523">
        <v>-6.9704939999999998E-3</v>
      </c>
      <c r="AA6523">
        <v>0.99991490000000005</v>
      </c>
      <c r="AB6523">
        <v>26</v>
      </c>
      <c r="AC6523">
        <v>0.53319999999999301</v>
      </c>
      <c r="AD6523">
        <v>-0.116504699999999</v>
      </c>
      <c r="AE6523">
        <v>4.1100000000000102E-2</v>
      </c>
      <c r="AF6523">
        <v>-9.0493726286953197E-3</v>
      </c>
      <c r="AG6523">
        <v>-0.116504699999999</v>
      </c>
      <c r="AH6523">
        <v>0.51047040644790698</v>
      </c>
      <c r="AI6523">
        <v>102.85446064713901</v>
      </c>
      <c r="AJ6523">
        <v>91.015605504398906</v>
      </c>
      <c r="AK6523">
        <v>0.52367477705743504</v>
      </c>
      <c r="AL6523">
        <v>66.846870686988098</v>
      </c>
      <c r="AM6523">
        <v>95.420920090345902</v>
      </c>
      <c r="AN6523">
        <v>1.00000004778992</v>
      </c>
    </row>
    <row r="6524" spans="1:40" x14ac:dyDescent="0.25">
      <c r="A6524" t="str">
        <f>"20190304164537053"</f>
        <v>20190304164537053</v>
      </c>
      <c r="B6524" t="str">
        <f>"1551689137047164"</f>
        <v>1551689137047164</v>
      </c>
      <c r="C6524" t="s">
        <v>40</v>
      </c>
      <c r="D6524">
        <v>4.6807220000000003</v>
      </c>
      <c r="E6524">
        <v>0.53786979999999995</v>
      </c>
      <c r="F6524" t="s">
        <v>41</v>
      </c>
      <c r="G6524">
        <v>-162.29409999999999</v>
      </c>
      <c r="H6524">
        <v>0.99525989999999998</v>
      </c>
      <c r="I6524">
        <v>136.7433</v>
      </c>
      <c r="J6524">
        <v>-162.78200000000001</v>
      </c>
      <c r="K6524">
        <v>1.1103940000000001</v>
      </c>
      <c r="L6524">
        <v>136.7022</v>
      </c>
      <c r="M6524">
        <v>0.99821599999999999</v>
      </c>
      <c r="N6524">
        <v>-1.3469099999999999E-2</v>
      </c>
      <c r="O6524">
        <v>5.8167110000000001E-2</v>
      </c>
      <c r="P6524">
        <v>0.91435440000000001</v>
      </c>
      <c r="Q6524">
        <v>0.37709500000000001</v>
      </c>
      <c r="R6524">
        <v>0.14749760000000001</v>
      </c>
      <c r="S6524">
        <v>3.460251</v>
      </c>
      <c r="T6524">
        <v>-0.52028229999999998</v>
      </c>
      <c r="U6524">
        <v>0.25491329999999901</v>
      </c>
      <c r="V6524">
        <v>-9.3459390000000003E-2</v>
      </c>
      <c r="W6524">
        <v>0.38961509999999999</v>
      </c>
      <c r="X6524">
        <v>0.91622349999999997</v>
      </c>
      <c r="Y6524">
        <v>-1.5677090000000001E-2</v>
      </c>
      <c r="Z6524">
        <v>-6.6211819999999998E-3</v>
      </c>
      <c r="AA6524">
        <v>0.99985520000000006</v>
      </c>
      <c r="AB6524">
        <v>26</v>
      </c>
      <c r="AC6524">
        <v>0.48790000000002398</v>
      </c>
      <c r="AD6524">
        <v>-0.1151341</v>
      </c>
      <c r="AE6524">
        <v>4.1100000000000102E-2</v>
      </c>
      <c r="AF6524">
        <v>-1.1985376504961801E-2</v>
      </c>
      <c r="AG6524">
        <v>-0.1151341</v>
      </c>
      <c r="AH6524">
        <v>0.46381843140275097</v>
      </c>
      <c r="AI6524">
        <v>103.93633748297999</v>
      </c>
      <c r="AJ6524">
        <v>91.480231608112007</v>
      </c>
      <c r="AK6524">
        <v>0.47804502668857901</v>
      </c>
      <c r="AL6524">
        <v>67.069449115935896</v>
      </c>
      <c r="AM6524">
        <v>95.824311780479903</v>
      </c>
      <c r="AN6524">
        <v>1.00000004283971</v>
      </c>
    </row>
    <row r="6525" spans="1:40" x14ac:dyDescent="0.25">
      <c r="A6525" t="str">
        <f>"20190304164537075"</f>
        <v>20190304164537075</v>
      </c>
      <c r="B6525" t="str">
        <f>"1551689137066685"</f>
        <v>1551689137066685</v>
      </c>
      <c r="C6525" t="s">
        <v>40</v>
      </c>
      <c r="D6525">
        <v>4.956493</v>
      </c>
      <c r="E6525">
        <v>0.53791429999999996</v>
      </c>
      <c r="F6525" t="s">
        <v>41</v>
      </c>
      <c r="G6525">
        <v>-162.06129999999999</v>
      </c>
      <c r="H6525">
        <v>0.99935810000000003</v>
      </c>
      <c r="I6525">
        <v>136.75749999999999</v>
      </c>
      <c r="J6525">
        <v>-162.5284</v>
      </c>
      <c r="K6525">
        <v>1.110511</v>
      </c>
      <c r="L6525">
        <v>136.71610000000001</v>
      </c>
      <c r="M6525">
        <v>0.99825889999999995</v>
      </c>
      <c r="N6525">
        <v>-1.345259E-2</v>
      </c>
      <c r="O6525">
        <v>5.7431629999999997E-2</v>
      </c>
      <c r="P6525">
        <v>0.91470059999999997</v>
      </c>
      <c r="Q6525">
        <v>0.37460870000000002</v>
      </c>
      <c r="R6525">
        <v>0.15162890000000001</v>
      </c>
      <c r="S6525">
        <v>3.4578700000000002</v>
      </c>
      <c r="T6525">
        <v>-0.53277890000000006</v>
      </c>
      <c r="U6525">
        <v>0.26567079999999998</v>
      </c>
      <c r="V6525">
        <v>-9.8368319999999995E-2</v>
      </c>
      <c r="W6525">
        <v>0.38709719999999997</v>
      </c>
      <c r="X6525">
        <v>0.9167767</v>
      </c>
      <c r="Y6525">
        <v>-1.9521320000000002E-2</v>
      </c>
      <c r="Z6525">
        <v>-6.3824429999999998E-3</v>
      </c>
      <c r="AA6525">
        <v>0.99978909999999999</v>
      </c>
      <c r="AB6525">
        <v>26</v>
      </c>
      <c r="AC6525">
        <v>0.467100000000016</v>
      </c>
      <c r="AD6525">
        <v>-0.1111529</v>
      </c>
      <c r="AE6525">
        <v>4.1399999999981597E-2</v>
      </c>
      <c r="AF6525">
        <v>-1.3731410162061201E-2</v>
      </c>
      <c r="AG6525">
        <v>-0.1111529</v>
      </c>
      <c r="AH6525">
        <v>0.44377319151148598</v>
      </c>
      <c r="AI6525">
        <v>104.055250553863</v>
      </c>
      <c r="AJ6525">
        <v>91.772303782602407</v>
      </c>
      <c r="AK6525">
        <v>0.45768784592529699</v>
      </c>
      <c r="AL6525">
        <v>67.226002177428299</v>
      </c>
      <c r="AM6525">
        <v>96.124292411362504</v>
      </c>
      <c r="AN6525">
        <v>1.0000000431451701</v>
      </c>
    </row>
    <row r="6526" spans="1:40" x14ac:dyDescent="0.25">
      <c r="A6526" t="str">
        <f>"20190304164537095"</f>
        <v>20190304164537095</v>
      </c>
      <c r="B6526" t="str">
        <f>"1551689137087180"</f>
        <v>1551689137087180</v>
      </c>
      <c r="C6526" t="s">
        <v>40</v>
      </c>
      <c r="D6526">
        <v>4.7036410000000002</v>
      </c>
      <c r="E6526">
        <v>0.53809669999999998</v>
      </c>
      <c r="F6526" t="s">
        <v>41</v>
      </c>
      <c r="G6526">
        <v>-161.6156</v>
      </c>
      <c r="H6526">
        <v>0.96812240000000005</v>
      </c>
      <c r="I6526">
        <v>136.78960000000001</v>
      </c>
      <c r="J6526">
        <v>-162.28700000000001</v>
      </c>
      <c r="K6526">
        <v>1.1106180000000001</v>
      </c>
      <c r="L6526">
        <v>136.72919999999999</v>
      </c>
      <c r="M6526">
        <v>0.99829009999999996</v>
      </c>
      <c r="N6526">
        <v>-1.343868E-2</v>
      </c>
      <c r="O6526">
        <v>5.6890290000000003E-2</v>
      </c>
      <c r="P6526">
        <v>0.91461119999999996</v>
      </c>
      <c r="Q6526">
        <v>0.37413849999999998</v>
      </c>
      <c r="R6526">
        <v>0.1533204</v>
      </c>
      <c r="S6526">
        <v>3.4542999999999999</v>
      </c>
      <c r="T6526">
        <v>-0.53887259999999904</v>
      </c>
      <c r="U6526">
        <v>0.27841189999999999</v>
      </c>
      <c r="V6526">
        <v>-0.1006702</v>
      </c>
      <c r="W6526">
        <v>0.38658799999999999</v>
      </c>
      <c r="X6526">
        <v>0.91674160000000005</v>
      </c>
      <c r="Y6526">
        <v>-2.3755890000000002E-2</v>
      </c>
      <c r="Z6526">
        <v>-6.0392220000000003E-3</v>
      </c>
      <c r="AA6526">
        <v>0.99969949999999996</v>
      </c>
      <c r="AB6526">
        <v>26</v>
      </c>
      <c r="AC6526">
        <v>0.67140000000000499</v>
      </c>
      <c r="AD6526">
        <v>-0.1424956</v>
      </c>
      <c r="AE6526">
        <v>6.0400000000015497E-2</v>
      </c>
      <c r="AF6526">
        <v>-2.1157212893853101E-2</v>
      </c>
      <c r="AG6526">
        <v>-0.1424956</v>
      </c>
      <c r="AH6526">
        <v>0.64493161186348502</v>
      </c>
      <c r="AI6526">
        <v>102.452663760498</v>
      </c>
      <c r="AJ6526">
        <v>91.878934763642604</v>
      </c>
      <c r="AK6526">
        <v>0.66082479346467404</v>
      </c>
      <c r="AL6526">
        <v>67.257638501787</v>
      </c>
      <c r="AM6526">
        <v>96.266715433718502</v>
      </c>
      <c r="AN6526">
        <v>0.99999996604129904</v>
      </c>
    </row>
    <row r="6527" spans="1:40" x14ac:dyDescent="0.25">
      <c r="A6527" t="str">
        <f>"20190304164537118"</f>
        <v>20190304164537118</v>
      </c>
      <c r="B6527" t="str">
        <f>"1551689137106700"</f>
        <v>1551689137106700</v>
      </c>
      <c r="C6527" t="s">
        <v>40</v>
      </c>
      <c r="D6527">
        <v>4.9756879999999999</v>
      </c>
      <c r="E6527">
        <v>0.53825529999999999</v>
      </c>
      <c r="F6527" t="s">
        <v>41</v>
      </c>
      <c r="G6527">
        <v>-161.38499999999999</v>
      </c>
      <c r="H6527">
        <v>0.96940179999999998</v>
      </c>
      <c r="I6527">
        <v>136.80359999999999</v>
      </c>
      <c r="J6527">
        <v>-162.0326</v>
      </c>
      <c r="K6527">
        <v>1.1107180000000001</v>
      </c>
      <c r="L6527">
        <v>136.7431</v>
      </c>
      <c r="M6527">
        <v>0.99831490000000001</v>
      </c>
      <c r="N6527">
        <v>-1.3425670000000001E-2</v>
      </c>
      <c r="O6527">
        <v>5.6455930000000001E-2</v>
      </c>
      <c r="P6527">
        <v>0.91447089999999998</v>
      </c>
      <c r="Q6527">
        <v>0.3738843</v>
      </c>
      <c r="R6527">
        <v>0.15476980000000001</v>
      </c>
      <c r="S6527">
        <v>3.4534449999999999</v>
      </c>
      <c r="T6527">
        <v>-0.54071239999999998</v>
      </c>
      <c r="U6527">
        <v>0.28529359999999998</v>
      </c>
      <c r="V6527">
        <v>-0.1026191</v>
      </c>
      <c r="W6527">
        <v>0.38629770000000002</v>
      </c>
      <c r="X6527">
        <v>0.91664789999999996</v>
      </c>
      <c r="Y6527">
        <v>-2.615609E-2</v>
      </c>
      <c r="Z6527">
        <v>-5.8004579999999997E-3</v>
      </c>
      <c r="AA6527">
        <v>0.99964109999999995</v>
      </c>
      <c r="AB6527">
        <v>26</v>
      </c>
      <c r="AC6527">
        <v>0.64760000000001094</v>
      </c>
      <c r="AD6527">
        <v>-0.1413162</v>
      </c>
      <c r="AE6527">
        <v>6.0499999999990402E-2</v>
      </c>
      <c r="AF6527">
        <v>-2.27647092449095E-2</v>
      </c>
      <c r="AG6527">
        <v>-0.1413162</v>
      </c>
      <c r="AH6527">
        <v>0.62068294472275198</v>
      </c>
      <c r="AI6527">
        <v>102.818041145924</v>
      </c>
      <c r="AJ6527">
        <v>92.100488485188507</v>
      </c>
      <c r="AK6527">
        <v>0.636973954129328</v>
      </c>
      <c r="AL6527">
        <v>67.275672863851597</v>
      </c>
      <c r="AM6527">
        <v>96.387688693149798</v>
      </c>
      <c r="AN6527">
        <v>0.99999998264225398</v>
      </c>
    </row>
    <row r="6528" spans="1:40" x14ac:dyDescent="0.25">
      <c r="A6528" t="str">
        <f>"20190304164537140"</f>
        <v>20190304164537140</v>
      </c>
      <c r="B6528" t="str">
        <f>"1551689137127196"</f>
        <v>1551689137127196</v>
      </c>
      <c r="C6528" t="s">
        <v>40</v>
      </c>
      <c r="D6528">
        <v>4.7593420000000002</v>
      </c>
      <c r="E6528">
        <v>0.53847129999999999</v>
      </c>
      <c r="F6528" t="s">
        <v>41</v>
      </c>
      <c r="G6528">
        <v>-161.1534</v>
      </c>
      <c r="H6528">
        <v>0.9732189</v>
      </c>
      <c r="I6528">
        <v>136.81649999999999</v>
      </c>
      <c r="J6528">
        <v>-161.77279999999999</v>
      </c>
      <c r="K6528">
        <v>1.110792</v>
      </c>
      <c r="L6528">
        <v>136.75739999999999</v>
      </c>
      <c r="M6528">
        <v>0.99833260000000001</v>
      </c>
      <c r="N6528">
        <v>-1.341384E-2</v>
      </c>
      <c r="O6528">
        <v>5.6145779999999999E-2</v>
      </c>
      <c r="P6528">
        <v>0.91464160000000005</v>
      </c>
      <c r="Q6528">
        <v>0.37364940000000002</v>
      </c>
      <c r="R6528">
        <v>0.1543283</v>
      </c>
      <c r="S6528">
        <v>3.452515</v>
      </c>
      <c r="T6528">
        <v>-0.53996750000000004</v>
      </c>
      <c r="U6528">
        <v>0.2885742</v>
      </c>
      <c r="V6528">
        <v>-0.1025345</v>
      </c>
      <c r="W6528">
        <v>0.3860326</v>
      </c>
      <c r="X6528">
        <v>0.9167691</v>
      </c>
      <c r="Y6528">
        <v>-2.7411970000000001E-2</v>
      </c>
      <c r="Z6528">
        <v>-5.6437739999999998E-3</v>
      </c>
      <c r="AA6528">
        <v>0.99960830000000001</v>
      </c>
      <c r="AB6528">
        <v>26</v>
      </c>
      <c r="AC6528">
        <v>0.61939999999998396</v>
      </c>
      <c r="AD6528">
        <v>-0.1375731</v>
      </c>
      <c r="AE6528">
        <v>5.9100000000000798E-2</v>
      </c>
      <c r="AF6528">
        <v>-2.3097768601949401E-2</v>
      </c>
      <c r="AG6528">
        <v>-0.1375731</v>
      </c>
      <c r="AH6528">
        <v>0.59276318308397202</v>
      </c>
      <c r="AI6528">
        <v>103.05675547992401</v>
      </c>
      <c r="AJ6528">
        <v>92.231473712246995</v>
      </c>
      <c r="AK6528">
        <v>0.608956530450115</v>
      </c>
      <c r="AL6528">
        <v>67.292140592289897</v>
      </c>
      <c r="AM6528">
        <v>96.381629283310502</v>
      </c>
      <c r="AN6528">
        <v>1.0000000373339</v>
      </c>
    </row>
    <row r="6529" spans="1:40" x14ac:dyDescent="0.25">
      <c r="A6529" t="str">
        <f>"20190304164537163"</f>
        <v>20190304164537163</v>
      </c>
      <c r="B6529" t="str">
        <f>"1551689137156480"</f>
        <v>1551689137156480</v>
      </c>
      <c r="C6529" t="s">
        <v>40</v>
      </c>
      <c r="D6529">
        <v>4.9591050000000001</v>
      </c>
      <c r="E6529">
        <v>0.53892949999999995</v>
      </c>
      <c r="F6529" t="s">
        <v>41</v>
      </c>
      <c r="G6529">
        <v>-160.92160000000001</v>
      </c>
      <c r="H6529">
        <v>0.9779137</v>
      </c>
      <c r="I6529">
        <v>136.82730000000001</v>
      </c>
      <c r="J6529">
        <v>-161.5127</v>
      </c>
      <c r="K6529">
        <v>1.1108690000000001</v>
      </c>
      <c r="L6529">
        <v>136.77160000000001</v>
      </c>
      <c r="M6529">
        <v>0.99834279999999997</v>
      </c>
      <c r="N6529">
        <v>-1.340332E-2</v>
      </c>
      <c r="O6529">
        <v>5.5963869999999999E-2</v>
      </c>
      <c r="P6529">
        <v>0.91514260000000003</v>
      </c>
      <c r="Q6529">
        <v>0.37301440000000002</v>
      </c>
      <c r="R6529">
        <v>0.1528871</v>
      </c>
      <c r="S6529">
        <v>3.4521790000000001</v>
      </c>
      <c r="T6529">
        <v>-0.53902050000000001</v>
      </c>
      <c r="U6529">
        <v>0.284439099999999</v>
      </c>
      <c r="V6529">
        <v>-0.1013078</v>
      </c>
      <c r="W6529">
        <v>0.38537399999999999</v>
      </c>
      <c r="X6529">
        <v>0.91718239999999995</v>
      </c>
      <c r="Y6529">
        <v>-2.642334E-2</v>
      </c>
      <c r="Z6529">
        <v>-5.6916739999999999E-3</v>
      </c>
      <c r="AA6529">
        <v>0.99963460000000004</v>
      </c>
      <c r="AB6529">
        <v>26</v>
      </c>
      <c r="AC6529">
        <v>0.59109999999998297</v>
      </c>
      <c r="AD6529">
        <v>-0.1329553</v>
      </c>
      <c r="AE6529">
        <v>5.5700000000001602E-2</v>
      </c>
      <c r="AF6529">
        <v>-2.1453626999318399E-2</v>
      </c>
      <c r="AG6529">
        <v>-0.1329553</v>
      </c>
      <c r="AH6529">
        <v>0.56495956362824995</v>
      </c>
      <c r="AI6529">
        <v>103.233589347906</v>
      </c>
      <c r="AJ6529">
        <v>92.174690072571295</v>
      </c>
      <c r="AK6529">
        <v>0.58078970242639305</v>
      </c>
      <c r="AL6529">
        <v>67.3330387433179</v>
      </c>
      <c r="AM6529">
        <v>96.303080921074496</v>
      </c>
      <c r="AN6529">
        <v>0.99999997254329898</v>
      </c>
    </row>
    <row r="6530" spans="1:40" x14ac:dyDescent="0.25">
      <c r="A6530" t="str">
        <f>"20190304164537185"</f>
        <v>20190304164537185</v>
      </c>
      <c r="B6530" t="str">
        <f>"1551689137176972"</f>
        <v>1551689137176972</v>
      </c>
      <c r="C6530" t="s">
        <v>40</v>
      </c>
      <c r="D6530">
        <v>4.742902</v>
      </c>
      <c r="E6530">
        <v>0.539161</v>
      </c>
      <c r="F6530" t="s">
        <v>41</v>
      </c>
      <c r="G6530">
        <v>-160.6902</v>
      </c>
      <c r="H6530">
        <v>0.98205109999999995</v>
      </c>
      <c r="I6530">
        <v>136.8374</v>
      </c>
      <c r="J6530">
        <v>-161.26249999999999</v>
      </c>
      <c r="K6530">
        <v>1.1109450000000001</v>
      </c>
      <c r="L6530">
        <v>136.78540000000001</v>
      </c>
      <c r="M6530">
        <v>0.99834719999999999</v>
      </c>
      <c r="N6530">
        <v>-1.339447E-2</v>
      </c>
      <c r="O6530">
        <v>5.5890099999999998E-2</v>
      </c>
      <c r="P6530">
        <v>0.91606869999999996</v>
      </c>
      <c r="Q6530">
        <v>0.37186859999999999</v>
      </c>
      <c r="R6530">
        <v>0.1501065</v>
      </c>
      <c r="S6530">
        <v>3.452423</v>
      </c>
      <c r="T6530">
        <v>-0.54078319999999902</v>
      </c>
      <c r="U6530">
        <v>0.27642820000000001</v>
      </c>
      <c r="V6530">
        <v>-9.8612930000000001E-2</v>
      </c>
      <c r="W6530">
        <v>0.38421280000000002</v>
      </c>
      <c r="X6530">
        <v>0.91796299999999997</v>
      </c>
      <c r="Y6530">
        <v>-2.4217280000000001E-2</v>
      </c>
      <c r="Z6530">
        <v>-5.8898259999999999E-3</v>
      </c>
      <c r="AA6530">
        <v>0.9996893</v>
      </c>
      <c r="AB6530">
        <v>26</v>
      </c>
      <c r="AC6530">
        <v>0.57229999999998404</v>
      </c>
      <c r="AD6530">
        <v>-0.12889389999999901</v>
      </c>
      <c r="AE6530">
        <v>5.1999999999992497E-2</v>
      </c>
      <c r="AF6530">
        <v>-1.8975305185249699E-2</v>
      </c>
      <c r="AG6530">
        <v>-0.12889389999999901</v>
      </c>
      <c r="AH6530">
        <v>0.54680268969235502</v>
      </c>
      <c r="AI6530">
        <v>103.256097306166</v>
      </c>
      <c r="AJ6530">
        <v>91.987497164651302</v>
      </c>
      <c r="AK6530">
        <v>0.56210931420754495</v>
      </c>
      <c r="AL6530">
        <v>67.405122037875898</v>
      </c>
      <c r="AM6530">
        <v>96.131531784535497</v>
      </c>
      <c r="AN6530">
        <v>1.0000000275080101</v>
      </c>
    </row>
    <row r="6531" spans="1:40" x14ac:dyDescent="0.25">
      <c r="A6531" t="str">
        <f>"20190304164537209"</f>
        <v>20190304164537209</v>
      </c>
      <c r="B6531" t="str">
        <f>"1551689137196493"</f>
        <v>1551689137196493</v>
      </c>
      <c r="C6531" t="s">
        <v>40</v>
      </c>
      <c r="D6531">
        <v>4.7419820000000001</v>
      </c>
      <c r="E6531">
        <v>0.53935069999999996</v>
      </c>
      <c r="F6531" t="s">
        <v>41</v>
      </c>
      <c r="G6531">
        <v>-160.46</v>
      </c>
      <c r="H6531">
        <v>0.98429699999999998</v>
      </c>
      <c r="I6531">
        <v>136.84700000000001</v>
      </c>
      <c r="J6531">
        <v>-161.0094</v>
      </c>
      <c r="K6531">
        <v>1.111005</v>
      </c>
      <c r="L6531">
        <v>136.79949999999999</v>
      </c>
      <c r="M6531">
        <v>0.99834769999999995</v>
      </c>
      <c r="N6531">
        <v>-1.338658E-2</v>
      </c>
      <c r="O6531">
        <v>5.588241E-2</v>
      </c>
      <c r="P6531">
        <v>0.91707280000000002</v>
      </c>
      <c r="Q6531">
        <v>0.37030740000000001</v>
      </c>
      <c r="R6531">
        <v>0.14781839999999999</v>
      </c>
      <c r="S6531">
        <v>3.4525600000000001</v>
      </c>
      <c r="T6531">
        <v>-0.544929</v>
      </c>
      <c r="U6531">
        <v>0.26559450000000001</v>
      </c>
      <c r="V6531">
        <v>-9.6334879999999998E-2</v>
      </c>
      <c r="W6531">
        <v>0.38264199999999998</v>
      </c>
      <c r="X6531">
        <v>0.91886049999999997</v>
      </c>
      <c r="Y6531">
        <v>-2.1149810000000002E-2</v>
      </c>
      <c r="Z6531">
        <v>-6.2024200000000002E-3</v>
      </c>
      <c r="AA6531">
        <v>0.99975709999999995</v>
      </c>
      <c r="AB6531">
        <v>26</v>
      </c>
      <c r="AC6531">
        <v>0.54939999999999101</v>
      </c>
      <c r="AD6531">
        <v>-0.12670799999999999</v>
      </c>
      <c r="AE6531">
        <v>4.7500000000013601E-2</v>
      </c>
      <c r="AF6531">
        <v>-1.5882683132829398E-2</v>
      </c>
      <c r="AG6531">
        <v>-0.12670799999999999</v>
      </c>
      <c r="AH6531">
        <v>0.52355467768458197</v>
      </c>
      <c r="AI6531">
        <v>103.59881412077399</v>
      </c>
      <c r="AJ6531">
        <v>91.737605920501693</v>
      </c>
      <c r="AK6531">
        <v>0.53890321711129596</v>
      </c>
      <c r="AL6531">
        <v>67.502568609121298</v>
      </c>
      <c r="AM6531">
        <v>95.985120743964202</v>
      </c>
      <c r="AN6531">
        <v>0.99999996386443102</v>
      </c>
    </row>
    <row r="6532" spans="1:40" x14ac:dyDescent="0.25">
      <c r="A6532" t="str">
        <f>"20190304164537229"</f>
        <v>20190304164537229</v>
      </c>
      <c r="B6532" t="str">
        <f>"1551689137226749"</f>
        <v>1551689137226749</v>
      </c>
      <c r="C6532" t="s">
        <v>40</v>
      </c>
      <c r="D6532">
        <v>5.0113810000000001</v>
      </c>
      <c r="E6532">
        <v>0.53969739999999999</v>
      </c>
      <c r="F6532" t="s">
        <v>41</v>
      </c>
      <c r="G6532">
        <v>-160.22989999999999</v>
      </c>
      <c r="H6532">
        <v>0.98677349999999997</v>
      </c>
      <c r="I6532">
        <v>136.857</v>
      </c>
      <c r="J6532">
        <v>-160.75239999999999</v>
      </c>
      <c r="K6532">
        <v>1.1110420000000001</v>
      </c>
      <c r="L6532">
        <v>136.81389999999999</v>
      </c>
      <c r="M6532">
        <v>0.99834610000000001</v>
      </c>
      <c r="N6532">
        <v>-1.3379250000000001E-2</v>
      </c>
      <c r="O6532">
        <v>5.5912629999999998E-2</v>
      </c>
      <c r="P6532">
        <v>0.91827060000000005</v>
      </c>
      <c r="Q6532">
        <v>0.36845139999999998</v>
      </c>
      <c r="R6532">
        <v>0.1449925</v>
      </c>
      <c r="S6532">
        <v>3.4524379999999999</v>
      </c>
      <c r="T6532">
        <v>-0.55030880000000004</v>
      </c>
      <c r="U6532">
        <v>0.25480649999999999</v>
      </c>
      <c r="V6532">
        <v>-9.3456189999999995E-2</v>
      </c>
      <c r="W6532">
        <v>0.38078430000000002</v>
      </c>
      <c r="X6532">
        <v>0.91992890000000005</v>
      </c>
      <c r="Y6532">
        <v>-1.8065379999999999E-2</v>
      </c>
      <c r="Z6532">
        <v>-6.5424300000000001E-3</v>
      </c>
      <c r="AA6532">
        <v>0.99981540000000002</v>
      </c>
      <c r="AB6532">
        <v>26</v>
      </c>
      <c r="AC6532">
        <v>0.52250000000000796</v>
      </c>
      <c r="AD6532">
        <v>-0.124268499999999</v>
      </c>
      <c r="AE6532">
        <v>4.3100000000009603E-2</v>
      </c>
      <c r="AF6532">
        <v>-1.30806914776928E-2</v>
      </c>
      <c r="AG6532">
        <v>-0.124268499999999</v>
      </c>
      <c r="AH6532">
        <v>0.49621378856791398</v>
      </c>
      <c r="AI6532">
        <v>104.054922766579</v>
      </c>
      <c r="AJ6532">
        <v>91.510024312003793</v>
      </c>
      <c r="AK6532">
        <v>0.51170488423182703</v>
      </c>
      <c r="AL6532">
        <v>67.617726634583704</v>
      </c>
      <c r="AM6532">
        <v>95.800814964473801</v>
      </c>
      <c r="AN6532">
        <v>0.99999996181550699</v>
      </c>
    </row>
    <row r="6533" spans="1:40" x14ac:dyDescent="0.25">
      <c r="A6533" t="str">
        <f>"20190304164537253"</f>
        <v>20190304164537253</v>
      </c>
      <c r="B6533" t="str">
        <f>"1551689137246268"</f>
        <v>1551689137246268</v>
      </c>
      <c r="C6533" t="s">
        <v>40</v>
      </c>
      <c r="D6533">
        <v>4.7839039999999997</v>
      </c>
      <c r="E6533">
        <v>0.53986409999999996</v>
      </c>
      <c r="F6533" t="s">
        <v>41</v>
      </c>
      <c r="G6533">
        <v>-159.99969999999999</v>
      </c>
      <c r="H6533">
        <v>0.98976520000000001</v>
      </c>
      <c r="I6533">
        <v>136.86609999999999</v>
      </c>
      <c r="J6533">
        <v>-160.48159999999999</v>
      </c>
      <c r="K6533">
        <v>1.111056</v>
      </c>
      <c r="L6533">
        <v>136.82900000000001</v>
      </c>
      <c r="M6533">
        <v>0.99834310000000004</v>
      </c>
      <c r="N6533">
        <v>-1.3372190000000001E-2</v>
      </c>
      <c r="O6533">
        <v>5.5965220000000003E-2</v>
      </c>
      <c r="P6533">
        <v>0.91945109999999997</v>
      </c>
      <c r="Q6533">
        <v>0.36621490000000001</v>
      </c>
      <c r="R6533">
        <v>0.1431654</v>
      </c>
      <c r="S6533">
        <v>3.4523769999999998</v>
      </c>
      <c r="T6533">
        <v>-0.55631850000000005</v>
      </c>
      <c r="U6533">
        <v>0.2397156</v>
      </c>
      <c r="V6533">
        <v>-9.1535779999999997E-2</v>
      </c>
      <c r="W6533">
        <v>0.37855179999999999</v>
      </c>
      <c r="X6533">
        <v>0.92104269999999999</v>
      </c>
      <c r="Y6533">
        <v>-1.373565E-2</v>
      </c>
      <c r="Z6533">
        <v>-7.0073999999999996E-3</v>
      </c>
      <c r="AA6533">
        <v>0.99988109999999997</v>
      </c>
      <c r="AB6533">
        <v>26</v>
      </c>
      <c r="AC6533">
        <v>0.481899999999996</v>
      </c>
      <c r="AD6533">
        <v>-0.1212908</v>
      </c>
      <c r="AE6533">
        <v>3.7099999999981002E-2</v>
      </c>
      <c r="AF6533">
        <v>-9.4732054708474792E-3</v>
      </c>
      <c r="AG6533">
        <v>-0.1212908</v>
      </c>
      <c r="AH6533">
        <v>0.45459263917967502</v>
      </c>
      <c r="AI6533">
        <v>104.93609668982199</v>
      </c>
      <c r="AJ6533">
        <v>91.193807592369197</v>
      </c>
      <c r="AK6533">
        <v>0.47059076423456903</v>
      </c>
      <c r="AL6533">
        <v>67.755992427450593</v>
      </c>
      <c r="AM6533">
        <v>95.675576792658802</v>
      </c>
      <c r="AN6533">
        <v>0.99999995976336797</v>
      </c>
    </row>
    <row r="6534" spans="1:40" x14ac:dyDescent="0.25">
      <c r="A6534" t="str">
        <f>"20190304164537275"</f>
        <v>20190304164537275</v>
      </c>
      <c r="B6534" t="str">
        <f>"1551689137266765"</f>
        <v>1551689137266765</v>
      </c>
      <c r="C6534" t="s">
        <v>40</v>
      </c>
      <c r="D6534">
        <v>4.7350450000000004</v>
      </c>
      <c r="E6534">
        <v>0.539975599999999</v>
      </c>
      <c r="F6534" t="s">
        <v>41</v>
      </c>
      <c r="G6534">
        <v>-159.7689</v>
      </c>
      <c r="H6534">
        <v>0.99462839999999997</v>
      </c>
      <c r="I6534">
        <v>136.8768</v>
      </c>
      <c r="J6534">
        <v>-160.2372</v>
      </c>
      <c r="K6534">
        <v>1.1110390000000001</v>
      </c>
      <c r="L6534">
        <v>136.84270000000001</v>
      </c>
      <c r="M6534">
        <v>0.99834129999999999</v>
      </c>
      <c r="N6534">
        <v>-1.3366569999999999E-2</v>
      </c>
      <c r="O6534">
        <v>5.6001660000000002E-2</v>
      </c>
      <c r="P6534">
        <v>0.91984739999999998</v>
      </c>
      <c r="Q6534">
        <v>0.36620160000000002</v>
      </c>
      <c r="R6534">
        <v>0.1406326</v>
      </c>
      <c r="S6534">
        <v>3.4513400000000001</v>
      </c>
      <c r="T6534">
        <v>-0.56373930000000005</v>
      </c>
      <c r="U6534">
        <v>0.2311859</v>
      </c>
      <c r="V6534">
        <v>-8.894299E-2</v>
      </c>
      <c r="W6534">
        <v>0.3785385</v>
      </c>
      <c r="X6534">
        <v>0.92130219999999896</v>
      </c>
      <c r="Y6534">
        <v>-1.130839E-2</v>
      </c>
      <c r="Z6534">
        <v>-7.3327289999999996E-3</v>
      </c>
      <c r="AA6534">
        <v>0.99990919999999905</v>
      </c>
      <c r="AB6534">
        <v>26</v>
      </c>
      <c r="AC6534">
        <v>0.46829999999999899</v>
      </c>
      <c r="AD6534">
        <v>-0.116410599999999</v>
      </c>
      <c r="AE6534">
        <v>3.40999999999951E-2</v>
      </c>
      <c r="AF6534">
        <v>-7.3658066236911403E-3</v>
      </c>
      <c r="AG6534">
        <v>-0.116410599999999</v>
      </c>
      <c r="AH6534">
        <v>0.44228874017994102</v>
      </c>
      <c r="AI6534">
        <v>104.743888298421</v>
      </c>
      <c r="AJ6534">
        <v>90.954106636007396</v>
      </c>
      <c r="AK6534">
        <v>0.45741120732830398</v>
      </c>
      <c r="AL6534">
        <v>67.756816615473198</v>
      </c>
      <c r="AM6534">
        <v>95.514275356374</v>
      </c>
      <c r="AN6534">
        <v>0.99999999758861502</v>
      </c>
    </row>
    <row r="6535" spans="1:40" x14ac:dyDescent="0.25">
      <c r="A6535" t="str">
        <f>"20190304164537297"</f>
        <v>20190304164537297</v>
      </c>
      <c r="B6535" t="str">
        <f>"1551689137286285"</f>
        <v>1551689137286285</v>
      </c>
      <c r="C6535" t="s">
        <v>40</v>
      </c>
      <c r="D6535">
        <v>4.8013629999999896</v>
      </c>
      <c r="E6535">
        <v>0.5400663</v>
      </c>
      <c r="F6535" t="s">
        <v>41</v>
      </c>
      <c r="G6535">
        <v>-159.3278</v>
      </c>
      <c r="H6535">
        <v>0.96264780000000005</v>
      </c>
      <c r="I6535">
        <v>136.9016</v>
      </c>
      <c r="J6535">
        <v>-159.9837</v>
      </c>
      <c r="K6535">
        <v>1.111</v>
      </c>
      <c r="L6535">
        <v>136.857</v>
      </c>
      <c r="M6535">
        <v>0.99834259999999997</v>
      </c>
      <c r="N6535">
        <v>-1.3361359999999999E-2</v>
      </c>
      <c r="O6535">
        <v>5.5977150000000003E-2</v>
      </c>
      <c r="P6535">
        <v>0.9199891</v>
      </c>
      <c r="Q6535">
        <v>0.36652849999999998</v>
      </c>
      <c r="R6535">
        <v>0.1388412</v>
      </c>
      <c r="S6535">
        <v>3.451416</v>
      </c>
      <c r="T6535">
        <v>-0.56322150000000004</v>
      </c>
      <c r="U6535">
        <v>0.22380069999999999</v>
      </c>
      <c r="V6535">
        <v>-8.7132829999999994E-2</v>
      </c>
      <c r="W6535">
        <v>0.37886999999999998</v>
      </c>
      <c r="X6535">
        <v>0.92133889999999996</v>
      </c>
      <c r="Y6535">
        <v>-9.2296280000000001E-3</v>
      </c>
      <c r="Z6535">
        <v>-7.5048240000000002E-3</v>
      </c>
      <c r="AA6535">
        <v>0.99992919999999996</v>
      </c>
      <c r="AB6535">
        <v>26</v>
      </c>
      <c r="AC6535">
        <v>0.65590000000000204</v>
      </c>
      <c r="AD6535">
        <v>-0.14835219999999899</v>
      </c>
      <c r="AE6535">
        <v>4.4600000000002603E-2</v>
      </c>
      <c r="AF6535">
        <v>-7.4328652097714297E-3</v>
      </c>
      <c r="AG6535">
        <v>-0.14835219999999899</v>
      </c>
      <c r="AH6535">
        <v>0.62551542458929799</v>
      </c>
      <c r="AI6535">
        <v>103.34129873593299</v>
      </c>
      <c r="AJ6535">
        <v>90.680801378701503</v>
      </c>
      <c r="AK6535">
        <v>0.64290992302903205</v>
      </c>
      <c r="AL6535">
        <v>67.736294303940696</v>
      </c>
      <c r="AM6535">
        <v>95.402506263773901</v>
      </c>
      <c r="AN6535">
        <v>0.99999998780850896</v>
      </c>
    </row>
    <row r="6536" spans="1:40" x14ac:dyDescent="0.25">
      <c r="A6536" t="str">
        <f>"20190304164537319"</f>
        <v>20190304164537319</v>
      </c>
      <c r="B6536" t="str">
        <f>"1551689137306781"</f>
        <v>1551689137306781</v>
      </c>
      <c r="C6536" t="s">
        <v>40</v>
      </c>
      <c r="D6536">
        <v>4.7552669999999999</v>
      </c>
      <c r="E6536">
        <v>0.54013650000000002</v>
      </c>
      <c r="F6536" t="s">
        <v>41</v>
      </c>
      <c r="G6536">
        <v>-159.09780000000001</v>
      </c>
      <c r="H6536">
        <v>0.96695169999999997</v>
      </c>
      <c r="I6536">
        <v>136.91309999999999</v>
      </c>
      <c r="J6536">
        <v>-159.72970000000001</v>
      </c>
      <c r="K6536">
        <v>1.110946</v>
      </c>
      <c r="L6536">
        <v>136.87110000000001</v>
      </c>
      <c r="M6536">
        <v>0.99834849999999997</v>
      </c>
      <c r="N6536">
        <v>-1.335684E-2</v>
      </c>
      <c r="O6536">
        <v>5.5876160000000001E-2</v>
      </c>
      <c r="P6536">
        <v>0.92039260000000001</v>
      </c>
      <c r="Q6536">
        <v>0.36588510000000002</v>
      </c>
      <c r="R6536">
        <v>0.13786080000000001</v>
      </c>
      <c r="S6536">
        <v>3.4514469999999999</v>
      </c>
      <c r="T6536">
        <v>-0.56131529999999996</v>
      </c>
      <c r="U6536">
        <v>0.2192993</v>
      </c>
      <c r="V6536">
        <v>-8.6170930000000007E-2</v>
      </c>
      <c r="W6536">
        <v>0.3782393</v>
      </c>
      <c r="X6536">
        <v>0.92168839999999996</v>
      </c>
      <c r="Y6536">
        <v>-8.0435609999999994E-3</v>
      </c>
      <c r="Z6536">
        <v>-7.5664139999999996E-3</v>
      </c>
      <c r="AA6536">
        <v>0.99993900000000002</v>
      </c>
      <c r="AB6536">
        <v>26</v>
      </c>
      <c r="AC6536">
        <v>0.63190000000000102</v>
      </c>
      <c r="AD6536">
        <v>-0.14399429999999999</v>
      </c>
      <c r="AE6536">
        <v>4.1999999999973101E-2</v>
      </c>
      <c r="AF6536">
        <v>-6.2975084814629002E-3</v>
      </c>
      <c r="AG6536">
        <v>-0.14399429999999999</v>
      </c>
      <c r="AH6536">
        <v>0.60213027451309198</v>
      </c>
      <c r="AI6536">
        <v>103.448502624162</v>
      </c>
      <c r="AJ6536">
        <v>90.599218337765606</v>
      </c>
      <c r="AK6536">
        <v>0.61914044007056701</v>
      </c>
      <c r="AL6536">
        <v>67.7753354612896</v>
      </c>
      <c r="AM6536">
        <v>95.341198169894597</v>
      </c>
      <c r="AN6536">
        <v>0.99999995196805602</v>
      </c>
    </row>
    <row r="6537" spans="1:40" x14ac:dyDescent="0.25">
      <c r="A6537" t="str">
        <f>"20190304164537342"</f>
        <v>20190304164537342</v>
      </c>
      <c r="B6537" t="str">
        <f>"1551689137337036"</f>
        <v>1551689137337036</v>
      </c>
      <c r="C6537" t="s">
        <v>40</v>
      </c>
      <c r="D6537">
        <v>4.7976970000000003</v>
      </c>
      <c r="E6537">
        <v>0.54033350000000002</v>
      </c>
      <c r="F6537" t="s">
        <v>41</v>
      </c>
      <c r="G6537">
        <v>-158.8683</v>
      </c>
      <c r="H6537">
        <v>0.9705319</v>
      </c>
      <c r="I6537">
        <v>136.92529999999999</v>
      </c>
      <c r="J6537">
        <v>-159.4708</v>
      </c>
      <c r="K6537">
        <v>1.1108720000000001</v>
      </c>
      <c r="L6537">
        <v>136.8854</v>
      </c>
      <c r="M6537">
        <v>0.99836049999999998</v>
      </c>
      <c r="N6537">
        <v>-1.3352859999999999E-2</v>
      </c>
      <c r="O6537">
        <v>5.5659319999999998E-2</v>
      </c>
      <c r="P6537">
        <v>0.92122700000000002</v>
      </c>
      <c r="Q6537">
        <v>0.3640292</v>
      </c>
      <c r="R6537">
        <v>0.13719919999999999</v>
      </c>
      <c r="S6537">
        <v>3.4505620000000001</v>
      </c>
      <c r="T6537">
        <v>-0.56249550000000004</v>
      </c>
      <c r="U6537">
        <v>0.2172394</v>
      </c>
      <c r="V6537">
        <v>-8.5593390000000005E-2</v>
      </c>
      <c r="W6537">
        <v>0.37640659999999998</v>
      </c>
      <c r="X6537">
        <v>0.92249210000000004</v>
      </c>
      <c r="Y6537">
        <v>-7.6877680000000002E-3</v>
      </c>
      <c r="Z6537">
        <v>-7.5853730000000003E-3</v>
      </c>
      <c r="AA6537">
        <v>0.99994170000000004</v>
      </c>
      <c r="AB6537">
        <v>26</v>
      </c>
      <c r="AC6537">
        <v>0.60249999999999204</v>
      </c>
      <c r="AD6537">
        <v>-0.140340099999999</v>
      </c>
      <c r="AE6537">
        <v>3.9899999999988701E-2</v>
      </c>
      <c r="AF6537">
        <v>-5.9775048767924796E-3</v>
      </c>
      <c r="AG6537">
        <v>-0.140340099999999</v>
      </c>
      <c r="AH6537">
        <v>0.57284231177897404</v>
      </c>
      <c r="AI6537">
        <v>103.764988533555</v>
      </c>
      <c r="AJ6537">
        <v>90.597849294054896</v>
      </c>
      <c r="AK6537">
        <v>0.58981301138313402</v>
      </c>
      <c r="AL6537">
        <v>67.888722024464897</v>
      </c>
      <c r="AM6537">
        <v>95.301009001506699</v>
      </c>
      <c r="AN6537">
        <v>0.99999991574882696</v>
      </c>
    </row>
    <row r="6538" spans="1:40" x14ac:dyDescent="0.25">
      <c r="A6538" t="str">
        <f>"20190304164537363"</f>
        <v>20190304164537363</v>
      </c>
      <c r="B6538" t="str">
        <f>"1551689137356560"</f>
        <v>1551689137356560</v>
      </c>
      <c r="C6538" t="s">
        <v>40</v>
      </c>
      <c r="D6538">
        <v>4.8053089999999896</v>
      </c>
      <c r="E6538">
        <v>0.54050339999999997</v>
      </c>
      <c r="F6538" t="s">
        <v>41</v>
      </c>
      <c r="G6538">
        <v>-158.6388</v>
      </c>
      <c r="H6538">
        <v>0.97440640000000001</v>
      </c>
      <c r="I6538">
        <v>136.93700000000001</v>
      </c>
      <c r="J6538">
        <v>-159.22399999999999</v>
      </c>
      <c r="K6538">
        <v>1.110776</v>
      </c>
      <c r="L6538">
        <v>136.89879999999999</v>
      </c>
      <c r="M6538">
        <v>0.9983803</v>
      </c>
      <c r="N6538">
        <v>-1.3349720000000001E-2</v>
      </c>
      <c r="O6538">
        <v>5.530583E-2</v>
      </c>
      <c r="P6538">
        <v>0.921871</v>
      </c>
      <c r="Q6538">
        <v>0.36282039999999999</v>
      </c>
      <c r="R6538">
        <v>0.1360722</v>
      </c>
      <c r="S6538">
        <v>3.4480900000000001</v>
      </c>
      <c r="T6538">
        <v>-0.565527</v>
      </c>
      <c r="U6538">
        <v>0.21426390000000001</v>
      </c>
      <c r="V6538">
        <v>-8.4673020000000002E-2</v>
      </c>
      <c r="W6538">
        <v>0.3752219</v>
      </c>
      <c r="X6538">
        <v>0.92305959999999998</v>
      </c>
      <c r="Y6538">
        <v>-7.2367600000000001E-3</v>
      </c>
      <c r="Z6538">
        <v>-7.6233809999999898E-3</v>
      </c>
      <c r="AA6538">
        <v>0.99994470000000002</v>
      </c>
      <c r="AB6538">
        <v>26</v>
      </c>
      <c r="AC6538">
        <v>0.58519999999998595</v>
      </c>
      <c r="AD6538">
        <v>-0.13636959999999901</v>
      </c>
      <c r="AE6538">
        <v>3.8200000000017498E-2</v>
      </c>
      <c r="AF6538">
        <v>-5.4774860448447496E-3</v>
      </c>
      <c r="AG6538">
        <v>-0.13636959999999901</v>
      </c>
      <c r="AH6538">
        <v>0.55633441037988296</v>
      </c>
      <c r="AI6538">
        <v>103.772232921834</v>
      </c>
      <c r="AJ6538">
        <v>90.564097216744003</v>
      </c>
      <c r="AK6538">
        <v>0.57283038225138105</v>
      </c>
      <c r="AL6538">
        <v>67.961971955791498</v>
      </c>
      <c r="AM6538">
        <v>95.241121500224693</v>
      </c>
      <c r="AN6538">
        <v>1.00000000985384</v>
      </c>
    </row>
    <row r="6539" spans="1:40" x14ac:dyDescent="0.25">
      <c r="A6539" t="str">
        <f>"20190304164537385"</f>
        <v>20190304164537385</v>
      </c>
      <c r="B6539" t="str">
        <f>"1551689137377052"</f>
        <v>1551689137377052</v>
      </c>
      <c r="C6539" t="s">
        <v>40</v>
      </c>
      <c r="D6539">
        <v>4.8213309999999998</v>
      </c>
      <c r="E6539">
        <v>0.54066449999999999</v>
      </c>
      <c r="F6539" t="s">
        <v>41</v>
      </c>
      <c r="G6539">
        <v>-158.4102</v>
      </c>
      <c r="H6539">
        <v>0.97656600000000005</v>
      </c>
      <c r="I6539">
        <v>136.94829999999999</v>
      </c>
      <c r="J6539">
        <v>-158.97059999999999</v>
      </c>
      <c r="K6539">
        <v>1.1106529999999999</v>
      </c>
      <c r="L6539">
        <v>136.91239999999999</v>
      </c>
      <c r="M6539">
        <v>0.99840980000000001</v>
      </c>
      <c r="N6539">
        <v>-1.334724E-2</v>
      </c>
      <c r="O6539">
        <v>5.4769819999999997E-2</v>
      </c>
      <c r="P6539">
        <v>0.92220250000000004</v>
      </c>
      <c r="Q6539">
        <v>0.36236780000000002</v>
      </c>
      <c r="R6539">
        <v>0.13502700000000001</v>
      </c>
      <c r="S6539">
        <v>3.4469759999999998</v>
      </c>
      <c r="T6539">
        <v>-0.56849899999999998</v>
      </c>
      <c r="U6539">
        <v>0.21008299999999999</v>
      </c>
      <c r="V6539">
        <v>-8.3995849999999997E-2</v>
      </c>
      <c r="W6539">
        <v>0.3747954</v>
      </c>
      <c r="X6539">
        <v>0.92329470000000002</v>
      </c>
      <c r="Y6539">
        <v>-6.595086E-3</v>
      </c>
      <c r="Z6539">
        <v>-7.6466069999999997E-3</v>
      </c>
      <c r="AA6539">
        <v>0.99994899999999998</v>
      </c>
      <c r="AB6539">
        <v>25</v>
      </c>
      <c r="AC6539">
        <v>0.56039999999998702</v>
      </c>
      <c r="AD6539">
        <v>-0.13408700000000001</v>
      </c>
      <c r="AE6539">
        <v>3.5899999999998003E-2</v>
      </c>
      <c r="AF6539">
        <v>-4.8725490957719202E-3</v>
      </c>
      <c r="AG6539">
        <v>-0.13408700000000001</v>
      </c>
      <c r="AH6539">
        <v>0.53123603215705695</v>
      </c>
      <c r="AI6539">
        <v>104.165326178458</v>
      </c>
      <c r="AJ6539">
        <v>90.525507784408305</v>
      </c>
      <c r="AK6539">
        <v>0.54791859538225596</v>
      </c>
      <c r="AL6539">
        <v>67.988332098434796</v>
      </c>
      <c r="AM6539">
        <v>95.198119755795602</v>
      </c>
      <c r="AN6539">
        <v>0.99999999886323598</v>
      </c>
    </row>
    <row r="6540" spans="1:40" x14ac:dyDescent="0.25">
      <c r="A6540" t="str">
        <f>"20190304164537409"</f>
        <v>20190304164537409</v>
      </c>
      <c r="B6540" t="str">
        <f>"1551689137396573"</f>
        <v>1551689137396573</v>
      </c>
      <c r="C6540" t="s">
        <v>40</v>
      </c>
      <c r="D6540">
        <v>5.0536029999999998</v>
      </c>
      <c r="E6540">
        <v>0.54084840000000001</v>
      </c>
      <c r="F6540" t="s">
        <v>41</v>
      </c>
      <c r="G6540">
        <v>-158.18090000000001</v>
      </c>
      <c r="H6540">
        <v>0.98045380000000004</v>
      </c>
      <c r="I6540">
        <v>136.95930000000001</v>
      </c>
      <c r="J6540">
        <v>-158.71530000000001</v>
      </c>
      <c r="K6540">
        <v>1.1105069999999999</v>
      </c>
      <c r="L6540">
        <v>136.92570000000001</v>
      </c>
      <c r="M6540">
        <v>0.9984497</v>
      </c>
      <c r="N6540">
        <v>-1.3345559999999999E-2</v>
      </c>
      <c r="O6540">
        <v>5.4039129999999998E-2</v>
      </c>
      <c r="P6540">
        <v>0.92224640000000002</v>
      </c>
      <c r="Q6540">
        <v>0.36323549999999999</v>
      </c>
      <c r="R6540">
        <v>0.13236889999999901</v>
      </c>
      <c r="S6540">
        <v>3.4463200000000001</v>
      </c>
      <c r="T6540">
        <v>-0.56823789999999996</v>
      </c>
      <c r="U6540">
        <v>0.2052155</v>
      </c>
      <c r="V6540">
        <v>-8.1883940000000002E-2</v>
      </c>
      <c r="W6540">
        <v>0.37568689999999999</v>
      </c>
      <c r="X6540">
        <v>0.92312209999999995</v>
      </c>
      <c r="Y6540">
        <v>-5.932395E-3</v>
      </c>
      <c r="Z6540">
        <v>-7.5939240000000002E-3</v>
      </c>
      <c r="AA6540">
        <v>0.9999536</v>
      </c>
      <c r="AB6540">
        <v>25</v>
      </c>
      <c r="AC6540">
        <v>0.53440000000000498</v>
      </c>
      <c r="AD6540">
        <v>-0.13005319999999901</v>
      </c>
      <c r="AE6540">
        <v>3.3600000000006902E-2</v>
      </c>
      <c r="AF6540">
        <v>-4.4096771686855003E-3</v>
      </c>
      <c r="AG6540">
        <v>-0.13005319999999901</v>
      </c>
      <c r="AH6540">
        <v>0.50560788251337396</v>
      </c>
      <c r="AI6540">
        <v>104.42447187984401</v>
      </c>
      <c r="AJ6540">
        <v>90.499694513684602</v>
      </c>
      <c r="AK6540">
        <v>0.52208486948256705</v>
      </c>
      <c r="AL6540">
        <v>67.933226631808196</v>
      </c>
      <c r="AM6540">
        <v>95.069055333954296</v>
      </c>
      <c r="AN6540">
        <v>1.00000001898497</v>
      </c>
    </row>
    <row r="6541" spans="1:40" x14ac:dyDescent="0.25">
      <c r="A6541" t="str">
        <f>"20190304164537431"</f>
        <v>20190304164537431</v>
      </c>
      <c r="B6541" t="str">
        <f>"1551689137426828"</f>
        <v>1551689137426828</v>
      </c>
      <c r="C6541" t="s">
        <v>40</v>
      </c>
      <c r="D6541">
        <v>4.94102</v>
      </c>
      <c r="E6541">
        <v>0.54116129999999996</v>
      </c>
      <c r="F6541" t="s">
        <v>41</v>
      </c>
      <c r="G6541">
        <v>-157.9511</v>
      </c>
      <c r="H6541">
        <v>0.98542280000000004</v>
      </c>
      <c r="I6541">
        <v>136.96960000000001</v>
      </c>
      <c r="J6541">
        <v>-158.45699999999999</v>
      </c>
      <c r="K6541">
        <v>1.1103430000000001</v>
      </c>
      <c r="L6541">
        <v>136.93870000000001</v>
      </c>
      <c r="M6541">
        <v>0.99850030000000001</v>
      </c>
      <c r="N6541">
        <v>-1.334483E-2</v>
      </c>
      <c r="O6541">
        <v>5.3097480000000002E-2</v>
      </c>
      <c r="P6541">
        <v>0.92228829999999995</v>
      </c>
      <c r="Q6541">
        <v>0.36459609999999998</v>
      </c>
      <c r="R6541">
        <v>0.12827479999999999</v>
      </c>
      <c r="S6541">
        <v>3.446564</v>
      </c>
      <c r="T6541">
        <v>-0.56409690000000001</v>
      </c>
      <c r="U6541">
        <v>0.19869999999999999</v>
      </c>
      <c r="V6541">
        <v>-7.8525250000000005E-2</v>
      </c>
      <c r="W6541">
        <v>0.37706879999999998</v>
      </c>
      <c r="X6541">
        <v>0.92285039999999996</v>
      </c>
      <c r="Y6541">
        <v>-4.9821209999999999E-3</v>
      </c>
      <c r="Z6541">
        <v>-7.4771909999999898E-3</v>
      </c>
      <c r="AA6541">
        <v>0.99995959999999995</v>
      </c>
      <c r="AB6541">
        <v>25</v>
      </c>
      <c r="AC6541">
        <v>0.50589999999999602</v>
      </c>
      <c r="AD6541">
        <v>-0.1249202</v>
      </c>
      <c r="AE6541">
        <v>3.0900000000002498E-2</v>
      </c>
      <c r="AF6541">
        <v>-3.7633877296365799E-3</v>
      </c>
      <c r="AG6541">
        <v>-0.1249202</v>
      </c>
      <c r="AH6541">
        <v>0.47780241594221401</v>
      </c>
      <c r="AI6541">
        <v>104.651432759201</v>
      </c>
      <c r="AJ6541">
        <v>90.4512781172904</v>
      </c>
      <c r="AK6541">
        <v>0.49387687548159198</v>
      </c>
      <c r="AL6541">
        <v>67.847764331489998</v>
      </c>
      <c r="AM6541">
        <v>94.863576930377604</v>
      </c>
      <c r="AN6541">
        <v>0.99999997780058003</v>
      </c>
    </row>
    <row r="6542" spans="1:40" x14ac:dyDescent="0.25">
      <c r="A6542" t="str">
        <f>"20190304164537454"</f>
        <v>20190304164537454</v>
      </c>
      <c r="B6542" t="str">
        <f>"1551689137446348"</f>
        <v>1551689137446348</v>
      </c>
      <c r="C6542" t="s">
        <v>40</v>
      </c>
      <c r="D6542">
        <v>4.8876119999999998</v>
      </c>
      <c r="E6542">
        <v>0.54128039999999999</v>
      </c>
      <c r="F6542" t="s">
        <v>41</v>
      </c>
      <c r="G6542">
        <v>-157.72130000000001</v>
      </c>
      <c r="H6542">
        <v>0.99089930000000004</v>
      </c>
      <c r="I6542">
        <v>136.97899999999899</v>
      </c>
      <c r="J6542">
        <v>-158.20269999999999</v>
      </c>
      <c r="K6542">
        <v>1.110193</v>
      </c>
      <c r="L6542">
        <v>136.95099999999999</v>
      </c>
      <c r="M6542">
        <v>0.99855910000000003</v>
      </c>
      <c r="N6542">
        <v>-1.334451E-2</v>
      </c>
      <c r="O6542">
        <v>5.1978110000000001E-2</v>
      </c>
      <c r="P6542">
        <v>0.92263810000000002</v>
      </c>
      <c r="Q6542">
        <v>0.36509619999999998</v>
      </c>
      <c r="R6542">
        <v>0.1242727</v>
      </c>
      <c r="S6542">
        <v>3.4477540000000002</v>
      </c>
      <c r="T6542">
        <v>-0.55976059999999905</v>
      </c>
      <c r="U6542">
        <v>0.18928529999999999</v>
      </c>
      <c r="V6542">
        <v>-7.5418780000000005E-2</v>
      </c>
      <c r="W6542">
        <v>0.37759120000000002</v>
      </c>
      <c r="X6542">
        <v>0.92289589999999999</v>
      </c>
      <c r="Y6542">
        <v>-3.362889E-3</v>
      </c>
      <c r="Z6542">
        <v>-7.3889089999999999E-3</v>
      </c>
      <c r="AA6542">
        <v>0.99996700000000005</v>
      </c>
      <c r="AB6542">
        <v>25</v>
      </c>
      <c r="AC6542">
        <v>0.48139999999997901</v>
      </c>
      <c r="AD6542">
        <v>-0.119293699999999</v>
      </c>
      <c r="AE6542">
        <v>2.79999999999915E-2</v>
      </c>
      <c r="AF6542">
        <v>-2.7682362265106699E-3</v>
      </c>
      <c r="AG6542">
        <v>-0.119293699999999</v>
      </c>
      <c r="AH6542">
        <v>0.45439536028372401</v>
      </c>
      <c r="AI6542">
        <v>104.70980253229899</v>
      </c>
      <c r="AJ6542">
        <v>90.349049097288201</v>
      </c>
      <c r="AK6542">
        <v>0.46980186615090402</v>
      </c>
      <c r="AL6542">
        <v>67.815443770294806</v>
      </c>
      <c r="AM6542">
        <v>94.671812984842006</v>
      </c>
      <c r="AN6542">
        <v>0.99999997446546895</v>
      </c>
    </row>
    <row r="6543" spans="1:40" x14ac:dyDescent="0.25">
      <c r="A6543" t="str">
        <f>"20190304164537476"</f>
        <v>20190304164537476</v>
      </c>
      <c r="B6543" t="str">
        <f>"1551689137466844"</f>
        <v>1551689137466844</v>
      </c>
      <c r="C6543" t="s">
        <v>40</v>
      </c>
      <c r="D6543">
        <v>4.8797769999999998</v>
      </c>
      <c r="E6543">
        <v>0.54145529999999997</v>
      </c>
      <c r="F6543" t="s">
        <v>41</v>
      </c>
      <c r="G6543">
        <v>-157.49189999999999</v>
      </c>
      <c r="H6543">
        <v>0.99540649999999997</v>
      </c>
      <c r="I6543">
        <v>136.9881</v>
      </c>
      <c r="J6543">
        <v>-157.94579999999999</v>
      </c>
      <c r="K6543">
        <v>1.110055</v>
      </c>
      <c r="L6543">
        <v>136.96299999999999</v>
      </c>
      <c r="M6543">
        <v>0.99862640000000003</v>
      </c>
      <c r="N6543">
        <v>-1.3344190000000001E-2</v>
      </c>
      <c r="O6543">
        <v>5.0667450000000003E-2</v>
      </c>
      <c r="P6543">
        <v>0.92305459999999995</v>
      </c>
      <c r="Q6543">
        <v>0.36509560000000002</v>
      </c>
      <c r="R6543">
        <v>0.1211424</v>
      </c>
      <c r="S6543">
        <v>3.4476930000000001</v>
      </c>
      <c r="T6543">
        <v>-0.55680220000000002</v>
      </c>
      <c r="U6543">
        <v>0.1794586</v>
      </c>
      <c r="V6543">
        <v>-7.337958E-2</v>
      </c>
      <c r="W6543">
        <v>0.37760969999999999</v>
      </c>
      <c r="X6543">
        <v>0.92305269999999995</v>
      </c>
      <c r="Y6543">
        <v>-1.8356290000000001E-3</v>
      </c>
      <c r="Z6543">
        <v>-7.2877769999999996E-3</v>
      </c>
      <c r="AA6543">
        <v>0.99997170000000002</v>
      </c>
      <c r="AB6543">
        <v>25</v>
      </c>
      <c r="AC6543">
        <v>0.45390000000000402</v>
      </c>
      <c r="AD6543">
        <v>-0.114648499999999</v>
      </c>
      <c r="AE6543">
        <v>2.5100000000009001E-2</v>
      </c>
      <c r="AF6543">
        <v>-1.94409719895113E-3</v>
      </c>
      <c r="AG6543">
        <v>-0.114648499999999</v>
      </c>
      <c r="AH6543">
        <v>0.427403800572906</v>
      </c>
      <c r="AI6543">
        <v>105.015609614688</v>
      </c>
      <c r="AJ6543">
        <v>90.260614894195598</v>
      </c>
      <c r="AK6543">
        <v>0.44251787174116802</v>
      </c>
      <c r="AL6543">
        <v>67.814298893810005</v>
      </c>
      <c r="AM6543">
        <v>94.545262611458696</v>
      </c>
      <c r="AN6543">
        <v>0.99999996763617705</v>
      </c>
    </row>
    <row r="6544" spans="1:40" x14ac:dyDescent="0.25">
      <c r="A6544" t="str">
        <f>"20190304164537499"</f>
        <v>20190304164537499</v>
      </c>
      <c r="B6544" t="str">
        <f>"1551689137486364"</f>
        <v>1551689137486364</v>
      </c>
      <c r="C6544" t="s">
        <v>40</v>
      </c>
      <c r="D6544">
        <v>4.9028919999999996</v>
      </c>
      <c r="E6544">
        <v>0.54153699999999905</v>
      </c>
      <c r="F6544" t="s">
        <v>41</v>
      </c>
      <c r="G6544">
        <v>-157.0523</v>
      </c>
      <c r="H6544">
        <v>0.96609210000000001</v>
      </c>
      <c r="I6544">
        <v>137.0067</v>
      </c>
      <c r="J6544">
        <v>-157.6978</v>
      </c>
      <c r="K6544">
        <v>1.109955</v>
      </c>
      <c r="L6544">
        <v>136.97409999999999</v>
      </c>
      <c r="M6544">
        <v>0.99869549999999996</v>
      </c>
      <c r="N6544">
        <v>-1.3343610000000001E-2</v>
      </c>
      <c r="O6544">
        <v>4.9287989999999997E-2</v>
      </c>
      <c r="P6544">
        <v>0.92426509999999995</v>
      </c>
      <c r="Q6544">
        <v>0.36299579999999998</v>
      </c>
      <c r="R6544">
        <v>0.1181861</v>
      </c>
      <c r="S6544">
        <v>3.4476469999999999</v>
      </c>
      <c r="T6544">
        <v>-0.55545009999999995</v>
      </c>
      <c r="U6544">
        <v>0.16862489999999999</v>
      </c>
      <c r="V6544">
        <v>-7.1576639999999997E-2</v>
      </c>
      <c r="W6544">
        <v>0.37553360000000002</v>
      </c>
      <c r="X6544">
        <v>0.92404070000000005</v>
      </c>
      <c r="Y6544" s="1">
        <v>-9.0162710000000004E-5</v>
      </c>
      <c r="Z6544">
        <v>-7.2188410000000001E-3</v>
      </c>
      <c r="AA6544">
        <v>0.99997400000000003</v>
      </c>
      <c r="AB6544">
        <v>25</v>
      </c>
      <c r="AC6544">
        <v>0.64549999999999796</v>
      </c>
      <c r="AD6544">
        <v>-0.14386289999999999</v>
      </c>
      <c r="AE6544">
        <v>3.26000000000021E-2</v>
      </c>
      <c r="AF6544">
        <v>-7.0710821064067896E-4</v>
      </c>
      <c r="AG6544">
        <v>-0.14386289999999999</v>
      </c>
      <c r="AH6544">
        <v>0.61581192537729801</v>
      </c>
      <c r="AI6544">
        <v>103.14931776173501</v>
      </c>
      <c r="AJ6544">
        <v>90.065790051561706</v>
      </c>
      <c r="AK6544">
        <v>0.632393359733739</v>
      </c>
      <c r="AL6544">
        <v>67.942702608435695</v>
      </c>
      <c r="AM6544">
        <v>94.429314135894202</v>
      </c>
      <c r="AN6544">
        <v>0.99999995768956895</v>
      </c>
    </row>
    <row r="6545" spans="1:40" x14ac:dyDescent="0.25">
      <c r="A6545" t="str">
        <f>"20190304164537521"</f>
        <v>20190304164537521</v>
      </c>
      <c r="B6545" t="str">
        <f>"1551689137516621"</f>
        <v>1551689137516621</v>
      </c>
      <c r="C6545" t="s">
        <v>40</v>
      </c>
      <c r="D6545">
        <v>4.9661089999999897</v>
      </c>
      <c r="E6545">
        <v>0.54164009999999996</v>
      </c>
      <c r="F6545" t="s">
        <v>41</v>
      </c>
      <c r="G6545">
        <v>-156.82480000000001</v>
      </c>
      <c r="H6545">
        <v>0.9676498</v>
      </c>
      <c r="I6545">
        <v>137.01400000000001</v>
      </c>
      <c r="J6545">
        <v>-157.4402</v>
      </c>
      <c r="K6545">
        <v>1.109893</v>
      </c>
      <c r="L6545">
        <v>136.98519999999999</v>
      </c>
      <c r="M6545">
        <v>0.99876869999999995</v>
      </c>
      <c r="N6545">
        <v>-1.3342639999999999E-2</v>
      </c>
      <c r="O6545">
        <v>4.7781619999999997E-2</v>
      </c>
      <c r="P6545">
        <v>0.92569290000000004</v>
      </c>
      <c r="Q6545">
        <v>0.36029090000000003</v>
      </c>
      <c r="R6545">
        <v>0.11525390000000001</v>
      </c>
      <c r="S6545">
        <v>3.4462589999999902</v>
      </c>
      <c r="T6545">
        <v>-0.56176729999999997</v>
      </c>
      <c r="U6545">
        <v>0.1578522</v>
      </c>
      <c r="V6545">
        <v>-6.9939769999999998E-2</v>
      </c>
      <c r="W6545">
        <v>0.37284850000000003</v>
      </c>
      <c r="X6545">
        <v>0.92525259999999998</v>
      </c>
      <c r="Y6545">
        <v>1.481219E-3</v>
      </c>
      <c r="Z6545">
        <v>-7.2254959999999997E-3</v>
      </c>
      <c r="AA6545">
        <v>0.9999728</v>
      </c>
      <c r="AB6545">
        <v>25</v>
      </c>
      <c r="AC6545">
        <v>0.61539999999999395</v>
      </c>
      <c r="AD6545">
        <v>-0.14224319999999999</v>
      </c>
      <c r="AE6545">
        <v>2.8800000000018099E-2</v>
      </c>
      <c r="AF6545">
        <v>6.0791996924722204E-4</v>
      </c>
      <c r="AG6545">
        <v>-0.14224319999999999</v>
      </c>
      <c r="AH6545">
        <v>0.584893311866995</v>
      </c>
      <c r="AI6545">
        <v>103.668696841835</v>
      </c>
      <c r="AJ6545">
        <v>89.940448565113797</v>
      </c>
      <c r="AK6545">
        <v>0.60194159499046995</v>
      </c>
      <c r="AL6545">
        <v>68.108600138498304</v>
      </c>
      <c r="AM6545">
        <v>94.322762710552794</v>
      </c>
      <c r="AN6545">
        <v>0.99999997459333101</v>
      </c>
    </row>
    <row r="6546" spans="1:40" x14ac:dyDescent="0.25">
      <c r="A6546" t="str">
        <f>"20190304164537542"</f>
        <v>20190304164537542</v>
      </c>
      <c r="B6546" t="str">
        <f>"1551689137537117"</f>
        <v>1551689137537117</v>
      </c>
      <c r="C6546" t="s">
        <v>40</v>
      </c>
      <c r="D6546">
        <v>4.9369769999999997</v>
      </c>
      <c r="E6546">
        <v>0.54169999999999996</v>
      </c>
      <c r="F6546" t="s">
        <v>41</v>
      </c>
      <c r="G6546">
        <v>-156.59700000000001</v>
      </c>
      <c r="H6546">
        <v>0.97043559999999995</v>
      </c>
      <c r="I6546">
        <v>137.0215</v>
      </c>
      <c r="J6546">
        <v>-157.18969999999999</v>
      </c>
      <c r="K6546">
        <v>1.109858</v>
      </c>
      <c r="L6546">
        <v>136.99549999999999</v>
      </c>
      <c r="M6546">
        <v>0.99883940000000004</v>
      </c>
      <c r="N6546">
        <v>-1.3341449999999999E-2</v>
      </c>
      <c r="O6546">
        <v>4.6280679999999998E-2</v>
      </c>
      <c r="P6546">
        <v>0.92693329999999996</v>
      </c>
      <c r="Q6546">
        <v>0.35798479999999999</v>
      </c>
      <c r="R6546">
        <v>0.1124339</v>
      </c>
      <c r="S6546">
        <v>3.444</v>
      </c>
      <c r="T6546">
        <v>-0.56958140000000002</v>
      </c>
      <c r="U6546">
        <v>0.14857479999999901</v>
      </c>
      <c r="V6546">
        <v>-6.8446820000000005E-2</v>
      </c>
      <c r="W6546">
        <v>0.37055510000000003</v>
      </c>
      <c r="X6546">
        <v>0.92628500000000003</v>
      </c>
      <c r="Y6546">
        <v>2.6198010000000002E-3</v>
      </c>
      <c r="Z6546">
        <v>-7.2140399999999997E-3</v>
      </c>
      <c r="AA6546">
        <v>0.99997060000000004</v>
      </c>
      <c r="AB6546">
        <v>25</v>
      </c>
      <c r="AC6546">
        <v>0.59269999999997902</v>
      </c>
      <c r="AD6546">
        <v>-0.1394224</v>
      </c>
      <c r="AE6546">
        <v>2.60000000000104E-2</v>
      </c>
      <c r="AF6546">
        <v>1.3844064446450401E-3</v>
      </c>
      <c r="AG6546">
        <v>-0.1394224</v>
      </c>
      <c r="AH6546">
        <v>0.56221795288230603</v>
      </c>
      <c r="AI6546">
        <v>103.927566691701</v>
      </c>
      <c r="AJ6546">
        <v>89.8589150601032</v>
      </c>
      <c r="AK6546">
        <v>0.57924912494205405</v>
      </c>
      <c r="AL6546">
        <v>68.250143629247702</v>
      </c>
      <c r="AM6546">
        <v>94.226128326655299</v>
      </c>
      <c r="AN6546">
        <v>0.99999997526455997</v>
      </c>
    </row>
    <row r="6547" spans="1:40" x14ac:dyDescent="0.25">
      <c r="A6547" t="str">
        <f>"20190304164537566"</f>
        <v>20190304164537566</v>
      </c>
      <c r="B6547" t="str">
        <f>"1551689137556637"</f>
        <v>1551689137556637</v>
      </c>
      <c r="C6547" t="s">
        <v>40</v>
      </c>
      <c r="D6547">
        <v>4.9363519999999896</v>
      </c>
      <c r="E6547">
        <v>0.54173519999999997</v>
      </c>
      <c r="F6547" t="s">
        <v>41</v>
      </c>
      <c r="G6547">
        <v>-156.36969999999999</v>
      </c>
      <c r="H6547">
        <v>0.97251209999999999</v>
      </c>
      <c r="I6547">
        <v>137.0283</v>
      </c>
      <c r="J6547">
        <v>-156.9366</v>
      </c>
      <c r="K6547">
        <v>1.10985</v>
      </c>
      <c r="L6547">
        <v>137.00550000000001</v>
      </c>
      <c r="M6547">
        <v>0.99890919999999905</v>
      </c>
      <c r="N6547">
        <v>-1.334021E-2</v>
      </c>
      <c r="O6547">
        <v>4.4749879999999999E-2</v>
      </c>
      <c r="P6547">
        <v>0.92794359999999998</v>
      </c>
      <c r="Q6547">
        <v>0.35609940000000001</v>
      </c>
      <c r="R6547">
        <v>0.11006340000000001</v>
      </c>
      <c r="S6547">
        <v>3.4423979999999998</v>
      </c>
      <c r="T6547">
        <v>-0.57655880000000004</v>
      </c>
      <c r="U6547">
        <v>0.13804629999999901</v>
      </c>
      <c r="V6547">
        <v>-6.7457690000000001E-2</v>
      </c>
      <c r="W6547">
        <v>0.36867820000000001</v>
      </c>
      <c r="X6547">
        <v>0.92710610000000004</v>
      </c>
      <c r="Y6547">
        <v>4.100378E-3</v>
      </c>
      <c r="Z6547">
        <v>-7.2119380000000002E-3</v>
      </c>
      <c r="AA6547">
        <v>0.99996560000000001</v>
      </c>
      <c r="AB6547">
        <v>25</v>
      </c>
      <c r="AC6547">
        <v>0.56690000000000396</v>
      </c>
      <c r="AD6547">
        <v>-0.13733790000000001</v>
      </c>
      <c r="AE6547">
        <v>2.2799999999989402E-2</v>
      </c>
      <c r="AF6547">
        <v>2.45023460304692E-3</v>
      </c>
      <c r="AG6547">
        <v>-0.13733790000000001</v>
      </c>
      <c r="AH6547">
        <v>0.53594810867604303</v>
      </c>
      <c r="AI6547">
        <v>104.37275480024201</v>
      </c>
      <c r="AJ6547">
        <v>89.738058365686896</v>
      </c>
      <c r="AK6547">
        <v>0.55327034767773997</v>
      </c>
      <c r="AL6547">
        <v>68.365877057880596</v>
      </c>
      <c r="AM6547">
        <v>94.161596707155496</v>
      </c>
      <c r="AN6547">
        <v>0.99999993787629105</v>
      </c>
    </row>
    <row r="6548" spans="1:40" x14ac:dyDescent="0.25">
      <c r="A6548" t="str">
        <f>"20190304164537586"</f>
        <v>20190304164537586</v>
      </c>
      <c r="B6548" t="str">
        <f>"1551689137577133"</f>
        <v>1551689137577133</v>
      </c>
      <c r="C6548" t="s">
        <v>40</v>
      </c>
      <c r="D6548">
        <v>4.9866669999999997</v>
      </c>
      <c r="E6548">
        <v>0.54176179999999996</v>
      </c>
      <c r="F6548" t="s">
        <v>41</v>
      </c>
      <c r="G6548">
        <v>-156.1422</v>
      </c>
      <c r="H6548">
        <v>0.97550879999999995</v>
      </c>
      <c r="I6548">
        <v>137.0352</v>
      </c>
      <c r="J6548">
        <v>-156.69220000000001</v>
      </c>
      <c r="K6548">
        <v>1.1098589999999999</v>
      </c>
      <c r="L6548">
        <v>137.01480000000001</v>
      </c>
      <c r="M6548">
        <v>0.99897460000000005</v>
      </c>
      <c r="N6548">
        <v>-1.3339119999999999E-2</v>
      </c>
      <c r="O6548">
        <v>4.3266539999999999E-2</v>
      </c>
      <c r="P6548">
        <v>0.92882469999999995</v>
      </c>
      <c r="Q6548">
        <v>0.35474909999999998</v>
      </c>
      <c r="R6548">
        <v>0.1069483</v>
      </c>
      <c r="S6548">
        <v>3.4409329999999998</v>
      </c>
      <c r="T6548">
        <v>-0.58188989999999996</v>
      </c>
      <c r="U6548">
        <v>0.1291504</v>
      </c>
      <c r="V6548">
        <v>-6.5690199999999893E-2</v>
      </c>
      <c r="W6548">
        <v>0.36733169999999998</v>
      </c>
      <c r="X6548">
        <v>0.92776729999999996</v>
      </c>
      <c r="Y6548">
        <v>5.168906E-3</v>
      </c>
      <c r="Z6548">
        <v>-7.154573E-3</v>
      </c>
      <c r="AA6548">
        <v>0.99996099999999999</v>
      </c>
      <c r="AB6548">
        <v>25</v>
      </c>
      <c r="AC6548">
        <v>0.55000000000001104</v>
      </c>
      <c r="AD6548">
        <v>-0.134350199999999</v>
      </c>
      <c r="AE6548">
        <v>2.0399999999994999E-2</v>
      </c>
      <c r="AF6548">
        <v>3.2256131480403898E-3</v>
      </c>
      <c r="AG6548">
        <v>-0.134350199999999</v>
      </c>
      <c r="AH6548">
        <v>0.51941689974137595</v>
      </c>
      <c r="AI6548">
        <v>104.501785120809</v>
      </c>
      <c r="AJ6548">
        <v>89.644194010451997</v>
      </c>
      <c r="AK6548">
        <v>0.53652054625816803</v>
      </c>
      <c r="AL6548">
        <v>68.448849217801893</v>
      </c>
      <c r="AM6548">
        <v>94.050046211207203</v>
      </c>
      <c r="AN6548">
        <v>0.999999971575109</v>
      </c>
    </row>
    <row r="6549" spans="1:40" x14ac:dyDescent="0.25">
      <c r="A6549" t="str">
        <f>"20190304164537609"</f>
        <v>20190304164537609</v>
      </c>
      <c r="B6549" t="str">
        <f>"1551689137596653"</f>
        <v>1551689137596653</v>
      </c>
      <c r="C6549" t="s">
        <v>40</v>
      </c>
      <c r="D6549">
        <v>4.9731699999999996</v>
      </c>
      <c r="E6549">
        <v>0.54176780000000002</v>
      </c>
      <c r="F6549" t="s">
        <v>41</v>
      </c>
      <c r="G6549">
        <v>-155.9152</v>
      </c>
      <c r="H6549">
        <v>0.97771070000000004</v>
      </c>
      <c r="I6549">
        <v>137.0412</v>
      </c>
      <c r="J6549">
        <v>-156.43960000000001</v>
      </c>
      <c r="K6549">
        <v>1.109853</v>
      </c>
      <c r="L6549">
        <v>137.024</v>
      </c>
      <c r="M6549">
        <v>0.99904020000000004</v>
      </c>
      <c r="N6549">
        <v>-1.333819E-2</v>
      </c>
      <c r="O6549">
        <v>4.1722349999999998E-2</v>
      </c>
      <c r="P6549">
        <v>0.92939139999999998</v>
      </c>
      <c r="Q6549">
        <v>0.35414430000000002</v>
      </c>
      <c r="R6549">
        <v>0.1039866</v>
      </c>
      <c r="S6549">
        <v>3.439819</v>
      </c>
      <c r="T6549">
        <v>-0.58505369999999901</v>
      </c>
      <c r="U6549">
        <v>0.1174622</v>
      </c>
      <c r="V6549">
        <v>-6.414135E-2</v>
      </c>
      <c r="W6549">
        <v>0.36672850000000001</v>
      </c>
      <c r="X6549">
        <v>0.92811429999999995</v>
      </c>
      <c r="Y6549">
        <v>6.9876259999999898E-3</v>
      </c>
      <c r="Z6549">
        <v>-7.1247350000000001E-3</v>
      </c>
      <c r="AA6549">
        <v>0.99995020000000001</v>
      </c>
      <c r="AB6549">
        <v>25</v>
      </c>
      <c r="AC6549">
        <v>0.52440000000001397</v>
      </c>
      <c r="AD6549">
        <v>-0.13214229999999899</v>
      </c>
      <c r="AE6549">
        <v>1.7200000000002501E-2</v>
      </c>
      <c r="AF6549">
        <v>4.4160206458994898E-3</v>
      </c>
      <c r="AG6549">
        <v>-0.13214229999999899</v>
      </c>
      <c r="AH6549">
        <v>0.493366955379206</v>
      </c>
      <c r="AI6549">
        <v>104.993469340757</v>
      </c>
      <c r="AJ6549">
        <v>89.487171595484696</v>
      </c>
      <c r="AK6549">
        <v>0.51077592087703505</v>
      </c>
      <c r="AL6549">
        <v>68.486004345839405</v>
      </c>
      <c r="AM6549">
        <v>93.953386549971199</v>
      </c>
      <c r="AN6549">
        <v>1.0000000296782801</v>
      </c>
    </row>
    <row r="6550" spans="1:40" x14ac:dyDescent="0.25">
      <c r="A6550" t="str">
        <f>"20190304164537632"</f>
        <v>20190304164537632</v>
      </c>
      <c r="B6550" t="str">
        <f>"1551689137626909"</f>
        <v>1551689137626909</v>
      </c>
      <c r="C6550" t="s">
        <v>40</v>
      </c>
      <c r="D6550">
        <v>4.9492640000000003</v>
      </c>
      <c r="E6550">
        <v>0.54176619999999998</v>
      </c>
      <c r="F6550" t="s">
        <v>41</v>
      </c>
      <c r="G6550">
        <v>-155.6875</v>
      </c>
      <c r="H6550">
        <v>0.98177389999999998</v>
      </c>
      <c r="I6550">
        <v>137.04750000000001</v>
      </c>
      <c r="J6550">
        <v>-156.17429999999999</v>
      </c>
      <c r="K6550">
        <v>1.1098209999999999</v>
      </c>
      <c r="L6550">
        <v>137.03319999999999</v>
      </c>
      <c r="M6550">
        <v>0.99910770000000004</v>
      </c>
      <c r="N6550">
        <v>-1.333749E-2</v>
      </c>
      <c r="O6550">
        <v>4.0072669999999998E-2</v>
      </c>
      <c r="P6550">
        <v>0.92958540000000001</v>
      </c>
      <c r="Q6550">
        <v>0.35428900000000002</v>
      </c>
      <c r="R6550">
        <v>0.1017371</v>
      </c>
      <c r="S6550">
        <v>3.4390109999999998</v>
      </c>
      <c r="T6550">
        <v>-0.58557209999999904</v>
      </c>
      <c r="U6550">
        <v>0.10755919999999999</v>
      </c>
      <c r="V6550">
        <v>-6.3405400000000001E-2</v>
      </c>
      <c r="W6550">
        <v>0.36687389999999998</v>
      </c>
      <c r="X6550">
        <v>0.92810740000000003</v>
      </c>
      <c r="Y6550">
        <v>8.2045E-3</v>
      </c>
      <c r="Z6550">
        <v>-6.9879779999999997E-3</v>
      </c>
      <c r="AA6550">
        <v>0.99994190000000005</v>
      </c>
      <c r="AB6550">
        <v>25</v>
      </c>
      <c r="AC6550">
        <v>0.48679999999998802</v>
      </c>
      <c r="AD6550">
        <v>-0.128047099999999</v>
      </c>
      <c r="AE6550">
        <v>1.4300000000019899E-2</v>
      </c>
      <c r="AF6550">
        <v>4.88303802030313E-3</v>
      </c>
      <c r="AG6550">
        <v>-0.128047099999999</v>
      </c>
      <c r="AH6550">
        <v>0.45549391594635502</v>
      </c>
      <c r="AI6550">
        <v>105.700720119176</v>
      </c>
      <c r="AJ6550">
        <v>89.385794754028296</v>
      </c>
      <c r="AK6550">
        <v>0.47317503245930298</v>
      </c>
      <c r="AL6550">
        <v>68.477049257373395</v>
      </c>
      <c r="AM6550">
        <v>93.908196220961997</v>
      </c>
      <c r="AN6550">
        <v>1.00000002459256</v>
      </c>
    </row>
    <row r="6551" spans="1:40" x14ac:dyDescent="0.25">
      <c r="A6551" t="str">
        <f>"20190304164537655"</f>
        <v>20190304164537655</v>
      </c>
      <c r="B6551" t="str">
        <f>"1551689137646432"</f>
        <v>1551689137646432</v>
      </c>
      <c r="C6551" t="s">
        <v>40</v>
      </c>
      <c r="D6551">
        <v>4.905691</v>
      </c>
      <c r="E6551">
        <v>0.54175309999999999</v>
      </c>
      <c r="F6551" t="s">
        <v>41</v>
      </c>
      <c r="G6551">
        <v>-155.45859999999999</v>
      </c>
      <c r="H6551">
        <v>0.98866220000000005</v>
      </c>
      <c r="I6551">
        <v>137.05330000000001</v>
      </c>
      <c r="J6551">
        <v>-155.93260000000001</v>
      </c>
      <c r="K6551">
        <v>1.1097900000000001</v>
      </c>
      <c r="L6551">
        <v>137.0412</v>
      </c>
      <c r="M6551">
        <v>0.99916870000000002</v>
      </c>
      <c r="N6551">
        <v>-1.3337119999999999E-2</v>
      </c>
      <c r="O6551">
        <v>3.8526060000000001E-2</v>
      </c>
      <c r="P6551">
        <v>0.92952729999999995</v>
      </c>
      <c r="Q6551">
        <v>0.3546028</v>
      </c>
      <c r="R6551">
        <v>0.10117279999999999</v>
      </c>
      <c r="S6551">
        <v>3.4384000000000001</v>
      </c>
      <c r="T6551">
        <v>-0.58205209999999996</v>
      </c>
      <c r="U6551">
        <v>9.7259520000000002E-2</v>
      </c>
      <c r="V6551">
        <v>-6.4260150000000002E-2</v>
      </c>
      <c r="W6551">
        <v>0.36719200000000002</v>
      </c>
      <c r="X6551">
        <v>0.92792280000000005</v>
      </c>
      <c r="Y6551">
        <v>9.6476559999999992E-3</v>
      </c>
      <c r="Z6551">
        <v>-6.8371930000000001E-3</v>
      </c>
      <c r="AA6551">
        <v>0.99993010000000004</v>
      </c>
      <c r="AB6551">
        <v>25</v>
      </c>
      <c r="AC6551">
        <v>0.47400000000001802</v>
      </c>
      <c r="AD6551">
        <v>-0.12112779999999999</v>
      </c>
      <c r="AE6551">
        <v>1.21000000000037E-2</v>
      </c>
      <c r="AF6551">
        <v>5.7938517934722203E-3</v>
      </c>
      <c r="AG6551">
        <v>-0.12112779999999999</v>
      </c>
      <c r="AH6551">
        <v>0.44506897691818198</v>
      </c>
      <c r="AI6551">
        <v>105.223371758707</v>
      </c>
      <c r="AJ6551">
        <v>89.254172899131504</v>
      </c>
      <c r="AK6551">
        <v>0.46129373165743498</v>
      </c>
      <c r="AL6551">
        <v>68.4574560778928</v>
      </c>
      <c r="AM6551">
        <v>93.961500352795895</v>
      </c>
      <c r="AN6551">
        <v>1.00000002725093</v>
      </c>
    </row>
    <row r="6552" spans="1:40" x14ac:dyDescent="0.25">
      <c r="A6552" t="str">
        <f>"20190304164537677"</f>
        <v>20190304164537677</v>
      </c>
      <c r="B6552" t="str">
        <f>"1551689137666925"</f>
        <v>1551689137666925</v>
      </c>
      <c r="C6552" t="s">
        <v>40</v>
      </c>
      <c r="D6552">
        <v>5.0253509999999997</v>
      </c>
      <c r="E6552">
        <v>0.54170629999999997</v>
      </c>
      <c r="F6552" t="s">
        <v>41</v>
      </c>
      <c r="G6552">
        <v>-155.02340000000001</v>
      </c>
      <c r="H6552">
        <v>0.95681430000000001</v>
      </c>
      <c r="I6552">
        <v>137.0658</v>
      </c>
      <c r="J6552">
        <v>-155.6797</v>
      </c>
      <c r="K6552">
        <v>1.1097520000000001</v>
      </c>
      <c r="L6552">
        <v>137.04900000000001</v>
      </c>
      <c r="M6552">
        <v>0.9992318</v>
      </c>
      <c r="N6552">
        <v>-1.333694E-2</v>
      </c>
      <c r="O6552">
        <v>3.6850849999999997E-2</v>
      </c>
      <c r="P6552">
        <v>0.92914830000000004</v>
      </c>
      <c r="Q6552">
        <v>0.35586699999999999</v>
      </c>
      <c r="R6552">
        <v>0.1002116</v>
      </c>
      <c r="S6552">
        <v>3.4378359999999999</v>
      </c>
      <c r="T6552">
        <v>-0.57838579999999995</v>
      </c>
      <c r="U6552">
        <v>9.4039919999999999E-2</v>
      </c>
      <c r="V6552">
        <v>-6.4842049999999998E-2</v>
      </c>
      <c r="W6552">
        <v>0.36845610000000001</v>
      </c>
      <c r="X6552">
        <v>0.92738100000000001</v>
      </c>
      <c r="Y6552">
        <v>8.9407410000000003E-3</v>
      </c>
      <c r="Z6552">
        <v>-6.4720250000000002E-3</v>
      </c>
      <c r="AA6552">
        <v>0.99993909999999997</v>
      </c>
      <c r="AB6552">
        <v>25</v>
      </c>
      <c r="AC6552">
        <v>0.656299999999987</v>
      </c>
      <c r="AD6552">
        <v>-0.15293770000000001</v>
      </c>
      <c r="AE6552">
        <v>1.6799999999989199E-2</v>
      </c>
      <c r="AF6552">
        <v>7.0179309180825097E-3</v>
      </c>
      <c r="AG6552">
        <v>-0.15293770000000001</v>
      </c>
      <c r="AH6552">
        <v>0.62268190526639999</v>
      </c>
      <c r="AI6552">
        <v>103.798493695361</v>
      </c>
      <c r="AJ6552">
        <v>89.354275762531003</v>
      </c>
      <c r="AK6552">
        <v>0.64122690725035503</v>
      </c>
      <c r="AL6552">
        <v>68.379566516812503</v>
      </c>
      <c r="AM6552">
        <v>93.999585195712598</v>
      </c>
      <c r="AN6552">
        <v>0.99999995411820497</v>
      </c>
    </row>
    <row r="6553" spans="1:40" x14ac:dyDescent="0.25">
      <c r="A6553" t="str">
        <f>"20190304164537700"</f>
        <v>20190304164537700</v>
      </c>
      <c r="B6553" t="str">
        <f>"1551689137686446"</f>
        <v>1551689137686446</v>
      </c>
      <c r="C6553" t="s">
        <v>40</v>
      </c>
      <c r="D6553">
        <v>5.1626629999999896</v>
      </c>
      <c r="E6553">
        <v>0.54170419999999997</v>
      </c>
      <c r="F6553" t="s">
        <v>41</v>
      </c>
      <c r="G6553">
        <v>-154.79560000000001</v>
      </c>
      <c r="H6553">
        <v>0.96250769999999997</v>
      </c>
      <c r="I6553">
        <v>137.07259999999999</v>
      </c>
      <c r="J6553">
        <v>-155.4273</v>
      </c>
      <c r="K6553">
        <v>1.10972</v>
      </c>
      <c r="L6553">
        <v>137.05629999999999</v>
      </c>
      <c r="M6553">
        <v>0.99929389999999996</v>
      </c>
      <c r="N6553">
        <v>-1.333674E-2</v>
      </c>
      <c r="O6553">
        <v>3.5126560000000001E-2</v>
      </c>
      <c r="P6553">
        <v>0.92902929999999995</v>
      </c>
      <c r="Q6553">
        <v>0.35637679999999999</v>
      </c>
      <c r="R6553">
        <v>9.9500480000000002E-2</v>
      </c>
      <c r="S6553">
        <v>3.4380950000000001</v>
      </c>
      <c r="T6553">
        <v>-0.57259819999999995</v>
      </c>
      <c r="U6553">
        <v>9.2330930000000005E-2</v>
      </c>
      <c r="V6553">
        <v>-6.5715129999999997E-2</v>
      </c>
      <c r="W6553">
        <v>0.36896980000000001</v>
      </c>
      <c r="X6553">
        <v>0.92711529999999998</v>
      </c>
      <c r="Y6553">
        <v>7.7636459999999999E-3</v>
      </c>
      <c r="Z6553">
        <v>-6.0360750000000001E-3</v>
      </c>
      <c r="AA6553">
        <v>0.9999517</v>
      </c>
      <c r="AB6553">
        <v>25</v>
      </c>
      <c r="AC6553">
        <v>0.63169999999999504</v>
      </c>
      <c r="AD6553">
        <v>-0.14721229999999999</v>
      </c>
      <c r="AE6553">
        <v>1.6300000000001001E-2</v>
      </c>
      <c r="AF6553">
        <v>5.5976835563891101E-3</v>
      </c>
      <c r="AG6553">
        <v>-0.14721229999999999</v>
      </c>
      <c r="AH6553">
        <v>0.599354425064903</v>
      </c>
      <c r="AI6553">
        <v>103.799126680039</v>
      </c>
      <c r="AJ6553">
        <v>89.464900391672998</v>
      </c>
      <c r="AK6553">
        <v>0.61719407172895602</v>
      </c>
      <c r="AL6553">
        <v>68.3479034634844</v>
      </c>
      <c r="AM6553">
        <v>94.054417921491904</v>
      </c>
      <c r="AN6553">
        <v>0.99999998555852299</v>
      </c>
    </row>
    <row r="6554" spans="1:40" x14ac:dyDescent="0.25">
      <c r="A6554" t="str">
        <f>"20190304164537722"</f>
        <v>20190304164537722</v>
      </c>
      <c r="B6554" t="str">
        <f>"1551689137716701"</f>
        <v>1551689137716701</v>
      </c>
      <c r="C6554" t="s">
        <v>40</v>
      </c>
      <c r="D6554">
        <v>4.9900409999999997</v>
      </c>
      <c r="E6554">
        <v>0.54170949999999995</v>
      </c>
      <c r="F6554" t="s">
        <v>41</v>
      </c>
      <c r="G6554">
        <v>-154.56829999999999</v>
      </c>
      <c r="H6554">
        <v>0.9675108</v>
      </c>
      <c r="I6554">
        <v>137.07900000000001</v>
      </c>
      <c r="J6554">
        <v>-155.17140000000001</v>
      </c>
      <c r="K6554">
        <v>1.109701</v>
      </c>
      <c r="L6554">
        <v>137.06319999999999</v>
      </c>
      <c r="M6554">
        <v>0.99935529999999995</v>
      </c>
      <c r="N6554">
        <v>-1.333636E-2</v>
      </c>
      <c r="O6554">
        <v>3.3334349999999999E-2</v>
      </c>
      <c r="P6554">
        <v>0.92908329999999995</v>
      </c>
      <c r="Q6554">
        <v>0.356072</v>
      </c>
      <c r="R6554">
        <v>0.1000861</v>
      </c>
      <c r="S6554">
        <v>3.437729</v>
      </c>
      <c r="T6554">
        <v>-0.56920499999999996</v>
      </c>
      <c r="U6554">
        <v>9.1522220000000001E-2</v>
      </c>
      <c r="V6554">
        <v>-6.7952509999999994E-2</v>
      </c>
      <c r="W6554">
        <v>0.3686738</v>
      </c>
      <c r="X6554">
        <v>0.9270718</v>
      </c>
      <c r="Y6554">
        <v>6.2517049999999998E-3</v>
      </c>
      <c r="Z6554">
        <v>-5.5938539999999997E-3</v>
      </c>
      <c r="AA6554">
        <v>0.99996479999999999</v>
      </c>
      <c r="AB6554">
        <v>25</v>
      </c>
      <c r="AC6554">
        <v>0.60310000000001196</v>
      </c>
      <c r="AD6554">
        <v>-0.14219019999999999</v>
      </c>
      <c r="AE6554">
        <v>1.5800000000012901E-2</v>
      </c>
      <c r="AF6554">
        <v>4.0874686191795604E-3</v>
      </c>
      <c r="AG6554">
        <v>-0.14219019999999999</v>
      </c>
      <c r="AH6554">
        <v>0.57154380391280701</v>
      </c>
      <c r="AI6554">
        <v>103.970236979101</v>
      </c>
      <c r="AJ6554">
        <v>89.590248889761298</v>
      </c>
      <c r="AK6554">
        <v>0.58897969418892104</v>
      </c>
      <c r="AL6554">
        <v>68.366150093185695</v>
      </c>
      <c r="AM6554">
        <v>94.1921692351264</v>
      </c>
      <c r="AN6554">
        <v>1.0000000183884801</v>
      </c>
    </row>
    <row r="6555" spans="1:40" x14ac:dyDescent="0.25">
      <c r="A6555" t="str">
        <f>"20190304164537744"</f>
        <v>20190304164537744</v>
      </c>
      <c r="B6555" t="str">
        <f>"1551689137736221"</f>
        <v>1551689137736221</v>
      </c>
      <c r="C6555" t="s">
        <v>40</v>
      </c>
      <c r="D6555">
        <v>4.969646</v>
      </c>
      <c r="E6555">
        <v>0.54168809999999901</v>
      </c>
      <c r="F6555" t="s">
        <v>41</v>
      </c>
      <c r="G6555">
        <v>-154.34119999999999</v>
      </c>
      <c r="H6555">
        <v>0.97261169999999997</v>
      </c>
      <c r="I6555">
        <v>137.0855</v>
      </c>
      <c r="J6555">
        <v>-154.9264</v>
      </c>
      <c r="K6555">
        <v>1.109699</v>
      </c>
      <c r="L6555">
        <v>137.0694</v>
      </c>
      <c r="M6555">
        <v>0.99941199999999997</v>
      </c>
      <c r="N6555">
        <v>-1.333578E-2</v>
      </c>
      <c r="O6555">
        <v>3.1590159999999999E-2</v>
      </c>
      <c r="P6555">
        <v>0.92892520000000001</v>
      </c>
      <c r="Q6555">
        <v>0.35618729999999998</v>
      </c>
      <c r="R6555">
        <v>0.10113800000000001</v>
      </c>
      <c r="S6555">
        <v>3.4364780000000001</v>
      </c>
      <c r="T6555">
        <v>-0.56751529999999994</v>
      </c>
      <c r="U6555">
        <v>9.2727660000000003E-2</v>
      </c>
      <c r="V6555">
        <v>-7.0627469999999998E-2</v>
      </c>
      <c r="W6555">
        <v>0.36879479999999998</v>
      </c>
      <c r="X6555">
        <v>0.92682370000000003</v>
      </c>
      <c r="Y6555">
        <v>4.1988540000000001E-3</v>
      </c>
      <c r="Z6555">
        <v>-5.1335309999999898E-3</v>
      </c>
      <c r="AA6555">
        <v>0.99997800000000003</v>
      </c>
      <c r="AB6555">
        <v>25</v>
      </c>
      <c r="AC6555">
        <v>0.58520000000001404</v>
      </c>
      <c r="AD6555">
        <v>-0.1370873</v>
      </c>
      <c r="AE6555">
        <v>1.60999999999944E-2</v>
      </c>
      <c r="AF6555">
        <v>2.27167428884398E-3</v>
      </c>
      <c r="AG6555">
        <v>-0.1370873</v>
      </c>
      <c r="AH6555">
        <v>0.55498402085776599</v>
      </c>
      <c r="AI6555">
        <v>103.874849394116</v>
      </c>
      <c r="AJ6555">
        <v>89.765476811244596</v>
      </c>
      <c r="AK6555">
        <v>0.57166891793486396</v>
      </c>
      <c r="AL6555">
        <v>68.358691502117793</v>
      </c>
      <c r="AM6555">
        <v>94.357732898852205</v>
      </c>
      <c r="AN6555">
        <v>1.0000000074536599</v>
      </c>
    </row>
    <row r="6556" spans="1:40" x14ac:dyDescent="0.25">
      <c r="A6556" t="str">
        <f>"20190304164537766"</f>
        <v>20190304164537766</v>
      </c>
      <c r="B6556" t="str">
        <f>"1551689137756717"</f>
        <v>1551689137756717</v>
      </c>
      <c r="C6556" t="s">
        <v>40</v>
      </c>
      <c r="D6556">
        <v>4.9795119999999997</v>
      </c>
      <c r="E6556">
        <v>0.54166569999999903</v>
      </c>
      <c r="F6556" t="s">
        <v>41</v>
      </c>
      <c r="G6556">
        <v>-154.11500000000001</v>
      </c>
      <c r="H6556">
        <v>0.97628709999999996</v>
      </c>
      <c r="I6556">
        <v>137.09139999999999</v>
      </c>
      <c r="J6556">
        <v>-154.6806</v>
      </c>
      <c r="K6556">
        <v>1.10971</v>
      </c>
      <c r="L6556">
        <v>137.0752</v>
      </c>
      <c r="M6556">
        <v>0.99946610000000002</v>
      </c>
      <c r="N6556">
        <v>-1.333498E-2</v>
      </c>
      <c r="O6556">
        <v>2.9830789999999999E-2</v>
      </c>
      <c r="P6556">
        <v>0.92846989999999996</v>
      </c>
      <c r="Q6556">
        <v>0.35716999999999999</v>
      </c>
      <c r="R6556">
        <v>0.1018497</v>
      </c>
      <c r="S6556">
        <v>3.435883</v>
      </c>
      <c r="T6556">
        <v>-0.56492399999999998</v>
      </c>
      <c r="U6556">
        <v>9.3948359999999995E-2</v>
      </c>
      <c r="V6556">
        <v>-7.2989709999999999E-2</v>
      </c>
      <c r="W6556">
        <v>0.36977640000000001</v>
      </c>
      <c r="X6556">
        <v>0.9262494</v>
      </c>
      <c r="Y6556">
        <v>2.1326610000000001E-3</v>
      </c>
      <c r="Z6556">
        <v>-4.6631700000000003E-3</v>
      </c>
      <c r="AA6556">
        <v>0.99998679999999995</v>
      </c>
      <c r="AB6556">
        <v>25</v>
      </c>
      <c r="AC6556">
        <v>0.565599999999989</v>
      </c>
      <c r="AD6556">
        <v>-0.13342290000000001</v>
      </c>
      <c r="AE6556">
        <v>1.6199999999997699E-2</v>
      </c>
      <c r="AF6556">
        <v>6.4513412545841797E-4</v>
      </c>
      <c r="AG6556">
        <v>-0.13342290000000001</v>
      </c>
      <c r="AH6556">
        <v>0.53602765033098299</v>
      </c>
      <c r="AI6556">
        <v>103.977465878049</v>
      </c>
      <c r="AJ6556">
        <v>89.931041906628593</v>
      </c>
      <c r="AK6556">
        <v>0.55238367858020898</v>
      </c>
      <c r="AL6556">
        <v>68.298172439892198</v>
      </c>
      <c r="AM6556">
        <v>94.505674365413299</v>
      </c>
      <c r="AN6556">
        <v>1.0000000173815999</v>
      </c>
    </row>
    <row r="6557" spans="1:40" x14ac:dyDescent="0.25">
      <c r="A6557" t="str">
        <f>"20190304164537788"</f>
        <v>20190304164537788</v>
      </c>
      <c r="B6557" t="str">
        <f>"1551689137776237"</f>
        <v>1551689137776237</v>
      </c>
      <c r="C6557" t="s">
        <v>40</v>
      </c>
      <c r="D6557">
        <v>4.9572779999999996</v>
      </c>
      <c r="E6557">
        <v>0.54163479999999997</v>
      </c>
      <c r="F6557" t="s">
        <v>41</v>
      </c>
      <c r="G6557">
        <v>-153.88849999999999</v>
      </c>
      <c r="H6557">
        <v>0.98072550000000003</v>
      </c>
      <c r="I6557">
        <v>137.09719999999999</v>
      </c>
      <c r="J6557">
        <v>-154.42769999999999</v>
      </c>
      <c r="K6557">
        <v>1.109726</v>
      </c>
      <c r="L6557">
        <v>137.08070000000001</v>
      </c>
      <c r="M6557">
        <v>0.99951800000000002</v>
      </c>
      <c r="N6557">
        <v>-1.3333940000000001E-2</v>
      </c>
      <c r="O6557">
        <v>2.803464E-2</v>
      </c>
      <c r="P6557">
        <v>0.92804339999999996</v>
      </c>
      <c r="Q6557">
        <v>0.35804899999999901</v>
      </c>
      <c r="R6557">
        <v>0.1026475</v>
      </c>
      <c r="S6557">
        <v>3.4357449999999998</v>
      </c>
      <c r="T6557">
        <v>-0.55942230000000004</v>
      </c>
      <c r="U6557">
        <v>9.638977E-2</v>
      </c>
      <c r="V6557">
        <v>-7.5481679999999995E-2</v>
      </c>
      <c r="W6557">
        <v>0.3706525</v>
      </c>
      <c r="X6557">
        <v>0.9256993</v>
      </c>
      <c r="Y6557">
        <v>-3.1314869999999999E-4</v>
      </c>
      <c r="Z6557">
        <v>-4.13408E-3</v>
      </c>
      <c r="AA6557">
        <v>0.99999139999999997</v>
      </c>
      <c r="AB6557">
        <v>25</v>
      </c>
      <c r="AC6557">
        <v>0.53919999999999302</v>
      </c>
      <c r="AD6557">
        <v>-0.12900049999999999</v>
      </c>
      <c r="AE6557">
        <v>1.6499999999979299E-2</v>
      </c>
      <c r="AF6557">
        <v>-1.30146796561749E-3</v>
      </c>
      <c r="AG6557">
        <v>-0.12900049999999999</v>
      </c>
      <c r="AH6557">
        <v>0.51027116307471898</v>
      </c>
      <c r="AI6557">
        <v>104.18750753544001</v>
      </c>
      <c r="AJ6557">
        <v>90.1461349676444</v>
      </c>
      <c r="AK6557">
        <v>0.52632640318032897</v>
      </c>
      <c r="AL6557">
        <v>68.244135200970305</v>
      </c>
      <c r="AM6557">
        <v>94.6615946254405</v>
      </c>
      <c r="AN6557">
        <v>0.99999997689618003</v>
      </c>
    </row>
    <row r="6558" spans="1:40" x14ac:dyDescent="0.25">
      <c r="A6558" t="str">
        <f>"20190304164537811"</f>
        <v>20190304164537811</v>
      </c>
      <c r="B6558" t="str">
        <f>"1551689137806405"</f>
        <v>1551689137806405</v>
      </c>
      <c r="C6558" t="s">
        <v>40</v>
      </c>
      <c r="D6558">
        <v>4.9984869999999999</v>
      </c>
      <c r="E6558">
        <v>0.54156319999999902</v>
      </c>
      <c r="F6558" t="s">
        <v>41</v>
      </c>
      <c r="G6558">
        <v>-153.6618</v>
      </c>
      <c r="H6558">
        <v>0.98619760000000001</v>
      </c>
      <c r="I6558">
        <v>137.10239999999999</v>
      </c>
      <c r="J6558">
        <v>-154.1756</v>
      </c>
      <c r="K6558">
        <v>1.109764</v>
      </c>
      <c r="L6558">
        <v>137.08580000000001</v>
      </c>
      <c r="M6558">
        <v>0.99956540000000005</v>
      </c>
      <c r="N6558">
        <v>-1.3332480000000001E-2</v>
      </c>
      <c r="O6558">
        <v>2.629037E-2</v>
      </c>
      <c r="P6558">
        <v>0.92785439999999997</v>
      </c>
      <c r="Q6558">
        <v>0.35813869999999998</v>
      </c>
      <c r="R6558">
        <v>0.1040335</v>
      </c>
      <c r="S6558">
        <v>3.435562</v>
      </c>
      <c r="T6558">
        <v>-0.55410079999999995</v>
      </c>
      <c r="U6558">
        <v>9.7930909999999996E-2</v>
      </c>
      <c r="V6558">
        <v>-7.8521369999999993E-2</v>
      </c>
      <c r="W6558">
        <v>0.37074020000000002</v>
      </c>
      <c r="X6558">
        <v>0.92541130000000005</v>
      </c>
      <c r="Y6558">
        <v>-2.4528140000000002E-3</v>
      </c>
      <c r="Z6558">
        <v>-3.6499739999999998E-3</v>
      </c>
      <c r="AA6558">
        <v>0.9999903</v>
      </c>
      <c r="AB6558">
        <v>25</v>
      </c>
      <c r="AC6558">
        <v>0.51380000000000303</v>
      </c>
      <c r="AD6558">
        <v>-0.12356639999999899</v>
      </c>
      <c r="AE6558">
        <v>1.6599999999982601E-2</v>
      </c>
      <c r="AF6558">
        <v>-2.9165562322319202E-3</v>
      </c>
      <c r="AG6558">
        <v>-0.12356639999999899</v>
      </c>
      <c r="AH6558">
        <v>0.485980069600773</v>
      </c>
      <c r="AI6558">
        <v>104.265610812578</v>
      </c>
      <c r="AJ6558">
        <v>90.343850225780002</v>
      </c>
      <c r="AK6558">
        <v>0.50145168217724401</v>
      </c>
      <c r="AL6558">
        <v>68.238725148774293</v>
      </c>
      <c r="AM6558">
        <v>94.849943690186706</v>
      </c>
      <c r="AN6558">
        <v>0.99999998780520305</v>
      </c>
    </row>
    <row r="6559" spans="1:40" x14ac:dyDescent="0.25">
      <c r="A6559" t="str">
        <f>"20190304164537834"</f>
        <v>20190304164537834</v>
      </c>
      <c r="B6559" t="str">
        <f>"1551689137826897"</f>
        <v>1551689137826897</v>
      </c>
      <c r="C6559" t="s">
        <v>40</v>
      </c>
      <c r="D6559">
        <v>5.1359890000000004</v>
      </c>
      <c r="E6559">
        <v>0.54156800000000005</v>
      </c>
      <c r="F6559" t="s">
        <v>41</v>
      </c>
      <c r="G6559">
        <v>-153.43549999999999</v>
      </c>
      <c r="H6559">
        <v>0.99096620000000002</v>
      </c>
      <c r="I6559">
        <v>137.10730000000001</v>
      </c>
      <c r="J6559">
        <v>-153.91650000000001</v>
      </c>
      <c r="K6559">
        <v>1.1098129999999999</v>
      </c>
      <c r="L6559">
        <v>137.09059999999999</v>
      </c>
      <c r="M6559">
        <v>0.99960899999999997</v>
      </c>
      <c r="N6559">
        <v>-1.3330450000000001E-2</v>
      </c>
      <c r="O6559">
        <v>2.4577470000000001E-2</v>
      </c>
      <c r="P6559">
        <v>0.92765640000000005</v>
      </c>
      <c r="Q6559">
        <v>0.35840129999999998</v>
      </c>
      <c r="R6559">
        <v>0.1048906</v>
      </c>
      <c r="S6559">
        <v>3.4348749999999999</v>
      </c>
      <c r="T6559">
        <v>-0.55138750000000003</v>
      </c>
      <c r="U6559">
        <v>0.1001129</v>
      </c>
      <c r="V6559">
        <v>-8.1022179999999999E-2</v>
      </c>
      <c r="W6559">
        <v>0.37099389999999999</v>
      </c>
      <c r="X6559">
        <v>0.92509399999999997</v>
      </c>
      <c r="Y6559">
        <v>-4.7539160000000004E-3</v>
      </c>
      <c r="Z6559">
        <v>-3.1820820000000001E-3</v>
      </c>
      <c r="AA6559">
        <v>0.99998359999999997</v>
      </c>
      <c r="AB6559">
        <v>25</v>
      </c>
      <c r="AC6559">
        <v>0.48100000000002302</v>
      </c>
      <c r="AD6559">
        <v>-0.118846799999999</v>
      </c>
      <c r="AE6559">
        <v>1.6700000000014301E-2</v>
      </c>
      <c r="AF6559">
        <v>-4.5921289711226996E-3</v>
      </c>
      <c r="AG6559">
        <v>-0.118846799999999</v>
      </c>
      <c r="AH6559">
        <v>0.45360591166865699</v>
      </c>
      <c r="AI6559">
        <v>104.681022136073</v>
      </c>
      <c r="AJ6559">
        <v>90.580020265016202</v>
      </c>
      <c r="AK6559">
        <v>0.46893919927798899</v>
      </c>
      <c r="AL6559">
        <v>68.223072998957804</v>
      </c>
      <c r="AM6559">
        <v>95.0053438323027</v>
      </c>
      <c r="AN6559">
        <v>0.99999998816258096</v>
      </c>
    </row>
    <row r="6560" spans="1:40" x14ac:dyDescent="0.25">
      <c r="A6560" t="str">
        <f>"20190304164537855"</f>
        <v>20190304164537855</v>
      </c>
      <c r="B6560" t="str">
        <f>"1551689137846418"</f>
        <v>1551689137846418</v>
      </c>
      <c r="C6560" t="s">
        <v>40</v>
      </c>
      <c r="D6560">
        <v>5.1288179999999999</v>
      </c>
      <c r="E6560">
        <v>0.54156150000000003</v>
      </c>
      <c r="F6560" t="s">
        <v>41</v>
      </c>
      <c r="G6560">
        <v>-153.0016</v>
      </c>
      <c r="H6560">
        <v>0.96352990000000005</v>
      </c>
      <c r="I6560">
        <v>137.11750000000001</v>
      </c>
      <c r="J6560">
        <v>-153.68049999999999</v>
      </c>
      <c r="K6560">
        <v>1.1098870000000001</v>
      </c>
      <c r="L6560">
        <v>137.09469999999999</v>
      </c>
      <c r="M6560">
        <v>0.99964370000000002</v>
      </c>
      <c r="N6560">
        <v>-1.332815E-2</v>
      </c>
      <c r="O6560">
        <v>2.3126170000000001E-2</v>
      </c>
      <c r="P6560">
        <v>0.92725270000000004</v>
      </c>
      <c r="Q6560">
        <v>0.35949370000000003</v>
      </c>
      <c r="R6560">
        <v>0.1047226</v>
      </c>
      <c r="S6560">
        <v>3.4346770000000002</v>
      </c>
      <c r="T6560">
        <v>-0.54918290000000003</v>
      </c>
      <c r="U6560">
        <v>0.10130309999999999</v>
      </c>
      <c r="V6560">
        <v>-8.2274349999999996E-2</v>
      </c>
      <c r="W6560">
        <v>0.37206610000000001</v>
      </c>
      <c r="X6560">
        <v>0.92455270000000001</v>
      </c>
      <c r="Y6560">
        <v>-6.5122259999999899E-3</v>
      </c>
      <c r="Z6560">
        <v>-2.8056660000000001E-3</v>
      </c>
      <c r="AA6560">
        <v>0.99997480000000005</v>
      </c>
      <c r="AB6560">
        <v>25</v>
      </c>
      <c r="AC6560">
        <v>0.67889999999999795</v>
      </c>
      <c r="AD6560">
        <v>-0.14635709999999999</v>
      </c>
      <c r="AE6560">
        <v>2.28000000000179E-2</v>
      </c>
      <c r="AF6560">
        <v>-6.77752157427407E-3</v>
      </c>
      <c r="AG6560">
        <v>-0.14635709999999999</v>
      </c>
      <c r="AH6560">
        <v>0.64911244572885396</v>
      </c>
      <c r="AI6560">
        <v>102.705486481092</v>
      </c>
      <c r="AJ6560">
        <v>90.598215723190407</v>
      </c>
      <c r="AK6560">
        <v>0.66544218585779003</v>
      </c>
      <c r="AL6560">
        <v>68.156903812920703</v>
      </c>
      <c r="AM6560">
        <v>95.085257580013504</v>
      </c>
      <c r="AN6560">
        <v>0.99999997325721002</v>
      </c>
    </row>
    <row r="6561" spans="1:40" x14ac:dyDescent="0.25">
      <c r="A6561" t="str">
        <f>"20190304164537878"</f>
        <v>20190304164537878</v>
      </c>
      <c r="B6561" t="str">
        <f>"1551689137866914"</f>
        <v>1551689137866914</v>
      </c>
      <c r="C6561" t="s">
        <v>40</v>
      </c>
      <c r="D6561">
        <v>5.2496140000000002</v>
      </c>
      <c r="E6561">
        <v>0.54165450000000004</v>
      </c>
      <c r="F6561" t="s">
        <v>41</v>
      </c>
      <c r="G6561">
        <v>-152.77699999999999</v>
      </c>
      <c r="H6561">
        <v>0.96647039999999995</v>
      </c>
      <c r="I6561">
        <v>137.12219999999999</v>
      </c>
      <c r="J6561">
        <v>-153.4255</v>
      </c>
      <c r="K6561">
        <v>1.1099650000000001</v>
      </c>
      <c r="L6561">
        <v>137.09880000000001</v>
      </c>
      <c r="M6561">
        <v>0.99967649999999997</v>
      </c>
      <c r="N6561">
        <v>-1.3325500000000001E-2</v>
      </c>
      <c r="O6561">
        <v>2.1666069999999999E-2</v>
      </c>
      <c r="P6561">
        <v>0.92730080000000004</v>
      </c>
      <c r="Q6561">
        <v>0.35956440000000001</v>
      </c>
      <c r="R6561">
        <v>0.1040529</v>
      </c>
      <c r="S6561">
        <v>3.4348299999999998</v>
      </c>
      <c r="T6561">
        <v>-0.54525950000000001</v>
      </c>
      <c r="U6561">
        <v>0.1054688</v>
      </c>
      <c r="V6561">
        <v>-8.303779E-2</v>
      </c>
      <c r="W6561">
        <v>0.3721179</v>
      </c>
      <c r="X6561">
        <v>0.92446360000000005</v>
      </c>
      <c r="Y6561">
        <v>-9.1296580000000006E-3</v>
      </c>
      <c r="Z6561">
        <v>-2.3484159999999999E-3</v>
      </c>
      <c r="AA6561">
        <v>0.99995560000000006</v>
      </c>
      <c r="AB6561">
        <v>25</v>
      </c>
      <c r="AC6561">
        <v>0.64849999999998398</v>
      </c>
      <c r="AD6561">
        <v>-0.143494599999999</v>
      </c>
      <c r="AE6561">
        <v>2.3399999999980901E-2</v>
      </c>
      <c r="AF6561">
        <v>-8.9072701521344198E-3</v>
      </c>
      <c r="AG6561">
        <v>-0.143494599999999</v>
      </c>
      <c r="AH6561">
        <v>0.618606506260867</v>
      </c>
      <c r="AI6561">
        <v>103.058300649091</v>
      </c>
      <c r="AJ6561">
        <v>90.824940759360203</v>
      </c>
      <c r="AK6561">
        <v>0.63509373267179903</v>
      </c>
      <c r="AL6561">
        <v>68.153706380115693</v>
      </c>
      <c r="AM6561">
        <v>95.132685844182802</v>
      </c>
      <c r="AN6561">
        <v>0.99999997689672604</v>
      </c>
    </row>
    <row r="6562" spans="1:40" x14ac:dyDescent="0.25">
      <c r="A6562" t="str">
        <f>"20190304164537900"</f>
        <v>20190304164537900</v>
      </c>
      <c r="B6562" t="str">
        <f>"1551689137887031"</f>
        <v>1551689137887031</v>
      </c>
      <c r="C6562" t="s">
        <v>40</v>
      </c>
      <c r="D6562">
        <v>5.1513749999999998</v>
      </c>
      <c r="E6562">
        <v>0.53846190000000005</v>
      </c>
      <c r="F6562" t="s">
        <v>41</v>
      </c>
      <c r="G6562">
        <v>-152.55179999999999</v>
      </c>
      <c r="H6562">
        <v>0.97103669999999997</v>
      </c>
      <c r="I6562">
        <v>137.12569999999999</v>
      </c>
      <c r="J6562">
        <v>-153.17920000000001</v>
      </c>
      <c r="K6562">
        <v>1.11005</v>
      </c>
      <c r="L6562">
        <v>137.1026</v>
      </c>
      <c r="M6562">
        <v>0.99970349999999997</v>
      </c>
      <c r="N6562">
        <v>-1.3322860000000001E-2</v>
      </c>
      <c r="O6562">
        <v>2.0381799999999999E-2</v>
      </c>
      <c r="P6562">
        <v>0.92714779999999997</v>
      </c>
      <c r="Q6562">
        <v>0.35978009999999999</v>
      </c>
      <c r="R6562">
        <v>0.1046672</v>
      </c>
      <c r="S6562">
        <v>3.4351199999999902</v>
      </c>
      <c r="T6562">
        <v>-0.5462226</v>
      </c>
      <c r="U6562">
        <v>0.1057739</v>
      </c>
      <c r="V6562">
        <v>-8.4928589999999998E-2</v>
      </c>
      <c r="W6562">
        <v>0.37231399999999998</v>
      </c>
      <c r="X6562">
        <v>0.9242129</v>
      </c>
      <c r="Y6562">
        <v>-1.046911E-2</v>
      </c>
      <c r="Z6562">
        <v>-2.0523640000000001E-3</v>
      </c>
      <c r="AA6562">
        <v>0.99994309999999997</v>
      </c>
      <c r="AB6562">
        <v>25</v>
      </c>
      <c r="AC6562">
        <v>0.62740000000002205</v>
      </c>
      <c r="AD6562">
        <v>-0.13901329999999901</v>
      </c>
      <c r="AE6562">
        <v>2.3099999999999399E-2</v>
      </c>
      <c r="AF6562">
        <v>-9.8248417058671399E-3</v>
      </c>
      <c r="AG6562">
        <v>-0.13901329999999901</v>
      </c>
      <c r="AH6562">
        <v>0.59840262129273702</v>
      </c>
      <c r="AI6562">
        <v>103.07655612006801</v>
      </c>
      <c r="AJ6562">
        <v>90.940623203931494</v>
      </c>
      <c r="AK6562">
        <v>0.614415919602882</v>
      </c>
      <c r="AL6562">
        <v>68.141602120948505</v>
      </c>
      <c r="AM6562">
        <v>95.250329170453895</v>
      </c>
      <c r="AN6562">
        <v>1.00000003226089</v>
      </c>
    </row>
    <row r="6563" spans="1:40" x14ac:dyDescent="0.25">
      <c r="A6563" t="str">
        <f>"20190304164537923"</f>
        <v>20190304164537923</v>
      </c>
      <c r="B6563" t="str">
        <f>"1551689137916311"</f>
        <v>1551689137916311</v>
      </c>
      <c r="C6563" t="s">
        <v>40</v>
      </c>
      <c r="D6563">
        <v>4.7825540000000002</v>
      </c>
      <c r="E6563">
        <v>0.53757349999999904</v>
      </c>
      <c r="F6563" t="s">
        <v>41</v>
      </c>
      <c r="G6563">
        <v>-152.38470000000001</v>
      </c>
      <c r="H6563">
        <v>0.845053099999999</v>
      </c>
      <c r="I6563">
        <v>137.1421</v>
      </c>
      <c r="J6563">
        <v>-152.92699999999999</v>
      </c>
      <c r="K6563">
        <v>1.110158</v>
      </c>
      <c r="L6563">
        <v>137.1063</v>
      </c>
      <c r="M6563">
        <v>0.99972649999999996</v>
      </c>
      <c r="N6563">
        <v>-1.331998E-2</v>
      </c>
      <c r="O6563">
        <v>1.9228189999999999E-2</v>
      </c>
      <c r="P6563">
        <v>0.92709189999999997</v>
      </c>
      <c r="Q6563">
        <v>0.35972150000000003</v>
      </c>
      <c r="R6563">
        <v>0.1053632</v>
      </c>
      <c r="S6563">
        <v>3.6928860000000001</v>
      </c>
      <c r="T6563">
        <v>-1.231706</v>
      </c>
      <c r="U6563">
        <v>0.1843262</v>
      </c>
      <c r="V6563">
        <v>-8.6792099999999997E-2</v>
      </c>
      <c r="W6563">
        <v>0.37223309999999998</v>
      </c>
      <c r="X6563">
        <v>0.92407229999999996</v>
      </c>
      <c r="Y6563">
        <v>-2.9909970000000001E-2</v>
      </c>
      <c r="Z6563">
        <v>-9.3152649999999997E-4</v>
      </c>
      <c r="AA6563">
        <v>0.9995522</v>
      </c>
      <c r="AB6563">
        <v>25</v>
      </c>
      <c r="AC6563">
        <v>0.542300000000011</v>
      </c>
      <c r="AD6563">
        <v>-0.26510489999999998</v>
      </c>
      <c r="AE6563">
        <v>3.5799999999994697E-2</v>
      </c>
      <c r="AF6563">
        <v>-2.0489688783775498E-2</v>
      </c>
      <c r="AG6563">
        <v>-0.26510489999999998</v>
      </c>
      <c r="AH6563">
        <v>0.43854151256047502</v>
      </c>
      <c r="AI6563">
        <v>121.125939237159</v>
      </c>
      <c r="AJ6563">
        <v>92.675047908388294</v>
      </c>
      <c r="AK6563">
        <v>0.51285387157483298</v>
      </c>
      <c r="AL6563">
        <v>68.146595173283103</v>
      </c>
      <c r="AM6563">
        <v>95.365678805397096</v>
      </c>
      <c r="AN6563">
        <v>0.99999998249265398</v>
      </c>
    </row>
    <row r="6564" spans="1:40" x14ac:dyDescent="0.25">
      <c r="A6564" t="str">
        <f>"20190304164537944"</f>
        <v>20190304164537944</v>
      </c>
      <c r="B6564" t="str">
        <f>"1551689137936811"</f>
        <v>1551689137936811</v>
      </c>
      <c r="C6564" t="s">
        <v>40</v>
      </c>
      <c r="D6564">
        <v>5.0609250000000001</v>
      </c>
      <c r="E6564">
        <v>0.53880980000000001</v>
      </c>
      <c r="F6564" t="s">
        <v>41</v>
      </c>
      <c r="G6564">
        <v>-152.15960000000001</v>
      </c>
      <c r="H6564">
        <v>0.85092760000000001</v>
      </c>
      <c r="I6564">
        <v>137.14599999999999</v>
      </c>
      <c r="J6564">
        <v>-152.6832</v>
      </c>
      <c r="K6564">
        <v>1.1102639999999999</v>
      </c>
      <c r="L6564">
        <v>137.10980000000001</v>
      </c>
      <c r="M6564">
        <v>0.99974419999999997</v>
      </c>
      <c r="N6564">
        <v>-1.3316980000000001E-2</v>
      </c>
      <c r="O6564">
        <v>1.8287689999999999E-2</v>
      </c>
      <c r="P6564">
        <v>0.92731419999999998</v>
      </c>
      <c r="Q6564">
        <v>0.35923929999999998</v>
      </c>
      <c r="R6564">
        <v>0.10505200000000001</v>
      </c>
      <c r="S6564">
        <v>3.6990050000000001</v>
      </c>
      <c r="T6564">
        <v>-1.24946</v>
      </c>
      <c r="U6564">
        <v>0.1910095</v>
      </c>
      <c r="V6564">
        <v>-8.7457190000000004E-2</v>
      </c>
      <c r="W6564">
        <v>0.3717258</v>
      </c>
      <c r="X6564">
        <v>0.92421379999999997</v>
      </c>
      <c r="Y6564">
        <v>-3.2363490000000002E-2</v>
      </c>
      <c r="Z6564">
        <v>-2.319566E-4</v>
      </c>
      <c r="AA6564">
        <v>0.99947609999999998</v>
      </c>
      <c r="AB6564">
        <v>25</v>
      </c>
      <c r="AC6564">
        <v>0.52359999999998696</v>
      </c>
      <c r="AD6564">
        <v>-0.25933639999999902</v>
      </c>
      <c r="AE6564">
        <v>3.6200000000007997E-2</v>
      </c>
      <c r="AF6564">
        <v>-2.1394255018386401E-2</v>
      </c>
      <c r="AG6564">
        <v>-0.25933639999999902</v>
      </c>
      <c r="AH6564">
        <v>0.42131132887772699</v>
      </c>
      <c r="AI6564">
        <v>121.581273521019</v>
      </c>
      <c r="AJ6564">
        <v>92.906991659771194</v>
      </c>
      <c r="AK6564">
        <v>0.49519321315368198</v>
      </c>
      <c r="AL6564">
        <v>68.177908480838198</v>
      </c>
      <c r="AM6564">
        <v>95.405730551592498</v>
      </c>
      <c r="AN6564">
        <v>0.99999998928938705</v>
      </c>
    </row>
    <row r="6565" spans="1:40" x14ac:dyDescent="0.25">
      <c r="A6565" t="str">
        <f>"20190304164537967"</f>
        <v>20190304164537967</v>
      </c>
      <c r="B6565" t="str">
        <f>"1551689137956327"</f>
        <v>1551689137956327</v>
      </c>
      <c r="C6565" t="s">
        <v>40</v>
      </c>
      <c r="D6565">
        <v>5.2609190000000003</v>
      </c>
      <c r="E6565">
        <v>0.53746059999999996</v>
      </c>
      <c r="F6565" t="s">
        <v>41</v>
      </c>
      <c r="G6565">
        <v>-151.9332</v>
      </c>
      <c r="H6565">
        <v>0.86084349999999998</v>
      </c>
      <c r="I6565">
        <v>137.14500000000001</v>
      </c>
      <c r="J6565">
        <v>-152.4333</v>
      </c>
      <c r="K6565">
        <v>1.110395</v>
      </c>
      <c r="L6565">
        <v>137.11330000000001</v>
      </c>
      <c r="M6565">
        <v>0.99975809999999998</v>
      </c>
      <c r="N6565">
        <v>-1.331392E-2</v>
      </c>
      <c r="O6565">
        <v>1.7513029999999999E-2</v>
      </c>
      <c r="P6565">
        <v>0.92747599999999997</v>
      </c>
      <c r="Q6565">
        <v>0.35923100000000002</v>
      </c>
      <c r="R6565">
        <v>0.1036412</v>
      </c>
      <c r="S6565">
        <v>3.6908110000000001</v>
      </c>
      <c r="T6565">
        <v>-1.227193</v>
      </c>
      <c r="U6565">
        <v>0.1743469</v>
      </c>
      <c r="V6565">
        <v>-8.6887080000000005E-2</v>
      </c>
      <c r="W6565">
        <v>0.3716855</v>
      </c>
      <c r="X6565">
        <v>0.92428379999999999</v>
      </c>
      <c r="Y6565">
        <v>-2.8930379999999999E-2</v>
      </c>
      <c r="Z6565">
        <v>-5.6036050000000004E-4</v>
      </c>
      <c r="AA6565">
        <v>0.99958130000000001</v>
      </c>
      <c r="AB6565">
        <v>25</v>
      </c>
      <c r="AC6565">
        <v>0.50010000000000299</v>
      </c>
      <c r="AD6565">
        <v>-0.24955150000000001</v>
      </c>
      <c r="AE6565">
        <v>3.17000000000007E-2</v>
      </c>
      <c r="AF6565">
        <v>-1.8378168361339101E-2</v>
      </c>
      <c r="AG6565">
        <v>-0.24955150000000001</v>
      </c>
      <c r="AH6565">
        <v>0.40110209010826903</v>
      </c>
      <c r="AI6565">
        <v>121.86146734117401</v>
      </c>
      <c r="AJ6565">
        <v>92.623410729127599</v>
      </c>
      <c r="AK6565">
        <v>0.47275426482876898</v>
      </c>
      <c r="AL6565">
        <v>68.180396167251502</v>
      </c>
      <c r="AM6565">
        <v>95.370294396622697</v>
      </c>
      <c r="AN6565">
        <v>1.0000000092618</v>
      </c>
    </row>
    <row r="6566" spans="1:40" x14ac:dyDescent="0.25">
      <c r="A6566" t="str">
        <f>"20190304164537989"</f>
        <v>20190304164537989</v>
      </c>
      <c r="B6566" t="str">
        <f>"1551689137986432"</f>
        <v>1551689137986432</v>
      </c>
      <c r="C6566" t="s">
        <v>40</v>
      </c>
      <c r="D6566">
        <v>5.0988410000000002</v>
      </c>
      <c r="E6566">
        <v>0.53584500000000002</v>
      </c>
      <c r="F6566" t="s">
        <v>41</v>
      </c>
      <c r="G6566">
        <v>-151.70920000000001</v>
      </c>
      <c r="H6566">
        <v>0.86543809999999999</v>
      </c>
      <c r="I6566">
        <v>137.14869999999999</v>
      </c>
      <c r="J6566">
        <v>-152.18819999999999</v>
      </c>
      <c r="K6566">
        <v>1.1105309999999999</v>
      </c>
      <c r="L6566">
        <v>137.11680000000001</v>
      </c>
      <c r="M6566">
        <v>0.99976779999999998</v>
      </c>
      <c r="N6566">
        <v>-1.3311119999999999E-2</v>
      </c>
      <c r="O6566">
        <v>1.69459E-2</v>
      </c>
      <c r="P6566">
        <v>0.92767860000000002</v>
      </c>
      <c r="Q6566">
        <v>0.3591704</v>
      </c>
      <c r="R6566">
        <v>0.10202600000000001</v>
      </c>
      <c r="S6566">
        <v>3.6989899999999998</v>
      </c>
      <c r="T6566">
        <v>-1.2511460000000001</v>
      </c>
      <c r="U6566">
        <v>0.18069460000000001</v>
      </c>
      <c r="V6566">
        <v>-8.592661E-2</v>
      </c>
      <c r="W6566">
        <v>0.3715926</v>
      </c>
      <c r="X6566">
        <v>0.92441090000000004</v>
      </c>
      <c r="Y6566">
        <v>-3.0936370000000001E-2</v>
      </c>
      <c r="Z6566" s="1">
        <v>-5.3810890000000003E-5</v>
      </c>
      <c r="AA6566">
        <v>0.9995214</v>
      </c>
      <c r="AB6566">
        <v>25</v>
      </c>
      <c r="AC6566">
        <v>0.47899999999998399</v>
      </c>
      <c r="AD6566">
        <v>-0.245092899999999</v>
      </c>
      <c r="AE6566">
        <v>3.1899999999978897E-2</v>
      </c>
      <c r="AF6566">
        <v>-1.88612946631482E-2</v>
      </c>
      <c r="AG6566">
        <v>-0.245092899999999</v>
      </c>
      <c r="AH6566">
        <v>0.38033503784992601</v>
      </c>
      <c r="AI6566">
        <v>122.766232330078</v>
      </c>
      <c r="AJ6566">
        <v>92.839044213290506</v>
      </c>
      <c r="AK6566">
        <v>0.45285871867844701</v>
      </c>
      <c r="AL6566">
        <v>68.186128856584702</v>
      </c>
      <c r="AM6566">
        <v>95.310545206389904</v>
      </c>
      <c r="AN6566">
        <v>0.99999997735983004</v>
      </c>
    </row>
    <row r="6567" spans="1:40" x14ac:dyDescent="0.25">
      <c r="A6567" t="str">
        <f>"20190304164538012"</f>
        <v>20190304164538012</v>
      </c>
      <c r="B6567" t="str">
        <f>"1551689138006928"</f>
        <v>1551689138006928</v>
      </c>
      <c r="C6567" t="s">
        <v>40</v>
      </c>
      <c r="D6567">
        <v>5.1203430000000001</v>
      </c>
      <c r="E6567">
        <v>0.53516430000000004</v>
      </c>
      <c r="F6567" t="s">
        <v>41</v>
      </c>
      <c r="G6567">
        <v>-151.4864</v>
      </c>
      <c r="H6567">
        <v>0.86785789999999996</v>
      </c>
      <c r="I6567">
        <v>137.15219999999999</v>
      </c>
      <c r="J6567">
        <v>-151.93340000000001</v>
      </c>
      <c r="K6567">
        <v>1.11069</v>
      </c>
      <c r="L6567">
        <v>137.12049999999999</v>
      </c>
      <c r="M6567">
        <v>0.9997743</v>
      </c>
      <c r="N6567">
        <v>-1.330837E-2</v>
      </c>
      <c r="O6567">
        <v>1.6556970000000001E-2</v>
      </c>
      <c r="P6567">
        <v>0.92790130000000004</v>
      </c>
      <c r="Q6567">
        <v>0.3590025</v>
      </c>
      <c r="R6567">
        <v>0.10058</v>
      </c>
      <c r="S6567">
        <v>3.709946</v>
      </c>
      <c r="T6567">
        <v>-1.2828630000000001</v>
      </c>
      <c r="U6567">
        <v>0.18763730000000001</v>
      </c>
      <c r="V6567">
        <v>-8.497383E-2</v>
      </c>
      <c r="W6567">
        <v>0.37139250000000001</v>
      </c>
      <c r="X6567">
        <v>0.92457940000000005</v>
      </c>
      <c r="Y6567">
        <v>-3.2872369999999998E-2</v>
      </c>
      <c r="Z6567">
        <v>3.9977669999999998E-4</v>
      </c>
      <c r="AA6567">
        <v>0.99945949999999995</v>
      </c>
      <c r="AB6567">
        <v>25</v>
      </c>
      <c r="AC6567">
        <v>0.44700000000000201</v>
      </c>
      <c r="AD6567">
        <v>-0.2428321</v>
      </c>
      <c r="AE6567">
        <v>3.17000000000007E-2</v>
      </c>
      <c r="AF6567">
        <v>-1.8779561149810699E-2</v>
      </c>
      <c r="AG6567">
        <v>-0.2428321</v>
      </c>
      <c r="AH6567">
        <v>0.34589442499787698</v>
      </c>
      <c r="AI6567">
        <v>125.030788755399</v>
      </c>
      <c r="AJ6567">
        <v>93.107694575463398</v>
      </c>
      <c r="AK6567">
        <v>0.42304025098328601</v>
      </c>
      <c r="AL6567">
        <v>68.1984780661885</v>
      </c>
      <c r="AM6567">
        <v>95.251039616470806</v>
      </c>
      <c r="AN6567">
        <v>1.0000000038727299</v>
      </c>
    </row>
    <row r="6568" spans="1:40" x14ac:dyDescent="0.25">
      <c r="A6568" t="str">
        <f>"20190304164538034"</f>
        <v>20190304164538034</v>
      </c>
      <c r="B6568" t="str">
        <f>"1551689138026452"</f>
        <v>1551689138026452</v>
      </c>
      <c r="C6568" t="s">
        <v>40</v>
      </c>
      <c r="D6568">
        <v>5.1253409999999997</v>
      </c>
      <c r="E6568">
        <v>0.53459440000000003</v>
      </c>
      <c r="F6568" t="s">
        <v>41</v>
      </c>
      <c r="G6568">
        <v>-151.26150000000001</v>
      </c>
      <c r="H6568">
        <v>0.87602449999999998</v>
      </c>
      <c r="I6568">
        <v>137.15430000000001</v>
      </c>
      <c r="J6568">
        <v>-151.69130000000001</v>
      </c>
      <c r="K6568">
        <v>1.1108229999999999</v>
      </c>
      <c r="L6568">
        <v>137.1242</v>
      </c>
      <c r="M6568">
        <v>0.99977740000000004</v>
      </c>
      <c r="N6568">
        <v>-1.3305890000000001E-2</v>
      </c>
      <c r="O6568">
        <v>1.6372950000000001E-2</v>
      </c>
      <c r="P6568">
        <v>0.92812839999999996</v>
      </c>
      <c r="Q6568">
        <v>0.35885440000000002</v>
      </c>
      <c r="R6568">
        <v>9.9001469999999994E-2</v>
      </c>
      <c r="S6568">
        <v>3.714798</v>
      </c>
      <c r="T6568">
        <v>-1.297347</v>
      </c>
      <c r="U6568">
        <v>0.18673709999999999</v>
      </c>
      <c r="V6568">
        <v>-8.3679950000000003E-2</v>
      </c>
      <c r="W6568">
        <v>0.37121660000000001</v>
      </c>
      <c r="X6568">
        <v>0.92476800000000003</v>
      </c>
      <c r="Y6568">
        <v>-3.2727770000000003E-2</v>
      </c>
      <c r="Z6568">
        <v>4.3379980000000001E-4</v>
      </c>
      <c r="AA6568">
        <v>0.99946420000000002</v>
      </c>
      <c r="AB6568">
        <v>25</v>
      </c>
      <c r="AC6568">
        <v>0.42980000000000002</v>
      </c>
      <c r="AD6568">
        <v>-0.23479849999999899</v>
      </c>
      <c r="AE6568">
        <v>3.0100000000004401E-2</v>
      </c>
      <c r="AF6568">
        <v>-1.7778359750621399E-2</v>
      </c>
      <c r="AG6568">
        <v>-0.23479849999999899</v>
      </c>
      <c r="AH6568">
        <v>0.33171978919427902</v>
      </c>
      <c r="AI6568">
        <v>125.252953554511</v>
      </c>
      <c r="AJ6568">
        <v>93.067804216427007</v>
      </c>
      <c r="AK6568">
        <v>0.406797768210162</v>
      </c>
      <c r="AL6568">
        <v>68.209331715740703</v>
      </c>
      <c r="AM6568">
        <v>95.170470957706399</v>
      </c>
      <c r="AN6568">
        <v>0.99999997598578005</v>
      </c>
    </row>
    <row r="6569" spans="1:40" x14ac:dyDescent="0.25">
      <c r="A6569" t="str">
        <f>"20190304164538055"</f>
        <v>20190304164538055</v>
      </c>
      <c r="B6569" t="str">
        <f>"1551689138046945"</f>
        <v>1551689138046945</v>
      </c>
      <c r="C6569" t="s">
        <v>40</v>
      </c>
      <c r="D6569">
        <v>5.142347</v>
      </c>
      <c r="E6569">
        <v>0.53419410000000001</v>
      </c>
      <c r="F6569" t="s">
        <v>41</v>
      </c>
      <c r="G6569">
        <v>-150.84649999999999</v>
      </c>
      <c r="H6569">
        <v>0.81329410000000002</v>
      </c>
      <c r="I6569">
        <v>137.16589999999999</v>
      </c>
      <c r="J6569">
        <v>-151.44999999999999</v>
      </c>
      <c r="K6569">
        <v>1.110924</v>
      </c>
      <c r="L6569">
        <v>137.12790000000001</v>
      </c>
      <c r="M6569">
        <v>0.99977819999999995</v>
      </c>
      <c r="N6569">
        <v>-1.3303509999999999E-2</v>
      </c>
      <c r="O6569">
        <v>1.633685E-2</v>
      </c>
      <c r="P6569">
        <v>0.9285738</v>
      </c>
      <c r="Q6569">
        <v>0.35808010000000001</v>
      </c>
      <c r="R6569">
        <v>9.7618559999999993E-2</v>
      </c>
      <c r="S6569">
        <v>3.7191160000000001</v>
      </c>
      <c r="T6569">
        <v>-1.3097270000000001</v>
      </c>
      <c r="U6569">
        <v>0.18371580000000001</v>
      </c>
      <c r="V6569">
        <v>-8.2415420000000003E-2</v>
      </c>
      <c r="W6569">
        <v>0.37042580000000003</v>
      </c>
      <c r="X6569">
        <v>0.92519859999999998</v>
      </c>
      <c r="Y6569">
        <v>-3.1926679999999999E-2</v>
      </c>
      <c r="Z6569">
        <v>3.0321439999999997E-4</v>
      </c>
      <c r="AA6569">
        <v>0.99949010000000005</v>
      </c>
      <c r="AB6569">
        <v>25</v>
      </c>
      <c r="AC6569">
        <v>0.60349999999999604</v>
      </c>
      <c r="AD6569">
        <v>-0.2976299</v>
      </c>
      <c r="AE6569">
        <v>3.7999999999982402E-2</v>
      </c>
      <c r="AF6569">
        <v>-2.2648067255639299E-2</v>
      </c>
      <c r="AG6569">
        <v>-0.2976299</v>
      </c>
      <c r="AH6569">
        <v>0.48624340625287199</v>
      </c>
      <c r="AI6569">
        <v>121.443189827211</v>
      </c>
      <c r="AJ6569">
        <v>92.666774442965405</v>
      </c>
      <c r="AK6569">
        <v>0.57055161243205799</v>
      </c>
      <c r="AL6569">
        <v>68.258120413198597</v>
      </c>
      <c r="AM6569">
        <v>95.090393589054798</v>
      </c>
      <c r="AN6569">
        <v>1.00000001210068</v>
      </c>
    </row>
    <row r="6570" spans="1:40" x14ac:dyDescent="0.25">
      <c r="A6570" t="str">
        <f>"20190304164538079"</f>
        <v>20190304164538079</v>
      </c>
      <c r="B6570" t="str">
        <f>"1551689138066464"</f>
        <v>1551689138066464</v>
      </c>
      <c r="C6570" t="s">
        <v>40</v>
      </c>
      <c r="D6570">
        <v>5.1285129999999999</v>
      </c>
      <c r="E6570">
        <v>0.53387269999999998</v>
      </c>
      <c r="F6570" t="s">
        <v>41</v>
      </c>
      <c r="G6570">
        <v>-150.624</v>
      </c>
      <c r="H6570">
        <v>0.81765030000000005</v>
      </c>
      <c r="I6570">
        <v>137.16810000000001</v>
      </c>
      <c r="J6570">
        <v>-151.19550000000001</v>
      </c>
      <c r="K6570">
        <v>1.110995</v>
      </c>
      <c r="L6570">
        <v>137.13200000000001</v>
      </c>
      <c r="M6570">
        <v>0.99977729999999998</v>
      </c>
      <c r="N6570">
        <v>-1.3300950000000001E-2</v>
      </c>
      <c r="O6570">
        <v>1.63968E-2</v>
      </c>
      <c r="P6570">
        <v>0.9288613</v>
      </c>
      <c r="Q6570">
        <v>0.3576009</v>
      </c>
      <c r="R6570">
        <v>9.6635970000000002E-2</v>
      </c>
      <c r="S6570">
        <v>3.7211910000000001</v>
      </c>
      <c r="T6570">
        <v>-1.3211809999999999</v>
      </c>
      <c r="U6570">
        <v>0.1811981</v>
      </c>
      <c r="V6570">
        <v>-8.1434179999999995E-2</v>
      </c>
      <c r="W6570">
        <v>0.36993399999999999</v>
      </c>
      <c r="X6570">
        <v>0.92548220000000003</v>
      </c>
      <c r="Y6570">
        <v>-3.1198070000000001E-2</v>
      </c>
      <c r="Z6570">
        <v>1.518433E-4</v>
      </c>
      <c r="AA6570">
        <v>0.99951319999999999</v>
      </c>
      <c r="AB6570">
        <v>25</v>
      </c>
      <c r="AC6570">
        <v>0.571500000000014</v>
      </c>
      <c r="AD6570">
        <v>-0.29334470000000001</v>
      </c>
      <c r="AE6570">
        <v>3.6100000000004601E-2</v>
      </c>
      <c r="AF6570">
        <v>-2.1168531510200601E-2</v>
      </c>
      <c r="AG6570">
        <v>-0.29334470000000001</v>
      </c>
      <c r="AH6570">
        <v>0.45311051080057402</v>
      </c>
      <c r="AI6570">
        <v>122.890617789429</v>
      </c>
      <c r="AJ6570">
        <v>92.674813846283399</v>
      </c>
      <c r="AK6570">
        <v>0.54019288660842701</v>
      </c>
      <c r="AL6570">
        <v>68.2884529639975</v>
      </c>
      <c r="AM6570">
        <v>95.028566534926398</v>
      </c>
      <c r="AN6570">
        <v>0.99999999627255598</v>
      </c>
    </row>
    <row r="6571" spans="1:40" x14ac:dyDescent="0.25">
      <c r="A6571" t="str">
        <f>"20190304164538102"</f>
        <v>20190304164538102</v>
      </c>
      <c r="B6571" t="str">
        <f>"1551689138096720"</f>
        <v>1551689138096720</v>
      </c>
      <c r="C6571" t="s">
        <v>40</v>
      </c>
      <c r="D6571">
        <v>5.1397149999999998</v>
      </c>
      <c r="E6571">
        <v>0.53351590000000004</v>
      </c>
      <c r="F6571" t="s">
        <v>41</v>
      </c>
      <c r="G6571">
        <v>-150.3997</v>
      </c>
      <c r="H6571">
        <v>0.82665679999999997</v>
      </c>
      <c r="I6571">
        <v>137.1704</v>
      </c>
      <c r="J6571">
        <v>-150.93729999999999</v>
      </c>
      <c r="K6571">
        <v>1.1110310000000001</v>
      </c>
      <c r="L6571">
        <v>137.13630000000001</v>
      </c>
      <c r="M6571">
        <v>0.99977539999999998</v>
      </c>
      <c r="N6571">
        <v>-1.329841E-2</v>
      </c>
      <c r="O6571">
        <v>1.650722E-2</v>
      </c>
      <c r="P6571">
        <v>0.92900229999999995</v>
      </c>
      <c r="Q6571">
        <v>0.35701149999999998</v>
      </c>
      <c r="R6571">
        <v>9.7456760000000003E-2</v>
      </c>
      <c r="S6571">
        <v>3.7230989999999999</v>
      </c>
      <c r="T6571">
        <v>-1.3300940000000001</v>
      </c>
      <c r="U6571">
        <v>0.18011469999999999</v>
      </c>
      <c r="V6571">
        <v>-8.2180660000000003E-2</v>
      </c>
      <c r="W6571">
        <v>0.36933719999999998</v>
      </c>
      <c r="X6571">
        <v>0.92565450000000005</v>
      </c>
      <c r="Y6571">
        <v>-3.079308E-2</v>
      </c>
      <c r="Z6571" s="1">
        <v>4.0431040000000002E-5</v>
      </c>
      <c r="AA6571">
        <v>0.99952580000000002</v>
      </c>
      <c r="AB6571">
        <v>25</v>
      </c>
      <c r="AC6571">
        <v>0.53759999999999697</v>
      </c>
      <c r="AD6571">
        <v>-0.28437419999999902</v>
      </c>
      <c r="AE6571">
        <v>3.40999999999951E-2</v>
      </c>
      <c r="AF6571">
        <v>-1.97235685063233E-2</v>
      </c>
      <c r="AG6571">
        <v>-0.28437419999999902</v>
      </c>
      <c r="AH6571">
        <v>0.42081394718798198</v>
      </c>
      <c r="AI6571">
        <v>124.020560580615</v>
      </c>
      <c r="AJ6571">
        <v>92.683491862911893</v>
      </c>
      <c r="AK6571">
        <v>0.50827362997522596</v>
      </c>
      <c r="AL6571">
        <v>68.325252148005504</v>
      </c>
      <c r="AM6571">
        <v>95.073482533729603</v>
      </c>
      <c r="AN6571">
        <v>0.99999994077606102</v>
      </c>
    </row>
    <row r="6572" spans="1:40" x14ac:dyDescent="0.25">
      <c r="A6572" t="str">
        <f>"20190304164538124"</f>
        <v>20190304164538124</v>
      </c>
      <c r="B6572" t="str">
        <f>"1551689138117217"</f>
        <v>1551689138117217</v>
      </c>
      <c r="C6572" t="s">
        <v>40</v>
      </c>
      <c r="D6572">
        <v>5.1339030000000001</v>
      </c>
      <c r="E6572">
        <v>0.53331049999999902</v>
      </c>
      <c r="F6572" t="s">
        <v>41</v>
      </c>
      <c r="G6572">
        <v>-150.17500000000001</v>
      </c>
      <c r="H6572">
        <v>0.83659969999999995</v>
      </c>
      <c r="I6572">
        <v>137.17439999999999</v>
      </c>
      <c r="J6572">
        <v>-150.70439999999999</v>
      </c>
      <c r="K6572">
        <v>1.1110370000000001</v>
      </c>
      <c r="L6572">
        <v>137.14019999999999</v>
      </c>
      <c r="M6572">
        <v>0.99977360000000004</v>
      </c>
      <c r="N6572">
        <v>-1.329603E-2</v>
      </c>
      <c r="O6572">
        <v>1.6610670000000001E-2</v>
      </c>
      <c r="P6572">
        <v>0.92887719999999896</v>
      </c>
      <c r="Q6572">
        <v>0.35693799999999998</v>
      </c>
      <c r="R6572">
        <v>9.8905789999999993E-2</v>
      </c>
      <c r="S6572">
        <v>3.7250209999999999</v>
      </c>
      <c r="T6572">
        <v>-1.3411150000000001</v>
      </c>
      <c r="U6572">
        <v>0.18721009999999999</v>
      </c>
      <c r="V6572">
        <v>-8.354375E-2</v>
      </c>
      <c r="W6572">
        <v>0.36925839999999999</v>
      </c>
      <c r="X6572">
        <v>0.92556400000000005</v>
      </c>
      <c r="Y6572">
        <v>-3.2447810000000001E-2</v>
      </c>
      <c r="Z6572">
        <v>3.0282840000000002E-4</v>
      </c>
      <c r="AA6572">
        <v>0.99947339999999996</v>
      </c>
      <c r="AB6572">
        <v>25</v>
      </c>
      <c r="AC6572">
        <v>0.529399999999981</v>
      </c>
      <c r="AD6572">
        <v>-0.2744373</v>
      </c>
      <c r="AE6572">
        <v>3.4199999999998398E-2</v>
      </c>
      <c r="AF6572">
        <v>-2.00382793857104E-2</v>
      </c>
      <c r="AG6572">
        <v>-0.2744373</v>
      </c>
      <c r="AH6572">
        <v>0.41802540455784398</v>
      </c>
      <c r="AI6572">
        <v>123.255087309781</v>
      </c>
      <c r="AJ6572">
        <v>92.744404177206206</v>
      </c>
      <c r="AK6572">
        <v>0.50046238932389198</v>
      </c>
      <c r="AL6572">
        <v>68.330112315289099</v>
      </c>
      <c r="AM6572">
        <v>95.157685312073994</v>
      </c>
      <c r="AN6572">
        <v>1.0000000211153099</v>
      </c>
    </row>
    <row r="6573" spans="1:40" x14ac:dyDescent="0.25">
      <c r="A6573" t="str">
        <f>"20190304164538145"</f>
        <v>20190304164538145</v>
      </c>
      <c r="B6573" t="str">
        <f>"1551689138136736"</f>
        <v>1551689138136736</v>
      </c>
      <c r="C6573" t="s">
        <v>40</v>
      </c>
      <c r="D6573">
        <v>5.1096779999999997</v>
      </c>
      <c r="E6573">
        <v>0.53318779999999999</v>
      </c>
      <c r="F6573" t="s">
        <v>41</v>
      </c>
      <c r="G6573">
        <v>-149.95359999999999</v>
      </c>
      <c r="H6573">
        <v>0.83975429999999995</v>
      </c>
      <c r="I6573">
        <v>137.17920000000001</v>
      </c>
      <c r="J6573">
        <v>-150.46559999999999</v>
      </c>
      <c r="K6573">
        <v>1.1110310000000001</v>
      </c>
      <c r="L6573">
        <v>137.14420000000001</v>
      </c>
      <c r="M6573">
        <v>0.9997722</v>
      </c>
      <c r="N6573">
        <v>-1.32937E-2</v>
      </c>
      <c r="O6573">
        <v>1.6698879999999999E-2</v>
      </c>
      <c r="P6573">
        <v>0.92839470000000002</v>
      </c>
      <c r="Q6573">
        <v>0.35755179999999998</v>
      </c>
      <c r="R6573">
        <v>0.1011934</v>
      </c>
      <c r="S6573">
        <v>3.72641</v>
      </c>
      <c r="T6573">
        <v>-1.3462799999999999</v>
      </c>
      <c r="U6573">
        <v>0.19392400000000001</v>
      </c>
      <c r="V6573">
        <v>-8.5753099999999999E-2</v>
      </c>
      <c r="W6573">
        <v>0.369865</v>
      </c>
      <c r="X6573">
        <v>0.92511960000000004</v>
      </c>
      <c r="Y6573">
        <v>-3.4031230000000003E-2</v>
      </c>
      <c r="Z6573">
        <v>5.6056960000000001E-4</v>
      </c>
      <c r="AA6573">
        <v>0.99942059999999999</v>
      </c>
      <c r="AB6573">
        <v>25</v>
      </c>
      <c r="AC6573">
        <v>0.51200000000000001</v>
      </c>
      <c r="AD6573">
        <v>-0.27127669999999898</v>
      </c>
      <c r="AE6573">
        <v>3.4999999999996499E-2</v>
      </c>
      <c r="AF6573">
        <v>-2.0669130569190099E-2</v>
      </c>
      <c r="AG6573">
        <v>-0.27127669999999898</v>
      </c>
      <c r="AH6573">
        <v>0.40058180698471801</v>
      </c>
      <c r="AI6573">
        <v>124.070766944382</v>
      </c>
      <c r="AJ6573">
        <v>92.953715431693695</v>
      </c>
      <c r="AK6573">
        <v>0.484235526380003</v>
      </c>
      <c r="AL6573">
        <v>68.292708121528406</v>
      </c>
      <c r="AM6573">
        <v>95.295845895913402</v>
      </c>
      <c r="AN6573">
        <v>0.99999999334438405</v>
      </c>
    </row>
    <row r="6574" spans="1:40" x14ac:dyDescent="0.25">
      <c r="A6574" t="str">
        <f>"20190304164538168"</f>
        <v>20190304164538168</v>
      </c>
      <c r="B6574" t="str">
        <f>"1551689138156256"</f>
        <v>1551689138156256</v>
      </c>
      <c r="C6574" t="s">
        <v>40</v>
      </c>
      <c r="D6574">
        <v>5.0854739999999996</v>
      </c>
      <c r="E6574">
        <v>0.53308840000000002</v>
      </c>
      <c r="F6574" t="s">
        <v>41</v>
      </c>
      <c r="G6574">
        <v>-149.73099999999999</v>
      </c>
      <c r="H6574">
        <v>0.84560040000000003</v>
      </c>
      <c r="I6574">
        <v>137.18440000000001</v>
      </c>
      <c r="J6574">
        <v>-150.21420000000001</v>
      </c>
      <c r="K6574">
        <v>1.1110169999999999</v>
      </c>
      <c r="L6574">
        <v>137.14850000000001</v>
      </c>
      <c r="M6574">
        <v>0.99977119999999997</v>
      </c>
      <c r="N6574">
        <v>-1.329139E-2</v>
      </c>
      <c r="O6574">
        <v>1.6762030000000001E-2</v>
      </c>
      <c r="P6574">
        <v>0.92802379999999995</v>
      </c>
      <c r="Q6574">
        <v>0.35774990000000001</v>
      </c>
      <c r="R6574">
        <v>0.1038617</v>
      </c>
      <c r="S6574">
        <v>3.7279659999999999</v>
      </c>
      <c r="T6574">
        <v>-1.3471280000000001</v>
      </c>
      <c r="U6574">
        <v>0.2041473</v>
      </c>
      <c r="V6574">
        <v>-8.8355589999999998E-2</v>
      </c>
      <c r="W6574">
        <v>0.37005900000000003</v>
      </c>
      <c r="X6574">
        <v>0.92479710000000004</v>
      </c>
      <c r="Y6574">
        <v>-3.6519620000000003E-2</v>
      </c>
      <c r="Z6574">
        <v>9.9184880000000009E-4</v>
      </c>
      <c r="AA6574">
        <v>0.99933240000000001</v>
      </c>
      <c r="AB6574">
        <v>25</v>
      </c>
      <c r="AC6574">
        <v>0.48320000000001001</v>
      </c>
      <c r="AD6574">
        <v>-0.265416599999999</v>
      </c>
      <c r="AE6574">
        <v>3.5899999999998003E-2</v>
      </c>
      <c r="AF6574">
        <v>-2.1379609703640001E-2</v>
      </c>
      <c r="AG6574">
        <v>-0.265416599999999</v>
      </c>
      <c r="AH6574">
        <v>0.37208514076692301</v>
      </c>
      <c r="AI6574">
        <v>125.45647779468</v>
      </c>
      <c r="AJ6574">
        <v>93.288537629101398</v>
      </c>
      <c r="AK6574">
        <v>0.45754826111152502</v>
      </c>
      <c r="AL6574">
        <v>68.280744558675195</v>
      </c>
      <c r="AM6574">
        <v>95.457503090729901</v>
      </c>
      <c r="AN6574">
        <v>1.0000000249668199</v>
      </c>
    </row>
    <row r="6575" spans="1:40" x14ac:dyDescent="0.25">
      <c r="A6575" t="str">
        <f>"20190304164538191"</f>
        <v>20190304164538191</v>
      </c>
      <c r="B6575" t="str">
        <f>"1551689138186515"</f>
        <v>1551689138186515</v>
      </c>
      <c r="C6575" t="s">
        <v>40</v>
      </c>
      <c r="D6575">
        <v>5.0265959999999996</v>
      </c>
      <c r="E6575">
        <v>0.53296860000000001</v>
      </c>
      <c r="F6575" t="s">
        <v>41</v>
      </c>
      <c r="G6575">
        <v>-149.50710000000001</v>
      </c>
      <c r="H6575">
        <v>0.85515799999999997</v>
      </c>
      <c r="I6575">
        <v>137.18950000000001</v>
      </c>
      <c r="J6575">
        <v>-149.96950000000001</v>
      </c>
      <c r="K6575">
        <v>1.1109990000000001</v>
      </c>
      <c r="L6575">
        <v>137.15260000000001</v>
      </c>
      <c r="M6575">
        <v>0.99977070000000001</v>
      </c>
      <c r="N6575">
        <v>-1.32893E-2</v>
      </c>
      <c r="O6575">
        <v>1.6794170000000001E-2</v>
      </c>
      <c r="P6575">
        <v>0.92791990000000002</v>
      </c>
      <c r="Q6575">
        <v>0.35757299999999997</v>
      </c>
      <c r="R6575">
        <v>0.10538690000000001</v>
      </c>
      <c r="S6575">
        <v>3.728485</v>
      </c>
      <c r="T6575">
        <v>-1.349135</v>
      </c>
      <c r="U6575">
        <v>0.21693419999999999</v>
      </c>
      <c r="V6575">
        <v>-8.9836449999999998E-2</v>
      </c>
      <c r="W6575">
        <v>0.36988270000000001</v>
      </c>
      <c r="X6575">
        <v>0.92472489999999996</v>
      </c>
      <c r="Y6575">
        <v>-3.9686649999999997E-2</v>
      </c>
      <c r="Z6575">
        <v>1.55826799999999E-3</v>
      </c>
      <c r="AA6575">
        <v>0.99921099999999996</v>
      </c>
      <c r="AB6575">
        <v>25</v>
      </c>
      <c r="AC6575">
        <v>0.46240000000000198</v>
      </c>
      <c r="AD6575">
        <v>-0.25584099999999999</v>
      </c>
      <c r="AE6575">
        <v>3.6900000000002799E-2</v>
      </c>
      <c r="AF6575">
        <v>-2.2334507720232401E-2</v>
      </c>
      <c r="AG6575">
        <v>-0.25584099999999999</v>
      </c>
      <c r="AH6575">
        <v>0.354974228859538</v>
      </c>
      <c r="AI6575">
        <v>125.727797336061</v>
      </c>
      <c r="AJ6575">
        <v>93.600228654230904</v>
      </c>
      <c r="AK6575">
        <v>0.43813257202646899</v>
      </c>
      <c r="AL6575">
        <v>68.291616045626398</v>
      </c>
      <c r="AM6575">
        <v>95.548836488521502</v>
      </c>
      <c r="AN6575">
        <v>0.99999997009395003</v>
      </c>
    </row>
    <row r="6576" spans="1:40" x14ac:dyDescent="0.25">
      <c r="A6576" t="str">
        <f>"20190304164538212"</f>
        <v>20190304164538212</v>
      </c>
      <c r="B6576" t="str">
        <f>"1551689138207008"</f>
        <v>1551689138207008</v>
      </c>
      <c r="C6576" t="s">
        <v>40</v>
      </c>
      <c r="D6576">
        <v>4.9928169999999996</v>
      </c>
      <c r="E6576">
        <v>0.53288210000000003</v>
      </c>
      <c r="F6576" t="s">
        <v>41</v>
      </c>
      <c r="G6576">
        <v>-149.28440000000001</v>
      </c>
      <c r="H6576">
        <v>0.86238210000000004</v>
      </c>
      <c r="I6576">
        <v>137.19370000000001</v>
      </c>
      <c r="J6576">
        <v>-149.72299999999899</v>
      </c>
      <c r="K6576">
        <v>1.1109869999999999</v>
      </c>
      <c r="L6576">
        <v>137.1568</v>
      </c>
      <c r="M6576">
        <v>0.99977050000000001</v>
      </c>
      <c r="N6576">
        <v>-1.328726E-2</v>
      </c>
      <c r="O6576">
        <v>1.6804070000000001E-2</v>
      </c>
      <c r="P6576">
        <v>0.92775180000000002</v>
      </c>
      <c r="Q6576">
        <v>0.35751919999999998</v>
      </c>
      <c r="R6576">
        <v>0.10703550000000001</v>
      </c>
      <c r="S6576">
        <v>3.7290040000000002</v>
      </c>
      <c r="T6576">
        <v>-1.3531930000000001</v>
      </c>
      <c r="U6576">
        <v>0.2244873</v>
      </c>
      <c r="V6576">
        <v>-9.1460639999999996E-2</v>
      </c>
      <c r="W6576">
        <v>0.36982910000000002</v>
      </c>
      <c r="X6576">
        <v>0.92458720000000005</v>
      </c>
      <c r="Y6576">
        <v>-4.155437E-2</v>
      </c>
      <c r="Z6576">
        <v>1.8986540000000001E-3</v>
      </c>
      <c r="AA6576">
        <v>0.99913439999999998</v>
      </c>
      <c r="AB6576">
        <v>25</v>
      </c>
      <c r="AC6576">
        <v>0.43859999999997901</v>
      </c>
      <c r="AD6576">
        <v>-0.24860489999999999</v>
      </c>
      <c r="AE6576">
        <v>3.6900000000002799E-2</v>
      </c>
      <c r="AF6576">
        <v>-2.2383175053123702E-2</v>
      </c>
      <c r="AG6576">
        <v>-0.24860489999999999</v>
      </c>
      <c r="AH6576">
        <v>0.33294258249572201</v>
      </c>
      <c r="AI6576">
        <v>126.68641721818101</v>
      </c>
      <c r="AJ6576">
        <v>93.846112395086394</v>
      </c>
      <c r="AK6576">
        <v>0.41612037449323402</v>
      </c>
      <c r="AL6576">
        <v>68.294923339945598</v>
      </c>
      <c r="AM6576">
        <v>95.649348934212099</v>
      </c>
      <c r="AN6576">
        <v>1.0000000511399201</v>
      </c>
    </row>
    <row r="6577" spans="1:40" x14ac:dyDescent="0.25">
      <c r="A6577" t="str">
        <f>"20190304164538235"</f>
        <v>20190304164538235</v>
      </c>
      <c r="B6577" t="str">
        <f>"1551689138226528"</f>
        <v>1551689138226528</v>
      </c>
      <c r="C6577" t="s">
        <v>40</v>
      </c>
      <c r="D6577">
        <v>5.0161749999999996</v>
      </c>
      <c r="E6577">
        <v>0.53924919999999898</v>
      </c>
      <c r="F6577" t="s">
        <v>41</v>
      </c>
      <c r="G6577">
        <v>-149.0615</v>
      </c>
      <c r="H6577">
        <v>0.87056089999999997</v>
      </c>
      <c r="I6577">
        <v>137.19799999999901</v>
      </c>
      <c r="J6577">
        <v>-149.48099999999999</v>
      </c>
      <c r="K6577">
        <v>1.110976</v>
      </c>
      <c r="L6577">
        <v>137.1609</v>
      </c>
      <c r="M6577">
        <v>0.99977079999999996</v>
      </c>
      <c r="N6577">
        <v>-1.328535E-2</v>
      </c>
      <c r="O6577">
        <v>1.6799990000000001E-2</v>
      </c>
      <c r="P6577">
        <v>0.92732479999999995</v>
      </c>
      <c r="Q6577">
        <v>0.35859190000000002</v>
      </c>
      <c r="R6577">
        <v>0.1071493</v>
      </c>
      <c r="S6577">
        <v>3.7291409999999998</v>
      </c>
      <c r="T6577">
        <v>-1.3553839999999999</v>
      </c>
      <c r="U6577">
        <v>0.23217769999999999</v>
      </c>
      <c r="V6577">
        <v>-9.1569819999999996E-2</v>
      </c>
      <c r="W6577">
        <v>0.37089830000000001</v>
      </c>
      <c r="X6577">
        <v>0.92414799999999997</v>
      </c>
      <c r="Y6577">
        <v>-4.3476540000000001E-2</v>
      </c>
      <c r="Z6577">
        <v>2.2533739999999998E-3</v>
      </c>
      <c r="AA6577">
        <v>0.99905189999999999</v>
      </c>
      <c r="AB6577">
        <v>25</v>
      </c>
      <c r="AC6577">
        <v>0.41949999999999898</v>
      </c>
      <c r="AD6577">
        <v>-0.24041509999999899</v>
      </c>
      <c r="AE6577">
        <v>3.7099999999981002E-2</v>
      </c>
      <c r="AF6577">
        <v>-2.26613539464217E-2</v>
      </c>
      <c r="AG6577">
        <v>-0.24041509999999899</v>
      </c>
      <c r="AH6577">
        <v>0.31681583243224898</v>
      </c>
      <c r="AI6577">
        <v>127.122599307996</v>
      </c>
      <c r="AJ6577">
        <v>94.091311843778797</v>
      </c>
      <c r="AK6577">
        <v>0.39835314602803601</v>
      </c>
      <c r="AL6577">
        <v>68.228972785513093</v>
      </c>
      <c r="AM6577">
        <v>95.658719660470396</v>
      </c>
      <c r="AN6577">
        <v>1.00000005339085</v>
      </c>
    </row>
    <row r="6578" spans="1:40" x14ac:dyDescent="0.25">
      <c r="A6578" t="str">
        <f>"20190304164538257"</f>
        <v>20190304164538257</v>
      </c>
      <c r="B6578" t="str">
        <f>"1551689138247025"</f>
        <v>1551689138247025</v>
      </c>
      <c r="C6578" t="s">
        <v>40</v>
      </c>
      <c r="D6578">
        <v>4.8272349999999999</v>
      </c>
      <c r="E6578">
        <v>0.53530109999999997</v>
      </c>
      <c r="F6578" t="s">
        <v>41</v>
      </c>
      <c r="G6578">
        <v>-148.62270000000001</v>
      </c>
      <c r="H6578">
        <v>0.87253559999999997</v>
      </c>
      <c r="I6578">
        <v>137.1986</v>
      </c>
      <c r="J6578">
        <v>-149.2355</v>
      </c>
      <c r="K6578">
        <v>1.1109639999999901</v>
      </c>
      <c r="L6578">
        <v>137.1651</v>
      </c>
      <c r="M6578">
        <v>0.99977079999999996</v>
      </c>
      <c r="N6578">
        <v>-1.328347E-2</v>
      </c>
      <c r="O6578">
        <v>1.679899E-2</v>
      </c>
      <c r="P6578">
        <v>0.92697030000000002</v>
      </c>
      <c r="Q6578">
        <v>0.35963909999999999</v>
      </c>
      <c r="R6578">
        <v>0.1067052</v>
      </c>
      <c r="S6578">
        <v>3.6039729999999999</v>
      </c>
      <c r="T6578">
        <v>-1.0011939999999999</v>
      </c>
      <c r="U6578">
        <v>0.15844730000000001</v>
      </c>
      <c r="V6578">
        <v>-9.1122999999999996E-2</v>
      </c>
      <c r="W6578">
        <v>0.37194139999999998</v>
      </c>
      <c r="X6578">
        <v>0.92377279999999995</v>
      </c>
      <c r="Y6578">
        <v>-2.664998E-2</v>
      </c>
      <c r="Z6578">
        <v>-5.4646139999999996E-4</v>
      </c>
      <c r="AA6578">
        <v>0.99964470000000005</v>
      </c>
      <c r="AB6578">
        <v>25</v>
      </c>
      <c r="AC6578">
        <v>0.61279999999999202</v>
      </c>
      <c r="AD6578">
        <v>-0.23842839999999901</v>
      </c>
      <c r="AE6578">
        <v>3.3500000000003603E-2</v>
      </c>
      <c r="AF6578">
        <v>-2.0157520858744001E-2</v>
      </c>
      <c r="AG6578">
        <v>-0.23842839999999901</v>
      </c>
      <c r="AH6578">
        <v>0.53285173077877002</v>
      </c>
      <c r="AI6578">
        <v>114.091208083165</v>
      </c>
      <c r="AJ6578">
        <v>92.166438320540095</v>
      </c>
      <c r="AK6578">
        <v>0.58411077251465005</v>
      </c>
      <c r="AL6578">
        <v>68.164601539876301</v>
      </c>
      <c r="AM6578">
        <v>95.633558026719399</v>
      </c>
      <c r="AN6578">
        <v>0.999999996091399</v>
      </c>
    </row>
    <row r="6579" spans="1:40" x14ac:dyDescent="0.25">
      <c r="A6579" t="str">
        <f>"20190304164538281"</f>
        <v>20190304164538281</v>
      </c>
      <c r="B6579" t="str">
        <f>"1551689138277281"</f>
        <v>1551689138277281</v>
      </c>
      <c r="C6579" t="s">
        <v>40</v>
      </c>
      <c r="D6579">
        <v>4.7757519999999998</v>
      </c>
      <c r="E6579">
        <v>0.53395349999999997</v>
      </c>
      <c r="F6579" t="s">
        <v>41</v>
      </c>
      <c r="G6579">
        <v>-148.37819999999999</v>
      </c>
      <c r="H6579">
        <v>0.93134360000000005</v>
      </c>
      <c r="I6579">
        <v>137.20670000000001</v>
      </c>
      <c r="J6579">
        <v>-148.9888</v>
      </c>
      <c r="K6579">
        <v>1.110968</v>
      </c>
      <c r="L6579">
        <v>137.16929999999999</v>
      </c>
      <c r="M6579">
        <v>0.99977050000000001</v>
      </c>
      <c r="N6579">
        <v>-1.3281650000000001E-2</v>
      </c>
      <c r="O6579">
        <v>1.6809640000000001E-2</v>
      </c>
      <c r="P6579">
        <v>0.92697790000000002</v>
      </c>
      <c r="Q6579">
        <v>0.35998540000000001</v>
      </c>
      <c r="R6579">
        <v>0.10546320000000001</v>
      </c>
      <c r="S6579">
        <v>3.501328</v>
      </c>
      <c r="T6579">
        <v>-0.73361659999999995</v>
      </c>
      <c r="U6579">
        <v>0.17070009999999999</v>
      </c>
      <c r="V6579">
        <v>-8.9869519999999994E-2</v>
      </c>
      <c r="W6579">
        <v>0.37228660000000002</v>
      </c>
      <c r="X6579">
        <v>0.92375649999999998</v>
      </c>
      <c r="Y6579">
        <v>-3.149006E-2</v>
      </c>
      <c r="Z6579">
        <v>2.1250340000000001E-4</v>
      </c>
      <c r="AA6579">
        <v>0.99950399999999995</v>
      </c>
      <c r="AB6579">
        <v>24</v>
      </c>
      <c r="AC6579">
        <v>0.61060000000000503</v>
      </c>
      <c r="AD6579">
        <v>-0.17962439999999999</v>
      </c>
      <c r="AE6579">
        <v>3.7400000000019397E-2</v>
      </c>
      <c r="AF6579">
        <v>-2.4976458558406502E-2</v>
      </c>
      <c r="AG6579">
        <v>-0.17962439999999999</v>
      </c>
      <c r="AH6579">
        <v>0.56263406623964896</v>
      </c>
      <c r="AI6579">
        <v>107.68967014304</v>
      </c>
      <c r="AJ6579">
        <v>92.541806171888297</v>
      </c>
      <c r="AK6579">
        <v>0.59113944298349896</v>
      </c>
      <c r="AL6579">
        <v>68.143291898997603</v>
      </c>
      <c r="AM6579">
        <v>95.556649064160695</v>
      </c>
      <c r="AN6579">
        <v>0.99999995722841895</v>
      </c>
    </row>
    <row r="6580" spans="1:40" x14ac:dyDescent="0.25">
      <c r="A6580" t="str">
        <f>"20190304164538303"</f>
        <v>20190304164538303</v>
      </c>
      <c r="B6580" t="str">
        <f>"1551689138296800"</f>
        <v>1551689138296800</v>
      </c>
      <c r="C6580" t="s">
        <v>40</v>
      </c>
      <c r="D6580">
        <v>4.7296950000000004</v>
      </c>
      <c r="E6580">
        <v>0.53348039999999997</v>
      </c>
      <c r="F6580" t="s">
        <v>41</v>
      </c>
      <c r="G6580">
        <v>-148.142</v>
      </c>
      <c r="H6580">
        <v>0.97002409999999994</v>
      </c>
      <c r="I6580">
        <v>137.21029999999999</v>
      </c>
      <c r="J6580">
        <v>-148.7405</v>
      </c>
      <c r="K6580">
        <v>1.110976</v>
      </c>
      <c r="L6580">
        <v>137.17349999999999</v>
      </c>
      <c r="M6580">
        <v>0.99977000000000005</v>
      </c>
      <c r="N6580">
        <v>-1.3279880000000001E-2</v>
      </c>
      <c r="O6580">
        <v>1.685149E-2</v>
      </c>
      <c r="P6580">
        <v>0.92742899999999995</v>
      </c>
      <c r="Q6580">
        <v>0.35924509999999998</v>
      </c>
      <c r="R6580">
        <v>0.1040124</v>
      </c>
      <c r="S6580">
        <v>3.439651</v>
      </c>
      <c r="T6580">
        <v>-0.57255549999999999</v>
      </c>
      <c r="U6580">
        <v>0.16712949999999999</v>
      </c>
      <c r="V6580">
        <v>-8.8381890000000005E-2</v>
      </c>
      <c r="W6580">
        <v>0.37154779999999998</v>
      </c>
      <c r="X6580">
        <v>0.92419739999999995</v>
      </c>
      <c r="Y6580">
        <v>-3.1421419999999999E-2</v>
      </c>
      <c r="Z6580">
        <v>2.4449429999999999E-4</v>
      </c>
      <c r="AA6580">
        <v>0.99950620000000001</v>
      </c>
      <c r="AB6580">
        <v>24</v>
      </c>
      <c r="AC6580">
        <v>0.59850000000000103</v>
      </c>
      <c r="AD6580">
        <v>-0.14095189999999999</v>
      </c>
      <c r="AE6580">
        <v>3.67999999999995E-2</v>
      </c>
      <c r="AF6580">
        <v>-2.53097679417978E-2</v>
      </c>
      <c r="AG6580">
        <v>-0.14095189999999999</v>
      </c>
      <c r="AH6580">
        <v>0.56766844205394196</v>
      </c>
      <c r="AI6580">
        <v>103.931217068381</v>
      </c>
      <c r="AJ6580">
        <v>92.552868936623597</v>
      </c>
      <c r="AK6580">
        <v>0.585453228337522</v>
      </c>
      <c r="AL6580">
        <v>68.188893717939806</v>
      </c>
      <c r="AM6580">
        <v>95.462638695292895</v>
      </c>
      <c r="AN6580">
        <v>0.99999998016578495</v>
      </c>
    </row>
    <row r="6581" spans="1:40" x14ac:dyDescent="0.25">
      <c r="A6581" t="str">
        <f>"20190304164538326"</f>
        <v>20190304164538326</v>
      </c>
      <c r="B6581" t="str">
        <f>"1551689138316321"</f>
        <v>1551689138316321</v>
      </c>
      <c r="C6581" t="s">
        <v>40</v>
      </c>
      <c r="D6581">
        <v>4.7831939999999999</v>
      </c>
      <c r="E6581">
        <v>0.53303579999999995</v>
      </c>
      <c r="F6581" t="s">
        <v>41</v>
      </c>
      <c r="G6581">
        <v>-147.91640000000001</v>
      </c>
      <c r="H6581">
        <v>0.98519230000000002</v>
      </c>
      <c r="I6581">
        <v>137.21260000000001</v>
      </c>
      <c r="J6581">
        <v>-148.49610000000001</v>
      </c>
      <c r="K6581">
        <v>1.1110059999999999</v>
      </c>
      <c r="L6581">
        <v>137.17769999999999</v>
      </c>
      <c r="M6581">
        <v>0.99976830000000005</v>
      </c>
      <c r="N6581">
        <v>-1.327832E-2</v>
      </c>
      <c r="O6581">
        <v>1.6942349999999998E-2</v>
      </c>
      <c r="P6581">
        <v>0.92785479999999998</v>
      </c>
      <c r="Q6581">
        <v>0.358572</v>
      </c>
      <c r="R6581">
        <v>0.1025277</v>
      </c>
      <c r="S6581">
        <v>3.4186860000000001</v>
      </c>
      <c r="T6581">
        <v>-0.52178649999999904</v>
      </c>
      <c r="U6581">
        <v>0.162139899999999</v>
      </c>
      <c r="V6581">
        <v>-8.6830630000000006E-2</v>
      </c>
      <c r="W6581">
        <v>0.37087310000000001</v>
      </c>
      <c r="X6581">
        <v>0.92461539999999998</v>
      </c>
      <c r="Y6581">
        <v>-3.0225809999999999E-2</v>
      </c>
      <c r="Z6581">
        <v>1.486359E-4</v>
      </c>
      <c r="AA6581">
        <v>0.99954310000000002</v>
      </c>
      <c r="AB6581">
        <v>24</v>
      </c>
      <c r="AC6581">
        <v>0.57970000000000199</v>
      </c>
      <c r="AD6581">
        <v>-0.125813699999999</v>
      </c>
      <c r="AE6581">
        <v>3.4900000000021601E-2</v>
      </c>
      <c r="AF6581">
        <v>-2.3948661862801101E-2</v>
      </c>
      <c r="AG6581">
        <v>-0.125813699999999</v>
      </c>
      <c r="AH6581">
        <v>0.55419796421397305</v>
      </c>
      <c r="AI6581">
        <v>102.778930791348</v>
      </c>
      <c r="AJ6581">
        <v>92.474393954993104</v>
      </c>
      <c r="AK6581">
        <v>0.56880401638140798</v>
      </c>
      <c r="AL6581">
        <v>68.230526904706096</v>
      </c>
      <c r="AM6581">
        <v>95.364912226177196</v>
      </c>
      <c r="AN6581">
        <v>1.0000000262634801</v>
      </c>
    </row>
    <row r="6582" spans="1:40" x14ac:dyDescent="0.25">
      <c r="A6582" t="str">
        <f>"20190304164538346"</f>
        <v>20190304164538346</v>
      </c>
      <c r="B6582" t="str">
        <f>"1551689138336817"</f>
        <v>1551689138336817</v>
      </c>
      <c r="C6582" t="s">
        <v>40</v>
      </c>
      <c r="D6582">
        <v>4.7248720000000004</v>
      </c>
      <c r="E6582">
        <v>0.53337979999999996</v>
      </c>
      <c r="F6582" t="s">
        <v>41</v>
      </c>
      <c r="G6582">
        <v>-147.6943</v>
      </c>
      <c r="H6582">
        <v>0.9935292</v>
      </c>
      <c r="I6582">
        <v>137.2149</v>
      </c>
      <c r="J6582">
        <v>-148.26339999999999</v>
      </c>
      <c r="K6582">
        <v>1.1110439999999999</v>
      </c>
      <c r="L6582">
        <v>137.18170000000001</v>
      </c>
      <c r="M6582">
        <v>0.99976589999999999</v>
      </c>
      <c r="N6582">
        <v>-1.3277000000000001E-2</v>
      </c>
      <c r="O6582">
        <v>1.7087689999999999E-2</v>
      </c>
      <c r="P6582">
        <v>0.92783130000000003</v>
      </c>
      <c r="Q6582">
        <v>0.3589118</v>
      </c>
      <c r="R6582">
        <v>0.1015461</v>
      </c>
      <c r="S6582">
        <v>3.4087679999999998</v>
      </c>
      <c r="T6582">
        <v>-0.4994094</v>
      </c>
      <c r="U6582">
        <v>0.1583099</v>
      </c>
      <c r="V6582">
        <v>-8.5749240000000004E-2</v>
      </c>
      <c r="W6582">
        <v>0.3712029</v>
      </c>
      <c r="X6582">
        <v>0.92458390000000001</v>
      </c>
      <c r="Y6582">
        <v>-2.9126200000000001E-2</v>
      </c>
      <c r="Z6582" s="1">
        <v>5.2908439999999999E-5</v>
      </c>
      <c r="AA6582">
        <v>0.99957569999999996</v>
      </c>
      <c r="AB6582">
        <v>24</v>
      </c>
      <c r="AC6582">
        <v>0.56909999999999095</v>
      </c>
      <c r="AD6582">
        <v>-0.1175148</v>
      </c>
      <c r="AE6582">
        <v>3.3199999999993603E-2</v>
      </c>
      <c r="AF6582">
        <v>-2.2513012185417E-2</v>
      </c>
      <c r="AG6582">
        <v>-0.1175148</v>
      </c>
      <c r="AH6582">
        <v>0.54636669090191903</v>
      </c>
      <c r="AI6582">
        <v>102.128500242382</v>
      </c>
      <c r="AJ6582">
        <v>92.359534957492201</v>
      </c>
      <c r="AK6582">
        <v>0.55931487094821097</v>
      </c>
      <c r="AL6582">
        <v>68.210176626013805</v>
      </c>
      <c r="AM6582">
        <v>95.298659663947404</v>
      </c>
      <c r="AN6582">
        <v>0.99999995663409802</v>
      </c>
    </row>
    <row r="6583" spans="1:40" x14ac:dyDescent="0.25">
      <c r="A6583" t="str">
        <f>"20190304164538369"</f>
        <v>20190304164538369</v>
      </c>
      <c r="B6583" t="str">
        <f>"1551689138356337"</f>
        <v>1551689138356337</v>
      </c>
      <c r="C6583" t="s">
        <v>40</v>
      </c>
      <c r="D6583">
        <v>4.739751</v>
      </c>
      <c r="E6583">
        <v>0.53327780000000002</v>
      </c>
      <c r="F6583" t="s">
        <v>41</v>
      </c>
      <c r="G6583">
        <v>-147.47409999999999</v>
      </c>
      <c r="H6583">
        <v>0.9983476</v>
      </c>
      <c r="I6583">
        <v>137.21639999999999</v>
      </c>
      <c r="J6583">
        <v>-148.01939999999999</v>
      </c>
      <c r="K6583">
        <v>1.1110960000000001</v>
      </c>
      <c r="L6583">
        <v>137.18610000000001</v>
      </c>
      <c r="M6583">
        <v>0.99976220000000005</v>
      </c>
      <c r="N6583">
        <v>-1.327571E-2</v>
      </c>
      <c r="O6583">
        <v>1.7307090000000001E-2</v>
      </c>
      <c r="P6583">
        <v>0.92771530000000002</v>
      </c>
      <c r="Q6583">
        <v>0.35962050000000001</v>
      </c>
      <c r="R6583">
        <v>0.1000882</v>
      </c>
      <c r="S6583">
        <v>3.4049990000000001</v>
      </c>
      <c r="T6583">
        <v>-0.48620049999999998</v>
      </c>
      <c r="U6583">
        <v>0.14999390000000001</v>
      </c>
      <c r="V6583">
        <v>-8.4133609999999998E-2</v>
      </c>
      <c r="W6583">
        <v>0.37189929999999999</v>
      </c>
      <c r="X6583">
        <v>0.92445250000000001</v>
      </c>
      <c r="Y6583">
        <v>-2.6559929999999999E-2</v>
      </c>
      <c r="Z6583">
        <v>-1.6552449999999999E-4</v>
      </c>
      <c r="AA6583">
        <v>0.99964719999999996</v>
      </c>
      <c r="AB6583">
        <v>24</v>
      </c>
      <c r="AC6583">
        <v>0.54529999999999701</v>
      </c>
      <c r="AD6583">
        <v>-0.112748399999999</v>
      </c>
      <c r="AE6583">
        <v>3.0299999999982601E-2</v>
      </c>
      <c r="AF6583">
        <v>-2.0004487724529198E-2</v>
      </c>
      <c r="AG6583">
        <v>-0.112748399999999</v>
      </c>
      <c r="AH6583">
        <v>0.52343412837421299</v>
      </c>
      <c r="AI6583">
        <v>102.147251875603</v>
      </c>
      <c r="AJ6583">
        <v>92.188652041800395</v>
      </c>
      <c r="AK6583">
        <v>0.53581309052556003</v>
      </c>
      <c r="AL6583">
        <v>68.167199943035001</v>
      </c>
      <c r="AM6583">
        <v>95.200113215557195</v>
      </c>
      <c r="AN6583">
        <v>0.99999998921418598</v>
      </c>
    </row>
    <row r="6584" spans="1:40" x14ac:dyDescent="0.25">
      <c r="A6584" t="str">
        <f>"20190304164538392"</f>
        <v>20190304164538392</v>
      </c>
      <c r="B6584" t="str">
        <f>"1551689138386596"</f>
        <v>1551689138386596</v>
      </c>
      <c r="C6584" t="s">
        <v>40</v>
      </c>
      <c r="D6584">
        <v>5.241727</v>
      </c>
      <c r="E6584">
        <v>0.53304680000000004</v>
      </c>
      <c r="F6584" t="s">
        <v>41</v>
      </c>
      <c r="G6584">
        <v>-147.2526</v>
      </c>
      <c r="H6584">
        <v>1.0062260000000001</v>
      </c>
      <c r="I6584">
        <v>137.2183</v>
      </c>
      <c r="J6584">
        <v>-147.7715</v>
      </c>
      <c r="K6584">
        <v>1.1111359999999999</v>
      </c>
      <c r="L6584">
        <v>137.19069999999999</v>
      </c>
      <c r="M6584">
        <v>0.99975720000000001</v>
      </c>
      <c r="N6584">
        <v>-1.3274350000000001E-2</v>
      </c>
      <c r="O6584">
        <v>1.7593580000000001E-2</v>
      </c>
      <c r="P6584">
        <v>0.92781279999999999</v>
      </c>
      <c r="Q6584">
        <v>0.35955700000000002</v>
      </c>
      <c r="R6584">
        <v>9.9409830000000005E-2</v>
      </c>
      <c r="S6584">
        <v>3.3985289999999999</v>
      </c>
      <c r="T6584">
        <v>-0.46480830000000001</v>
      </c>
      <c r="U6584">
        <v>0.14273069999999999</v>
      </c>
      <c r="V6584">
        <v>-8.3230750000000006E-2</v>
      </c>
      <c r="W6584">
        <v>0.37182670000000001</v>
      </c>
      <c r="X6584">
        <v>0.92456349999999998</v>
      </c>
      <c r="Y6584">
        <v>-2.426039E-2</v>
      </c>
      <c r="Z6584">
        <v>-3.4869330000000001E-4</v>
      </c>
      <c r="AA6584">
        <v>0.99970559999999997</v>
      </c>
      <c r="AB6584">
        <v>24</v>
      </c>
      <c r="AC6584">
        <v>0.51890000000000203</v>
      </c>
      <c r="AD6584">
        <v>-0.10491</v>
      </c>
      <c r="AE6584">
        <v>2.7600000000006699E-2</v>
      </c>
      <c r="AF6584">
        <v>-1.7742425059869699E-2</v>
      </c>
      <c r="AG6584">
        <v>-0.10491</v>
      </c>
      <c r="AH6584">
        <v>0.498967146441958</v>
      </c>
      <c r="AI6584">
        <v>101.866447884281</v>
      </c>
      <c r="AJ6584">
        <v>92.0364826821327</v>
      </c>
      <c r="AK6584">
        <v>0.51018537314924595</v>
      </c>
      <c r="AL6584">
        <v>68.171682563967707</v>
      </c>
      <c r="AM6584">
        <v>95.143996161002605</v>
      </c>
      <c r="AN6584">
        <v>1.00000005905534</v>
      </c>
    </row>
    <row r="6585" spans="1:40" x14ac:dyDescent="0.25">
      <c r="A6585" t="str">
        <f>"20190304164538415"</f>
        <v>20190304164538415</v>
      </c>
      <c r="B6585" t="str">
        <f>"1551689138407091"</f>
        <v>1551689138407091</v>
      </c>
      <c r="C6585" t="s">
        <v>40</v>
      </c>
      <c r="D6585">
        <v>4.7338630000000004</v>
      </c>
      <c r="E6585">
        <v>0.53310100000000005</v>
      </c>
      <c r="F6585" t="s">
        <v>41</v>
      </c>
      <c r="G6585">
        <v>-147.03100000000001</v>
      </c>
      <c r="H6585">
        <v>1.014829</v>
      </c>
      <c r="I6585">
        <v>137.2209</v>
      </c>
      <c r="J6585">
        <v>-147.52209999999999</v>
      </c>
      <c r="K6585">
        <v>1.111165</v>
      </c>
      <c r="L6585">
        <v>137.19550000000001</v>
      </c>
      <c r="M6585">
        <v>0.9997511</v>
      </c>
      <c r="N6585">
        <v>-1.327303E-2</v>
      </c>
      <c r="O6585">
        <v>1.7934789999999999E-2</v>
      </c>
      <c r="P6585">
        <v>0.92808210000000002</v>
      </c>
      <c r="Q6585">
        <v>0.3588112</v>
      </c>
      <c r="R6585">
        <v>9.9590460000000006E-2</v>
      </c>
      <c r="S6585">
        <v>3.3894350000000002</v>
      </c>
      <c r="T6585">
        <v>-0.44093700000000002</v>
      </c>
      <c r="U6585">
        <v>0.13867189999999999</v>
      </c>
      <c r="V6585">
        <v>-8.3121840000000002E-2</v>
      </c>
      <c r="W6585">
        <v>0.37107630000000003</v>
      </c>
      <c r="X6585">
        <v>0.92487470000000005</v>
      </c>
      <c r="Y6585">
        <v>-2.286034E-2</v>
      </c>
      <c r="Z6585">
        <v>-4.5241230000000001E-4</v>
      </c>
      <c r="AA6585">
        <v>0.99973860000000003</v>
      </c>
      <c r="AB6585">
        <v>24</v>
      </c>
      <c r="AC6585">
        <v>0.49109999999998799</v>
      </c>
      <c r="AD6585">
        <v>-9.6335999999999894E-2</v>
      </c>
      <c r="AE6585">
        <v>2.53999999999905E-2</v>
      </c>
      <c r="AF6585">
        <v>-1.5974308311177899E-2</v>
      </c>
      <c r="AG6585">
        <v>-9.6335999999999894E-2</v>
      </c>
      <c r="AH6585">
        <v>0.47331202849930099</v>
      </c>
      <c r="AI6585">
        <v>101.49822844040401</v>
      </c>
      <c r="AJ6585">
        <v>91.933002152814893</v>
      </c>
      <c r="AK6585">
        <v>0.483280539380745</v>
      </c>
      <c r="AL6585">
        <v>68.217990007642896</v>
      </c>
      <c r="AM6585">
        <v>95.135581781172704</v>
      </c>
      <c r="AN6585">
        <v>1.00000003570338</v>
      </c>
    </row>
    <row r="6586" spans="1:40" x14ac:dyDescent="0.25">
      <c r="A6586" t="str">
        <f>"20190304164538436"</f>
        <v>20190304164538436</v>
      </c>
      <c r="B6586" t="str">
        <f>"1551689138426608"</f>
        <v>1551689138426608</v>
      </c>
      <c r="C6586" t="s">
        <v>40</v>
      </c>
      <c r="D6586">
        <v>4.8142750000000003</v>
      </c>
      <c r="E6586">
        <v>0.53327440000000004</v>
      </c>
      <c r="F6586" t="s">
        <v>41</v>
      </c>
      <c r="G6586">
        <v>-146.60730000000001</v>
      </c>
      <c r="H6586">
        <v>0.99276520000000001</v>
      </c>
      <c r="I6586">
        <v>137.232</v>
      </c>
      <c r="J6586">
        <v>-147.2885</v>
      </c>
      <c r="K6586">
        <v>1.111173</v>
      </c>
      <c r="L6586">
        <v>137.20009999999999</v>
      </c>
      <c r="M6586">
        <v>0.99974479999999999</v>
      </c>
      <c r="N6586">
        <v>-1.327186E-2</v>
      </c>
      <c r="O6586">
        <v>1.8287769999999998E-2</v>
      </c>
      <c r="P6586">
        <v>0.92838500000000002</v>
      </c>
      <c r="Q6586">
        <v>0.35781220000000002</v>
      </c>
      <c r="R6586">
        <v>0.10035719999999999</v>
      </c>
      <c r="S6586">
        <v>3.387451</v>
      </c>
      <c r="T6586">
        <v>-0.43846930000000001</v>
      </c>
      <c r="U6586">
        <v>0.13555909999999999</v>
      </c>
      <c r="V6586">
        <v>-8.3572279999999999E-2</v>
      </c>
      <c r="W6586">
        <v>0.37007669999999998</v>
      </c>
      <c r="X6586">
        <v>0.92523449999999996</v>
      </c>
      <c r="Y6586">
        <v>-2.1628439999999999E-2</v>
      </c>
      <c r="Z6586">
        <v>-5.7665839999999999E-4</v>
      </c>
      <c r="AA6586">
        <v>0.99976589999999999</v>
      </c>
      <c r="AB6586">
        <v>24</v>
      </c>
      <c r="AC6586">
        <v>0.68119999999998904</v>
      </c>
      <c r="AD6586">
        <v>-0.11840779999999899</v>
      </c>
      <c r="AE6586">
        <v>3.1900000000007298E-2</v>
      </c>
      <c r="AF6586">
        <v>-1.88671313621286E-2</v>
      </c>
      <c r="AG6586">
        <v>-0.11840779999999899</v>
      </c>
      <c r="AH6586">
        <v>0.66171989084777705</v>
      </c>
      <c r="AI6586">
        <v>100.141069714187</v>
      </c>
      <c r="AJ6586">
        <v>91.633189846268095</v>
      </c>
      <c r="AK6586">
        <v>0.67249504807862304</v>
      </c>
      <c r="AL6586">
        <v>68.279652008551395</v>
      </c>
      <c r="AM6586">
        <v>95.161264632607896</v>
      </c>
      <c r="AN6586">
        <v>0.99999998492876896</v>
      </c>
    </row>
    <row r="6587" spans="1:40" x14ac:dyDescent="0.25">
      <c r="A6587" t="str">
        <f>"20190304164538457"</f>
        <v>20190304164538457</v>
      </c>
      <c r="B6587" t="str">
        <f>"1551689138447105"</f>
        <v>1551689138447105</v>
      </c>
      <c r="C6587" t="s">
        <v>40</v>
      </c>
      <c r="D6587">
        <v>4.8174739999999998</v>
      </c>
      <c r="E6587">
        <v>0.53343359999999995</v>
      </c>
      <c r="F6587" t="s">
        <v>41</v>
      </c>
      <c r="G6587">
        <v>-146.38999999999999</v>
      </c>
      <c r="H6587">
        <v>0.99345640000000002</v>
      </c>
      <c r="I6587">
        <v>137.23609999999999</v>
      </c>
      <c r="J6587">
        <v>-147.05350000000001</v>
      </c>
      <c r="K6587">
        <v>1.1111789999999999</v>
      </c>
      <c r="L6587">
        <v>137.20480000000001</v>
      </c>
      <c r="M6587">
        <v>0.99973789999999996</v>
      </c>
      <c r="N6587">
        <v>-1.3270580000000001E-2</v>
      </c>
      <c r="O6587">
        <v>1.8656659999999999E-2</v>
      </c>
      <c r="P6587">
        <v>0.92871079999999995</v>
      </c>
      <c r="Q6587">
        <v>0.35670200000000002</v>
      </c>
      <c r="R6587">
        <v>0.1012911</v>
      </c>
      <c r="S6587">
        <v>3.3878170000000001</v>
      </c>
      <c r="T6587">
        <v>-0.44393870000000002</v>
      </c>
      <c r="U6587">
        <v>0.13603209999999999</v>
      </c>
      <c r="V6587">
        <v>-8.4163639999999998E-2</v>
      </c>
      <c r="W6587">
        <v>0.36896849999999998</v>
      </c>
      <c r="X6587">
        <v>0.92562339999999999</v>
      </c>
      <c r="Y6587">
        <v>-2.1398E-2</v>
      </c>
      <c r="Z6587">
        <v>-6.4829069999999996E-4</v>
      </c>
      <c r="AA6587">
        <v>0.99977079999999996</v>
      </c>
      <c r="AB6587">
        <v>24</v>
      </c>
      <c r="AC6587">
        <v>0.66350000000002696</v>
      </c>
      <c r="AD6587">
        <v>-0.1177226</v>
      </c>
      <c r="AE6587">
        <v>3.12999999999874E-2</v>
      </c>
      <c r="AF6587">
        <v>-1.8338741662725599E-2</v>
      </c>
      <c r="AG6587">
        <v>-0.1177226</v>
      </c>
      <c r="AH6587">
        <v>0.643748162753917</v>
      </c>
      <c r="AI6587">
        <v>100.35909259922499</v>
      </c>
      <c r="AJ6587">
        <v>91.631769164837607</v>
      </c>
      <c r="AK6587">
        <v>0.65468054579739599</v>
      </c>
      <c r="AL6587">
        <v>68.347983372757298</v>
      </c>
      <c r="AM6587">
        <v>95.195414754778398</v>
      </c>
      <c r="AN6587">
        <v>0.99999997545892905</v>
      </c>
    </row>
    <row r="6588" spans="1:40" x14ac:dyDescent="0.25">
      <c r="A6588" t="str">
        <f>"20190304164538483"</f>
        <v>20190304164538483</v>
      </c>
      <c r="B6588" t="str">
        <f>"1551689138476385"</f>
        <v>1551689138476385</v>
      </c>
      <c r="C6588" t="s">
        <v>40</v>
      </c>
      <c r="D6588">
        <v>4.8311970000000004</v>
      </c>
      <c r="E6588">
        <v>0.53351879999999996</v>
      </c>
      <c r="F6588" t="s">
        <v>41</v>
      </c>
      <c r="G6588">
        <v>-146.173</v>
      </c>
      <c r="H6588">
        <v>0.99415189999999998</v>
      </c>
      <c r="I6588">
        <v>137.24080000000001</v>
      </c>
      <c r="J6588">
        <v>-146.79310000000001</v>
      </c>
      <c r="K6588">
        <v>1.1111850000000001</v>
      </c>
      <c r="L6588">
        <v>137.21010000000001</v>
      </c>
      <c r="M6588">
        <v>0.99973040000000002</v>
      </c>
      <c r="N6588">
        <v>-1.3269120000000001E-2</v>
      </c>
      <c r="O6588">
        <v>1.9058510000000001E-2</v>
      </c>
      <c r="P6588">
        <v>0.92847749999999996</v>
      </c>
      <c r="Q6588">
        <v>0.356906</v>
      </c>
      <c r="R6588">
        <v>0.1027033</v>
      </c>
      <c r="S6588">
        <v>3.388077</v>
      </c>
      <c r="T6588">
        <v>-0.45042379999999999</v>
      </c>
      <c r="U6588">
        <v>0.13932800000000001</v>
      </c>
      <c r="V6588">
        <v>-8.520279E-2</v>
      </c>
      <c r="W6588">
        <v>0.36916880000000002</v>
      </c>
      <c r="X6588">
        <v>0.92544850000000001</v>
      </c>
      <c r="Y6588">
        <v>-2.196004E-2</v>
      </c>
      <c r="Z6588">
        <v>-6.7017529999999995E-4</v>
      </c>
      <c r="AA6588">
        <v>0.99975860000000005</v>
      </c>
      <c r="AB6588">
        <v>24</v>
      </c>
      <c r="AC6588">
        <v>0.62010000000000698</v>
      </c>
      <c r="AD6588">
        <v>-0.1170331</v>
      </c>
      <c r="AE6588">
        <v>3.0699999999995901E-2</v>
      </c>
      <c r="AF6588">
        <v>-1.8227524394916601E-2</v>
      </c>
      <c r="AG6588">
        <v>-0.1170331</v>
      </c>
      <c r="AH6588">
        <v>0.59927839390508897</v>
      </c>
      <c r="AI6588">
        <v>101.04523509656801</v>
      </c>
      <c r="AJ6588">
        <v>91.742159162039599</v>
      </c>
      <c r="AK6588">
        <v>0.61087116689416598</v>
      </c>
      <c r="AL6588">
        <v>68.335636343299001</v>
      </c>
      <c r="AM6588">
        <v>95.260192229808695</v>
      </c>
      <c r="AN6588">
        <v>1.0000000222347301</v>
      </c>
    </row>
    <row r="6589" spans="1:40" x14ac:dyDescent="0.25">
      <c r="A6589" t="str">
        <f>"20190304164538504"</f>
        <v>20190304164538504</v>
      </c>
      <c r="B6589" t="str">
        <f>"1551689138496881"</f>
        <v>1551689138496881</v>
      </c>
      <c r="C6589" t="s">
        <v>40</v>
      </c>
      <c r="D6589">
        <v>4.7936820000000004</v>
      </c>
      <c r="E6589">
        <v>0.53339519999999996</v>
      </c>
      <c r="F6589" t="s">
        <v>41</v>
      </c>
      <c r="G6589">
        <v>-145.95410000000001</v>
      </c>
      <c r="H6589">
        <v>0.9992837</v>
      </c>
      <c r="I6589">
        <v>137.24639999999999</v>
      </c>
      <c r="J6589">
        <v>-146.5506</v>
      </c>
      <c r="K6589">
        <v>1.1111799999999901</v>
      </c>
      <c r="L6589">
        <v>137.21510000000001</v>
      </c>
      <c r="M6589">
        <v>0.99972369999999999</v>
      </c>
      <c r="N6589">
        <v>-1.32678E-2</v>
      </c>
      <c r="O6589">
        <v>1.9402550000000001E-2</v>
      </c>
      <c r="P6589">
        <v>0.92786939999999996</v>
      </c>
      <c r="Q6589">
        <v>0.35812250000000001</v>
      </c>
      <c r="R6589">
        <v>0.10395509999999999</v>
      </c>
      <c r="S6589">
        <v>3.3885960000000002</v>
      </c>
      <c r="T6589">
        <v>-0.45199010000000001</v>
      </c>
      <c r="U6589">
        <v>0.14674379999999901</v>
      </c>
      <c r="V6589">
        <v>-8.6133319999999999E-2</v>
      </c>
      <c r="W6589">
        <v>0.37037930000000002</v>
      </c>
      <c r="X6589">
        <v>0.92487850000000005</v>
      </c>
      <c r="Y6589">
        <v>-2.377816E-2</v>
      </c>
      <c r="Z6589">
        <v>-5.8199290000000002E-4</v>
      </c>
      <c r="AA6589">
        <v>0.99971710000000003</v>
      </c>
      <c r="AB6589">
        <v>24</v>
      </c>
      <c r="AC6589">
        <v>0.59649999999999104</v>
      </c>
      <c r="AD6589">
        <v>-0.111896299999999</v>
      </c>
      <c r="AE6589">
        <v>3.12999999999874E-2</v>
      </c>
      <c r="AF6589">
        <v>-1.9050919136350399E-2</v>
      </c>
      <c r="AG6589">
        <v>-0.111896299999999</v>
      </c>
      <c r="AH6589">
        <v>0.57675516514370395</v>
      </c>
      <c r="AI6589">
        <v>100.97371736193401</v>
      </c>
      <c r="AJ6589">
        <v>91.891860897309101</v>
      </c>
      <c r="AK6589">
        <v>0.58781820318323896</v>
      </c>
      <c r="AL6589">
        <v>68.260988571682006</v>
      </c>
      <c r="AM6589">
        <v>95.320571378706504</v>
      </c>
      <c r="AN6589">
        <v>1.0000000072224799</v>
      </c>
    </row>
    <row r="6590" spans="1:40" x14ac:dyDescent="0.25">
      <c r="A6590" t="str">
        <f>"20190304164538528"</f>
        <v>20190304164538528</v>
      </c>
      <c r="B6590" t="str">
        <f>"1551689138516401"</f>
        <v>1551689138516401</v>
      </c>
      <c r="C6590" t="s">
        <v>40</v>
      </c>
      <c r="D6590">
        <v>4.8008620000000004</v>
      </c>
      <c r="E6590">
        <v>0.53326399999999996</v>
      </c>
      <c r="F6590" t="s">
        <v>41</v>
      </c>
      <c r="G6590">
        <v>-145.73509999999999</v>
      </c>
      <c r="H6590">
        <v>1.00475</v>
      </c>
      <c r="I6590">
        <v>137.2518</v>
      </c>
      <c r="J6590">
        <v>-146.3021</v>
      </c>
      <c r="K6590">
        <v>1.1111599999999999</v>
      </c>
      <c r="L6590">
        <v>137.22030000000001</v>
      </c>
      <c r="M6590">
        <v>0.99971790000000005</v>
      </c>
      <c r="N6590">
        <v>-1.3266399999999999E-2</v>
      </c>
      <c r="O6590">
        <v>1.970423E-2</v>
      </c>
      <c r="P6590">
        <v>0.92742780000000002</v>
      </c>
      <c r="Q6590">
        <v>0.35884270000000001</v>
      </c>
      <c r="R6590">
        <v>0.105404</v>
      </c>
      <c r="S6590">
        <v>3.3867029999999998</v>
      </c>
      <c r="T6590">
        <v>-0.44200610000000001</v>
      </c>
      <c r="U6590">
        <v>0.15263370000000001</v>
      </c>
      <c r="V6590">
        <v>-8.7283749999999993E-2</v>
      </c>
      <c r="W6590">
        <v>0.37109829999999999</v>
      </c>
      <c r="X6590">
        <v>0.92448229999999998</v>
      </c>
      <c r="Y6590">
        <v>-2.522721E-2</v>
      </c>
      <c r="Z6590">
        <v>-4.9209429999999999E-4</v>
      </c>
      <c r="AA6590">
        <v>0.99968170000000001</v>
      </c>
      <c r="AB6590">
        <v>24</v>
      </c>
      <c r="AC6590">
        <v>0.56700000000000705</v>
      </c>
      <c r="AD6590">
        <v>-0.10640999999999901</v>
      </c>
      <c r="AE6590">
        <v>3.1499999999993998E-2</v>
      </c>
      <c r="AF6590">
        <v>-1.9631300428724401E-2</v>
      </c>
      <c r="AG6590">
        <v>-0.10640999999999901</v>
      </c>
      <c r="AH6590">
        <v>0.54825991972779997</v>
      </c>
      <c r="AI6590">
        <v>100.976929668173</v>
      </c>
      <c r="AJ6590">
        <v>92.050688529816895</v>
      </c>
      <c r="AK6590">
        <v>0.55883576803606305</v>
      </c>
      <c r="AL6590">
        <v>68.216630892989301</v>
      </c>
      <c r="AM6590">
        <v>95.393515874494099</v>
      </c>
      <c r="AN6590">
        <v>0.99999996214511999</v>
      </c>
    </row>
    <row r="6591" spans="1:40" x14ac:dyDescent="0.25">
      <c r="A6591" t="str">
        <f>"20190304164538554"</f>
        <v>20190304164538554</v>
      </c>
      <c r="B6591" t="str">
        <f>"1551689138546657"</f>
        <v>1551689138546657</v>
      </c>
      <c r="C6591" t="s">
        <v>40</v>
      </c>
      <c r="D6591">
        <v>4.8694579999999998</v>
      </c>
      <c r="E6591">
        <v>0.53332609999999903</v>
      </c>
      <c r="F6591" t="s">
        <v>41</v>
      </c>
      <c r="G6591">
        <v>-145.5162</v>
      </c>
      <c r="H6591">
        <v>1.010424</v>
      </c>
      <c r="I6591">
        <v>137.2567</v>
      </c>
      <c r="J6591">
        <v>-146.02539999999999</v>
      </c>
      <c r="K6591">
        <v>1.111116</v>
      </c>
      <c r="L6591">
        <v>137.22620000000001</v>
      </c>
      <c r="M6591">
        <v>0.99971270000000001</v>
      </c>
      <c r="N6591">
        <v>-1.326483E-2</v>
      </c>
      <c r="O6591">
        <v>1.996587E-2</v>
      </c>
      <c r="P6591">
        <v>0.9272473</v>
      </c>
      <c r="Q6591">
        <v>0.35907270000000002</v>
      </c>
      <c r="R6591">
        <v>0.1062056</v>
      </c>
      <c r="S6591">
        <v>3.3847809999999998</v>
      </c>
      <c r="T6591">
        <v>-0.43389430000000001</v>
      </c>
      <c r="U6591">
        <v>0.15701289999999901</v>
      </c>
      <c r="V6591">
        <v>-8.7802950000000005E-2</v>
      </c>
      <c r="W6591">
        <v>0.37133490000000002</v>
      </c>
      <c r="X6591">
        <v>0.9243382</v>
      </c>
      <c r="Y6591">
        <v>-2.6276710000000002E-2</v>
      </c>
      <c r="Z6591">
        <v>-4.3181330000000001E-4</v>
      </c>
      <c r="AA6591">
        <v>0.99965459999999995</v>
      </c>
      <c r="AB6591">
        <v>24</v>
      </c>
      <c r="AC6591">
        <v>0.50919999999999199</v>
      </c>
      <c r="AD6591">
        <v>-0.100691999999999</v>
      </c>
      <c r="AE6591">
        <v>3.04999999999893E-2</v>
      </c>
      <c r="AF6591">
        <v>-1.95641177429874E-2</v>
      </c>
      <c r="AG6591">
        <v>-0.100691999999999</v>
      </c>
      <c r="AH6591">
        <v>0.49059230612984001</v>
      </c>
      <c r="AI6591">
        <v>101.58967737872401</v>
      </c>
      <c r="AJ6591">
        <v>92.283663477543598</v>
      </c>
      <c r="AK6591">
        <v>0.50120100199506401</v>
      </c>
      <c r="AL6591">
        <v>68.202033247486597</v>
      </c>
      <c r="AM6591">
        <v>95.426248620015102</v>
      </c>
      <c r="AN6591">
        <v>1.00000003698297</v>
      </c>
    </row>
    <row r="6592" spans="1:40" x14ac:dyDescent="0.25">
      <c r="A6592" t="str">
        <f>"20190304164538572"</f>
        <v>20190304164538572</v>
      </c>
      <c r="B6592" t="str">
        <f>"1551689138567153"</f>
        <v>1551689138567153</v>
      </c>
      <c r="C6592" t="s">
        <v>40</v>
      </c>
      <c r="D6592">
        <v>5.3096550000000002</v>
      </c>
      <c r="E6592">
        <v>0.53329469999999901</v>
      </c>
      <c r="F6592" t="s">
        <v>41</v>
      </c>
      <c r="G6592">
        <v>-145.29660000000001</v>
      </c>
      <c r="H6592">
        <v>1.017801</v>
      </c>
      <c r="I6592">
        <v>137.2602</v>
      </c>
      <c r="J6592">
        <v>-145.8261</v>
      </c>
      <c r="K6592">
        <v>1.1110799999999901</v>
      </c>
      <c r="L6592">
        <v>137.2303</v>
      </c>
      <c r="M6592">
        <v>0.99971030000000005</v>
      </c>
      <c r="N6592">
        <v>-1.32637E-2</v>
      </c>
      <c r="O6592">
        <v>2.0091029999999999E-2</v>
      </c>
      <c r="P6592">
        <v>0.92720820000000004</v>
      </c>
      <c r="Q6592">
        <v>0.35908069999999997</v>
      </c>
      <c r="R6592">
        <v>0.1065189</v>
      </c>
      <c r="S6592">
        <v>3.3851010000000001</v>
      </c>
      <c r="T6592">
        <v>-0.43346040000000002</v>
      </c>
      <c r="U6592">
        <v>0.15853879999999901</v>
      </c>
      <c r="V6592">
        <v>-8.7962769999999996E-2</v>
      </c>
      <c r="W6592">
        <v>0.37135079999999998</v>
      </c>
      <c r="X6592">
        <v>0.92431660000000004</v>
      </c>
      <c r="Y6592">
        <v>-2.6594940000000001E-2</v>
      </c>
      <c r="Z6592">
        <v>-4.227848E-4</v>
      </c>
      <c r="AA6592">
        <v>0.99964620000000004</v>
      </c>
      <c r="AB6592">
        <v>24</v>
      </c>
      <c r="AC6592">
        <v>0.52949999999998398</v>
      </c>
      <c r="AD6592">
        <v>-9.3278999999999807E-2</v>
      </c>
      <c r="AE6592">
        <v>2.98999999999978E-2</v>
      </c>
      <c r="AF6592">
        <v>-1.8677050211768499E-2</v>
      </c>
      <c r="AG6592">
        <v>-9.3278999999999807E-2</v>
      </c>
      <c r="AH6592">
        <v>0.51409037965913196</v>
      </c>
      <c r="AI6592">
        <v>100.277497974065</v>
      </c>
      <c r="AJ6592">
        <v>92.080656931099895</v>
      </c>
      <c r="AK6592">
        <v>0.52281805870081</v>
      </c>
      <c r="AL6592">
        <v>68.201051728241694</v>
      </c>
      <c r="AM6592">
        <v>95.436192703414804</v>
      </c>
      <c r="AN6592">
        <v>1.00000002130113</v>
      </c>
    </row>
    <row r="6593" spans="1:40" x14ac:dyDescent="0.25">
      <c r="A6593" t="str">
        <f>"20190304164538595"</f>
        <v>20190304164538595</v>
      </c>
      <c r="B6593" t="str">
        <f>"1551689138586675"</f>
        <v>1551689138586675</v>
      </c>
      <c r="C6593" t="s">
        <v>40</v>
      </c>
      <c r="D6593">
        <v>4.8778649999999999</v>
      </c>
      <c r="E6593">
        <v>0.53324879999999997</v>
      </c>
      <c r="F6593" t="s">
        <v>41</v>
      </c>
      <c r="G6593">
        <v>-145.08160000000001</v>
      </c>
      <c r="H6593">
        <v>1.0161960000000001</v>
      </c>
      <c r="I6593">
        <v>137.2653</v>
      </c>
      <c r="J6593">
        <v>-145.56950000000001</v>
      </c>
      <c r="K6593">
        <v>1.111032</v>
      </c>
      <c r="L6593">
        <v>137.23570000000001</v>
      </c>
      <c r="M6593">
        <v>0.9997085</v>
      </c>
      <c r="N6593">
        <v>-1.3262289999999999E-2</v>
      </c>
      <c r="O6593">
        <v>2.0183889999999999E-2</v>
      </c>
      <c r="P6593">
        <v>0.92746309999999998</v>
      </c>
      <c r="Q6593">
        <v>0.35860069999999999</v>
      </c>
      <c r="R6593">
        <v>0.1059141</v>
      </c>
      <c r="S6593">
        <v>3.3842620000000001</v>
      </c>
      <c r="T6593">
        <v>-0.43125999999999998</v>
      </c>
      <c r="U6593">
        <v>0.15914919999999999</v>
      </c>
      <c r="V6593">
        <v>-8.721508E-2</v>
      </c>
      <c r="W6593">
        <v>0.37088500000000002</v>
      </c>
      <c r="X6593">
        <v>0.92457440000000002</v>
      </c>
      <c r="Y6593">
        <v>-2.669407E-2</v>
      </c>
      <c r="Z6593">
        <v>-4.2227809999999998E-4</v>
      </c>
      <c r="AA6593">
        <v>0.99964359999999997</v>
      </c>
      <c r="AB6593">
        <v>24</v>
      </c>
      <c r="AC6593">
        <v>0.487899999999996</v>
      </c>
      <c r="AD6593">
        <v>-9.4836000000000101E-2</v>
      </c>
      <c r="AE6593">
        <v>2.9599999999987799E-2</v>
      </c>
      <c r="AF6593">
        <v>-1.9029065222836601E-2</v>
      </c>
      <c r="AG6593">
        <v>-9.4836000000000101E-2</v>
      </c>
      <c r="AH6593">
        <v>0.47068006945665303</v>
      </c>
      <c r="AI6593">
        <v>101.382785158451</v>
      </c>
      <c r="AJ6593">
        <v>92.315143037681295</v>
      </c>
      <c r="AK6593">
        <v>0.48051607673726698</v>
      </c>
      <c r="AL6593">
        <v>68.229791831794699</v>
      </c>
      <c r="AM6593">
        <v>95.388763864253804</v>
      </c>
      <c r="AN6593">
        <v>0.99999998726988304</v>
      </c>
    </row>
    <row r="6594" spans="1:40" x14ac:dyDescent="0.25">
      <c r="A6594" t="str">
        <f>"20190304164538614"</f>
        <v>20190304164538614</v>
      </c>
      <c r="B6594" t="str">
        <f>"1551689138607169"</f>
        <v>1551689138607169</v>
      </c>
      <c r="C6594" t="s">
        <v>40</v>
      </c>
      <c r="D6594">
        <v>4.7516809999999996</v>
      </c>
      <c r="E6594">
        <v>0.53319229999999995</v>
      </c>
      <c r="F6594" t="s">
        <v>41</v>
      </c>
      <c r="G6594">
        <v>-144.66030000000001</v>
      </c>
      <c r="H6594">
        <v>0.99561180000000005</v>
      </c>
      <c r="I6594">
        <v>137.27760000000001</v>
      </c>
      <c r="J6594">
        <v>-145.35560000000001</v>
      </c>
      <c r="K6594">
        <v>1.1109960000000001</v>
      </c>
      <c r="L6594">
        <v>137.24010000000001</v>
      </c>
      <c r="M6594">
        <v>0.99970789999999998</v>
      </c>
      <c r="N6594">
        <v>-1.3261139999999999E-2</v>
      </c>
      <c r="O6594">
        <v>2.0209089999999999E-2</v>
      </c>
      <c r="P6594">
        <v>0.9275525</v>
      </c>
      <c r="Q6594">
        <v>0.35848609999999997</v>
      </c>
      <c r="R6594">
        <v>0.105518899999999</v>
      </c>
      <c r="S6594">
        <v>3.3828429999999998</v>
      </c>
      <c r="T6594">
        <v>-0.42943530000000002</v>
      </c>
      <c r="U6594">
        <v>0.15614320000000001</v>
      </c>
      <c r="V6594">
        <v>-8.6756539999999993E-2</v>
      </c>
      <c r="W6594">
        <v>0.37077919999999998</v>
      </c>
      <c r="X6594">
        <v>0.92466000000000004</v>
      </c>
      <c r="Y6594">
        <v>-2.581077E-2</v>
      </c>
      <c r="Z6594">
        <v>-4.836051E-4</v>
      </c>
      <c r="AA6594">
        <v>0.99966679999999997</v>
      </c>
      <c r="AB6594">
        <v>24</v>
      </c>
      <c r="AC6594">
        <v>0.69530000000000303</v>
      </c>
      <c r="AD6594">
        <v>-0.11538419999999899</v>
      </c>
      <c r="AE6594">
        <v>3.7499999999994302E-2</v>
      </c>
      <c r="AF6594">
        <v>-2.2813292173523202E-2</v>
      </c>
      <c r="AG6594">
        <v>-0.11538419999999899</v>
      </c>
      <c r="AH6594">
        <v>0.67731734028799395</v>
      </c>
      <c r="AI6594">
        <v>99.662420862956694</v>
      </c>
      <c r="AJ6594">
        <v>91.9290978214798</v>
      </c>
      <c r="AK6594">
        <v>0.68745380889499497</v>
      </c>
      <c r="AL6594">
        <v>68.236319732877007</v>
      </c>
      <c r="AM6594">
        <v>95.3601041365566</v>
      </c>
      <c r="AN6594">
        <v>1.0000000139927001</v>
      </c>
    </row>
    <row r="6595" spans="1:40" x14ac:dyDescent="0.25">
      <c r="A6595" t="str">
        <f>"20190304164538637"</f>
        <v>20190304164538637</v>
      </c>
      <c r="B6595" t="str">
        <f>"1551689138626689"</f>
        <v>1551689138626689</v>
      </c>
      <c r="C6595" t="s">
        <v>40</v>
      </c>
      <c r="D6595">
        <v>5.2747419999999998</v>
      </c>
      <c r="E6595">
        <v>0.53317799999999904</v>
      </c>
      <c r="F6595" t="s">
        <v>41</v>
      </c>
      <c r="G6595">
        <v>-144.44470000000001</v>
      </c>
      <c r="H6595">
        <v>0.99609610000000004</v>
      </c>
      <c r="I6595">
        <v>137.28139999999999</v>
      </c>
      <c r="J6595">
        <v>-145.11969999999999</v>
      </c>
      <c r="K6595">
        <v>1.110968</v>
      </c>
      <c r="L6595">
        <v>137.2449</v>
      </c>
      <c r="M6595">
        <v>0.99970809999999999</v>
      </c>
      <c r="N6595">
        <v>-1.32598E-2</v>
      </c>
      <c r="O6595">
        <v>2.0197219999999998E-2</v>
      </c>
      <c r="P6595">
        <v>0.92761009999999999</v>
      </c>
      <c r="Q6595">
        <v>0.35856320000000003</v>
      </c>
      <c r="R6595">
        <v>0.1047474</v>
      </c>
      <c r="S6595">
        <v>3.3817140000000001</v>
      </c>
      <c r="T6595">
        <v>-0.4266315</v>
      </c>
      <c r="U6595">
        <v>0.15374760000000001</v>
      </c>
      <c r="V6595">
        <v>-8.5964609999999997E-2</v>
      </c>
      <c r="W6595">
        <v>0.37086330000000001</v>
      </c>
      <c r="X6595">
        <v>0.92470019999999997</v>
      </c>
      <c r="Y6595">
        <v>-2.5138029999999999E-2</v>
      </c>
      <c r="Z6595">
        <v>-5.2338690000000002E-4</v>
      </c>
      <c r="AA6595">
        <v>0.99968389999999996</v>
      </c>
      <c r="AB6595">
        <v>24</v>
      </c>
      <c r="AC6595">
        <v>0.67499999999998195</v>
      </c>
      <c r="AD6595">
        <v>-0.1148719</v>
      </c>
      <c r="AE6595">
        <v>3.6499999999989499E-2</v>
      </c>
      <c r="AF6595">
        <v>-2.2216680305603202E-2</v>
      </c>
      <c r="AG6595">
        <v>-0.1148719</v>
      </c>
      <c r="AH6595">
        <v>0.65663782071215404</v>
      </c>
      <c r="AI6595">
        <v>99.917320767579795</v>
      </c>
      <c r="AJ6595">
        <v>91.9378058775726</v>
      </c>
      <c r="AK6595">
        <v>0.66698003109764703</v>
      </c>
      <c r="AL6595">
        <v>68.231130478035894</v>
      </c>
      <c r="AM6595">
        <v>95.311227623571597</v>
      </c>
      <c r="AN6595">
        <v>0.99999998066968998</v>
      </c>
    </row>
    <row r="6596" spans="1:40" x14ac:dyDescent="0.25">
      <c r="A6596" t="str">
        <f>"20190304164538670"</f>
        <v>20190304164538670</v>
      </c>
      <c r="B6596" t="str">
        <f>"1551689138666705"</f>
        <v>1551689138666705</v>
      </c>
      <c r="C6596" t="s">
        <v>40</v>
      </c>
      <c r="D6596">
        <v>4.778308</v>
      </c>
      <c r="E6596">
        <v>0.53311229999999998</v>
      </c>
      <c r="F6596" t="s">
        <v>41</v>
      </c>
      <c r="G6596">
        <v>-144.22810000000001</v>
      </c>
      <c r="H6596">
        <v>0.99925169999999996</v>
      </c>
      <c r="I6596">
        <v>137.28479999999999</v>
      </c>
      <c r="J6596">
        <v>-144.75720000000001</v>
      </c>
      <c r="K6596">
        <v>1.1109340000000001</v>
      </c>
      <c r="L6596">
        <v>137.25219999999999</v>
      </c>
      <c r="M6596">
        <v>0.99970979999999998</v>
      </c>
      <c r="N6596">
        <v>-1.325774E-2</v>
      </c>
      <c r="O6596">
        <v>2.0114569999999998E-2</v>
      </c>
      <c r="P6596">
        <v>0.92784429999999996</v>
      </c>
      <c r="Q6596">
        <v>0.3581896</v>
      </c>
      <c r="R6596">
        <v>0.10394829999999999</v>
      </c>
      <c r="S6596">
        <v>3.380798</v>
      </c>
      <c r="T6596">
        <v>-0.42362430000000001</v>
      </c>
      <c r="U6596">
        <v>0.1512146</v>
      </c>
      <c r="V6596">
        <v>-8.5204589999999997E-2</v>
      </c>
      <c r="W6596">
        <v>0.37049749999999998</v>
      </c>
      <c r="X6596">
        <v>0.92491719999999999</v>
      </c>
      <c r="Y6596">
        <v>-2.449146E-2</v>
      </c>
      <c r="Z6596">
        <v>-5.5244929999999999E-4</v>
      </c>
      <c r="AA6596">
        <v>0.99969989999999997</v>
      </c>
      <c r="AB6596">
        <v>24</v>
      </c>
      <c r="AC6596">
        <v>0.52909999999999902</v>
      </c>
      <c r="AD6596">
        <v>-0.1116823</v>
      </c>
      <c r="AE6596">
        <v>3.26000000000021E-2</v>
      </c>
      <c r="AF6596">
        <v>-2.1016985767181001E-2</v>
      </c>
      <c r="AG6596">
        <v>-0.1116823</v>
      </c>
      <c r="AH6596">
        <v>0.50713878321417705</v>
      </c>
      <c r="AI6596">
        <v>102.409141209865</v>
      </c>
      <c r="AJ6596">
        <v>92.373109593196006</v>
      </c>
      <c r="AK6596">
        <v>0.51971568695199499</v>
      </c>
      <c r="AL6596">
        <v>68.253697868819501</v>
      </c>
      <c r="AM6596">
        <v>95.263307442511604</v>
      </c>
      <c r="AN6596">
        <v>1.00000002325957</v>
      </c>
    </row>
    <row r="6597" spans="1:40" x14ac:dyDescent="0.25">
      <c r="A6597" t="str">
        <f>"20190304164538694"</f>
        <v>20190304164538694</v>
      </c>
      <c r="B6597" t="str">
        <f>"1551689138687201"</f>
        <v>1551689138687201</v>
      </c>
      <c r="C6597" t="s">
        <v>40</v>
      </c>
      <c r="D6597">
        <v>4.7229190000000001</v>
      </c>
      <c r="E6597">
        <v>0.53312280000000001</v>
      </c>
      <c r="F6597" t="s">
        <v>41</v>
      </c>
      <c r="G6597">
        <v>-144.0044</v>
      </c>
      <c r="H6597">
        <v>1.017336</v>
      </c>
      <c r="I6597">
        <v>137.28569999999999</v>
      </c>
      <c r="J6597">
        <v>-144.51179999999999</v>
      </c>
      <c r="K6597">
        <v>1.1109119999999999</v>
      </c>
      <c r="L6597">
        <v>137.25700000000001</v>
      </c>
      <c r="M6597">
        <v>0.99971189999999999</v>
      </c>
      <c r="N6597">
        <v>-1.32564E-2</v>
      </c>
      <c r="O6597">
        <v>2.0014540000000001E-2</v>
      </c>
      <c r="P6597">
        <v>0.92780300000000004</v>
      </c>
      <c r="Q6597">
        <v>0.35852689999999998</v>
      </c>
      <c r="R6597">
        <v>0.10315249999999999</v>
      </c>
      <c r="S6597">
        <v>3.3786320000000001</v>
      </c>
      <c r="T6597">
        <v>-0.4201413</v>
      </c>
      <c r="U6597">
        <v>0.15063480000000001</v>
      </c>
      <c r="V6597">
        <v>-8.4481249999999994E-2</v>
      </c>
      <c r="W6597">
        <v>0.37083759999999999</v>
      </c>
      <c r="X6597">
        <v>0.92484719999999998</v>
      </c>
      <c r="Y6597">
        <v>-2.4449559999999999E-2</v>
      </c>
      <c r="Z6597">
        <v>-5.3691860000000004E-4</v>
      </c>
      <c r="AA6597">
        <v>0.9997009</v>
      </c>
      <c r="AB6597">
        <v>24</v>
      </c>
      <c r="AC6597">
        <v>0.50739999999998897</v>
      </c>
      <c r="AD6597">
        <v>-9.3576000000000104E-2</v>
      </c>
      <c r="AE6597">
        <v>2.86999999999864E-2</v>
      </c>
      <c r="AF6597">
        <v>-1.7930093370770599E-2</v>
      </c>
      <c r="AG6597">
        <v>-9.3576000000000104E-2</v>
      </c>
      <c r="AH6597">
        <v>0.49121891547331598</v>
      </c>
      <c r="AI6597">
        <v>100.778469250811</v>
      </c>
      <c r="AJ6597">
        <v>92.090438219427995</v>
      </c>
      <c r="AK6597">
        <v>0.50037383918732703</v>
      </c>
      <c r="AL6597">
        <v>68.232715918320494</v>
      </c>
      <c r="AM6597">
        <v>95.219265473202995</v>
      </c>
      <c r="AN6597">
        <v>0.99999997526158002</v>
      </c>
    </row>
    <row r="6598" spans="1:40" x14ac:dyDescent="0.25">
      <c r="A6598" t="str">
        <f>"20190304164538716"</f>
        <v>20190304164538716</v>
      </c>
      <c r="B6598" t="str">
        <f>"1551689138706721"</f>
        <v>1551689138706721</v>
      </c>
      <c r="C6598" t="s">
        <v>40</v>
      </c>
      <c r="D6598">
        <v>4.7222200000000001</v>
      </c>
      <c r="E6598">
        <v>0.53311960000000003</v>
      </c>
      <c r="F6598" t="s">
        <v>41</v>
      </c>
      <c r="G6598">
        <v>-143.7876</v>
      </c>
      <c r="H6598">
        <v>1.0215160000000001</v>
      </c>
      <c r="I6598">
        <v>137.28909999999999</v>
      </c>
      <c r="J6598">
        <v>-144.2766</v>
      </c>
      <c r="K6598">
        <v>1.110881</v>
      </c>
      <c r="L6598">
        <v>137.26159999999999</v>
      </c>
      <c r="M6598">
        <v>0.99971480000000001</v>
      </c>
      <c r="N6598">
        <v>-1.325516E-2</v>
      </c>
      <c r="O6598">
        <v>1.987235E-2</v>
      </c>
      <c r="P6598">
        <v>0.92801429999999996</v>
      </c>
      <c r="Q6598">
        <v>0.3582534</v>
      </c>
      <c r="R6598">
        <v>0.1021976</v>
      </c>
      <c r="S6598">
        <v>3.3779449999999902</v>
      </c>
      <c r="T6598">
        <v>-0.41704730000000001</v>
      </c>
      <c r="U6598">
        <v>0.14990229999999999</v>
      </c>
      <c r="V6598">
        <v>-8.3626399999999906E-2</v>
      </c>
      <c r="W6598">
        <v>0.37057190000000001</v>
      </c>
      <c r="X6598">
        <v>0.92503139999999995</v>
      </c>
      <c r="Y6598">
        <v>-2.4385E-2</v>
      </c>
      <c r="Z6598">
        <v>-5.189099E-4</v>
      </c>
      <c r="AA6598">
        <v>0.99970250000000005</v>
      </c>
      <c r="AB6598">
        <v>24</v>
      </c>
      <c r="AC6598">
        <v>0.48900000000000399</v>
      </c>
      <c r="AD6598">
        <v>-8.9364999999999903E-2</v>
      </c>
      <c r="AE6598">
        <v>2.75000000000034E-2</v>
      </c>
      <c r="AF6598">
        <v>-1.7203393700985101E-2</v>
      </c>
      <c r="AG6598">
        <v>-8.9364999999999903E-2</v>
      </c>
      <c r="AH6598">
        <v>0.473679984613394</v>
      </c>
      <c r="AI6598">
        <v>100.677032607567</v>
      </c>
      <c r="AJ6598">
        <v>92.079988266807803</v>
      </c>
      <c r="AK6598">
        <v>0.48234301881874098</v>
      </c>
      <c r="AL6598">
        <v>68.249107831510699</v>
      </c>
      <c r="AM6598">
        <v>95.165716714781894</v>
      </c>
      <c r="AN6598">
        <v>0.99999999941626405</v>
      </c>
    </row>
    <row r="6599" spans="1:40" x14ac:dyDescent="0.25">
      <c r="A6599" t="str">
        <f>"20190304164538737"</f>
        <v>20190304164538737</v>
      </c>
      <c r="B6599" t="str">
        <f>"1551689138727217"</f>
        <v>1551689138727217</v>
      </c>
      <c r="C6599" t="s">
        <v>40</v>
      </c>
      <c r="D6599">
        <v>4.7047230000000004</v>
      </c>
      <c r="E6599">
        <v>0.53310579999999996</v>
      </c>
      <c r="F6599" t="s">
        <v>41</v>
      </c>
      <c r="G6599">
        <v>-143.36940000000001</v>
      </c>
      <c r="H6599">
        <v>0.99910449999999995</v>
      </c>
      <c r="I6599">
        <v>137.3014</v>
      </c>
      <c r="J6599">
        <v>-144.0378</v>
      </c>
      <c r="K6599">
        <v>1.1108340000000001</v>
      </c>
      <c r="L6599">
        <v>137.2662</v>
      </c>
      <c r="M6599">
        <v>0.99971849999999995</v>
      </c>
      <c r="N6599">
        <v>-1.325398E-2</v>
      </c>
      <c r="O6599">
        <v>1.9677400000000001E-2</v>
      </c>
      <c r="P6599">
        <v>0.92857080000000003</v>
      </c>
      <c r="Q6599">
        <v>0.35714980000000002</v>
      </c>
      <c r="R6599">
        <v>0.10099660000000001</v>
      </c>
      <c r="S6599">
        <v>3.3770289999999998</v>
      </c>
      <c r="T6599">
        <v>-0.41606660000000001</v>
      </c>
      <c r="U6599">
        <v>0.14808650000000001</v>
      </c>
      <c r="V6599">
        <v>-8.2560439999999999E-2</v>
      </c>
      <c r="W6599">
        <v>0.36948170000000002</v>
      </c>
      <c r="X6599">
        <v>0.92556309999999997</v>
      </c>
      <c r="Y6599">
        <v>-2.40573E-2</v>
      </c>
      <c r="Z6599">
        <v>-5.1796060000000002E-4</v>
      </c>
      <c r="AA6599">
        <v>0.9997104</v>
      </c>
      <c r="AB6599">
        <v>24</v>
      </c>
      <c r="AC6599">
        <v>0.668399999999991</v>
      </c>
      <c r="AD6599">
        <v>-0.1117295</v>
      </c>
      <c r="AE6599">
        <v>3.5200000000003201E-2</v>
      </c>
      <c r="AF6599">
        <v>-2.1442166232191699E-2</v>
      </c>
      <c r="AG6599">
        <v>-0.1117295</v>
      </c>
      <c r="AH6599">
        <v>0.65082790742030405</v>
      </c>
      <c r="AI6599">
        <v>99.735994824613002</v>
      </c>
      <c r="AJ6599">
        <v>91.886983334080099</v>
      </c>
      <c r="AK6599">
        <v>0.66069676307673197</v>
      </c>
      <c r="AL6599">
        <v>68.316344119727006</v>
      </c>
      <c r="AM6599">
        <v>95.097305977699605</v>
      </c>
      <c r="AN6599">
        <v>1.00000000248474</v>
      </c>
    </row>
    <row r="6600" spans="1:40" x14ac:dyDescent="0.25">
      <c r="A6600" t="str">
        <f>"20190304164538762"</f>
        <v>20190304164538762</v>
      </c>
      <c r="B6600" t="str">
        <f>"1551689138757472"</f>
        <v>1551689138757472</v>
      </c>
      <c r="C6600" t="s">
        <v>40</v>
      </c>
      <c r="D6600">
        <v>4.7557390000000002</v>
      </c>
      <c r="E6600">
        <v>0.53307609999999905</v>
      </c>
      <c r="F6600" t="s">
        <v>41</v>
      </c>
      <c r="G6600">
        <v>-143.1541</v>
      </c>
      <c r="H6600">
        <v>1.001336</v>
      </c>
      <c r="I6600">
        <v>137.30410000000001</v>
      </c>
      <c r="J6600">
        <v>-143.80019999999999</v>
      </c>
      <c r="K6600">
        <v>1.1107860000000001</v>
      </c>
      <c r="L6600">
        <v>137.2706</v>
      </c>
      <c r="M6600">
        <v>0.99972329999999998</v>
      </c>
      <c r="N6600">
        <v>-1.325288E-2</v>
      </c>
      <c r="O6600">
        <v>1.9436910000000002E-2</v>
      </c>
      <c r="P6600">
        <v>0.9289425</v>
      </c>
      <c r="Q6600">
        <v>0.35662500000000003</v>
      </c>
      <c r="R6600">
        <v>9.9421289999999996E-2</v>
      </c>
      <c r="S6600">
        <v>3.3758539999999999</v>
      </c>
      <c r="T6600">
        <v>-0.41833900000000002</v>
      </c>
      <c r="U6600">
        <v>0.1454773</v>
      </c>
      <c r="V6600">
        <v>-8.1166769999999999E-2</v>
      </c>
      <c r="W6600">
        <v>0.36896760000000001</v>
      </c>
      <c r="X6600">
        <v>0.92589140000000003</v>
      </c>
      <c r="Y6600">
        <v>-2.3543970000000001E-2</v>
      </c>
      <c r="Z6600">
        <v>-5.3202800000000004E-4</v>
      </c>
      <c r="AA6600">
        <v>0.99972269999999996</v>
      </c>
      <c r="AB6600">
        <v>24</v>
      </c>
      <c r="AC6600">
        <v>0.64609999999998902</v>
      </c>
      <c r="AD6600">
        <v>-0.10945000000000001</v>
      </c>
      <c r="AE6600">
        <v>3.3500000000003603E-2</v>
      </c>
      <c r="AF6600">
        <v>-2.0351913398721399E-2</v>
      </c>
      <c r="AG6600">
        <v>-0.10945000000000001</v>
      </c>
      <c r="AH6600">
        <v>0.62863765238028502</v>
      </c>
      <c r="AI6600">
        <v>99.871504075066497</v>
      </c>
      <c r="AJ6600">
        <v>91.854282190629206</v>
      </c>
      <c r="AK6600">
        <v>0.63841898536085695</v>
      </c>
      <c r="AL6600">
        <v>68.348039627793895</v>
      </c>
      <c r="AM6600">
        <v>95.009934346952406</v>
      </c>
      <c r="AN6600">
        <v>1.00000000949797</v>
      </c>
    </row>
    <row r="6601" spans="1:40" x14ac:dyDescent="0.25">
      <c r="A6601" t="str">
        <f>"20190304164538783"</f>
        <v>20190304164538783</v>
      </c>
      <c r="B6601" t="str">
        <f>"1551689138776993"</f>
        <v>1551689138776993</v>
      </c>
      <c r="C6601" t="s">
        <v>40</v>
      </c>
      <c r="D6601">
        <v>4.6983439999999996</v>
      </c>
      <c r="E6601">
        <v>0.53335390000000005</v>
      </c>
      <c r="F6601" t="s">
        <v>41</v>
      </c>
      <c r="G6601">
        <v>-142.93860000000001</v>
      </c>
      <c r="H6601">
        <v>1.0041629999999999</v>
      </c>
      <c r="I6601">
        <v>137.30690000000001</v>
      </c>
      <c r="J6601">
        <v>-143.55369999999999</v>
      </c>
      <c r="K6601">
        <v>1.1107419999999999</v>
      </c>
      <c r="L6601">
        <v>137.27500000000001</v>
      </c>
      <c r="M6601">
        <v>0.99972919999999998</v>
      </c>
      <c r="N6601">
        <v>-1.325176E-2</v>
      </c>
      <c r="O6601">
        <v>1.9129279999999999E-2</v>
      </c>
      <c r="P6601">
        <v>0.92918369999999995</v>
      </c>
      <c r="Q6601">
        <v>0.35660760000000002</v>
      </c>
      <c r="R6601">
        <v>9.7206769999999998E-2</v>
      </c>
      <c r="S6601">
        <v>3.3745419999999999</v>
      </c>
      <c r="T6601">
        <v>-0.41767480000000001</v>
      </c>
      <c r="U6601">
        <v>0.142852799999999</v>
      </c>
      <c r="V6601">
        <v>-7.9200930000000003E-2</v>
      </c>
      <c r="W6601">
        <v>0.36895749999999999</v>
      </c>
      <c r="X6601">
        <v>0.92606569999999999</v>
      </c>
      <c r="Y6601">
        <v>-2.309427E-2</v>
      </c>
      <c r="Z6601">
        <v>-5.2782179999999999E-4</v>
      </c>
      <c r="AA6601">
        <v>0.99973319999999999</v>
      </c>
      <c r="AB6601">
        <v>24</v>
      </c>
      <c r="AC6601">
        <v>0.61509999999998399</v>
      </c>
      <c r="AD6601">
        <v>-0.10657899999999999</v>
      </c>
      <c r="AE6601">
        <v>3.1900000000007298E-2</v>
      </c>
      <c r="AF6601">
        <v>-1.9541588222566301E-2</v>
      </c>
      <c r="AG6601">
        <v>-0.10657899999999999</v>
      </c>
      <c r="AH6601">
        <v>0.59770115240038402</v>
      </c>
      <c r="AI6601">
        <v>100.10513718340999</v>
      </c>
      <c r="AJ6601">
        <v>91.872594417049299</v>
      </c>
      <c r="AK6601">
        <v>0.60744351547449105</v>
      </c>
      <c r="AL6601">
        <v>68.348663220515604</v>
      </c>
      <c r="AM6601">
        <v>94.888274574755101</v>
      </c>
      <c r="AN6601">
        <v>1.0000000524178001</v>
      </c>
    </row>
    <row r="6602" spans="1:40" x14ac:dyDescent="0.25">
      <c r="A6602" t="str">
        <f>"20190304164538805"</f>
        <v>20190304164538805</v>
      </c>
      <c r="B6602" t="str">
        <f>"1551689138796513"</f>
        <v>1551689138796513</v>
      </c>
      <c r="C6602" t="s">
        <v>40</v>
      </c>
      <c r="D6602">
        <v>4.6959710000000001</v>
      </c>
      <c r="E6602">
        <v>0.53367869999999995</v>
      </c>
      <c r="F6602" t="s">
        <v>41</v>
      </c>
      <c r="G6602">
        <v>-142.72299999999899</v>
      </c>
      <c r="H6602">
        <v>1.007617</v>
      </c>
      <c r="I6602">
        <v>137.30860000000001</v>
      </c>
      <c r="J6602">
        <v>-143.32249999999999</v>
      </c>
      <c r="K6602">
        <v>1.110703</v>
      </c>
      <c r="L6602">
        <v>137.2791</v>
      </c>
      <c r="M6602">
        <v>0.99973599999999996</v>
      </c>
      <c r="N6602">
        <v>-1.3250670000000001E-2</v>
      </c>
      <c r="O6602">
        <v>1.87791E-2</v>
      </c>
      <c r="P6602">
        <v>0.92973119999999998</v>
      </c>
      <c r="Q6602">
        <v>0.3555894</v>
      </c>
      <c r="R6602">
        <v>9.5689099999999999E-2</v>
      </c>
      <c r="S6602">
        <v>3.3751829999999998</v>
      </c>
      <c r="T6602">
        <v>-0.41908099999999998</v>
      </c>
      <c r="U6602">
        <v>0.1368713</v>
      </c>
      <c r="V6602">
        <v>-7.7969620000000003E-2</v>
      </c>
      <c r="W6602">
        <v>0.36795080000000002</v>
      </c>
      <c r="X6602">
        <v>0.92657049999999996</v>
      </c>
      <c r="Y6602">
        <v>-2.167728E-2</v>
      </c>
      <c r="Z6602">
        <v>-5.8921519999999999E-4</v>
      </c>
      <c r="AA6602">
        <v>0.99976489999999996</v>
      </c>
      <c r="AB6602">
        <v>24</v>
      </c>
      <c r="AC6602">
        <v>0.59950000000000603</v>
      </c>
      <c r="AD6602">
        <v>-0.103085999999999</v>
      </c>
      <c r="AE6602">
        <v>2.9500000000012901E-2</v>
      </c>
      <c r="AF6602">
        <v>-1.7713260351375101E-2</v>
      </c>
      <c r="AG6602">
        <v>-0.103085999999999</v>
      </c>
      <c r="AH6602">
        <v>0.58275893944856105</v>
      </c>
      <c r="AI6602">
        <v>100.026914987751</v>
      </c>
      <c r="AJ6602">
        <v>91.740998918025099</v>
      </c>
      <c r="AK6602">
        <v>0.59207133395857503</v>
      </c>
      <c r="AL6602">
        <v>68.410706165105196</v>
      </c>
      <c r="AM6602">
        <v>94.810028333829806</v>
      </c>
      <c r="AN6602">
        <v>0.99999997216691605</v>
      </c>
    </row>
    <row r="6603" spans="1:40" x14ac:dyDescent="0.25">
      <c r="A6603" t="str">
        <f>"20190304164538827"</f>
        <v>20190304164538827</v>
      </c>
      <c r="B6603" t="str">
        <f>"1551689138817009"</f>
        <v>1551689138817009</v>
      </c>
      <c r="C6603" t="s">
        <v>40</v>
      </c>
      <c r="D6603">
        <v>4.7612370000000004</v>
      </c>
      <c r="E6603">
        <v>0.53402709999999998</v>
      </c>
      <c r="F6603" t="s">
        <v>41</v>
      </c>
      <c r="G6603">
        <v>-142.50899999999999</v>
      </c>
      <c r="H6603">
        <v>1.008281</v>
      </c>
      <c r="I6603">
        <v>137.3108</v>
      </c>
      <c r="J6603">
        <v>-143.08109999999999</v>
      </c>
      <c r="K6603">
        <v>1.110673</v>
      </c>
      <c r="L6603">
        <v>137.28309999999999</v>
      </c>
      <c r="M6603">
        <v>0.99974390000000002</v>
      </c>
      <c r="N6603">
        <v>-1.3249560000000001E-2</v>
      </c>
      <c r="O6603">
        <v>1.8345920000000002E-2</v>
      </c>
      <c r="P6603">
        <v>0.92973050000000002</v>
      </c>
      <c r="Q6603">
        <v>0.35567359999999998</v>
      </c>
      <c r="R6603">
        <v>9.5380839999999995E-2</v>
      </c>
      <c r="S6603">
        <v>3.3757320000000002</v>
      </c>
      <c r="T6603">
        <v>-0.42503150000000001</v>
      </c>
      <c r="U6603">
        <v>0.13191220000000001</v>
      </c>
      <c r="V6603">
        <v>-7.8030710000000003E-2</v>
      </c>
      <c r="W6603">
        <v>0.36804029999999999</v>
      </c>
      <c r="X6603">
        <v>0.92652979999999996</v>
      </c>
      <c r="Y6603">
        <v>-2.064247E-2</v>
      </c>
      <c r="Z6603">
        <v>-6.2614189999999996E-4</v>
      </c>
      <c r="AA6603">
        <v>0.99978670000000003</v>
      </c>
      <c r="AB6603">
        <v>24</v>
      </c>
      <c r="AC6603">
        <v>0.57210000000000505</v>
      </c>
      <c r="AD6603">
        <v>-0.102392</v>
      </c>
      <c r="AE6603">
        <v>2.7700000000010001E-2</v>
      </c>
      <c r="AF6603">
        <v>-1.6666109708103099E-2</v>
      </c>
      <c r="AG6603">
        <v>-0.102392</v>
      </c>
      <c r="AH6603">
        <v>0.55478252651830195</v>
      </c>
      <c r="AI6603">
        <v>100.452362560634</v>
      </c>
      <c r="AJ6603">
        <v>91.7206934392742</v>
      </c>
      <c r="AK6603">
        <v>0.56439838111641705</v>
      </c>
      <c r="AL6603">
        <v>68.405190967750102</v>
      </c>
      <c r="AM6603">
        <v>94.813989800411605</v>
      </c>
      <c r="AN6603">
        <v>0.999999962207616</v>
      </c>
    </row>
    <row r="6604" spans="1:40" x14ac:dyDescent="0.25">
      <c r="A6604" t="str">
        <f>"20190304164538850"</f>
        <v>20190304164538850</v>
      </c>
      <c r="B6604" t="str">
        <f>"1551689138836529"</f>
        <v>1551689138836529</v>
      </c>
      <c r="C6604" t="s">
        <v>40</v>
      </c>
      <c r="D6604">
        <v>4.7454539999999996</v>
      </c>
      <c r="E6604">
        <v>0.53435080000000001</v>
      </c>
      <c r="F6604" t="s">
        <v>41</v>
      </c>
      <c r="G6604">
        <v>-142.29390000000001</v>
      </c>
      <c r="H6604">
        <v>1.0115190000000001</v>
      </c>
      <c r="I6604">
        <v>137.3125</v>
      </c>
      <c r="J6604">
        <v>-142.84639999999999</v>
      </c>
      <c r="K6604">
        <v>1.1106510000000001</v>
      </c>
      <c r="L6604">
        <v>137.2869</v>
      </c>
      <c r="M6604">
        <v>0.999753</v>
      </c>
      <c r="N6604">
        <v>-1.3248609999999999E-2</v>
      </c>
      <c r="O6604">
        <v>1.7855240000000001E-2</v>
      </c>
      <c r="P6604">
        <v>0.92893170000000003</v>
      </c>
      <c r="Q6604">
        <v>0.35773709999999997</v>
      </c>
      <c r="R6604">
        <v>9.5447019999999994E-2</v>
      </c>
      <c r="S6604">
        <v>3.376465</v>
      </c>
      <c r="T6604">
        <v>-0.42533090000000001</v>
      </c>
      <c r="U6604">
        <v>0.1266632</v>
      </c>
      <c r="V6604">
        <v>-7.8526609999999997E-2</v>
      </c>
      <c r="W6604">
        <v>0.3701006</v>
      </c>
      <c r="X6604">
        <v>0.92566689999999996</v>
      </c>
      <c r="Y6604">
        <v>-1.957886E-2</v>
      </c>
      <c r="Z6604">
        <v>-6.4542479999999997E-4</v>
      </c>
      <c r="AA6604">
        <v>0.99980809999999998</v>
      </c>
      <c r="AB6604">
        <v>24</v>
      </c>
      <c r="AC6604">
        <v>0.55249999999998001</v>
      </c>
      <c r="AD6604">
        <v>-9.9131999999999998E-2</v>
      </c>
      <c r="AE6604">
        <v>2.5599999999997101E-2</v>
      </c>
      <c r="AF6604">
        <v>-1.5240447583414101E-2</v>
      </c>
      <c r="AG6604">
        <v>-9.9131999999999998E-2</v>
      </c>
      <c r="AH6604">
        <v>0.535661369187305</v>
      </c>
      <c r="AI6604">
        <v>100.480654234955</v>
      </c>
      <c r="AJ6604">
        <v>91.629719572976896</v>
      </c>
      <c r="AK6604">
        <v>0.54497020753997305</v>
      </c>
      <c r="AL6604">
        <v>68.278179376038906</v>
      </c>
      <c r="AM6604">
        <v>94.848932905270701</v>
      </c>
      <c r="AN6604">
        <v>1.00000004617703</v>
      </c>
    </row>
    <row r="6605" spans="1:40" x14ac:dyDescent="0.25">
      <c r="A6605" t="str">
        <f>"20190304164538871"</f>
        <v>20190304164538871</v>
      </c>
      <c r="B6605" t="str">
        <f>"1551689138866799"</f>
        <v>1551689138866799</v>
      </c>
      <c r="C6605" t="s">
        <v>40</v>
      </c>
      <c r="D6605">
        <v>4.7804570000000002</v>
      </c>
      <c r="E6605">
        <v>0.53474339999999998</v>
      </c>
      <c r="F6605" t="s">
        <v>41</v>
      </c>
      <c r="G6605">
        <v>-142.07849999999999</v>
      </c>
      <c r="H6605">
        <v>1.0154589999999999</v>
      </c>
      <c r="I6605">
        <v>137.31479999999999</v>
      </c>
      <c r="J6605">
        <v>-142.60640000000001</v>
      </c>
      <c r="K6605">
        <v>1.1106039999999999</v>
      </c>
      <c r="L6605">
        <v>137.29060000000001</v>
      </c>
      <c r="M6605">
        <v>0.99976299999999996</v>
      </c>
      <c r="N6605">
        <v>-1.324786E-2</v>
      </c>
      <c r="O6605">
        <v>1.7273469999999999E-2</v>
      </c>
      <c r="P6605">
        <v>0.9286489</v>
      </c>
      <c r="Q6605">
        <v>0.35858830000000003</v>
      </c>
      <c r="R6605">
        <v>9.5003850000000001E-2</v>
      </c>
      <c r="S6605">
        <v>3.3781279999999998</v>
      </c>
      <c r="T6605">
        <v>-0.41871239999999998</v>
      </c>
      <c r="U6605">
        <v>0.1230011</v>
      </c>
      <c r="V6605">
        <v>-7.8579339999999998E-2</v>
      </c>
      <c r="W6605">
        <v>0.3709576</v>
      </c>
      <c r="X6605">
        <v>0.92531929999999996</v>
      </c>
      <c r="Y6605">
        <v>-1.9061829999999998E-2</v>
      </c>
      <c r="Z6605">
        <v>-6.0059389999999897E-4</v>
      </c>
      <c r="AA6605">
        <v>0.99981810000000004</v>
      </c>
      <c r="AB6605">
        <v>24</v>
      </c>
      <c r="AC6605">
        <v>0.52790000000001602</v>
      </c>
      <c r="AD6605">
        <v>-9.5144999999999993E-2</v>
      </c>
      <c r="AE6605">
        <v>2.4199999999979099E-2</v>
      </c>
      <c r="AF6605">
        <v>-1.4603537839409301E-2</v>
      </c>
      <c r="AG6605">
        <v>-9.5144999999999993E-2</v>
      </c>
      <c r="AH6605">
        <v>0.51165361202944604</v>
      </c>
      <c r="AI6605">
        <v>100.52997260172501</v>
      </c>
      <c r="AJ6605">
        <v>91.634883381115998</v>
      </c>
      <c r="AK6605">
        <v>0.52062966977037095</v>
      </c>
      <c r="AL6605">
        <v>68.225313616381001</v>
      </c>
      <c r="AM6605">
        <v>94.853987416990506</v>
      </c>
      <c r="AN6605">
        <v>1.00000003031254</v>
      </c>
    </row>
    <row r="6606" spans="1:40" x14ac:dyDescent="0.25">
      <c r="A6606" t="str">
        <f>"20190304164538895"</f>
        <v>20190304164538895</v>
      </c>
      <c r="B6606" t="str">
        <f>"1551689138887281"</f>
        <v>1551689138887281</v>
      </c>
      <c r="C6606" t="s">
        <v>40</v>
      </c>
      <c r="D6606">
        <v>4.78477</v>
      </c>
      <c r="E6606">
        <v>0.534995199999999</v>
      </c>
      <c r="F6606" t="s">
        <v>41</v>
      </c>
      <c r="G6606">
        <v>-141.86359999999999</v>
      </c>
      <c r="H6606">
        <v>1.0189250000000001</v>
      </c>
      <c r="I6606">
        <v>137.31659999999999</v>
      </c>
      <c r="J6606">
        <v>-142.3648</v>
      </c>
      <c r="K6606">
        <v>1.110535</v>
      </c>
      <c r="L6606">
        <v>137.29399999999899</v>
      </c>
      <c r="M6606">
        <v>0.99977479999999996</v>
      </c>
      <c r="N6606">
        <v>-1.324725E-2</v>
      </c>
      <c r="O6606">
        <v>1.6588490000000001E-2</v>
      </c>
      <c r="P6606">
        <v>0.9289212</v>
      </c>
      <c r="Q6606">
        <v>0.35792669999999999</v>
      </c>
      <c r="R6606">
        <v>9.4838190000000003E-2</v>
      </c>
      <c r="S6606">
        <v>3.37941</v>
      </c>
      <c r="T6606">
        <v>-0.41713499999999998</v>
      </c>
      <c r="U6606">
        <v>0.11888120000000001</v>
      </c>
      <c r="V6606">
        <v>-7.8986440000000005E-2</v>
      </c>
      <c r="W6606">
        <v>0.37031150000000002</v>
      </c>
      <c r="X6606">
        <v>0.92554340000000002</v>
      </c>
      <c r="Y6606">
        <v>-1.8516459999999998E-2</v>
      </c>
      <c r="Z6606">
        <v>-5.5871109999999996E-4</v>
      </c>
      <c r="AA6606">
        <v>0.99982839999999995</v>
      </c>
      <c r="AB6606">
        <v>24</v>
      </c>
      <c r="AC6606">
        <v>0.50120000000001097</v>
      </c>
      <c r="AD6606">
        <v>-9.16099999999999E-2</v>
      </c>
      <c r="AE6606">
        <v>2.2600000000011201E-2</v>
      </c>
      <c r="AF6606">
        <v>-1.38211947369996E-2</v>
      </c>
      <c r="AG6606">
        <v>-9.16099999999999E-2</v>
      </c>
      <c r="AH6606">
        <v>0.48532464017231702</v>
      </c>
      <c r="AI6606">
        <v>100.68516176175</v>
      </c>
      <c r="AJ6606">
        <v>91.631242442979499</v>
      </c>
      <c r="AK6606">
        <v>0.494088477787478</v>
      </c>
      <c r="AL6606">
        <v>68.2651709980032</v>
      </c>
      <c r="AM6606">
        <v>94.877837990828198</v>
      </c>
      <c r="AN6606">
        <v>1.00000002500984</v>
      </c>
    </row>
    <row r="6607" spans="1:40" x14ac:dyDescent="0.25">
      <c r="A6607" t="str">
        <f>"20190304164538918"</f>
        <v>20190304164538918</v>
      </c>
      <c r="B6607" t="str">
        <f>"1551689138906801"</f>
        <v>1551689138906801</v>
      </c>
      <c r="C6607" t="s">
        <v>40</v>
      </c>
      <c r="D6607">
        <v>5.0201989999999999</v>
      </c>
      <c r="E6607">
        <v>0.53527269999999905</v>
      </c>
      <c r="F6607" t="s">
        <v>41</v>
      </c>
      <c r="G6607">
        <v>-141.44829999999999</v>
      </c>
      <c r="H6607">
        <v>0.9963303</v>
      </c>
      <c r="I6607">
        <v>137.32599999999999</v>
      </c>
      <c r="J6607">
        <v>-142.12180000000001</v>
      </c>
      <c r="K6607">
        <v>1.110444</v>
      </c>
      <c r="L6607">
        <v>137.2971</v>
      </c>
      <c r="M6607">
        <v>0.99978789999999995</v>
      </c>
      <c r="N6607">
        <v>-1.3246859999999999E-2</v>
      </c>
      <c r="O6607">
        <v>1.577806E-2</v>
      </c>
      <c r="P6607">
        <v>0.92927590000000004</v>
      </c>
      <c r="Q6607">
        <v>0.35705599999999998</v>
      </c>
      <c r="R6607">
        <v>9.4645530000000005E-2</v>
      </c>
      <c r="S6607">
        <v>3.3797450000000002</v>
      </c>
      <c r="T6607">
        <v>-0.4211839</v>
      </c>
      <c r="U6607">
        <v>0.1183014</v>
      </c>
      <c r="V6607">
        <v>-7.947485E-2</v>
      </c>
      <c r="W6607">
        <v>0.36946000000000001</v>
      </c>
      <c r="X6607">
        <v>0.92584180000000005</v>
      </c>
      <c r="Y6607">
        <v>-1.9141100000000001E-2</v>
      </c>
      <c r="Z6607">
        <v>-4.3454920000000002E-4</v>
      </c>
      <c r="AA6607">
        <v>0.9998167</v>
      </c>
      <c r="AB6607">
        <v>24</v>
      </c>
      <c r="AC6607">
        <v>0.67350000000001797</v>
      </c>
      <c r="AD6607">
        <v>-0.114113699999999</v>
      </c>
      <c r="AE6607">
        <v>2.8899999999993001E-2</v>
      </c>
      <c r="AF6607">
        <v>-1.7760032455583E-2</v>
      </c>
      <c r="AG6607">
        <v>-0.114113699999999</v>
      </c>
      <c r="AH6607">
        <v>0.65510023104313697</v>
      </c>
      <c r="AI6607">
        <v>99.877803036380797</v>
      </c>
      <c r="AJ6607">
        <v>91.552931396360094</v>
      </c>
      <c r="AK6607">
        <v>0.66520197533778003</v>
      </c>
      <c r="AL6607">
        <v>68.317681849804003</v>
      </c>
      <c r="AM6607">
        <v>94.906278980202103</v>
      </c>
      <c r="AN6607">
        <v>0.99999999100488102</v>
      </c>
    </row>
    <row r="6608" spans="1:40" x14ac:dyDescent="0.25">
      <c r="A6608" t="str">
        <f>"20190304164538940"</f>
        <v>20190304164538940</v>
      </c>
      <c r="B6608" t="str">
        <f>"1551689138937058"</f>
        <v>1551689138937058</v>
      </c>
      <c r="C6608" t="s">
        <v>40</v>
      </c>
      <c r="D6608">
        <v>4.8735390000000001</v>
      </c>
      <c r="E6608">
        <v>0.53559080000000003</v>
      </c>
      <c r="F6608" t="s">
        <v>41</v>
      </c>
      <c r="G6608">
        <v>-141.23439999999999</v>
      </c>
      <c r="H6608">
        <v>0.99848530000000002</v>
      </c>
      <c r="I6608">
        <v>137.3279</v>
      </c>
      <c r="J6608">
        <v>-141.8784</v>
      </c>
      <c r="K6608">
        <v>1.1103609999999999</v>
      </c>
      <c r="L6608">
        <v>137.29990000000001</v>
      </c>
      <c r="M6608">
        <v>0.99980179999999996</v>
      </c>
      <c r="N6608">
        <v>-1.324671E-2</v>
      </c>
      <c r="O6608">
        <v>1.486614E-2</v>
      </c>
      <c r="P6608">
        <v>0.9296894</v>
      </c>
      <c r="Q6608">
        <v>0.35605759999999997</v>
      </c>
      <c r="R6608">
        <v>9.4343629999999998E-2</v>
      </c>
      <c r="S6608">
        <v>3.3802340000000002</v>
      </c>
      <c r="T6608">
        <v>-0.42649999999999999</v>
      </c>
      <c r="U6608">
        <v>0.11740109999999999</v>
      </c>
      <c r="V6608">
        <v>-7.9953759999999999E-2</v>
      </c>
      <c r="W6608">
        <v>0.36848009999999998</v>
      </c>
      <c r="X6608">
        <v>0.92619099999999999</v>
      </c>
      <c r="Y6608">
        <v>-1.9769559999999999E-2</v>
      </c>
      <c r="Z6608">
        <v>-2.9792419999999999E-4</v>
      </c>
      <c r="AA6608">
        <v>0.99980449999999998</v>
      </c>
      <c r="AB6608">
        <v>24</v>
      </c>
      <c r="AC6608">
        <v>0.64400000000000501</v>
      </c>
      <c r="AD6608">
        <v>-0.11187569999999999</v>
      </c>
      <c r="AE6608">
        <v>2.79999999999915E-2</v>
      </c>
      <c r="AF6608">
        <v>-1.7883587360089898E-2</v>
      </c>
      <c r="AG6608">
        <v>-0.11187569999999999</v>
      </c>
      <c r="AH6608">
        <v>0.62550386435532002</v>
      </c>
      <c r="AI6608">
        <v>100.136467191184</v>
      </c>
      <c r="AJ6608">
        <v>91.637679765085906</v>
      </c>
      <c r="AK6608">
        <v>0.63568158638645</v>
      </c>
      <c r="AL6608">
        <v>68.378087889956205</v>
      </c>
      <c r="AM6608">
        <v>94.933846558803495</v>
      </c>
      <c r="AN6608">
        <v>0.99999997815757302</v>
      </c>
    </row>
    <row r="6609" spans="1:40" x14ac:dyDescent="0.25">
      <c r="A6609" t="str">
        <f>"20190304164538961"</f>
        <v>20190304164538961</v>
      </c>
      <c r="B6609" t="str">
        <f>"1551689138956580"</f>
        <v>1551689138956580</v>
      </c>
      <c r="C6609" t="s">
        <v>40</v>
      </c>
      <c r="D6609">
        <v>4.8555429999999999</v>
      </c>
      <c r="E6609">
        <v>0.53579409999999905</v>
      </c>
      <c r="F6609" t="s">
        <v>41</v>
      </c>
      <c r="G6609">
        <v>-141.02080000000001</v>
      </c>
      <c r="H6609">
        <v>1.0005649999999999</v>
      </c>
      <c r="I6609">
        <v>137.3297</v>
      </c>
      <c r="J6609">
        <v>-141.65270000000001</v>
      </c>
      <c r="K6609">
        <v>1.1102890000000001</v>
      </c>
      <c r="L6609">
        <v>137.3022</v>
      </c>
      <c r="M6609">
        <v>0.99981540000000002</v>
      </c>
      <c r="N6609">
        <v>-1.324648E-2</v>
      </c>
      <c r="O6609">
        <v>1.3923990000000001E-2</v>
      </c>
      <c r="P6609">
        <v>0.92999089999999995</v>
      </c>
      <c r="Q6609">
        <v>0.35540179999999999</v>
      </c>
      <c r="R6609">
        <v>9.3842540000000002E-2</v>
      </c>
      <c r="S6609">
        <v>3.3806919999999998</v>
      </c>
      <c r="T6609">
        <v>-0.43281649999999999</v>
      </c>
      <c r="U6609">
        <v>0.1177368</v>
      </c>
      <c r="V6609">
        <v>-8.0271969999999998E-2</v>
      </c>
      <c r="W6609">
        <v>0.3678399</v>
      </c>
      <c r="X6609">
        <v>0.92641790000000002</v>
      </c>
      <c r="Y6609">
        <v>-2.0789060000000002E-2</v>
      </c>
      <c r="Z6609">
        <v>-1.2764429999999999E-4</v>
      </c>
      <c r="AA6609">
        <v>0.99978389999999995</v>
      </c>
      <c r="AB6609">
        <v>24</v>
      </c>
      <c r="AC6609">
        <v>0.63190000000000102</v>
      </c>
      <c r="AD6609">
        <v>-0.109723999999999</v>
      </c>
      <c r="AE6609">
        <v>2.75000000000034E-2</v>
      </c>
      <c r="AF6609">
        <v>-1.8151728795732701E-2</v>
      </c>
      <c r="AG6609">
        <v>-0.109723999999999</v>
      </c>
      <c r="AH6609">
        <v>0.61375123667419595</v>
      </c>
      <c r="AI6609">
        <v>100.13169271588799</v>
      </c>
      <c r="AJ6609">
        <v>91.694032237926606</v>
      </c>
      <c r="AK6609">
        <v>0.62374628011185695</v>
      </c>
      <c r="AL6609">
        <v>68.417539081623104</v>
      </c>
      <c r="AM6609">
        <v>94.952178237012205</v>
      </c>
      <c r="AN6609">
        <v>0.99999995332004898</v>
      </c>
    </row>
    <row r="6610" spans="1:40" x14ac:dyDescent="0.25">
      <c r="A6610" t="str">
        <f>"20190304164538983"</f>
        <v>20190304164538983</v>
      </c>
      <c r="B6610" t="str">
        <f>"1551689138977073"</f>
        <v>1551689138977073</v>
      </c>
      <c r="C6610" t="s">
        <v>40</v>
      </c>
      <c r="D6610">
        <v>4.8900129999999997</v>
      </c>
      <c r="E6610">
        <v>0.53594919999999902</v>
      </c>
      <c r="F6610" t="s">
        <v>41</v>
      </c>
      <c r="G6610">
        <v>-140.80799999999999</v>
      </c>
      <c r="H6610">
        <v>1.0011110000000001</v>
      </c>
      <c r="I6610">
        <v>137.33160000000001</v>
      </c>
      <c r="J6610">
        <v>-141.4136</v>
      </c>
      <c r="K6610">
        <v>1.1102339999999999</v>
      </c>
      <c r="L6610">
        <v>137.30430000000001</v>
      </c>
      <c r="M6610">
        <v>0.9998302</v>
      </c>
      <c r="N6610">
        <v>-1.324639E-2</v>
      </c>
      <c r="O6610">
        <v>1.28174E-2</v>
      </c>
      <c r="P6610">
        <v>0.92933339999999998</v>
      </c>
      <c r="Q6610">
        <v>0.35752970000000001</v>
      </c>
      <c r="R6610">
        <v>9.2261090000000004E-2</v>
      </c>
      <c r="S6610">
        <v>3.380951</v>
      </c>
      <c r="T6610">
        <v>-0.43693399999999999</v>
      </c>
      <c r="U6610">
        <v>0.1177368</v>
      </c>
      <c r="V6610">
        <v>-7.9669409999999996E-2</v>
      </c>
      <c r="W6610">
        <v>0.36996859999999998</v>
      </c>
      <c r="X6610">
        <v>0.92562199999999994</v>
      </c>
      <c r="Y6610">
        <v>-2.1874129999999999E-2</v>
      </c>
      <c r="Z6610" s="1">
        <v>7.2911730000000004E-5</v>
      </c>
      <c r="AA6610">
        <v>0.99976069999999995</v>
      </c>
      <c r="AB6610">
        <v>24</v>
      </c>
      <c r="AC6610">
        <v>0.60560000000000902</v>
      </c>
      <c r="AD6610">
        <v>-0.109122999999999</v>
      </c>
      <c r="AE6610">
        <v>2.7299999999996698E-2</v>
      </c>
      <c r="AF6610">
        <v>-1.8921746323300799E-2</v>
      </c>
      <c r="AG6610">
        <v>-0.109122999999999</v>
      </c>
      <c r="AH6610">
        <v>0.58688366114651402</v>
      </c>
      <c r="AI6610">
        <v>100.52773452098199</v>
      </c>
      <c r="AJ6610">
        <v>91.846636502745298</v>
      </c>
      <c r="AK6610">
        <v>0.59724224007822801</v>
      </c>
      <c r="AL6610">
        <v>68.286319984138302</v>
      </c>
      <c r="AM6610">
        <v>94.919393214493894</v>
      </c>
      <c r="AN6610">
        <v>1.00000003337985</v>
      </c>
    </row>
    <row r="6611" spans="1:40" x14ac:dyDescent="0.25">
      <c r="A6611" t="str">
        <f>"20190304164539005"</f>
        <v>20190304164539005</v>
      </c>
      <c r="B6611" t="str">
        <f>"1551689138996593"</f>
        <v>1551689138996593</v>
      </c>
      <c r="C6611" t="s">
        <v>40</v>
      </c>
      <c r="D6611">
        <v>4.9000750000000002</v>
      </c>
      <c r="E6611">
        <v>0.53608529999999999</v>
      </c>
      <c r="F6611" t="s">
        <v>41</v>
      </c>
      <c r="G6611">
        <v>-140.59309999999999</v>
      </c>
      <c r="H6611">
        <v>1.0062599999999999</v>
      </c>
      <c r="I6611">
        <v>137.33189999999999</v>
      </c>
      <c r="J6611">
        <v>-141.1831</v>
      </c>
      <c r="K6611">
        <v>1.1101989999999999</v>
      </c>
      <c r="L6611">
        <v>137.30600000000001</v>
      </c>
      <c r="M6611">
        <v>0.99984450000000002</v>
      </c>
      <c r="N6611">
        <v>-1.3246620000000001E-2</v>
      </c>
      <c r="O6611">
        <v>1.165369E-2</v>
      </c>
      <c r="P6611">
        <v>0.92811100000000002</v>
      </c>
      <c r="Q6611">
        <v>0.36146919999999999</v>
      </c>
      <c r="R6611">
        <v>8.9164939999999998E-2</v>
      </c>
      <c r="S6611">
        <v>3.3816220000000001</v>
      </c>
      <c r="T6611">
        <v>-0.42856529999999998</v>
      </c>
      <c r="U6611">
        <v>0.11457820000000001</v>
      </c>
      <c r="V6611">
        <v>-7.7608700000000003E-2</v>
      </c>
      <c r="W6611">
        <v>0.3738978</v>
      </c>
      <c r="X6611">
        <v>0.92421710000000001</v>
      </c>
      <c r="Y6611">
        <v>-2.209241E-2</v>
      </c>
      <c r="Z6611">
        <v>2.2424909999999999E-4</v>
      </c>
      <c r="AA6611">
        <v>0.99975590000000003</v>
      </c>
      <c r="AB6611">
        <v>24</v>
      </c>
      <c r="AC6611">
        <v>0.59000000000000297</v>
      </c>
      <c r="AD6611">
        <v>-0.103939</v>
      </c>
      <c r="AE6611">
        <v>2.58999999999787E-2</v>
      </c>
      <c r="AF6611">
        <v>-1.8450451403896801E-2</v>
      </c>
      <c r="AG6611">
        <v>-0.103939</v>
      </c>
      <c r="AH6611">
        <v>0.57252751570322202</v>
      </c>
      <c r="AI6611">
        <v>100.284420291418</v>
      </c>
      <c r="AJ6611">
        <v>91.845792975517099</v>
      </c>
      <c r="AK6611">
        <v>0.58217822968169297</v>
      </c>
      <c r="AL6611">
        <v>68.043792589656306</v>
      </c>
      <c r="AM6611">
        <v>94.800001338496898</v>
      </c>
      <c r="AN6611">
        <v>0.99999996154646897</v>
      </c>
    </row>
    <row r="6612" spans="1:40" x14ac:dyDescent="0.25">
      <c r="A6612" t="str">
        <f>"20190304164539027"</f>
        <v>20190304164539027</v>
      </c>
      <c r="B6612" t="str">
        <f>"1551689139017090"</f>
        <v>1551689139017090</v>
      </c>
      <c r="C6612" t="s">
        <v>40</v>
      </c>
      <c r="D6612">
        <v>4.9190670000000001</v>
      </c>
      <c r="E6612">
        <v>0.53621129999999995</v>
      </c>
      <c r="F6612" t="s">
        <v>41</v>
      </c>
      <c r="G6612">
        <v>-140.37819999999999</v>
      </c>
      <c r="H6612">
        <v>1.011889</v>
      </c>
      <c r="I6612">
        <v>137.33090000000001</v>
      </c>
      <c r="J6612">
        <v>-140.94579999999999</v>
      </c>
      <c r="K6612">
        <v>1.11015</v>
      </c>
      <c r="L6612">
        <v>137.3073</v>
      </c>
      <c r="M6612">
        <v>0.99985840000000004</v>
      </c>
      <c r="N6612">
        <v>-1.3246900000000001E-2</v>
      </c>
      <c r="O6612">
        <v>1.037385E-2</v>
      </c>
      <c r="P6612">
        <v>0.92715139999999996</v>
      </c>
      <c r="Q6612">
        <v>0.36452839999999997</v>
      </c>
      <c r="R6612">
        <v>8.6656869999999997E-2</v>
      </c>
      <c r="S6612">
        <v>3.3832550000000001</v>
      </c>
      <c r="T6612">
        <v>-0.41323690000000002</v>
      </c>
      <c r="U6612">
        <v>0.1047058</v>
      </c>
      <c r="V6612">
        <v>-7.6241149999999994E-2</v>
      </c>
      <c r="W6612">
        <v>0.37695089999999998</v>
      </c>
      <c r="X6612">
        <v>0.92309010000000002</v>
      </c>
      <c r="Y6612">
        <v>-2.0454719999999999E-2</v>
      </c>
      <c r="Z6612">
        <v>2.5526889999999999E-4</v>
      </c>
      <c r="AA6612">
        <v>0.99979070000000003</v>
      </c>
      <c r="AB6612">
        <v>24</v>
      </c>
      <c r="AC6612">
        <v>0.567599999999998</v>
      </c>
      <c r="AD6612">
        <v>-9.8260999999999904E-2</v>
      </c>
      <c r="AE6612">
        <v>2.3600000000016001E-2</v>
      </c>
      <c r="AF6612">
        <v>-1.7195564821501301E-2</v>
      </c>
      <c r="AG6612">
        <v>-9.8260999999999904E-2</v>
      </c>
      <c r="AH6612">
        <v>0.551320096442795</v>
      </c>
      <c r="AI6612">
        <v>100.100823346174</v>
      </c>
      <c r="AJ6612">
        <v>91.786464893557905</v>
      </c>
      <c r="AK6612">
        <v>0.56027204134440201</v>
      </c>
      <c r="AL6612">
        <v>67.855058514922206</v>
      </c>
      <c r="AM6612">
        <v>94.721536450838897</v>
      </c>
      <c r="AN6612">
        <v>1.00000001334107</v>
      </c>
    </row>
    <row r="6613" spans="1:40" x14ac:dyDescent="0.25">
      <c r="A6613" t="str">
        <f>"20190304164539051"</f>
        <v>20190304164539051</v>
      </c>
      <c r="B6613" t="str">
        <f>"1551689139046369"</f>
        <v>1551689139046369</v>
      </c>
      <c r="C6613" t="s">
        <v>40</v>
      </c>
      <c r="D6613">
        <v>4.9964000000000004</v>
      </c>
      <c r="E6613">
        <v>0.53636759999999895</v>
      </c>
      <c r="F6613" t="s">
        <v>41</v>
      </c>
      <c r="G6613">
        <v>-140.1635</v>
      </c>
      <c r="H6613">
        <v>1.0173479999999999</v>
      </c>
      <c r="I6613">
        <v>137.32929999999999</v>
      </c>
      <c r="J6613">
        <v>-140.7055</v>
      </c>
      <c r="K6613">
        <v>1.110107</v>
      </c>
      <c r="L6613">
        <v>137.3083</v>
      </c>
      <c r="M6613">
        <v>0.99987170000000003</v>
      </c>
      <c r="N6613">
        <v>-1.324675E-2</v>
      </c>
      <c r="O6613">
        <v>9.0181940000000002E-3</v>
      </c>
      <c r="P6613">
        <v>0.92742009999999997</v>
      </c>
      <c r="Q6613">
        <v>0.3642012</v>
      </c>
      <c r="R6613">
        <v>8.5146860000000005E-2</v>
      </c>
      <c r="S6613">
        <v>3.3846889999999998</v>
      </c>
      <c r="T6613">
        <v>-0.40153470000000002</v>
      </c>
      <c r="U6613">
        <v>9.5458979999999999E-2</v>
      </c>
      <c r="V6613">
        <v>-7.5946269999999996E-2</v>
      </c>
      <c r="W6613">
        <v>0.37663289999999999</v>
      </c>
      <c r="X6613">
        <v>0.92324419999999996</v>
      </c>
      <c r="Y6613">
        <v>-1.9076570000000001E-2</v>
      </c>
      <c r="Z6613">
        <v>3.074676E-4</v>
      </c>
      <c r="AA6613">
        <v>0.99981799999999998</v>
      </c>
      <c r="AB6613">
        <v>24</v>
      </c>
      <c r="AC6613">
        <v>0.54200000000000104</v>
      </c>
      <c r="AD6613">
        <v>-9.2758999999999994E-2</v>
      </c>
      <c r="AE6613">
        <v>2.0999999999986502E-2</v>
      </c>
      <c r="AF6613">
        <v>-1.5653071297876402E-2</v>
      </c>
      <c r="AG6613">
        <v>-9.2758999999999994E-2</v>
      </c>
      <c r="AH6613">
        <v>0.52676183430829204</v>
      </c>
      <c r="AI6613">
        <v>99.982672270032694</v>
      </c>
      <c r="AJ6613">
        <v>91.702080566385106</v>
      </c>
      <c r="AK6613">
        <v>0.53509558100015497</v>
      </c>
      <c r="AL6613">
        <v>67.874728314641402</v>
      </c>
      <c r="AM6613">
        <v>94.702575397209799</v>
      </c>
      <c r="AN6613">
        <v>1.0000000150614801</v>
      </c>
    </row>
    <row r="6614" spans="1:40" x14ac:dyDescent="0.25">
      <c r="A6614" t="str">
        <f>"20190304164539084"</f>
        <v>20190304164539084</v>
      </c>
      <c r="B6614" t="str">
        <f>"1551689139076628"</f>
        <v>1551689139076628</v>
      </c>
      <c r="C6614" t="s">
        <v>40</v>
      </c>
      <c r="D6614">
        <v>4.9971860000000001</v>
      </c>
      <c r="E6614">
        <v>0.54144269999999906</v>
      </c>
      <c r="F6614" t="s">
        <v>41</v>
      </c>
      <c r="G6614">
        <v>-139.9502</v>
      </c>
      <c r="H6614">
        <v>1.0203690000000001</v>
      </c>
      <c r="I6614">
        <v>137.32740000000001</v>
      </c>
      <c r="J6614">
        <v>-140.34899999999999</v>
      </c>
      <c r="K6614">
        <v>1.110066</v>
      </c>
      <c r="L6614">
        <v>137.309</v>
      </c>
      <c r="M6614">
        <v>0.9998882</v>
      </c>
      <c r="N6614">
        <v>-1.3245760000000001E-2</v>
      </c>
      <c r="O6614">
        <v>6.952593E-3</v>
      </c>
      <c r="P6614">
        <v>0.92863039999999997</v>
      </c>
      <c r="Q6614">
        <v>0.36119279999999998</v>
      </c>
      <c r="R6614">
        <v>8.476902E-2</v>
      </c>
      <c r="S6614">
        <v>3.3848419999999999</v>
      </c>
      <c r="T6614">
        <v>-0.40217799999999998</v>
      </c>
      <c r="U6614">
        <v>8.5556030000000005E-2</v>
      </c>
      <c r="V6614">
        <v>-7.7462059999999999E-2</v>
      </c>
      <c r="W6614">
        <v>0.37364570000000003</v>
      </c>
      <c r="X6614">
        <v>0.92433140000000003</v>
      </c>
      <c r="Y6614">
        <v>-1.821273E-2</v>
      </c>
      <c r="Z6614">
        <v>4.6790440000000003E-4</v>
      </c>
      <c r="AA6614">
        <v>0.999834</v>
      </c>
      <c r="AB6614">
        <v>24</v>
      </c>
      <c r="AC6614">
        <v>0.39879999999999399</v>
      </c>
      <c r="AD6614">
        <v>-8.9696999999999902E-2</v>
      </c>
      <c r="AE6614">
        <v>1.8400000000013898E-2</v>
      </c>
      <c r="AF6614">
        <v>-1.48756887463392E-2</v>
      </c>
      <c r="AG6614">
        <v>-8.9696999999999902E-2</v>
      </c>
      <c r="AH6614">
        <v>0.37974847753848701</v>
      </c>
      <c r="AI6614">
        <v>103.27992521173999</v>
      </c>
      <c r="AJ6614">
        <v>92.243270690906499</v>
      </c>
      <c r="AK6614">
        <v>0.39048142608512998</v>
      </c>
      <c r="AL6614">
        <v>68.059366657686198</v>
      </c>
      <c r="AM6614">
        <v>94.790384413910701</v>
      </c>
      <c r="AN6614">
        <v>1.00000000844694</v>
      </c>
    </row>
    <row r="6615" spans="1:40" x14ac:dyDescent="0.25">
      <c r="A6615" t="str">
        <f>"20190304164539106"</f>
        <v>20190304164539106</v>
      </c>
      <c r="B6615" t="str">
        <f>"1551689139097121"</f>
        <v>1551689139097121</v>
      </c>
      <c r="C6615" t="s">
        <v>40</v>
      </c>
      <c r="D6615">
        <v>4.980721</v>
      </c>
      <c r="E6615">
        <v>0.54171289999999905</v>
      </c>
      <c r="F6615" t="s">
        <v>41</v>
      </c>
      <c r="G6615">
        <v>-139.5428</v>
      </c>
      <c r="H6615">
        <v>0.98806150000000004</v>
      </c>
      <c r="I6615">
        <v>137.3203</v>
      </c>
      <c r="J6615">
        <v>-140.11609999999999</v>
      </c>
      <c r="K6615">
        <v>1.1100680000000001</v>
      </c>
      <c r="L6615">
        <v>137.3091</v>
      </c>
      <c r="M6615">
        <v>0.99989660000000002</v>
      </c>
      <c r="N6615">
        <v>-1.324475E-2</v>
      </c>
      <c r="O6615">
        <v>5.6079579999999997E-3</v>
      </c>
      <c r="P6615">
        <v>0.92858390000000002</v>
      </c>
      <c r="Q6615">
        <v>0.36121110000000001</v>
      </c>
      <c r="R6615">
        <v>8.5198350000000006E-2</v>
      </c>
      <c r="S6615">
        <v>3.4280089999999999</v>
      </c>
      <c r="T6615">
        <v>-0.51877649999999997</v>
      </c>
      <c r="U6615">
        <v>4.747009E-2</v>
      </c>
      <c r="V6615">
        <v>-7.915121E-2</v>
      </c>
      <c r="W6615">
        <v>0.37366250000000001</v>
      </c>
      <c r="X6615">
        <v>0.92418149999999999</v>
      </c>
      <c r="Y6615">
        <v>-8.1899179999999992E-3</v>
      </c>
      <c r="Z6615" s="1">
        <v>-9.9181949999999997E-5</v>
      </c>
      <c r="AA6615">
        <v>0.99996640000000003</v>
      </c>
      <c r="AB6615">
        <v>24</v>
      </c>
      <c r="AC6615">
        <v>0.57329999999998904</v>
      </c>
      <c r="AD6615">
        <v>-0.1220065</v>
      </c>
      <c r="AE6615">
        <v>1.12000000000023E-2</v>
      </c>
      <c r="AF6615">
        <v>-7.6386761846047799E-3</v>
      </c>
      <c r="AG6615">
        <v>-0.1220065</v>
      </c>
      <c r="AH6615">
        <v>0.54852078466960197</v>
      </c>
      <c r="AI6615">
        <v>102.53887708609599</v>
      </c>
      <c r="AJ6615">
        <v>90.797846917722595</v>
      </c>
      <c r="AK6615">
        <v>0.56197774567206804</v>
      </c>
      <c r="AL6615">
        <v>68.0583289927972</v>
      </c>
      <c r="AM6615">
        <v>94.895132244562603</v>
      </c>
      <c r="AN6615">
        <v>1.00000001144648</v>
      </c>
    </row>
    <row r="6616" spans="1:40" x14ac:dyDescent="0.25">
      <c r="A6616" t="str">
        <f>"20190304164539129"</f>
        <v>20190304164539129</v>
      </c>
      <c r="B6616" t="str">
        <f>"1551689139116641"</f>
        <v>1551689139116641</v>
      </c>
      <c r="C6616" t="s">
        <v>40</v>
      </c>
      <c r="D6616">
        <v>4.9975800000000001</v>
      </c>
      <c r="E6616">
        <v>0.54183210000000004</v>
      </c>
      <c r="F6616" t="s">
        <v>41</v>
      </c>
      <c r="G6616">
        <v>-139.32919999999999</v>
      </c>
      <c r="H6616">
        <v>0.99278739999999999</v>
      </c>
      <c r="I6616">
        <v>137.31909999999999</v>
      </c>
      <c r="J6616">
        <v>-139.87889999999999</v>
      </c>
      <c r="K6616">
        <v>1.1101110000000001</v>
      </c>
      <c r="L6616">
        <v>137.30889999999999</v>
      </c>
      <c r="M6616">
        <v>0.99990319999999999</v>
      </c>
      <c r="N6616">
        <v>-1.3243390000000001E-2</v>
      </c>
      <c r="O6616">
        <v>4.2777910000000004E-3</v>
      </c>
      <c r="P6616">
        <v>0.92773190000000005</v>
      </c>
      <c r="Q6616">
        <v>0.3632283</v>
      </c>
      <c r="R6616">
        <v>8.5899320000000001E-2</v>
      </c>
      <c r="S6616">
        <v>3.425278</v>
      </c>
      <c r="T6616">
        <v>-0.51055649999999997</v>
      </c>
      <c r="U6616">
        <v>4.3914790000000002E-2</v>
      </c>
      <c r="V6616">
        <v>-8.111749E-2</v>
      </c>
      <c r="W6616">
        <v>0.3756639</v>
      </c>
      <c r="X6616">
        <v>0.92319910000000005</v>
      </c>
      <c r="Y6616">
        <v>-8.4789630000000008E-3</v>
      </c>
      <c r="Z6616">
        <v>1.071827E-4</v>
      </c>
      <c r="AA6616">
        <v>0.99996410000000002</v>
      </c>
      <c r="AB6616">
        <v>24</v>
      </c>
      <c r="AC6616">
        <v>0.54970000000000097</v>
      </c>
      <c r="AD6616">
        <v>-0.1173236</v>
      </c>
      <c r="AE6616">
        <v>1.0199999999997499E-2</v>
      </c>
      <c r="AF6616">
        <v>-7.5063767176086196E-3</v>
      </c>
      <c r="AG6616">
        <v>-0.1173236</v>
      </c>
      <c r="AH6616">
        <v>0.52579517602901205</v>
      </c>
      <c r="AI6616">
        <v>102.577424878388</v>
      </c>
      <c r="AJ6616">
        <v>90.817912582585507</v>
      </c>
      <c r="AK6616">
        <v>0.53877800618043703</v>
      </c>
      <c r="AL6616">
        <v>67.934648048123904</v>
      </c>
      <c r="AM6616">
        <v>95.021435018583801</v>
      </c>
      <c r="AN6616">
        <v>0.99999999559396002</v>
      </c>
    </row>
    <row r="6617" spans="1:40" x14ac:dyDescent="0.25">
      <c r="A6617" t="str">
        <f>"20190304164539151"</f>
        <v>20190304164539151</v>
      </c>
      <c r="B6617" t="str">
        <f>"1551689139146897"</f>
        <v>1551689139146897</v>
      </c>
      <c r="C6617" t="s">
        <v>40</v>
      </c>
      <c r="D6617">
        <v>5.0322230000000001</v>
      </c>
      <c r="E6617">
        <v>0.54179849999999996</v>
      </c>
      <c r="F6617" t="s">
        <v>41</v>
      </c>
      <c r="G6617">
        <v>-139.1157</v>
      </c>
      <c r="H6617">
        <v>0.99785880000000005</v>
      </c>
      <c r="I6617">
        <v>137.31870000000001</v>
      </c>
      <c r="J6617">
        <v>-139.6431</v>
      </c>
      <c r="K6617">
        <v>1.110182</v>
      </c>
      <c r="L6617">
        <v>137.30840000000001</v>
      </c>
      <c r="M6617">
        <v>0.99990769999999995</v>
      </c>
      <c r="N6617">
        <v>-1.324178E-2</v>
      </c>
      <c r="O6617">
        <v>3.036857E-3</v>
      </c>
      <c r="P6617">
        <v>0.92641879999999999</v>
      </c>
      <c r="Q6617">
        <v>0.36658499999999999</v>
      </c>
      <c r="R6617">
        <v>8.581308E-2</v>
      </c>
      <c r="S6617">
        <v>3.4269259999999999</v>
      </c>
      <c r="T6617">
        <v>-0.50406030000000002</v>
      </c>
      <c r="U6617">
        <v>4.4326780000000003E-2</v>
      </c>
      <c r="V6617">
        <v>-8.2230890000000001E-2</v>
      </c>
      <c r="W6617">
        <v>0.37899129999999998</v>
      </c>
      <c r="X6617">
        <v>0.92173950000000004</v>
      </c>
      <c r="Y6617">
        <v>-9.808766E-3</v>
      </c>
      <c r="Z6617">
        <v>3.785579E-4</v>
      </c>
      <c r="AA6617">
        <v>0.99995179999999995</v>
      </c>
      <c r="AB6617">
        <v>24</v>
      </c>
      <c r="AC6617">
        <v>0.52739999999999998</v>
      </c>
      <c r="AD6617">
        <v>-0.1123232</v>
      </c>
      <c r="AE6617">
        <v>1.03000000000008E-2</v>
      </c>
      <c r="AF6617">
        <v>-8.3208942722283203E-3</v>
      </c>
      <c r="AG6617">
        <v>-0.1123232</v>
      </c>
      <c r="AH6617">
        <v>0.50455185996049701</v>
      </c>
      <c r="AI6617">
        <v>102.54885742515501</v>
      </c>
      <c r="AJ6617">
        <v>90.944816473710205</v>
      </c>
      <c r="AK6617">
        <v>0.51697032596593595</v>
      </c>
      <c r="AL6617">
        <v>67.728784910335605</v>
      </c>
      <c r="AM6617">
        <v>95.098016165981306</v>
      </c>
      <c r="AN6617">
        <v>1.0000000153030599</v>
      </c>
    </row>
    <row r="6618" spans="1:40" x14ac:dyDescent="0.25">
      <c r="A6618" t="str">
        <f>"20190304164539173"</f>
        <v>20190304164539173</v>
      </c>
      <c r="B6618" t="str">
        <f>"1551689139166418"</f>
        <v>1551689139166418</v>
      </c>
      <c r="C6618" t="s">
        <v>40</v>
      </c>
      <c r="D6618">
        <v>4.9548969999999999</v>
      </c>
      <c r="E6618">
        <v>0.54156510000000002</v>
      </c>
      <c r="F6618" t="s">
        <v>41</v>
      </c>
      <c r="G6618">
        <v>-138.90199999999999</v>
      </c>
      <c r="H6618">
        <v>1.0037849999999999</v>
      </c>
      <c r="I6618">
        <v>137.31799999999899</v>
      </c>
      <c r="J6618">
        <v>-139.4084</v>
      </c>
      <c r="K6618">
        <v>1.1102730000000001</v>
      </c>
      <c r="L6618">
        <v>137.30779999999999</v>
      </c>
      <c r="M6618">
        <v>0.99991050000000004</v>
      </c>
      <c r="N6618">
        <v>-1.3239799999999999E-2</v>
      </c>
      <c r="O6618">
        <v>1.918171E-3</v>
      </c>
      <c r="P6618">
        <v>0.92558779999999996</v>
      </c>
      <c r="Q6618">
        <v>0.36873270000000002</v>
      </c>
      <c r="R6618">
        <v>8.5576739999999998E-2</v>
      </c>
      <c r="S6618">
        <v>3.428925</v>
      </c>
      <c r="T6618">
        <v>-0.49236849999999999</v>
      </c>
      <c r="U6618">
        <v>4.4967649999999998E-2</v>
      </c>
      <c r="V6618">
        <v>-8.3102389999999998E-2</v>
      </c>
      <c r="W6618">
        <v>0.38111020000000001</v>
      </c>
      <c r="X6618">
        <v>0.92078720000000003</v>
      </c>
      <c r="Y6618">
        <v>-1.1086810000000001E-2</v>
      </c>
      <c r="Z6618">
        <v>6.1696799999999997E-4</v>
      </c>
      <c r="AA6618">
        <v>0.99993840000000001</v>
      </c>
      <c r="AB6618">
        <v>24</v>
      </c>
      <c r="AC6618">
        <v>0.50639999999998497</v>
      </c>
      <c r="AD6618">
        <v>-0.106488</v>
      </c>
      <c r="AE6618">
        <v>1.0199999999997499E-2</v>
      </c>
      <c r="AF6618">
        <v>-8.8378857720742797E-3</v>
      </c>
      <c r="AG6618">
        <v>-0.106488</v>
      </c>
      <c r="AH6618">
        <v>0.48498167915893797</v>
      </c>
      <c r="AI6618">
        <v>102.381988835081</v>
      </c>
      <c r="AJ6618">
        <v>91.043993072046007</v>
      </c>
      <c r="AK6618">
        <v>0.49661356353682501</v>
      </c>
      <c r="AL6618">
        <v>67.597532737016095</v>
      </c>
      <c r="AM6618">
        <v>95.157056122125994</v>
      </c>
      <c r="AN6618">
        <v>1.0000000297257901</v>
      </c>
    </row>
    <row r="6619" spans="1:40" x14ac:dyDescent="0.25">
      <c r="A6619" t="str">
        <f>"20190304164539195"</f>
        <v>20190304164539195</v>
      </c>
      <c r="B6619" t="str">
        <f>"1551689139186914"</f>
        <v>1551689139186914</v>
      </c>
      <c r="C6619" t="s">
        <v>40</v>
      </c>
      <c r="D6619">
        <v>5.0535589999999999</v>
      </c>
      <c r="E6619">
        <v>0.54155730000000002</v>
      </c>
      <c r="F6619" t="s">
        <v>41</v>
      </c>
      <c r="G6619">
        <v>-138.68879999999999</v>
      </c>
      <c r="H6619">
        <v>1.0092099999999999</v>
      </c>
      <c r="I6619">
        <v>137.31780000000001</v>
      </c>
      <c r="J6619">
        <v>-139.17830000000001</v>
      </c>
      <c r="K6619">
        <v>1.1103730000000001</v>
      </c>
      <c r="L6619">
        <v>137.30699999999999</v>
      </c>
      <c r="M6619">
        <v>0.99991189999999996</v>
      </c>
      <c r="N6619">
        <v>-1.323764E-2</v>
      </c>
      <c r="O6619">
        <v>9.6771369999999995E-4</v>
      </c>
      <c r="P6619">
        <v>0.92526600000000003</v>
      </c>
      <c r="Q6619">
        <v>0.36967739999999999</v>
      </c>
      <c r="R6619">
        <v>8.4979390000000002E-2</v>
      </c>
      <c r="S6619">
        <v>3.4285739999999998</v>
      </c>
      <c r="T6619">
        <v>-0.48150660000000001</v>
      </c>
      <c r="U6619">
        <v>4.7851560000000001E-2</v>
      </c>
      <c r="V6619">
        <v>-8.3475179999999996E-2</v>
      </c>
      <c r="W6619">
        <v>0.38202789999999998</v>
      </c>
      <c r="X6619">
        <v>0.92037310000000006</v>
      </c>
      <c r="Y6619">
        <v>-1.2857250000000001E-2</v>
      </c>
      <c r="Z6619">
        <v>8.6146200000000001E-4</v>
      </c>
      <c r="AA6619">
        <v>0.99991699999999994</v>
      </c>
      <c r="AB6619">
        <v>24</v>
      </c>
      <c r="AC6619">
        <v>0.48950000000001997</v>
      </c>
      <c r="AD6619">
        <v>-0.101163</v>
      </c>
      <c r="AE6619">
        <v>1.0799999999989001E-2</v>
      </c>
      <c r="AF6619">
        <v>-9.9034776308747994E-3</v>
      </c>
      <c r="AG6619">
        <v>-0.101163</v>
      </c>
      <c r="AH6619">
        <v>0.46946858625050097</v>
      </c>
      <c r="AI6619">
        <v>102.157762760881</v>
      </c>
      <c r="AJ6619">
        <v>91.208479845014196</v>
      </c>
      <c r="AK6619">
        <v>0.480346525868804</v>
      </c>
      <c r="AL6619">
        <v>67.540648629958895</v>
      </c>
      <c r="AM6619">
        <v>95.182382602421498</v>
      </c>
      <c r="AN6619">
        <v>1.0000000326290199</v>
      </c>
    </row>
    <row r="6620" spans="1:40" x14ac:dyDescent="0.25">
      <c r="A6620" t="str">
        <f>"20190304164539218"</f>
        <v>20190304164539218</v>
      </c>
      <c r="B6620" t="str">
        <f>"1551689139206433"</f>
        <v>1551689139206433</v>
      </c>
      <c r="C6620" t="s">
        <v>40</v>
      </c>
      <c r="D6620">
        <v>5.0548769999999896</v>
      </c>
      <c r="E6620">
        <v>0.54154159999999996</v>
      </c>
      <c r="F6620" t="s">
        <v>41</v>
      </c>
      <c r="G6620">
        <v>-138.2801</v>
      </c>
      <c r="H6620">
        <v>0.98448610000000003</v>
      </c>
      <c r="I6620">
        <v>137.32</v>
      </c>
      <c r="J6620">
        <v>-138.93899999999999</v>
      </c>
      <c r="K6620">
        <v>1.110492</v>
      </c>
      <c r="L6620">
        <v>137.30619999999999</v>
      </c>
      <c r="M6620">
        <v>0.99991240000000003</v>
      </c>
      <c r="N6620">
        <v>-1.323541E-2</v>
      </c>
      <c r="O6620">
        <v>1.407712E-4</v>
      </c>
      <c r="P6620">
        <v>0.92484520000000003</v>
      </c>
      <c r="Q6620">
        <v>0.37062430000000002</v>
      </c>
      <c r="R6620">
        <v>8.543539E-2</v>
      </c>
      <c r="S6620">
        <v>3.4298099999999998</v>
      </c>
      <c r="T6620">
        <v>-0.48068899999999998</v>
      </c>
      <c r="U6620">
        <v>4.9331670000000001E-2</v>
      </c>
      <c r="V6620">
        <v>-8.4801609999999999E-2</v>
      </c>
      <c r="W6620">
        <v>0.38294460000000002</v>
      </c>
      <c r="X6620">
        <v>0.91987070000000004</v>
      </c>
      <c r="Y6620">
        <v>-1.409125E-2</v>
      </c>
      <c r="Z6620">
        <v>1.058575E-3</v>
      </c>
      <c r="AA6620">
        <v>0.99990020000000002</v>
      </c>
      <c r="AB6620">
        <v>23</v>
      </c>
      <c r="AC6620">
        <v>0.65889999999998805</v>
      </c>
      <c r="AD6620">
        <v>-0.1260059</v>
      </c>
      <c r="AE6620">
        <v>1.3800000000003299E-2</v>
      </c>
      <c r="AF6620">
        <v>-1.3223834217244899E-2</v>
      </c>
      <c r="AG6620">
        <v>-0.1260059</v>
      </c>
      <c r="AH6620">
        <v>0.63566491138362402</v>
      </c>
      <c r="AI6620">
        <v>101.20985282307301</v>
      </c>
      <c r="AJ6620">
        <v>91.191760950161196</v>
      </c>
      <c r="AK6620">
        <v>0.64816837024847695</v>
      </c>
      <c r="AL6620">
        <v>67.483802162806398</v>
      </c>
      <c r="AM6620">
        <v>95.2671311576119</v>
      </c>
      <c r="AN6620">
        <v>0.99999999222312097</v>
      </c>
    </row>
    <row r="6621" spans="1:40" x14ac:dyDescent="0.25">
      <c r="A6621" t="str">
        <f>"20190304164539241"</f>
        <v>20190304164539241</v>
      </c>
      <c r="B6621" t="str">
        <f>"1551689139236689"</f>
        <v>1551689139236689</v>
      </c>
      <c r="C6621" t="s">
        <v>40</v>
      </c>
      <c r="D6621">
        <v>5.0254200000000004</v>
      </c>
      <c r="E6621">
        <v>0.54154250000000004</v>
      </c>
      <c r="F6621" t="s">
        <v>41</v>
      </c>
      <c r="G6621">
        <v>-138.06819999999999</v>
      </c>
      <c r="H6621">
        <v>0.98867179999999999</v>
      </c>
      <c r="I6621">
        <v>137.3193</v>
      </c>
      <c r="J6621">
        <v>-138.70529999999999</v>
      </c>
      <c r="K6621">
        <v>1.1105940000000001</v>
      </c>
      <c r="L6621">
        <v>137.30529999999999</v>
      </c>
      <c r="M6621">
        <v>0.99991229999999998</v>
      </c>
      <c r="N6621">
        <v>-1.323324E-2</v>
      </c>
      <c r="O6621">
        <v>-5.2896639999999999E-4</v>
      </c>
      <c r="P6621">
        <v>0.92449420000000004</v>
      </c>
      <c r="Q6621">
        <v>0.3712587</v>
      </c>
      <c r="R6621">
        <v>8.6472309999999997E-2</v>
      </c>
      <c r="S6621">
        <v>3.4313349999999998</v>
      </c>
      <c r="T6621">
        <v>-0.48007539999999999</v>
      </c>
      <c r="U6621">
        <v>5.2291869999999997E-2</v>
      </c>
      <c r="V6621">
        <v>-8.6554740000000005E-2</v>
      </c>
      <c r="W6621">
        <v>0.383552</v>
      </c>
      <c r="X6621">
        <v>0.91945429999999995</v>
      </c>
      <c r="Y6621">
        <v>-1.559609E-2</v>
      </c>
      <c r="Z6621">
        <v>1.256095E-3</v>
      </c>
      <c r="AA6621">
        <v>0.99987760000000003</v>
      </c>
      <c r="AB6621">
        <v>23</v>
      </c>
      <c r="AC6621">
        <v>0.637100000000003</v>
      </c>
      <c r="AD6621">
        <v>-0.121922199999999</v>
      </c>
      <c r="AE6621">
        <v>1.4000000000009999E-2</v>
      </c>
      <c r="AF6621">
        <v>-1.38307568440433E-2</v>
      </c>
      <c r="AG6621">
        <v>-0.121922199999999</v>
      </c>
      <c r="AH6621">
        <v>0.61459523083550305</v>
      </c>
      <c r="AI6621">
        <v>101.217779673311</v>
      </c>
      <c r="AJ6621">
        <v>91.2891578470892</v>
      </c>
      <c r="AK6621">
        <v>0.62672450921713996</v>
      </c>
      <c r="AL6621">
        <v>67.446124798015902</v>
      </c>
      <c r="AM6621">
        <v>95.377808890271098</v>
      </c>
      <c r="AN6621">
        <v>1.00000003475447</v>
      </c>
    </row>
    <row r="6622" spans="1:40" x14ac:dyDescent="0.25">
      <c r="A6622" t="str">
        <f>"20190304164539264"</f>
        <v>20190304164539264</v>
      </c>
      <c r="B6622" t="str">
        <f>"1551689139257185"</f>
        <v>1551689139257185</v>
      </c>
      <c r="C6622" t="s">
        <v>40</v>
      </c>
      <c r="D6622">
        <v>5.0399479999999999</v>
      </c>
      <c r="E6622">
        <v>0.54152849999999997</v>
      </c>
      <c r="F6622" t="s">
        <v>41</v>
      </c>
      <c r="G6622">
        <v>-137.857</v>
      </c>
      <c r="H6622">
        <v>0.99184539999999999</v>
      </c>
      <c r="I6622">
        <v>137.31829999999999</v>
      </c>
      <c r="J6622">
        <v>-138.46700000000001</v>
      </c>
      <c r="K6622">
        <v>1.110703</v>
      </c>
      <c r="L6622">
        <v>137.30439999999999</v>
      </c>
      <c r="M6622">
        <v>0.99991189999999996</v>
      </c>
      <c r="N6622">
        <v>-1.3231079999999999E-2</v>
      </c>
      <c r="O6622">
        <v>-1.0630679999999999E-3</v>
      </c>
      <c r="P6622">
        <v>0.92383990000000005</v>
      </c>
      <c r="Q6622">
        <v>0.37292619999999999</v>
      </c>
      <c r="R6622">
        <v>8.6289469999999993E-2</v>
      </c>
      <c r="S6622">
        <v>3.43309</v>
      </c>
      <c r="T6622">
        <v>-0.48067470000000001</v>
      </c>
      <c r="U6622">
        <v>5.2978520000000001E-2</v>
      </c>
      <c r="V6622">
        <v>-8.695572E-2</v>
      </c>
      <c r="W6622">
        <v>0.38518740000000001</v>
      </c>
      <c r="X6622">
        <v>0.91873249999999995</v>
      </c>
      <c r="Y6622">
        <v>-1.6310180000000001E-2</v>
      </c>
      <c r="Z6622">
        <v>1.3787980000000001E-3</v>
      </c>
      <c r="AA6622">
        <v>0.99986600000000003</v>
      </c>
      <c r="AB6622">
        <v>23</v>
      </c>
      <c r="AC6622">
        <v>0.61000000000001298</v>
      </c>
      <c r="AD6622">
        <v>-0.11885759999999999</v>
      </c>
      <c r="AE6622">
        <v>1.39000000000066E-2</v>
      </c>
      <c r="AF6622">
        <v>-1.4016641491641699E-2</v>
      </c>
      <c r="AG6622">
        <v>-0.11885759999999999</v>
      </c>
      <c r="AH6622">
        <v>0.58768445928459201</v>
      </c>
      <c r="AI6622">
        <v>101.430522645745</v>
      </c>
      <c r="AJ6622">
        <v>91.366281103726493</v>
      </c>
      <c r="AK6622">
        <v>0.59974712921454498</v>
      </c>
      <c r="AL6622">
        <v>67.344625666534697</v>
      </c>
      <c r="AM6622">
        <v>95.406794834746606</v>
      </c>
      <c r="AN6622">
        <v>1.0000000184578599</v>
      </c>
    </row>
    <row r="6623" spans="1:40" x14ac:dyDescent="0.25">
      <c r="A6623" t="str">
        <f>"20190304164539285"</f>
        <v>20190304164539285</v>
      </c>
      <c r="B6623" t="str">
        <f>"1551689139276706"</f>
        <v>1551689139276706</v>
      </c>
      <c r="C6623" t="s">
        <v>40</v>
      </c>
      <c r="D6623">
        <v>5.0481160000000003</v>
      </c>
      <c r="E6623">
        <v>0.54149729999999996</v>
      </c>
      <c r="F6623" t="s">
        <v>41</v>
      </c>
      <c r="G6623">
        <v>-137.6454</v>
      </c>
      <c r="H6623">
        <v>0.99646319999999999</v>
      </c>
      <c r="I6623">
        <v>137.31729999999999</v>
      </c>
      <c r="J6623">
        <v>-138.23480000000001</v>
      </c>
      <c r="K6623">
        <v>1.110811</v>
      </c>
      <c r="L6623">
        <v>137.30359999999999</v>
      </c>
      <c r="M6623">
        <v>0.99991149999999995</v>
      </c>
      <c r="N6623">
        <v>-1.322893E-2</v>
      </c>
      <c r="O6623">
        <v>-1.42954E-3</v>
      </c>
      <c r="P6623">
        <v>0.92314549999999995</v>
      </c>
      <c r="Q6623">
        <v>0.37481720000000002</v>
      </c>
      <c r="R6623">
        <v>8.552556E-2</v>
      </c>
      <c r="S6623">
        <v>3.4350890000000001</v>
      </c>
      <c r="T6623">
        <v>-0.47768549999999899</v>
      </c>
      <c r="U6623">
        <v>5.41687E-2</v>
      </c>
      <c r="V6623">
        <v>-8.6617600000000003E-2</v>
      </c>
      <c r="W6623">
        <v>0.38704569999999999</v>
      </c>
      <c r="X6623">
        <v>0.91798310000000005</v>
      </c>
      <c r="Y6623">
        <v>-1.7006150000000001E-2</v>
      </c>
      <c r="Z6623">
        <v>1.4687979999999999E-3</v>
      </c>
      <c r="AA6623">
        <v>0.99985429999999997</v>
      </c>
      <c r="AB6623">
        <v>23</v>
      </c>
      <c r="AC6623">
        <v>0.58940000000001103</v>
      </c>
      <c r="AD6623">
        <v>-0.1143478</v>
      </c>
      <c r="AE6623">
        <v>1.37E-2</v>
      </c>
      <c r="AF6623">
        <v>-1.40153933497632E-2</v>
      </c>
      <c r="AG6623">
        <v>-0.1143478</v>
      </c>
      <c r="AH6623">
        <v>0.56801208261188096</v>
      </c>
      <c r="AI6623">
        <v>101.37883676536801</v>
      </c>
      <c r="AJ6623">
        <v>91.413455810761505</v>
      </c>
      <c r="AK6623">
        <v>0.57957706701410705</v>
      </c>
      <c r="AL6623">
        <v>67.229200779493695</v>
      </c>
      <c r="AM6623">
        <v>95.390265752092105</v>
      </c>
      <c r="AN6623">
        <v>0.99999997720192901</v>
      </c>
    </row>
    <row r="6624" spans="1:40" x14ac:dyDescent="0.25">
      <c r="A6624" t="str">
        <f>"20190304164539307"</f>
        <v>20190304164539307</v>
      </c>
      <c r="B6624" t="str">
        <f>"1551689139297205"</f>
        <v>1551689139297205</v>
      </c>
      <c r="C6624" t="s">
        <v>40</v>
      </c>
      <c r="D6624">
        <v>5.039199</v>
      </c>
      <c r="E6624">
        <v>0.54142449999999998</v>
      </c>
      <c r="F6624" t="s">
        <v>41</v>
      </c>
      <c r="G6624">
        <v>-137.43430000000001</v>
      </c>
      <c r="H6624">
        <v>1.0005360000000001</v>
      </c>
      <c r="I6624">
        <v>137.31620000000001</v>
      </c>
      <c r="J6624">
        <v>-138.00700000000001</v>
      </c>
      <c r="K6624">
        <v>1.1109169999999999</v>
      </c>
      <c r="L6624">
        <v>137.30289999999999</v>
      </c>
      <c r="M6624">
        <v>0.99991110000000005</v>
      </c>
      <c r="N6624">
        <v>-1.32269E-2</v>
      </c>
      <c r="O6624">
        <v>-1.6394650000000001E-3</v>
      </c>
      <c r="P6624">
        <v>0.92302969999999895</v>
      </c>
      <c r="Q6624">
        <v>0.37514170000000002</v>
      </c>
      <c r="R6624">
        <v>8.5350759999999998E-2</v>
      </c>
      <c r="S6624">
        <v>3.4370419999999999</v>
      </c>
      <c r="T6624">
        <v>-0.47352959999999999</v>
      </c>
      <c r="U6624">
        <v>5.39093E-2</v>
      </c>
      <c r="V6624">
        <v>-8.6730059999999998E-2</v>
      </c>
      <c r="W6624">
        <v>0.38734600000000002</v>
      </c>
      <c r="X6624">
        <v>0.91784580000000004</v>
      </c>
      <c r="Y6624">
        <v>-1.7132120000000001E-2</v>
      </c>
      <c r="Z6624">
        <v>1.491652E-3</v>
      </c>
      <c r="AA6624">
        <v>0.99985210000000002</v>
      </c>
      <c r="AB6624">
        <v>23</v>
      </c>
      <c r="AC6624">
        <v>0.57269999999999699</v>
      </c>
      <c r="AD6624">
        <v>-0.11038099999999899</v>
      </c>
      <c r="AE6624">
        <v>1.33000000000151E-2</v>
      </c>
      <c r="AF6624">
        <v>-1.37292481042327E-2</v>
      </c>
      <c r="AG6624">
        <v>-0.11038099999999899</v>
      </c>
      <c r="AH6624">
        <v>0.55217628985601996</v>
      </c>
      <c r="AI6624">
        <v>101.301116127809</v>
      </c>
      <c r="AJ6624">
        <v>91.424302248480302</v>
      </c>
      <c r="AK6624">
        <v>0.56326824204251602</v>
      </c>
      <c r="AL6624">
        <v>67.210539028674702</v>
      </c>
      <c r="AM6624">
        <v>95.398025504052796</v>
      </c>
      <c r="AN6624">
        <v>0.999999969800621</v>
      </c>
    </row>
    <row r="6625" spans="1:40" x14ac:dyDescent="0.25">
      <c r="A6625" t="str">
        <f>"20190304164539330"</f>
        <v>20190304164539330</v>
      </c>
      <c r="B6625" t="str">
        <f>"1551689139326485"</f>
        <v>1551689139326485</v>
      </c>
      <c r="C6625" t="s">
        <v>40</v>
      </c>
      <c r="D6625">
        <v>5.0540250000000002</v>
      </c>
      <c r="E6625">
        <v>0.54101679999999996</v>
      </c>
      <c r="F6625" t="s">
        <v>41</v>
      </c>
      <c r="G6625">
        <v>-137.2243</v>
      </c>
      <c r="H6625">
        <v>1.002826</v>
      </c>
      <c r="I6625">
        <v>137.31479999999999</v>
      </c>
      <c r="J6625">
        <v>-137.76840000000001</v>
      </c>
      <c r="K6625">
        <v>1.111022</v>
      </c>
      <c r="L6625">
        <v>137.3022</v>
      </c>
      <c r="M6625">
        <v>0.99991110000000005</v>
      </c>
      <c r="N6625">
        <v>-1.3224980000000001E-2</v>
      </c>
      <c r="O6625">
        <v>-1.723687E-3</v>
      </c>
      <c r="P6625">
        <v>0.92300990000000005</v>
      </c>
      <c r="Q6625">
        <v>0.37482799999999999</v>
      </c>
      <c r="R6625">
        <v>8.6930069999999998E-2</v>
      </c>
      <c r="S6625">
        <v>3.4382779999999999</v>
      </c>
      <c r="T6625">
        <v>-0.47493819999999998</v>
      </c>
      <c r="U6625">
        <v>5.3100590000000003E-2</v>
      </c>
      <c r="V6625">
        <v>-8.8484999999999994E-2</v>
      </c>
      <c r="W6625">
        <v>0.38700800000000002</v>
      </c>
      <c r="X6625">
        <v>0.91782090000000005</v>
      </c>
      <c r="Y6625">
        <v>-1.69755999999999E-2</v>
      </c>
      <c r="Z6625">
        <v>1.49393799999999E-3</v>
      </c>
      <c r="AA6625">
        <v>0.99985480000000004</v>
      </c>
      <c r="AB6625">
        <v>23</v>
      </c>
      <c r="AC6625">
        <v>0.54410000000001402</v>
      </c>
      <c r="AD6625">
        <v>-0.108195999999999</v>
      </c>
      <c r="AE6625">
        <v>1.2599999999991901E-2</v>
      </c>
      <c r="AF6625">
        <v>-1.30232254962253E-2</v>
      </c>
      <c r="AG6625">
        <v>-0.108195999999999</v>
      </c>
      <c r="AH6625">
        <v>0.52339228483348998</v>
      </c>
      <c r="AI6625">
        <v>101.67619011119</v>
      </c>
      <c r="AJ6625">
        <v>91.425359031582701</v>
      </c>
      <c r="AK6625">
        <v>0.53461711779697696</v>
      </c>
      <c r="AL6625">
        <v>67.231543843269904</v>
      </c>
      <c r="AM6625">
        <v>95.506735597234098</v>
      </c>
      <c r="AN6625">
        <v>0.999999995882905</v>
      </c>
    </row>
    <row r="6626" spans="1:40" x14ac:dyDescent="0.25">
      <c r="A6626" t="str">
        <f>"20190304164539353"</f>
        <v>20190304164539353</v>
      </c>
      <c r="B6626" t="str">
        <f>"1551689139346980"</f>
        <v>1551689139346980</v>
      </c>
      <c r="C6626" t="s">
        <v>40</v>
      </c>
      <c r="D6626">
        <v>5.092975</v>
      </c>
      <c r="E6626">
        <v>0.54079849999999996</v>
      </c>
      <c r="F6626" t="s">
        <v>41</v>
      </c>
      <c r="G6626">
        <v>-137.01840000000001</v>
      </c>
      <c r="H6626">
        <v>0.99694689999999997</v>
      </c>
      <c r="I6626">
        <v>137.3158</v>
      </c>
      <c r="J6626">
        <v>-137.52940000000001</v>
      </c>
      <c r="K6626">
        <v>1.111124</v>
      </c>
      <c r="L6626">
        <v>137.30170000000001</v>
      </c>
      <c r="M6626">
        <v>0.99991129999999995</v>
      </c>
      <c r="N6626">
        <v>-1.3223189999999999E-2</v>
      </c>
      <c r="O6626">
        <v>-1.688752E-3</v>
      </c>
      <c r="P6626">
        <v>0.92296239999999996</v>
      </c>
      <c r="Q6626">
        <v>0.37464019999999998</v>
      </c>
      <c r="R6626">
        <v>8.8235330000000001E-2</v>
      </c>
      <c r="S6626">
        <v>3.457916</v>
      </c>
      <c r="T6626">
        <v>-0.526034</v>
      </c>
      <c r="U6626">
        <v>6.3049320000000006E-2</v>
      </c>
      <c r="V6626">
        <v>-8.9848919999999999E-2</v>
      </c>
      <c r="W6626">
        <v>0.3867969</v>
      </c>
      <c r="X6626">
        <v>0.91777739999999997</v>
      </c>
      <c r="Y6626">
        <v>-1.9656730000000001E-2</v>
      </c>
      <c r="Z6626">
        <v>1.8504490000000001E-3</v>
      </c>
      <c r="AA6626">
        <v>0.9998051</v>
      </c>
      <c r="AB6626">
        <v>23</v>
      </c>
      <c r="AC6626">
        <v>0.51099999999999501</v>
      </c>
      <c r="AD6626">
        <v>-0.114177099999999</v>
      </c>
      <c r="AE6626">
        <v>1.4099999999984901E-2</v>
      </c>
      <c r="AF6626">
        <v>-1.4252019764709901E-2</v>
      </c>
      <c r="AG6626">
        <v>-0.114177099999999</v>
      </c>
      <c r="AH6626">
        <v>0.48669576162643002</v>
      </c>
      <c r="AI6626">
        <v>103.19717878921</v>
      </c>
      <c r="AJ6626">
        <v>91.677325669473205</v>
      </c>
      <c r="AK6626">
        <v>0.50011228200966396</v>
      </c>
      <c r="AL6626">
        <v>67.244660913117301</v>
      </c>
      <c r="AM6626">
        <v>95.591346717107896</v>
      </c>
      <c r="AN6626">
        <v>1.00000001311276</v>
      </c>
    </row>
    <row r="6627" spans="1:40" x14ac:dyDescent="0.25">
      <c r="A6627" t="str">
        <f>"20190304164539375"</f>
        <v>20190304164539375</v>
      </c>
      <c r="B6627" t="str">
        <f>"1551689139366501"</f>
        <v>1551689139366501</v>
      </c>
      <c r="C6627" t="s">
        <v>40</v>
      </c>
      <c r="D6627">
        <v>5.0661319999999996</v>
      </c>
      <c r="E6627">
        <v>0.54057069999999996</v>
      </c>
      <c r="F6627" t="s">
        <v>41</v>
      </c>
      <c r="G6627">
        <v>-136.80779999999999</v>
      </c>
      <c r="H6627">
        <v>1.0013339999999999</v>
      </c>
      <c r="I6627">
        <v>137.31569999999999</v>
      </c>
      <c r="J6627">
        <v>-137.30189999999999</v>
      </c>
      <c r="K6627">
        <v>1.111189</v>
      </c>
      <c r="L6627">
        <v>137.3014</v>
      </c>
      <c r="M6627">
        <v>0.99991149999999995</v>
      </c>
      <c r="N6627">
        <v>-1.3221500000000001E-2</v>
      </c>
      <c r="O6627">
        <v>-1.5434379999999901E-3</v>
      </c>
      <c r="P6627">
        <v>0.92252610000000002</v>
      </c>
      <c r="Q6627">
        <v>0.37536160000000002</v>
      </c>
      <c r="R6627">
        <v>8.9718950000000006E-2</v>
      </c>
      <c r="S6627">
        <v>3.4575200000000001</v>
      </c>
      <c r="T6627">
        <v>-0.52618549999999997</v>
      </c>
      <c r="U6627">
        <v>6.7733760000000004E-2</v>
      </c>
      <c r="V6627">
        <v>-9.1268799999999997E-2</v>
      </c>
      <c r="W6627">
        <v>0.38749470000000003</v>
      </c>
      <c r="X6627">
        <v>0.91734280000000001</v>
      </c>
      <c r="Y6627">
        <v>-2.085383E-2</v>
      </c>
      <c r="Z6627">
        <v>1.929559E-3</v>
      </c>
      <c r="AA6627">
        <v>0.99978069999999997</v>
      </c>
      <c r="AB6627">
        <v>23</v>
      </c>
      <c r="AC6627">
        <v>0.49410000000000298</v>
      </c>
      <c r="AD6627">
        <v>-0.10985499999999999</v>
      </c>
      <c r="AE6627">
        <v>1.42999999999915E-2</v>
      </c>
      <c r="AF6627">
        <v>-1.43537201074505E-2</v>
      </c>
      <c r="AG6627">
        <v>-0.10985499999999999</v>
      </c>
      <c r="AH6627">
        <v>0.470822999191983</v>
      </c>
      <c r="AI6627">
        <v>103.127707499416</v>
      </c>
      <c r="AJ6627">
        <v>91.746203854914597</v>
      </c>
      <c r="AK6627">
        <v>0.48368217547689002</v>
      </c>
      <c r="AL6627">
        <v>67.201297518779796</v>
      </c>
      <c r="AM6627">
        <v>95.681806402456502</v>
      </c>
      <c r="AN6627">
        <v>0.99999997454668399</v>
      </c>
    </row>
    <row r="6628" spans="1:40" x14ac:dyDescent="0.25">
      <c r="A6628" t="str">
        <f>"20190304164539396"</f>
        <v>20190304164539396</v>
      </c>
      <c r="B6628" t="str">
        <f>"1551689139386997"</f>
        <v>1551689139386997</v>
      </c>
      <c r="C6628" t="s">
        <v>40</v>
      </c>
      <c r="D6628">
        <v>5.0419809999999998</v>
      </c>
      <c r="E6628">
        <v>0.54031940000000001</v>
      </c>
      <c r="F6628" t="s">
        <v>41</v>
      </c>
      <c r="G6628">
        <v>-136.40600000000001</v>
      </c>
      <c r="H6628">
        <v>0.97094959999999997</v>
      </c>
      <c r="I6628">
        <v>137.3211</v>
      </c>
      <c r="J6628">
        <v>-137.07660000000001</v>
      </c>
      <c r="K6628">
        <v>1.111243</v>
      </c>
      <c r="L6628">
        <v>137.30119999999999</v>
      </c>
      <c r="M6628">
        <v>0.99991180000000002</v>
      </c>
      <c r="N6628">
        <v>-1.321989E-2</v>
      </c>
      <c r="O6628">
        <v>-1.3117669999999999E-3</v>
      </c>
      <c r="P6628">
        <v>0.9218731</v>
      </c>
      <c r="Q6628">
        <v>0.37658809999999998</v>
      </c>
      <c r="R6628">
        <v>9.1276769999999993E-2</v>
      </c>
      <c r="S6628">
        <v>3.4652099999999999</v>
      </c>
      <c r="T6628">
        <v>-0.54247419999999902</v>
      </c>
      <c r="U6628">
        <v>7.6660160000000005E-2</v>
      </c>
      <c r="V6628">
        <v>-9.2665579999999997E-2</v>
      </c>
      <c r="W6628">
        <v>0.38869779999999998</v>
      </c>
      <c r="X6628">
        <v>0.9166936</v>
      </c>
      <c r="Y6628">
        <v>-2.3110149999999999E-2</v>
      </c>
      <c r="Z6628">
        <v>2.1383970000000002E-3</v>
      </c>
      <c r="AA6628">
        <v>0.99973060000000002</v>
      </c>
      <c r="AB6628">
        <v>23</v>
      </c>
      <c r="AC6628">
        <v>0.67060000000000697</v>
      </c>
      <c r="AD6628">
        <v>-0.14029339999999901</v>
      </c>
      <c r="AE6628">
        <v>1.9900000000006898E-2</v>
      </c>
      <c r="AF6628">
        <v>-1.9909133073139702E-2</v>
      </c>
      <c r="AG6628">
        <v>-0.14029339999999901</v>
      </c>
      <c r="AH6628">
        <v>0.64247865432330997</v>
      </c>
      <c r="AI6628">
        <v>102.31218090222301</v>
      </c>
      <c r="AJ6628">
        <v>91.774914040907504</v>
      </c>
      <c r="AK6628">
        <v>0.65791901699553801</v>
      </c>
      <c r="AL6628">
        <v>67.126503599625096</v>
      </c>
      <c r="AM6628">
        <v>95.772236372308498</v>
      </c>
      <c r="AN6628">
        <v>1.00000002286126</v>
      </c>
    </row>
    <row r="6629" spans="1:40" x14ac:dyDescent="0.25">
      <c r="A6629" t="str">
        <f>"20190304164539418"</f>
        <v>20190304164539418</v>
      </c>
      <c r="B6629" t="str">
        <f>"1551689139406517"</f>
        <v>1551689139406517</v>
      </c>
      <c r="C6629" t="s">
        <v>40</v>
      </c>
      <c r="D6629">
        <v>5.0495859999999997</v>
      </c>
      <c r="E6629">
        <v>0.54023580000000004</v>
      </c>
      <c r="F6629" t="s">
        <v>41</v>
      </c>
      <c r="G6629">
        <v>-136.19649999999999</v>
      </c>
      <c r="H6629">
        <v>0.97430839999999996</v>
      </c>
      <c r="I6629">
        <v>137.32259999999999</v>
      </c>
      <c r="J6629">
        <v>-136.84799999999899</v>
      </c>
      <c r="K6629">
        <v>1.111291</v>
      </c>
      <c r="L6629">
        <v>137.30119999999999</v>
      </c>
      <c r="M6629">
        <v>0.99991209999999997</v>
      </c>
      <c r="N6629">
        <v>-1.321832E-2</v>
      </c>
      <c r="O6629">
        <v>-1.0257720000000001E-3</v>
      </c>
      <c r="P6629">
        <v>0.9216628</v>
      </c>
      <c r="Q6629">
        <v>0.37666149999999998</v>
      </c>
      <c r="R6629">
        <v>9.3078430000000004E-2</v>
      </c>
      <c r="S6629">
        <v>3.4662169999999999</v>
      </c>
      <c r="T6629">
        <v>-0.53942950000000001</v>
      </c>
      <c r="U6629">
        <v>8.4625240000000004E-2</v>
      </c>
      <c r="V6629">
        <v>-9.4240859999999996E-2</v>
      </c>
      <c r="W6629">
        <v>0.38875759999999998</v>
      </c>
      <c r="X6629">
        <v>0.91650759999999998</v>
      </c>
      <c r="Y6629">
        <v>-2.5094370000000001E-2</v>
      </c>
      <c r="Z6629">
        <v>2.252825E-3</v>
      </c>
      <c r="AA6629">
        <v>0.99968250000000003</v>
      </c>
      <c r="AB6629">
        <v>23</v>
      </c>
      <c r="AC6629">
        <v>0.65149999999999797</v>
      </c>
      <c r="AD6629">
        <v>-0.13698259999999901</v>
      </c>
      <c r="AE6629">
        <v>2.1399999999999801E-2</v>
      </c>
      <c r="AF6629">
        <v>-2.1135005893354E-2</v>
      </c>
      <c r="AG6629">
        <v>-0.13698259999999901</v>
      </c>
      <c r="AH6629">
        <v>0.62392489011077201</v>
      </c>
      <c r="AI6629">
        <v>102.37593426458</v>
      </c>
      <c r="AJ6629">
        <v>91.940111384882101</v>
      </c>
      <c r="AK6629">
        <v>0.63913471950490297</v>
      </c>
      <c r="AL6629">
        <v>67.122784193717806</v>
      </c>
      <c r="AM6629">
        <v>95.870865664824507</v>
      </c>
      <c r="AN6629">
        <v>0.99999999605452905</v>
      </c>
    </row>
    <row r="6630" spans="1:40" x14ac:dyDescent="0.25">
      <c r="A6630" t="str">
        <f>"20190304164539443"</f>
        <v>20190304164539443</v>
      </c>
      <c r="B6630" t="str">
        <f>"1551689139436773"</f>
        <v>1551689139436773</v>
      </c>
      <c r="C6630" t="s">
        <v>40</v>
      </c>
      <c r="D6630">
        <v>5.0919930000000004</v>
      </c>
      <c r="E6630">
        <v>0.54007950000000005</v>
      </c>
      <c r="F6630" t="s">
        <v>41</v>
      </c>
      <c r="G6630">
        <v>-135.9871</v>
      </c>
      <c r="H6630">
        <v>0.97786189999999995</v>
      </c>
      <c r="I6630">
        <v>137.32399999999899</v>
      </c>
      <c r="J6630">
        <v>-136.5941</v>
      </c>
      <c r="K6630">
        <v>1.1113170000000001</v>
      </c>
      <c r="L6630">
        <v>137.3013</v>
      </c>
      <c r="M6630">
        <v>0.99991260000000004</v>
      </c>
      <c r="N6630">
        <v>-1.321658E-2</v>
      </c>
      <c r="O6630">
        <v>-6.765203E-4</v>
      </c>
      <c r="P6630">
        <v>0.92140180000000005</v>
      </c>
      <c r="Q6630">
        <v>0.37709720000000002</v>
      </c>
      <c r="R6630">
        <v>9.3897629999999996E-2</v>
      </c>
      <c r="S6630">
        <v>3.4652099999999999</v>
      </c>
      <c r="T6630">
        <v>-0.53715249999999903</v>
      </c>
      <c r="U6630">
        <v>9.2132569999999997E-2</v>
      </c>
      <c r="V6630">
        <v>-9.4758590000000004E-2</v>
      </c>
      <c r="W6630">
        <v>0.38918330000000001</v>
      </c>
      <c r="X6630">
        <v>0.91627349999999996</v>
      </c>
      <c r="Y6630">
        <v>-2.6899289999999999E-2</v>
      </c>
      <c r="Z6630">
        <v>2.3464150000000001E-3</v>
      </c>
      <c r="AA6630">
        <v>0.99963539999999995</v>
      </c>
      <c r="AB6630">
        <v>23</v>
      </c>
      <c r="AC6630">
        <v>0.60699999999999898</v>
      </c>
      <c r="AD6630">
        <v>-0.13345509999999999</v>
      </c>
      <c r="AE6630">
        <v>2.2699999999986099E-2</v>
      </c>
      <c r="AF6630">
        <v>-2.2046473779217899E-2</v>
      </c>
      <c r="AG6630">
        <v>-0.13345509999999999</v>
      </c>
      <c r="AH6630">
        <v>0.57903397194960804</v>
      </c>
      <c r="AI6630">
        <v>102.96974147118399</v>
      </c>
      <c r="AJ6630">
        <v>92.180459347140697</v>
      </c>
      <c r="AK6630">
        <v>0.59462311710347004</v>
      </c>
      <c r="AL6630">
        <v>67.096308008123899</v>
      </c>
      <c r="AM6630">
        <v>95.904388737500597</v>
      </c>
      <c r="AN6630">
        <v>0.99999997908996296</v>
      </c>
    </row>
    <row r="6631" spans="1:40" x14ac:dyDescent="0.25">
      <c r="A6631" t="str">
        <f>"20190304164539464"</f>
        <v>20190304164539464</v>
      </c>
      <c r="B6631" t="str">
        <f>"1551689139457268"</f>
        <v>1551689139457268</v>
      </c>
      <c r="C6631" t="s">
        <v>40</v>
      </c>
      <c r="D6631">
        <v>5.2149470000000004</v>
      </c>
      <c r="E6631">
        <v>0.54000619999999999</v>
      </c>
      <c r="F6631" t="s">
        <v>41</v>
      </c>
      <c r="G6631">
        <v>-135.7764</v>
      </c>
      <c r="H6631">
        <v>0.98463809999999996</v>
      </c>
      <c r="I6631">
        <v>137.32470000000001</v>
      </c>
      <c r="J6631">
        <v>-136.37690000000001</v>
      </c>
      <c r="K6631">
        <v>1.111326</v>
      </c>
      <c r="L6631">
        <v>137.3015</v>
      </c>
      <c r="M6631">
        <v>0.99991280000000005</v>
      </c>
      <c r="N6631">
        <v>-1.3215070000000001E-2</v>
      </c>
      <c r="O6631">
        <v>-3.6905819999999998E-4</v>
      </c>
      <c r="P6631">
        <v>0.9213228</v>
      </c>
      <c r="Q6631">
        <v>0.37708639999999999</v>
      </c>
      <c r="R6631">
        <v>9.471359E-2</v>
      </c>
      <c r="S6631">
        <v>3.4655300000000002</v>
      </c>
      <c r="T6631">
        <v>-0.5369159</v>
      </c>
      <c r="U6631">
        <v>9.9487300000000001E-2</v>
      </c>
      <c r="V6631">
        <v>-9.529261E-2</v>
      </c>
      <c r="W6631">
        <v>0.38917010000000002</v>
      </c>
      <c r="X6631">
        <v>0.91622380000000003</v>
      </c>
      <c r="Y6631">
        <v>-2.8689550000000001E-2</v>
      </c>
      <c r="Z6631">
        <v>2.451628E-3</v>
      </c>
      <c r="AA6631">
        <v>0.99958539999999996</v>
      </c>
      <c r="AB6631">
        <v>23</v>
      </c>
      <c r="AC6631">
        <v>0.60050000000001003</v>
      </c>
      <c r="AD6631">
        <v>-0.12668789999999999</v>
      </c>
      <c r="AE6631">
        <v>2.3200000000002701E-2</v>
      </c>
      <c r="AF6631">
        <v>-2.24250178774358E-2</v>
      </c>
      <c r="AG6631">
        <v>-0.12668789999999999</v>
      </c>
      <c r="AH6631">
        <v>0.57493975298090805</v>
      </c>
      <c r="AI6631">
        <v>102.417389154323</v>
      </c>
      <c r="AJ6631">
        <v>92.233639100962293</v>
      </c>
      <c r="AK6631">
        <v>0.58915908292324703</v>
      </c>
      <c r="AL6631">
        <v>67.097130755764098</v>
      </c>
      <c r="AM6631">
        <v>95.937746139678893</v>
      </c>
      <c r="AN6631">
        <v>1.0000000499705299</v>
      </c>
    </row>
    <row r="6632" spans="1:40" x14ac:dyDescent="0.25">
      <c r="A6632" t="str">
        <f>"20190304164539485"</f>
        <v>20190304164539485</v>
      </c>
      <c r="B6632" t="str">
        <f>"1551689139476789"</f>
        <v>1551689139476789</v>
      </c>
      <c r="C6632" t="s">
        <v>40</v>
      </c>
      <c r="D6632">
        <v>5.0815900000000003</v>
      </c>
      <c r="E6632">
        <v>0.53945310000000002</v>
      </c>
      <c r="F6632" t="s">
        <v>41</v>
      </c>
      <c r="G6632">
        <v>-135.5686</v>
      </c>
      <c r="H6632">
        <v>0.98585449999999997</v>
      </c>
      <c r="I6632">
        <v>137.32599999999999</v>
      </c>
      <c r="J6632">
        <v>-136.14920000000001</v>
      </c>
      <c r="K6632">
        <v>1.111337</v>
      </c>
      <c r="L6632">
        <v>137.30179999999999</v>
      </c>
      <c r="M6632">
        <v>0.99991269999999999</v>
      </c>
      <c r="N6632">
        <v>-1.3213549999999999E-2</v>
      </c>
      <c r="O6632" s="1">
        <v>-5.0095510000000002E-5</v>
      </c>
      <c r="P6632">
        <v>0.92156819999999895</v>
      </c>
      <c r="Q6632">
        <v>0.37649830000000001</v>
      </c>
      <c r="R6632">
        <v>9.466434E-2</v>
      </c>
      <c r="S6632">
        <v>3.465576</v>
      </c>
      <c r="T6632">
        <v>-0.53802280000000002</v>
      </c>
      <c r="U6632">
        <v>0.1053009</v>
      </c>
      <c r="V6632">
        <v>-9.4939640000000006E-2</v>
      </c>
      <c r="W6632">
        <v>0.38858680000000001</v>
      </c>
      <c r="X6632">
        <v>0.91650799999999999</v>
      </c>
      <c r="Y6632">
        <v>-3.002997E-2</v>
      </c>
      <c r="Z6632">
        <v>2.5234469999999998E-3</v>
      </c>
      <c r="AA6632">
        <v>0.99954580000000004</v>
      </c>
      <c r="AB6632">
        <v>23</v>
      </c>
      <c r="AC6632">
        <v>0.580600000000004</v>
      </c>
      <c r="AD6632">
        <v>-0.1254825</v>
      </c>
      <c r="AE6632">
        <v>2.42000000000075E-2</v>
      </c>
      <c r="AF6632">
        <v>-2.3149637756339402E-2</v>
      </c>
      <c r="AG6632">
        <v>-0.1254825</v>
      </c>
      <c r="AH6632">
        <v>0.55473204845659896</v>
      </c>
      <c r="AI6632">
        <v>102.735293529299</v>
      </c>
      <c r="AJ6632">
        <v>92.389635481047407</v>
      </c>
      <c r="AK6632">
        <v>0.56921824383917496</v>
      </c>
      <c r="AL6632">
        <v>67.133407305938306</v>
      </c>
      <c r="AM6632">
        <v>95.914087154246999</v>
      </c>
      <c r="AN6632">
        <v>1.00000007522078</v>
      </c>
    </row>
    <row r="6633" spans="1:40" x14ac:dyDescent="0.25">
      <c r="A6633" t="str">
        <f>"20190304164539508"</f>
        <v>20190304164539508</v>
      </c>
      <c r="B6633" t="str">
        <f>"1551689139497285"</f>
        <v>1551689139497285</v>
      </c>
      <c r="C6633" t="s">
        <v>40</v>
      </c>
      <c r="D6633">
        <v>5.091037</v>
      </c>
      <c r="E6633">
        <v>0.53934689999999996</v>
      </c>
      <c r="F6633" t="s">
        <v>41</v>
      </c>
      <c r="G6633">
        <v>-135.35990000000001</v>
      </c>
      <c r="H6633">
        <v>0.98921879999999995</v>
      </c>
      <c r="I6633">
        <v>137.32669999999999</v>
      </c>
      <c r="J6633">
        <v>-135.91050000000001</v>
      </c>
      <c r="K6633">
        <v>1.1113420000000001</v>
      </c>
      <c r="L6633">
        <v>137.3022</v>
      </c>
      <c r="M6633">
        <v>0.99991280000000005</v>
      </c>
      <c r="N6633">
        <v>-1.321201E-2</v>
      </c>
      <c r="O6633">
        <v>2.7078310000000001E-4</v>
      </c>
      <c r="P6633">
        <v>0.92154020000000003</v>
      </c>
      <c r="Q6633">
        <v>0.37702649999999999</v>
      </c>
      <c r="R6633">
        <v>9.2816079999999995E-2</v>
      </c>
      <c r="S6633">
        <v>3.4629669999999999</v>
      </c>
      <c r="T6633">
        <v>-0.53584670000000001</v>
      </c>
      <c r="U6633">
        <v>0.109664899999999</v>
      </c>
      <c r="V6633">
        <v>-9.277929E-2</v>
      </c>
      <c r="W6633">
        <v>0.38911829999999997</v>
      </c>
      <c r="X6633">
        <v>0.91650370000000003</v>
      </c>
      <c r="Y6633">
        <v>-3.098383E-2</v>
      </c>
      <c r="Z6633">
        <v>2.5503650000000002E-3</v>
      </c>
      <c r="AA6633">
        <v>0.99951659999999998</v>
      </c>
      <c r="AB6633">
        <v>23</v>
      </c>
      <c r="AC6633">
        <v>0.55060000000000198</v>
      </c>
      <c r="AD6633">
        <v>-0.1221232</v>
      </c>
      <c r="AE6633">
        <v>2.4499999999988999E-2</v>
      </c>
      <c r="AF6633">
        <v>-2.3211263448197898E-2</v>
      </c>
      <c r="AG6633">
        <v>-0.1221232</v>
      </c>
      <c r="AH6633">
        <v>0.52483805106720005</v>
      </c>
      <c r="AI6633">
        <v>103.086567908756</v>
      </c>
      <c r="AJ6633">
        <v>92.5322885607534</v>
      </c>
      <c r="AK6633">
        <v>0.53935871048599804</v>
      </c>
      <c r="AL6633">
        <v>67.100352396333406</v>
      </c>
      <c r="AM6633">
        <v>95.780460930638995</v>
      </c>
      <c r="AN6633">
        <v>1.0000000400807401</v>
      </c>
    </row>
    <row r="6634" spans="1:40" x14ac:dyDescent="0.25">
      <c r="A6634" t="str">
        <f>"20190304164539533"</f>
        <v>20190304164539533</v>
      </c>
      <c r="B6634" t="str">
        <f>"1551689139526565"</f>
        <v>1551689139526565</v>
      </c>
      <c r="C6634" t="s">
        <v>40</v>
      </c>
      <c r="D6634">
        <v>5.0994929999999998</v>
      </c>
      <c r="E6634">
        <v>0.53921649999999999</v>
      </c>
      <c r="F6634" t="s">
        <v>41</v>
      </c>
      <c r="G6634">
        <v>-135.15029999999999</v>
      </c>
      <c r="H6634">
        <v>0.99489609999999995</v>
      </c>
      <c r="I6634">
        <v>137.32499999999999</v>
      </c>
      <c r="J6634">
        <v>-135.6711</v>
      </c>
      <c r="K6634">
        <v>1.111334</v>
      </c>
      <c r="L6634">
        <v>137.30260000000001</v>
      </c>
      <c r="M6634">
        <v>0.99991269999999999</v>
      </c>
      <c r="N6634">
        <v>-1.321051E-2</v>
      </c>
      <c r="O6634">
        <v>5.7489629999999997E-4</v>
      </c>
      <c r="P6634">
        <v>0.92278090000000002</v>
      </c>
      <c r="Q6634">
        <v>0.37472529999999998</v>
      </c>
      <c r="R6634">
        <v>8.9758649999999995E-2</v>
      </c>
      <c r="S6634">
        <v>3.4619140000000002</v>
      </c>
      <c r="T6634">
        <v>-0.53036260000000002</v>
      </c>
      <c r="U6634">
        <v>0.1042175</v>
      </c>
      <c r="V6634">
        <v>-8.9422269999999998E-2</v>
      </c>
      <c r="W6634">
        <v>0.38683869999999998</v>
      </c>
      <c r="X6634">
        <v>0.91780139999999999</v>
      </c>
      <c r="Y6634">
        <v>-2.915181E-2</v>
      </c>
      <c r="Z6634">
        <v>2.333403E-3</v>
      </c>
      <c r="AA6634">
        <v>0.99957229999999997</v>
      </c>
      <c r="AB6634">
        <v>23</v>
      </c>
      <c r="AC6634">
        <v>0.52080000000000803</v>
      </c>
      <c r="AD6634">
        <v>-0.1164379</v>
      </c>
      <c r="AE6634">
        <v>2.2399999999976199E-2</v>
      </c>
      <c r="AF6634">
        <v>-2.10502911799237E-2</v>
      </c>
      <c r="AG6634">
        <v>-0.1164379</v>
      </c>
      <c r="AH6634">
        <v>0.49606249102935801</v>
      </c>
      <c r="AI6634">
        <v>103.19811686369199</v>
      </c>
      <c r="AJ6634">
        <v>92.429874672059</v>
      </c>
      <c r="AK6634">
        <v>0.50997930773848299</v>
      </c>
      <c r="AL6634">
        <v>67.242062646663101</v>
      </c>
      <c r="AM6634">
        <v>95.564818508784995</v>
      </c>
      <c r="AN6634">
        <v>0.99999996601579999</v>
      </c>
    </row>
    <row r="6635" spans="1:40" x14ac:dyDescent="0.25">
      <c r="A6635" t="str">
        <f>"20190304164539555"</f>
        <v>20190304164539555</v>
      </c>
      <c r="B6635" t="str">
        <f>"1551689139547061"</f>
        <v>1551689139547061</v>
      </c>
      <c r="C6635" t="s">
        <v>40</v>
      </c>
      <c r="D6635">
        <v>5.112984</v>
      </c>
      <c r="E6635">
        <v>0.53926750000000001</v>
      </c>
      <c r="F6635" t="s">
        <v>41</v>
      </c>
      <c r="G6635">
        <v>-134.94200000000001</v>
      </c>
      <c r="H6635">
        <v>0.99854180000000003</v>
      </c>
      <c r="I6635">
        <v>137.3229</v>
      </c>
      <c r="J6635">
        <v>-135.4348</v>
      </c>
      <c r="K6635">
        <v>1.1112949999999999</v>
      </c>
      <c r="L6635">
        <v>137.3031</v>
      </c>
      <c r="M6635">
        <v>0.99991240000000003</v>
      </c>
      <c r="N6635">
        <v>-1.320906E-2</v>
      </c>
      <c r="O6635">
        <v>8.5908509999999905E-4</v>
      </c>
      <c r="P6635">
        <v>0.92690170000000005</v>
      </c>
      <c r="Q6635">
        <v>0.36504439999999999</v>
      </c>
      <c r="R6635">
        <v>8.7155570000000002E-2</v>
      </c>
      <c r="S6635">
        <v>3.458939</v>
      </c>
      <c r="T6635">
        <v>-0.53509549999999995</v>
      </c>
      <c r="U6635">
        <v>9.6603389999999997E-2</v>
      </c>
      <c r="V6635">
        <v>-8.6534239999999998E-2</v>
      </c>
      <c r="W6635">
        <v>0.37721719999999997</v>
      </c>
      <c r="X6635">
        <v>0.92207320000000004</v>
      </c>
      <c r="Y6635">
        <v>-2.6722349999999999E-2</v>
      </c>
      <c r="Z6635">
        <v>2.111211E-3</v>
      </c>
      <c r="AA6635">
        <v>0.99964059999999999</v>
      </c>
      <c r="AB6635">
        <v>23</v>
      </c>
      <c r="AC6635">
        <v>0.49279999999998803</v>
      </c>
      <c r="AD6635">
        <v>-0.1127532</v>
      </c>
      <c r="AE6635">
        <v>1.9800000000003599E-2</v>
      </c>
      <c r="AF6635">
        <v>-1.8414171161725602E-2</v>
      </c>
      <c r="AG6635">
        <v>-0.1127532</v>
      </c>
      <c r="AH6635">
        <v>0.46833882595346799</v>
      </c>
      <c r="AI6635">
        <v>103.526363615729</v>
      </c>
      <c r="AJ6635">
        <v>92.251598764228802</v>
      </c>
      <c r="AK6635">
        <v>0.48207221627603303</v>
      </c>
      <c r="AL6635">
        <v>67.838583941414001</v>
      </c>
      <c r="AM6635">
        <v>95.361361142729194</v>
      </c>
      <c r="AN6635">
        <v>0.99999998841322801</v>
      </c>
    </row>
    <row r="6636" spans="1:40" x14ac:dyDescent="0.25">
      <c r="A6636" t="str">
        <f>"20190304164539580"</f>
        <v>20190304164539580</v>
      </c>
      <c r="B6636" t="str">
        <f>"1551689139566581"</f>
        <v>1551689139566581</v>
      </c>
      <c r="C6636" t="s">
        <v>40</v>
      </c>
      <c r="D6636">
        <v>5.1223320000000001</v>
      </c>
      <c r="E6636">
        <v>0.53909090000000004</v>
      </c>
      <c r="F6636" t="s">
        <v>41</v>
      </c>
      <c r="G6636">
        <v>-134.54589999999999</v>
      </c>
      <c r="H6636">
        <v>0.9632617</v>
      </c>
      <c r="I6636">
        <v>137.32480000000001</v>
      </c>
      <c r="J6636">
        <v>-135.1833</v>
      </c>
      <c r="K6636">
        <v>1.1112249999999999</v>
      </c>
      <c r="L6636">
        <v>137.30359999999999</v>
      </c>
      <c r="M6636">
        <v>0.99991209999999997</v>
      </c>
      <c r="N6636">
        <v>-1.320754E-2</v>
      </c>
      <c r="O6636">
        <v>1.151069E-3</v>
      </c>
      <c r="P6636">
        <v>0.93349599999999999</v>
      </c>
      <c r="Q6636">
        <v>0.34809459999999998</v>
      </c>
      <c r="R6636">
        <v>8.6112560000000005E-2</v>
      </c>
      <c r="S6636">
        <v>3.4552309999999999</v>
      </c>
      <c r="T6636">
        <v>-0.57543559999999905</v>
      </c>
      <c r="U6636">
        <v>8.5006709999999999E-2</v>
      </c>
      <c r="V6636">
        <v>-8.5194149999999996E-2</v>
      </c>
      <c r="W6636">
        <v>0.3603576</v>
      </c>
      <c r="X6636">
        <v>0.92891570000000001</v>
      </c>
      <c r="Y6636">
        <v>-2.3113720000000001E-2</v>
      </c>
      <c r="Z6636">
        <v>1.8897779999999999E-3</v>
      </c>
      <c r="AA6636">
        <v>0.99973109999999998</v>
      </c>
      <c r="AB6636">
        <v>23</v>
      </c>
      <c r="AC6636">
        <v>0.63740000000001296</v>
      </c>
      <c r="AD6636">
        <v>-0.14796329999999899</v>
      </c>
      <c r="AE6636">
        <v>2.1200000000021601E-2</v>
      </c>
      <c r="AF6636">
        <v>-1.9420855604216799E-2</v>
      </c>
      <c r="AG6636">
        <v>-0.14796329999999899</v>
      </c>
      <c r="AH6636">
        <v>0.60486561434609198</v>
      </c>
      <c r="AI6636">
        <v>103.739043797994</v>
      </c>
      <c r="AJ6636">
        <v>91.839005055571505</v>
      </c>
      <c r="AK6636">
        <v>0.62300298490261297</v>
      </c>
      <c r="AL6636">
        <v>68.877841146642496</v>
      </c>
      <c r="AM6636">
        <v>95.240139491546998</v>
      </c>
      <c r="AN6636">
        <v>1.0000000103892299</v>
      </c>
    </row>
    <row r="6637" spans="1:40" x14ac:dyDescent="0.25">
      <c r="A6637" t="str">
        <f>"20190304164539621"</f>
        <v>20190304164539621</v>
      </c>
      <c r="B6637" t="str">
        <f>"1551689139616921"</f>
        <v>1551689139616921</v>
      </c>
      <c r="C6637" t="s">
        <v>40</v>
      </c>
      <c r="D6637">
        <v>5.1619449999999896</v>
      </c>
      <c r="E6637">
        <v>0.53160269999999898</v>
      </c>
      <c r="F6637" t="s">
        <v>41</v>
      </c>
      <c r="G6637">
        <v>-134.34350000000001</v>
      </c>
      <c r="H6637">
        <v>0.95542879999999997</v>
      </c>
      <c r="I6637">
        <v>137.3219</v>
      </c>
      <c r="J6637">
        <v>-134.75710000000001</v>
      </c>
      <c r="K6637">
        <v>1.111054</v>
      </c>
      <c r="L6637">
        <v>137.3048</v>
      </c>
      <c r="M6637">
        <v>0.99991149999999995</v>
      </c>
      <c r="N6637">
        <v>-1.320502E-2</v>
      </c>
      <c r="O6637">
        <v>1.6409079999999999E-3</v>
      </c>
      <c r="P6637">
        <v>0.94797310000000001</v>
      </c>
      <c r="Q6637">
        <v>0.30626799999999998</v>
      </c>
      <c r="R6637">
        <v>8.6872210000000005E-2</v>
      </c>
      <c r="S6637">
        <v>3.4451139999999998</v>
      </c>
      <c r="T6637">
        <v>-0.63919059999999905</v>
      </c>
      <c r="U6637">
        <v>7.5454709999999994E-2</v>
      </c>
      <c r="V6637">
        <v>-8.5443580000000005E-2</v>
      </c>
      <c r="W6637">
        <v>0.31872729999999999</v>
      </c>
      <c r="X6637">
        <v>0.94398749999999998</v>
      </c>
      <c r="Y6637">
        <v>-1.9915820000000001E-2</v>
      </c>
      <c r="Z6637">
        <v>1.68407E-3</v>
      </c>
      <c r="AA6637">
        <v>0.99980029999999998</v>
      </c>
      <c r="AB6637">
        <v>23</v>
      </c>
      <c r="AC6637">
        <v>0.41360000000000202</v>
      </c>
      <c r="AD6637">
        <v>-0.15562519999999899</v>
      </c>
      <c r="AE6637">
        <v>1.7099999999999199E-2</v>
      </c>
      <c r="AF6637">
        <v>-1.43877160792539E-2</v>
      </c>
      <c r="AG6637">
        <v>-0.15562519999999899</v>
      </c>
      <c r="AH6637">
        <v>0.36240598954694803</v>
      </c>
      <c r="AI6637">
        <v>113.223408989912</v>
      </c>
      <c r="AJ6637">
        <v>92.273479862383994</v>
      </c>
      <c r="AK6637">
        <v>0.39466987534966402</v>
      </c>
      <c r="AL6637">
        <v>71.414026099922907</v>
      </c>
      <c r="AM6637">
        <v>95.171946240416204</v>
      </c>
      <c r="AN6637">
        <v>1.0000000486423699</v>
      </c>
    </row>
    <row r="6638" spans="1:40" x14ac:dyDescent="0.25">
      <c r="A6638" t="str">
        <f>"20190304164539643"</f>
        <v>20190304164539643</v>
      </c>
      <c r="B6638" t="str">
        <f>"1551689139636441"</f>
        <v>1551689139636441</v>
      </c>
      <c r="C6638" t="s">
        <v>40</v>
      </c>
      <c r="D6638">
        <v>5.160895</v>
      </c>
      <c r="E6638">
        <v>0.53113759999999999</v>
      </c>
      <c r="F6638" t="s">
        <v>41</v>
      </c>
      <c r="G6638">
        <v>-133.9828</v>
      </c>
      <c r="H6638">
        <v>0.83703709999999898</v>
      </c>
      <c r="I6638">
        <v>137.3399</v>
      </c>
      <c r="J6638">
        <v>-134.5266</v>
      </c>
      <c r="K6638">
        <v>1.1109450000000001</v>
      </c>
      <c r="L6638">
        <v>137.3056</v>
      </c>
      <c r="M6638">
        <v>0.99991110000000005</v>
      </c>
      <c r="N6638">
        <v>-1.3203670000000001E-2</v>
      </c>
      <c r="O6638">
        <v>1.9088130000000001E-3</v>
      </c>
      <c r="P6638">
        <v>0.95572760000000001</v>
      </c>
      <c r="Q6638">
        <v>0.2807829</v>
      </c>
      <c r="R6638">
        <v>8.8013159999999993E-2</v>
      </c>
      <c r="S6638">
        <v>3.5564119999999999</v>
      </c>
      <c r="T6638">
        <v>-1.2584470000000001</v>
      </c>
      <c r="U6638">
        <v>0.16171259999999901</v>
      </c>
      <c r="V6638">
        <v>-8.6302169999999997E-2</v>
      </c>
      <c r="W6638">
        <v>0.29334650000000001</v>
      </c>
      <c r="X6638">
        <v>0.95210280000000003</v>
      </c>
      <c r="Y6638">
        <v>-4.1036870000000003E-2</v>
      </c>
      <c r="Z6638">
        <v>6.6917390000000004E-3</v>
      </c>
      <c r="AA6638">
        <v>0.9991352</v>
      </c>
      <c r="AB6638">
        <v>23</v>
      </c>
      <c r="AC6638">
        <v>0.54380000000000395</v>
      </c>
      <c r="AD6638">
        <v>-0.27390789999999998</v>
      </c>
      <c r="AE6638">
        <v>3.4300000000001697E-2</v>
      </c>
      <c r="AF6638">
        <v>-2.6552101624675601E-2</v>
      </c>
      <c r="AG6638">
        <v>-0.27390789999999998</v>
      </c>
      <c r="AH6638">
        <v>0.43415359698168698</v>
      </c>
      <c r="AI6638">
        <v>122.19961889108301</v>
      </c>
      <c r="AJ6638">
        <v>93.499754144752799</v>
      </c>
      <c r="AK6638">
        <v>0.514023246123397</v>
      </c>
      <c r="AL6638">
        <v>72.941587054570206</v>
      </c>
      <c r="AM6638">
        <v>95.179350355947093</v>
      </c>
      <c r="AN6638">
        <v>0.99999998768839904</v>
      </c>
    </row>
    <row r="6639" spans="1:40" x14ac:dyDescent="0.25">
      <c r="A6639" t="str">
        <f>"20190304164539665"</f>
        <v>20190304164539665</v>
      </c>
      <c r="B6639" t="str">
        <f>"1551689139656936"</f>
        <v>1551689139656936</v>
      </c>
      <c r="C6639" t="s">
        <v>40</v>
      </c>
      <c r="D6639">
        <v>4.846838</v>
      </c>
      <c r="E6639">
        <v>0.53126390000000001</v>
      </c>
      <c r="F6639" t="s">
        <v>41</v>
      </c>
      <c r="G6639">
        <v>-133.7841</v>
      </c>
      <c r="H6639">
        <v>0.82081909999999902</v>
      </c>
      <c r="I6639">
        <v>137.34129999999999</v>
      </c>
      <c r="J6639">
        <v>-134.30160000000001</v>
      </c>
      <c r="K6639">
        <v>1.110843</v>
      </c>
      <c r="L6639">
        <v>137.30629999999999</v>
      </c>
      <c r="M6639">
        <v>0.99991050000000004</v>
      </c>
      <c r="N6639">
        <v>-1.320236E-2</v>
      </c>
      <c r="O6639">
        <v>2.173707E-3</v>
      </c>
      <c r="P6639">
        <v>0.96341370000000004</v>
      </c>
      <c r="Q6639">
        <v>0.25252049999999998</v>
      </c>
      <c r="R6639">
        <v>8.9820230000000001E-2</v>
      </c>
      <c r="S6639">
        <v>3.5283509999999998</v>
      </c>
      <c r="T6639">
        <v>-1.378752</v>
      </c>
      <c r="U6639">
        <v>0.17010500000000001</v>
      </c>
      <c r="V6639">
        <v>-8.7826829999999995E-2</v>
      </c>
      <c r="W6639">
        <v>0.2651868</v>
      </c>
      <c r="X6639">
        <v>0.96018870000000001</v>
      </c>
      <c r="Y6639">
        <v>-4.2868450000000002E-2</v>
      </c>
      <c r="Z6639">
        <v>7.5765219999999996E-3</v>
      </c>
      <c r="AA6639">
        <v>0.99905200000000005</v>
      </c>
      <c r="AB6639">
        <v>23</v>
      </c>
      <c r="AC6639">
        <v>0.51750000000001195</v>
      </c>
      <c r="AD6639">
        <v>-0.2900239</v>
      </c>
      <c r="AE6639">
        <v>3.4999999999996499E-2</v>
      </c>
      <c r="AF6639">
        <v>-2.58064272539569E-2</v>
      </c>
      <c r="AG6639">
        <v>-0.2900239</v>
      </c>
      <c r="AH6639">
        <v>0.39429630357888701</v>
      </c>
      <c r="AI6639">
        <v>126.277840521173</v>
      </c>
      <c r="AJ6639">
        <v>93.744629387869296</v>
      </c>
      <c r="AK6639">
        <v>0.49015243473311199</v>
      </c>
      <c r="AL6639">
        <v>74.621946676705093</v>
      </c>
      <c r="AM6639">
        <v>95.226205111821102</v>
      </c>
      <c r="AN6639">
        <v>0.99999996528488799</v>
      </c>
    </row>
    <row r="6640" spans="1:40" x14ac:dyDescent="0.25">
      <c r="A6640" t="str">
        <f>"20190304164539688"</f>
        <v>20190304164539688</v>
      </c>
      <c r="B6640" t="str">
        <f>"1551689139676456"</f>
        <v>1551689139676456</v>
      </c>
      <c r="C6640" t="s">
        <v>40</v>
      </c>
      <c r="D6640">
        <v>5.1684970000000003</v>
      </c>
      <c r="E6640">
        <v>0.53149740000000001</v>
      </c>
      <c r="F6640" t="s">
        <v>41</v>
      </c>
      <c r="G6640">
        <v>-133.58420000000001</v>
      </c>
      <c r="H6640">
        <v>0.80816449999999995</v>
      </c>
      <c r="I6640">
        <v>137.3425</v>
      </c>
      <c r="J6640">
        <v>-134.07239999999999</v>
      </c>
      <c r="K6640">
        <v>1.1107499999999999</v>
      </c>
      <c r="L6640">
        <v>137.30709999999999</v>
      </c>
      <c r="M6640">
        <v>0.99990990000000002</v>
      </c>
      <c r="N6640">
        <v>-1.3201060000000001E-2</v>
      </c>
      <c r="O6640">
        <v>2.4447570000000001E-3</v>
      </c>
      <c r="P6640">
        <v>0.97029350000000003</v>
      </c>
      <c r="Q6640">
        <v>0.2242545</v>
      </c>
      <c r="R6640">
        <v>9.0778070000000002E-2</v>
      </c>
      <c r="S6640">
        <v>3.4826510000000002</v>
      </c>
      <c r="T6640">
        <v>-1.4693290000000001</v>
      </c>
      <c r="U6640">
        <v>0.17576600000000001</v>
      </c>
      <c r="V6640">
        <v>-8.8494459999999997E-2</v>
      </c>
      <c r="W6640">
        <v>0.2370139</v>
      </c>
      <c r="X6640">
        <v>0.96746739999999998</v>
      </c>
      <c r="Y6640">
        <v>-4.4261160000000001E-2</v>
      </c>
      <c r="Z6640">
        <v>8.2966840000000004E-3</v>
      </c>
      <c r="AA6640">
        <v>0.99898549999999997</v>
      </c>
      <c r="AB6640">
        <v>23</v>
      </c>
      <c r="AC6640">
        <v>0.48819999999997699</v>
      </c>
      <c r="AD6640">
        <v>-0.30258549999999901</v>
      </c>
      <c r="AE6640">
        <v>3.5400000000009799E-2</v>
      </c>
      <c r="AF6640">
        <v>-2.47487554513049E-2</v>
      </c>
      <c r="AG6640">
        <v>-0.30258549999999901</v>
      </c>
      <c r="AH6640">
        <v>0.35328177957478601</v>
      </c>
      <c r="AI6640">
        <v>130.51074514799299</v>
      </c>
      <c r="AJ6640">
        <v>94.007244336692494</v>
      </c>
      <c r="AK6640">
        <v>0.46580951201769799</v>
      </c>
      <c r="AL6640">
        <v>76.289635121521002</v>
      </c>
      <c r="AM6640">
        <v>95.226314332217498</v>
      </c>
      <c r="AN6640">
        <v>1.0000000141533301</v>
      </c>
    </row>
    <row r="6641" spans="1:40" x14ac:dyDescent="0.25">
      <c r="A6641" t="str">
        <f>"20190304164539710"</f>
        <v>20190304164539710</v>
      </c>
      <c r="B6641" t="str">
        <f>"1551689139696574"</f>
        <v>1551689139696574</v>
      </c>
      <c r="C6641" t="s">
        <v>40</v>
      </c>
      <c r="D6641">
        <v>5.1701259999999998</v>
      </c>
      <c r="E6641">
        <v>0.5316244</v>
      </c>
      <c r="F6641" t="s">
        <v>41</v>
      </c>
      <c r="G6641">
        <v>-133.3827</v>
      </c>
      <c r="H6641">
        <v>0.79921049999999905</v>
      </c>
      <c r="I6641">
        <v>137.3426</v>
      </c>
      <c r="J6641">
        <v>-133.84450000000001</v>
      </c>
      <c r="K6641">
        <v>1.110652</v>
      </c>
      <c r="L6641">
        <v>137.30799999999999</v>
      </c>
      <c r="M6641">
        <v>0.9999093</v>
      </c>
      <c r="N6641">
        <v>-1.319976E-2</v>
      </c>
      <c r="O6641">
        <v>2.7109069999999998E-3</v>
      </c>
      <c r="P6641">
        <v>0.97574050000000001</v>
      </c>
      <c r="Q6641">
        <v>0.19881509999999999</v>
      </c>
      <c r="R6641">
        <v>9.1670470000000004E-2</v>
      </c>
      <c r="S6641">
        <v>3.4338380000000002</v>
      </c>
      <c r="T6641">
        <v>-1.5511870000000001</v>
      </c>
      <c r="U6641">
        <v>0.17652889999999999</v>
      </c>
      <c r="V6641">
        <v>-8.9103450000000001E-2</v>
      </c>
      <c r="W6641">
        <v>0.21164759999999999</v>
      </c>
      <c r="X6641">
        <v>0.97327580000000002</v>
      </c>
      <c r="Y6641">
        <v>-4.4430339999999999E-2</v>
      </c>
      <c r="Z6641">
        <v>8.7388199999999996E-3</v>
      </c>
      <c r="AA6641">
        <v>0.99897429999999998</v>
      </c>
      <c r="AB6641">
        <v>23</v>
      </c>
      <c r="AC6641">
        <v>0.46180000000000998</v>
      </c>
      <c r="AD6641">
        <v>-0.31144149999999998</v>
      </c>
      <c r="AE6641">
        <v>3.4600000000011698E-2</v>
      </c>
      <c r="AF6641">
        <v>-2.29623143751864E-2</v>
      </c>
      <c r="AG6641">
        <v>-0.31144149999999998</v>
      </c>
      <c r="AH6641">
        <v>0.31804468302838201</v>
      </c>
      <c r="AI6641">
        <v>134.32454820104499</v>
      </c>
      <c r="AJ6641">
        <v>94.129497886684604</v>
      </c>
      <c r="AK6641">
        <v>0.44573029536518899</v>
      </c>
      <c r="AL6641">
        <v>77.781076160638506</v>
      </c>
      <c r="AM6641">
        <v>95.230850138083497</v>
      </c>
      <c r="AN6641">
        <v>0.99999995712665002</v>
      </c>
    </row>
    <row r="6642" spans="1:40" x14ac:dyDescent="0.25">
      <c r="A6642" t="str">
        <f>"20190304164539734"</f>
        <v>20190304164539734</v>
      </c>
      <c r="B6642" t="str">
        <f>"1551689139726830"</f>
        <v>1551689139726830</v>
      </c>
      <c r="C6642" t="s">
        <v>40</v>
      </c>
      <c r="D6642">
        <v>5.3482880000000002</v>
      </c>
      <c r="E6642">
        <v>0.53501339999999997</v>
      </c>
      <c r="F6642" t="s">
        <v>41</v>
      </c>
      <c r="G6642">
        <v>-133.18049999999999</v>
      </c>
      <c r="H6642">
        <v>0.79225239999999997</v>
      </c>
      <c r="I6642">
        <v>137.34280000000001</v>
      </c>
      <c r="J6642">
        <v>-133.59399999999999</v>
      </c>
      <c r="K6642">
        <v>1.1105430000000001</v>
      </c>
      <c r="L6642">
        <v>137.309</v>
      </c>
      <c r="M6642">
        <v>0.99990849999999998</v>
      </c>
      <c r="N6642">
        <v>-1.319831E-2</v>
      </c>
      <c r="O6642">
        <v>2.9914149999999999E-3</v>
      </c>
      <c r="P6642">
        <v>0.98058460000000003</v>
      </c>
      <c r="Q6642">
        <v>0.17330499999999999</v>
      </c>
      <c r="R6642">
        <v>9.1758519999999996E-2</v>
      </c>
      <c r="S6642">
        <v>3.3889309999999999</v>
      </c>
      <c r="T6642">
        <v>-1.624895</v>
      </c>
      <c r="U6642">
        <v>0.17845150000000001</v>
      </c>
      <c r="V6642">
        <v>-8.8890339999999998E-2</v>
      </c>
      <c r="W6642">
        <v>0.1862045</v>
      </c>
      <c r="X6642">
        <v>0.97848170000000001</v>
      </c>
      <c r="Y6642">
        <v>-4.4875989999999998E-2</v>
      </c>
      <c r="Z6642">
        <v>9.1865239999999997E-3</v>
      </c>
      <c r="AA6642">
        <v>0.99895029999999996</v>
      </c>
      <c r="AB6642">
        <v>23</v>
      </c>
      <c r="AC6642">
        <v>0.41349999999999898</v>
      </c>
      <c r="AD6642">
        <v>-0.31829059999999998</v>
      </c>
      <c r="AE6642">
        <v>3.3800000000013597E-2</v>
      </c>
      <c r="AF6642">
        <v>-2.04980674825282E-2</v>
      </c>
      <c r="AG6642">
        <v>-0.31829059999999998</v>
      </c>
      <c r="AH6642">
        <v>0.26035807907087899</v>
      </c>
      <c r="AI6642">
        <v>140.630443495874</v>
      </c>
      <c r="AJ6642">
        <v>94.501627700723901</v>
      </c>
      <c r="AK6642">
        <v>0.41172248682377799</v>
      </c>
      <c r="AL6642">
        <v>79.268634775944605</v>
      </c>
      <c r="AM6642">
        <v>95.190796718480101</v>
      </c>
      <c r="AN6642">
        <v>1.0000000228002199</v>
      </c>
    </row>
    <row r="6643" spans="1:40" x14ac:dyDescent="0.25">
      <c r="A6643" t="str">
        <f>"20190304164539759"</f>
        <v>20190304164539759</v>
      </c>
      <c r="B6643" t="str">
        <f>"1551689139746350"</f>
        <v>1551689139746350</v>
      </c>
      <c r="C6643" t="s">
        <v>40</v>
      </c>
      <c r="D6643">
        <v>5.3984120000000004</v>
      </c>
      <c r="E6643">
        <v>0.53039849999999999</v>
      </c>
      <c r="F6643" t="s">
        <v>41</v>
      </c>
      <c r="G6643">
        <v>-132.77780000000001</v>
      </c>
      <c r="H6643">
        <v>0.7476621</v>
      </c>
      <c r="I6643">
        <v>137.34219999999999</v>
      </c>
      <c r="J6643">
        <v>-133.34630000000001</v>
      </c>
      <c r="K6643">
        <v>1.1104160000000001</v>
      </c>
      <c r="L6643">
        <v>137.31010000000001</v>
      </c>
      <c r="M6643">
        <v>0.99990769999999995</v>
      </c>
      <c r="N6643">
        <v>-1.3196899999999999E-2</v>
      </c>
      <c r="O6643">
        <v>3.2434909999999998E-3</v>
      </c>
      <c r="P6643">
        <v>0.9848363</v>
      </c>
      <c r="Q6643">
        <v>0.14778139999999901</v>
      </c>
      <c r="R6643">
        <v>9.0875220000000007E-2</v>
      </c>
      <c r="S6643">
        <v>3.3065799999999999</v>
      </c>
      <c r="T6643">
        <v>-1.47</v>
      </c>
      <c r="U6643">
        <v>0.13485720000000001</v>
      </c>
      <c r="V6643">
        <v>-8.7731030000000002E-2</v>
      </c>
      <c r="W6643">
        <v>0.16074169999999999</v>
      </c>
      <c r="X6643">
        <v>0.98308969999999996</v>
      </c>
      <c r="Y6643">
        <v>-3.4446020000000001E-2</v>
      </c>
      <c r="Z6643">
        <v>6.2115640000000001E-3</v>
      </c>
      <c r="AA6643">
        <v>0.99938729999999998</v>
      </c>
      <c r="AB6643">
        <v>23</v>
      </c>
      <c r="AC6643">
        <v>0.56850000000000001</v>
      </c>
      <c r="AD6643">
        <v>-0.36275390000000002</v>
      </c>
      <c r="AE6643">
        <v>3.2099999999985501E-2</v>
      </c>
      <c r="AF6643">
        <v>-2.15211003705118E-2</v>
      </c>
      <c r="AG6643">
        <v>-0.36275390000000002</v>
      </c>
      <c r="AH6643">
        <v>0.40444952469155998</v>
      </c>
      <c r="AI6643">
        <v>131.848917465591</v>
      </c>
      <c r="AJ6643">
        <v>93.045884226073298</v>
      </c>
      <c r="AK6643">
        <v>0.54372140637425403</v>
      </c>
      <c r="AL6643">
        <v>80.750050183494594</v>
      </c>
      <c r="AM6643">
        <v>95.099572802583793</v>
      </c>
      <c r="AN6643">
        <v>0.99999999299492004</v>
      </c>
    </row>
    <row r="6644" spans="1:40" x14ac:dyDescent="0.25">
      <c r="A6644" t="str">
        <f>"20190304164539778"</f>
        <v>20190304164539778</v>
      </c>
      <c r="B6644" t="str">
        <f>"1551689139766846"</f>
        <v>1551689139766846</v>
      </c>
      <c r="C6644" t="s">
        <v>40</v>
      </c>
      <c r="D6644">
        <v>5.2944139999999997</v>
      </c>
      <c r="E6644">
        <v>0.51821229999999996</v>
      </c>
      <c r="F6644" t="s">
        <v>42</v>
      </c>
      <c r="G6644">
        <v>-131.57409999999999</v>
      </c>
      <c r="H6644" s="1">
        <v>-3.986826E-6</v>
      </c>
      <c r="I6644">
        <v>137.41849999999999</v>
      </c>
      <c r="J6644">
        <v>-133.1429</v>
      </c>
      <c r="K6644">
        <v>1.11029</v>
      </c>
      <c r="L6644">
        <v>137.31100000000001</v>
      </c>
      <c r="M6644">
        <v>0.99990710000000005</v>
      </c>
      <c r="N6644">
        <v>-1.3195790000000001E-2</v>
      </c>
      <c r="O6644">
        <v>3.4322620000000002E-3</v>
      </c>
      <c r="P6644">
        <v>0.98829929999999999</v>
      </c>
      <c r="Q6644">
        <v>0.12344670000000001</v>
      </c>
      <c r="R6644">
        <v>8.9586470000000001E-2</v>
      </c>
      <c r="S6644">
        <v>3.3414920000000001</v>
      </c>
      <c r="T6644">
        <v>-2.0936530000000002</v>
      </c>
      <c r="U6644">
        <v>0.2045593</v>
      </c>
      <c r="V6644">
        <v>-8.6231580000000002E-2</v>
      </c>
      <c r="W6644">
        <v>0.13645739999999901</v>
      </c>
      <c r="X6644">
        <v>0.98688569999999998</v>
      </c>
      <c r="Y6644">
        <v>-4.9215410000000001E-2</v>
      </c>
      <c r="Z6644">
        <v>1.255704E-2</v>
      </c>
      <c r="AA6644">
        <v>0.99870930000000002</v>
      </c>
      <c r="AB6644">
        <v>23</v>
      </c>
      <c r="AC6644">
        <v>1.56880000000001</v>
      </c>
      <c r="AD6644">
        <v>-1.110293986826</v>
      </c>
      <c r="AE6644">
        <v>0.10749999999998699</v>
      </c>
      <c r="AF6644">
        <v>-6.8142237744431497E-2</v>
      </c>
      <c r="AG6644">
        <v>-1.110293986826</v>
      </c>
      <c r="AH6644">
        <v>1.0471206156885</v>
      </c>
      <c r="AI6644">
        <v>136.61682276030501</v>
      </c>
      <c r="AJ6644">
        <v>93.723320115632504</v>
      </c>
      <c r="AK6644">
        <v>1.5276968565611</v>
      </c>
      <c r="AL6644">
        <v>82.157096859548005</v>
      </c>
      <c r="AM6644">
        <v>94.993677664447006</v>
      </c>
      <c r="AN6644">
        <v>0.99999994613427101</v>
      </c>
    </row>
    <row r="6645" spans="1:40" x14ac:dyDescent="0.25">
      <c r="A6645" t="str">
        <f>"20190304164539799"</f>
        <v>20190304164539799</v>
      </c>
      <c r="B6645" t="str">
        <f>"1551689139786365"</f>
        <v>1551689139786365</v>
      </c>
      <c r="C6645" t="s">
        <v>40</v>
      </c>
      <c r="D6645">
        <v>5.3328199999999999</v>
      </c>
      <c r="E6645">
        <v>0.516262</v>
      </c>
      <c r="F6645" t="s">
        <v>42</v>
      </c>
      <c r="G6645">
        <v>-131.82299999999901</v>
      </c>
      <c r="H6645" s="1">
        <v>-3.8757449999999998E-6</v>
      </c>
      <c r="I6645">
        <v>137.4427</v>
      </c>
      <c r="J6645">
        <v>-132.9289</v>
      </c>
      <c r="K6645">
        <v>1.1101829999999999</v>
      </c>
      <c r="L6645">
        <v>137.31200000000001</v>
      </c>
      <c r="M6645">
        <v>0.99990659999999998</v>
      </c>
      <c r="N6645">
        <v>-1.3194640000000001E-2</v>
      </c>
      <c r="O6645">
        <v>3.6034359999999998E-3</v>
      </c>
      <c r="P6645">
        <v>0.99074689999999999</v>
      </c>
      <c r="Q6645">
        <v>0.1031666</v>
      </c>
      <c r="R6645">
        <v>8.8189390000000006E-2</v>
      </c>
      <c r="S6645">
        <v>3.3579409999999998</v>
      </c>
      <c r="T6645">
        <v>-2.8246039999999999</v>
      </c>
      <c r="U6645">
        <v>0.33525090000000002</v>
      </c>
      <c r="V6645">
        <v>-8.4645059999999994E-2</v>
      </c>
      <c r="W6645">
        <v>0.1162146</v>
      </c>
      <c r="X6645">
        <v>0.98961069999999995</v>
      </c>
      <c r="Y6645">
        <v>-7.3890090000000005E-2</v>
      </c>
      <c r="Z6645">
        <v>2.4872209999999999E-2</v>
      </c>
      <c r="AA6645">
        <v>0.99695619999999996</v>
      </c>
      <c r="AB6645">
        <v>23</v>
      </c>
      <c r="AC6645">
        <v>1.1059000000000101</v>
      </c>
      <c r="AD6645">
        <v>-1.110186875745</v>
      </c>
      <c r="AE6645">
        <v>0.13069999999998999</v>
      </c>
      <c r="AF6645">
        <v>-6.3551169888080697E-2</v>
      </c>
      <c r="AG6645">
        <v>-1.110186875745</v>
      </c>
      <c r="AH6645">
        <v>0.55487827709576298</v>
      </c>
      <c r="AI6645">
        <v>153.29423764297599</v>
      </c>
      <c r="AJ6645">
        <v>96.533715383368204</v>
      </c>
      <c r="AK6645">
        <v>1.24275643336228</v>
      </c>
      <c r="AL6645">
        <v>83.326313588143904</v>
      </c>
      <c r="AM6645">
        <v>94.888820687778704</v>
      </c>
      <c r="AN6645">
        <v>0.99999997849502598</v>
      </c>
    </row>
    <row r="6646" spans="1:40" x14ac:dyDescent="0.25">
      <c r="A6646" t="str">
        <f>"20190304164539822"</f>
        <v>20190304164539822</v>
      </c>
      <c r="B6646" t="str">
        <f>"1551689139816861"</f>
        <v>1551689139816861</v>
      </c>
      <c r="C6646" t="s">
        <v>40</v>
      </c>
      <c r="D6646">
        <v>5.2559149999999999</v>
      </c>
      <c r="E6646">
        <v>0.51659069999999996</v>
      </c>
      <c r="F6646" t="s">
        <v>42</v>
      </c>
      <c r="G6646">
        <v>-131.7012</v>
      </c>
      <c r="H6646" s="1">
        <v>-3.9287699999999898E-6</v>
      </c>
      <c r="I6646">
        <v>137.4384</v>
      </c>
      <c r="J6646">
        <v>-132.69540000000001</v>
      </c>
      <c r="K6646">
        <v>1.1100749999999999</v>
      </c>
      <c r="L6646">
        <v>137.31299999999999</v>
      </c>
      <c r="M6646">
        <v>0.99990610000000002</v>
      </c>
      <c r="N6646">
        <v>-1.3193389999999999E-2</v>
      </c>
      <c r="O6646">
        <v>3.745398E-3</v>
      </c>
      <c r="P6646">
        <v>0.99272850000000001</v>
      </c>
      <c r="Q6646">
        <v>8.3529770000000003E-2</v>
      </c>
      <c r="R6646">
        <v>8.6678859999999996E-2</v>
      </c>
      <c r="S6646">
        <v>3.3092649999999999</v>
      </c>
      <c r="T6646">
        <v>-2.9924339999999998</v>
      </c>
      <c r="U6646">
        <v>0.34101870000000001</v>
      </c>
      <c r="V6646">
        <v>-8.2975720000000003E-2</v>
      </c>
      <c r="W6646">
        <v>9.6610130000000002E-2</v>
      </c>
      <c r="X6646">
        <v>0.99185760000000001</v>
      </c>
      <c r="Y6646">
        <v>-7.3999679999999998E-2</v>
      </c>
      <c r="Z6646">
        <v>2.6173600000000002E-2</v>
      </c>
      <c r="AA6646">
        <v>0.99691470000000004</v>
      </c>
      <c r="AB6646">
        <v>23</v>
      </c>
      <c r="AC6646">
        <v>0.99420000000000597</v>
      </c>
      <c r="AD6646">
        <v>-1.1100789287699999</v>
      </c>
      <c r="AE6646">
        <v>0.125400000000013</v>
      </c>
      <c r="AF6646">
        <v>-5.4632125516758299E-2</v>
      </c>
      <c r="AG6646">
        <v>-1.1100789287699999</v>
      </c>
      <c r="AH6646">
        <v>0.44660353491882898</v>
      </c>
      <c r="AI6646">
        <v>157.93650468566599</v>
      </c>
      <c r="AJ6646">
        <v>96.974229131642204</v>
      </c>
      <c r="AK6646">
        <v>1.1977957316001799</v>
      </c>
      <c r="AL6646">
        <v>84.456000167636802</v>
      </c>
      <c r="AM6646">
        <v>94.782051654610598</v>
      </c>
      <c r="AN6646">
        <v>0.99999999300294695</v>
      </c>
    </row>
    <row r="6647" spans="1:40" x14ac:dyDescent="0.25">
      <c r="A6647" t="str">
        <f>"20190304164539845"</f>
        <v>20190304164539845</v>
      </c>
      <c r="B6647" t="str">
        <f>"1551689139836380"</f>
        <v>1551689139836380</v>
      </c>
      <c r="C6647" t="s">
        <v>40</v>
      </c>
      <c r="D6647">
        <v>5.2483829999999996</v>
      </c>
      <c r="E6647">
        <v>0.51757940000000002</v>
      </c>
      <c r="F6647" t="s">
        <v>42</v>
      </c>
      <c r="G6647">
        <v>-131.5087</v>
      </c>
      <c r="H6647" s="1">
        <v>-4.0128919999999999E-6</v>
      </c>
      <c r="I6647">
        <v>137.4298</v>
      </c>
      <c r="J6647">
        <v>-132.45699999999999</v>
      </c>
      <c r="K6647">
        <v>1.109958</v>
      </c>
      <c r="L6647">
        <v>137.31399999999999</v>
      </c>
      <c r="M6647">
        <v>0.99990579999999996</v>
      </c>
      <c r="N6647">
        <v>-1.319214E-2</v>
      </c>
      <c r="O6647">
        <v>3.8367140000000002E-3</v>
      </c>
      <c r="P6647">
        <v>0.99421289999999996</v>
      </c>
      <c r="Q6647">
        <v>6.3223920000000003E-2</v>
      </c>
      <c r="R6647">
        <v>8.6855180000000004E-2</v>
      </c>
      <c r="S6647">
        <v>3.2498320000000001</v>
      </c>
      <c r="T6647">
        <v>-3.039806</v>
      </c>
      <c r="U6647">
        <v>0.31985469999999999</v>
      </c>
      <c r="V6647">
        <v>-8.3046179999999997E-2</v>
      </c>
      <c r="W6647">
        <v>7.6331990000000002E-2</v>
      </c>
      <c r="X6647">
        <v>0.993618</v>
      </c>
      <c r="Y6647">
        <v>-6.9537080000000001E-2</v>
      </c>
      <c r="Z6647">
        <v>2.496199E-2</v>
      </c>
      <c r="AA6647">
        <v>0.99726700000000001</v>
      </c>
      <c r="AB6647">
        <v>23</v>
      </c>
      <c r="AC6647">
        <v>0.94829999999998804</v>
      </c>
      <c r="AD6647">
        <v>-1.109962012892</v>
      </c>
      <c r="AE6647">
        <v>0.11580000000000699</v>
      </c>
      <c r="AF6647">
        <v>-4.7730215235382602E-2</v>
      </c>
      <c r="AG6647">
        <v>-1.109962012892</v>
      </c>
      <c r="AH6647">
        <v>0.40373792644294598</v>
      </c>
      <c r="AI6647">
        <v>159.883564522754</v>
      </c>
      <c r="AJ6647">
        <v>96.742258057784596</v>
      </c>
      <c r="AK6647">
        <v>1.18207366807577</v>
      </c>
      <c r="AL6647">
        <v>85.622240805512106</v>
      </c>
      <c r="AM6647">
        <v>94.777653276328905</v>
      </c>
      <c r="AN6647">
        <v>0.99999998531697598</v>
      </c>
    </row>
    <row r="6648" spans="1:40" x14ac:dyDescent="0.25">
      <c r="A6648" t="str">
        <f>"20190304164539865"</f>
        <v>20190304164539865</v>
      </c>
      <c r="B6648" t="str">
        <f>"1551689139856877"</f>
        <v>1551689139856877</v>
      </c>
      <c r="C6648" t="s">
        <v>40</v>
      </c>
      <c r="D6648">
        <v>5.2379470000000001</v>
      </c>
      <c r="E6648">
        <v>0.52364549999999999</v>
      </c>
      <c r="F6648" t="s">
        <v>42</v>
      </c>
      <c r="G6648">
        <v>-131.30000000000001</v>
      </c>
      <c r="H6648" s="1">
        <v>-4.1036040000000001E-6</v>
      </c>
      <c r="I6648">
        <v>137.42320000000001</v>
      </c>
      <c r="J6648">
        <v>-132.24780000000001</v>
      </c>
      <c r="K6648">
        <v>1.1098490000000001</v>
      </c>
      <c r="L6648">
        <v>137.31489999999999</v>
      </c>
      <c r="M6648">
        <v>0.9999055</v>
      </c>
      <c r="N6648">
        <v>-1.3191069999999999E-2</v>
      </c>
      <c r="O6648">
        <v>3.8756279999999999E-3</v>
      </c>
      <c r="P6648">
        <v>0.99513260000000003</v>
      </c>
      <c r="Q6648">
        <v>4.6113550000000003E-2</v>
      </c>
      <c r="R6648">
        <v>8.7089840000000002E-2</v>
      </c>
      <c r="S6648">
        <v>3.1855159999999998</v>
      </c>
      <c r="T6648">
        <v>-3.0558190000000001</v>
      </c>
      <c r="U6648">
        <v>0.300537099999999</v>
      </c>
      <c r="V6648">
        <v>-8.3232539999999994E-2</v>
      </c>
      <c r="W6648">
        <v>5.9239790000000001E-2</v>
      </c>
      <c r="X6648">
        <v>0.99476779999999998</v>
      </c>
      <c r="Y6648">
        <v>-6.5830830000000007E-2</v>
      </c>
      <c r="Z6648">
        <v>2.3871380000000001E-2</v>
      </c>
      <c r="AA6648">
        <v>0.99754520000000002</v>
      </c>
      <c r="AB6648">
        <v>23</v>
      </c>
      <c r="AC6648">
        <v>0.94779999999999998</v>
      </c>
      <c r="AD6648">
        <v>-1.109853103604</v>
      </c>
      <c r="AE6648">
        <v>0.108300000000014</v>
      </c>
      <c r="AF6648">
        <v>-4.4454963223505797E-2</v>
      </c>
      <c r="AG6648">
        <v>-1.109853103604</v>
      </c>
      <c r="AH6648">
        <v>0.40289164262560401</v>
      </c>
      <c r="AI6648">
        <v>159.93696640021</v>
      </c>
      <c r="AJ6648">
        <v>96.296531308166394</v>
      </c>
      <c r="AK6648">
        <v>1.1815548362357899</v>
      </c>
      <c r="AL6648">
        <v>86.603821650536105</v>
      </c>
      <c r="AM6648">
        <v>94.782815902318902</v>
      </c>
      <c r="AN6648">
        <v>0.99999999217546698</v>
      </c>
    </row>
    <row r="6649" spans="1:40" x14ac:dyDescent="0.25">
      <c r="A6649" t="str">
        <f>"20190304164539888"</f>
        <v>20190304164539888</v>
      </c>
      <c r="B6649" t="str">
        <f>"1551689139876397"</f>
        <v>1551689139876397</v>
      </c>
      <c r="C6649" t="s">
        <v>40</v>
      </c>
      <c r="D6649">
        <v>5.2535309999999997</v>
      </c>
      <c r="E6649">
        <v>0.52438109999999905</v>
      </c>
      <c r="F6649" t="s">
        <v>42</v>
      </c>
      <c r="G6649">
        <v>-131.00899999999999</v>
      </c>
      <c r="H6649" s="1">
        <v>-4.2312460000000002E-6</v>
      </c>
      <c r="I6649">
        <v>137.40719999999999</v>
      </c>
      <c r="J6649">
        <v>-132.02090000000001</v>
      </c>
      <c r="K6649">
        <v>1.1097729999999999</v>
      </c>
      <c r="L6649">
        <v>137.3158</v>
      </c>
      <c r="M6649">
        <v>0.9999055</v>
      </c>
      <c r="N6649">
        <v>-1.3189889999999999E-2</v>
      </c>
      <c r="O6649">
        <v>3.8844230000000001E-3</v>
      </c>
      <c r="P6649">
        <v>0.99545969999999995</v>
      </c>
      <c r="Q6649">
        <v>3.746642E-2</v>
      </c>
      <c r="R6649">
        <v>8.7501010000000004E-2</v>
      </c>
      <c r="S6649">
        <v>3.123993</v>
      </c>
      <c r="T6649">
        <v>-2.7987860000000002</v>
      </c>
      <c r="U6649">
        <v>0.2327881</v>
      </c>
      <c r="V6649">
        <v>-8.3630469999999998E-2</v>
      </c>
      <c r="W6649">
        <v>5.0602580000000001E-2</v>
      </c>
      <c r="X6649">
        <v>0.99521119999999996</v>
      </c>
      <c r="Y6649">
        <v>-5.3216739999999998E-2</v>
      </c>
      <c r="Z6649">
        <v>1.7813030000000001E-2</v>
      </c>
      <c r="AA6649">
        <v>0.99842410000000004</v>
      </c>
      <c r="AB6649">
        <v>23</v>
      </c>
      <c r="AC6649">
        <v>1.01190000000002</v>
      </c>
      <c r="AD6649">
        <v>-1.1097772312459999</v>
      </c>
      <c r="AE6649">
        <v>9.1399999999993001E-2</v>
      </c>
      <c r="AF6649">
        <v>-3.9883880627945602E-2</v>
      </c>
      <c r="AG6649">
        <v>-1.1097772312459999</v>
      </c>
      <c r="AH6649">
        <v>0.461565459676193</v>
      </c>
      <c r="AI6649">
        <v>157.34151053663899</v>
      </c>
      <c r="AJ6649">
        <v>94.938662014070999</v>
      </c>
      <c r="AK6649">
        <v>1.2025967322806399</v>
      </c>
      <c r="AL6649">
        <v>87.099446978088807</v>
      </c>
      <c r="AM6649">
        <v>94.803444410908995</v>
      </c>
      <c r="AN6649">
        <v>1.00000000461025</v>
      </c>
    </row>
    <row r="6650" spans="1:40" x14ac:dyDescent="0.25">
      <c r="A6650" t="str">
        <f>"20190304164539911"</f>
        <v>20190304164539911</v>
      </c>
      <c r="B6650" t="str">
        <f>"1551689139906656"</f>
        <v>1551689139906656</v>
      </c>
      <c r="C6650" t="s">
        <v>40</v>
      </c>
      <c r="D6650">
        <v>5.2582750000000003</v>
      </c>
      <c r="E6650">
        <v>0.52555719999999995</v>
      </c>
      <c r="F6650" t="s">
        <v>42</v>
      </c>
      <c r="G6650">
        <v>-130.77889999999999</v>
      </c>
      <c r="H6650" s="1">
        <v>-4.3301339999999999E-6</v>
      </c>
      <c r="I6650">
        <v>137.40620000000001</v>
      </c>
      <c r="J6650">
        <v>-131.78739999999999</v>
      </c>
      <c r="K6650">
        <v>1.1097399999999999</v>
      </c>
      <c r="L6650">
        <v>137.3167</v>
      </c>
      <c r="M6650">
        <v>0.99990559999999995</v>
      </c>
      <c r="N6650">
        <v>-1.318867E-2</v>
      </c>
      <c r="O6650">
        <v>3.8681549999999999E-3</v>
      </c>
      <c r="P6650">
        <v>0.99558380000000002</v>
      </c>
      <c r="Q6650">
        <v>3.5643830000000001E-2</v>
      </c>
      <c r="R6650">
        <v>8.6846499999999993E-2</v>
      </c>
      <c r="S6650">
        <v>3.0980530000000002</v>
      </c>
      <c r="T6650">
        <v>-2.768246</v>
      </c>
      <c r="U6650">
        <v>0.22541810000000001</v>
      </c>
      <c r="V6650">
        <v>-8.2989720000000003E-2</v>
      </c>
      <c r="W6650">
        <v>4.8784260000000003E-2</v>
      </c>
      <c r="X6650">
        <v>0.99535560000000001</v>
      </c>
      <c r="Y6650">
        <v>-5.198672E-2</v>
      </c>
      <c r="Z6650">
        <v>1.731326E-2</v>
      </c>
      <c r="AA6650">
        <v>0.99849770000000004</v>
      </c>
      <c r="AB6650">
        <v>23</v>
      </c>
      <c r="AC6650">
        <v>1.00849999999999</v>
      </c>
      <c r="AD6650">
        <v>-1.109744330134</v>
      </c>
      <c r="AE6650">
        <v>8.9500000000015206E-2</v>
      </c>
      <c r="AF6650">
        <v>-3.8883446438739699E-2</v>
      </c>
      <c r="AG6650">
        <v>-1.109744330134</v>
      </c>
      <c r="AH6650">
        <v>0.45827174328304399</v>
      </c>
      <c r="AI6650">
        <v>157.48910600297199</v>
      </c>
      <c r="AJ6650">
        <v>94.849817011327303</v>
      </c>
      <c r="AK6650">
        <v>1.2012732375955</v>
      </c>
      <c r="AL6650">
        <v>87.203757870588205</v>
      </c>
      <c r="AM6650">
        <v>94.766123835502597</v>
      </c>
      <c r="AN6650">
        <v>0.99999998405039203</v>
      </c>
    </row>
    <row r="6651" spans="1:40" x14ac:dyDescent="0.25">
      <c r="A6651" t="str">
        <f>"20190304164539933"</f>
        <v>20190304164539933</v>
      </c>
      <c r="B6651" t="str">
        <f>"1551689139927148"</f>
        <v>1551689139927148</v>
      </c>
      <c r="C6651" t="s">
        <v>40</v>
      </c>
      <c r="D6651">
        <v>5.2529879999999904</v>
      </c>
      <c r="E6651">
        <v>0.52608509999999997</v>
      </c>
      <c r="F6651" t="s">
        <v>42</v>
      </c>
      <c r="G6651">
        <v>-130.5181</v>
      </c>
      <c r="H6651" s="1">
        <v>-4.4423889999999999E-6</v>
      </c>
      <c r="I6651">
        <v>137.4041</v>
      </c>
      <c r="J6651">
        <v>-131.55969999999999</v>
      </c>
      <c r="K6651">
        <v>1.1097140000000001</v>
      </c>
      <c r="L6651">
        <v>137.3176</v>
      </c>
      <c r="M6651">
        <v>0.99990570000000001</v>
      </c>
      <c r="N6651">
        <v>-1.318746E-2</v>
      </c>
      <c r="O6651">
        <v>3.837399E-3</v>
      </c>
      <c r="P6651">
        <v>0.99570199999999998</v>
      </c>
      <c r="Q6651">
        <v>3.3399730000000002E-2</v>
      </c>
      <c r="R6651">
        <v>8.6382500000000001E-2</v>
      </c>
      <c r="S6651">
        <v>3.0915219999999999</v>
      </c>
      <c r="T6651">
        <v>-2.702871</v>
      </c>
      <c r="U6651">
        <v>0.2128601</v>
      </c>
      <c r="V6651">
        <v>-8.255477E-2</v>
      </c>
      <c r="W6651">
        <v>4.6542340000000001E-2</v>
      </c>
      <c r="X6651">
        <v>0.99549909999999997</v>
      </c>
      <c r="Y6651">
        <v>-4.955238E-2</v>
      </c>
      <c r="Z6651">
        <v>1.6130749999999999E-2</v>
      </c>
      <c r="AA6651">
        <v>0.99864129999999995</v>
      </c>
      <c r="AB6651">
        <v>23</v>
      </c>
      <c r="AC6651">
        <v>1.0415999999999801</v>
      </c>
      <c r="AD6651">
        <v>-1.1097184423890001</v>
      </c>
      <c r="AE6651">
        <v>8.6500000000000896E-2</v>
      </c>
      <c r="AF6651">
        <v>-3.8782517527453597E-2</v>
      </c>
      <c r="AG6651">
        <v>-1.1097184423890001</v>
      </c>
      <c r="AH6651">
        <v>0.48978760067273602</v>
      </c>
      <c r="AI6651">
        <v>156.11894312135601</v>
      </c>
      <c r="AJ6651">
        <v>94.527366445564397</v>
      </c>
      <c r="AK6651">
        <v>1.2136189677228899</v>
      </c>
      <c r="AL6651">
        <v>87.3323565707678</v>
      </c>
      <c r="AM6651">
        <v>94.740578373278794</v>
      </c>
      <c r="AN6651">
        <v>0.99999996878161801</v>
      </c>
    </row>
    <row r="6652" spans="1:40" x14ac:dyDescent="0.25">
      <c r="A6652" t="str">
        <f>"20190304164539962"</f>
        <v>20190304164539962</v>
      </c>
      <c r="B6652" t="str">
        <f>"1551689139956429"</f>
        <v>1551689139956429</v>
      </c>
      <c r="C6652" t="s">
        <v>40</v>
      </c>
      <c r="D6652">
        <v>5.2358909999999996</v>
      </c>
      <c r="E6652">
        <v>0.53048039999999996</v>
      </c>
      <c r="F6652" t="s">
        <v>42</v>
      </c>
      <c r="G6652">
        <v>-130.27799999999999</v>
      </c>
      <c r="H6652" s="1">
        <v>-4.5452110000000002E-6</v>
      </c>
      <c r="I6652">
        <v>137.40520000000001</v>
      </c>
      <c r="J6652">
        <v>-131.29499999999999</v>
      </c>
      <c r="K6652">
        <v>1.109699</v>
      </c>
      <c r="L6652">
        <v>137.3186</v>
      </c>
      <c r="M6652">
        <v>0.99990590000000001</v>
      </c>
      <c r="N6652">
        <v>-1.3186109999999999E-2</v>
      </c>
      <c r="O6652">
        <v>3.7971910000000001E-3</v>
      </c>
      <c r="P6652">
        <v>0.99583180000000004</v>
      </c>
      <c r="Q6652">
        <v>2.9194330000000001E-2</v>
      </c>
      <c r="R6652">
        <v>8.6408789999999999E-2</v>
      </c>
      <c r="S6652">
        <v>3.0842290000000001</v>
      </c>
      <c r="T6652">
        <v>-2.670299</v>
      </c>
      <c r="U6652">
        <v>0.21081539999999999</v>
      </c>
      <c r="V6652">
        <v>-8.2621029999999998E-2</v>
      </c>
      <c r="W6652">
        <v>4.2337449999999999E-2</v>
      </c>
      <c r="X6652">
        <v>0.99568129999999999</v>
      </c>
      <c r="Y6652">
        <v>-4.9392650000000003E-2</v>
      </c>
      <c r="Z6652">
        <v>1.5983730000000002E-2</v>
      </c>
      <c r="AA6652">
        <v>0.99865150000000003</v>
      </c>
      <c r="AB6652">
        <v>23</v>
      </c>
      <c r="AC6652">
        <v>1.0169999999999899</v>
      </c>
      <c r="AD6652">
        <v>-1.109703545211</v>
      </c>
      <c r="AE6652">
        <v>8.6600000000004201E-2</v>
      </c>
      <c r="AF6652">
        <v>-3.7917302506293799E-2</v>
      </c>
      <c r="AG6652">
        <v>-1.109703545211</v>
      </c>
      <c r="AH6652">
        <v>0.46622369596958801</v>
      </c>
      <c r="AI6652">
        <v>157.143568967596</v>
      </c>
      <c r="AJ6652">
        <v>94.649550116610598</v>
      </c>
      <c r="AK6652">
        <v>1.2042608582723</v>
      </c>
      <c r="AL6652">
        <v>87.573517469605605</v>
      </c>
      <c r="AM6652">
        <v>94.743501677451306</v>
      </c>
      <c r="AN6652">
        <v>0.999999972720226</v>
      </c>
    </row>
    <row r="6653" spans="1:40" x14ac:dyDescent="0.25">
      <c r="A6653" t="str">
        <f>"20190304164539979"</f>
        <v>20190304164539979</v>
      </c>
      <c r="B6653" t="str">
        <f>"1551689139976925"</f>
        <v>1551689139976925</v>
      </c>
      <c r="C6653" t="s">
        <v>40</v>
      </c>
      <c r="D6653">
        <v>5.2412519999999896</v>
      </c>
      <c r="E6653">
        <v>0.53014340000000004</v>
      </c>
      <c r="F6653" t="s">
        <v>42</v>
      </c>
      <c r="G6653">
        <v>-129.8989</v>
      </c>
      <c r="H6653" s="1">
        <v>-6.1198459999999996E-7</v>
      </c>
      <c r="I6653">
        <v>137.3931</v>
      </c>
      <c r="J6653">
        <v>-131.0933</v>
      </c>
      <c r="K6653">
        <v>1.1096870000000001</v>
      </c>
      <c r="L6653">
        <v>137.3193</v>
      </c>
      <c r="M6653">
        <v>0.99990599999999996</v>
      </c>
      <c r="N6653">
        <v>-1.318514E-2</v>
      </c>
      <c r="O6653">
        <v>3.771871E-3</v>
      </c>
      <c r="P6653">
        <v>0.99579130000000005</v>
      </c>
      <c r="Q6653">
        <v>2.658715E-2</v>
      </c>
      <c r="R6653">
        <v>8.7708899999999895E-2</v>
      </c>
      <c r="S6653">
        <v>3.0698850000000002</v>
      </c>
      <c r="T6653">
        <v>-2.4401769999999998</v>
      </c>
      <c r="U6653">
        <v>0.1638336</v>
      </c>
      <c r="V6653">
        <v>-8.3947949999999993E-2</v>
      </c>
      <c r="W6653">
        <v>3.9728020000000003E-2</v>
      </c>
      <c r="X6653">
        <v>0.9956779</v>
      </c>
      <c r="Y6653">
        <v>-3.939993E-2</v>
      </c>
      <c r="Z6653">
        <v>1.144912E-2</v>
      </c>
      <c r="AA6653">
        <v>0.99915790000000004</v>
      </c>
      <c r="AB6653">
        <v>23</v>
      </c>
      <c r="AC6653">
        <v>1.1943999999999999</v>
      </c>
      <c r="AD6653">
        <v>-1.1096876119846</v>
      </c>
      <c r="AE6653">
        <v>7.3800000000005597E-2</v>
      </c>
      <c r="AF6653">
        <v>-3.7256858538760297E-2</v>
      </c>
      <c r="AG6653">
        <v>-1.1096876119846</v>
      </c>
      <c r="AH6653">
        <v>0.64233082695715005</v>
      </c>
      <c r="AI6653">
        <v>149.894319041822</v>
      </c>
      <c r="AJ6653">
        <v>93.319584865662193</v>
      </c>
      <c r="AK6653">
        <v>1.28272505275281</v>
      </c>
      <c r="AL6653">
        <v>87.723152989001406</v>
      </c>
      <c r="AM6653">
        <v>94.819344197401506</v>
      </c>
      <c r="AN6653">
        <v>1.00000002721536</v>
      </c>
    </row>
    <row r="6654" spans="1:40" x14ac:dyDescent="0.25">
      <c r="A6654" t="str">
        <f>"20190304164540001"</f>
        <v>20190304164540001</v>
      </c>
      <c r="B6654" t="str">
        <f>"1551689139996444"</f>
        <v>1551689139996444</v>
      </c>
      <c r="C6654" t="s">
        <v>40</v>
      </c>
      <c r="D6654">
        <v>5.2382010000000001</v>
      </c>
      <c r="E6654">
        <v>0.53026890000000004</v>
      </c>
      <c r="F6654" t="s">
        <v>42</v>
      </c>
      <c r="G6654">
        <v>-129.70310000000001</v>
      </c>
      <c r="H6654" s="1">
        <v>-6.7807159999999896E-7</v>
      </c>
      <c r="I6654">
        <v>137.39510000000001</v>
      </c>
      <c r="J6654">
        <v>-130.8759</v>
      </c>
      <c r="K6654">
        <v>1.1096710000000001</v>
      </c>
      <c r="L6654">
        <v>137.3201</v>
      </c>
      <c r="M6654">
        <v>0.99990619999999997</v>
      </c>
      <c r="N6654">
        <v>-1.318392E-2</v>
      </c>
      <c r="O6654">
        <v>3.7537899999999999E-3</v>
      </c>
      <c r="P6654">
        <v>0.99583410000000006</v>
      </c>
      <c r="Q6654">
        <v>2.1369849999999999E-2</v>
      </c>
      <c r="R6654">
        <v>8.8648089999999999E-2</v>
      </c>
      <c r="S6654">
        <v>3.0632480000000002</v>
      </c>
      <c r="T6654">
        <v>-2.445166</v>
      </c>
      <c r="U6654">
        <v>0.16706849999999901</v>
      </c>
      <c r="V6654">
        <v>-8.4905389999999997E-2</v>
      </c>
      <c r="W6654">
        <v>3.4509789999999999E-2</v>
      </c>
      <c r="X6654">
        <v>0.99579119999999999</v>
      </c>
      <c r="Y6654">
        <v>-4.0260589999999999E-2</v>
      </c>
      <c r="Z6654">
        <v>1.180572E-2</v>
      </c>
      <c r="AA6654">
        <v>0.99911950000000005</v>
      </c>
      <c r="AB6654">
        <v>23</v>
      </c>
      <c r="AC6654">
        <v>1.1727999999999901</v>
      </c>
      <c r="AD6654">
        <v>-1.1096716780715901</v>
      </c>
      <c r="AE6654">
        <v>7.5000000000016998E-2</v>
      </c>
      <c r="AF6654">
        <v>-3.7321184706423101E-2</v>
      </c>
      <c r="AG6654">
        <v>-1.1096716780715901</v>
      </c>
      <c r="AH6654">
        <v>0.62014965902052799</v>
      </c>
      <c r="AI6654">
        <v>150.75685314045199</v>
      </c>
      <c r="AJ6654">
        <v>93.4439597272969</v>
      </c>
      <c r="AK6654">
        <v>1.2717506451837901</v>
      </c>
      <c r="AL6654">
        <v>88.0223419732243</v>
      </c>
      <c r="AM6654">
        <v>94.873494398450504</v>
      </c>
      <c r="AN6654">
        <v>0.99999998242716803</v>
      </c>
    </row>
    <row r="6655" spans="1:40" x14ac:dyDescent="0.25">
      <c r="A6655" t="str">
        <f>"20190304164540023"</f>
        <v>20190304164540023</v>
      </c>
      <c r="B6655" t="str">
        <f>"1551689140016941"</f>
        <v>1551689140016941</v>
      </c>
      <c r="C6655" t="s">
        <v>40</v>
      </c>
      <c r="D6655">
        <v>5.2413400000000001</v>
      </c>
      <c r="E6655">
        <v>0.53035339999999997</v>
      </c>
      <c r="F6655" t="s">
        <v>42</v>
      </c>
      <c r="G6655">
        <v>-129.4965</v>
      </c>
      <c r="H6655" s="1">
        <v>-7.4874749999999996E-7</v>
      </c>
      <c r="I6655">
        <v>137.3938</v>
      </c>
      <c r="J6655">
        <v>-130.65309999999999</v>
      </c>
      <c r="K6655">
        <v>1.109653</v>
      </c>
      <c r="L6655">
        <v>137.321</v>
      </c>
      <c r="M6655">
        <v>0.99990619999999997</v>
      </c>
      <c r="N6655">
        <v>-1.3182569999999999E-2</v>
      </c>
      <c r="O6655">
        <v>3.7454910000000001E-3</v>
      </c>
      <c r="P6655">
        <v>0.99585049999999997</v>
      </c>
      <c r="Q6655">
        <v>1.450164E-2</v>
      </c>
      <c r="R6655">
        <v>8.9842359999999996E-2</v>
      </c>
      <c r="S6655">
        <v>3.0507049999999998</v>
      </c>
      <c r="T6655">
        <v>-2.4541019999999998</v>
      </c>
      <c r="U6655">
        <v>0.162933299999999</v>
      </c>
      <c r="V6655">
        <v>-8.6109379999999999E-2</v>
      </c>
      <c r="W6655">
        <v>2.763999E-2</v>
      </c>
      <c r="X6655">
        <v>0.99590219999999896</v>
      </c>
      <c r="Y6655">
        <v>-3.9278590000000002E-2</v>
      </c>
      <c r="Z6655">
        <v>1.1528480000000001E-2</v>
      </c>
      <c r="AA6655">
        <v>0.99916179999999999</v>
      </c>
      <c r="AB6655">
        <v>23</v>
      </c>
      <c r="AC6655">
        <v>1.1565999999999901</v>
      </c>
      <c r="AD6655">
        <v>-1.1096537487475</v>
      </c>
      <c r="AE6655">
        <v>7.2800000000000795E-2</v>
      </c>
      <c r="AF6655">
        <v>-3.5718808805110198E-2</v>
      </c>
      <c r="AG6655">
        <v>-1.1096537487475</v>
      </c>
      <c r="AH6655">
        <v>0.60352837834748696</v>
      </c>
      <c r="AI6655">
        <v>151.41665711799499</v>
      </c>
      <c r="AJ6655">
        <v>93.387003216516206</v>
      </c>
      <c r="AK6655">
        <v>1.26366679899512</v>
      </c>
      <c r="AL6655">
        <v>88.416143503167305</v>
      </c>
      <c r="AM6655">
        <v>94.941714322810796</v>
      </c>
      <c r="AN6655">
        <v>0.99999999316801202</v>
      </c>
    </row>
    <row r="6656" spans="1:40" x14ac:dyDescent="0.25">
      <c r="A6656" t="str">
        <f>"20190304164540048"</f>
        <v>20190304164540048</v>
      </c>
      <c r="B6656" t="str">
        <f>"1551689140036461"</f>
        <v>1551689140036461</v>
      </c>
      <c r="C6656" t="s">
        <v>40</v>
      </c>
      <c r="D6656">
        <v>5.2355689999999999</v>
      </c>
      <c r="E6656">
        <v>0.53050149999999996</v>
      </c>
      <c r="F6656" t="s">
        <v>42</v>
      </c>
      <c r="G6656">
        <v>-129.286</v>
      </c>
      <c r="H6656" s="1">
        <v>-8.2034959999999898E-7</v>
      </c>
      <c r="I6656">
        <v>137.3939</v>
      </c>
      <c r="J6656">
        <v>-130.40209999999999</v>
      </c>
      <c r="K6656">
        <v>1.109615</v>
      </c>
      <c r="L6656">
        <v>137.3219</v>
      </c>
      <c r="M6656">
        <v>0.99990619999999997</v>
      </c>
      <c r="N6656">
        <v>-1.3181129999999999E-2</v>
      </c>
      <c r="O6656">
        <v>3.7450690000000002E-3</v>
      </c>
      <c r="P6656">
        <v>0.99592049999999999</v>
      </c>
      <c r="Q6656">
        <v>5.5694639999999997E-3</v>
      </c>
      <c r="R6656">
        <v>9.0065179999999995E-2</v>
      </c>
      <c r="S6656">
        <v>3.0337679999999998</v>
      </c>
      <c r="T6656">
        <v>-2.4624440000000001</v>
      </c>
      <c r="U6656">
        <v>0.16181950000000001</v>
      </c>
      <c r="V6656">
        <v>-8.6332870000000006E-2</v>
      </c>
      <c r="W6656">
        <v>1.8706489999999999E-2</v>
      </c>
      <c r="X6656">
        <v>0.9960907</v>
      </c>
      <c r="Y6656">
        <v>-3.9098809999999998E-2</v>
      </c>
      <c r="Z6656">
        <v>1.154236E-2</v>
      </c>
      <c r="AA6656">
        <v>0.99916870000000002</v>
      </c>
      <c r="AB6656">
        <v>23</v>
      </c>
      <c r="AC6656">
        <v>1.1160999999999801</v>
      </c>
      <c r="AD6656">
        <v>-1.1096158203496</v>
      </c>
      <c r="AE6656">
        <v>7.2000000000002701E-2</v>
      </c>
      <c r="AF6656">
        <v>-3.4177615724378503E-2</v>
      </c>
      <c r="AG6656">
        <v>-1.1096158203496</v>
      </c>
      <c r="AH6656">
        <v>0.56259218382398102</v>
      </c>
      <c r="AI6656">
        <v>153.07170678645801</v>
      </c>
      <c r="AJ6656">
        <v>93.476460387674393</v>
      </c>
      <c r="AK6656">
        <v>1.24455829252251</v>
      </c>
      <c r="AL6656">
        <v>88.9281345430161</v>
      </c>
      <c r="AM6656">
        <v>94.953543469685101</v>
      </c>
      <c r="AN6656">
        <v>0.99999998991852301</v>
      </c>
    </row>
    <row r="6657" spans="1:40" x14ac:dyDescent="0.25">
      <c r="A6657" t="str">
        <f>"20190304164540070"</f>
        <v>20190304164540070</v>
      </c>
      <c r="B6657" t="str">
        <f>"1551689140066717"</f>
        <v>1551689140066717</v>
      </c>
      <c r="C6657" t="s">
        <v>40</v>
      </c>
      <c r="D6657">
        <v>5.2375639999999999</v>
      </c>
      <c r="E6657">
        <v>0.53201849999999995</v>
      </c>
      <c r="F6657" t="s">
        <v>42</v>
      </c>
      <c r="G6657">
        <v>-129.0522</v>
      </c>
      <c r="H6657" s="1">
        <v>-8.9984959999999998E-7</v>
      </c>
      <c r="I6657">
        <v>137.39410000000001</v>
      </c>
      <c r="J6657">
        <v>-130.17160000000001</v>
      </c>
      <c r="K6657">
        <v>1.109578</v>
      </c>
      <c r="L6657">
        <v>137.3228</v>
      </c>
      <c r="M6657">
        <v>0.99990610000000002</v>
      </c>
      <c r="N6657">
        <v>-1.317982E-2</v>
      </c>
      <c r="O6657">
        <v>3.749039E-3</v>
      </c>
      <c r="P6657">
        <v>0.99593759999999998</v>
      </c>
      <c r="Q6657">
        <v>-3.947547E-3</v>
      </c>
      <c r="R6657">
        <v>8.9961719999999995E-2</v>
      </c>
      <c r="S6657">
        <v>3.0115509999999999</v>
      </c>
      <c r="T6657">
        <v>-2.4753449999999999</v>
      </c>
      <c r="U6657">
        <v>0.16125490000000001</v>
      </c>
      <c r="V6657">
        <v>-8.6226540000000004E-2</v>
      </c>
      <c r="W6657">
        <v>9.1883490000000002E-3</v>
      </c>
      <c r="X6657">
        <v>0.99623320000000004</v>
      </c>
      <c r="Y6657">
        <v>-3.9075369999999998E-2</v>
      </c>
      <c r="Z6657">
        <v>1.1641179999999999E-2</v>
      </c>
      <c r="AA6657">
        <v>0.99916850000000001</v>
      </c>
      <c r="AB6657">
        <v>23</v>
      </c>
      <c r="AC6657">
        <v>1.1194000000000099</v>
      </c>
      <c r="AD6657">
        <v>-1.1095788998495999</v>
      </c>
      <c r="AE6657">
        <v>7.1300000000007899E-2</v>
      </c>
      <c r="AF6657">
        <v>-3.3914799229779601E-2</v>
      </c>
      <c r="AG6657">
        <v>-1.1095788998495999</v>
      </c>
      <c r="AH6657">
        <v>0.565896181097574</v>
      </c>
      <c r="AI6657">
        <v>152.93637728896701</v>
      </c>
      <c r="AJ6657">
        <v>93.429698705272401</v>
      </c>
      <c r="AK6657">
        <v>1.246015263301</v>
      </c>
      <c r="AL6657">
        <v>89.473538981709595</v>
      </c>
      <c r="AM6657">
        <v>94.946768676993699</v>
      </c>
      <c r="AN6657">
        <v>1.00000001536997</v>
      </c>
    </row>
    <row r="6658" spans="1:40" x14ac:dyDescent="0.25">
      <c r="A6658" t="str">
        <f>"20190304164540091"</f>
        <v>20190304164540091</v>
      </c>
      <c r="B6658" t="str">
        <f>"1551689140087214"</f>
        <v>1551689140087214</v>
      </c>
      <c r="C6658" t="s">
        <v>40</v>
      </c>
      <c r="D6658">
        <v>5.2011960000000004</v>
      </c>
      <c r="E6658">
        <v>0.5322057</v>
      </c>
      <c r="F6658" t="s">
        <v>42</v>
      </c>
      <c r="G6658">
        <v>-128.79339999999999</v>
      </c>
      <c r="H6658" s="1">
        <v>-9.8982699999999993E-7</v>
      </c>
      <c r="I6658">
        <v>137.3869</v>
      </c>
      <c r="J6658">
        <v>-129.9674</v>
      </c>
      <c r="K6658">
        <v>1.1095459999999999</v>
      </c>
      <c r="L6658">
        <v>137.3235</v>
      </c>
      <c r="M6658">
        <v>0.99990619999999997</v>
      </c>
      <c r="N6658">
        <v>-1.317867E-2</v>
      </c>
      <c r="O6658">
        <v>3.753522E-3</v>
      </c>
      <c r="P6658">
        <v>0.99584229999999996</v>
      </c>
      <c r="Q6658">
        <v>-1.157262E-2</v>
      </c>
      <c r="R6658">
        <v>9.0356370000000005E-2</v>
      </c>
      <c r="S6658">
        <v>2.9901119999999999</v>
      </c>
      <c r="T6658">
        <v>-2.4072300000000002</v>
      </c>
      <c r="U6658">
        <v>0.1393433</v>
      </c>
      <c r="V6658">
        <v>-8.6617710000000001E-2</v>
      </c>
      <c r="W6658">
        <v>1.5605129999999999E-3</v>
      </c>
      <c r="X6658">
        <v>0.99624040000000003</v>
      </c>
      <c r="Y6658">
        <v>-3.3997100000000002E-2</v>
      </c>
      <c r="Z6658">
        <v>9.6305799999999997E-3</v>
      </c>
      <c r="AA6658">
        <v>0.99937549999999997</v>
      </c>
      <c r="AB6658">
        <v>23</v>
      </c>
      <c r="AC6658">
        <v>1.1739999999999999</v>
      </c>
      <c r="AD6658">
        <v>-1.1095469898269901</v>
      </c>
      <c r="AE6658">
        <v>6.34000000000014E-2</v>
      </c>
      <c r="AF6658">
        <v>-3.1202812517844299E-2</v>
      </c>
      <c r="AG6658">
        <v>-1.1095469898269901</v>
      </c>
      <c r="AH6658">
        <v>0.62108314495778805</v>
      </c>
      <c r="AI6658">
        <v>150.730730493837</v>
      </c>
      <c r="AJ6658">
        <v>92.876084518262104</v>
      </c>
      <c r="AK6658">
        <v>1.27193254974225</v>
      </c>
      <c r="AL6658">
        <v>89.910589154823001</v>
      </c>
      <c r="AM6658">
        <v>94.969062041551894</v>
      </c>
      <c r="AN6658">
        <v>0.999999998739313</v>
      </c>
    </row>
    <row r="6659" spans="1:40" x14ac:dyDescent="0.25">
      <c r="A6659" t="str">
        <f>"20190304164540112"</f>
        <v>20190304164540112</v>
      </c>
      <c r="B6659" t="str">
        <f>"1551689140106733"</f>
        <v>1551689140106733</v>
      </c>
      <c r="C6659" t="s">
        <v>40</v>
      </c>
      <c r="D6659">
        <v>5.2328440000000001</v>
      </c>
      <c r="E6659">
        <v>0.53329359999999904</v>
      </c>
      <c r="F6659" t="s">
        <v>42</v>
      </c>
      <c r="G6659">
        <v>-128.60589999999999</v>
      </c>
      <c r="H6659" s="1">
        <v>-1.054099E-6</v>
      </c>
      <c r="I6659">
        <v>137.3852</v>
      </c>
      <c r="J6659">
        <v>-129.75370000000001</v>
      </c>
      <c r="K6659">
        <v>1.109507</v>
      </c>
      <c r="L6659">
        <v>137.32429999999999</v>
      </c>
      <c r="M6659">
        <v>0.99990619999999997</v>
      </c>
      <c r="N6659">
        <v>-1.3177319999999999E-2</v>
      </c>
      <c r="O6659">
        <v>3.7579319999999999E-3</v>
      </c>
      <c r="P6659">
        <v>0.99565170000000003</v>
      </c>
      <c r="Q6659">
        <v>-1.7816129999999999E-2</v>
      </c>
      <c r="R6659">
        <v>9.143664E-2</v>
      </c>
      <c r="S6659">
        <v>2.972153</v>
      </c>
      <c r="T6659">
        <v>-2.4221270000000001</v>
      </c>
      <c r="U6659">
        <v>0.1346436</v>
      </c>
      <c r="V6659">
        <v>-8.7694679999999997E-2</v>
      </c>
      <c r="W6659">
        <v>-4.6867330000000002E-3</v>
      </c>
      <c r="X6659">
        <v>0.99613640000000003</v>
      </c>
      <c r="Y6659">
        <v>-3.284637E-2</v>
      </c>
      <c r="Z6659">
        <v>9.2990369999999996E-3</v>
      </c>
      <c r="AA6659">
        <v>0.99941709999999995</v>
      </c>
      <c r="AB6659">
        <v>23</v>
      </c>
      <c r="AC6659">
        <v>1.1478000000000099</v>
      </c>
      <c r="AD6659">
        <v>-1.1095080540989899</v>
      </c>
      <c r="AE6659">
        <v>6.0900000000003701E-2</v>
      </c>
      <c r="AF6659">
        <v>-2.9292261842678899E-2</v>
      </c>
      <c r="AG6659">
        <v>-1.1095080540989899</v>
      </c>
      <c r="AH6659">
        <v>0.594285146636789</v>
      </c>
      <c r="AI6659">
        <v>151.79624526445599</v>
      </c>
      <c r="AJ6659">
        <v>92.821820138054605</v>
      </c>
      <c r="AK6659">
        <v>1.2589841119837499</v>
      </c>
      <c r="AL6659">
        <v>90.268530996996205</v>
      </c>
      <c r="AM6659">
        <v>95.031052789133099</v>
      </c>
      <c r="AN6659">
        <v>1.0000000248857299</v>
      </c>
    </row>
    <row r="6660" spans="1:40" x14ac:dyDescent="0.25">
      <c r="A6660" t="str">
        <f>"20190304164540138"</f>
        <v>20190304164540138</v>
      </c>
      <c r="B6660" t="str">
        <f>"1551689140127229"</f>
        <v>1551689140127229</v>
      </c>
      <c r="C6660" t="s">
        <v>40</v>
      </c>
      <c r="D6660">
        <v>5.2217929999999999</v>
      </c>
      <c r="E6660">
        <v>0.53332999999999997</v>
      </c>
      <c r="F6660" t="s">
        <v>42</v>
      </c>
      <c r="G6660">
        <v>-128.3707</v>
      </c>
      <c r="H6660" s="1">
        <v>-1.1352200000000001E-6</v>
      </c>
      <c r="I6660">
        <v>137.38120000000001</v>
      </c>
      <c r="J6660">
        <v>-129.49930000000001</v>
      </c>
      <c r="K6660">
        <v>1.1094759999999999</v>
      </c>
      <c r="L6660">
        <v>137.3253</v>
      </c>
      <c r="M6660">
        <v>0.99990619999999997</v>
      </c>
      <c r="N6660">
        <v>-1.3175869999999999E-2</v>
      </c>
      <c r="O6660">
        <v>3.7626830000000002E-3</v>
      </c>
      <c r="P6660">
        <v>0.99549670000000001</v>
      </c>
      <c r="Q6660">
        <v>-2.3990250000000001E-2</v>
      </c>
      <c r="R6660">
        <v>9.1711329999999994E-2</v>
      </c>
      <c r="S6660">
        <v>2.9594269999999998</v>
      </c>
      <c r="T6660">
        <v>-2.3741020000000002</v>
      </c>
      <c r="U6660">
        <v>0.12167360000000001</v>
      </c>
      <c r="V6660">
        <v>-8.7965000000000002E-2</v>
      </c>
      <c r="W6660">
        <v>-1.0864209999999999E-2</v>
      </c>
      <c r="X6660">
        <v>0.99606430000000001</v>
      </c>
      <c r="Y6660">
        <v>-2.9781200000000001E-2</v>
      </c>
      <c r="Z6660">
        <v>8.0861509999999998E-3</v>
      </c>
      <c r="AA6660">
        <v>0.99952379999999996</v>
      </c>
      <c r="AB6660">
        <v>23</v>
      </c>
      <c r="AC6660">
        <v>1.1286</v>
      </c>
      <c r="AD6660">
        <v>-1.1094771352199999</v>
      </c>
      <c r="AE6660">
        <v>5.59000000000082E-2</v>
      </c>
      <c r="AF6660">
        <v>-2.6299271732666499E-2</v>
      </c>
      <c r="AG6660">
        <v>-1.1094771352199999</v>
      </c>
      <c r="AH6660">
        <v>0.57473658095642199</v>
      </c>
      <c r="AI6660">
        <v>152.59024564104499</v>
      </c>
      <c r="AJ6660">
        <v>92.619960059113396</v>
      </c>
      <c r="AK6660">
        <v>1.24978130197211</v>
      </c>
      <c r="AL6660">
        <v>90.622485638414901</v>
      </c>
      <c r="AM6660">
        <v>95.046844518556199</v>
      </c>
      <c r="AN6660">
        <v>0.99999998100920595</v>
      </c>
    </row>
    <row r="6661" spans="1:40" x14ac:dyDescent="0.25">
      <c r="A6661" t="str">
        <f>"20190304164540162"</f>
        <v>20190304164540162</v>
      </c>
      <c r="B6661" t="str">
        <f>"1551689140156509"</f>
        <v>1551689140156509</v>
      </c>
      <c r="C6661" t="s">
        <v>40</v>
      </c>
      <c r="D6661">
        <v>5.2317869999999997</v>
      </c>
      <c r="E6661">
        <v>0.53427340000000001</v>
      </c>
      <c r="F6661" t="s">
        <v>42</v>
      </c>
      <c r="G6661">
        <v>-128.13040000000001</v>
      </c>
      <c r="H6661" s="1">
        <v>-1.217325E-6</v>
      </c>
      <c r="I6661">
        <v>137.37989999999999</v>
      </c>
      <c r="J6661">
        <v>-129.25399999999999</v>
      </c>
      <c r="K6661">
        <v>1.10945</v>
      </c>
      <c r="L6661">
        <v>137.3262</v>
      </c>
      <c r="M6661">
        <v>0.99990619999999997</v>
      </c>
      <c r="N6661">
        <v>-1.3174440000000001E-2</v>
      </c>
      <c r="O6661">
        <v>3.765563E-3</v>
      </c>
      <c r="P6661">
        <v>0.99523249999999996</v>
      </c>
      <c r="Q6661">
        <v>-3.112999E-2</v>
      </c>
      <c r="R6661">
        <v>9.2430810000000002E-2</v>
      </c>
      <c r="S6661">
        <v>2.945236</v>
      </c>
      <c r="T6661">
        <v>-2.387143</v>
      </c>
      <c r="U6661">
        <v>0.1174316</v>
      </c>
      <c r="V6661">
        <v>-8.8682520000000001E-2</v>
      </c>
      <c r="W6661">
        <v>-1.8008300000000001E-2</v>
      </c>
      <c r="X6661">
        <v>0.99589709999999998</v>
      </c>
      <c r="Y6661">
        <v>-2.8713969999999998E-2</v>
      </c>
      <c r="Z6661">
        <v>7.7614049999999999E-3</v>
      </c>
      <c r="AA6661">
        <v>0.99955760000000005</v>
      </c>
      <c r="AB6661">
        <v>23</v>
      </c>
      <c r="AC6661">
        <v>1.1235999999999799</v>
      </c>
      <c r="AD6661">
        <v>-1.109451217325</v>
      </c>
      <c r="AE6661">
        <v>5.3699999999991997E-2</v>
      </c>
      <c r="AF6661">
        <v>-2.5075766085962601E-2</v>
      </c>
      <c r="AG6661">
        <v>-1.109451217325</v>
      </c>
      <c r="AH6661">
        <v>0.56965817577553801</v>
      </c>
      <c r="AI6661">
        <v>152.79880151520899</v>
      </c>
      <c r="AJ6661">
        <v>92.520474084665395</v>
      </c>
      <c r="AK6661">
        <v>1.24740580201337</v>
      </c>
      <c r="AL6661">
        <v>91.031855403159796</v>
      </c>
      <c r="AM6661">
        <v>95.088645529389694</v>
      </c>
      <c r="AN6661">
        <v>0.99999996100542399</v>
      </c>
    </row>
    <row r="6662" spans="1:40" x14ac:dyDescent="0.25">
      <c r="A6662" t="str">
        <f>"20190304164540185"</f>
        <v>20190304164540185</v>
      </c>
      <c r="B6662" t="str">
        <f>"1551689140177005"</f>
        <v>1551689140177005</v>
      </c>
      <c r="C6662" t="s">
        <v>40</v>
      </c>
      <c r="D6662">
        <v>5.2361649999999997</v>
      </c>
      <c r="E6662">
        <v>0.53643469999999904</v>
      </c>
      <c r="F6662" t="s">
        <v>42</v>
      </c>
      <c r="G6662">
        <v>-127.8605</v>
      </c>
      <c r="H6662" s="1">
        <v>-1.3102669999999999E-6</v>
      </c>
      <c r="I6662">
        <v>137.3758</v>
      </c>
      <c r="J6662">
        <v>-129.02180000000001</v>
      </c>
      <c r="K6662">
        <v>1.1094139999999999</v>
      </c>
      <c r="L6662">
        <v>137.3271</v>
      </c>
      <c r="M6662">
        <v>0.99990610000000002</v>
      </c>
      <c r="N6662">
        <v>-1.317309E-2</v>
      </c>
      <c r="O6662">
        <v>3.767416E-3</v>
      </c>
      <c r="P6662">
        <v>0.99482700000000002</v>
      </c>
      <c r="Q6662">
        <v>-3.850862E-2</v>
      </c>
      <c r="R6662">
        <v>9.4000200000000006E-2</v>
      </c>
      <c r="S6662">
        <v>2.931686</v>
      </c>
      <c r="T6662">
        <v>-2.334095</v>
      </c>
      <c r="U6662">
        <v>0.10432429999999999</v>
      </c>
      <c r="V6662">
        <v>-9.025213E-2</v>
      </c>
      <c r="W6662">
        <v>-2.53928E-2</v>
      </c>
      <c r="X6662">
        <v>0.99559520000000001</v>
      </c>
      <c r="Y6662">
        <v>-2.5556559999999999E-2</v>
      </c>
      <c r="Z6662">
        <v>6.5296579999999998E-3</v>
      </c>
      <c r="AA6662">
        <v>0.99965199999999999</v>
      </c>
      <c r="AB6662">
        <v>22</v>
      </c>
      <c r="AC6662">
        <v>1.16130000000001</v>
      </c>
      <c r="AD6662">
        <v>-1.1094153102669999</v>
      </c>
      <c r="AE6662">
        <v>4.86999999999966E-2</v>
      </c>
      <c r="AF6662">
        <v>-2.3193772194335601E-2</v>
      </c>
      <c r="AG6662">
        <v>-1.1094153102669999</v>
      </c>
      <c r="AH6662">
        <v>0.607772004338617</v>
      </c>
      <c r="AI6662">
        <v>151.26713911124</v>
      </c>
      <c r="AJ6662">
        <v>92.185458857574403</v>
      </c>
      <c r="AK6662">
        <v>1.2651984393687801</v>
      </c>
      <c r="AL6662">
        <v>91.455056635630001</v>
      </c>
      <c r="AM6662">
        <v>95.179786773477005</v>
      </c>
      <c r="AN6662">
        <v>1.0000000217622</v>
      </c>
    </row>
    <row r="6663" spans="1:40" x14ac:dyDescent="0.25">
      <c r="A6663" t="str">
        <f>"20190304164540204"</f>
        <v>20190304164540204</v>
      </c>
      <c r="B6663" t="str">
        <f>"1551689140196525"</f>
        <v>1551689140196525</v>
      </c>
      <c r="C6663" t="s">
        <v>40</v>
      </c>
      <c r="D6663">
        <v>5.2415510000000003</v>
      </c>
      <c r="E6663">
        <v>0.53594799999999998</v>
      </c>
      <c r="F6663" t="s">
        <v>42</v>
      </c>
      <c r="G6663">
        <v>-127.6058</v>
      </c>
      <c r="H6663" s="1">
        <v>-1.4080779999999999E-6</v>
      </c>
      <c r="I6663">
        <v>137.36869999999999</v>
      </c>
      <c r="J6663">
        <v>-128.8357</v>
      </c>
      <c r="K6663">
        <v>1.109391</v>
      </c>
      <c r="L6663">
        <v>137.3279</v>
      </c>
      <c r="M6663">
        <v>0.99990619999999997</v>
      </c>
      <c r="N6663">
        <v>-1.317202E-2</v>
      </c>
      <c r="O6663">
        <v>3.7677729999999999E-3</v>
      </c>
      <c r="P6663">
        <v>0.9944345</v>
      </c>
      <c r="Q6663">
        <v>-4.4737730000000003E-2</v>
      </c>
      <c r="R6663">
        <v>9.5387879999999994E-2</v>
      </c>
      <c r="S6663">
        <v>2.9189609999999999</v>
      </c>
      <c r="T6663">
        <v>-2.2869480000000002</v>
      </c>
      <c r="U6663">
        <v>8.5815429999999998E-2</v>
      </c>
      <c r="V6663">
        <v>-9.1640949999999999E-2</v>
      </c>
      <c r="W6663">
        <v>-3.1627379999999997E-2</v>
      </c>
      <c r="X6663">
        <v>0.99528970000000005</v>
      </c>
      <c r="Y6663">
        <v>-2.0850380000000002E-2</v>
      </c>
      <c r="Z6663">
        <v>4.7920180000000003E-3</v>
      </c>
      <c r="AA6663">
        <v>0.99977110000000002</v>
      </c>
      <c r="AB6663">
        <v>22</v>
      </c>
      <c r="AC6663">
        <v>1.2299</v>
      </c>
      <c r="AD6663">
        <v>-1.109392408078</v>
      </c>
      <c r="AE6663">
        <v>4.0799999999990101E-2</v>
      </c>
      <c r="AF6663">
        <v>-1.9950610411480101E-2</v>
      </c>
      <c r="AG6663">
        <v>-1.109392408078</v>
      </c>
      <c r="AH6663">
        <v>0.67855463884124101</v>
      </c>
      <c r="AI6663">
        <v>148.537136037083</v>
      </c>
      <c r="AJ6663">
        <v>91.684103973775905</v>
      </c>
      <c r="AK6663">
        <v>1.3006098338279</v>
      </c>
      <c r="AL6663">
        <v>91.812417687045794</v>
      </c>
      <c r="AM6663">
        <v>95.260656100403494</v>
      </c>
      <c r="AN6663">
        <v>0.99999997090432802</v>
      </c>
    </row>
    <row r="6664" spans="1:40" x14ac:dyDescent="0.25">
      <c r="A6664" t="str">
        <f>"20190304164540224"</f>
        <v>20190304164540224</v>
      </c>
      <c r="B6664" t="str">
        <f>"1551689140217022"</f>
        <v>1551689140217022</v>
      </c>
      <c r="C6664" t="s">
        <v>40</v>
      </c>
      <c r="D6664">
        <v>5.2333449999999999</v>
      </c>
      <c r="E6664">
        <v>0.53585469999999902</v>
      </c>
      <c r="F6664" t="s">
        <v>42</v>
      </c>
      <c r="G6664">
        <v>-127.4391</v>
      </c>
      <c r="H6664" s="1">
        <v>-1.4790729999999901E-6</v>
      </c>
      <c r="I6664">
        <v>137.3716</v>
      </c>
      <c r="J6664">
        <v>-128.62809999999999</v>
      </c>
      <c r="K6664">
        <v>1.109381</v>
      </c>
      <c r="L6664">
        <v>137.3287</v>
      </c>
      <c r="M6664">
        <v>0.99990619999999997</v>
      </c>
      <c r="N6664">
        <v>-1.3170879999999999E-2</v>
      </c>
      <c r="O6664">
        <v>3.7686099999999999E-3</v>
      </c>
      <c r="P6664">
        <v>0.99409190000000003</v>
      </c>
      <c r="Q6664">
        <v>-4.8732810000000001E-2</v>
      </c>
      <c r="R6664">
        <v>9.6987610000000002E-2</v>
      </c>
      <c r="S6664">
        <v>2.9042659999999998</v>
      </c>
      <c r="T6664">
        <v>-2.307064</v>
      </c>
      <c r="U6664">
        <v>9.1079709999999994E-2</v>
      </c>
      <c r="V6664">
        <v>-9.3241409999999997E-2</v>
      </c>
      <c r="W6664">
        <v>-3.5627550000000001E-2</v>
      </c>
      <c r="X6664">
        <v>0.9950059</v>
      </c>
      <c r="Y6664">
        <v>-2.2285820000000001E-2</v>
      </c>
      <c r="Z6664">
        <v>5.3529299999999997E-3</v>
      </c>
      <c r="AA6664">
        <v>0.99973730000000005</v>
      </c>
      <c r="AB6664">
        <v>22</v>
      </c>
      <c r="AC6664">
        <v>1.1889999999999901</v>
      </c>
      <c r="AD6664">
        <v>-1.109382479073</v>
      </c>
      <c r="AE6664">
        <v>4.2900000000002998E-2</v>
      </c>
      <c r="AF6664">
        <v>-2.0550894965357499E-2</v>
      </c>
      <c r="AG6664">
        <v>-1.109382479073</v>
      </c>
      <c r="AH6664">
        <v>0.63610521579293</v>
      </c>
      <c r="AI6664">
        <v>150.15771389281801</v>
      </c>
      <c r="AJ6664">
        <v>91.850433076859801</v>
      </c>
      <c r="AK6664">
        <v>1.2789768057775699</v>
      </c>
      <c r="AL6664">
        <v>92.041740318198194</v>
      </c>
      <c r="AM6664">
        <v>95.353519327438903</v>
      </c>
      <c r="AN6664">
        <v>1.0000000119462999</v>
      </c>
    </row>
    <row r="6665" spans="1:40" x14ac:dyDescent="0.25">
      <c r="A6665" t="str">
        <f>"20190304164540246"</f>
        <v>20190304164540246</v>
      </c>
      <c r="B6665" t="str">
        <f>"1551689140236541"</f>
        <v>1551689140236541</v>
      </c>
      <c r="C6665" t="s">
        <v>40</v>
      </c>
      <c r="D6665">
        <v>5.2710439999999998</v>
      </c>
      <c r="E6665">
        <v>0.53597030000000001</v>
      </c>
      <c r="F6665" t="s">
        <v>42</v>
      </c>
      <c r="G6665">
        <v>-127.2375</v>
      </c>
      <c r="H6665" s="1">
        <v>-1.5651320000000001E-6</v>
      </c>
      <c r="I6665">
        <v>137.3741</v>
      </c>
      <c r="J6665">
        <v>-128.41139999999999</v>
      </c>
      <c r="K6665">
        <v>1.10937</v>
      </c>
      <c r="L6665">
        <v>137.3295</v>
      </c>
      <c r="M6665">
        <v>0.99990630000000003</v>
      </c>
      <c r="N6665">
        <v>-1.3169760000000001E-2</v>
      </c>
      <c r="O6665">
        <v>3.772694E-3</v>
      </c>
      <c r="P6665">
        <v>0.99382930000000003</v>
      </c>
      <c r="Q6665">
        <v>-5.2043239999999998E-2</v>
      </c>
      <c r="R6665">
        <v>9.7955539999999994E-2</v>
      </c>
      <c r="S6665">
        <v>2.89534</v>
      </c>
      <c r="T6665">
        <v>-2.3097370000000002</v>
      </c>
      <c r="U6665">
        <v>9.4680790000000001E-2</v>
      </c>
      <c r="V6665">
        <v>-9.4206620000000005E-2</v>
      </c>
      <c r="W6665">
        <v>-3.8942520000000001E-2</v>
      </c>
      <c r="X6665">
        <v>0.99479070000000003</v>
      </c>
      <c r="Y6665">
        <v>-2.3294760000000001E-2</v>
      </c>
      <c r="Z6665">
        <v>5.7277379999999996E-3</v>
      </c>
      <c r="AA6665">
        <v>0.99971220000000005</v>
      </c>
      <c r="AB6665">
        <v>22</v>
      </c>
      <c r="AC6665">
        <v>1.17389999999998</v>
      </c>
      <c r="AD6665">
        <v>-1.109371565132</v>
      </c>
      <c r="AE6665">
        <v>4.4600000000002603E-2</v>
      </c>
      <c r="AF6665">
        <v>-2.1234074972791402E-2</v>
      </c>
      <c r="AG6665">
        <v>-1.109371565132</v>
      </c>
      <c r="AH6665">
        <v>0.62060605552328496</v>
      </c>
      <c r="AI6665">
        <v>150.76213901073299</v>
      </c>
      <c r="AJ6665">
        <v>91.959614227631207</v>
      </c>
      <c r="AK6665">
        <v>1.2713410367071201</v>
      </c>
      <c r="AL6665">
        <v>92.231806441234099</v>
      </c>
      <c r="AM6665">
        <v>95.409773640361294</v>
      </c>
      <c r="AN6665">
        <v>0.99999997196113199</v>
      </c>
    </row>
    <row r="6666" spans="1:40" x14ac:dyDescent="0.25">
      <c r="A6666" t="str">
        <f>"20190304164540268"</f>
        <v>20190304164540268</v>
      </c>
      <c r="B6666" t="str">
        <f>"1551689140257038"</f>
        <v>1551689140257038</v>
      </c>
      <c r="C6666" t="s">
        <v>40</v>
      </c>
      <c r="D6666">
        <v>5.25528</v>
      </c>
      <c r="E6666">
        <v>0.53603800000000001</v>
      </c>
      <c r="F6666" t="s">
        <v>42</v>
      </c>
      <c r="G6666">
        <v>-127.0227</v>
      </c>
      <c r="H6666" s="1">
        <v>-1.6570960000000001E-6</v>
      </c>
      <c r="I6666">
        <v>137.37530000000001</v>
      </c>
      <c r="J6666">
        <v>-128.18979999999999</v>
      </c>
      <c r="K6666">
        <v>1.109353</v>
      </c>
      <c r="L6666">
        <v>137.3304</v>
      </c>
      <c r="M6666">
        <v>0.99990619999999997</v>
      </c>
      <c r="N6666">
        <v>-1.3168579999999999E-2</v>
      </c>
      <c r="O6666">
        <v>3.7870930000000001E-3</v>
      </c>
      <c r="P6666">
        <v>0.99345669999999997</v>
      </c>
      <c r="Q6666">
        <v>-5.7126450000000002E-2</v>
      </c>
      <c r="R6666">
        <v>9.8897349999999995E-2</v>
      </c>
      <c r="S6666">
        <v>2.8884430000000001</v>
      </c>
      <c r="T6666">
        <v>-2.3073109999999999</v>
      </c>
      <c r="U6666">
        <v>9.5184329999999998E-2</v>
      </c>
      <c r="V6666">
        <v>-9.5134679999999999E-2</v>
      </c>
      <c r="W6666">
        <v>-4.403253E-2</v>
      </c>
      <c r="X6666">
        <v>0.99449010000000004</v>
      </c>
      <c r="Y6666">
        <v>-2.3472449999999999E-2</v>
      </c>
      <c r="Z6666">
        <v>5.7871240000000003E-3</v>
      </c>
      <c r="AA6666">
        <v>0.99970780000000004</v>
      </c>
      <c r="AB6666">
        <v>22</v>
      </c>
      <c r="AC6666">
        <v>1.16709999999999</v>
      </c>
      <c r="AD6666">
        <v>-1.109354657096</v>
      </c>
      <c r="AE6666">
        <v>4.4900000000012603E-2</v>
      </c>
      <c r="AF6666">
        <v>-2.1280770936316602E-2</v>
      </c>
      <c r="AG6666">
        <v>-1.109354657096</v>
      </c>
      <c r="AH6666">
        <v>0.61365142610791601</v>
      </c>
      <c r="AI6666">
        <v>151.03576818358701</v>
      </c>
      <c r="AJ6666">
        <v>91.986160013048206</v>
      </c>
      <c r="AK6666">
        <v>1.2679466468256799</v>
      </c>
      <c r="AL6666">
        <v>92.523694057283606</v>
      </c>
      <c r="AM6666">
        <v>95.464387459725501</v>
      </c>
      <c r="AN6666">
        <v>1.00000001501745</v>
      </c>
    </row>
    <row r="6667" spans="1:40" x14ac:dyDescent="0.25">
      <c r="A6667" t="str">
        <f>"20190304164540292"</f>
        <v>20190304164540292</v>
      </c>
      <c r="B6667" t="str">
        <f>"1551689140287294"</f>
        <v>1551689140287294</v>
      </c>
      <c r="C6667" t="s">
        <v>40</v>
      </c>
      <c r="D6667">
        <v>5.2679980000000004</v>
      </c>
      <c r="E6667">
        <v>0.53682039999999998</v>
      </c>
      <c r="F6667" t="s">
        <v>42</v>
      </c>
      <c r="G6667">
        <v>-126.8099</v>
      </c>
      <c r="H6667" s="1">
        <v>-1.7481219999999901E-6</v>
      </c>
      <c r="I6667">
        <v>137.3768</v>
      </c>
      <c r="J6667">
        <v>-127.9495</v>
      </c>
      <c r="K6667">
        <v>1.109334</v>
      </c>
      <c r="L6667">
        <v>137.3313</v>
      </c>
      <c r="M6667">
        <v>0.99990610000000002</v>
      </c>
      <c r="N6667">
        <v>-1.31673E-2</v>
      </c>
      <c r="O6667">
        <v>3.8221079999999998E-3</v>
      </c>
      <c r="P6667">
        <v>0.99308920000000001</v>
      </c>
      <c r="Q6667">
        <v>-6.3470239999999997E-2</v>
      </c>
      <c r="R6667">
        <v>9.8721310000000007E-2</v>
      </c>
      <c r="S6667">
        <v>2.8771209999999998</v>
      </c>
      <c r="T6667">
        <v>-2.312913</v>
      </c>
      <c r="U6667">
        <v>9.6801760000000001E-2</v>
      </c>
      <c r="V6667">
        <v>-9.4924049999999996E-2</v>
      </c>
      <c r="W6667">
        <v>-5.0384709999999999E-2</v>
      </c>
      <c r="X6667">
        <v>0.9942086</v>
      </c>
      <c r="Y6667">
        <v>-2.3939410000000001E-2</v>
      </c>
      <c r="Z6667">
        <v>5.958479E-3</v>
      </c>
      <c r="AA6667">
        <v>0.99969569999999996</v>
      </c>
      <c r="AB6667">
        <v>22</v>
      </c>
      <c r="AC6667">
        <v>1.1395999999999999</v>
      </c>
      <c r="AD6667">
        <v>-1.1093357481219901</v>
      </c>
      <c r="AE6667">
        <v>4.5500000000004003E-2</v>
      </c>
      <c r="AF6667">
        <v>-2.1141754940054099E-2</v>
      </c>
      <c r="AG6667">
        <v>-1.1093357481219901</v>
      </c>
      <c r="AH6667">
        <v>0.585671537654054</v>
      </c>
      <c r="AI6667">
        <v>152.152872553739</v>
      </c>
      <c r="AJ6667">
        <v>92.0673833448202</v>
      </c>
      <c r="AK6667">
        <v>1.2546250140505699</v>
      </c>
      <c r="AL6667">
        <v>92.888054154415499</v>
      </c>
      <c r="AM6667">
        <v>95.4538966620228</v>
      </c>
      <c r="AN6667">
        <v>0.99999996729207197</v>
      </c>
    </row>
    <row r="6668" spans="1:40" x14ac:dyDescent="0.25">
      <c r="A6668" t="str">
        <f>"20190304164540314"</f>
        <v>20190304164540314</v>
      </c>
      <c r="B6668" t="str">
        <f>"1551689140306813"</f>
        <v>1551689140306813</v>
      </c>
      <c r="C6668" t="s">
        <v>40</v>
      </c>
      <c r="D6668">
        <v>5.4150489999999998</v>
      </c>
      <c r="E6668">
        <v>0.53949829999999999</v>
      </c>
      <c r="F6668" t="s">
        <v>42</v>
      </c>
      <c r="G6668">
        <v>-126.54600000000001</v>
      </c>
      <c r="H6668" s="1">
        <v>-1.861888E-6</v>
      </c>
      <c r="I6668">
        <v>137.37360000000001</v>
      </c>
      <c r="J6668">
        <v>-127.73260000000001</v>
      </c>
      <c r="K6668">
        <v>1.1093200000000001</v>
      </c>
      <c r="L6668">
        <v>137.3322</v>
      </c>
      <c r="M6668">
        <v>0.99990590000000001</v>
      </c>
      <c r="N6668">
        <v>-1.316616E-2</v>
      </c>
      <c r="O6668">
        <v>3.8814679999999999E-3</v>
      </c>
      <c r="P6668">
        <v>0.99262050000000002</v>
      </c>
      <c r="Q6668">
        <v>-7.1479829999999994E-2</v>
      </c>
      <c r="R6668">
        <v>9.7956050000000003E-2</v>
      </c>
      <c r="S6668">
        <v>2.8674620000000002</v>
      </c>
      <c r="T6668">
        <v>-2.2664629999999999</v>
      </c>
      <c r="U6668">
        <v>8.6334229999999998E-2</v>
      </c>
      <c r="V6668">
        <v>-9.4099189999999999E-2</v>
      </c>
      <c r="W6668">
        <v>-5.8404989999999997E-2</v>
      </c>
      <c r="X6668">
        <v>0.99384819999999996</v>
      </c>
      <c r="Y6668">
        <v>-2.1280139999999999E-2</v>
      </c>
      <c r="Z6668">
        <v>4.898749E-3</v>
      </c>
      <c r="AA6668">
        <v>0.99976149999999997</v>
      </c>
      <c r="AB6668">
        <v>22</v>
      </c>
      <c r="AC6668">
        <v>1.1865999999999901</v>
      </c>
      <c r="AD6668">
        <v>-1.1093218618880001</v>
      </c>
      <c r="AE6668">
        <v>4.1400000000009998E-2</v>
      </c>
      <c r="AF6668">
        <v>-1.9644936444098302E-2</v>
      </c>
      <c r="AG6668">
        <v>-1.1093218618880001</v>
      </c>
      <c r="AH6668">
        <v>0.63363469236853698</v>
      </c>
      <c r="AI6668">
        <v>150.25352454607801</v>
      </c>
      <c r="AJ6668">
        <v>91.775804777152302</v>
      </c>
      <c r="AK6668">
        <v>1.2776829967419601</v>
      </c>
      <c r="AL6668">
        <v>93.348264765279197</v>
      </c>
      <c r="AM6668">
        <v>95.408735137657899</v>
      </c>
      <c r="AN6668">
        <v>1.0000000225293899</v>
      </c>
    </row>
    <row r="6669" spans="1:40" x14ac:dyDescent="0.25">
      <c r="A6669" t="str">
        <f>"20190304164540337"</f>
        <v>20190304164540337</v>
      </c>
      <c r="B6669" t="str">
        <f>"1551689140326333"</f>
        <v>1551689140326333</v>
      </c>
      <c r="C6669" t="s">
        <v>40</v>
      </c>
      <c r="D6669">
        <v>5.5032920000000001</v>
      </c>
      <c r="E6669">
        <v>0.5391859</v>
      </c>
      <c r="F6669" t="s">
        <v>42</v>
      </c>
      <c r="G6669">
        <v>-126.4417</v>
      </c>
      <c r="H6669" s="1">
        <v>-1.9086039999999999E-6</v>
      </c>
      <c r="I6669">
        <v>137.36240000000001</v>
      </c>
      <c r="J6669">
        <v>-127.5078</v>
      </c>
      <c r="K6669">
        <v>1.109305</v>
      </c>
      <c r="L6669">
        <v>137.33320000000001</v>
      </c>
      <c r="M6669">
        <v>0.99990540000000006</v>
      </c>
      <c r="N6669">
        <v>-1.3165E-2</v>
      </c>
      <c r="O6669">
        <v>3.9824819999999999E-3</v>
      </c>
      <c r="P6669">
        <v>0.99198050000000004</v>
      </c>
      <c r="Q6669">
        <v>-8.0702819999999995E-2</v>
      </c>
      <c r="R6669">
        <v>9.7273189999999995E-2</v>
      </c>
      <c r="S6669">
        <v>2.8399960000000002</v>
      </c>
      <c r="T6669">
        <v>-2.44049</v>
      </c>
      <c r="U6669">
        <v>6.658936E-2</v>
      </c>
      <c r="V6669">
        <v>-9.3313839999999995E-2</v>
      </c>
      <c r="W6669">
        <v>-6.7642289999999994E-2</v>
      </c>
      <c r="X6669">
        <v>0.99333629999999995</v>
      </c>
      <c r="Y6669">
        <v>-1.561594E-2</v>
      </c>
      <c r="Z6669">
        <v>2.9980860000000001E-3</v>
      </c>
      <c r="AA6669">
        <v>0.99987360000000003</v>
      </c>
      <c r="AB6669">
        <v>22</v>
      </c>
      <c r="AC6669">
        <v>1.0661</v>
      </c>
      <c r="AD6669">
        <v>-1.1093069086039999</v>
      </c>
      <c r="AE6669">
        <v>2.9200000000002901E-2</v>
      </c>
      <c r="AF6669">
        <v>-1.19860863447001E-2</v>
      </c>
      <c r="AG6669">
        <v>-1.1093069086039999</v>
      </c>
      <c r="AH6669">
        <v>0.51213533002473999</v>
      </c>
      <c r="AI6669">
        <v>155.21260749593</v>
      </c>
      <c r="AJ6669">
        <v>91.340713618102995</v>
      </c>
      <c r="AK6669">
        <v>1.2218789138052799</v>
      </c>
      <c r="AL6669">
        <v>93.878579387073302</v>
      </c>
      <c r="AM6669">
        <v>95.366606368964398</v>
      </c>
      <c r="AN6669">
        <v>0.99999997851483902</v>
      </c>
    </row>
    <row r="6670" spans="1:40" x14ac:dyDescent="0.25">
      <c r="A6670" t="str">
        <f>"20190304164540363"</f>
        <v>20190304164540363</v>
      </c>
      <c r="B6670" t="str">
        <f>"1551689140356588"</f>
        <v>1551689140356588</v>
      </c>
      <c r="C6670" t="s">
        <v>40</v>
      </c>
      <c r="D6670">
        <v>5.4310070000000001</v>
      </c>
      <c r="E6670">
        <v>0.52099759999999995</v>
      </c>
      <c r="F6670" t="s">
        <v>42</v>
      </c>
      <c r="G6670">
        <v>-126.2821</v>
      </c>
      <c r="H6670" s="1">
        <v>-1.97708E-6</v>
      </c>
      <c r="I6670">
        <v>137.36240000000001</v>
      </c>
      <c r="J6670">
        <v>-127.2385</v>
      </c>
      <c r="K6670">
        <v>1.109294</v>
      </c>
      <c r="L6670">
        <v>137.33439999999999</v>
      </c>
      <c r="M6670">
        <v>0.99990469999999998</v>
      </c>
      <c r="N6670">
        <v>-1.316374E-2</v>
      </c>
      <c r="O6670">
        <v>4.1583130000000003E-3</v>
      </c>
      <c r="P6670">
        <v>0.99117929999999999</v>
      </c>
      <c r="Q6670">
        <v>-9.1250159999999997E-2</v>
      </c>
      <c r="R6670">
        <v>9.6108349999999995E-2</v>
      </c>
      <c r="S6670">
        <v>2.8107449999999998</v>
      </c>
      <c r="T6670">
        <v>-2.5436770000000002</v>
      </c>
      <c r="U6670">
        <v>6.7092899999999997E-2</v>
      </c>
      <c r="V6670">
        <v>-9.1970259999999998E-2</v>
      </c>
      <c r="W6670">
        <v>-7.8207780000000005E-2</v>
      </c>
      <c r="X6670">
        <v>0.9926857</v>
      </c>
      <c r="Y6670">
        <v>-1.5577219999999999E-2</v>
      </c>
      <c r="Z6670">
        <v>2.9621780000000002E-3</v>
      </c>
      <c r="AA6670">
        <v>0.99987429999999999</v>
      </c>
      <c r="AB6670">
        <v>22</v>
      </c>
      <c r="AC6670">
        <v>0.95640000000000203</v>
      </c>
      <c r="AD6670">
        <v>-1.1092959770799999</v>
      </c>
      <c r="AE6670">
        <v>2.8000000000019998E-2</v>
      </c>
      <c r="AF6670">
        <v>-1.02478646398265E-2</v>
      </c>
      <c r="AG6670">
        <v>-1.1092959770799999</v>
      </c>
      <c r="AH6670">
        <v>0.40804270970516798</v>
      </c>
      <c r="AI6670">
        <v>159.798638635814</v>
      </c>
      <c r="AJ6670">
        <v>91.438663100339198</v>
      </c>
      <c r="AK6670">
        <v>1.18200737579724</v>
      </c>
      <c r="AL6670">
        <v>94.485556546442595</v>
      </c>
      <c r="AM6670">
        <v>95.293223965119097</v>
      </c>
      <c r="AN6670">
        <v>0.99999994228074096</v>
      </c>
    </row>
    <row r="6671" spans="1:40" x14ac:dyDescent="0.25">
      <c r="A6671" t="str">
        <f>"20190304164540387"</f>
        <v>20190304164540387</v>
      </c>
      <c r="B6671" t="str">
        <f>"1551689140377085"</f>
        <v>1551689140377085</v>
      </c>
      <c r="C6671" t="s">
        <v>40</v>
      </c>
      <c r="D6671">
        <v>5.4585790000000003</v>
      </c>
      <c r="E6671">
        <v>0.52061650000000004</v>
      </c>
      <c r="F6671" t="s">
        <v>42</v>
      </c>
      <c r="G6671">
        <v>-126.2346</v>
      </c>
      <c r="H6671" s="1">
        <v>-1.9880159999999999E-6</v>
      </c>
      <c r="I6671">
        <v>137.41560000000001</v>
      </c>
      <c r="J6671">
        <v>-126.9967</v>
      </c>
      <c r="K6671">
        <v>1.1092690000000001</v>
      </c>
      <c r="L6671">
        <v>137.3356</v>
      </c>
      <c r="M6671">
        <v>0.99990389999999996</v>
      </c>
      <c r="N6671">
        <v>-1.316262E-2</v>
      </c>
      <c r="O6671">
        <v>4.3592509999999998E-3</v>
      </c>
      <c r="P6671">
        <v>0.99030439999999997</v>
      </c>
      <c r="Q6671">
        <v>-0.1022309</v>
      </c>
      <c r="R6671">
        <v>9.4054890000000002E-2</v>
      </c>
      <c r="S6671">
        <v>2.727814</v>
      </c>
      <c r="T6671">
        <v>-3.0142199999999999</v>
      </c>
      <c r="U6671">
        <v>0.22064210000000001</v>
      </c>
      <c r="V6671">
        <v>-8.9713189999999998E-2</v>
      </c>
      <c r="W6671">
        <v>-8.9205569999999998E-2</v>
      </c>
      <c r="X6671">
        <v>0.99196470000000003</v>
      </c>
      <c r="Y6671">
        <v>-5.2363720000000002E-2</v>
      </c>
      <c r="Z6671">
        <v>1.980941E-2</v>
      </c>
      <c r="AA6671">
        <v>0.99843159999999997</v>
      </c>
      <c r="AB6671">
        <v>22</v>
      </c>
      <c r="AC6671">
        <v>0.762100000000003</v>
      </c>
      <c r="AD6671">
        <v>-1.1092709880159899</v>
      </c>
      <c r="AE6671">
        <v>8.0000000000012506E-2</v>
      </c>
      <c r="AF6671">
        <v>-2.47702337644259E-2</v>
      </c>
      <c r="AG6671">
        <v>-1.1092709880159899</v>
      </c>
      <c r="AH6671">
        <v>0.246304789003155</v>
      </c>
      <c r="AI6671">
        <v>167.419888040205</v>
      </c>
      <c r="AJ6671">
        <v>95.742779425400101</v>
      </c>
      <c r="AK6671">
        <v>1.1365569666411901</v>
      </c>
      <c r="AL6671">
        <v>95.117905629362397</v>
      </c>
      <c r="AM6671">
        <v>95.167765571499302</v>
      </c>
      <c r="AN6671">
        <v>1.0000000281125401</v>
      </c>
    </row>
    <row r="6672" spans="1:40" x14ac:dyDescent="0.25">
      <c r="A6672" t="str">
        <f>"20190304164540403"</f>
        <v>20190304164540403</v>
      </c>
      <c r="B6672" t="str">
        <f>"1551689140396605"</f>
        <v>1551689140396605</v>
      </c>
      <c r="C6672" t="s">
        <v>40</v>
      </c>
      <c r="D6672">
        <v>5.4358420000000001</v>
      </c>
      <c r="E6672">
        <v>0.52174089999999995</v>
      </c>
      <c r="F6672" t="s">
        <v>42</v>
      </c>
      <c r="G6672">
        <v>-126.0145</v>
      </c>
      <c r="H6672" s="1">
        <v>-2.0828819999999999E-6</v>
      </c>
      <c r="I6672">
        <v>137.41309999999999</v>
      </c>
      <c r="J6672">
        <v>-126.84050000000001</v>
      </c>
      <c r="K6672">
        <v>1.1092329999999999</v>
      </c>
      <c r="L6672">
        <v>137.3364</v>
      </c>
      <c r="M6672">
        <v>0.99990330000000005</v>
      </c>
      <c r="N6672">
        <v>-1.3161900000000001E-2</v>
      </c>
      <c r="O6672">
        <v>4.5118989999999998E-3</v>
      </c>
      <c r="P6672">
        <v>0.98936659999999998</v>
      </c>
      <c r="Q6672">
        <v>-0.1127368</v>
      </c>
      <c r="R6672">
        <v>9.1893929999999999E-2</v>
      </c>
      <c r="S6672">
        <v>2.6949920000000001</v>
      </c>
      <c r="T6672">
        <v>-3.043498</v>
      </c>
      <c r="U6672">
        <v>0.21263119999999999</v>
      </c>
      <c r="V6672">
        <v>-8.7398829999999997E-2</v>
      </c>
      <c r="W6672">
        <v>-9.9726179999999998E-2</v>
      </c>
      <c r="X6672">
        <v>0.99116910000000003</v>
      </c>
      <c r="Y6672">
        <v>-5.0428559999999997E-2</v>
      </c>
      <c r="Z6672">
        <v>1.9073639999999999E-2</v>
      </c>
      <c r="AA6672">
        <v>0.99854549999999997</v>
      </c>
      <c r="AB6672">
        <v>22</v>
      </c>
      <c r="AC6672">
        <v>0.82600000000000695</v>
      </c>
      <c r="AD6672">
        <v>-1.1092350828819999</v>
      </c>
      <c r="AE6672">
        <v>7.6699999999988194E-2</v>
      </c>
      <c r="AF6672">
        <v>-2.6173975179392302E-2</v>
      </c>
      <c r="AG6672">
        <v>-1.1092350828819999</v>
      </c>
      <c r="AH6672">
        <v>0.29639480665523998</v>
      </c>
      <c r="AI6672">
        <v>164.984116632454</v>
      </c>
      <c r="AJ6672">
        <v>95.046573590006801</v>
      </c>
      <c r="AK6672">
        <v>1.14845001087775</v>
      </c>
      <c r="AL6672">
        <v>95.723402780673695</v>
      </c>
      <c r="AM6672">
        <v>95.039166231882305</v>
      </c>
      <c r="AN6672">
        <v>1.00000002562878</v>
      </c>
    </row>
    <row r="6673" spans="1:40" x14ac:dyDescent="0.25">
      <c r="A6673" t="str">
        <f>"20190304164540423"</f>
        <v>20190304164540423</v>
      </c>
      <c r="B6673" t="str">
        <f>"1551689140417100"</f>
        <v>1551689140417100</v>
      </c>
      <c r="C6673" t="s">
        <v>40</v>
      </c>
      <c r="D6673">
        <v>5.4212429999999996</v>
      </c>
      <c r="E6673">
        <v>0.5231806</v>
      </c>
      <c r="F6673" t="s">
        <v>42</v>
      </c>
      <c r="G6673">
        <v>-125.87090000000001</v>
      </c>
      <c r="H6673" s="1">
        <v>-2.145636E-6</v>
      </c>
      <c r="I6673">
        <v>137.40649999999999</v>
      </c>
      <c r="J6673">
        <v>-126.6344</v>
      </c>
      <c r="K6673">
        <v>1.1091959999999901</v>
      </c>
      <c r="L6673">
        <v>137.33760000000001</v>
      </c>
      <c r="M6673">
        <v>0.99990219999999996</v>
      </c>
      <c r="N6673">
        <v>-1.3160939999999999E-2</v>
      </c>
      <c r="O6673">
        <v>4.7365250000000001E-3</v>
      </c>
      <c r="P6673">
        <v>0.98857490000000003</v>
      </c>
      <c r="Q6673">
        <v>-0.1215793</v>
      </c>
      <c r="R6673">
        <v>8.9098860000000002E-2</v>
      </c>
      <c r="S6673">
        <v>2.6667179999999999</v>
      </c>
      <c r="T6673">
        <v>-3.0506609999999998</v>
      </c>
      <c r="U6673">
        <v>0.19273380000000001</v>
      </c>
      <c r="V6673">
        <v>-8.4378120000000001E-2</v>
      </c>
      <c r="W6673">
        <v>-0.1085819</v>
      </c>
      <c r="X6673">
        <v>0.99050000000000005</v>
      </c>
      <c r="Y6673">
        <v>-4.5703260000000002E-2</v>
      </c>
      <c r="Z6673">
        <v>1.6853280000000002E-2</v>
      </c>
      <c r="AA6673">
        <v>0.9988129</v>
      </c>
      <c r="AB6673">
        <v>22</v>
      </c>
      <c r="AC6673">
        <v>0.76349999999999296</v>
      </c>
      <c r="AD6673">
        <v>-1.1091981456359901</v>
      </c>
      <c r="AE6673">
        <v>6.8899999999985001E-2</v>
      </c>
      <c r="AF6673">
        <v>-2.1102986741897301E-2</v>
      </c>
      <c r="AG6673">
        <v>-1.1091981456359901</v>
      </c>
      <c r="AH6673">
        <v>0.24690871333266601</v>
      </c>
      <c r="AI6673">
        <v>167.406211999585</v>
      </c>
      <c r="AJ6673">
        <v>94.885128368375106</v>
      </c>
      <c r="AK6673">
        <v>1.1365429050640199</v>
      </c>
      <c r="AL6673">
        <v>96.233574942340795</v>
      </c>
      <c r="AM6673">
        <v>94.869122976624297</v>
      </c>
      <c r="AN6673">
        <v>0.99999997307117106</v>
      </c>
    </row>
    <row r="6674" spans="1:40" x14ac:dyDescent="0.25">
      <c r="A6674" t="str">
        <f>"20190304164540469"</f>
        <v>20190304164540469</v>
      </c>
      <c r="B6674" t="str">
        <f>"1551689140466877"</f>
        <v>1551689140466877</v>
      </c>
      <c r="C6674" t="s">
        <v>40</v>
      </c>
      <c r="D6674">
        <v>5.4289719999999999</v>
      </c>
      <c r="E6674">
        <v>0.52745220000000004</v>
      </c>
      <c r="F6674" t="s">
        <v>42</v>
      </c>
      <c r="G6674">
        <v>-125.6729</v>
      </c>
      <c r="H6674" s="1">
        <v>-2.2318349999999999E-6</v>
      </c>
      <c r="I6674">
        <v>137.39940000000001</v>
      </c>
      <c r="J6674">
        <v>-126.1862</v>
      </c>
      <c r="K6674">
        <v>1.109181</v>
      </c>
      <c r="L6674">
        <v>137.34030000000001</v>
      </c>
      <c r="M6674">
        <v>0.99989939999999999</v>
      </c>
      <c r="N6674">
        <v>-1.315883E-2</v>
      </c>
      <c r="O6674">
        <v>5.2882190000000003E-3</v>
      </c>
      <c r="P6674">
        <v>0.98823490000000003</v>
      </c>
      <c r="Q6674">
        <v>-0.12894610000000001</v>
      </c>
      <c r="R6674">
        <v>8.2248840000000004E-2</v>
      </c>
      <c r="S6674">
        <v>2.6441650000000001</v>
      </c>
      <c r="T6674">
        <v>-3.0504250000000002</v>
      </c>
      <c r="U6674">
        <v>0.1701965</v>
      </c>
      <c r="V6674">
        <v>-7.6973529999999998E-2</v>
      </c>
      <c r="W6674">
        <v>-0.11595709999999999</v>
      </c>
      <c r="X6674">
        <v>0.99026720000000001</v>
      </c>
      <c r="Y6674">
        <v>-4.0199150000000003E-2</v>
      </c>
      <c r="Z6674">
        <v>1.3893890000000001E-2</v>
      </c>
      <c r="AA6674">
        <v>0.99909510000000001</v>
      </c>
      <c r="AB6674">
        <v>22</v>
      </c>
      <c r="AC6674">
        <v>0.51330000000000098</v>
      </c>
      <c r="AD6674">
        <v>-1.1091832318349999</v>
      </c>
      <c r="AE6674">
        <v>5.9100000000000798E-2</v>
      </c>
      <c r="AF6674">
        <v>-1.0053685126132399E-2</v>
      </c>
      <c r="AG6674">
        <v>-1.1091832318349999</v>
      </c>
      <c r="AH6674">
        <v>9.1578841728605503E-2</v>
      </c>
      <c r="AI6674">
        <v>175.251896867683</v>
      </c>
      <c r="AJ6674">
        <v>96.264942655985607</v>
      </c>
      <c r="AK6674">
        <v>1.11300278643896</v>
      </c>
      <c r="AL6674">
        <v>96.658831841666299</v>
      </c>
      <c r="AM6674">
        <v>94.444667317390895</v>
      </c>
      <c r="AN6674">
        <v>1.0000000503784501</v>
      </c>
    </row>
    <row r="6675" spans="1:40" x14ac:dyDescent="0.25">
      <c r="A6675" t="str">
        <f>"20190304164540492"</f>
        <v>20190304164540492</v>
      </c>
      <c r="B6675" t="str">
        <f>"1551689140486397"</f>
        <v>1551689140486397</v>
      </c>
      <c r="C6675" t="s">
        <v>40</v>
      </c>
      <c r="D6675">
        <v>5.4222530000000004</v>
      </c>
      <c r="E6675">
        <v>0.52880919999999998</v>
      </c>
      <c r="F6675" t="s">
        <v>42</v>
      </c>
      <c r="G6675">
        <v>-125.21380000000001</v>
      </c>
      <c r="H6675" s="1">
        <v>-2.4318880000000001E-6</v>
      </c>
      <c r="I6675">
        <v>137.3819</v>
      </c>
      <c r="J6675">
        <v>-125.9627</v>
      </c>
      <c r="K6675">
        <v>1.109183</v>
      </c>
      <c r="L6675">
        <v>137.34180000000001</v>
      </c>
      <c r="M6675">
        <v>0.99989779999999995</v>
      </c>
      <c r="N6675">
        <v>-1.3157749999999999E-2</v>
      </c>
      <c r="O6675">
        <v>5.5799619999999999E-3</v>
      </c>
      <c r="P6675">
        <v>0.98856169999999999</v>
      </c>
      <c r="Q6675">
        <v>-0.12887080000000001</v>
      </c>
      <c r="R6675">
        <v>7.8345570000000003E-2</v>
      </c>
      <c r="S6675">
        <v>2.6342620000000001</v>
      </c>
      <c r="T6675">
        <v>-3.0048530000000002</v>
      </c>
      <c r="U6675">
        <v>0.11277769999999999</v>
      </c>
      <c r="V6675">
        <v>-7.2778540000000003E-2</v>
      </c>
      <c r="W6675">
        <v>-0.11587799999999999</v>
      </c>
      <c r="X6675">
        <v>0.99059359999999996</v>
      </c>
      <c r="Y6675">
        <v>-2.6232970000000001E-2</v>
      </c>
      <c r="Z6675">
        <v>7.0967900000000004E-3</v>
      </c>
      <c r="AA6675">
        <v>0.99963069999999998</v>
      </c>
      <c r="AB6675">
        <v>22</v>
      </c>
      <c r="AC6675">
        <v>0.74889999999999102</v>
      </c>
      <c r="AD6675">
        <v>-1.1091854318879999</v>
      </c>
      <c r="AE6675">
        <v>4.0099999999995299E-2</v>
      </c>
      <c r="AF6675">
        <v>-1.12696243517693E-2</v>
      </c>
      <c r="AG6675">
        <v>-1.1091854318879999</v>
      </c>
      <c r="AH6675">
        <v>0.235026999495483</v>
      </c>
      <c r="AI6675">
        <v>168.02311238041401</v>
      </c>
      <c r="AJ6675">
        <v>92.7452493608521</v>
      </c>
      <c r="AK6675">
        <v>1.1338681657218499</v>
      </c>
      <c r="AL6675">
        <v>96.654268965500293</v>
      </c>
      <c r="AM6675">
        <v>94.2019498599374</v>
      </c>
      <c r="AN6675">
        <v>1.00000005356474</v>
      </c>
    </row>
    <row r="6676" spans="1:40" x14ac:dyDescent="0.25">
      <c r="A6676" t="str">
        <f>"20190304164540515"</f>
        <v>20190304164540515</v>
      </c>
      <c r="B6676" t="str">
        <f>"1551689140506893"</f>
        <v>1551689140506893</v>
      </c>
      <c r="C6676" t="s">
        <v>40</v>
      </c>
      <c r="D6676">
        <v>5.4662249999999997</v>
      </c>
      <c r="E6676">
        <v>0.531502699999999</v>
      </c>
      <c r="F6676" t="s">
        <v>42</v>
      </c>
      <c r="G6676">
        <v>-124.9812</v>
      </c>
      <c r="H6676" s="1">
        <v>-2.5326940000000002E-6</v>
      </c>
      <c r="I6676">
        <v>137.37639999999999</v>
      </c>
      <c r="J6676">
        <v>-125.74</v>
      </c>
      <c r="K6676">
        <v>1.1091899999999999</v>
      </c>
      <c r="L6676">
        <v>137.3434</v>
      </c>
      <c r="M6676">
        <v>0.99989629999999996</v>
      </c>
      <c r="N6676">
        <v>-1.3156630000000001E-2</v>
      </c>
      <c r="O6676">
        <v>5.8735339999999997E-3</v>
      </c>
      <c r="P6676">
        <v>0.98887040000000004</v>
      </c>
      <c r="Q6676">
        <v>-0.12851899999999999</v>
      </c>
      <c r="R6676">
        <v>7.4954199999999901E-2</v>
      </c>
      <c r="S6676">
        <v>2.6386409999999998</v>
      </c>
      <c r="T6676">
        <v>-2.9817800000000001</v>
      </c>
      <c r="U6676">
        <v>9.2880249999999998E-2</v>
      </c>
      <c r="V6676">
        <v>-6.9094219999999998E-2</v>
      </c>
      <c r="W6676">
        <v>-0.1155219</v>
      </c>
      <c r="X6676">
        <v>0.99089890000000003</v>
      </c>
      <c r="Y6676">
        <v>-2.1236689999999999E-2</v>
      </c>
      <c r="Z6676">
        <v>4.503918E-3</v>
      </c>
      <c r="AA6676">
        <v>0.99976430000000005</v>
      </c>
      <c r="AB6676">
        <v>22</v>
      </c>
      <c r="AC6676">
        <v>0.75879999999999304</v>
      </c>
      <c r="AD6676">
        <v>-1.109192532694</v>
      </c>
      <c r="AE6676">
        <v>3.2999999999986998E-2</v>
      </c>
      <c r="AF6676">
        <v>-9.1109307053522902E-3</v>
      </c>
      <c r="AG6676">
        <v>-1.109192532694</v>
      </c>
      <c r="AH6676">
        <v>0.242273516519908</v>
      </c>
      <c r="AI6676">
        <v>167.67033351154001</v>
      </c>
      <c r="AJ6676">
        <v>92.153648538012604</v>
      </c>
      <c r="AK6676">
        <v>1.1353799101839701</v>
      </c>
      <c r="AL6676">
        <v>96.633728511924701</v>
      </c>
      <c r="AM6676">
        <v>93.988711457674995</v>
      </c>
      <c r="AN6676">
        <v>0.999999975319113</v>
      </c>
    </row>
    <row r="6677" spans="1:40" x14ac:dyDescent="0.25">
      <c r="A6677" t="str">
        <f>"20190304164540538"</f>
        <v>20190304164540538</v>
      </c>
      <c r="B6677" t="str">
        <f>"1551689140526414"</f>
        <v>1551689140526414</v>
      </c>
      <c r="C6677" t="s">
        <v>40</v>
      </c>
      <c r="D6677">
        <v>5.4428320000000001</v>
      </c>
      <c r="E6677">
        <v>0.53232849999999998</v>
      </c>
      <c r="F6677" t="s">
        <v>42</v>
      </c>
      <c r="G6677">
        <v>-124.73990000000001</v>
      </c>
      <c r="H6677" s="1">
        <v>-2.6377959999999999E-6</v>
      </c>
      <c r="I6677">
        <v>137.3673</v>
      </c>
      <c r="J6677">
        <v>-125.5145</v>
      </c>
      <c r="K6677">
        <v>1.1091930000000001</v>
      </c>
      <c r="L6677">
        <v>137.345</v>
      </c>
      <c r="M6677">
        <v>0.99989450000000002</v>
      </c>
      <c r="N6677">
        <v>-1.3162109999999999E-2</v>
      </c>
      <c r="O6677">
        <v>6.1685589999999997E-3</v>
      </c>
      <c r="P6677">
        <v>0.98920660000000005</v>
      </c>
      <c r="Q6677">
        <v>-0.12738669999999999</v>
      </c>
      <c r="R6677">
        <v>7.2411340000000005E-2</v>
      </c>
      <c r="S6677">
        <v>2.6473689999999999</v>
      </c>
      <c r="T6677">
        <v>-2.9362080000000002</v>
      </c>
      <c r="U6677">
        <v>6.3308719999999999E-2</v>
      </c>
      <c r="V6677">
        <v>-6.6258339999999999E-2</v>
      </c>
      <c r="W6677">
        <v>-0.1143783</v>
      </c>
      <c r="X6677">
        <v>0.99122520000000003</v>
      </c>
      <c r="Y6677">
        <v>-1.378885E-2</v>
      </c>
      <c r="Z6677">
        <v>8.2017479999999996E-4</v>
      </c>
      <c r="AA6677">
        <v>0.99990460000000003</v>
      </c>
      <c r="AB6677">
        <v>22</v>
      </c>
      <c r="AC6677">
        <v>0.77459999999999196</v>
      </c>
      <c r="AD6677">
        <v>-1.1091956377959999</v>
      </c>
      <c r="AE6677">
        <v>2.2300000000001301E-2</v>
      </c>
      <c r="AF6677">
        <v>-5.7468327161277304E-3</v>
      </c>
      <c r="AG6677">
        <v>-1.1091956377959999</v>
      </c>
      <c r="AH6677">
        <v>0.254106692852682</v>
      </c>
      <c r="AI6677">
        <v>167.09352370102101</v>
      </c>
      <c r="AJ6677">
        <v>91.295570518033003</v>
      </c>
      <c r="AK6677">
        <v>1.1379447264012701</v>
      </c>
      <c r="AL6677">
        <v>96.567767785563106</v>
      </c>
      <c r="AM6677">
        <v>93.824241006474296</v>
      </c>
      <c r="AN6677">
        <v>0.99999998012274205</v>
      </c>
    </row>
    <row r="6678" spans="1:40" x14ac:dyDescent="0.25">
      <c r="A6678" t="str">
        <f>"20190304164540563"</f>
        <v>20190304164540563</v>
      </c>
      <c r="B6678" t="str">
        <f>"1551689140556670"</f>
        <v>1551689140556670</v>
      </c>
      <c r="C6678" t="s">
        <v>40</v>
      </c>
      <c r="D6678">
        <v>5.4750389999999998</v>
      </c>
      <c r="E6678">
        <v>0.53399449999999904</v>
      </c>
      <c r="F6678" t="s">
        <v>42</v>
      </c>
      <c r="G6678">
        <v>-124.5067</v>
      </c>
      <c r="H6678" s="1">
        <v>-2.7383020000000002E-6</v>
      </c>
      <c r="I6678">
        <v>137.3647</v>
      </c>
      <c r="J6678">
        <v>-125.26690000000001</v>
      </c>
      <c r="K6678">
        <v>1.1092089999999999</v>
      </c>
      <c r="L6678">
        <v>137.34690000000001</v>
      </c>
      <c r="M6678">
        <v>0.99989159999999999</v>
      </c>
      <c r="N6678">
        <v>-1.322006E-2</v>
      </c>
      <c r="O6678">
        <v>6.4758990000000002E-3</v>
      </c>
      <c r="P6678">
        <v>0.98946559999999995</v>
      </c>
      <c r="Q6678">
        <v>-0.12648470000000001</v>
      </c>
      <c r="R6678">
        <v>7.0422970000000001E-2</v>
      </c>
      <c r="S6678">
        <v>2.6529240000000001</v>
      </c>
      <c r="T6678">
        <v>-2.919842</v>
      </c>
      <c r="U6678">
        <v>5.186462E-2</v>
      </c>
      <c r="V6678">
        <v>-6.3965339999999996E-2</v>
      </c>
      <c r="W6678">
        <v>-0.1134143</v>
      </c>
      <c r="X6678">
        <v>0.9914866</v>
      </c>
      <c r="Y6678">
        <v>-1.0797060000000001E-2</v>
      </c>
      <c r="Z6678">
        <v>-7.9874069999999995E-4</v>
      </c>
      <c r="AA6678">
        <v>0.99994139999999998</v>
      </c>
      <c r="AB6678">
        <v>22</v>
      </c>
      <c r="AC6678">
        <v>0.76020000000001098</v>
      </c>
      <c r="AD6678">
        <v>-1.1092117383019999</v>
      </c>
      <c r="AE6678">
        <v>1.7799999999994001E-2</v>
      </c>
      <c r="AF6678">
        <v>-4.1166731587998001E-3</v>
      </c>
      <c r="AG6678">
        <v>-1.1092117383019999</v>
      </c>
      <c r="AH6678">
        <v>0.24307633813239399</v>
      </c>
      <c r="AI6678">
        <v>167.637690265853</v>
      </c>
      <c r="AJ6678">
        <v>90.970252608206096</v>
      </c>
      <c r="AK6678">
        <v>1.13554116329822</v>
      </c>
      <c r="AL6678">
        <v>96.512172593940704</v>
      </c>
      <c r="AM6678">
        <v>93.691297510702796</v>
      </c>
      <c r="AN6678">
        <v>1.00000002307268</v>
      </c>
    </row>
    <row r="6679" spans="1:40" x14ac:dyDescent="0.25">
      <c r="A6679" t="str">
        <f>"20190304164540587"</f>
        <v>20190304164540587</v>
      </c>
      <c r="B6679" t="str">
        <f>"1551689140577166"</f>
        <v>1551689140577166</v>
      </c>
      <c r="C6679" t="s">
        <v>40</v>
      </c>
      <c r="D6679">
        <v>5.4450669999999999</v>
      </c>
      <c r="E6679">
        <v>0.53467449999999905</v>
      </c>
      <c r="F6679" t="s">
        <v>42</v>
      </c>
      <c r="G6679">
        <v>-124.2454</v>
      </c>
      <c r="H6679" s="1">
        <v>-2.851287E-6</v>
      </c>
      <c r="I6679">
        <v>137.35980000000001</v>
      </c>
      <c r="J6679">
        <v>-125.0226</v>
      </c>
      <c r="K6679">
        <v>1.1092379999999999</v>
      </c>
      <c r="L6679">
        <v>137.34889999999999</v>
      </c>
      <c r="M6679">
        <v>0.9998882</v>
      </c>
      <c r="N6679">
        <v>-1.333324E-2</v>
      </c>
      <c r="O6679">
        <v>6.7766390000000001E-3</v>
      </c>
      <c r="P6679">
        <v>0.98977979999999999</v>
      </c>
      <c r="Q6679">
        <v>-0.1248716</v>
      </c>
      <c r="R6679">
        <v>6.8871970000000005E-2</v>
      </c>
      <c r="S6679">
        <v>2.6602939999999999</v>
      </c>
      <c r="T6679">
        <v>-2.888614</v>
      </c>
      <c r="U6679">
        <v>3.3615109999999997E-2</v>
      </c>
      <c r="V6679">
        <v>-6.2117579999999999E-2</v>
      </c>
      <c r="W6679">
        <v>-0.1116829</v>
      </c>
      <c r="X6679">
        <v>0.99180049999999997</v>
      </c>
      <c r="Y6679">
        <v>-6.0651699999999999E-3</v>
      </c>
      <c r="Z6679">
        <v>-3.161924E-3</v>
      </c>
      <c r="AA6679">
        <v>0.99997659999999999</v>
      </c>
      <c r="AB6679">
        <v>22</v>
      </c>
      <c r="AC6679">
        <v>0.77719999999999301</v>
      </c>
      <c r="AD6679">
        <v>-1.109240851287</v>
      </c>
      <c r="AE6679">
        <v>1.09000000000207E-2</v>
      </c>
      <c r="AF6679">
        <v>-1.8548777047726001E-3</v>
      </c>
      <c r="AG6679">
        <v>-1.109240851287</v>
      </c>
      <c r="AH6679">
        <v>0.25596458413850098</v>
      </c>
      <c r="AI6679">
        <v>167.00574381756999</v>
      </c>
      <c r="AJ6679">
        <v>90.415193391279104</v>
      </c>
      <c r="AK6679">
        <v>1.13839210075808</v>
      </c>
      <c r="AL6679">
        <v>96.412336817430202</v>
      </c>
      <c r="AM6679">
        <v>93.583817927087097</v>
      </c>
      <c r="AN6679">
        <v>0.99999994784885604</v>
      </c>
    </row>
    <row r="6680" spans="1:40" x14ac:dyDescent="0.25">
      <c r="A6680" t="str">
        <f>"20190304164540609"</f>
        <v>20190304164540609</v>
      </c>
      <c r="B6680" t="str">
        <f>"1551689140596685"</f>
        <v>1551689140596685</v>
      </c>
      <c r="C6680" t="s">
        <v>40</v>
      </c>
      <c r="D6680">
        <v>5.4533829999999996</v>
      </c>
      <c r="E6680">
        <v>0.53548009999999902</v>
      </c>
      <c r="F6680" t="s">
        <v>42</v>
      </c>
      <c r="G6680">
        <v>-123.9931</v>
      </c>
      <c r="H6680" s="1">
        <v>-2.9596189999999999E-6</v>
      </c>
      <c r="I6680">
        <v>137.35929999999999</v>
      </c>
      <c r="J6680">
        <v>-124.8115</v>
      </c>
      <c r="K6680">
        <v>1.1092799999999901</v>
      </c>
      <c r="L6680">
        <v>137.35059999999999</v>
      </c>
      <c r="M6680">
        <v>0.99988350000000004</v>
      </c>
      <c r="N6680">
        <v>-1.3540440000000001E-2</v>
      </c>
      <c r="O6680">
        <v>7.0448439999999998E-3</v>
      </c>
      <c r="P6680">
        <v>0.98995880000000003</v>
      </c>
      <c r="Q6680">
        <v>-0.12443700000000001</v>
      </c>
      <c r="R6680">
        <v>6.7060069999999999E-2</v>
      </c>
      <c r="S6680">
        <v>2.6666259999999999</v>
      </c>
      <c r="T6680">
        <v>-2.8731089999999999</v>
      </c>
      <c r="U6680">
        <v>2.6931759999999999E-2</v>
      </c>
      <c r="V6680">
        <v>-6.0041869999999997E-2</v>
      </c>
      <c r="W6680">
        <v>-0.11103780000000001</v>
      </c>
      <c r="X6680">
        <v>0.99200080000000002</v>
      </c>
      <c r="Y6680">
        <v>-4.2481009999999998E-3</v>
      </c>
      <c r="Z6680">
        <v>-4.1810390000000001E-3</v>
      </c>
      <c r="AA6680">
        <v>0.99998220000000004</v>
      </c>
      <c r="AB6680">
        <v>22</v>
      </c>
      <c r="AC6680">
        <v>0.81839999999999602</v>
      </c>
      <c r="AD6680">
        <v>-1.1092829596189999</v>
      </c>
      <c r="AE6680">
        <v>8.7000000000045895E-3</v>
      </c>
      <c r="AF6680">
        <v>-1.0341121071009E-3</v>
      </c>
      <c r="AG6680">
        <v>-1.1092829596189999</v>
      </c>
      <c r="AH6680">
        <v>0.28849024628835401</v>
      </c>
      <c r="AI6680">
        <v>165.42198452498701</v>
      </c>
      <c r="AJ6680">
        <v>90.205379579633998</v>
      </c>
      <c r="AK6680">
        <v>1.1461833954880201</v>
      </c>
      <c r="AL6680">
        <v>96.375143617103603</v>
      </c>
      <c r="AM6680">
        <v>93.463660591511498</v>
      </c>
      <c r="AN6680">
        <v>1.0000000031912799</v>
      </c>
    </row>
    <row r="6681" spans="1:40" x14ac:dyDescent="0.25">
      <c r="A6681" t="str">
        <f>"20190304164540626"</f>
        <v>20190304164540626</v>
      </c>
      <c r="B6681" t="str">
        <f>"1551689140617182"</f>
        <v>1551689140617182</v>
      </c>
      <c r="C6681" t="s">
        <v>40</v>
      </c>
      <c r="D6681">
        <v>5.4577460000000002</v>
      </c>
      <c r="E6681">
        <v>0.53604640000000003</v>
      </c>
      <c r="F6681" t="s">
        <v>42</v>
      </c>
      <c r="G6681">
        <v>-123.7753</v>
      </c>
      <c r="H6681" s="1">
        <v>-3.0533609999999998E-6</v>
      </c>
      <c r="I6681">
        <v>137.35749999999999</v>
      </c>
      <c r="J6681">
        <v>-124.63720000000001</v>
      </c>
      <c r="K6681">
        <v>1.1093309999999901</v>
      </c>
      <c r="L6681">
        <v>137.35210000000001</v>
      </c>
      <c r="M6681">
        <v>0.99987820000000005</v>
      </c>
      <c r="N6681">
        <v>-1.3810309999999999E-2</v>
      </c>
      <c r="O6681">
        <v>7.2690100000000002E-3</v>
      </c>
      <c r="P6681">
        <v>0.99013490000000004</v>
      </c>
      <c r="Q6681">
        <v>-0.1234532</v>
      </c>
      <c r="R6681">
        <v>6.6273509999999994E-2</v>
      </c>
      <c r="S6681">
        <v>2.6699830000000002</v>
      </c>
      <c r="T6681">
        <v>-2.8580950000000001</v>
      </c>
      <c r="U6681">
        <v>1.7715450000000001E-2</v>
      </c>
      <c r="V6681">
        <v>-5.9035030000000002E-2</v>
      </c>
      <c r="W6681">
        <v>-0.109782</v>
      </c>
      <c r="X6681">
        <v>0.992201</v>
      </c>
      <c r="Y6681">
        <v>-1.8032600000000001E-3</v>
      </c>
      <c r="Z6681">
        <v>-5.433823E-3</v>
      </c>
      <c r="AA6681">
        <v>0.99998359999999997</v>
      </c>
      <c r="AB6681">
        <v>22</v>
      </c>
      <c r="AC6681">
        <v>0.861900000000005</v>
      </c>
      <c r="AD6681">
        <v>-1.1093340533610001</v>
      </c>
      <c r="AE6681">
        <v>5.3999999999802999E-3</v>
      </c>
      <c r="AF6681">
        <v>3.2595407192874301E-4</v>
      </c>
      <c r="AG6681">
        <v>-1.1093340533610001</v>
      </c>
      <c r="AH6681">
        <v>0.324454530514454</v>
      </c>
      <c r="AI6681">
        <v>163.69701602618699</v>
      </c>
      <c r="AJ6681">
        <v>89.942439434197198</v>
      </c>
      <c r="AK6681">
        <v>1.1558083277792</v>
      </c>
      <c r="AL6681">
        <v>96.302748833932398</v>
      </c>
      <c r="AM6681">
        <v>93.405030898517694</v>
      </c>
      <c r="AN6681">
        <v>1.00000002334605</v>
      </c>
    </row>
    <row r="6682" spans="1:40" x14ac:dyDescent="0.25">
      <c r="A6682" t="str">
        <f>"20190304164540649"</f>
        <v>20190304164540649</v>
      </c>
      <c r="B6682" t="str">
        <f>"1551689140636702"</f>
        <v>1551689140636702</v>
      </c>
      <c r="C6682" t="s">
        <v>40</v>
      </c>
      <c r="D6682">
        <v>5.4500140000000004</v>
      </c>
      <c r="E6682">
        <v>0.536462199999999</v>
      </c>
      <c r="F6682" t="s">
        <v>42</v>
      </c>
      <c r="G6682">
        <v>-123.595</v>
      </c>
      <c r="H6682" s="1">
        <v>-3.1306530000000001E-6</v>
      </c>
      <c r="I6682">
        <v>137.35769999999999</v>
      </c>
      <c r="J6682">
        <v>-124.4276</v>
      </c>
      <c r="K6682">
        <v>1.1094090000000001</v>
      </c>
      <c r="L6682">
        <v>137.35390000000001</v>
      </c>
      <c r="M6682">
        <v>0.99987040000000005</v>
      </c>
      <c r="N6682">
        <v>-1.422494E-2</v>
      </c>
      <c r="O6682">
        <v>7.5355530000000004E-3</v>
      </c>
      <c r="P6682">
        <v>0.990174</v>
      </c>
      <c r="Q6682">
        <v>-0.12338689999999999</v>
      </c>
      <c r="R6682">
        <v>6.5812979999999993E-2</v>
      </c>
      <c r="S6682">
        <v>2.6740569999999999</v>
      </c>
      <c r="T6682">
        <v>-2.8461630000000002</v>
      </c>
      <c r="U6682">
        <v>1.4450070000000001E-2</v>
      </c>
      <c r="V6682">
        <v>-5.8311880000000003E-2</v>
      </c>
      <c r="W6682">
        <v>-0.10930230000000001</v>
      </c>
      <c r="X6682">
        <v>0.99229670000000003</v>
      </c>
      <c r="Y6682">
        <v>-8.4694740000000005E-4</v>
      </c>
      <c r="Z6682">
        <v>-6.0585559999999997E-3</v>
      </c>
      <c r="AA6682">
        <v>0.99998129999999996</v>
      </c>
      <c r="AB6682">
        <v>22</v>
      </c>
      <c r="AC6682">
        <v>0.83259999999999901</v>
      </c>
      <c r="AD6682">
        <v>-1.109412130653</v>
      </c>
      <c r="AE6682">
        <v>3.7999999999840301E-3</v>
      </c>
      <c r="AF6682">
        <v>8.9169710248664395E-4</v>
      </c>
      <c r="AG6682">
        <v>-1.109412130653</v>
      </c>
      <c r="AH6682">
        <v>0.29999117046333701</v>
      </c>
      <c r="AI6682">
        <v>164.868707131066</v>
      </c>
      <c r="AJ6682">
        <v>89.829693887213196</v>
      </c>
      <c r="AK6682">
        <v>1.1492566176097101</v>
      </c>
      <c r="AL6682">
        <v>96.275097767069894</v>
      </c>
      <c r="AM6682">
        <v>93.363093663622607</v>
      </c>
      <c r="AN6682">
        <v>1.00000000448265</v>
      </c>
    </row>
    <row r="6683" spans="1:40" x14ac:dyDescent="0.25">
      <c r="A6683" t="str">
        <f>"20190304164540670"</f>
        <v>20190304164540670</v>
      </c>
      <c r="B6683" t="str">
        <f>"1551689140666958"</f>
        <v>1551689140666958</v>
      </c>
      <c r="C6683" t="s">
        <v>40</v>
      </c>
      <c r="D6683">
        <v>5.4386640000000002</v>
      </c>
      <c r="E6683">
        <v>0.53699980000000003</v>
      </c>
      <c r="F6683" t="s">
        <v>42</v>
      </c>
      <c r="G6683">
        <v>-123.3823</v>
      </c>
      <c r="H6683" s="1">
        <v>-3.221852E-6</v>
      </c>
      <c r="I6683">
        <v>137.358</v>
      </c>
      <c r="J6683">
        <v>-124.21639999999999</v>
      </c>
      <c r="K6683">
        <v>1.1095079999999999</v>
      </c>
      <c r="L6683">
        <v>137.35579999999999</v>
      </c>
      <c r="M6683">
        <v>0.99986149999999996</v>
      </c>
      <c r="N6683">
        <v>-1.470516E-2</v>
      </c>
      <c r="O6683">
        <v>7.7967929999999998E-3</v>
      </c>
      <c r="P6683">
        <v>0.99035379999999995</v>
      </c>
      <c r="Q6683">
        <v>-0.12188740000000001</v>
      </c>
      <c r="R6683">
        <v>6.5901249999999995E-2</v>
      </c>
      <c r="S6683">
        <v>2.675262</v>
      </c>
      <c r="T6683">
        <v>-2.8393280000000001</v>
      </c>
      <c r="U6683">
        <v>1.0528559999999999E-2</v>
      </c>
      <c r="V6683">
        <v>-5.8141379999999999E-2</v>
      </c>
      <c r="W6683">
        <v>-0.10732319999999999</v>
      </c>
      <c r="X6683">
        <v>0.99252269999999998</v>
      </c>
      <c r="Y6683">
        <v>2.6449820000000001E-4</v>
      </c>
      <c r="Z6683">
        <v>-6.7552899999999997E-3</v>
      </c>
      <c r="AA6683">
        <v>0.99997720000000001</v>
      </c>
      <c r="AB6683">
        <v>22</v>
      </c>
      <c r="AC6683">
        <v>0.83409999999999196</v>
      </c>
      <c r="AD6683">
        <v>-1.109511221852</v>
      </c>
      <c r="AE6683">
        <v>2.2000000000161799E-3</v>
      </c>
      <c r="AF6683">
        <v>1.55415865311935E-3</v>
      </c>
      <c r="AG6683">
        <v>-1.109511221852</v>
      </c>
      <c r="AH6683">
        <v>0.30118224654369102</v>
      </c>
      <c r="AI6683">
        <v>164.81256542347299</v>
      </c>
      <c r="AJ6683">
        <v>89.704345318539893</v>
      </c>
      <c r="AK6683">
        <v>1.1496644347189899</v>
      </c>
      <c r="AL6683">
        <v>96.161032640399696</v>
      </c>
      <c r="AM6683">
        <v>93.352520867678393</v>
      </c>
      <c r="AN6683">
        <v>0.99999999967091702</v>
      </c>
    </row>
    <row r="6684" spans="1:40" x14ac:dyDescent="0.25">
      <c r="A6684" t="str">
        <f>"20190304164540693"</f>
        <v>20190304164540693</v>
      </c>
      <c r="B6684" t="str">
        <f>"1551689140686477"</f>
        <v>1551689140686477</v>
      </c>
      <c r="C6684" t="s">
        <v>40</v>
      </c>
      <c r="D6684">
        <v>5.1026899999999999</v>
      </c>
      <c r="E6684">
        <v>0.53800819999999905</v>
      </c>
      <c r="F6684" t="s">
        <v>42</v>
      </c>
      <c r="G6684">
        <v>-123.16419999999999</v>
      </c>
      <c r="H6684" s="1">
        <v>-3.3153630000000001E-6</v>
      </c>
      <c r="I6684">
        <v>137.35830000000001</v>
      </c>
      <c r="J6684">
        <v>-123.9969</v>
      </c>
      <c r="K6684">
        <v>1.1096159999999999</v>
      </c>
      <c r="L6684">
        <v>137.3578</v>
      </c>
      <c r="M6684">
        <v>0.99985159999999995</v>
      </c>
      <c r="N6684">
        <v>-1.522154E-2</v>
      </c>
      <c r="O6684">
        <v>8.0619990000000002E-3</v>
      </c>
      <c r="P6684">
        <v>0.99084729999999999</v>
      </c>
      <c r="Q6684">
        <v>-0.11761389999999999</v>
      </c>
      <c r="R6684">
        <v>6.6247199999999895E-2</v>
      </c>
      <c r="S6684">
        <v>2.6808930000000002</v>
      </c>
      <c r="T6684">
        <v>-2.8267259999999998</v>
      </c>
      <c r="U6684">
        <v>6.4086909999999898E-3</v>
      </c>
      <c r="V6684">
        <v>-5.822161E-2</v>
      </c>
      <c r="W6684">
        <v>-0.1025301</v>
      </c>
      <c r="X6684">
        <v>0.99302460000000004</v>
      </c>
      <c r="Y6684">
        <v>1.452025E-3</v>
      </c>
      <c r="Z6684">
        <v>-7.466968E-3</v>
      </c>
      <c r="AA6684">
        <v>0.9999711</v>
      </c>
      <c r="AB6684">
        <v>22</v>
      </c>
      <c r="AC6684">
        <v>0.83270000000000199</v>
      </c>
      <c r="AD6684">
        <v>-1.1096193153629901</v>
      </c>
      <c r="AE6684">
        <v>5.0000000001659795E-4</v>
      </c>
      <c r="AF6684">
        <v>2.2387183651045601E-3</v>
      </c>
      <c r="AG6684">
        <v>-1.1096193153629901</v>
      </c>
      <c r="AH6684">
        <v>0.29998759633230898</v>
      </c>
      <c r="AI6684">
        <v>164.87123669165399</v>
      </c>
      <c r="AJ6684">
        <v>89.572426545958805</v>
      </c>
      <c r="AK6684">
        <v>1.14945752198148</v>
      </c>
      <c r="AL6684">
        <v>95.884883511355895</v>
      </c>
      <c r="AM6684">
        <v>93.355443573828296</v>
      </c>
      <c r="AN6684">
        <v>1.0000000167410801</v>
      </c>
    </row>
    <row r="6685" spans="1:40" x14ac:dyDescent="0.25">
      <c r="A6685" t="str">
        <f>"20190304164540715"</f>
        <v>20190304164540715</v>
      </c>
      <c r="B6685" t="str">
        <f>"1551689140706974"</f>
        <v>1551689140706974</v>
      </c>
      <c r="C6685" t="s">
        <v>40</v>
      </c>
      <c r="D6685">
        <v>5.4300480000000002</v>
      </c>
      <c r="E6685">
        <v>0.53839780000000004</v>
      </c>
      <c r="F6685" t="s">
        <v>42</v>
      </c>
      <c r="G6685">
        <v>-122.9278</v>
      </c>
      <c r="H6685" s="1">
        <v>-3.4170090000000001E-6</v>
      </c>
      <c r="I6685">
        <v>137.3569</v>
      </c>
      <c r="J6685">
        <v>-123.78789999999999</v>
      </c>
      <c r="K6685">
        <v>1.1097539999999999</v>
      </c>
      <c r="L6685">
        <v>137.35980000000001</v>
      </c>
      <c r="M6685">
        <v>0.99984130000000004</v>
      </c>
      <c r="N6685">
        <v>-1.5761310000000001E-2</v>
      </c>
      <c r="O6685">
        <v>8.3125739999999997E-3</v>
      </c>
      <c r="P6685">
        <v>0.99188639999999995</v>
      </c>
      <c r="Q6685">
        <v>-0.10796939999999999</v>
      </c>
      <c r="R6685">
        <v>6.7115549999999996E-2</v>
      </c>
      <c r="S6685">
        <v>2.6957550000000001</v>
      </c>
      <c r="T6685">
        <v>-2.7979280000000002</v>
      </c>
      <c r="U6685">
        <v>-2.1972659999999998E-3</v>
      </c>
      <c r="V6685">
        <v>-5.8836010000000001E-2</v>
      </c>
      <c r="W6685">
        <v>-9.2334280000000005E-2</v>
      </c>
      <c r="X6685">
        <v>0.99398830000000005</v>
      </c>
      <c r="Y6685">
        <v>3.8398500000000001E-3</v>
      </c>
      <c r="Z6685">
        <v>-8.6287610000000004E-3</v>
      </c>
      <c r="AA6685">
        <v>0.99995540000000005</v>
      </c>
      <c r="AB6685">
        <v>21</v>
      </c>
      <c r="AC6685">
        <v>0.86009999999998799</v>
      </c>
      <c r="AD6685">
        <v>-1.1097574170090001</v>
      </c>
      <c r="AE6685">
        <v>-2.9000000000110001E-3</v>
      </c>
      <c r="AF6685">
        <v>3.77159990500525E-3</v>
      </c>
      <c r="AG6685">
        <v>-1.1097574170090001</v>
      </c>
      <c r="AH6685">
        <v>0.32274731237847498</v>
      </c>
      <c r="AI6685">
        <v>163.78309901580701</v>
      </c>
      <c r="AJ6685">
        <v>89.330476467790703</v>
      </c>
      <c r="AK6685">
        <v>1.1557428681241599</v>
      </c>
      <c r="AL6685">
        <v>95.297910712842196</v>
      </c>
      <c r="AM6685">
        <v>93.387490863280703</v>
      </c>
      <c r="AN6685">
        <v>1.00000001793636</v>
      </c>
    </row>
    <row r="6686" spans="1:40" x14ac:dyDescent="0.25">
      <c r="A6686" t="str">
        <f>"20190304164540738"</f>
        <v>20190304164540738</v>
      </c>
      <c r="B6686" t="str">
        <f>"1551689140726494"</f>
        <v>1551689140726494</v>
      </c>
      <c r="C6686" t="s">
        <v>40</v>
      </c>
      <c r="D6686">
        <v>5.4849329999999998</v>
      </c>
      <c r="E6686">
        <v>0.5540041</v>
      </c>
      <c r="F6686" t="s">
        <v>42</v>
      </c>
      <c r="G6686">
        <v>-122.69459999999999</v>
      </c>
      <c r="H6686" s="1">
        <v>-3.5167600000000001E-6</v>
      </c>
      <c r="I6686">
        <v>137.3587</v>
      </c>
      <c r="J6686">
        <v>-123.57599999999999</v>
      </c>
      <c r="K6686">
        <v>1.10989</v>
      </c>
      <c r="L6686">
        <v>137.36189999999999</v>
      </c>
      <c r="M6686">
        <v>0.99983160000000004</v>
      </c>
      <c r="N6686">
        <v>-1.623111E-2</v>
      </c>
      <c r="O6686">
        <v>8.5727219999999996E-3</v>
      </c>
      <c r="P6686">
        <v>0.99338590000000004</v>
      </c>
      <c r="Q6686">
        <v>-9.2160359999999997E-2</v>
      </c>
      <c r="R6686">
        <v>6.8492810000000001E-2</v>
      </c>
      <c r="S6686">
        <v>2.7238009999999999</v>
      </c>
      <c r="T6686">
        <v>-2.7646570000000001</v>
      </c>
      <c r="U6686">
        <v>-2.8076170000000001E-3</v>
      </c>
      <c r="V6686">
        <v>-5.9947279999999999E-2</v>
      </c>
      <c r="W6686">
        <v>-7.6035950000000005E-2</v>
      </c>
      <c r="X6686">
        <v>0.9953014</v>
      </c>
      <c r="Y6686">
        <v>4.2369449999999998E-3</v>
      </c>
      <c r="Z6686">
        <v>-8.8755729999999994E-3</v>
      </c>
      <c r="AA6686">
        <v>0.9999517</v>
      </c>
      <c r="AB6686">
        <v>21</v>
      </c>
      <c r="AC6686">
        <v>0.88140000000001295</v>
      </c>
      <c r="AD6686">
        <v>-1.1098935167599999</v>
      </c>
      <c r="AE6686">
        <v>-3.19999999999254E-3</v>
      </c>
      <c r="AF6686">
        <v>4.1602001641287498E-3</v>
      </c>
      <c r="AG6686">
        <v>-1.1098935167599999</v>
      </c>
      <c r="AH6686">
        <v>0.34085658749136699</v>
      </c>
      <c r="AI6686">
        <v>162.92668926739699</v>
      </c>
      <c r="AJ6686">
        <v>89.300732081304702</v>
      </c>
      <c r="AK6686">
        <v>1.1610616430868499</v>
      </c>
      <c r="AL6686">
        <v>94.360747807579699</v>
      </c>
      <c r="AM6686">
        <v>93.4467768099734</v>
      </c>
      <c r="AN6686">
        <v>1.0000000094568799</v>
      </c>
    </row>
    <row r="6687" spans="1:40" x14ac:dyDescent="0.25">
      <c r="A6687" t="str">
        <f>"20190304164540763"</f>
        <v>20190304164540763</v>
      </c>
      <c r="B6687" t="str">
        <f>"1551689140756750"</f>
        <v>1551689140756750</v>
      </c>
      <c r="C6687" t="s">
        <v>40</v>
      </c>
      <c r="D6687">
        <v>5.5913139999999997</v>
      </c>
      <c r="E6687">
        <v>0.52552650000000001</v>
      </c>
      <c r="F6687" t="s">
        <v>42</v>
      </c>
      <c r="G6687">
        <v>-122.0793</v>
      </c>
      <c r="H6687" s="1">
        <v>-3.7938590000000001E-6</v>
      </c>
      <c r="I6687">
        <v>137.28460000000001</v>
      </c>
      <c r="J6687">
        <v>-123.3445</v>
      </c>
      <c r="K6687">
        <v>1.1099909999999999</v>
      </c>
      <c r="L6687">
        <v>137.36429999999999</v>
      </c>
      <c r="M6687">
        <v>0.99982260000000001</v>
      </c>
      <c r="N6687">
        <v>-1.662377E-2</v>
      </c>
      <c r="O6687">
        <v>8.8647229999999997E-3</v>
      </c>
      <c r="P6687">
        <v>0.99458950000000002</v>
      </c>
      <c r="Q6687">
        <v>-7.6087470000000004E-2</v>
      </c>
      <c r="R6687">
        <v>7.0730669999999995E-2</v>
      </c>
      <c r="S6687">
        <v>2.8350369999999998</v>
      </c>
      <c r="T6687">
        <v>-2.1022599999999998</v>
      </c>
      <c r="U6687">
        <v>-0.14640810000000001</v>
      </c>
      <c r="V6687">
        <v>-6.1890309999999997E-2</v>
      </c>
      <c r="W6687">
        <v>-5.9554360000000001E-2</v>
      </c>
      <c r="X6687">
        <v>0.99630459999999998</v>
      </c>
      <c r="Y6687">
        <v>4.6638720000000002E-2</v>
      </c>
      <c r="Z6687">
        <v>-2.155139E-2</v>
      </c>
      <c r="AA6687">
        <v>0.99867930000000005</v>
      </c>
      <c r="AB6687">
        <v>21</v>
      </c>
      <c r="AC6687">
        <v>1.2651999999999901</v>
      </c>
      <c r="AD6687">
        <v>-1.109994793859</v>
      </c>
      <c r="AE6687">
        <v>-7.9699999999974097E-2</v>
      </c>
      <c r="AF6687">
        <v>5.1460947360445E-2</v>
      </c>
      <c r="AG6687">
        <v>-1.109994793859</v>
      </c>
      <c r="AH6687">
        <v>0.71572499898368802</v>
      </c>
      <c r="AI6687">
        <v>147.11875106268101</v>
      </c>
      <c r="AJ6687">
        <v>85.8874848859748</v>
      </c>
      <c r="AK6687">
        <v>1.3217408768996699</v>
      </c>
      <c r="AL6687">
        <v>93.414233754381797</v>
      </c>
      <c r="AM6687">
        <v>93.554638636515705</v>
      </c>
      <c r="AN6687">
        <v>0.99999999412403195</v>
      </c>
    </row>
    <row r="6688" spans="1:40" x14ac:dyDescent="0.25">
      <c r="A6688" t="str">
        <f>"20190304164540807"</f>
        <v>20190304164540807</v>
      </c>
      <c r="B6688" t="str">
        <f>"1551689140796766"</f>
        <v>1551689140796766</v>
      </c>
      <c r="C6688" t="s">
        <v>40</v>
      </c>
      <c r="D6688">
        <v>5.4333320000000001</v>
      </c>
      <c r="E6688">
        <v>0.51230439999999999</v>
      </c>
      <c r="F6688" t="s">
        <v>41</v>
      </c>
      <c r="G6688">
        <v>-122.5719</v>
      </c>
      <c r="H6688">
        <v>0.90708659999999997</v>
      </c>
      <c r="I6688">
        <v>137.37299999999999</v>
      </c>
      <c r="J6688">
        <v>-122.9301</v>
      </c>
      <c r="K6688">
        <v>1.1101639999999999</v>
      </c>
      <c r="L6688">
        <v>137.36859999999999</v>
      </c>
      <c r="M6688">
        <v>0.99980610000000003</v>
      </c>
      <c r="N6688">
        <v>-1.730781E-2</v>
      </c>
      <c r="O6688">
        <v>9.4089020000000002E-3</v>
      </c>
      <c r="P6688">
        <v>0.99569350000000001</v>
      </c>
      <c r="Q6688">
        <v>-5.4551620000000002E-2</v>
      </c>
      <c r="R6688">
        <v>7.4960079999999998E-2</v>
      </c>
      <c r="S6688">
        <v>2.95459</v>
      </c>
      <c r="T6688">
        <v>-0.7759104</v>
      </c>
      <c r="U6688">
        <v>3.3569340000000003E-2</v>
      </c>
      <c r="V6688">
        <v>-6.5574080000000007E-2</v>
      </c>
      <c r="W6688">
        <v>-3.7321350000000003E-2</v>
      </c>
      <c r="X6688">
        <v>0.99714950000000002</v>
      </c>
      <c r="Y6688">
        <v>-2.1512020000000001E-3</v>
      </c>
      <c r="Z6688">
        <v>-1.9725419999999999E-3</v>
      </c>
      <c r="AA6688">
        <v>0.99999579999999999</v>
      </c>
      <c r="AB6688">
        <v>21</v>
      </c>
      <c r="AC6688">
        <v>0.35819999999999602</v>
      </c>
      <c r="AD6688">
        <v>-0.20307739999999999</v>
      </c>
      <c r="AE6688">
        <v>4.4000000000039502E-3</v>
      </c>
      <c r="AF6688">
        <v>-7.7876101547363203E-4</v>
      </c>
      <c r="AG6688">
        <v>-0.20307739999999999</v>
      </c>
      <c r="AH6688">
        <v>0.27110144063667801</v>
      </c>
      <c r="AI6688">
        <v>126.836132773366</v>
      </c>
      <c r="AJ6688">
        <v>90.164586350415107</v>
      </c>
      <c r="AK6688">
        <v>0.33872854614685399</v>
      </c>
      <c r="AL6688">
        <v>92.138852599168004</v>
      </c>
      <c r="AM6688">
        <v>93.762440892168698</v>
      </c>
      <c r="AN6688">
        <v>0.99999998424195902</v>
      </c>
    </row>
    <row r="6689" spans="1:40" x14ac:dyDescent="0.25">
      <c r="A6689" t="str">
        <f>"20190304164540831"</f>
        <v>20190304164540831</v>
      </c>
      <c r="B6689" t="str">
        <f>"1551689140827021"</f>
        <v>1551689140827021</v>
      </c>
      <c r="C6689" t="s">
        <v>40</v>
      </c>
      <c r="D6689">
        <v>5.4775210000000003</v>
      </c>
      <c r="E6689">
        <v>0.50767269999999998</v>
      </c>
      <c r="F6689" t="s">
        <v>41</v>
      </c>
      <c r="G6689">
        <v>-122.16549999999999</v>
      </c>
      <c r="H6689">
        <v>0.98521270000000005</v>
      </c>
      <c r="I6689">
        <v>137.40530000000001</v>
      </c>
      <c r="J6689">
        <v>-122.7089</v>
      </c>
      <c r="K6689">
        <v>1.110241</v>
      </c>
      <c r="L6689">
        <v>137.37110000000001</v>
      </c>
      <c r="M6689">
        <v>0.99979560000000001</v>
      </c>
      <c r="N6689">
        <v>-1.7724739999999999E-2</v>
      </c>
      <c r="O6689">
        <v>9.7226929999999993E-3</v>
      </c>
      <c r="P6689">
        <v>0.99578659999999997</v>
      </c>
      <c r="Q6689">
        <v>-5.1026719999999998E-2</v>
      </c>
      <c r="R6689">
        <v>7.6192720000000005E-2</v>
      </c>
      <c r="S6689">
        <v>2.9755400000000001</v>
      </c>
      <c r="T6689">
        <v>-0.48635440000000002</v>
      </c>
      <c r="U6689">
        <v>0.1431732</v>
      </c>
      <c r="V6689">
        <v>-6.6493869999999997E-2</v>
      </c>
      <c r="W6689">
        <v>-3.3380449999999999E-2</v>
      </c>
      <c r="X6689">
        <v>0.99722829999999996</v>
      </c>
      <c r="Y6689">
        <v>-3.7891290000000001E-2</v>
      </c>
      <c r="Z6689">
        <v>2.0065510000000001E-3</v>
      </c>
      <c r="AA6689">
        <v>0.9992799</v>
      </c>
      <c r="AB6689">
        <v>21</v>
      </c>
      <c r="AC6689">
        <v>0.54340000000000499</v>
      </c>
      <c r="AD6689">
        <v>-0.12502829999999901</v>
      </c>
      <c r="AE6689">
        <v>3.4199999999998398E-2</v>
      </c>
      <c r="AF6689">
        <v>-2.7465952516940201E-2</v>
      </c>
      <c r="AG6689">
        <v>-0.12502829999999901</v>
      </c>
      <c r="AH6689">
        <v>0.51647307852037405</v>
      </c>
      <c r="AI6689">
        <v>103.589927041596</v>
      </c>
      <c r="AJ6689">
        <v>93.0441125177488</v>
      </c>
      <c r="AK6689">
        <v>0.53210045591491995</v>
      </c>
      <c r="AL6689">
        <v>91.912914288259103</v>
      </c>
      <c r="AM6689">
        <v>93.814760290018796</v>
      </c>
      <c r="AN6689">
        <v>0.999999985755334</v>
      </c>
    </row>
    <row r="6690" spans="1:40" x14ac:dyDescent="0.25">
      <c r="A6690" t="str">
        <f>"20190304164540862"</f>
        <v>20190304164540862</v>
      </c>
      <c r="B6690" t="str">
        <f>"1551689140857277"</f>
        <v>1551689140857277</v>
      </c>
      <c r="C6690" t="s">
        <v>40</v>
      </c>
      <c r="D6690">
        <v>5.4377250000000004</v>
      </c>
      <c r="E6690">
        <v>0.50698940000000003</v>
      </c>
      <c r="F6690" t="s">
        <v>42</v>
      </c>
      <c r="G6690">
        <v>-110.8777</v>
      </c>
      <c r="H6690" s="1">
        <v>-4.1718280000000004E-6</v>
      </c>
      <c r="I6690">
        <v>138.06</v>
      </c>
      <c r="J6690">
        <v>-122.45</v>
      </c>
      <c r="K6690">
        <v>1.1103540000000001</v>
      </c>
      <c r="L6690">
        <v>137.3741</v>
      </c>
      <c r="M6690">
        <v>0.99978330000000004</v>
      </c>
      <c r="N6690">
        <v>-1.8189759999999999E-2</v>
      </c>
      <c r="O6690">
        <v>1.012889E-2</v>
      </c>
      <c r="P6690">
        <v>0.99619539999999995</v>
      </c>
      <c r="Q6690">
        <v>-4.1283979999999998E-2</v>
      </c>
      <c r="R6690">
        <v>7.6749100000000001E-2</v>
      </c>
      <c r="S6690">
        <v>2.9850310000000002</v>
      </c>
      <c r="T6690">
        <v>-0.28011409999999998</v>
      </c>
      <c r="U6690">
        <v>0.17381289999999999</v>
      </c>
      <c r="V6690">
        <v>-6.6643889999999997E-2</v>
      </c>
      <c r="W6690">
        <v>-2.317054E-2</v>
      </c>
      <c r="X6690">
        <v>0.99750779999999994</v>
      </c>
      <c r="Y6690">
        <v>-4.7792000000000001E-2</v>
      </c>
      <c r="Z6690">
        <v>1.908061E-3</v>
      </c>
      <c r="AA6690">
        <v>0.99885550000000001</v>
      </c>
      <c r="AB6690">
        <v>21</v>
      </c>
      <c r="AC6690">
        <v>11.572299999999901</v>
      </c>
      <c r="AD6690">
        <v>-1.110358171828</v>
      </c>
      <c r="AE6690">
        <v>0.68590000000000295</v>
      </c>
      <c r="AF6690">
        <v>-0.56346160224717501</v>
      </c>
      <c r="AG6690">
        <v>-1.110358171828</v>
      </c>
      <c r="AH6690">
        <v>11.473396548881301</v>
      </c>
      <c r="AI6690">
        <v>95.521073253698802</v>
      </c>
      <c r="AJ6690">
        <v>92.811552335124901</v>
      </c>
      <c r="AK6690">
        <v>11.5407630863316</v>
      </c>
      <c r="AL6690">
        <v>91.327692907949697</v>
      </c>
      <c r="AM6690">
        <v>93.822273337110403</v>
      </c>
      <c r="AN6690">
        <v>1.00000004652953</v>
      </c>
    </row>
    <row r="6691" spans="1:40" x14ac:dyDescent="0.25">
      <c r="A6691" t="str">
        <f>"20190304164540883"</f>
        <v>20190304164540883</v>
      </c>
      <c r="B6691" t="str">
        <f>"1551689140876798"</f>
        <v>1551689140876798</v>
      </c>
      <c r="C6691" t="s">
        <v>40</v>
      </c>
      <c r="D6691">
        <v>5.396325</v>
      </c>
      <c r="E6691">
        <v>0.50708120000000001</v>
      </c>
      <c r="F6691" t="s">
        <v>42</v>
      </c>
      <c r="G6691">
        <v>-109.0855</v>
      </c>
      <c r="H6691" s="1">
        <v>-7.1690740000000002E-7</v>
      </c>
      <c r="I6691">
        <v>138.1824</v>
      </c>
      <c r="J6691">
        <v>-122.24460000000001</v>
      </c>
      <c r="K6691">
        <v>1.1104339999999999</v>
      </c>
      <c r="L6691">
        <v>137.3766</v>
      </c>
      <c r="M6691">
        <v>0.99977329999999998</v>
      </c>
      <c r="N6691">
        <v>-1.8537689999999999E-2</v>
      </c>
      <c r="O6691">
        <v>1.0486570000000001E-2</v>
      </c>
      <c r="P6691">
        <v>0.9963552</v>
      </c>
      <c r="Q6691">
        <v>-3.5937150000000001E-2</v>
      </c>
      <c r="R6691">
        <v>7.7365310000000007E-2</v>
      </c>
      <c r="S6691">
        <v>2.987244</v>
      </c>
      <c r="T6691">
        <v>-0.24818899999999999</v>
      </c>
      <c r="U6691">
        <v>0.18067929999999999</v>
      </c>
      <c r="V6691">
        <v>-6.6903260000000006E-2</v>
      </c>
      <c r="W6691">
        <v>-1.7477349999999999E-2</v>
      </c>
      <c r="X6691">
        <v>0.9976064</v>
      </c>
      <c r="Y6691">
        <v>-4.9713479999999997E-2</v>
      </c>
      <c r="Z6691">
        <v>1.8470699999999999E-3</v>
      </c>
      <c r="AA6691">
        <v>0.99876180000000003</v>
      </c>
      <c r="AB6691">
        <v>20</v>
      </c>
      <c r="AC6691">
        <v>13.1591</v>
      </c>
      <c r="AD6691">
        <v>-1.11043471690739</v>
      </c>
      <c r="AE6691">
        <v>0.80580000000000496</v>
      </c>
      <c r="AF6691">
        <v>-0.66303440503631506</v>
      </c>
      <c r="AG6691">
        <v>-1.11043471690739</v>
      </c>
      <c r="AH6691">
        <v>13.0740765784854</v>
      </c>
      <c r="AI6691">
        <v>94.8485121517067</v>
      </c>
      <c r="AJ6691">
        <v>92.903192075105096</v>
      </c>
      <c r="AK6691">
        <v>13.137890175476199</v>
      </c>
      <c r="AL6691">
        <v>91.001429362215504</v>
      </c>
      <c r="AM6691">
        <v>93.8367266983566</v>
      </c>
      <c r="AN6691">
        <v>1.0000000166412999</v>
      </c>
    </row>
    <row r="6692" spans="1:40" x14ac:dyDescent="0.25">
      <c r="A6692" t="str">
        <f>"20190304164540905"</f>
        <v>20190304164540905</v>
      </c>
      <c r="B6692" t="str">
        <f>"1551689140897294"</f>
        <v>1551689140897294</v>
      </c>
      <c r="C6692" t="s">
        <v>40</v>
      </c>
      <c r="D6692">
        <v>5.4063780000000001</v>
      </c>
      <c r="E6692">
        <v>0.50746049999999998</v>
      </c>
      <c r="F6692" t="s">
        <v>42</v>
      </c>
      <c r="G6692">
        <v>-108.4091</v>
      </c>
      <c r="H6692" s="1">
        <v>-9.8029469999999894E-7</v>
      </c>
      <c r="I6692">
        <v>138.21940000000001</v>
      </c>
      <c r="J6692">
        <v>-122.05070000000001</v>
      </c>
      <c r="K6692">
        <v>1.1104989999999999</v>
      </c>
      <c r="L6692">
        <v>137.37909999999999</v>
      </c>
      <c r="M6692">
        <v>0.99976310000000002</v>
      </c>
      <c r="N6692">
        <v>-1.8865949999999999E-2</v>
      </c>
      <c r="O6692">
        <v>1.085654E-2</v>
      </c>
      <c r="P6692">
        <v>0.99636130000000001</v>
      </c>
      <c r="Q6692">
        <v>-3.2416279999999999E-2</v>
      </c>
      <c r="R6692">
        <v>7.8823119999999997E-2</v>
      </c>
      <c r="S6692">
        <v>2.9881899999999999</v>
      </c>
      <c r="T6692">
        <v>-0.2398325</v>
      </c>
      <c r="U6692">
        <v>0.18202209999999999</v>
      </c>
      <c r="V6692">
        <v>-6.7992330000000004E-2</v>
      </c>
      <c r="W6692">
        <v>-1.3632409999999999E-2</v>
      </c>
      <c r="X6692">
        <v>0.9975927</v>
      </c>
      <c r="Y6692">
        <v>-4.9782310000000003E-2</v>
      </c>
      <c r="Z6692">
        <v>1.799078E-3</v>
      </c>
      <c r="AA6692">
        <v>0.99875849999999999</v>
      </c>
      <c r="AB6692">
        <v>20</v>
      </c>
      <c r="AC6692">
        <v>13.6416</v>
      </c>
      <c r="AD6692">
        <v>-1.1104999802947</v>
      </c>
      <c r="AE6692">
        <v>0.84030000000001304</v>
      </c>
      <c r="AF6692">
        <v>-0.68758423699496496</v>
      </c>
      <c r="AG6692">
        <v>-1.1104999802947</v>
      </c>
      <c r="AH6692">
        <v>13.560397232748199</v>
      </c>
      <c r="AI6692">
        <v>94.675689126868406</v>
      </c>
      <c r="AJ6692">
        <v>92.902714697435997</v>
      </c>
      <c r="AK6692">
        <v>13.6231551191023</v>
      </c>
      <c r="AL6692">
        <v>90.781103754687294</v>
      </c>
      <c r="AM6692">
        <v>93.899044290142996</v>
      </c>
      <c r="AN6692">
        <v>0.99999999731726297</v>
      </c>
    </row>
    <row r="6693" spans="1:40" x14ac:dyDescent="0.25">
      <c r="A6693" t="str">
        <f>"20190304164540927"</f>
        <v>20190304164540927</v>
      </c>
      <c r="B6693" t="str">
        <f>"1551689140916814"</f>
        <v>1551689140916814</v>
      </c>
      <c r="C6693" t="s">
        <v>40</v>
      </c>
      <c r="D6693">
        <v>5.4124670000000004</v>
      </c>
      <c r="E6693">
        <v>0.50782289999999997</v>
      </c>
      <c r="F6693" t="s">
        <v>42</v>
      </c>
      <c r="G6693">
        <v>-108.1587</v>
      </c>
      <c r="H6693" s="1">
        <v>-1.0964039999999999E-6</v>
      </c>
      <c r="I6693">
        <v>138.232</v>
      </c>
      <c r="J6693">
        <v>-121.8566</v>
      </c>
      <c r="K6693">
        <v>1.110573</v>
      </c>
      <c r="L6693">
        <v>137.38159999999999</v>
      </c>
      <c r="M6693">
        <v>0.99975259999999999</v>
      </c>
      <c r="N6693">
        <v>-1.9190700000000002E-2</v>
      </c>
      <c r="O6693">
        <v>1.126577E-2</v>
      </c>
      <c r="P6693">
        <v>0.99633819999999995</v>
      </c>
      <c r="Q6693">
        <v>-2.9762130000000001E-2</v>
      </c>
      <c r="R6693">
        <v>8.0153500000000003E-2</v>
      </c>
      <c r="S6693">
        <v>2.9886629999999998</v>
      </c>
      <c r="T6693">
        <v>-0.23890900000000001</v>
      </c>
      <c r="U6693">
        <v>0.1835022</v>
      </c>
      <c r="V6693">
        <v>-6.8915729999999994E-2</v>
      </c>
      <c r="W6693">
        <v>-1.065809E-2</v>
      </c>
      <c r="X6693">
        <v>0.99756560000000005</v>
      </c>
      <c r="Y6693">
        <v>-4.9857430000000001E-2</v>
      </c>
      <c r="Z6693">
        <v>1.7851379999999999E-3</v>
      </c>
      <c r="AA6693">
        <v>0.9987547</v>
      </c>
      <c r="AB6693">
        <v>20</v>
      </c>
      <c r="AC6693">
        <v>13.697900000000001</v>
      </c>
      <c r="AD6693">
        <v>-1.1105740964040001</v>
      </c>
      <c r="AE6693">
        <v>0.85040000000000704</v>
      </c>
      <c r="AF6693">
        <v>-0.69147239154186801</v>
      </c>
      <c r="AG6693">
        <v>-1.1105740964040001</v>
      </c>
      <c r="AH6693">
        <v>13.6174439555724</v>
      </c>
      <c r="AI6693">
        <v>94.656480093159601</v>
      </c>
      <c r="AJ6693">
        <v>92.906892880720903</v>
      </c>
      <c r="AK6693">
        <v>13.680142132851699</v>
      </c>
      <c r="AL6693">
        <v>90.610675106399896</v>
      </c>
      <c r="AM6693">
        <v>93.951937347014393</v>
      </c>
      <c r="AN6693">
        <v>1.0000000495136101</v>
      </c>
    </row>
    <row r="6694" spans="1:40" x14ac:dyDescent="0.25">
      <c r="A6694" t="str">
        <f>"20190304164540950"</f>
        <v>20190304164540950</v>
      </c>
      <c r="B6694" t="str">
        <f>"1551689140947069"</f>
        <v>1551689140947069</v>
      </c>
      <c r="C6694" t="s">
        <v>40</v>
      </c>
      <c r="D6694">
        <v>5.3827099999999897</v>
      </c>
      <c r="E6694">
        <v>0.50845549999999995</v>
      </c>
      <c r="F6694" t="s">
        <v>42</v>
      </c>
      <c r="G6694">
        <v>-108.2694</v>
      </c>
      <c r="H6694" s="1">
        <v>-1.0458189999999999E-6</v>
      </c>
      <c r="I6694">
        <v>138.22229999999999</v>
      </c>
      <c r="J6694">
        <v>-121.6563</v>
      </c>
      <c r="K6694">
        <v>1.1106389999999999</v>
      </c>
      <c r="L6694">
        <v>137.3845</v>
      </c>
      <c r="M6694">
        <v>0.99974079999999999</v>
      </c>
      <c r="N6694">
        <v>-1.9514799999999999E-2</v>
      </c>
      <c r="O6694">
        <v>1.17331E-2</v>
      </c>
      <c r="P6694">
        <v>0.99630220000000003</v>
      </c>
      <c r="Q6694">
        <v>-2.6883730000000002E-2</v>
      </c>
      <c r="R6694">
        <v>8.1606230000000002E-2</v>
      </c>
      <c r="S6694">
        <v>2.9888460000000001</v>
      </c>
      <c r="T6694">
        <v>-0.24429819999999999</v>
      </c>
      <c r="U6694">
        <v>0.18492130000000001</v>
      </c>
      <c r="V6694">
        <v>-6.9904279999999999E-2</v>
      </c>
      <c r="W6694">
        <v>-7.460688E-3</v>
      </c>
      <c r="X6694">
        <v>0.99752580000000002</v>
      </c>
      <c r="Y6694">
        <v>-4.9852359999999998E-2</v>
      </c>
      <c r="Z6694">
        <v>1.7920919999999999E-3</v>
      </c>
      <c r="AA6694">
        <v>0.99875499999999995</v>
      </c>
      <c r="AB6694">
        <v>20</v>
      </c>
      <c r="AC6694">
        <v>13.386899999999899</v>
      </c>
      <c r="AD6694">
        <v>-1.110640045819</v>
      </c>
      <c r="AE6694">
        <v>0.837799999999987</v>
      </c>
      <c r="AF6694">
        <v>-0.676007665291116</v>
      </c>
      <c r="AG6694">
        <v>-1.110640045819</v>
      </c>
      <c r="AH6694">
        <v>13.3045899454312</v>
      </c>
      <c r="AI6694">
        <v>94.765751565452305</v>
      </c>
      <c r="AJ6694">
        <v>92.908703421679306</v>
      </c>
      <c r="AK6694">
        <v>13.367969976439101</v>
      </c>
      <c r="AL6694">
        <v>90.427469902087793</v>
      </c>
      <c r="AM6694">
        <v>94.008601161615104</v>
      </c>
      <c r="AN6694">
        <v>0.99999999594669498</v>
      </c>
    </row>
    <row r="6695" spans="1:40" x14ac:dyDescent="0.25">
      <c r="A6695" t="str">
        <f>"20190304164540975"</f>
        <v>20190304164540975</v>
      </c>
      <c r="B6695" t="str">
        <f>"1551689140966590"</f>
        <v>1551689140966590</v>
      </c>
      <c r="C6695" t="s">
        <v>40</v>
      </c>
      <c r="D6695">
        <v>5.3521479999999997</v>
      </c>
      <c r="E6695">
        <v>0.50900710000000005</v>
      </c>
      <c r="F6695" t="s">
        <v>42</v>
      </c>
      <c r="G6695">
        <v>-108.51860000000001</v>
      </c>
      <c r="H6695" s="1">
        <v>-9.3248709999999997E-7</v>
      </c>
      <c r="I6695">
        <v>138.19710000000001</v>
      </c>
      <c r="J6695">
        <v>-121.44970000000001</v>
      </c>
      <c r="K6695">
        <v>1.1107089999999999</v>
      </c>
      <c r="L6695">
        <v>137.38749999999999</v>
      </c>
      <c r="M6695">
        <v>0.99972830000000001</v>
      </c>
      <c r="N6695">
        <v>-1.9830649999999998E-2</v>
      </c>
      <c r="O6695">
        <v>1.225831E-2</v>
      </c>
      <c r="P6695">
        <v>0.99628209999999995</v>
      </c>
      <c r="Q6695">
        <v>-2.3374780000000001E-2</v>
      </c>
      <c r="R6695">
        <v>8.2920969999999997E-2</v>
      </c>
      <c r="S6695">
        <v>2.989166</v>
      </c>
      <c r="T6695">
        <v>-0.25269809999999998</v>
      </c>
      <c r="U6695">
        <v>0.18490599999999999</v>
      </c>
      <c r="V6695">
        <v>-7.0697720000000006E-2</v>
      </c>
      <c r="W6695">
        <v>-3.6408880000000001E-3</v>
      </c>
      <c r="X6695">
        <v>0.99749109999999996</v>
      </c>
      <c r="Y6695">
        <v>-4.9307669999999998E-2</v>
      </c>
      <c r="Z6695">
        <v>1.7782189999999999E-3</v>
      </c>
      <c r="AA6695">
        <v>0.99878199999999995</v>
      </c>
      <c r="AB6695">
        <v>20</v>
      </c>
      <c r="AC6695">
        <v>12.931100000000001</v>
      </c>
      <c r="AD6695">
        <v>-1.1107099324870999</v>
      </c>
      <c r="AE6695">
        <v>0.80960000000001697</v>
      </c>
      <c r="AF6695">
        <v>-0.64624526167412399</v>
      </c>
      <c r="AG6695">
        <v>-1.1107099324870999</v>
      </c>
      <c r="AH6695">
        <v>12.845650948622399</v>
      </c>
      <c r="AI6695">
        <v>94.935625189117403</v>
      </c>
      <c r="AJ6695">
        <v>92.880035870852794</v>
      </c>
      <c r="AK6695">
        <v>12.909765984951299</v>
      </c>
      <c r="AL6695">
        <v>90.208607985494396</v>
      </c>
      <c r="AM6695">
        <v>94.054090001363605</v>
      </c>
      <c r="AN6695">
        <v>0.99999995912891704</v>
      </c>
    </row>
    <row r="6696" spans="1:40" x14ac:dyDescent="0.25">
      <c r="A6696" t="str">
        <f>"20190304164541000"</f>
        <v>20190304164541000</v>
      </c>
      <c r="B6696" t="str">
        <f>"1551689140996845"</f>
        <v>1551689140996845</v>
      </c>
      <c r="C6696" t="s">
        <v>40</v>
      </c>
      <c r="D6696">
        <v>5.2687670000000004</v>
      </c>
      <c r="E6696">
        <v>0.50949449999999996</v>
      </c>
      <c r="F6696" t="s">
        <v>42</v>
      </c>
      <c r="G6696">
        <v>-108.309</v>
      </c>
      <c r="H6696" s="1">
        <v>-1.0310740000000001E-6</v>
      </c>
      <c r="I6696">
        <v>138.19999999999999</v>
      </c>
      <c r="J6696">
        <v>-121.2299</v>
      </c>
      <c r="K6696">
        <v>1.1108370000000001</v>
      </c>
      <c r="L6696">
        <v>137.39089999999999</v>
      </c>
      <c r="M6696">
        <v>0.99970970000000003</v>
      </c>
      <c r="N6696">
        <v>-2.0390229999999999E-2</v>
      </c>
      <c r="O6696">
        <v>1.284658E-2</v>
      </c>
      <c r="P6696">
        <v>0.99621369999999998</v>
      </c>
      <c r="Q6696">
        <v>-1.9987230000000002E-2</v>
      </c>
      <c r="R6696">
        <v>8.4610939999999996E-2</v>
      </c>
      <c r="S6696">
        <v>2.9898989999999999</v>
      </c>
      <c r="T6696">
        <v>-0.252718</v>
      </c>
      <c r="U6696">
        <v>0.1848602</v>
      </c>
      <c r="V6696">
        <v>-7.1803549999999994E-2</v>
      </c>
      <c r="W6696">
        <v>3.0166310000000001E-4</v>
      </c>
      <c r="X6696">
        <v>0.99741880000000005</v>
      </c>
      <c r="Y6696">
        <v>-4.8691869999999998E-2</v>
      </c>
      <c r="Z6696">
        <v>1.7288900000000001E-3</v>
      </c>
      <c r="AA6696">
        <v>0.99881240000000004</v>
      </c>
      <c r="AB6696">
        <v>19</v>
      </c>
      <c r="AC6696">
        <v>12.9209</v>
      </c>
      <c r="AD6696">
        <v>-1.110838031074</v>
      </c>
      <c r="AE6696">
        <v>0.80910000000000004</v>
      </c>
      <c r="AF6696">
        <v>-0.63830987648488902</v>
      </c>
      <c r="AG6696">
        <v>-1.110838031074</v>
      </c>
      <c r="AH6696">
        <v>12.835728546094799</v>
      </c>
      <c r="AI6696">
        <v>94.940130640768203</v>
      </c>
      <c r="AJ6696">
        <v>92.846925183007002</v>
      </c>
      <c r="AK6696">
        <v>12.8995088254837</v>
      </c>
      <c r="AL6696">
        <v>89.982715978166496</v>
      </c>
      <c r="AM6696">
        <v>94.117583731116198</v>
      </c>
      <c r="AN6696">
        <v>1.0000000516933301</v>
      </c>
    </row>
    <row r="6697" spans="1:40" x14ac:dyDescent="0.25">
      <c r="A6697" t="str">
        <f>"20190304164541021"</f>
        <v>20190304164541021</v>
      </c>
      <c r="B6697" t="str">
        <f>"1551689141006606"</f>
        <v>1551689141006606</v>
      </c>
      <c r="C6697" t="s">
        <v>40</v>
      </c>
      <c r="D6697">
        <v>5.2599330000000002</v>
      </c>
      <c r="E6697">
        <v>0.50961559999999995</v>
      </c>
      <c r="F6697" t="s">
        <v>42</v>
      </c>
      <c r="G6697">
        <v>-108.43049999999999</v>
      </c>
      <c r="H6697" s="1">
        <v>-9.7547410000000009E-7</v>
      </c>
      <c r="I6697">
        <v>138.18940000000001</v>
      </c>
      <c r="J6697">
        <v>-121.0609</v>
      </c>
      <c r="K6697">
        <v>1.1111040000000001</v>
      </c>
      <c r="L6697">
        <v>137.39359999999999</v>
      </c>
      <c r="M6697">
        <v>0.99967899999999998</v>
      </c>
      <c r="N6697">
        <v>-2.1588670000000001E-2</v>
      </c>
      <c r="O6697">
        <v>1.326125E-2</v>
      </c>
      <c r="P6697">
        <v>0.99612719999999999</v>
      </c>
      <c r="Q6697">
        <v>-1.865638E-2</v>
      </c>
      <c r="R6697">
        <v>8.5922139999999994E-2</v>
      </c>
      <c r="S6697">
        <v>2.9903409999999999</v>
      </c>
      <c r="T6697">
        <v>-0.25952710000000001</v>
      </c>
      <c r="U6697">
        <v>0.186554</v>
      </c>
      <c r="V6697">
        <v>-7.2703069999999995E-2</v>
      </c>
      <c r="W6697">
        <v>2.829374E-3</v>
      </c>
      <c r="X6697">
        <v>0.99734959999999995</v>
      </c>
      <c r="Y6697">
        <v>-4.8819809999999998E-2</v>
      </c>
      <c r="Z6697">
        <v>1.779435E-3</v>
      </c>
      <c r="AA6697">
        <v>0.99880599999999997</v>
      </c>
      <c r="AB6697">
        <v>19</v>
      </c>
      <c r="AC6697">
        <v>12.6304</v>
      </c>
      <c r="AD6697">
        <v>-1.1111049754741</v>
      </c>
      <c r="AE6697">
        <v>0.79580000000001405</v>
      </c>
      <c r="AF6697">
        <v>-0.62339080749089304</v>
      </c>
      <c r="AG6697">
        <v>-1.1111049754741</v>
      </c>
      <c r="AH6697">
        <v>12.543158903649401</v>
      </c>
      <c r="AI6697">
        <v>95.055984916054001</v>
      </c>
      <c r="AJ6697">
        <v>92.845240008495907</v>
      </c>
      <c r="AK6697">
        <v>12.607696286300101</v>
      </c>
      <c r="AL6697">
        <v>89.837888592115803</v>
      </c>
      <c r="AM6697">
        <v>94.1692743050682</v>
      </c>
      <c r="AN6697">
        <v>0.99999998318240801</v>
      </c>
    </row>
    <row r="6698" spans="1:40" x14ac:dyDescent="0.25">
      <c r="A6698" t="str">
        <f>"20190304164541040"</f>
        <v>20190304164541040</v>
      </c>
      <c r="B6698" t="str">
        <f>"1551689141036861"</f>
        <v>1551689141036861</v>
      </c>
      <c r="C6698" t="s">
        <v>40</v>
      </c>
      <c r="D6698">
        <v>5.1905530000000004</v>
      </c>
      <c r="E6698">
        <v>0.51005319999999998</v>
      </c>
      <c r="F6698" t="s">
        <v>42</v>
      </c>
      <c r="G6698">
        <v>-108.3305</v>
      </c>
      <c r="H6698" s="1">
        <v>-1.020584E-6</v>
      </c>
      <c r="I6698">
        <v>138.20160000000001</v>
      </c>
      <c r="J6698">
        <v>-120.9012</v>
      </c>
      <c r="K6698">
        <v>1.1114010000000001</v>
      </c>
      <c r="L6698">
        <v>137.3963</v>
      </c>
      <c r="M6698">
        <v>0.99964129999999995</v>
      </c>
      <c r="N6698">
        <v>-2.3055840000000001E-2</v>
      </c>
      <c r="O6698">
        <v>1.3632460000000001E-2</v>
      </c>
      <c r="P6698">
        <v>0.99601660000000003</v>
      </c>
      <c r="Q6698">
        <v>-1.8896820000000002E-2</v>
      </c>
      <c r="R6698">
        <v>8.7144840000000001E-2</v>
      </c>
      <c r="S6698">
        <v>2.9904169999999999</v>
      </c>
      <c r="T6698">
        <v>-0.2610034</v>
      </c>
      <c r="U6698">
        <v>0.1898041</v>
      </c>
      <c r="V6698">
        <v>-7.3557349999999994E-2</v>
      </c>
      <c r="W6698">
        <v>4.0553150000000003E-3</v>
      </c>
      <c r="X6698">
        <v>0.99728269999999997</v>
      </c>
      <c r="Y6698">
        <v>-4.9519279999999999E-2</v>
      </c>
      <c r="Z6698">
        <v>1.8550319999999999E-3</v>
      </c>
      <c r="AA6698">
        <v>0.99877139999999998</v>
      </c>
      <c r="AB6698">
        <v>19</v>
      </c>
      <c r="AC6698">
        <v>12.5707</v>
      </c>
      <c r="AD6698">
        <v>-1.1114020205840001</v>
      </c>
      <c r="AE6698">
        <v>0.805300000000016</v>
      </c>
      <c r="AF6698">
        <v>-0.62891406822905105</v>
      </c>
      <c r="AG6698">
        <v>-1.1114020205840001</v>
      </c>
      <c r="AH6698">
        <v>12.4833327179087</v>
      </c>
      <c r="AI6698">
        <v>95.081268439126504</v>
      </c>
      <c r="AJ6698">
        <v>92.884140155331806</v>
      </c>
      <c r="AK6698">
        <v>12.548479712801299</v>
      </c>
      <c r="AL6698">
        <v>89.767646918934403</v>
      </c>
      <c r="AM6698">
        <v>94.218370501852604</v>
      </c>
      <c r="AN6698">
        <v>0.99999995651902895</v>
      </c>
    </row>
    <row r="6699" spans="1:40" x14ac:dyDescent="0.25">
      <c r="A6699" t="str">
        <f>"20190304164541063"</f>
        <v>20190304164541063</v>
      </c>
      <c r="B6699" t="str">
        <f>"1551689141057358"</f>
        <v>1551689141057358</v>
      </c>
      <c r="C6699" t="s">
        <v>40</v>
      </c>
      <c r="D6699">
        <v>5.1876850000000001</v>
      </c>
      <c r="E6699">
        <v>0.51040079999999999</v>
      </c>
      <c r="F6699" t="s">
        <v>42</v>
      </c>
      <c r="G6699">
        <v>-108.8882</v>
      </c>
      <c r="H6699" s="1">
        <v>-7.982438E-7</v>
      </c>
      <c r="I6699">
        <v>138.16159999999999</v>
      </c>
      <c r="J6699">
        <v>-120.7251</v>
      </c>
      <c r="K6699">
        <v>1.111691</v>
      </c>
      <c r="L6699">
        <v>137.39930000000001</v>
      </c>
      <c r="M6699">
        <v>0.99959520000000002</v>
      </c>
      <c r="N6699">
        <v>-2.474848E-2</v>
      </c>
      <c r="O6699">
        <v>1.404352E-2</v>
      </c>
      <c r="P6699">
        <v>0.99587389999999998</v>
      </c>
      <c r="Q6699">
        <v>-1.907346E-2</v>
      </c>
      <c r="R6699">
        <v>8.8721259999999996E-2</v>
      </c>
      <c r="S6699">
        <v>2.9900820000000001</v>
      </c>
      <c r="T6699">
        <v>-0.27663270000000001</v>
      </c>
      <c r="U6699">
        <v>0.19047549999999999</v>
      </c>
      <c r="V6699">
        <v>-7.4725630000000001E-2</v>
      </c>
      <c r="W6699">
        <v>5.5692550000000004E-3</v>
      </c>
      <c r="X6699">
        <v>0.99718859999999998</v>
      </c>
      <c r="Y6699">
        <v>-4.9313639999999999E-2</v>
      </c>
      <c r="Z6699">
        <v>1.9383460000000001E-3</v>
      </c>
      <c r="AA6699">
        <v>0.99878140000000004</v>
      </c>
      <c r="AB6699">
        <v>18</v>
      </c>
      <c r="AC6699">
        <v>11.8369</v>
      </c>
      <c r="AD6699">
        <v>-1.1116917982437999</v>
      </c>
      <c r="AE6699">
        <v>0.76229999999998199</v>
      </c>
      <c r="AF6699">
        <v>-0.59075291946244202</v>
      </c>
      <c r="AG6699">
        <v>-1.1116917982437999</v>
      </c>
      <c r="AH6699">
        <v>11.743286885108599</v>
      </c>
      <c r="AI6699">
        <v>95.401065665341903</v>
      </c>
      <c r="AJ6699">
        <v>92.879870041536094</v>
      </c>
      <c r="AK6699">
        <v>11.8105729976196</v>
      </c>
      <c r="AL6699">
        <v>89.680903550343302</v>
      </c>
      <c r="AM6699">
        <v>94.285524323281294</v>
      </c>
      <c r="AN6699">
        <v>1.0000000201750501</v>
      </c>
    </row>
    <row r="6700" spans="1:40" x14ac:dyDescent="0.25">
      <c r="A6700" t="str">
        <f>"20190304164541083"</f>
        <v>20190304164541083</v>
      </c>
      <c r="B6700" t="str">
        <f>"1551689141076878"</f>
        <v>1551689141076878</v>
      </c>
      <c r="C6700" t="s">
        <v>40</v>
      </c>
      <c r="D6700">
        <v>5.1323970000000001</v>
      </c>
      <c r="E6700">
        <v>0.51076029999999994</v>
      </c>
      <c r="F6700" t="s">
        <v>42</v>
      </c>
      <c r="G6700">
        <v>-109.1135</v>
      </c>
      <c r="H6700" s="1">
        <v>-7.1569879999999997E-7</v>
      </c>
      <c r="I6700">
        <v>138.14660000000001</v>
      </c>
      <c r="J6700">
        <v>-120.565</v>
      </c>
      <c r="K6700">
        <v>1.1117980000000001</v>
      </c>
      <c r="L6700">
        <v>137.40199999999999</v>
      </c>
      <c r="M6700">
        <v>0.9995636</v>
      </c>
      <c r="N6700">
        <v>-2.574651E-2</v>
      </c>
      <c r="O6700">
        <v>1.448613E-2</v>
      </c>
      <c r="P6700">
        <v>0.99574379999999996</v>
      </c>
      <c r="Q6700">
        <v>-1.7519570000000002E-2</v>
      </c>
      <c r="R6700">
        <v>9.0485979999999994E-2</v>
      </c>
      <c r="S6700">
        <v>2.9898220000000002</v>
      </c>
      <c r="T6700">
        <v>-0.28624529999999998</v>
      </c>
      <c r="U6700">
        <v>0.19241330000000001</v>
      </c>
      <c r="V6700">
        <v>-7.6051339999999995E-2</v>
      </c>
      <c r="W6700">
        <v>8.1155040000000008E-3</v>
      </c>
      <c r="X6700">
        <v>0.99707080000000003</v>
      </c>
      <c r="Y6700">
        <v>-4.9504190000000003E-2</v>
      </c>
      <c r="Z6700">
        <v>1.991774E-3</v>
      </c>
      <c r="AA6700">
        <v>0.99877190000000005</v>
      </c>
      <c r="AB6700">
        <v>18</v>
      </c>
      <c r="AC6700">
        <v>11.4514999999999</v>
      </c>
      <c r="AD6700">
        <v>-1.1117987156988001</v>
      </c>
      <c r="AE6700">
        <v>0.74459999999999105</v>
      </c>
      <c r="AF6700">
        <v>-0.57319867493463905</v>
      </c>
      <c r="AG6700">
        <v>-1.1117987156988001</v>
      </c>
      <c r="AH6700">
        <v>11.3545104933982</v>
      </c>
      <c r="AI6700">
        <v>95.585331695999599</v>
      </c>
      <c r="AJ6700">
        <v>92.889953648464896</v>
      </c>
      <c r="AK6700">
        <v>11.4232027754858</v>
      </c>
      <c r="AL6700">
        <v>89.535010732587097</v>
      </c>
      <c r="AM6700">
        <v>94.361776440700098</v>
      </c>
      <c r="AN6700">
        <v>0.99999992396680104</v>
      </c>
    </row>
    <row r="6701" spans="1:40" x14ac:dyDescent="0.25">
      <c r="A6701" t="str">
        <f>"20190304164541106"</f>
        <v>20190304164541106</v>
      </c>
      <c r="B6701" t="str">
        <f>"1551689141097374"</f>
        <v>1551689141097374</v>
      </c>
      <c r="C6701" t="s">
        <v>40</v>
      </c>
      <c r="D6701">
        <v>5.1092009999999997</v>
      </c>
      <c r="E6701">
        <v>0.51116130000000004</v>
      </c>
      <c r="F6701" t="s">
        <v>42</v>
      </c>
      <c r="G6701">
        <v>-109.1198</v>
      </c>
      <c r="H6701" s="1">
        <v>-7.1280720000000005E-7</v>
      </c>
      <c r="I6701">
        <v>138.14830000000001</v>
      </c>
      <c r="J6701">
        <v>-120.3963</v>
      </c>
      <c r="K6701">
        <v>1.1116280000000001</v>
      </c>
      <c r="L6701">
        <v>137.4051</v>
      </c>
      <c r="M6701">
        <v>0.99955819999999995</v>
      </c>
      <c r="N6701">
        <v>-2.5650010000000001E-2</v>
      </c>
      <c r="O6701">
        <v>1.50148E-2</v>
      </c>
      <c r="P6701">
        <v>0.99568469999999998</v>
      </c>
      <c r="Q6701">
        <v>-1.4594579999999999E-2</v>
      </c>
      <c r="R6701">
        <v>9.1646549999999993E-2</v>
      </c>
      <c r="S6701">
        <v>2.9899900000000001</v>
      </c>
      <c r="T6701">
        <v>-0.29045280000000001</v>
      </c>
      <c r="U6701">
        <v>0.19496150000000001</v>
      </c>
      <c r="V6701">
        <v>-7.6687790000000006E-2</v>
      </c>
      <c r="W6701">
        <v>1.09373E-2</v>
      </c>
      <c r="X6701">
        <v>0.99699519999999997</v>
      </c>
      <c r="Y6701">
        <v>-4.9813759999999999E-2</v>
      </c>
      <c r="Z6701">
        <v>1.9836039999999999E-3</v>
      </c>
      <c r="AA6701">
        <v>0.99875650000000005</v>
      </c>
      <c r="AB6701">
        <v>17</v>
      </c>
      <c r="AC6701">
        <v>11.2765</v>
      </c>
      <c r="AD6701">
        <v>-1.1116287128072</v>
      </c>
      <c r="AE6701">
        <v>0.74320000000000097</v>
      </c>
      <c r="AF6701">
        <v>-0.56824777209105903</v>
      </c>
      <c r="AG6701">
        <v>-1.1116287128072</v>
      </c>
      <c r="AH6701">
        <v>11.178231915925201</v>
      </c>
      <c r="AI6701">
        <v>95.671878895173407</v>
      </c>
      <c r="AJ6701">
        <v>92.910137924695903</v>
      </c>
      <c r="AK6701">
        <v>11.2477327800687</v>
      </c>
      <c r="AL6701">
        <v>89.373326398139397</v>
      </c>
      <c r="AM6701">
        <v>94.398468351607505</v>
      </c>
      <c r="AN6701">
        <v>1.0000000352447</v>
      </c>
    </row>
    <row r="6702" spans="1:40" x14ac:dyDescent="0.25">
      <c r="A6702" t="str">
        <f>"20190304164541128"</f>
        <v>20190304164541128</v>
      </c>
      <c r="B6702" t="str">
        <f>"1551689141116893"</f>
        <v>1551689141116893</v>
      </c>
      <c r="C6702" t="s">
        <v>40</v>
      </c>
      <c r="D6702">
        <v>5.0418010000000004</v>
      </c>
      <c r="E6702">
        <v>0.51166739999999999</v>
      </c>
      <c r="F6702" t="s">
        <v>42</v>
      </c>
      <c r="G6702">
        <v>-108.9148</v>
      </c>
      <c r="H6702" s="1">
        <v>-7.8952299999999896E-7</v>
      </c>
      <c r="I6702">
        <v>138.1559</v>
      </c>
      <c r="J6702">
        <v>-120.2282</v>
      </c>
      <c r="K6702">
        <v>1.1114139999999999</v>
      </c>
      <c r="L6702">
        <v>137.4083</v>
      </c>
      <c r="M6702">
        <v>0.99956330000000004</v>
      </c>
      <c r="N6702">
        <v>-2.515295E-2</v>
      </c>
      <c r="O6702">
        <v>1.551815E-2</v>
      </c>
      <c r="P6702">
        <v>0.99563009999999996</v>
      </c>
      <c r="Q6702">
        <v>-1.364157E-2</v>
      </c>
      <c r="R6702">
        <v>9.2383209999999993E-2</v>
      </c>
      <c r="S6702">
        <v>2.9907530000000002</v>
      </c>
      <c r="T6702">
        <v>-0.28956279999999901</v>
      </c>
      <c r="U6702">
        <v>0.19557189999999999</v>
      </c>
      <c r="V6702">
        <v>-7.6924140000000002E-2</v>
      </c>
      <c r="W6702">
        <v>1.138693E-2</v>
      </c>
      <c r="X6702">
        <v>0.99697190000000002</v>
      </c>
      <c r="Y6702">
        <v>-4.9503690000000003E-2</v>
      </c>
      <c r="Z6702">
        <v>1.9057379999999999E-3</v>
      </c>
      <c r="AA6702">
        <v>0.99877210000000005</v>
      </c>
      <c r="AB6702">
        <v>17</v>
      </c>
      <c r="AC6702">
        <v>11.3134</v>
      </c>
      <c r="AD6702">
        <v>-1.111414789523</v>
      </c>
      <c r="AE6702">
        <v>0.74760000000000504</v>
      </c>
      <c r="AF6702">
        <v>-0.56644839739769604</v>
      </c>
      <c r="AG6702">
        <v>-1.111414789523</v>
      </c>
      <c r="AH6702">
        <v>11.215869696911801</v>
      </c>
      <c r="AI6702">
        <v>95.651982031126295</v>
      </c>
      <c r="AJ6702">
        <v>92.891220332797005</v>
      </c>
      <c r="AK6702">
        <v>11.285027234322</v>
      </c>
      <c r="AL6702">
        <v>89.347562854748304</v>
      </c>
      <c r="AM6702">
        <v>94.412073591840496</v>
      </c>
      <c r="AN6702">
        <v>0.99999997743958702</v>
      </c>
    </row>
    <row r="6703" spans="1:40" x14ac:dyDescent="0.25">
      <c r="A6703" t="str">
        <f>"20190304164541151"</f>
        <v>20190304164541151</v>
      </c>
      <c r="B6703" t="str">
        <f>"1551689141147149"</f>
        <v>1551689141147149</v>
      </c>
      <c r="C6703" t="s">
        <v>40</v>
      </c>
      <c r="D6703">
        <v>5.0446090000000003</v>
      </c>
      <c r="E6703">
        <v>0.51228279999999904</v>
      </c>
      <c r="F6703" t="s">
        <v>42</v>
      </c>
      <c r="G6703">
        <v>-108.7907</v>
      </c>
      <c r="H6703" s="1">
        <v>-8.3886850000000001E-7</v>
      </c>
      <c r="I6703">
        <v>138.14959999999999</v>
      </c>
      <c r="J6703">
        <v>-120.0561</v>
      </c>
      <c r="K6703">
        <v>1.1113569999999999</v>
      </c>
      <c r="L6703">
        <v>137.4117</v>
      </c>
      <c r="M6703">
        <v>0.99955490000000002</v>
      </c>
      <c r="N6703">
        <v>-2.5183400000000002E-2</v>
      </c>
      <c r="O6703">
        <v>1.6004069999999999E-2</v>
      </c>
      <c r="P6703">
        <v>0.99555890000000002</v>
      </c>
      <c r="Q6703">
        <v>-1.3821E-2</v>
      </c>
      <c r="R6703">
        <v>9.3122709999999997E-2</v>
      </c>
      <c r="S6703">
        <v>2.991196</v>
      </c>
      <c r="T6703">
        <v>-0.29066239999999999</v>
      </c>
      <c r="U6703">
        <v>0.1938782</v>
      </c>
      <c r="V6703">
        <v>-7.7180499999999999E-2</v>
      </c>
      <c r="W6703">
        <v>1.123673E-2</v>
      </c>
      <c r="X6703">
        <v>0.9969538</v>
      </c>
      <c r="Y6703">
        <v>-4.8451180000000003E-2</v>
      </c>
      <c r="Z6703">
        <v>1.811116E-3</v>
      </c>
      <c r="AA6703">
        <v>0.99882389999999999</v>
      </c>
      <c r="AB6703">
        <v>17</v>
      </c>
      <c r="AC6703">
        <v>11.2654</v>
      </c>
      <c r="AD6703">
        <v>-1.1113578388684999</v>
      </c>
      <c r="AE6703">
        <v>0.737899999999996</v>
      </c>
      <c r="AF6703">
        <v>-0.55210572386051204</v>
      </c>
      <c r="AG6703">
        <v>-1.1113578388684999</v>
      </c>
      <c r="AH6703">
        <v>11.1675480468469</v>
      </c>
      <c r="AI6703">
        <v>95.676289243661301</v>
      </c>
      <c r="AJ6703">
        <v>92.830307347754001</v>
      </c>
      <c r="AK6703">
        <v>11.2362834760862</v>
      </c>
      <c r="AL6703">
        <v>89.356169237515005</v>
      </c>
      <c r="AM6703">
        <v>94.426799119570603</v>
      </c>
      <c r="AN6703">
        <v>0.99999998650789101</v>
      </c>
    </row>
    <row r="6704" spans="1:40" x14ac:dyDescent="0.25">
      <c r="A6704" t="str">
        <f>"20190304164541176"</f>
        <v>20190304164541176</v>
      </c>
      <c r="B6704" t="str">
        <f>"1551689141166670"</f>
        <v>1551689141166670</v>
      </c>
      <c r="C6704" t="s">
        <v>40</v>
      </c>
      <c r="D6704">
        <v>5.0223769999999996</v>
      </c>
      <c r="E6704">
        <v>0.51267580000000001</v>
      </c>
      <c r="F6704" t="s">
        <v>42</v>
      </c>
      <c r="G6704">
        <v>-108.89870000000001</v>
      </c>
      <c r="H6704" s="1">
        <v>-8.0383319999999998E-7</v>
      </c>
      <c r="I6704">
        <v>138.12540000000001</v>
      </c>
      <c r="J6704">
        <v>-119.87569999999999</v>
      </c>
      <c r="K6704">
        <v>1.1114299999999999</v>
      </c>
      <c r="L6704">
        <v>137.4153</v>
      </c>
      <c r="M6704">
        <v>0.99953190000000003</v>
      </c>
      <c r="N6704">
        <v>-2.574224E-2</v>
      </c>
      <c r="O6704">
        <v>1.6538529999999999E-2</v>
      </c>
      <c r="P6704">
        <v>0.99554480000000001</v>
      </c>
      <c r="Q6704">
        <v>-1.382735E-2</v>
      </c>
      <c r="R6704">
        <v>9.3269840000000007E-2</v>
      </c>
      <c r="S6704">
        <v>2.9913479999999999</v>
      </c>
      <c r="T6704">
        <v>-0.29795959999999899</v>
      </c>
      <c r="U6704">
        <v>0.19134519999999999</v>
      </c>
      <c r="V6704">
        <v>-7.6793990000000006E-2</v>
      </c>
      <c r="W6704">
        <v>1.17965E-2</v>
      </c>
      <c r="X6704">
        <v>0.99697720000000001</v>
      </c>
      <c r="Y6704">
        <v>-4.7069119999999999E-2</v>
      </c>
      <c r="Z6704">
        <v>1.727803E-3</v>
      </c>
      <c r="AA6704">
        <v>0.99889019999999995</v>
      </c>
      <c r="AB6704">
        <v>17</v>
      </c>
      <c r="AC6704">
        <v>10.976999999999901</v>
      </c>
      <c r="AD6704">
        <v>-1.1114308038331999</v>
      </c>
      <c r="AE6704">
        <v>0.71010000000001094</v>
      </c>
      <c r="AF6704">
        <v>-0.52305928767226195</v>
      </c>
      <c r="AG6704">
        <v>-1.1114308038331999</v>
      </c>
      <c r="AH6704">
        <v>10.8762101658088</v>
      </c>
      <c r="AI6704">
        <v>95.828064534317903</v>
      </c>
      <c r="AJ6704">
        <v>92.753350344048002</v>
      </c>
      <c r="AK6704">
        <v>10.945355956796099</v>
      </c>
      <c r="AL6704">
        <v>89.324094664080704</v>
      </c>
      <c r="AM6704">
        <v>94.404614764760098</v>
      </c>
      <c r="AN6704">
        <v>1.0000000058161</v>
      </c>
    </row>
    <row r="6705" spans="1:40" x14ac:dyDescent="0.25">
      <c r="A6705" t="str">
        <f>"20190304164541199"</f>
        <v>20190304164541199</v>
      </c>
      <c r="B6705" t="str">
        <f>"1551689141187165"</f>
        <v>1551689141187165</v>
      </c>
      <c r="C6705" t="s">
        <v>40</v>
      </c>
      <c r="D6705">
        <v>5.015606</v>
      </c>
      <c r="E6705">
        <v>0.51300849999999998</v>
      </c>
      <c r="F6705" t="s">
        <v>42</v>
      </c>
      <c r="G6705">
        <v>-108.87730000000001</v>
      </c>
      <c r="H6705" s="1">
        <v>-8.1636200000000004E-7</v>
      </c>
      <c r="I6705">
        <v>138.10919999999999</v>
      </c>
      <c r="J6705">
        <v>-119.7077</v>
      </c>
      <c r="K6705">
        <v>1.1114440000000001</v>
      </c>
      <c r="L6705">
        <v>137.4187</v>
      </c>
      <c r="M6705">
        <v>0.99951239999999997</v>
      </c>
      <c r="N6705">
        <v>-2.6131669999999999E-2</v>
      </c>
      <c r="O6705">
        <v>1.7085860000000001E-2</v>
      </c>
      <c r="P6705">
        <v>0.99553290000000005</v>
      </c>
      <c r="Q6705">
        <v>-1.2416959999999999E-2</v>
      </c>
      <c r="R6705">
        <v>9.3596120000000005E-2</v>
      </c>
      <c r="S6705">
        <v>2.9915620000000001</v>
      </c>
      <c r="T6705">
        <v>-0.30230800000000002</v>
      </c>
      <c r="U6705">
        <v>0.18872069999999999</v>
      </c>
      <c r="V6705">
        <v>-7.6573080000000002E-2</v>
      </c>
      <c r="W6705">
        <v>1.360596E-2</v>
      </c>
      <c r="X6705">
        <v>0.9969711</v>
      </c>
      <c r="Y6705">
        <v>-4.5647880000000002E-2</v>
      </c>
      <c r="Z6705">
        <v>1.622484E-3</v>
      </c>
      <c r="AA6705">
        <v>0.99895630000000002</v>
      </c>
      <c r="AB6705">
        <v>16</v>
      </c>
      <c r="AC6705">
        <v>10.8303999999999</v>
      </c>
      <c r="AD6705">
        <v>-1.1114448163619901</v>
      </c>
      <c r="AE6705">
        <v>0.69049999999998501</v>
      </c>
      <c r="AF6705">
        <v>-0.50004435238080402</v>
      </c>
      <c r="AG6705">
        <v>-1.1114448163619901</v>
      </c>
      <c r="AH6705">
        <v>10.7280951247996</v>
      </c>
      <c r="AI6705">
        <v>95.908447623448296</v>
      </c>
      <c r="AJ6705">
        <v>92.668666652355697</v>
      </c>
      <c r="AK6705">
        <v>10.797100487673299</v>
      </c>
      <c r="AL6705">
        <v>89.220411835210598</v>
      </c>
      <c r="AM6705">
        <v>94.392020611683705</v>
      </c>
      <c r="AN6705">
        <v>0.99999996648170797</v>
      </c>
    </row>
    <row r="6706" spans="1:40" x14ac:dyDescent="0.25">
      <c r="A6706" t="str">
        <f>"20190304164541221"</f>
        <v>20190304164541221</v>
      </c>
      <c r="B6706" t="str">
        <f>"1551689141217423"</f>
        <v>1551689141217423</v>
      </c>
      <c r="C6706" t="s">
        <v>40</v>
      </c>
      <c r="D6706">
        <v>5.0416530000000002</v>
      </c>
      <c r="E6706">
        <v>0.51353279999999901</v>
      </c>
      <c r="F6706" t="s">
        <v>42</v>
      </c>
      <c r="G6706">
        <v>-108.6825</v>
      </c>
      <c r="H6706" s="1">
        <v>-8.9140009999999999E-7</v>
      </c>
      <c r="I6706">
        <v>138.10839999999999</v>
      </c>
      <c r="J6706">
        <v>-119.55800000000001</v>
      </c>
      <c r="K6706">
        <v>1.1114120000000001</v>
      </c>
      <c r="L6706">
        <v>137.42179999999999</v>
      </c>
      <c r="M6706">
        <v>0.99950260000000002</v>
      </c>
      <c r="N6706">
        <v>-2.6212559999999999E-2</v>
      </c>
      <c r="O6706">
        <v>1.7535640000000002E-2</v>
      </c>
      <c r="P6706">
        <v>0.99549699999999997</v>
      </c>
      <c r="Q6706">
        <v>-1.038793E-2</v>
      </c>
      <c r="R6706">
        <v>9.422179E-2</v>
      </c>
      <c r="S6706">
        <v>2.992111</v>
      </c>
      <c r="T6706">
        <v>-0.3016315</v>
      </c>
      <c r="U6706">
        <v>0.18714900000000001</v>
      </c>
      <c r="V6706">
        <v>-7.6750879999999994E-2</v>
      </c>
      <c r="W6706">
        <v>1.5719070000000002E-2</v>
      </c>
      <c r="X6706">
        <v>0.99692639999999999</v>
      </c>
      <c r="Y6706">
        <v>-4.4672219999999999E-2</v>
      </c>
      <c r="Z6706">
        <v>1.5290779999999999E-3</v>
      </c>
      <c r="AA6706">
        <v>0.99900049999999996</v>
      </c>
      <c r="AB6706">
        <v>16</v>
      </c>
      <c r="AC6706">
        <v>10.875499999999899</v>
      </c>
      <c r="AD6706">
        <v>-1.1114128914001</v>
      </c>
      <c r="AE6706">
        <v>0.68659999999999799</v>
      </c>
      <c r="AF6706">
        <v>-0.49061646826008698</v>
      </c>
      <c r="AG6706">
        <v>-1.1114128914001</v>
      </c>
      <c r="AH6706">
        <v>10.773799601540199</v>
      </c>
      <c r="AI6706">
        <v>95.883679432548305</v>
      </c>
      <c r="AJ6706">
        <v>92.607329577557195</v>
      </c>
      <c r="AK6706">
        <v>10.8420801043087</v>
      </c>
      <c r="AL6706">
        <v>89.099326552628099</v>
      </c>
      <c r="AM6706">
        <v>94.402375296191593</v>
      </c>
      <c r="AN6706">
        <v>1.0000000168796901</v>
      </c>
    </row>
    <row r="6707" spans="1:40" x14ac:dyDescent="0.25">
      <c r="A6707" t="str">
        <f>"20190304164541242"</f>
        <v>20190304164541242</v>
      </c>
      <c r="B6707" t="str">
        <f>"1551689141236942"</f>
        <v>1551689141236942</v>
      </c>
      <c r="C6707" t="s">
        <v>40</v>
      </c>
      <c r="D6707">
        <v>4.9477859999999998</v>
      </c>
      <c r="E6707">
        <v>0.52271129999999999</v>
      </c>
      <c r="F6707" t="s">
        <v>42</v>
      </c>
      <c r="G6707">
        <v>-108.4868</v>
      </c>
      <c r="H6707" s="1">
        <v>-9.6747980000000005E-7</v>
      </c>
      <c r="I6707">
        <v>138.10489999999999</v>
      </c>
      <c r="J6707">
        <v>-119.41289999999999</v>
      </c>
      <c r="K6707">
        <v>1.111383</v>
      </c>
      <c r="L6707">
        <v>137.42490000000001</v>
      </c>
      <c r="M6707">
        <v>0.99949589999999999</v>
      </c>
      <c r="N6707">
        <v>-2.6228680000000001E-2</v>
      </c>
      <c r="O6707">
        <v>1.7895459999999998E-2</v>
      </c>
      <c r="P6707">
        <v>0.99547140000000001</v>
      </c>
      <c r="Q6707">
        <v>-9.5451000000000008E-3</v>
      </c>
      <c r="R6707">
        <v>9.4584059999999998E-2</v>
      </c>
      <c r="S6707">
        <v>2.99295</v>
      </c>
      <c r="T6707">
        <v>-0.30045620000000001</v>
      </c>
      <c r="U6707">
        <v>0.18464659999999999</v>
      </c>
      <c r="V6707">
        <v>-7.6754559999999999E-2</v>
      </c>
      <c r="W6707">
        <v>1.6579650000000001E-2</v>
      </c>
      <c r="X6707">
        <v>0.99691220000000003</v>
      </c>
      <c r="Y6707">
        <v>-4.3473110000000002E-2</v>
      </c>
      <c r="Z6707">
        <v>1.425377E-3</v>
      </c>
      <c r="AA6707">
        <v>0.99905359999999999</v>
      </c>
      <c r="AB6707">
        <v>16</v>
      </c>
      <c r="AC6707">
        <v>10.9260999999999</v>
      </c>
      <c r="AD6707">
        <v>-1.1113839674798001</v>
      </c>
      <c r="AE6707">
        <v>0.67999999999997796</v>
      </c>
      <c r="AF6707">
        <v>-0.479355612887153</v>
      </c>
      <c r="AG6707">
        <v>-1.1113839674798001</v>
      </c>
      <c r="AH6707">
        <v>10.824952852386</v>
      </c>
      <c r="AI6707">
        <v>95.856245705133702</v>
      </c>
      <c r="AJ6707">
        <v>92.535541961190006</v>
      </c>
      <c r="AK6707">
        <v>10.892408383050901</v>
      </c>
      <c r="AL6707">
        <v>89.050012541803099</v>
      </c>
      <c r="AM6707">
        <v>94.402648012277197</v>
      </c>
      <c r="AN6707">
        <v>1.0000000408918699</v>
      </c>
    </row>
    <row r="6708" spans="1:40" x14ac:dyDescent="0.25">
      <c r="A6708" t="str">
        <f>"20190304164541264"</f>
        <v>20190304164541264</v>
      </c>
      <c r="B6708" t="str">
        <f>"1551689141256462"</f>
        <v>1551689141256462</v>
      </c>
      <c r="C6708" t="s">
        <v>40</v>
      </c>
      <c r="D6708">
        <v>4.9376329999999999</v>
      </c>
      <c r="E6708">
        <v>0.52292749999999999</v>
      </c>
      <c r="F6708" t="s">
        <v>41</v>
      </c>
      <c r="G6708">
        <v>-118.614</v>
      </c>
      <c r="H6708">
        <v>1.0078800000000001</v>
      </c>
      <c r="I6708">
        <v>137.45570000000001</v>
      </c>
      <c r="J6708">
        <v>-119.26009999999999</v>
      </c>
      <c r="K6708">
        <v>1.1113710000000001</v>
      </c>
      <c r="L6708">
        <v>137.4281</v>
      </c>
      <c r="M6708">
        <v>0.99948669999999995</v>
      </c>
      <c r="N6708">
        <v>-2.635084E-2</v>
      </c>
      <c r="O6708">
        <v>1.8218580000000002E-2</v>
      </c>
      <c r="P6708">
        <v>0.99542969999999997</v>
      </c>
      <c r="Q6708">
        <v>-9.7805349999999999E-3</v>
      </c>
      <c r="R6708">
        <v>9.4995990000000002E-2</v>
      </c>
      <c r="S6708">
        <v>2.9989170000000001</v>
      </c>
      <c r="T6708">
        <v>-0.38858939999999997</v>
      </c>
      <c r="U6708">
        <v>0.11586</v>
      </c>
      <c r="V6708">
        <v>-7.684407E-2</v>
      </c>
      <c r="W6708">
        <v>1.6470950000000002E-2</v>
      </c>
      <c r="X6708">
        <v>0.99690710000000005</v>
      </c>
      <c r="Y6708">
        <v>-2.027982E-2</v>
      </c>
      <c r="Z6708">
        <v>-2.9462899999999997E-4</v>
      </c>
      <c r="AA6708">
        <v>0.99979430000000002</v>
      </c>
      <c r="AB6708">
        <v>16</v>
      </c>
      <c r="AC6708">
        <v>0.646100000000004</v>
      </c>
      <c r="AD6708">
        <v>-0.103491</v>
      </c>
      <c r="AE6708">
        <v>2.7600000000006699E-2</v>
      </c>
      <c r="AF6708">
        <v>-1.54252575257127E-2</v>
      </c>
      <c r="AG6708">
        <v>-0.103491</v>
      </c>
      <c r="AH6708">
        <v>0.63035221745551395</v>
      </c>
      <c r="AI6708">
        <v>99.320880276671602</v>
      </c>
      <c r="AJ6708">
        <v>91.401796930997605</v>
      </c>
      <c r="AK6708">
        <v>0.63897749858803199</v>
      </c>
      <c r="AL6708">
        <v>89.0562414374714</v>
      </c>
      <c r="AM6708">
        <v>94.407784552261205</v>
      </c>
      <c r="AN6708">
        <v>1.0000000346592299</v>
      </c>
    </row>
    <row r="6709" spans="1:40" x14ac:dyDescent="0.25">
      <c r="A6709" t="str">
        <f>"20190304164541284"</f>
        <v>20190304164541284</v>
      </c>
      <c r="B6709" t="str">
        <f>"1551689141276958"</f>
        <v>1551689141276958</v>
      </c>
      <c r="C6709" t="s">
        <v>40</v>
      </c>
      <c r="D6709">
        <v>4.928553</v>
      </c>
      <c r="E6709">
        <v>0.5225438</v>
      </c>
      <c r="F6709" t="s">
        <v>41</v>
      </c>
      <c r="G6709">
        <v>-118.4782</v>
      </c>
      <c r="H6709">
        <v>1.0114050000000001</v>
      </c>
      <c r="I6709">
        <v>137.4581</v>
      </c>
      <c r="J6709">
        <v>-119.1259</v>
      </c>
      <c r="K6709">
        <v>1.1114120000000001</v>
      </c>
      <c r="L6709">
        <v>137.43090000000001</v>
      </c>
      <c r="M6709">
        <v>0.99947260000000004</v>
      </c>
      <c r="N6709">
        <v>-2.6707870000000002E-2</v>
      </c>
      <c r="O6709">
        <v>1.8474009999999999E-2</v>
      </c>
      <c r="P6709">
        <v>0.99536340000000001</v>
      </c>
      <c r="Q6709">
        <v>-1.061168E-2</v>
      </c>
      <c r="R6709">
        <v>9.5600779999999996E-2</v>
      </c>
      <c r="S6709">
        <v>2.9990079999999999</v>
      </c>
      <c r="T6709">
        <v>-0.38350109999999998</v>
      </c>
      <c r="U6709">
        <v>0.11517330000000001</v>
      </c>
      <c r="V6709">
        <v>-7.7193100000000001E-2</v>
      </c>
      <c r="W6709">
        <v>1.6003699999999999E-2</v>
      </c>
      <c r="X6709">
        <v>0.99688770000000004</v>
      </c>
      <c r="Y6709">
        <v>-1.9800979999999999E-2</v>
      </c>
      <c r="Z6709">
        <v>-3.335411E-4</v>
      </c>
      <c r="AA6709">
        <v>0.99980389999999997</v>
      </c>
      <c r="AB6709">
        <v>15</v>
      </c>
      <c r="AC6709">
        <v>0.64770000000000005</v>
      </c>
      <c r="AD6709">
        <v>-0.100007</v>
      </c>
      <c r="AE6709">
        <v>2.71999999999934E-2</v>
      </c>
      <c r="AF6709">
        <v>-1.48715499561553E-2</v>
      </c>
      <c r="AG6709">
        <v>-0.100007</v>
      </c>
      <c r="AH6709">
        <v>0.63302702663718002</v>
      </c>
      <c r="AI6709">
        <v>98.975079670237307</v>
      </c>
      <c r="AJ6709">
        <v>91.345788263122998</v>
      </c>
      <c r="AK6709">
        <v>0.64105052803987905</v>
      </c>
      <c r="AL6709">
        <v>89.083016378440107</v>
      </c>
      <c r="AM6709">
        <v>94.427811342741194</v>
      </c>
      <c r="AN6709">
        <v>0.99999998975629401</v>
      </c>
    </row>
    <row r="6710" spans="1:40" x14ac:dyDescent="0.25">
      <c r="A6710" t="str">
        <f>"20190304164541306"</f>
        <v>20190304164541306</v>
      </c>
      <c r="B6710" t="str">
        <f>"1551689141296478"</f>
        <v>1551689141296478</v>
      </c>
      <c r="C6710" t="s">
        <v>40</v>
      </c>
      <c r="D6710">
        <v>4.9123099999999997</v>
      </c>
      <c r="E6710">
        <v>0.52144929999999901</v>
      </c>
      <c r="F6710" t="s">
        <v>41</v>
      </c>
      <c r="G6710">
        <v>-118.3473</v>
      </c>
      <c r="H6710">
        <v>1.012491</v>
      </c>
      <c r="I6710">
        <v>137.46209999999999</v>
      </c>
      <c r="J6710">
        <v>-118.9855</v>
      </c>
      <c r="K6710">
        <v>1.1115029999999999</v>
      </c>
      <c r="L6710">
        <v>137.43389999999999</v>
      </c>
      <c r="M6710">
        <v>0.9994518</v>
      </c>
      <c r="N6710">
        <v>-2.7319570000000001E-2</v>
      </c>
      <c r="O6710">
        <v>1.8702730000000001E-2</v>
      </c>
      <c r="P6710">
        <v>0.99525520000000001</v>
      </c>
      <c r="Q6710">
        <v>-1.0703399999999899E-2</v>
      </c>
      <c r="R6710">
        <v>9.6708420000000003E-2</v>
      </c>
      <c r="S6710">
        <v>2.998367</v>
      </c>
      <c r="T6710">
        <v>-0.38095400000000001</v>
      </c>
      <c r="U6710">
        <v>0.12016300000000001</v>
      </c>
      <c r="V6710">
        <v>-7.8071329999999994E-2</v>
      </c>
      <c r="W6710">
        <v>1.653054E-2</v>
      </c>
      <c r="X6710">
        <v>0.99681070000000005</v>
      </c>
      <c r="Y6710">
        <v>-2.1227340000000001E-2</v>
      </c>
      <c r="Z6710">
        <v>-2.2205E-4</v>
      </c>
      <c r="AA6710">
        <v>0.99977459999999996</v>
      </c>
      <c r="AB6710">
        <v>15</v>
      </c>
      <c r="AC6710">
        <v>0.63819999999999699</v>
      </c>
      <c r="AD6710">
        <v>-9.90120000000001E-2</v>
      </c>
      <c r="AE6710">
        <v>2.8199999999998199E-2</v>
      </c>
      <c r="AF6710">
        <v>-1.5873213626562702E-2</v>
      </c>
      <c r="AG6710">
        <v>-9.90120000000001E-2</v>
      </c>
      <c r="AH6710">
        <v>0.62363474867322</v>
      </c>
      <c r="AI6710">
        <v>99.018453230928301</v>
      </c>
      <c r="AJ6710">
        <v>91.458019825106504</v>
      </c>
      <c r="AK6710">
        <v>0.63164518110054801</v>
      </c>
      <c r="AL6710">
        <v>89.052826666808798</v>
      </c>
      <c r="AM6710">
        <v>94.478327545406998</v>
      </c>
      <c r="AN6710">
        <v>0.99999998147757496</v>
      </c>
    </row>
    <row r="6711" spans="1:40" x14ac:dyDescent="0.25">
      <c r="A6711" t="str">
        <f>"20190304164541329"</f>
        <v>20190304164541329</v>
      </c>
      <c r="B6711" t="str">
        <f>"1551689141316975"</f>
        <v>1551689141316975</v>
      </c>
      <c r="C6711" t="s">
        <v>40</v>
      </c>
      <c r="D6711">
        <v>4.9275969999999996</v>
      </c>
      <c r="E6711">
        <v>0.53380680000000003</v>
      </c>
      <c r="F6711" t="s">
        <v>41</v>
      </c>
      <c r="G6711">
        <v>-118.2367</v>
      </c>
      <c r="H6711">
        <v>0.97958020000000001</v>
      </c>
      <c r="I6711">
        <v>137.4683</v>
      </c>
      <c r="J6711">
        <v>-118.8403</v>
      </c>
      <c r="K6711">
        <v>1.111531</v>
      </c>
      <c r="L6711">
        <v>137.43680000000001</v>
      </c>
      <c r="M6711">
        <v>0.99943669999999996</v>
      </c>
      <c r="N6711">
        <v>-2.7772350000000001E-2</v>
      </c>
      <c r="O6711">
        <v>1.8846209999999999E-2</v>
      </c>
      <c r="P6711">
        <v>0.99512979999999995</v>
      </c>
      <c r="Q6711">
        <v>-1.028248E-2</v>
      </c>
      <c r="R6711">
        <v>9.8036419999999999E-2</v>
      </c>
      <c r="S6711">
        <v>2.995209</v>
      </c>
      <c r="T6711">
        <v>-0.5277271</v>
      </c>
      <c r="U6711">
        <v>0.13797000000000001</v>
      </c>
      <c r="V6711">
        <v>-7.9256450000000006E-2</v>
      </c>
      <c r="W6711">
        <v>1.7410180000000001E-2</v>
      </c>
      <c r="X6711">
        <v>0.99670219999999998</v>
      </c>
      <c r="Y6711">
        <v>-2.6898740000000001E-2</v>
      </c>
      <c r="Z6711" s="1">
        <v>-4.5571480000000001E-5</v>
      </c>
      <c r="AA6711">
        <v>0.99963809999999997</v>
      </c>
      <c r="AB6711">
        <v>15</v>
      </c>
      <c r="AC6711">
        <v>0.60360000000000003</v>
      </c>
      <c r="AD6711">
        <v>-0.13195080000000001</v>
      </c>
      <c r="AE6711">
        <v>3.1499999999993998E-2</v>
      </c>
      <c r="AF6711">
        <v>-1.9199416435600199E-2</v>
      </c>
      <c r="AG6711">
        <v>-0.13195080000000001</v>
      </c>
      <c r="AH6711">
        <v>0.57660615870152299</v>
      </c>
      <c r="AI6711">
        <v>102.882746748926</v>
      </c>
      <c r="AJ6711">
        <v>91.907088991529307</v>
      </c>
      <c r="AK6711">
        <v>0.59182285649055</v>
      </c>
      <c r="AL6711">
        <v>89.002419751679795</v>
      </c>
      <c r="AM6711">
        <v>94.546518366097303</v>
      </c>
      <c r="AN6711">
        <v>0.99999998735953699</v>
      </c>
    </row>
    <row r="6712" spans="1:40" x14ac:dyDescent="0.25">
      <c r="A6712" t="str">
        <f>"20190304164541352"</f>
        <v>20190304164541352</v>
      </c>
      <c r="B6712" t="str">
        <f>"1551689141347230"</f>
        <v>1551689141347230</v>
      </c>
      <c r="C6712" t="s">
        <v>40</v>
      </c>
      <c r="D6712">
        <v>4.848465</v>
      </c>
      <c r="E6712">
        <v>0.53646090000000002</v>
      </c>
      <c r="F6712" t="s">
        <v>41</v>
      </c>
      <c r="G6712">
        <v>-118.1604</v>
      </c>
      <c r="H6712">
        <v>0.87748749999999998</v>
      </c>
      <c r="I6712">
        <v>137.4513</v>
      </c>
      <c r="J6712">
        <v>-118.7026</v>
      </c>
      <c r="K6712">
        <v>1.111435</v>
      </c>
      <c r="L6712">
        <v>137.43950000000001</v>
      </c>
      <c r="M6712">
        <v>0.99943630000000006</v>
      </c>
      <c r="N6712">
        <v>-2.777336E-2</v>
      </c>
      <c r="O6712">
        <v>1.8870069999999999E-2</v>
      </c>
      <c r="P6712">
        <v>0.99502930000000001</v>
      </c>
      <c r="Q6712">
        <v>-1.002629E-2</v>
      </c>
      <c r="R6712">
        <v>9.9077879999999993E-2</v>
      </c>
      <c r="S6712">
        <v>2.9977260000000001</v>
      </c>
      <c r="T6712">
        <v>-1.031963</v>
      </c>
      <c r="U6712">
        <v>6.4041139999999996E-2</v>
      </c>
      <c r="V6712">
        <v>-8.0273590000000006E-2</v>
      </c>
      <c r="W6712">
        <v>1.76743E-2</v>
      </c>
      <c r="X6712">
        <v>0.99661619999999995</v>
      </c>
      <c r="Y6712">
        <v>-3.1992700000000002E-3</v>
      </c>
      <c r="Z6712">
        <v>-5.2212159999999999E-3</v>
      </c>
      <c r="AA6712">
        <v>0.99998120000000001</v>
      </c>
      <c r="AB6712">
        <v>14</v>
      </c>
      <c r="AC6712">
        <v>0.54220000000000801</v>
      </c>
      <c r="AD6712">
        <v>-0.2339475</v>
      </c>
      <c r="AE6712">
        <v>1.17999999999938E-2</v>
      </c>
      <c r="AF6712">
        <v>-1.3174422142101E-3</v>
      </c>
      <c r="AG6712">
        <v>-0.2339475</v>
      </c>
      <c r="AH6712">
        <v>0.45724040403508998</v>
      </c>
      <c r="AI6712">
        <v>117.096503693459</v>
      </c>
      <c r="AJ6712">
        <v>90.165085301029094</v>
      </c>
      <c r="AK6712">
        <v>0.51361654518951205</v>
      </c>
      <c r="AL6712">
        <v>88.987284514621393</v>
      </c>
      <c r="AM6712">
        <v>94.605012547810304</v>
      </c>
      <c r="AN6712">
        <v>1.0000000401172</v>
      </c>
    </row>
    <row r="6713" spans="1:40" x14ac:dyDescent="0.25">
      <c r="A6713" t="str">
        <f>"20190304164541377"</f>
        <v>20190304164541377</v>
      </c>
      <c r="B6713" t="str">
        <f>"1551689141366750"</f>
        <v>1551689141366750</v>
      </c>
      <c r="C6713" t="s">
        <v>40</v>
      </c>
      <c r="D6713">
        <v>4.8491920000000004</v>
      </c>
      <c r="E6713">
        <v>0.5293291</v>
      </c>
      <c r="F6713" t="s">
        <v>41</v>
      </c>
      <c r="G6713">
        <v>-118.0946</v>
      </c>
      <c r="H6713">
        <v>0.7426722</v>
      </c>
      <c r="I6713">
        <v>137.4555</v>
      </c>
      <c r="J6713">
        <v>-118.5531</v>
      </c>
      <c r="K6713">
        <v>1.1113120000000001</v>
      </c>
      <c r="L6713">
        <v>137.44239999999999</v>
      </c>
      <c r="M6713">
        <v>0.99944149999999998</v>
      </c>
      <c r="N6713">
        <v>-2.762175E-2</v>
      </c>
      <c r="O6713">
        <v>1.8812969999999998E-2</v>
      </c>
      <c r="P6713">
        <v>0.99502769999999996</v>
      </c>
      <c r="Q6713">
        <v>-9.4102709999999996E-3</v>
      </c>
      <c r="R6713">
        <v>9.9153309999999995E-2</v>
      </c>
      <c r="S6713">
        <v>2.9889070000000002</v>
      </c>
      <c r="T6713">
        <v>-1.81264</v>
      </c>
      <c r="U6713">
        <v>7.8491210000000006E-2</v>
      </c>
      <c r="V6713">
        <v>-8.0404069999999994E-2</v>
      </c>
      <c r="W6713">
        <v>1.814868E-2</v>
      </c>
      <c r="X6713">
        <v>0.99659710000000001</v>
      </c>
      <c r="Y6713">
        <v>-8.7704910000000001E-3</v>
      </c>
      <c r="Z6713">
        <v>-7.4517619999999998E-3</v>
      </c>
      <c r="AA6713">
        <v>0.99993379999999998</v>
      </c>
      <c r="AB6713">
        <v>14</v>
      </c>
      <c r="AC6713">
        <v>0.45850000000000002</v>
      </c>
      <c r="AD6713">
        <v>-0.36863980000000002</v>
      </c>
      <c r="AE6713">
        <v>1.3100000000008501E-2</v>
      </c>
      <c r="AF6713">
        <v>-2.7149990035814399E-3</v>
      </c>
      <c r="AG6713">
        <v>-0.36863980000000002</v>
      </c>
      <c r="AH6713">
        <v>0.278669912954156</v>
      </c>
      <c r="AI6713">
        <v>142.91156510643299</v>
      </c>
      <c r="AJ6713">
        <v>90.558198267791497</v>
      </c>
      <c r="AK6713">
        <v>0.46212508452745399</v>
      </c>
      <c r="AL6713">
        <v>88.960100124609497</v>
      </c>
      <c r="AM6713">
        <v>94.612553470896003</v>
      </c>
      <c r="AN6713">
        <v>0.99999998439335802</v>
      </c>
    </row>
    <row r="6714" spans="1:40" x14ac:dyDescent="0.25">
      <c r="A6714" t="str">
        <f>"20190304164541403"</f>
        <v>20190304164541403</v>
      </c>
      <c r="B6714" t="str">
        <f>"1551689141397006"</f>
        <v>1551689141397006</v>
      </c>
      <c r="C6714" t="s">
        <v>40</v>
      </c>
      <c r="D6714">
        <v>4.8380559999999999</v>
      </c>
      <c r="E6714">
        <v>0.52739939999999996</v>
      </c>
      <c r="F6714" t="s">
        <v>42</v>
      </c>
      <c r="G6714">
        <v>-117.2312</v>
      </c>
      <c r="H6714" s="1">
        <v>-1.542651E-6</v>
      </c>
      <c r="I6714">
        <v>137.51599999999999</v>
      </c>
      <c r="J6714">
        <v>-118.39579999999999</v>
      </c>
      <c r="K6714">
        <v>1.111283</v>
      </c>
      <c r="L6714">
        <v>137.4453</v>
      </c>
      <c r="M6714">
        <v>0.99944200000000005</v>
      </c>
      <c r="N6714">
        <v>-2.7681580000000001E-2</v>
      </c>
      <c r="O6714">
        <v>1.8695079999999999E-2</v>
      </c>
      <c r="P6714">
        <v>0.99509809999999999</v>
      </c>
      <c r="Q6714">
        <v>-9.3196630000000006E-3</v>
      </c>
      <c r="R6714">
        <v>9.8453410000000005E-2</v>
      </c>
      <c r="S6714">
        <v>2.9748230000000002</v>
      </c>
      <c r="T6714">
        <v>-2.50082</v>
      </c>
      <c r="U6714">
        <v>0.165817299999999</v>
      </c>
      <c r="V6714">
        <v>-7.981837E-2</v>
      </c>
      <c r="W6714">
        <v>1.8306969999999999E-2</v>
      </c>
      <c r="X6714">
        <v>0.99664129999999995</v>
      </c>
      <c r="Y6714">
        <v>-3.2084420000000002E-2</v>
      </c>
      <c r="Z6714">
        <v>-9.7379740000000002E-4</v>
      </c>
      <c r="AA6714">
        <v>0.9994847</v>
      </c>
      <c r="AB6714">
        <v>14</v>
      </c>
      <c r="AC6714">
        <v>1.1645999999999901</v>
      </c>
      <c r="AD6714">
        <v>-1.1112845426510001</v>
      </c>
      <c r="AE6714">
        <v>7.0699999999987995E-2</v>
      </c>
      <c r="AF6714">
        <v>-2.5643454028870999E-2</v>
      </c>
      <c r="AG6714">
        <v>-1.1112845426510001</v>
      </c>
      <c r="AH6714">
        <v>0.61122234150126797</v>
      </c>
      <c r="AI6714">
        <v>151.16729977288099</v>
      </c>
      <c r="AJ6714">
        <v>92.402399990096896</v>
      </c>
      <c r="AK6714">
        <v>1.26854391812812</v>
      </c>
      <c r="AL6714">
        <v>88.9510292839133</v>
      </c>
      <c r="AM6714">
        <v>94.578894720707396</v>
      </c>
      <c r="AN6714">
        <v>0.99999999910286297</v>
      </c>
    </row>
    <row r="6715" spans="1:40" x14ac:dyDescent="0.25">
      <c r="A6715" t="str">
        <f>"20190304164541430"</f>
        <v>20190304164541430</v>
      </c>
      <c r="B6715" t="str">
        <f>"1551689141416527"</f>
        <v>1551689141416527</v>
      </c>
      <c r="C6715" t="s">
        <v>40</v>
      </c>
      <c r="D6715">
        <v>4.8170440000000001</v>
      </c>
      <c r="E6715">
        <v>0.52769169999999999</v>
      </c>
      <c r="F6715" t="s">
        <v>42</v>
      </c>
      <c r="G6715">
        <v>-117.04949999999999</v>
      </c>
      <c r="H6715" s="1">
        <v>-1.6185630000000001E-6</v>
      </c>
      <c r="I6715">
        <v>137.5275</v>
      </c>
      <c r="J6715">
        <v>-118.2441</v>
      </c>
      <c r="K6715">
        <v>1.1113109999999999</v>
      </c>
      <c r="L6715">
        <v>137.4479</v>
      </c>
      <c r="M6715">
        <v>0.99944</v>
      </c>
      <c r="N6715">
        <v>-2.7874989999999999E-2</v>
      </c>
      <c r="O6715">
        <v>1.852181E-2</v>
      </c>
      <c r="P6715">
        <v>0.9952278</v>
      </c>
      <c r="Q6715">
        <v>-9.6247199999999998E-3</v>
      </c>
      <c r="R6715">
        <v>9.7104179999999998E-2</v>
      </c>
      <c r="S6715">
        <v>2.9738159999999998</v>
      </c>
      <c r="T6715">
        <v>-2.4546860000000001</v>
      </c>
      <c r="U6715">
        <v>0.18171689999999999</v>
      </c>
      <c r="V6715">
        <v>-7.8639390000000003E-2</v>
      </c>
      <c r="W6715">
        <v>1.8200170000000002E-2</v>
      </c>
      <c r="X6715">
        <v>0.99673699999999998</v>
      </c>
      <c r="Y6715">
        <v>-3.6371319999999999E-2</v>
      </c>
      <c r="Z6715">
        <v>7.8823700000000001E-4</v>
      </c>
      <c r="AA6715">
        <v>0.99933799999999995</v>
      </c>
      <c r="AB6715">
        <v>13</v>
      </c>
      <c r="AC6715">
        <v>1.1946000000000001</v>
      </c>
      <c r="AD6715">
        <v>-1.111312618563</v>
      </c>
      <c r="AE6715">
        <v>7.9599999999999199E-2</v>
      </c>
      <c r="AF6715">
        <v>-3.0861473335036398E-2</v>
      </c>
      <c r="AG6715">
        <v>-1.111312618563</v>
      </c>
      <c r="AH6715">
        <v>0.64238968717042699</v>
      </c>
      <c r="AI6715">
        <v>149.941494094273</v>
      </c>
      <c r="AJ6715">
        <v>92.750470199802095</v>
      </c>
      <c r="AK6715">
        <v>1.2839909177625299</v>
      </c>
      <c r="AL6715">
        <v>88.957149518317493</v>
      </c>
      <c r="AM6715">
        <v>94.5111107645359</v>
      </c>
      <c r="AN6715">
        <v>1.0000000235083</v>
      </c>
    </row>
    <row r="6716" spans="1:40" x14ac:dyDescent="0.25">
      <c r="A6716" t="str">
        <f>"20190304164541465"</f>
        <v>20190304164541465</v>
      </c>
      <c r="B6716" t="str">
        <f>"1551689141456542"</f>
        <v>1551689141456542</v>
      </c>
      <c r="C6716" t="s">
        <v>40</v>
      </c>
      <c r="D6716">
        <v>4.8808829999999999</v>
      </c>
      <c r="E6716">
        <v>0.52817619999999998</v>
      </c>
      <c r="F6716" t="s">
        <v>42</v>
      </c>
      <c r="G6716">
        <v>-116.896</v>
      </c>
      <c r="H6716" s="1">
        <v>-1.684319E-6</v>
      </c>
      <c r="I6716">
        <v>137.52799999999999</v>
      </c>
      <c r="J6716">
        <v>-118.054</v>
      </c>
      <c r="K6716">
        <v>1.1113500000000001</v>
      </c>
      <c r="L6716">
        <v>137.45099999999999</v>
      </c>
      <c r="M6716">
        <v>0.99944120000000003</v>
      </c>
      <c r="N6716">
        <v>-2.8030840000000001E-2</v>
      </c>
      <c r="O6716">
        <v>1.8213420000000001E-2</v>
      </c>
      <c r="P6716">
        <v>0.99530969999999996</v>
      </c>
      <c r="Q6716">
        <v>-1.1350300000000001E-2</v>
      </c>
      <c r="R6716">
        <v>9.6072850000000001E-2</v>
      </c>
      <c r="S6716">
        <v>2.9734340000000001</v>
      </c>
      <c r="T6716">
        <v>-2.4512529999999999</v>
      </c>
      <c r="U6716">
        <v>0.17686459999999901</v>
      </c>
      <c r="V6716">
        <v>-7.7914800000000006E-2</v>
      </c>
      <c r="W6716">
        <v>1.6630659999999998E-2</v>
      </c>
      <c r="X6716">
        <v>0.99682130000000002</v>
      </c>
      <c r="Y6716">
        <v>-3.5311620000000002E-2</v>
      </c>
      <c r="Z6716">
        <v>6.1073339999999897E-4</v>
      </c>
      <c r="AA6716">
        <v>0.99937619999999905</v>
      </c>
      <c r="AB6716">
        <v>13</v>
      </c>
      <c r="AC6716">
        <v>1.1579999999999999</v>
      </c>
      <c r="AD6716">
        <v>-1.1113516843189899</v>
      </c>
      <c r="AE6716">
        <v>7.6999999999998098E-2</v>
      </c>
      <c r="AF6716">
        <v>-2.9153756627504E-2</v>
      </c>
      <c r="AG6716">
        <v>-1.1113516843189899</v>
      </c>
      <c r="AH6716">
        <v>0.60470004697515201</v>
      </c>
      <c r="AI6716">
        <v>151.42091569529501</v>
      </c>
      <c r="AJ6716">
        <v>92.7602028665913</v>
      </c>
      <c r="AK6716">
        <v>1.26554915138683</v>
      </c>
      <c r="AL6716">
        <v>89.047089441767</v>
      </c>
      <c r="AM6716">
        <v>94.469337753161199</v>
      </c>
      <c r="AN6716">
        <v>0.99999999952238205</v>
      </c>
    </row>
    <row r="6717" spans="1:40" x14ac:dyDescent="0.25">
      <c r="A6717" t="str">
        <f>"20190304164541485"</f>
        <v>20190304164541485</v>
      </c>
      <c r="B6717" t="str">
        <f>"1551689141477038"</f>
        <v>1551689141477038</v>
      </c>
      <c r="C6717" t="s">
        <v>40</v>
      </c>
      <c r="D6717">
        <v>4.899629</v>
      </c>
      <c r="E6717">
        <v>0.52843479999999998</v>
      </c>
      <c r="F6717" t="s">
        <v>42</v>
      </c>
      <c r="G6717">
        <v>-116.7039</v>
      </c>
      <c r="H6717" s="1">
        <v>-1.7667519999999999E-6</v>
      </c>
      <c r="I6717">
        <v>137.52809999999999</v>
      </c>
      <c r="J6717">
        <v>-117.94240000000001</v>
      </c>
      <c r="K6717">
        <v>1.1113710000000001</v>
      </c>
      <c r="L6717">
        <v>137.4528</v>
      </c>
      <c r="M6717">
        <v>0.99944310000000003</v>
      </c>
      <c r="N6717">
        <v>-2.8094520000000001E-2</v>
      </c>
      <c r="O6717">
        <v>1.8018550000000001E-2</v>
      </c>
      <c r="P6717">
        <v>0.99545740000000005</v>
      </c>
      <c r="Q6717">
        <v>-1.126217E-2</v>
      </c>
      <c r="R6717">
        <v>9.4541059999999996E-2</v>
      </c>
      <c r="S6717">
        <v>2.9698790000000002</v>
      </c>
      <c r="T6717">
        <v>-2.4445359999999998</v>
      </c>
      <c r="U6717">
        <v>0.16961670000000001</v>
      </c>
      <c r="V6717">
        <v>-7.6575089999999998E-2</v>
      </c>
      <c r="W6717">
        <v>1.6784179999999999E-2</v>
      </c>
      <c r="X6717">
        <v>0.99692259999999999</v>
      </c>
      <c r="Y6717">
        <v>-3.3624059999999997E-2</v>
      </c>
      <c r="Z6717">
        <v>1.1650570000000001E-4</v>
      </c>
      <c r="AA6717">
        <v>0.9994345</v>
      </c>
      <c r="AB6717">
        <v>12</v>
      </c>
      <c r="AC6717">
        <v>1.2384999999999999</v>
      </c>
      <c r="AD6717">
        <v>-1.1113727667519999</v>
      </c>
      <c r="AE6717">
        <v>7.5299999999998493E-2</v>
      </c>
      <c r="AF6717">
        <v>-2.9386685005263001E-2</v>
      </c>
      <c r="AG6717">
        <v>-1.1113727667519999</v>
      </c>
      <c r="AH6717">
        <v>0.68782724053643296</v>
      </c>
      <c r="AI6717">
        <v>148.22330215774099</v>
      </c>
      <c r="AJ6717">
        <v>92.446413266883695</v>
      </c>
      <c r="AK6717">
        <v>1.30733290204047</v>
      </c>
      <c r="AL6717">
        <v>89.038292225620395</v>
      </c>
      <c r="AM6717">
        <v>94.392348288598598</v>
      </c>
      <c r="AN6717">
        <v>1.0000000617487601</v>
      </c>
    </row>
    <row r="6718" spans="1:40" x14ac:dyDescent="0.25">
      <c r="A6718" t="str">
        <f>"20190304164541509"</f>
        <v>20190304164541509</v>
      </c>
      <c r="B6718" t="str">
        <f>"1551689141496558"</f>
        <v>1551689141496558</v>
      </c>
      <c r="C6718" t="s">
        <v>40</v>
      </c>
      <c r="D6718">
        <v>4.929106</v>
      </c>
      <c r="E6718">
        <v>0.52867430000000004</v>
      </c>
      <c r="F6718" t="s">
        <v>42</v>
      </c>
      <c r="G6718">
        <v>-116.5913</v>
      </c>
      <c r="H6718" s="1">
        <v>-1.81517E-6</v>
      </c>
      <c r="I6718">
        <v>137.5274</v>
      </c>
      <c r="J6718">
        <v>-117.8216</v>
      </c>
      <c r="K6718">
        <v>1.11141</v>
      </c>
      <c r="L6718">
        <v>137.4547</v>
      </c>
      <c r="M6718">
        <v>0.9994442</v>
      </c>
      <c r="N6718">
        <v>-2.8186220000000001E-2</v>
      </c>
      <c r="O6718">
        <v>1.780901E-2</v>
      </c>
      <c r="P6718">
        <v>0.99570619999999999</v>
      </c>
      <c r="Q6718">
        <v>-1.02884E-2</v>
      </c>
      <c r="R6718">
        <v>9.1998549999999998E-2</v>
      </c>
      <c r="S6718">
        <v>2.970459</v>
      </c>
      <c r="T6718">
        <v>-2.443222</v>
      </c>
      <c r="U6718">
        <v>0.1641388</v>
      </c>
      <c r="V6718">
        <v>-7.4237540000000005E-2</v>
      </c>
      <c r="W6718">
        <v>1.7851189999999999E-2</v>
      </c>
      <c r="X6718">
        <v>0.99708079999999999</v>
      </c>
      <c r="Y6718">
        <v>-3.2328719999999998E-2</v>
      </c>
      <c r="Z6718">
        <v>-2.1971579999999999E-4</v>
      </c>
      <c r="AA6718">
        <v>0.99947730000000001</v>
      </c>
      <c r="AB6718">
        <v>12</v>
      </c>
      <c r="AC6718">
        <v>1.23029999999999</v>
      </c>
      <c r="AD6718">
        <v>-1.1114118151700001</v>
      </c>
      <c r="AE6718">
        <v>7.2699999999997503E-2</v>
      </c>
      <c r="AF6718">
        <v>-2.7999366438425499E-2</v>
      </c>
      <c r="AG6718">
        <v>-1.1114118151700001</v>
      </c>
      <c r="AH6718">
        <v>0.67911902542555203</v>
      </c>
      <c r="AI6718">
        <v>148.55167593239699</v>
      </c>
      <c r="AJ6718">
        <v>92.360907900015505</v>
      </c>
      <c r="AK6718">
        <v>1.30277505276827</v>
      </c>
      <c r="AL6718">
        <v>88.977147823797694</v>
      </c>
      <c r="AM6718">
        <v>94.258094193495594</v>
      </c>
      <c r="AN6718">
        <v>0.99999999952915297</v>
      </c>
    </row>
    <row r="6719" spans="1:40" x14ac:dyDescent="0.25">
      <c r="A6719" t="str">
        <f>"20190304164541532"</f>
        <v>20190304164541532</v>
      </c>
      <c r="B6719" t="str">
        <f>"1551689141526814"</f>
        <v>1551689141526814</v>
      </c>
      <c r="C6719" t="s">
        <v>40</v>
      </c>
      <c r="D6719">
        <v>4.9257439999999999</v>
      </c>
      <c r="E6719">
        <v>0.52892539999999999</v>
      </c>
      <c r="F6719" t="s">
        <v>42</v>
      </c>
      <c r="G6719">
        <v>-116.4653</v>
      </c>
      <c r="H6719" s="1">
        <v>-1.869191E-6</v>
      </c>
      <c r="I6719">
        <v>137.52760000000001</v>
      </c>
      <c r="J6719">
        <v>-117.7037</v>
      </c>
      <c r="K6719">
        <v>1.1114630000000001</v>
      </c>
      <c r="L6719">
        <v>137.45650000000001</v>
      </c>
      <c r="M6719">
        <v>0.99944429999999995</v>
      </c>
      <c r="N6719">
        <v>-2.830769E-2</v>
      </c>
      <c r="O6719">
        <v>1.7601780000000001E-2</v>
      </c>
      <c r="P6719">
        <v>0.99588189999999999</v>
      </c>
      <c r="Q6719">
        <v>-9.5408880000000008E-3</v>
      </c>
      <c r="R6719">
        <v>9.0157249999999994E-2</v>
      </c>
      <c r="S6719">
        <v>2.9729920000000001</v>
      </c>
      <c r="T6719">
        <v>-2.4360189999999999</v>
      </c>
      <c r="U6719">
        <v>0.1600037</v>
      </c>
      <c r="V6719">
        <v>-7.2600300000000006E-2</v>
      </c>
      <c r="W6719">
        <v>1.8719360000000001E-2</v>
      </c>
      <c r="X6719">
        <v>0.9971854</v>
      </c>
      <c r="Y6719">
        <v>-3.1367630000000001E-2</v>
      </c>
      <c r="Z6719">
        <v>-4.2804049999999998E-4</v>
      </c>
      <c r="AA6719">
        <v>0.99950779999999995</v>
      </c>
      <c r="AB6719">
        <v>12</v>
      </c>
      <c r="AC6719">
        <v>1.23839999999999</v>
      </c>
      <c r="AD6719">
        <v>-1.1114648691909901</v>
      </c>
      <c r="AE6719">
        <v>7.1100000000001204E-2</v>
      </c>
      <c r="AF6719">
        <v>-2.7335546578856999E-2</v>
      </c>
      <c r="AG6719">
        <v>-1.1114648691909901</v>
      </c>
      <c r="AH6719">
        <v>0.68749610269348604</v>
      </c>
      <c r="AI6719">
        <v>148.240905574609</v>
      </c>
      <c r="AJ6719">
        <v>92.276939264221099</v>
      </c>
      <c r="AK6719">
        <v>1.30719251786845</v>
      </c>
      <c r="AL6719">
        <v>88.9273969958018</v>
      </c>
      <c r="AM6719">
        <v>94.164084681849204</v>
      </c>
      <c r="AN6719">
        <v>0.99999996998602902</v>
      </c>
    </row>
    <row r="6720" spans="1:40" x14ac:dyDescent="0.25">
      <c r="A6720" t="str">
        <f>"20190304164541555"</f>
        <v>20190304164541555</v>
      </c>
      <c r="B6720" t="str">
        <f>"1551689141547310"</f>
        <v>1551689141547310</v>
      </c>
      <c r="C6720" t="s">
        <v>40</v>
      </c>
      <c r="D6720">
        <v>4.9527020000000004</v>
      </c>
      <c r="E6720">
        <v>0.52903459999999902</v>
      </c>
      <c r="F6720" t="s">
        <v>42</v>
      </c>
      <c r="G6720">
        <v>-116.3408</v>
      </c>
      <c r="H6720" s="1">
        <v>-1.9228169999999999E-6</v>
      </c>
      <c r="I6720">
        <v>137.52629999999999</v>
      </c>
      <c r="J6720">
        <v>-117.5992</v>
      </c>
      <c r="K6720">
        <v>1.111523</v>
      </c>
      <c r="L6720">
        <v>137.4581</v>
      </c>
      <c r="M6720">
        <v>0.9994442</v>
      </c>
      <c r="N6720">
        <v>-2.8428559999999999E-2</v>
      </c>
      <c r="O6720">
        <v>1.7415710000000001E-2</v>
      </c>
      <c r="P6720">
        <v>0.99595849999999997</v>
      </c>
      <c r="Q6720">
        <v>-9.3703229999999998E-3</v>
      </c>
      <c r="R6720">
        <v>8.9325650000000006E-2</v>
      </c>
      <c r="S6720">
        <v>2.9753569999999998</v>
      </c>
      <c r="T6720">
        <v>-2.4264589999999999</v>
      </c>
      <c r="U6720">
        <v>0.1525879</v>
      </c>
      <c r="V6720">
        <v>-7.1954149999999995E-2</v>
      </c>
      <c r="W6720">
        <v>1.9007320000000001E-2</v>
      </c>
      <c r="X6720">
        <v>0.99722679999999997</v>
      </c>
      <c r="Y6720">
        <v>-2.955762E-2</v>
      </c>
      <c r="Z6720">
        <v>-9.6467039999999997E-4</v>
      </c>
      <c r="AA6720">
        <v>0.99956259999999997</v>
      </c>
      <c r="AB6720">
        <v>11</v>
      </c>
      <c r="AC6720">
        <v>1.25839999999999</v>
      </c>
      <c r="AD6720">
        <v>-1.1115249228170001</v>
      </c>
      <c r="AE6720">
        <v>6.8199999999990199E-2</v>
      </c>
      <c r="AF6720">
        <v>-2.6022103000163901E-2</v>
      </c>
      <c r="AG6720">
        <v>-1.1115249228170001</v>
      </c>
      <c r="AH6720">
        <v>0.70835974996593698</v>
      </c>
      <c r="AI6720">
        <v>147.47367844713699</v>
      </c>
      <c r="AJ6720">
        <v>92.103855463507102</v>
      </c>
      <c r="AK6720">
        <v>1.3183088937194001</v>
      </c>
      <c r="AL6720">
        <v>88.910895181999194</v>
      </c>
      <c r="AM6720">
        <v>94.126981796690004</v>
      </c>
      <c r="AN6720">
        <v>0.99999998427702197</v>
      </c>
    </row>
    <row r="6721" spans="1:40" x14ac:dyDescent="0.25">
      <c r="A6721" t="str">
        <f>"20190304164541582"</f>
        <v>20190304164541582</v>
      </c>
      <c r="B6721" t="str">
        <f>"1551689141576590"</f>
        <v>1551689141576590</v>
      </c>
      <c r="C6721" t="s">
        <v>40</v>
      </c>
      <c r="D6721">
        <v>4.9519780000000004</v>
      </c>
      <c r="E6721">
        <v>0.52905170000000001</v>
      </c>
      <c r="F6721" t="s">
        <v>42</v>
      </c>
      <c r="G6721">
        <v>-116.23399999999999</v>
      </c>
      <c r="H6721" s="1">
        <v>-1.9688830000000001E-6</v>
      </c>
      <c r="I6721">
        <v>137.5249</v>
      </c>
      <c r="J6721">
        <v>-117.4712</v>
      </c>
      <c r="K6721">
        <v>1.111586</v>
      </c>
      <c r="L6721">
        <v>137.46</v>
      </c>
      <c r="M6721">
        <v>0.99944279999999996</v>
      </c>
      <c r="N6721">
        <v>-2.8608620000000001E-2</v>
      </c>
      <c r="O6721">
        <v>1.7201439999999998E-2</v>
      </c>
      <c r="P6721">
        <v>0.99599970000000004</v>
      </c>
      <c r="Q6721">
        <v>-9.494644E-3</v>
      </c>
      <c r="R6721">
        <v>8.8851719999999995E-2</v>
      </c>
      <c r="S6721">
        <v>2.9763030000000001</v>
      </c>
      <c r="T6721">
        <v>-2.4231560000000001</v>
      </c>
      <c r="U6721">
        <v>0.14575199999999999</v>
      </c>
      <c r="V6721">
        <v>-7.1694439999999998E-2</v>
      </c>
      <c r="W6721">
        <v>1.9059280000000001E-2</v>
      </c>
      <c r="X6721">
        <v>0.99724449999999998</v>
      </c>
      <c r="Y6721">
        <v>-2.7911499999999999E-2</v>
      </c>
      <c r="Z6721">
        <v>-1.421439E-3</v>
      </c>
      <c r="AA6721">
        <v>0.99960939999999998</v>
      </c>
      <c r="AB6721">
        <v>11</v>
      </c>
      <c r="AC6721">
        <v>1.2372000000000001</v>
      </c>
      <c r="AD6721">
        <v>-1.1115879688829999</v>
      </c>
      <c r="AE6721">
        <v>6.4899999999994407E-2</v>
      </c>
      <c r="AF6721">
        <v>-2.41546960630552E-2</v>
      </c>
      <c r="AG6721">
        <v>-1.1115879688829999</v>
      </c>
      <c r="AH6721">
        <v>0.68593354812030705</v>
      </c>
      <c r="AI6721">
        <v>148.30641842752601</v>
      </c>
      <c r="AJ6721">
        <v>92.016799598591405</v>
      </c>
      <c r="AK6721">
        <v>1.3064134469394599</v>
      </c>
      <c r="AL6721">
        <v>88.907917539165894</v>
      </c>
      <c r="AM6721">
        <v>94.112064399639394</v>
      </c>
      <c r="AN6721">
        <v>0.99999997083063996</v>
      </c>
    </row>
    <row r="6722" spans="1:40" x14ac:dyDescent="0.25">
      <c r="A6722" t="str">
        <f>"20190304164541605"</f>
        <v>20190304164541605</v>
      </c>
      <c r="B6722" t="str">
        <f>"1551689141597086"</f>
        <v>1551689141597086</v>
      </c>
      <c r="C6722" t="s">
        <v>40</v>
      </c>
      <c r="D6722">
        <v>4.9712319999999997</v>
      </c>
      <c r="E6722">
        <v>0.52911730000000001</v>
      </c>
      <c r="F6722" t="s">
        <v>42</v>
      </c>
      <c r="G6722">
        <v>-116.10509999999999</v>
      </c>
      <c r="H6722" s="1">
        <v>-2.024085E-6</v>
      </c>
      <c r="I6722">
        <v>137.52549999999999</v>
      </c>
      <c r="J6722">
        <v>-117.3663</v>
      </c>
      <c r="K6722">
        <v>1.1116820000000001</v>
      </c>
      <c r="L6722">
        <v>137.4615</v>
      </c>
      <c r="M6722">
        <v>0.99943570000000004</v>
      </c>
      <c r="N6722">
        <v>-2.894861E-2</v>
      </c>
      <c r="O6722">
        <v>1.704164E-2</v>
      </c>
      <c r="P6722">
        <v>0.99604139999999997</v>
      </c>
      <c r="Q6722">
        <v>-9.5589530000000002E-3</v>
      </c>
      <c r="R6722">
        <v>8.8375549999999997E-2</v>
      </c>
      <c r="S6722">
        <v>2.9762119999999999</v>
      </c>
      <c r="T6722">
        <v>-2.4216540000000002</v>
      </c>
      <c r="U6722">
        <v>0.14273069999999999</v>
      </c>
      <c r="V6722">
        <v>-7.1377839999999998E-2</v>
      </c>
      <c r="W6722">
        <v>1.9331029999999999E-2</v>
      </c>
      <c r="X6722">
        <v>0.99726199999999998</v>
      </c>
      <c r="Y6722">
        <v>-2.7220899999999999E-2</v>
      </c>
      <c r="Z6722">
        <v>-1.557105E-3</v>
      </c>
      <c r="AA6722">
        <v>0.99962819999999997</v>
      </c>
      <c r="AB6722">
        <v>11</v>
      </c>
      <c r="AC6722">
        <v>1.2612000000000001</v>
      </c>
      <c r="AD6722">
        <v>-1.1116840240850001</v>
      </c>
      <c r="AE6722">
        <v>6.3999999999992896E-2</v>
      </c>
      <c r="AF6722">
        <v>-2.3937909292756E-2</v>
      </c>
      <c r="AG6722">
        <v>-1.1116840240850001</v>
      </c>
      <c r="AH6722">
        <v>0.71106367619279698</v>
      </c>
      <c r="AI6722">
        <v>147.381169338901</v>
      </c>
      <c r="AJ6722">
        <v>91.928130258453294</v>
      </c>
      <c r="AK6722">
        <v>1.31985830470847</v>
      </c>
      <c r="AL6722">
        <v>88.892344563365597</v>
      </c>
      <c r="AM6722">
        <v>94.0938959583073</v>
      </c>
      <c r="AN6722">
        <v>0.99999999070396295</v>
      </c>
    </row>
    <row r="6723" spans="1:40" x14ac:dyDescent="0.25">
      <c r="A6723" t="str">
        <f>"20190304164541625"</f>
        <v>20190304164541625</v>
      </c>
      <c r="B6723" t="str">
        <f>"1551689141617112"</f>
        <v>1551689141617112</v>
      </c>
      <c r="C6723" t="s">
        <v>40</v>
      </c>
      <c r="D6723">
        <v>4.895213</v>
      </c>
      <c r="E6723">
        <v>0.52909669999999998</v>
      </c>
      <c r="F6723" t="s">
        <v>42</v>
      </c>
      <c r="G6723">
        <v>-115.9997</v>
      </c>
      <c r="H6723" s="1">
        <v>-2.069184E-6</v>
      </c>
      <c r="I6723">
        <v>137.52619999999999</v>
      </c>
      <c r="J6723">
        <v>-117.277</v>
      </c>
      <c r="K6723">
        <v>1.1118300000000001</v>
      </c>
      <c r="L6723">
        <v>137.46289999999999</v>
      </c>
      <c r="M6723">
        <v>0.99942149999999996</v>
      </c>
      <c r="N6723">
        <v>-2.9508570000000001E-2</v>
      </c>
      <c r="O6723">
        <v>1.6913859999999999E-2</v>
      </c>
      <c r="P6723">
        <v>0.99600449999999996</v>
      </c>
      <c r="Q6723">
        <v>-1.0521869999999999E-2</v>
      </c>
      <c r="R6723">
        <v>8.8682759999999999E-2</v>
      </c>
      <c r="S6723">
        <v>2.976181</v>
      </c>
      <c r="T6723">
        <v>-2.4208310000000002</v>
      </c>
      <c r="U6723">
        <v>0.14082339999999999</v>
      </c>
      <c r="V6723">
        <v>-7.1813520000000006E-2</v>
      </c>
      <c r="W6723">
        <v>1.8923889999999999E-2</v>
      </c>
      <c r="X6723">
        <v>0.99723850000000003</v>
      </c>
      <c r="Y6723">
        <v>-2.6792940000000001E-2</v>
      </c>
      <c r="Z6723">
        <v>-1.611131E-3</v>
      </c>
      <c r="AA6723">
        <v>0.99963970000000002</v>
      </c>
      <c r="AB6723">
        <v>10</v>
      </c>
      <c r="AC6723">
        <v>1.2772999999999901</v>
      </c>
      <c r="AD6723">
        <v>-1.11183206918399</v>
      </c>
      <c r="AE6723">
        <v>6.3299999999998094E-2</v>
      </c>
      <c r="AF6723">
        <v>-2.3736536982254999E-2</v>
      </c>
      <c r="AG6723">
        <v>-1.11183206918399</v>
      </c>
      <c r="AH6723">
        <v>0.72796583907533097</v>
      </c>
      <c r="AI6723">
        <v>146.77149727895201</v>
      </c>
      <c r="AJ6723">
        <v>91.867562515838401</v>
      </c>
      <c r="AK6723">
        <v>1.3291607262158001</v>
      </c>
      <c r="AL6723">
        <v>88.915676203191396</v>
      </c>
      <c r="AM6723">
        <v>94.118895491979004</v>
      </c>
      <c r="AN6723">
        <v>0.99999996057488505</v>
      </c>
    </row>
    <row r="6724" spans="1:40" x14ac:dyDescent="0.25">
      <c r="A6724" t="str">
        <f>"20190304164541645"</f>
        <v>20190304164541645</v>
      </c>
      <c r="B6724" t="str">
        <f>"1551689141636632"</f>
        <v>1551689141636632</v>
      </c>
      <c r="C6724" t="s">
        <v>40</v>
      </c>
      <c r="D6724">
        <v>4.9752340000000004</v>
      </c>
      <c r="E6724">
        <v>0.52907959999999998</v>
      </c>
      <c r="F6724" t="s">
        <v>42</v>
      </c>
      <c r="G6724">
        <v>-115.9101</v>
      </c>
      <c r="H6724" s="1">
        <v>-2.1071800000000002E-6</v>
      </c>
      <c r="I6724">
        <v>137.52860000000001</v>
      </c>
      <c r="J6724">
        <v>-117.1957</v>
      </c>
      <c r="K6724">
        <v>1.1119429999999999</v>
      </c>
      <c r="L6724">
        <v>137.4641</v>
      </c>
      <c r="M6724">
        <v>0.99940810000000002</v>
      </c>
      <c r="N6724">
        <v>-3.002322E-2</v>
      </c>
      <c r="O6724">
        <v>1.6799040000000001E-2</v>
      </c>
      <c r="P6724">
        <v>0.99592099999999995</v>
      </c>
      <c r="Q6724">
        <v>-1.042333E-2</v>
      </c>
      <c r="R6724">
        <v>8.9624990000000002E-2</v>
      </c>
      <c r="S6724">
        <v>2.9737550000000001</v>
      </c>
      <c r="T6724">
        <v>-2.4187880000000002</v>
      </c>
      <c r="U6724">
        <v>0.14299010000000001</v>
      </c>
      <c r="V6724">
        <v>-7.2871610000000003E-2</v>
      </c>
      <c r="W6724">
        <v>1.9531260000000002E-2</v>
      </c>
      <c r="X6724">
        <v>0.99715010000000004</v>
      </c>
      <c r="Y6724">
        <v>-2.7435729999999998E-2</v>
      </c>
      <c r="Z6724">
        <v>-1.277724E-3</v>
      </c>
      <c r="AA6724">
        <v>0.99962280000000003</v>
      </c>
      <c r="AB6724">
        <v>10</v>
      </c>
      <c r="AC6724">
        <v>1.2856000000000001</v>
      </c>
      <c r="AD6724">
        <v>-1.1119451071799999</v>
      </c>
      <c r="AE6724">
        <v>6.4500000000009494E-2</v>
      </c>
      <c r="AF6724">
        <v>-2.4558453490893799E-2</v>
      </c>
      <c r="AG6724">
        <v>-1.1119451071799999</v>
      </c>
      <c r="AH6724">
        <v>0.73673830340098101</v>
      </c>
      <c r="AI6724">
        <v>146.458202657084</v>
      </c>
      <c r="AJ6724">
        <v>91.9091920548601</v>
      </c>
      <c r="AK6724">
        <v>1.33409458687064</v>
      </c>
      <c r="AL6724">
        <v>88.880870108885901</v>
      </c>
      <c r="AM6724">
        <v>94.179738412678006</v>
      </c>
      <c r="AN6724">
        <v>1.0000000317955899</v>
      </c>
    </row>
    <row r="6725" spans="1:40" x14ac:dyDescent="0.25">
      <c r="A6725" t="str">
        <f>"20190304164541665"</f>
        <v>20190304164541665</v>
      </c>
      <c r="B6725" t="str">
        <f>"1551689141657129"</f>
        <v>1551689141657129</v>
      </c>
      <c r="C6725" t="s">
        <v>40</v>
      </c>
      <c r="D6725">
        <v>4.9937149999999999</v>
      </c>
      <c r="E6725">
        <v>0.52913369999999904</v>
      </c>
      <c r="F6725" t="s">
        <v>42</v>
      </c>
      <c r="G6725">
        <v>-115.8263</v>
      </c>
      <c r="H6725" s="1">
        <v>-2.1425280000000002E-6</v>
      </c>
      <c r="I6725">
        <v>137.53210000000001</v>
      </c>
      <c r="J6725">
        <v>-117.1121</v>
      </c>
      <c r="K6725">
        <v>1.1119810000000001</v>
      </c>
      <c r="L6725">
        <v>137.46539999999999</v>
      </c>
      <c r="M6725">
        <v>0.99940150000000005</v>
      </c>
      <c r="N6725">
        <v>-3.0305439999999999E-2</v>
      </c>
      <c r="O6725">
        <v>1.667917E-2</v>
      </c>
      <c r="P6725">
        <v>0.99585279999999998</v>
      </c>
      <c r="Q6725">
        <v>-9.5783529999999995E-3</v>
      </c>
      <c r="R6725">
        <v>9.0474600000000002E-2</v>
      </c>
      <c r="S6725">
        <v>2.9737399999999998</v>
      </c>
      <c r="T6725">
        <v>-2.414558</v>
      </c>
      <c r="U6725">
        <v>0.14765929999999999</v>
      </c>
      <c r="V6725">
        <v>-7.3842729999999995E-2</v>
      </c>
      <c r="W6725">
        <v>2.0653990000000001E-2</v>
      </c>
      <c r="X6725">
        <v>0.99705600000000005</v>
      </c>
      <c r="Y6725">
        <v>-2.8709869999999998E-2</v>
      </c>
      <c r="Z6725">
        <v>-7.1040630000000001E-4</v>
      </c>
      <c r="AA6725">
        <v>0.99958749999999996</v>
      </c>
      <c r="AB6725">
        <v>9</v>
      </c>
      <c r="AC6725">
        <v>1.2857999999999901</v>
      </c>
      <c r="AD6725">
        <v>-1.11198314252799</v>
      </c>
      <c r="AE6725">
        <v>6.6700000000025697E-2</v>
      </c>
      <c r="AF6725">
        <v>-2.59091001596518E-2</v>
      </c>
      <c r="AG6725">
        <v>-1.11198314252799</v>
      </c>
      <c r="AH6725">
        <v>0.73700190402222399</v>
      </c>
      <c r="AI6725">
        <v>146.44802184938399</v>
      </c>
      <c r="AJ6725">
        <v>92.013388297007495</v>
      </c>
      <c r="AK6725">
        <v>1.33429741709632</v>
      </c>
      <c r="AL6725">
        <v>88.816529392367798</v>
      </c>
      <c r="AM6725">
        <v>94.235636399654098</v>
      </c>
      <c r="AN6725">
        <v>1.0000000016063799</v>
      </c>
    </row>
    <row r="6726" spans="1:40" x14ac:dyDescent="0.25">
      <c r="A6726" t="str">
        <f>"20190304164541686"</f>
        <v>20190304164541686</v>
      </c>
      <c r="B6726" t="str">
        <f>"1551689141676648"</f>
        <v>1551689141676648</v>
      </c>
      <c r="C6726" t="s">
        <v>40</v>
      </c>
      <c r="D6726">
        <v>5.0039199999999999</v>
      </c>
      <c r="E6726">
        <v>0.5291709</v>
      </c>
      <c r="F6726" t="s">
        <v>42</v>
      </c>
      <c r="G6726">
        <v>-115.7401</v>
      </c>
      <c r="H6726" s="1">
        <v>-2.179054E-6</v>
      </c>
      <c r="I6726">
        <v>137.53469999999999</v>
      </c>
      <c r="J6726">
        <v>-117.03279999999999</v>
      </c>
      <c r="K6726">
        <v>1.111931</v>
      </c>
      <c r="L6726">
        <v>137.4666</v>
      </c>
      <c r="M6726">
        <v>0.99940450000000003</v>
      </c>
      <c r="N6726">
        <v>-3.0270579999999998E-2</v>
      </c>
      <c r="O6726">
        <v>1.6564309999999999E-2</v>
      </c>
      <c r="P6726">
        <v>0.99582139999999997</v>
      </c>
      <c r="Q6726">
        <v>-7.9828130000000001E-3</v>
      </c>
      <c r="R6726">
        <v>9.0972880000000006E-2</v>
      </c>
      <c r="S6726">
        <v>2.9756320000000001</v>
      </c>
      <c r="T6726">
        <v>-2.411483</v>
      </c>
      <c r="U6726">
        <v>0.15040590000000001</v>
      </c>
      <c r="V6726">
        <v>-7.4455430000000003E-2</v>
      </c>
      <c r="W6726">
        <v>2.2212889999999999E-2</v>
      </c>
      <c r="X6726">
        <v>0.99697690000000005</v>
      </c>
      <c r="Y6726">
        <v>-2.946928E-2</v>
      </c>
      <c r="Z6726">
        <v>-3.4872439999999999E-4</v>
      </c>
      <c r="AA6726">
        <v>0.99956560000000005</v>
      </c>
      <c r="AB6726">
        <v>9</v>
      </c>
      <c r="AC6726">
        <v>1.29269999999999</v>
      </c>
      <c r="AD6726">
        <v>-1.1119331790539999</v>
      </c>
      <c r="AE6726">
        <v>6.8099999999986893E-2</v>
      </c>
      <c r="AF6726">
        <v>-2.6854213597834201E-2</v>
      </c>
      <c r="AG6726">
        <v>-1.1119331790539999</v>
      </c>
      <c r="AH6726">
        <v>0.74440453409304996</v>
      </c>
      <c r="AI6726">
        <v>146.18170153771501</v>
      </c>
      <c r="AJ6726">
        <v>92.066035466696405</v>
      </c>
      <c r="AK6726">
        <v>1.33837762004876</v>
      </c>
      <c r="AL6726">
        <v>88.727190443797099</v>
      </c>
      <c r="AM6726">
        <v>94.270989101733505</v>
      </c>
      <c r="AN6726">
        <v>0.999999981336123</v>
      </c>
    </row>
    <row r="6727" spans="1:40" x14ac:dyDescent="0.25">
      <c r="A6727" t="str">
        <f>"20190304164541708"</f>
        <v>20190304164541708</v>
      </c>
      <c r="B6727" t="str">
        <f>"1551689141697145"</f>
        <v>1551689141697145</v>
      </c>
      <c r="C6727" t="s">
        <v>40</v>
      </c>
      <c r="D6727">
        <v>5.0196550000000002</v>
      </c>
      <c r="E6727">
        <v>0.5291979</v>
      </c>
      <c r="F6727" t="s">
        <v>42</v>
      </c>
      <c r="G6727">
        <v>-115.6561</v>
      </c>
      <c r="H6727" s="1">
        <v>-2.214565E-6</v>
      </c>
      <c r="I6727">
        <v>137.5376</v>
      </c>
      <c r="J6727">
        <v>-116.949</v>
      </c>
      <c r="K6727">
        <v>1.1118490000000001</v>
      </c>
      <c r="L6727">
        <v>137.46780000000001</v>
      </c>
      <c r="M6727">
        <v>0.99941270000000004</v>
      </c>
      <c r="N6727">
        <v>-3.0067779999999999E-2</v>
      </c>
      <c r="O6727">
        <v>1.6443559999999999E-2</v>
      </c>
      <c r="P6727">
        <v>0.99580789999999997</v>
      </c>
      <c r="Q6727">
        <v>-6.3081140000000001E-3</v>
      </c>
      <c r="R6727">
        <v>9.1252539999999993E-2</v>
      </c>
      <c r="S6727">
        <v>2.9792480000000001</v>
      </c>
      <c r="T6727">
        <v>-2.4061349999999999</v>
      </c>
      <c r="U6727">
        <v>0.1536865</v>
      </c>
      <c r="V6727">
        <v>-7.4856039999999999E-2</v>
      </c>
      <c r="W6727">
        <v>2.3684500000000001E-2</v>
      </c>
      <c r="X6727">
        <v>0.99691300000000005</v>
      </c>
      <c r="Y6727">
        <v>-3.0359649999999998E-2</v>
      </c>
      <c r="Z6727" s="1">
        <v>6.01569199999999E-5</v>
      </c>
      <c r="AA6727">
        <v>0.99953899999999996</v>
      </c>
      <c r="AB6727">
        <v>9</v>
      </c>
      <c r="AC6727">
        <v>1.2928999999999999</v>
      </c>
      <c r="AD6727">
        <v>-1.1118512145649999</v>
      </c>
      <c r="AE6727">
        <v>6.9799999999986498E-2</v>
      </c>
      <c r="AF6727">
        <v>-2.7927496428736799E-2</v>
      </c>
      <c r="AG6727">
        <v>-1.1118512145649999</v>
      </c>
      <c r="AH6727">
        <v>0.74472078126691099</v>
      </c>
      <c r="AI6727">
        <v>146.167106410278</v>
      </c>
      <c r="AJ6727">
        <v>92.147621317000599</v>
      </c>
      <c r="AK6727">
        <v>1.3385074188951001</v>
      </c>
      <c r="AL6727">
        <v>88.642851146755703</v>
      </c>
      <c r="AM6727">
        <v>94.294157786458896</v>
      </c>
      <c r="AN6727">
        <v>0.99999995591686397</v>
      </c>
    </row>
    <row r="6728" spans="1:40" x14ac:dyDescent="0.25">
      <c r="A6728" t="str">
        <f>"20190304164541732"</f>
        <v>20190304164541732</v>
      </c>
      <c r="B6728" t="str">
        <f>"1551689141727400"</f>
        <v>1551689141727400</v>
      </c>
      <c r="C6728" t="s">
        <v>40</v>
      </c>
      <c r="D6728">
        <v>5.0272860000000001</v>
      </c>
      <c r="E6728">
        <v>0.53320970000000001</v>
      </c>
      <c r="F6728" t="s">
        <v>42</v>
      </c>
      <c r="G6728">
        <v>-115.5677</v>
      </c>
      <c r="H6728" s="1">
        <v>-2.2520280000000001E-6</v>
      </c>
      <c r="I6728">
        <v>137.5401</v>
      </c>
      <c r="J6728">
        <v>-116.866</v>
      </c>
      <c r="K6728">
        <v>1.111793</v>
      </c>
      <c r="L6728">
        <v>137.46899999999999</v>
      </c>
      <c r="M6728">
        <v>0.99941979999999997</v>
      </c>
      <c r="N6728">
        <v>-2.989551E-2</v>
      </c>
      <c r="O6728">
        <v>1.6322989999999999E-2</v>
      </c>
      <c r="P6728">
        <v>0.99583960000000005</v>
      </c>
      <c r="Q6728">
        <v>-5.3318910000000001E-3</v>
      </c>
      <c r="R6728">
        <v>9.0970200000000001E-2</v>
      </c>
      <c r="S6728">
        <v>2.9831089999999998</v>
      </c>
      <c r="T6728">
        <v>-2.4011230000000001</v>
      </c>
      <c r="U6728">
        <v>0.15620419999999999</v>
      </c>
      <c r="V6728">
        <v>-7.4693919999999997E-2</v>
      </c>
      <c r="W6728">
        <v>2.4489170000000001E-2</v>
      </c>
      <c r="X6728">
        <v>0.99690570000000001</v>
      </c>
      <c r="Y6728">
        <v>-3.1049690000000001E-2</v>
      </c>
      <c r="Z6728">
        <v>3.9357409999999998E-4</v>
      </c>
      <c r="AA6728">
        <v>0.99951769999999995</v>
      </c>
      <c r="AB6728">
        <v>9</v>
      </c>
      <c r="AC6728">
        <v>1.29829999999999</v>
      </c>
      <c r="AD6728">
        <v>-1.1117952520279999</v>
      </c>
      <c r="AE6728">
        <v>7.1100000000001204E-2</v>
      </c>
      <c r="AF6728">
        <v>-2.8818571451229701E-2</v>
      </c>
      <c r="AG6728">
        <v>-1.1117952520279999</v>
      </c>
      <c r="AH6728">
        <v>0.750540070012647</v>
      </c>
      <c r="AI6728">
        <v>145.95830392599001</v>
      </c>
      <c r="AJ6728">
        <v>92.198912265428604</v>
      </c>
      <c r="AK6728">
        <v>1.3417263466098699</v>
      </c>
      <c r="AL6728">
        <v>88.596733543216104</v>
      </c>
      <c r="AM6728">
        <v>94.284923618455096</v>
      </c>
      <c r="AN6728">
        <v>0.99999993791236996</v>
      </c>
    </row>
    <row r="6729" spans="1:40" x14ac:dyDescent="0.25">
      <c r="A6729" t="str">
        <f>"20190304164541754"</f>
        <v>20190304164541754</v>
      </c>
      <c r="B6729" t="str">
        <f>"1551689141746920"</f>
        <v>1551689141746920</v>
      </c>
      <c r="C6729" t="s">
        <v>40</v>
      </c>
      <c r="D6729">
        <v>5.3226909999999998</v>
      </c>
      <c r="E6729">
        <v>0.53501799999999999</v>
      </c>
      <c r="F6729" t="s">
        <v>41</v>
      </c>
      <c r="G6729">
        <v>-116.2522</v>
      </c>
      <c r="H6729">
        <v>0.76945160000000001</v>
      </c>
      <c r="I6729">
        <v>137.4872</v>
      </c>
      <c r="J6729">
        <v>-116.7884</v>
      </c>
      <c r="K6729">
        <v>1.111783</v>
      </c>
      <c r="L6729">
        <v>137.4701</v>
      </c>
      <c r="M6729">
        <v>0.99942319999999996</v>
      </c>
      <c r="N6729">
        <v>-2.984357E-2</v>
      </c>
      <c r="O6729">
        <v>1.6206499999999999E-2</v>
      </c>
      <c r="P6729">
        <v>0.99592539999999996</v>
      </c>
      <c r="Q6729">
        <v>-4.2914320000000004E-3</v>
      </c>
      <c r="R6729">
        <v>9.0078640000000001E-2</v>
      </c>
      <c r="S6729">
        <v>2.9954529999999999</v>
      </c>
      <c r="T6729">
        <v>-1.670766</v>
      </c>
      <c r="U6729">
        <v>8.8989260000000001E-2</v>
      </c>
      <c r="V6729">
        <v>-7.3916750000000003E-2</v>
      </c>
      <c r="W6729">
        <v>2.5478290000000001E-2</v>
      </c>
      <c r="X6729">
        <v>0.99693889999999996</v>
      </c>
      <c r="Y6729">
        <v>-1.350953E-2</v>
      </c>
      <c r="Z6729">
        <v>-4.2448520000000003E-3</v>
      </c>
      <c r="AA6729">
        <v>0.99989969999999995</v>
      </c>
      <c r="AB6729">
        <v>8</v>
      </c>
      <c r="AC6729">
        <v>0.53619999999999302</v>
      </c>
      <c r="AD6729">
        <v>-0.34233139999999901</v>
      </c>
      <c r="AE6729">
        <v>1.7099999999999199E-2</v>
      </c>
      <c r="AF6729">
        <v>-5.9721483573164404E-3</v>
      </c>
      <c r="AG6729">
        <v>-0.34233139999999901</v>
      </c>
      <c r="AH6729">
        <v>0.381189685644368</v>
      </c>
      <c r="AI6729">
        <v>131.922262897206</v>
      </c>
      <c r="AJ6729">
        <v>90.897586990281496</v>
      </c>
      <c r="AK6729">
        <v>0.512378795837234</v>
      </c>
      <c r="AL6729">
        <v>88.540043530897805</v>
      </c>
      <c r="AM6729">
        <v>94.240362925583597</v>
      </c>
      <c r="AN6729">
        <v>0.99999999976254805</v>
      </c>
    </row>
    <row r="6730" spans="1:40" x14ac:dyDescent="0.25">
      <c r="A6730" t="str">
        <f>"20190304164541777"</f>
        <v>20190304164541777</v>
      </c>
      <c r="B6730" t="str">
        <f>"1551689141767416"</f>
        <v>1551689141767416</v>
      </c>
      <c r="C6730" t="s">
        <v>40</v>
      </c>
      <c r="D6730">
        <v>5.1314460000000004</v>
      </c>
      <c r="E6730">
        <v>0.55695810000000001</v>
      </c>
      <c r="F6730" t="s">
        <v>41</v>
      </c>
      <c r="G6730">
        <v>-116.127</v>
      </c>
      <c r="H6730">
        <v>0.7538648</v>
      </c>
      <c r="I6730">
        <v>137.4853</v>
      </c>
      <c r="J6730">
        <v>-116.718</v>
      </c>
      <c r="K6730">
        <v>1.1120080000000001</v>
      </c>
      <c r="L6730">
        <v>137.47110000000001</v>
      </c>
      <c r="M6730">
        <v>0.99940019999999996</v>
      </c>
      <c r="N6730">
        <v>-3.0657690000000001E-2</v>
      </c>
      <c r="O6730">
        <v>1.610398E-2</v>
      </c>
      <c r="P6730">
        <v>0.99597720000000001</v>
      </c>
      <c r="Q6730">
        <v>-5.1023400000000003E-3</v>
      </c>
      <c r="R6730">
        <v>8.9461940000000004E-2</v>
      </c>
      <c r="S6730">
        <v>2.9990540000000001</v>
      </c>
      <c r="T6730">
        <v>-1.6228830000000001</v>
      </c>
      <c r="U6730">
        <v>6.8634029999999999E-2</v>
      </c>
      <c r="V6730">
        <v>-7.3401910000000001E-2</v>
      </c>
      <c r="W6730">
        <v>2.5479249999999998E-2</v>
      </c>
      <c r="X6730">
        <v>0.99697690000000005</v>
      </c>
      <c r="Y6730">
        <v>-7.6197499999999998E-3</v>
      </c>
      <c r="Z6730">
        <v>-5.6360910000000002E-3</v>
      </c>
      <c r="AA6730">
        <v>0.99995509999999999</v>
      </c>
      <c r="AB6730">
        <v>8</v>
      </c>
      <c r="AC6730">
        <v>0.59099999999997899</v>
      </c>
      <c r="AD6730">
        <v>-0.358143199999999</v>
      </c>
      <c r="AE6730">
        <v>1.4199999999988199E-2</v>
      </c>
      <c r="AF6730">
        <v>-3.4207504815461699E-3</v>
      </c>
      <c r="AG6730">
        <v>-0.358143199999999</v>
      </c>
      <c r="AH6730">
        <v>0.43243900888592901</v>
      </c>
      <c r="AI6730">
        <v>129.63045464844899</v>
      </c>
      <c r="AJ6730">
        <v>90.453221086533503</v>
      </c>
      <c r="AK6730">
        <v>0.56149955444892496</v>
      </c>
      <c r="AL6730">
        <v>88.539988488774696</v>
      </c>
      <c r="AM6730">
        <v>94.210774919478894</v>
      </c>
      <c r="AN6730">
        <v>0.99999998585290995</v>
      </c>
    </row>
    <row r="6731" spans="1:40" x14ac:dyDescent="0.25">
      <c r="A6731" t="str">
        <f>"20190304164541801"</f>
        <v>20190304164541801</v>
      </c>
      <c r="B6731" t="str">
        <f>"1551689141796696"</f>
        <v>1551689141796696</v>
      </c>
      <c r="C6731" t="s">
        <v>40</v>
      </c>
      <c r="D6731">
        <v>5.1577250000000001</v>
      </c>
      <c r="E6731">
        <v>0.56038639999999995</v>
      </c>
      <c r="F6731" t="s">
        <v>41</v>
      </c>
      <c r="G6731">
        <v>-116.026</v>
      </c>
      <c r="H6731">
        <v>0.85503770000000001</v>
      </c>
      <c r="I6731">
        <v>137.44049999999999</v>
      </c>
      <c r="J6731">
        <v>-116.6477</v>
      </c>
      <c r="K6731">
        <v>1.1123259999999999</v>
      </c>
      <c r="L6731">
        <v>137.47219999999999</v>
      </c>
      <c r="M6731">
        <v>0.99935949999999996</v>
      </c>
      <c r="N6731">
        <v>-3.200741E-2</v>
      </c>
      <c r="O6731">
        <v>1.6006139999999999E-2</v>
      </c>
      <c r="P6731">
        <v>0.99600040000000001</v>
      </c>
      <c r="Q6731">
        <v>-7.2519589999999997E-3</v>
      </c>
      <c r="R6731">
        <v>8.9054339999999996E-2</v>
      </c>
      <c r="S6731">
        <v>3.0183409999999999</v>
      </c>
      <c r="T6731">
        <v>-1.12076</v>
      </c>
      <c r="U6731">
        <v>-0.13311770000000001</v>
      </c>
      <c r="V6731">
        <v>-7.3091519999999993E-2</v>
      </c>
      <c r="W6731">
        <v>2.4676030000000002E-2</v>
      </c>
      <c r="X6731">
        <v>0.99701989999999996</v>
      </c>
      <c r="Y6731">
        <v>5.5151239999999997E-2</v>
      </c>
      <c r="Z6731">
        <v>-1.6070919999999999E-2</v>
      </c>
      <c r="AA6731">
        <v>0.99834869999999998</v>
      </c>
      <c r="AB6731">
        <v>7</v>
      </c>
      <c r="AC6731">
        <v>0.62169999999998904</v>
      </c>
      <c r="AD6731">
        <v>-0.25728829999999903</v>
      </c>
      <c r="AE6731">
        <v>-3.17000000000007E-2</v>
      </c>
      <c r="AF6731">
        <v>3.5574969224650602E-2</v>
      </c>
      <c r="AG6731">
        <v>-0.25728829999999903</v>
      </c>
      <c r="AH6731">
        <v>0.53049155561347905</v>
      </c>
      <c r="AI6731">
        <v>115.822939725642</v>
      </c>
      <c r="AJ6731">
        <v>86.163467034715296</v>
      </c>
      <c r="AK6731">
        <v>0.59066415019826002</v>
      </c>
      <c r="AL6731">
        <v>88.586024074711403</v>
      </c>
      <c r="AM6731">
        <v>94.192852528757498</v>
      </c>
      <c r="AN6731">
        <v>0.99999997887423997</v>
      </c>
    </row>
    <row r="6732" spans="1:40" x14ac:dyDescent="0.25">
      <c r="A6732" t="str">
        <f>"20190304164541826"</f>
        <v>20190304164541826</v>
      </c>
      <c r="B6732" t="str">
        <f>"1551689141817192"</f>
        <v>1551689141817192</v>
      </c>
      <c r="C6732" t="s">
        <v>40</v>
      </c>
      <c r="D6732">
        <v>5.1707939999999999</v>
      </c>
      <c r="E6732">
        <v>0.56130049999999998</v>
      </c>
      <c r="F6732" t="s">
        <v>41</v>
      </c>
      <c r="G6732">
        <v>-115.9675</v>
      </c>
      <c r="H6732">
        <v>0.86730359999999995</v>
      </c>
      <c r="I6732">
        <v>137.435</v>
      </c>
      <c r="J6732">
        <v>-116.5839</v>
      </c>
      <c r="K6732">
        <v>1.11256</v>
      </c>
      <c r="L6732">
        <v>137.47309999999999</v>
      </c>
      <c r="M6732">
        <v>0.99931959999999997</v>
      </c>
      <c r="N6732">
        <v>-3.3270500000000001E-2</v>
      </c>
      <c r="O6732">
        <v>1.59227999999999E-2</v>
      </c>
      <c r="P6732">
        <v>0.99593670000000001</v>
      </c>
      <c r="Q6732">
        <v>-9.7854340000000008E-3</v>
      </c>
      <c r="R6732">
        <v>8.9524549999999994E-2</v>
      </c>
      <c r="S6732">
        <v>3.0188600000000001</v>
      </c>
      <c r="T6732">
        <v>-1.0874779999999999</v>
      </c>
      <c r="U6732">
        <v>-0.1647797</v>
      </c>
      <c r="V6732">
        <v>-7.3645719999999998E-2</v>
      </c>
      <c r="W6732">
        <v>2.3400859999999999E-2</v>
      </c>
      <c r="X6732">
        <v>0.9970099</v>
      </c>
      <c r="Y6732">
        <v>6.5094040000000006E-2</v>
      </c>
      <c r="Z6732">
        <v>-1.7521979999999999E-2</v>
      </c>
      <c r="AA6732">
        <v>0.99772530000000004</v>
      </c>
      <c r="AB6732">
        <v>6</v>
      </c>
      <c r="AC6732">
        <v>0.61639999999999795</v>
      </c>
      <c r="AD6732">
        <v>-0.24525640000000001</v>
      </c>
      <c r="AE6732">
        <v>-3.8099999999985798E-2</v>
      </c>
      <c r="AF6732">
        <v>4.1388095905488899E-2</v>
      </c>
      <c r="AG6732">
        <v>-0.24525640000000001</v>
      </c>
      <c r="AH6732">
        <v>0.531838499473407</v>
      </c>
      <c r="AI6732">
        <v>114.690994545409</v>
      </c>
      <c r="AJ6732">
        <v>85.550165159042095</v>
      </c>
      <c r="AK6732">
        <v>0.58712508526358098</v>
      </c>
      <c r="AL6732">
        <v>88.659107109291398</v>
      </c>
      <c r="AM6732">
        <v>94.224571443397195</v>
      </c>
      <c r="AN6732">
        <v>1.0000000165105301</v>
      </c>
    </row>
    <row r="6733" spans="1:40" x14ac:dyDescent="0.25">
      <c r="A6733" t="str">
        <f>"20190304164541849"</f>
        <v>20190304164541849</v>
      </c>
      <c r="B6733" t="str">
        <f>"1551689141836713"</f>
        <v>1551689141836713</v>
      </c>
      <c r="C6733" t="s">
        <v>40</v>
      </c>
      <c r="D6733">
        <v>5.1590089999999904</v>
      </c>
      <c r="E6733">
        <v>0.56176359999999903</v>
      </c>
      <c r="F6733" t="s">
        <v>41</v>
      </c>
      <c r="G6733">
        <v>-115.9164</v>
      </c>
      <c r="H6733">
        <v>0.871448</v>
      </c>
      <c r="I6733">
        <v>137.435</v>
      </c>
      <c r="J6733">
        <v>-116.52849999999999</v>
      </c>
      <c r="K6733">
        <v>1.1125309999999999</v>
      </c>
      <c r="L6733">
        <v>137.47389999999999</v>
      </c>
      <c r="M6733">
        <v>0.99930699999999995</v>
      </c>
      <c r="N6733">
        <v>-3.3683539999999998E-2</v>
      </c>
      <c r="O6733">
        <v>1.5846519999999999E-2</v>
      </c>
      <c r="P6733">
        <v>0.99585029999999997</v>
      </c>
      <c r="Q6733">
        <v>-1.060732E-2</v>
      </c>
      <c r="R6733">
        <v>9.0385679999999996E-2</v>
      </c>
      <c r="S6733">
        <v>3.0169679999999999</v>
      </c>
      <c r="T6733">
        <v>-1.0897749999999999</v>
      </c>
      <c r="U6733">
        <v>-0.1717224</v>
      </c>
      <c r="V6733">
        <v>-7.4583899999999995E-2</v>
      </c>
      <c r="W6733">
        <v>2.2988979999999999E-2</v>
      </c>
      <c r="X6733">
        <v>0.99694970000000005</v>
      </c>
      <c r="Y6733">
        <v>6.7170859999999999E-2</v>
      </c>
      <c r="Z6733">
        <v>-1.7947850000000001E-2</v>
      </c>
      <c r="AA6733">
        <v>0.99758009999999997</v>
      </c>
      <c r="AB6733">
        <v>6</v>
      </c>
      <c r="AC6733">
        <v>0.61209999999999798</v>
      </c>
      <c r="AD6733">
        <v>-0.24108299999999899</v>
      </c>
      <c r="AE6733">
        <v>-3.8899999999983899E-2</v>
      </c>
      <c r="AF6733">
        <v>4.20962582008556E-2</v>
      </c>
      <c r="AG6733">
        <v>-0.24108299999999899</v>
      </c>
      <c r="AH6733">
        <v>0.52958380195308696</v>
      </c>
      <c r="AI6733">
        <v>114.408530293129</v>
      </c>
      <c r="AJ6733">
        <v>85.455153450320196</v>
      </c>
      <c r="AK6733">
        <v>0.58339704415997795</v>
      </c>
      <c r="AL6733">
        <v>88.682712394519896</v>
      </c>
      <c r="AM6733">
        <v>94.278447484042999</v>
      </c>
      <c r="AN6733">
        <v>0.99999997783536998</v>
      </c>
    </row>
    <row r="6734" spans="1:40" x14ac:dyDescent="0.25">
      <c r="A6734" t="str">
        <f>"20190304164541866"</f>
        <v>20190304164541866</v>
      </c>
      <c r="B6734" t="str">
        <f>"1551689141857208"</f>
        <v>1551689141857208</v>
      </c>
      <c r="C6734" t="s">
        <v>40</v>
      </c>
      <c r="D6734">
        <v>5.1708160000000003</v>
      </c>
      <c r="E6734">
        <v>0.56199889999999997</v>
      </c>
      <c r="F6734" t="s">
        <v>41</v>
      </c>
      <c r="G6734">
        <v>-115.86799999999999</v>
      </c>
      <c r="H6734">
        <v>0.87344549999999999</v>
      </c>
      <c r="I6734">
        <v>137.4358</v>
      </c>
      <c r="J6734">
        <v>-116.4876</v>
      </c>
      <c r="K6734">
        <v>1.1123620000000001</v>
      </c>
      <c r="L6734">
        <v>137.47450000000001</v>
      </c>
      <c r="M6734">
        <v>0.99931769999999998</v>
      </c>
      <c r="N6734">
        <v>-3.3393220000000001E-2</v>
      </c>
      <c r="O6734">
        <v>1.5783439999999999E-2</v>
      </c>
      <c r="P6734">
        <v>0.99578199999999994</v>
      </c>
      <c r="Q6734">
        <v>-1.017798E-2</v>
      </c>
      <c r="R6734">
        <v>9.1186310000000007E-2</v>
      </c>
      <c r="S6734">
        <v>3.0166469999999999</v>
      </c>
      <c r="T6734">
        <v>-1.091936</v>
      </c>
      <c r="U6734">
        <v>-0.17367550000000001</v>
      </c>
      <c r="V6734">
        <v>-7.5448829999999995E-2</v>
      </c>
      <c r="W6734">
        <v>2.3127700000000001E-2</v>
      </c>
      <c r="X6734">
        <v>0.99688140000000003</v>
      </c>
      <c r="Y6734">
        <v>6.7704319999999998E-2</v>
      </c>
      <c r="Z6734">
        <v>-1.80588E-2</v>
      </c>
      <c r="AA6734">
        <v>0.99754200000000004</v>
      </c>
      <c r="AB6734">
        <v>5</v>
      </c>
      <c r="AC6734">
        <v>0.61960000000000504</v>
      </c>
      <c r="AD6734">
        <v>-0.2389165</v>
      </c>
      <c r="AE6734">
        <v>-3.8700000000005702E-2</v>
      </c>
      <c r="AF6734">
        <v>4.2226036538215397E-2</v>
      </c>
      <c r="AG6734">
        <v>-0.2389165</v>
      </c>
      <c r="AH6734">
        <v>0.53907086890570199</v>
      </c>
      <c r="AI6734">
        <v>113.838098402612</v>
      </c>
      <c r="AJ6734">
        <v>85.521101737383205</v>
      </c>
      <c r="AK6734">
        <v>0.59115271617131704</v>
      </c>
      <c r="AL6734">
        <v>88.674762201037694</v>
      </c>
      <c r="AM6734">
        <v>94.328171475319095</v>
      </c>
      <c r="AN6734">
        <v>0.99999997106080896</v>
      </c>
    </row>
    <row r="6735" spans="1:40" x14ac:dyDescent="0.25">
      <c r="A6735" t="str">
        <f>"20190304164541888"</f>
        <v>20190304164541888</v>
      </c>
      <c r="B6735" t="str">
        <f>"1551689141876729"</f>
        <v>1551689141876729</v>
      </c>
      <c r="C6735" t="s">
        <v>40</v>
      </c>
      <c r="D6735">
        <v>5.1864819999999998</v>
      </c>
      <c r="E6735">
        <v>0.56209469999999995</v>
      </c>
      <c r="F6735" t="s">
        <v>41</v>
      </c>
      <c r="G6735">
        <v>-115.8229</v>
      </c>
      <c r="H6735">
        <v>0.87133179999999999</v>
      </c>
      <c r="I6735">
        <v>137.43610000000001</v>
      </c>
      <c r="J6735">
        <v>-116.441</v>
      </c>
      <c r="K6735">
        <v>1.112182</v>
      </c>
      <c r="L6735">
        <v>137.4751</v>
      </c>
      <c r="M6735">
        <v>0.99933289999999997</v>
      </c>
      <c r="N6735">
        <v>-3.2970489999999998E-2</v>
      </c>
      <c r="O6735">
        <v>1.571001E-2</v>
      </c>
      <c r="P6735">
        <v>0.99569640000000004</v>
      </c>
      <c r="Q6735">
        <v>-9.6359199999999992E-3</v>
      </c>
      <c r="R6735">
        <v>9.2173320000000003E-2</v>
      </c>
      <c r="S6735">
        <v>3.017395</v>
      </c>
      <c r="T6735">
        <v>-1.0939650000000001</v>
      </c>
      <c r="U6735">
        <v>-0.17337040000000001</v>
      </c>
      <c r="V6735">
        <v>-7.6509569999999999E-2</v>
      </c>
      <c r="W6735">
        <v>2.3245930000000001E-2</v>
      </c>
      <c r="X6735">
        <v>0.99679779999999996</v>
      </c>
      <c r="Y6735">
        <v>6.7519079999999995E-2</v>
      </c>
      <c r="Z6735">
        <v>-1.801786E-2</v>
      </c>
      <c r="AA6735">
        <v>0.99755530000000003</v>
      </c>
      <c r="AB6735">
        <v>5</v>
      </c>
      <c r="AC6735">
        <v>0.61809999999999798</v>
      </c>
      <c r="AD6735">
        <v>-0.24085019999999899</v>
      </c>
      <c r="AE6735">
        <v>-3.8999999999987198E-2</v>
      </c>
      <c r="AF6735">
        <v>4.2311813356781698E-2</v>
      </c>
      <c r="AG6735">
        <v>-0.24085019999999899</v>
      </c>
      <c r="AH6735">
        <v>0.53630307040985903</v>
      </c>
      <c r="AI6735">
        <v>114.118170456569</v>
      </c>
      <c r="AJ6735">
        <v>85.488974069353702</v>
      </c>
      <c r="AK6735">
        <v>0.58942352491279304</v>
      </c>
      <c r="AL6735">
        <v>88.667986298806795</v>
      </c>
      <c r="AM6735">
        <v>94.389152059237105</v>
      </c>
      <c r="AN6735">
        <v>0.99999997082399406</v>
      </c>
    </row>
    <row r="6736" spans="1:40" x14ac:dyDescent="0.25">
      <c r="A6736" t="str">
        <f>"20190304164541911"</f>
        <v>20190304164541911</v>
      </c>
      <c r="B6736" t="str">
        <f>"1551689141906985"</f>
        <v>1551689141906985</v>
      </c>
      <c r="C6736" t="s">
        <v>40</v>
      </c>
      <c r="D6736">
        <v>5.2226970000000001</v>
      </c>
      <c r="E6736">
        <v>0.56210150000000003</v>
      </c>
      <c r="F6736" t="s">
        <v>41</v>
      </c>
      <c r="G6736">
        <v>-115.7795</v>
      </c>
      <c r="H6736">
        <v>0.87192179999999997</v>
      </c>
      <c r="I6736">
        <v>137.43790000000001</v>
      </c>
      <c r="J6736">
        <v>-116.3943</v>
      </c>
      <c r="K6736">
        <v>1.1121270000000001</v>
      </c>
      <c r="L6736">
        <v>137.47579999999999</v>
      </c>
      <c r="M6736">
        <v>0.99933799999999995</v>
      </c>
      <c r="N6736">
        <v>-3.2848450000000001E-2</v>
      </c>
      <c r="O6736">
        <v>1.563606E-2</v>
      </c>
      <c r="P6736">
        <v>0.99567600000000001</v>
      </c>
      <c r="Q6736">
        <v>-8.6647909999999998E-3</v>
      </c>
      <c r="R6736">
        <v>9.2488239999999999E-2</v>
      </c>
      <c r="S6736">
        <v>3.0180660000000001</v>
      </c>
      <c r="T6736">
        <v>-1.0961379999999901</v>
      </c>
      <c r="U6736">
        <v>-0.1697235</v>
      </c>
      <c r="V6736">
        <v>-7.6899200000000001E-2</v>
      </c>
      <c r="W6736">
        <v>2.4093509999999999E-2</v>
      </c>
      <c r="X6736">
        <v>0.99674770000000001</v>
      </c>
      <c r="Y6736">
        <v>6.6301879999999994E-2</v>
      </c>
      <c r="Z6736">
        <v>-1.7786529999999998E-2</v>
      </c>
      <c r="AA6736">
        <v>0.99764109999999995</v>
      </c>
      <c r="AB6736">
        <v>5</v>
      </c>
      <c r="AC6736">
        <v>0.61480000000000201</v>
      </c>
      <c r="AD6736">
        <v>-0.24020520000000001</v>
      </c>
      <c r="AE6736">
        <v>-3.7899999999979103E-2</v>
      </c>
      <c r="AF6736">
        <v>4.1241861951883202E-2</v>
      </c>
      <c r="AG6736">
        <v>-0.24020520000000001</v>
      </c>
      <c r="AH6736">
        <v>0.53306714473010997</v>
      </c>
      <c r="AI6736">
        <v>114.192813902819</v>
      </c>
      <c r="AJ6736">
        <v>85.576004202476</v>
      </c>
      <c r="AK6736">
        <v>0.58613992363172995</v>
      </c>
      <c r="AL6736">
        <v>88.619409943436594</v>
      </c>
      <c r="AM6736">
        <v>94.411636952536497</v>
      </c>
      <c r="AN6736">
        <v>0.99999998082002395</v>
      </c>
    </row>
    <row r="6737" spans="1:40" x14ac:dyDescent="0.25">
      <c r="A6737" t="str">
        <f>"20190304164541934"</f>
        <v>20190304164541934</v>
      </c>
      <c r="B6737" t="str">
        <f>"1551689141926505"</f>
        <v>1551689141926505</v>
      </c>
      <c r="C6737" t="s">
        <v>40</v>
      </c>
      <c r="D6737">
        <v>5.2505660000000001</v>
      </c>
      <c r="E6737">
        <v>0.56201350000000005</v>
      </c>
      <c r="F6737" t="s">
        <v>41</v>
      </c>
      <c r="G6737">
        <v>-115.7394</v>
      </c>
      <c r="H6737">
        <v>0.87374370000000001</v>
      </c>
      <c r="I6737">
        <v>137.4392</v>
      </c>
      <c r="J6737">
        <v>-116.3549</v>
      </c>
      <c r="K6737">
        <v>1.1121730000000001</v>
      </c>
      <c r="L6737">
        <v>137.47630000000001</v>
      </c>
      <c r="M6737">
        <v>0.99933300000000003</v>
      </c>
      <c r="N6737">
        <v>-3.3031400000000002E-2</v>
      </c>
      <c r="O6737">
        <v>1.557045E-2</v>
      </c>
      <c r="P6737">
        <v>0.99563190000000001</v>
      </c>
      <c r="Q6737">
        <v>-8.0592019999999997E-3</v>
      </c>
      <c r="R6737">
        <v>9.3018240000000002E-2</v>
      </c>
      <c r="S6737">
        <v>3.0190429999999999</v>
      </c>
      <c r="T6737">
        <v>-1.0989100000000001</v>
      </c>
      <c r="U6737">
        <v>-0.16783139999999999</v>
      </c>
      <c r="V6737">
        <v>-7.7495140000000004E-2</v>
      </c>
      <c r="W6737">
        <v>2.4879100000000001E-2</v>
      </c>
      <c r="X6737">
        <v>0.99668230000000002</v>
      </c>
      <c r="Y6737">
        <v>6.5621799999999994E-2</v>
      </c>
      <c r="Z6737">
        <v>-1.767357E-2</v>
      </c>
      <c r="AA6737">
        <v>0.99768809999999997</v>
      </c>
      <c r="AB6737">
        <v>5</v>
      </c>
      <c r="AC6737">
        <v>0.61549999999999705</v>
      </c>
      <c r="AD6737">
        <v>-0.23842929999999901</v>
      </c>
      <c r="AE6737">
        <v>-3.7100000000009403E-2</v>
      </c>
      <c r="AF6737">
        <v>4.0612167349506102E-2</v>
      </c>
      <c r="AG6737">
        <v>-0.23842929999999901</v>
      </c>
      <c r="AH6737">
        <v>0.53487489009284395</v>
      </c>
      <c r="AI6737">
        <v>113.964528244749</v>
      </c>
      <c r="AJ6737">
        <v>85.657957388880007</v>
      </c>
      <c r="AK6737">
        <v>0.58701705877013999</v>
      </c>
      <c r="AL6737">
        <v>88.574385529820006</v>
      </c>
      <c r="AM6737">
        <v>94.445979500300595</v>
      </c>
      <c r="AN6737">
        <v>1.00000003673685</v>
      </c>
    </row>
    <row r="6738" spans="1:40" x14ac:dyDescent="0.25">
      <c r="A6738" t="str">
        <f>"20190304164541957"</f>
        <v>20190304164541957</v>
      </c>
      <c r="B6738" t="str">
        <f>"1551689141947000"</f>
        <v>1551689141947000</v>
      </c>
      <c r="C6738" t="s">
        <v>40</v>
      </c>
      <c r="D6738">
        <v>5.2353259999999997</v>
      </c>
      <c r="E6738">
        <v>0.56194259999999996</v>
      </c>
      <c r="F6738" t="s">
        <v>41</v>
      </c>
      <c r="G6738">
        <v>-115.70350000000001</v>
      </c>
      <c r="H6738">
        <v>0.87485979999999997</v>
      </c>
      <c r="I6738">
        <v>137.44069999999999</v>
      </c>
      <c r="J6738">
        <v>-116.3184</v>
      </c>
      <c r="K6738">
        <v>1.1122289999999999</v>
      </c>
      <c r="L6738">
        <v>137.4768</v>
      </c>
      <c r="M6738">
        <v>0.99932779999999999</v>
      </c>
      <c r="N6738">
        <v>-3.321926E-2</v>
      </c>
      <c r="O6738">
        <v>1.5506310000000001E-2</v>
      </c>
      <c r="P6738">
        <v>0.99565329999999996</v>
      </c>
      <c r="Q6738">
        <v>-7.6508469999999997E-3</v>
      </c>
      <c r="R6738">
        <v>9.2821609999999999E-2</v>
      </c>
      <c r="S6738">
        <v>3.0196990000000001</v>
      </c>
      <c r="T6738">
        <v>-1.1001970000000001</v>
      </c>
      <c r="U6738">
        <v>-0.16522220000000001</v>
      </c>
      <c r="V6738">
        <v>-7.7362319999999998E-2</v>
      </c>
      <c r="W6738">
        <v>2.5474E-2</v>
      </c>
      <c r="X6738">
        <v>0.99667760000000005</v>
      </c>
      <c r="Y6738">
        <v>6.4740290000000006E-2</v>
      </c>
      <c r="Z6738">
        <v>-1.7501619999999999E-2</v>
      </c>
      <c r="AA6738">
        <v>0.99774870000000004</v>
      </c>
      <c r="AB6738">
        <v>4</v>
      </c>
      <c r="AC6738">
        <v>0.61489999999999101</v>
      </c>
      <c r="AD6738">
        <v>-0.2373692</v>
      </c>
      <c r="AE6738">
        <v>-3.6100000000004601E-2</v>
      </c>
      <c r="AF6738">
        <v>3.9734864862115901E-2</v>
      </c>
      <c r="AG6738">
        <v>-0.2373692</v>
      </c>
      <c r="AH6738">
        <v>0.53483886061885799</v>
      </c>
      <c r="AI6738">
        <v>113.873925375296</v>
      </c>
      <c r="AJ6738">
        <v>85.751121649893804</v>
      </c>
      <c r="AK6738">
        <v>0.58649433366600301</v>
      </c>
      <c r="AL6738">
        <v>88.540289476793305</v>
      </c>
      <c r="AM6738">
        <v>94.438410793767801</v>
      </c>
      <c r="AN6738">
        <v>1.0000000457867699</v>
      </c>
    </row>
    <row r="6739" spans="1:40" x14ac:dyDescent="0.25">
      <c r="A6739" t="str">
        <f>"20190304164541979"</f>
        <v>20190304164541979</v>
      </c>
      <c r="B6739" t="str">
        <f>"1551689141966521"</f>
        <v>1551689141966521</v>
      </c>
      <c r="C6739" t="s">
        <v>40</v>
      </c>
      <c r="D6739">
        <v>5.2449570000000003</v>
      </c>
      <c r="E6739">
        <v>0.56190410000000002</v>
      </c>
      <c r="F6739" t="s">
        <v>41</v>
      </c>
      <c r="G6739">
        <v>-115.6465</v>
      </c>
      <c r="H6739">
        <v>0.86712299999999998</v>
      </c>
      <c r="I6739">
        <v>137.44</v>
      </c>
      <c r="J6739">
        <v>-116.2873</v>
      </c>
      <c r="K6739">
        <v>1.112242</v>
      </c>
      <c r="L6739">
        <v>137.47720000000001</v>
      </c>
      <c r="M6739">
        <v>0.99932690000000002</v>
      </c>
      <c r="N6739">
        <v>-3.3270899999999999E-2</v>
      </c>
      <c r="O6739">
        <v>1.5454239999999999E-2</v>
      </c>
      <c r="P6739">
        <v>0.99569620000000003</v>
      </c>
      <c r="Q6739">
        <v>-7.0682669999999996E-3</v>
      </c>
      <c r="R6739">
        <v>9.2408799999999999E-2</v>
      </c>
      <c r="S6739">
        <v>3.020035</v>
      </c>
      <c r="T6739">
        <v>-1.101532</v>
      </c>
      <c r="U6739">
        <v>-0.16514589999999901</v>
      </c>
      <c r="V6739">
        <v>-7.700129E-2</v>
      </c>
      <c r="W6739">
        <v>2.610846E-2</v>
      </c>
      <c r="X6739">
        <v>0.99668909999999999</v>
      </c>
      <c r="Y6739">
        <v>6.4654310000000006E-2</v>
      </c>
      <c r="Z6739">
        <v>-1.7486829999999998E-2</v>
      </c>
      <c r="AA6739">
        <v>0.99775449999999999</v>
      </c>
      <c r="AB6739">
        <v>4</v>
      </c>
      <c r="AC6739">
        <v>0.64079999999999804</v>
      </c>
      <c r="AD6739">
        <v>-0.245119</v>
      </c>
      <c r="AE6739">
        <v>-3.7200000000012702E-2</v>
      </c>
      <c r="AF6739">
        <v>4.1109154285147401E-2</v>
      </c>
      <c r="AG6739">
        <v>-0.245119</v>
      </c>
      <c r="AH6739">
        <v>0.55867624278194405</v>
      </c>
      <c r="AI6739">
        <v>113.632582464988</v>
      </c>
      <c r="AJ6739">
        <v>85.791580949316895</v>
      </c>
      <c r="AK6739">
        <v>0.61146744065075898</v>
      </c>
      <c r="AL6739">
        <v>88.503925441898701</v>
      </c>
      <c r="AM6739">
        <v>94.417729291298301</v>
      </c>
      <c r="AN6739">
        <v>1.00000000620202</v>
      </c>
    </row>
    <row r="6740" spans="1:40" x14ac:dyDescent="0.25">
      <c r="A6740" t="str">
        <f>"20190304164542005"</f>
        <v>20190304164542005</v>
      </c>
      <c r="B6740" t="str">
        <f>"1551689141996776"</f>
        <v>1551689141996776</v>
      </c>
      <c r="C6740" t="s">
        <v>40</v>
      </c>
      <c r="D6740">
        <v>5.2525579999999996</v>
      </c>
      <c r="E6740">
        <v>0.56180469999999905</v>
      </c>
      <c r="F6740" t="s">
        <v>41</v>
      </c>
      <c r="G6740">
        <v>-115.62009999999999</v>
      </c>
      <c r="H6740">
        <v>0.86876849999999906</v>
      </c>
      <c r="I6740">
        <v>137.44040000000001</v>
      </c>
      <c r="J6740">
        <v>-116.25620000000001</v>
      </c>
      <c r="K6740">
        <v>1.112241</v>
      </c>
      <c r="L6740">
        <v>137.4776</v>
      </c>
      <c r="M6740">
        <v>0.99932770000000004</v>
      </c>
      <c r="N6740">
        <v>-3.327227E-2</v>
      </c>
      <c r="O6740">
        <v>1.540912E-2</v>
      </c>
      <c r="P6740">
        <v>0.99577859999999996</v>
      </c>
      <c r="Q6740">
        <v>-5.8399659999999898E-3</v>
      </c>
      <c r="R6740">
        <v>9.1603119999999996E-2</v>
      </c>
      <c r="S6740">
        <v>3.0205690000000001</v>
      </c>
      <c r="T6740">
        <v>-1.102257</v>
      </c>
      <c r="U6740">
        <v>-0.1661987</v>
      </c>
      <c r="V6740">
        <v>-7.6238829999999994E-2</v>
      </c>
      <c r="W6740">
        <v>2.7339220000000001E-2</v>
      </c>
      <c r="X6740">
        <v>0.99671469999999995</v>
      </c>
      <c r="Y6740">
        <v>6.4924839999999998E-2</v>
      </c>
      <c r="Z6740">
        <v>-1.753236E-2</v>
      </c>
      <c r="AA6740">
        <v>0.99773619999999996</v>
      </c>
      <c r="AB6740">
        <v>3</v>
      </c>
      <c r="AC6740">
        <v>0.63610000000001299</v>
      </c>
      <c r="AD6740">
        <v>-0.24347250000000001</v>
      </c>
      <c r="AE6740">
        <v>-3.7199999999984301E-2</v>
      </c>
      <c r="AF6740">
        <v>4.1014453096464398E-2</v>
      </c>
      <c r="AG6740">
        <v>-0.24347250000000001</v>
      </c>
      <c r="AH6740">
        <v>0.55449246000827002</v>
      </c>
      <c r="AI6740">
        <v>113.648344996464</v>
      </c>
      <c r="AJ6740">
        <v>85.769674876493298</v>
      </c>
      <c r="AK6740">
        <v>0.60697852665895402</v>
      </c>
      <c r="AL6740">
        <v>88.433382869118205</v>
      </c>
      <c r="AM6740">
        <v>94.374044027762906</v>
      </c>
      <c r="AN6740">
        <v>0.99999999267303297</v>
      </c>
    </row>
    <row r="6741" spans="1:40" x14ac:dyDescent="0.25">
      <c r="A6741" t="str">
        <f>"20190304164542028"</f>
        <v>20190304164542028</v>
      </c>
      <c r="B6741" t="str">
        <f>"1551689142017272"</f>
        <v>1551689142017272</v>
      </c>
      <c r="C6741" t="s">
        <v>40</v>
      </c>
      <c r="D6741">
        <v>5.2535400000000001</v>
      </c>
      <c r="E6741">
        <v>0.56178430000000001</v>
      </c>
      <c r="F6741" t="s">
        <v>41</v>
      </c>
      <c r="G6741">
        <v>-115.59650000000001</v>
      </c>
      <c r="H6741">
        <v>0.87164149999999996</v>
      </c>
      <c r="I6741">
        <v>137.441</v>
      </c>
      <c r="J6741">
        <v>-116.2337</v>
      </c>
      <c r="K6741">
        <v>1.1122529999999999</v>
      </c>
      <c r="L6741">
        <v>137.47799999999901</v>
      </c>
      <c r="M6741">
        <v>0.99932690000000002</v>
      </c>
      <c r="N6741">
        <v>-3.3303779999999998E-2</v>
      </c>
      <c r="O6741">
        <v>1.537997E-2</v>
      </c>
      <c r="P6741">
        <v>0.99586920000000001</v>
      </c>
      <c r="Q6741">
        <v>-4.0064699999999998E-3</v>
      </c>
      <c r="R6741">
        <v>9.0712039999999994E-2</v>
      </c>
      <c r="S6741">
        <v>3.021652</v>
      </c>
      <c r="T6741">
        <v>-1.1020829999999999</v>
      </c>
      <c r="U6741">
        <v>-0.16758729999999999</v>
      </c>
      <c r="V6741">
        <v>-7.5375999999999999E-2</v>
      </c>
      <c r="W6741">
        <v>2.9204810000000001E-2</v>
      </c>
      <c r="X6741">
        <v>0.99672740000000004</v>
      </c>
      <c r="Y6741">
        <v>6.5312659999999995E-2</v>
      </c>
      <c r="Z6741">
        <v>-1.7590339999999999E-2</v>
      </c>
      <c r="AA6741">
        <v>0.99770979999999998</v>
      </c>
      <c r="AB6741">
        <v>3</v>
      </c>
      <c r="AC6741">
        <v>0.637199999999992</v>
      </c>
      <c r="AD6741">
        <v>-0.24061150000000001</v>
      </c>
      <c r="AE6741">
        <v>-3.6999999999977697E-2</v>
      </c>
      <c r="AF6741">
        <v>4.0977879596448198E-2</v>
      </c>
      <c r="AG6741">
        <v>-0.24061150000000001</v>
      </c>
      <c r="AH6741">
        <v>0.55735098677788497</v>
      </c>
      <c r="AI6741">
        <v>113.29397699254299</v>
      </c>
      <c r="AJ6741">
        <v>85.795032623104902</v>
      </c>
      <c r="AK6741">
        <v>0.60845147958629597</v>
      </c>
      <c r="AL6741">
        <v>88.3264496637305</v>
      </c>
      <c r="AM6741">
        <v>94.324674937215704</v>
      </c>
      <c r="AN6741">
        <v>0.99999998610694796</v>
      </c>
    </row>
    <row r="6742" spans="1:40" x14ac:dyDescent="0.25">
      <c r="A6742" t="str">
        <f>"20190304164542056"</f>
        <v>20190304164542056</v>
      </c>
      <c r="B6742" t="str">
        <f>"1551689142046553"</f>
        <v>1551689142046553</v>
      </c>
      <c r="C6742" t="s">
        <v>40</v>
      </c>
      <c r="D6742">
        <v>5.2483849999999999</v>
      </c>
      <c r="E6742">
        <v>0.56178339999999904</v>
      </c>
      <c r="F6742" t="s">
        <v>41</v>
      </c>
      <c r="G6742">
        <v>-115.57680000000001</v>
      </c>
      <c r="H6742">
        <v>0.87344149999999998</v>
      </c>
      <c r="I6742">
        <v>137.4409</v>
      </c>
      <c r="J6742">
        <v>-116.2103</v>
      </c>
      <c r="K6742">
        <v>1.112276</v>
      </c>
      <c r="L6742">
        <v>137.47829999999999</v>
      </c>
      <c r="M6742">
        <v>0.99932659999999995</v>
      </c>
      <c r="N6742">
        <v>-3.3327049999999997E-2</v>
      </c>
      <c r="O6742">
        <v>1.5349659999999999E-2</v>
      </c>
      <c r="P6742">
        <v>0.99592069999999999</v>
      </c>
      <c r="Q6742">
        <v>-1.7504129999999999E-3</v>
      </c>
      <c r="R6742">
        <v>9.0217359999999996E-2</v>
      </c>
      <c r="S6742">
        <v>3.0234990000000002</v>
      </c>
      <c r="T6742">
        <v>-1.099167</v>
      </c>
      <c r="U6742">
        <v>-0.16993710000000001</v>
      </c>
      <c r="V6742">
        <v>-7.4911699999999998E-2</v>
      </c>
      <c r="W6742">
        <v>3.1483520000000001E-2</v>
      </c>
      <c r="X6742">
        <v>0.99669300000000005</v>
      </c>
      <c r="Y6742">
        <v>6.6008150000000002E-2</v>
      </c>
      <c r="Z6742">
        <v>-1.766299E-2</v>
      </c>
      <c r="AA6742">
        <v>0.99766270000000001</v>
      </c>
      <c r="AB6742">
        <v>2</v>
      </c>
      <c r="AC6742">
        <v>0.63349999999999795</v>
      </c>
      <c r="AD6742">
        <v>-0.23883449999999901</v>
      </c>
      <c r="AE6742">
        <v>-3.7399999999991003E-2</v>
      </c>
      <c r="AF6742">
        <v>4.1278293214485402E-2</v>
      </c>
      <c r="AG6742">
        <v>-0.23883449999999901</v>
      </c>
      <c r="AH6742">
        <v>0.55433427163691296</v>
      </c>
      <c r="AI6742">
        <v>113.25124566636499</v>
      </c>
      <c r="AJ6742">
        <v>85.741351080053093</v>
      </c>
      <c r="AK6742">
        <v>0.60500603351716897</v>
      </c>
      <c r="AL6742">
        <v>88.195828963133295</v>
      </c>
      <c r="AM6742">
        <v>94.298283793174406</v>
      </c>
      <c r="AN6742">
        <v>0.99999995553873899</v>
      </c>
    </row>
    <row r="6743" spans="1:40" x14ac:dyDescent="0.25">
      <c r="A6743" t="str">
        <f>"20190304164542079"</f>
        <v>20190304164542079</v>
      </c>
      <c r="B6743" t="str">
        <f>"1551689142067049"</f>
        <v>1551689142067049</v>
      </c>
      <c r="C6743" t="s">
        <v>40</v>
      </c>
      <c r="D6743">
        <v>5.2271419999999997</v>
      </c>
      <c r="E6743">
        <v>0.56175730000000001</v>
      </c>
      <c r="F6743" t="s">
        <v>41</v>
      </c>
      <c r="G6743">
        <v>-115.5487</v>
      </c>
      <c r="H6743">
        <v>0.87250300000000003</v>
      </c>
      <c r="I6743">
        <v>137.4409</v>
      </c>
      <c r="J6743">
        <v>-116.1956</v>
      </c>
      <c r="K6743">
        <v>1.112241</v>
      </c>
      <c r="L6743">
        <v>137.4785</v>
      </c>
      <c r="M6743">
        <v>0.99933269999999996</v>
      </c>
      <c r="N6743">
        <v>-3.3156310000000001E-2</v>
      </c>
      <c r="O6743">
        <v>1.5330679999999999E-2</v>
      </c>
      <c r="P6743">
        <v>0.99593129999999996</v>
      </c>
      <c r="Q6743">
        <v>4.7894570000000001E-4</v>
      </c>
      <c r="R6743">
        <v>9.0116180000000004E-2</v>
      </c>
      <c r="S6743">
        <v>3.0258180000000001</v>
      </c>
      <c r="T6743">
        <v>-1.0965929999999999</v>
      </c>
      <c r="U6743">
        <v>-0.17071529999999999</v>
      </c>
      <c r="V6743">
        <v>-7.4829199999999998E-2</v>
      </c>
      <c r="W6743">
        <v>3.3541410000000001E-2</v>
      </c>
      <c r="X6743">
        <v>0.99663210000000002</v>
      </c>
      <c r="Y6743">
        <v>6.6221589999999997E-2</v>
      </c>
      <c r="Z6743">
        <v>-1.7644679999999999E-2</v>
      </c>
      <c r="AA6743">
        <v>0.99764889999999995</v>
      </c>
      <c r="AB6743">
        <v>2</v>
      </c>
      <c r="AC6743">
        <v>0.64690000000000203</v>
      </c>
      <c r="AD6743">
        <v>-0.23973800000000001</v>
      </c>
      <c r="AE6743">
        <v>-3.7599999999997601E-2</v>
      </c>
      <c r="AF6743">
        <v>4.1797302453852998E-2</v>
      </c>
      <c r="AG6743">
        <v>-0.23973800000000001</v>
      </c>
      <c r="AH6743">
        <v>0.56844001380804798</v>
      </c>
      <c r="AI6743">
        <v>112.812192302765</v>
      </c>
      <c r="AJ6743">
        <v>85.794618675469906</v>
      </c>
      <c r="AK6743">
        <v>0.61834082222873799</v>
      </c>
      <c r="AL6743">
        <v>88.077858222116504</v>
      </c>
      <c r="AM6743">
        <v>94.293829199843799</v>
      </c>
      <c r="AN6743">
        <v>0.99999998905391896</v>
      </c>
    </row>
    <row r="6744" spans="1:40" x14ac:dyDescent="0.25">
      <c r="A6744" t="str">
        <f>"20190304164542101"</f>
        <v>20190304164542101</v>
      </c>
      <c r="B6744" t="str">
        <f>"1551689142086568"</f>
        <v>1551689142086568</v>
      </c>
      <c r="C6744" t="s">
        <v>40</v>
      </c>
      <c r="D6744">
        <v>5.2222299999999997</v>
      </c>
      <c r="E6744">
        <v>0.56177959999999905</v>
      </c>
      <c r="F6744" t="s">
        <v>41</v>
      </c>
      <c r="G6744">
        <v>-115.5373</v>
      </c>
      <c r="H6744">
        <v>0.87469339999999995</v>
      </c>
      <c r="I6744">
        <v>137.44139999999999</v>
      </c>
      <c r="J6744">
        <v>-116.18510000000001</v>
      </c>
      <c r="K6744">
        <v>1.1121529999999999</v>
      </c>
      <c r="L6744">
        <v>137.4786</v>
      </c>
      <c r="M6744">
        <v>0.99934599999999996</v>
      </c>
      <c r="N6744">
        <v>-3.2754779999999997E-2</v>
      </c>
      <c r="O6744">
        <v>1.5318770000000001E-2</v>
      </c>
      <c r="P6744">
        <v>0.99590190000000001</v>
      </c>
      <c r="Q6744">
        <v>2.6740319999999998E-3</v>
      </c>
      <c r="R6744">
        <v>9.0400449999999993E-2</v>
      </c>
      <c r="S6744">
        <v>3.0282140000000002</v>
      </c>
      <c r="T6744">
        <v>-1.0925590000000001</v>
      </c>
      <c r="U6744">
        <v>-0.17057800000000001</v>
      </c>
      <c r="V6744">
        <v>-7.5125860000000003E-2</v>
      </c>
      <c r="W6744">
        <v>3.5334209999999998E-2</v>
      </c>
      <c r="X6744">
        <v>0.99654779999999998</v>
      </c>
      <c r="Y6744">
        <v>6.6172960000000003E-2</v>
      </c>
      <c r="Z6744">
        <v>-1.755195E-2</v>
      </c>
      <c r="AA6744">
        <v>0.99765380000000004</v>
      </c>
      <c r="AB6744">
        <v>1</v>
      </c>
      <c r="AC6744">
        <v>0.64780000000000304</v>
      </c>
      <c r="AD6744">
        <v>-0.23745959999999999</v>
      </c>
      <c r="AE6744">
        <v>-3.7200000000012702E-2</v>
      </c>
      <c r="AF6744">
        <v>4.1558638134000202E-2</v>
      </c>
      <c r="AG6744">
        <v>-0.23745959999999999</v>
      </c>
      <c r="AH6744">
        <v>0.57071910686396099</v>
      </c>
      <c r="AI6744">
        <v>112.537088545526</v>
      </c>
      <c r="AJ6744">
        <v>85.835185381762997</v>
      </c>
      <c r="AK6744">
        <v>0.61954376840971503</v>
      </c>
      <c r="AL6744">
        <v>87.975077308496196</v>
      </c>
      <c r="AM6744">
        <v>94.311151306442198</v>
      </c>
      <c r="AN6744">
        <v>0.99999995946095099</v>
      </c>
    </row>
    <row r="6745" spans="1:40" x14ac:dyDescent="0.25">
      <c r="A6745" t="str">
        <f>"20190304164542123"</f>
        <v>20190304164542123</v>
      </c>
      <c r="B6745" t="str">
        <f>"1551689142107066"</f>
        <v>1551689142107066</v>
      </c>
      <c r="C6745" t="s">
        <v>40</v>
      </c>
      <c r="D6745">
        <v>5.2231889999999996</v>
      </c>
      <c r="E6745">
        <v>0.56177880000000002</v>
      </c>
      <c r="F6745" t="s">
        <v>41</v>
      </c>
      <c r="G6745">
        <v>-115.52800000000001</v>
      </c>
      <c r="H6745">
        <v>0.87616209999999894</v>
      </c>
      <c r="I6745">
        <v>137.4418</v>
      </c>
      <c r="J6745">
        <v>-116.1763</v>
      </c>
      <c r="K6745">
        <v>1.1120190000000001</v>
      </c>
      <c r="L6745">
        <v>137.4787</v>
      </c>
      <c r="M6745">
        <v>0.99936899999999995</v>
      </c>
      <c r="N6745">
        <v>-3.2054319999999997E-2</v>
      </c>
      <c r="O6745">
        <v>1.530898E-2</v>
      </c>
      <c r="P6745">
        <v>0.99586629999999998</v>
      </c>
      <c r="Q6745">
        <v>6.1269829999999999E-3</v>
      </c>
      <c r="R6745">
        <v>9.0625839999999999E-2</v>
      </c>
      <c r="S6745">
        <v>3.030624</v>
      </c>
      <c r="T6745">
        <v>-1.088327</v>
      </c>
      <c r="U6745">
        <v>-0.16928099999999999</v>
      </c>
      <c r="V6745">
        <v>-7.5361529999999996E-2</v>
      </c>
      <c r="W6745">
        <v>3.8086090000000003E-2</v>
      </c>
      <c r="X6745">
        <v>0.99642869999999995</v>
      </c>
      <c r="Y6745">
        <v>6.5773109999999996E-2</v>
      </c>
      <c r="Z6745">
        <v>-1.7384509999999999E-2</v>
      </c>
      <c r="AA6745">
        <v>0.99768319999999999</v>
      </c>
      <c r="AB6745">
        <v>1</v>
      </c>
      <c r="AC6745">
        <v>0.64830000000000598</v>
      </c>
      <c r="AD6745">
        <v>-0.23585690000000001</v>
      </c>
      <c r="AE6745">
        <v>-3.6900000000002799E-2</v>
      </c>
      <c r="AF6745">
        <v>4.1367950166372403E-2</v>
      </c>
      <c r="AG6745">
        <v>-0.23585690000000001</v>
      </c>
      <c r="AH6745">
        <v>0.57217257280757505</v>
      </c>
      <c r="AI6745">
        <v>112.349509869141</v>
      </c>
      <c r="AJ6745">
        <v>85.864723213082101</v>
      </c>
      <c r="AK6745">
        <v>0.62025900852129301</v>
      </c>
      <c r="AL6745">
        <v>87.817299952353196</v>
      </c>
      <c r="AM6745">
        <v>94.325139118785302</v>
      </c>
      <c r="AN6745">
        <v>1.0000000323195499</v>
      </c>
    </row>
    <row r="6746" spans="1:40" x14ac:dyDescent="0.25">
      <c r="A6746" t="str">
        <f>"20190304164542145"</f>
        <v>20190304164542145</v>
      </c>
      <c r="B6746" t="str">
        <f>"1551689142137320"</f>
        <v>1551689142137320</v>
      </c>
      <c r="C6746" t="s">
        <v>40</v>
      </c>
      <c r="D6746">
        <v>5.3185890000000002</v>
      </c>
      <c r="E6746">
        <v>0.57496230000000004</v>
      </c>
      <c r="F6746" t="s">
        <v>41</v>
      </c>
      <c r="G6746">
        <v>-115.5198</v>
      </c>
      <c r="H6746">
        <v>0.87826360000000003</v>
      </c>
      <c r="I6746">
        <v>137.4426</v>
      </c>
      <c r="J6746">
        <v>-116.16930000000001</v>
      </c>
      <c r="K6746">
        <v>1.111847</v>
      </c>
      <c r="L6746">
        <v>137.47890000000001</v>
      </c>
      <c r="M6746">
        <v>0.99939840000000002</v>
      </c>
      <c r="N6746">
        <v>-3.113082E-2</v>
      </c>
      <c r="O6746">
        <v>1.530082E-2</v>
      </c>
      <c r="P6746">
        <v>0.99580250000000003</v>
      </c>
      <c r="Q6746">
        <v>1.2076679999999999E-2</v>
      </c>
      <c r="R6746">
        <v>9.0729939999999995E-2</v>
      </c>
      <c r="S6746">
        <v>3.0343170000000002</v>
      </c>
      <c r="T6746">
        <v>-1.0803959999999999</v>
      </c>
      <c r="U6746">
        <v>-0.16726679999999999</v>
      </c>
      <c r="V6746">
        <v>-7.5474860000000005E-2</v>
      </c>
      <c r="W6746">
        <v>4.3111139999999999E-2</v>
      </c>
      <c r="X6746">
        <v>0.99621530000000003</v>
      </c>
      <c r="Y6746">
        <v>6.5169270000000001E-2</v>
      </c>
      <c r="Z6746">
        <v>-1.711561E-2</v>
      </c>
      <c r="AA6746">
        <v>0.99772749999999999</v>
      </c>
      <c r="AB6746">
        <v>1</v>
      </c>
      <c r="AC6746">
        <v>0.64950000000000296</v>
      </c>
      <c r="AD6746">
        <v>-0.2335834</v>
      </c>
      <c r="AE6746">
        <v>-3.6300000000011302E-2</v>
      </c>
      <c r="AF6746">
        <v>4.0957576447888597E-2</v>
      </c>
      <c r="AG6746">
        <v>-0.2335834</v>
      </c>
      <c r="AH6746">
        <v>0.57476129353665995</v>
      </c>
      <c r="AI6746">
        <v>112.066293804358</v>
      </c>
      <c r="AJ6746">
        <v>85.923984142687701</v>
      </c>
      <c r="AK6746">
        <v>0.62176303554648404</v>
      </c>
      <c r="AL6746">
        <v>87.529147785886394</v>
      </c>
      <c r="AM6746">
        <v>94.332542949404299</v>
      </c>
      <c r="AN6746">
        <v>0.99999997441910404</v>
      </c>
    </row>
    <row r="6747" spans="1:40" x14ac:dyDescent="0.25">
      <c r="A6747" t="str">
        <f>"20190304164542167"</f>
        <v>20190304164542167</v>
      </c>
      <c r="B6747" t="str">
        <f>"1551689142156841"</f>
        <v>1551689142156841</v>
      </c>
      <c r="C6747" t="s">
        <v>40</v>
      </c>
      <c r="D6747">
        <v>5.3612690000000001</v>
      </c>
      <c r="E6747">
        <v>0.57756109999999905</v>
      </c>
      <c r="F6747" t="s">
        <v>41</v>
      </c>
      <c r="G6747">
        <v>-115.5091</v>
      </c>
      <c r="H6747">
        <v>0.88924219999999898</v>
      </c>
      <c r="I6747">
        <v>137.4196</v>
      </c>
      <c r="J6747">
        <v>-116.1632</v>
      </c>
      <c r="K6747">
        <v>1.111664</v>
      </c>
      <c r="L6747">
        <v>137.47890000000001</v>
      </c>
      <c r="M6747">
        <v>0.99943280000000001</v>
      </c>
      <c r="N6747">
        <v>-3.000738E-2</v>
      </c>
      <c r="O6747">
        <v>1.5291900000000001E-2</v>
      </c>
      <c r="P6747">
        <v>0.99570610000000004</v>
      </c>
      <c r="Q6747">
        <v>1.766436E-2</v>
      </c>
      <c r="R6747">
        <v>9.087054E-2</v>
      </c>
      <c r="S6747">
        <v>3.0500180000000001</v>
      </c>
      <c r="T6747">
        <v>-1.028483</v>
      </c>
      <c r="U6747">
        <v>-0.27331539999999999</v>
      </c>
      <c r="V6747">
        <v>-7.5626269999999995E-2</v>
      </c>
      <c r="W6747">
        <v>4.7574499999999999E-2</v>
      </c>
      <c r="X6747">
        <v>0.99600060000000001</v>
      </c>
      <c r="Y6747">
        <v>9.7899139999999996E-2</v>
      </c>
      <c r="Z6747">
        <v>-2.210954E-2</v>
      </c>
      <c r="AA6747">
        <v>0.99495069999999997</v>
      </c>
      <c r="AB6747">
        <v>1</v>
      </c>
      <c r="AC6747">
        <v>0.65409999999999902</v>
      </c>
      <c r="AD6747">
        <v>-0.2224218</v>
      </c>
      <c r="AE6747">
        <v>-5.9300000000007402E-2</v>
      </c>
      <c r="AF6747">
        <v>6.2169955410819003E-2</v>
      </c>
      <c r="AG6747">
        <v>-0.2224218</v>
      </c>
      <c r="AH6747">
        <v>0.58591931689578802</v>
      </c>
      <c r="AI6747">
        <v>110.681149359019</v>
      </c>
      <c r="AJ6747">
        <v>83.943197452816193</v>
      </c>
      <c r="AK6747">
        <v>0.629792034232452</v>
      </c>
      <c r="AL6747">
        <v>87.273152460154904</v>
      </c>
      <c r="AM6747">
        <v>94.342133484041895</v>
      </c>
      <c r="AN6747">
        <v>0.99999993048235902</v>
      </c>
    </row>
    <row r="6748" spans="1:40" x14ac:dyDescent="0.25">
      <c r="A6748" t="str">
        <f>"20190304164542190"</f>
        <v>20190304164542190</v>
      </c>
      <c r="B6748" t="str">
        <f>"1551689142187097"</f>
        <v>1551689142187097</v>
      </c>
      <c r="C6748" t="s">
        <v>40</v>
      </c>
      <c r="D6748">
        <v>5.2608579999999998</v>
      </c>
      <c r="E6748">
        <v>0.57914569999999999</v>
      </c>
      <c r="F6748" t="s">
        <v>41</v>
      </c>
      <c r="G6748">
        <v>-115.5014</v>
      </c>
      <c r="H6748">
        <v>0.89507719999999902</v>
      </c>
      <c r="I6748">
        <v>137.41540000000001</v>
      </c>
      <c r="J6748">
        <v>-116.15819999999999</v>
      </c>
      <c r="K6748">
        <v>1.1114889999999999</v>
      </c>
      <c r="L6748">
        <v>137.47899999999899</v>
      </c>
      <c r="M6748">
        <v>0.99946900000000005</v>
      </c>
      <c r="N6748">
        <v>-2.8776570000000001E-2</v>
      </c>
      <c r="O6748">
        <v>1.5283629999999999E-2</v>
      </c>
      <c r="P6748">
        <v>0.99564030000000003</v>
      </c>
      <c r="Q6748">
        <v>2.3517300000000001E-2</v>
      </c>
      <c r="R6748">
        <v>9.0262720000000005E-2</v>
      </c>
      <c r="S6748">
        <v>3.0574650000000001</v>
      </c>
      <c r="T6748">
        <v>-1.000545</v>
      </c>
      <c r="U6748">
        <v>-0.29335020000000001</v>
      </c>
      <c r="V6748">
        <v>-7.5028070000000002E-2</v>
      </c>
      <c r="W6748">
        <v>5.2196439999999997E-2</v>
      </c>
      <c r="X6748">
        <v>0.99581439999999999</v>
      </c>
      <c r="Y6748">
        <v>0.10416590000000001</v>
      </c>
      <c r="Z6748">
        <v>-2.2555140000000001E-2</v>
      </c>
      <c r="AA6748">
        <v>0.99430410000000002</v>
      </c>
      <c r="AB6748">
        <v>1</v>
      </c>
      <c r="AC6748">
        <v>0.65679999999998895</v>
      </c>
      <c r="AD6748">
        <v>-0.21641179999999999</v>
      </c>
      <c r="AE6748">
        <v>-6.3599999999979603E-2</v>
      </c>
      <c r="AF6748">
        <v>6.6484119946018105E-2</v>
      </c>
      <c r="AG6748">
        <v>-0.21641179999999999</v>
      </c>
      <c r="AH6748">
        <v>0.59206907129497099</v>
      </c>
      <c r="AI6748">
        <v>109.96278966045</v>
      </c>
      <c r="AJ6748">
        <v>83.593029921043296</v>
      </c>
      <c r="AK6748">
        <v>0.633876952229947</v>
      </c>
      <c r="AL6748">
        <v>87.008004631056195</v>
      </c>
      <c r="AM6748">
        <v>94.308719706656603</v>
      </c>
      <c r="AN6748">
        <v>0.99999999944197904</v>
      </c>
    </row>
    <row r="6749" spans="1:40" x14ac:dyDescent="0.25">
      <c r="A6749" t="str">
        <f>"20190304164542213"</f>
        <v>20190304164542213</v>
      </c>
      <c r="B6749" t="str">
        <f>"1551689142206617"</f>
        <v>1551689142206617</v>
      </c>
      <c r="C6749" t="s">
        <v>40</v>
      </c>
      <c r="D6749">
        <v>5.2634129999999999</v>
      </c>
      <c r="E6749">
        <v>0.57951719999999995</v>
      </c>
      <c r="F6749" t="s">
        <v>41</v>
      </c>
      <c r="G6749">
        <v>-115.49509999999999</v>
      </c>
      <c r="H6749">
        <v>0.8997811</v>
      </c>
      <c r="I6749">
        <v>137.4127</v>
      </c>
      <c r="J6749">
        <v>-116.154</v>
      </c>
      <c r="K6749">
        <v>1.111326</v>
      </c>
      <c r="L6749">
        <v>137.47899999999899</v>
      </c>
      <c r="M6749">
        <v>0.99950620000000001</v>
      </c>
      <c r="N6749">
        <v>-2.746119E-2</v>
      </c>
      <c r="O6749">
        <v>1.527626E-2</v>
      </c>
      <c r="P6749">
        <v>0.99558219999999997</v>
      </c>
      <c r="Q6749">
        <v>2.907392E-2</v>
      </c>
      <c r="R6749">
        <v>8.9280349999999994E-2</v>
      </c>
      <c r="S6749">
        <v>3.0639799999999999</v>
      </c>
      <c r="T6749">
        <v>-0.97811789999999998</v>
      </c>
      <c r="U6749">
        <v>-0.30604550000000003</v>
      </c>
      <c r="V6749">
        <v>-7.4054099999999998E-2</v>
      </c>
      <c r="W6749">
        <v>5.6438790000000003E-2</v>
      </c>
      <c r="X6749">
        <v>0.99565590000000004</v>
      </c>
      <c r="Y6749">
        <v>0.1081444</v>
      </c>
      <c r="Z6749">
        <v>-2.2670610000000001E-2</v>
      </c>
      <c r="AA6749">
        <v>0.99387669999999995</v>
      </c>
      <c r="AB6749">
        <v>1</v>
      </c>
      <c r="AC6749">
        <v>0.65890000000000204</v>
      </c>
      <c r="AD6749">
        <v>-0.21154490000000001</v>
      </c>
      <c r="AE6749">
        <v>-6.6299999999983997E-2</v>
      </c>
      <c r="AF6749">
        <v>6.9290812274261607E-2</v>
      </c>
      <c r="AG6749">
        <v>-0.21154490000000001</v>
      </c>
      <c r="AH6749">
        <v>0.59689935741505795</v>
      </c>
      <c r="AI6749">
        <v>109.394222570102</v>
      </c>
      <c r="AJ6749">
        <v>83.378480313365799</v>
      </c>
      <c r="AK6749">
        <v>0.63705675121149596</v>
      </c>
      <c r="AL6749">
        <v>86.764576356030304</v>
      </c>
      <c r="AM6749">
        <v>94.253667586444195</v>
      </c>
      <c r="AN6749">
        <v>1.0000000089741401</v>
      </c>
    </row>
    <row r="6750" spans="1:40" x14ac:dyDescent="0.25">
      <c r="A6750" t="str">
        <f>"20190304164542236"</f>
        <v>20190304164542236</v>
      </c>
      <c r="B6750" t="str">
        <f>"1551689142227113"</f>
        <v>1551689142227113</v>
      </c>
      <c r="C6750" t="s">
        <v>40</v>
      </c>
      <c r="D6750">
        <v>5.2678310000000002</v>
      </c>
      <c r="E6750">
        <v>0.57969519999999997</v>
      </c>
      <c r="F6750" t="s">
        <v>41</v>
      </c>
      <c r="G6750">
        <v>-115.49039999999999</v>
      </c>
      <c r="H6750">
        <v>0.90246459999999995</v>
      </c>
      <c r="I6750">
        <v>137.41210000000001</v>
      </c>
      <c r="J6750">
        <v>-116.15089999999999</v>
      </c>
      <c r="K6750">
        <v>1.111192</v>
      </c>
      <c r="L6750">
        <v>137.47909999999999</v>
      </c>
      <c r="M6750">
        <v>0.99954019999999999</v>
      </c>
      <c r="N6750">
        <v>-2.6198320000000001E-2</v>
      </c>
      <c r="O6750">
        <v>1.5271669999999999E-2</v>
      </c>
      <c r="P6750">
        <v>0.99548029999999998</v>
      </c>
      <c r="Q6750">
        <v>3.4980020000000001E-2</v>
      </c>
      <c r="R6750">
        <v>8.8292969999999998E-2</v>
      </c>
      <c r="S6750">
        <v>3.0692599999999999</v>
      </c>
      <c r="T6750">
        <v>-0.9659626</v>
      </c>
      <c r="U6750">
        <v>-0.30944820000000001</v>
      </c>
      <c r="V6750">
        <v>-7.3073620000000006E-2</v>
      </c>
      <c r="W6750">
        <v>6.1082289999999997E-2</v>
      </c>
      <c r="X6750">
        <v>0.99545430000000001</v>
      </c>
      <c r="Y6750">
        <v>0.1091958</v>
      </c>
      <c r="Z6750">
        <v>-2.2500650000000001E-2</v>
      </c>
      <c r="AA6750">
        <v>0.99376560000000003</v>
      </c>
      <c r="AB6750">
        <v>1</v>
      </c>
      <c r="AC6750">
        <v>0.66049999999999898</v>
      </c>
      <c r="AD6750">
        <v>-0.20872739999999901</v>
      </c>
      <c r="AE6750">
        <v>-6.6999999999978799E-2</v>
      </c>
      <c r="AF6750">
        <v>7.0148546747359902E-2</v>
      </c>
      <c r="AG6750">
        <v>-0.20872739999999901</v>
      </c>
      <c r="AH6750">
        <v>0.60008248757856897</v>
      </c>
      <c r="AI6750">
        <v>109.05893964137699</v>
      </c>
      <c r="AJ6750">
        <v>83.332489056776794</v>
      </c>
      <c r="AK6750">
        <v>0.63920805534662195</v>
      </c>
      <c r="AL6750">
        <v>86.498062736486304</v>
      </c>
      <c r="AM6750">
        <v>94.198398507479894</v>
      </c>
      <c r="AN6750">
        <v>1.00000003174001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TxtToExcel_Tem_Txt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吕泽众</dc:creator>
  <cp:lastModifiedBy>吕泽众</cp:lastModifiedBy>
  <dcterms:created xsi:type="dcterms:W3CDTF">2020-05-20T14:50:16Z</dcterms:created>
  <dcterms:modified xsi:type="dcterms:W3CDTF">2020-05-20T14:50:17Z</dcterms:modified>
</cp:coreProperties>
</file>